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lt998/Dropbox (GloriamGroup)/GPCRdb_Projects/GPCRDB_Project_Alignments_and_Similarities/"/>
    </mc:Choice>
  </mc:AlternateContent>
  <bookViews>
    <workbookView xWindow="80" yWindow="460" windowWidth="38400" windowHeight="21140" tabRatio="500"/>
  </bookViews>
  <sheets>
    <sheet name="Xtal_SegEnds_Prot#" sheetId="1" r:id="rId1"/>
    <sheet name="Xtal_SegEnds_BW#" sheetId="2" r:id="rId2"/>
    <sheet name="ICL3" sheetId="3" r:id="rId3"/>
    <sheet name="NonXtal_SegEnds_BW#" sheetId="4" r:id="rId4"/>
    <sheet name="NonXtal_SegEnds_Prot#" sheetId="5" r:id="rId5"/>
    <sheet name="Xtal_Bulges_Constr_GPCRdb#" sheetId="6" r:id="rId6"/>
    <sheet name="NonXtal_Bulges_Constr_GPCRdb#" sheetId="7" r:id="rId7"/>
    <sheet name="Seqs4TemplSearch" sheetId="8" r:id="rId8"/>
    <sheet name="Seqs" sheetId="9" r:id="rId9"/>
    <sheet name="Xtal_Templ" sheetId="10" r:id="rId10"/>
    <sheet name="Classification" sheetId="11" r:id="rId11"/>
    <sheet name="Orig" sheetId="12" r:id="rId12"/>
    <sheet name="Templates_ICL3" sheetId="13" r:id="rId13"/>
    <sheet name="SegLen" sheetId="14" r:id="rId14"/>
  </sheets>
  <definedNames>
    <definedName name="_xlnm._FilterDatabase" localSheetId="6" hidden="1">'NonXtal_Bulges_Constr_GPCRdb#'!$A$1:$Z$406</definedName>
    <definedName name="_xlnm._FilterDatabase" localSheetId="11" hidden="1">Orig!$A$1:$Z$1105</definedName>
    <definedName name="_xlnm._FilterDatabase" localSheetId="5" hidden="1">'Xtal_Bulges_Constr_GPCRdb#'!$C$1:$P$39</definedName>
    <definedName name="closestHomologues" localSheetId="9">Xtal_Templ!$A$2:$B$406</definedName>
    <definedName name="closestHomologues_1" localSheetId="9">Xtal_Templ!$A$2:$B$450</definedName>
    <definedName name="closestHomologues_2" localSheetId="9">Xtal_Templ!$A$2:$B$406</definedName>
    <definedName name="closestHomologues_3" localSheetId="9">Xtal_Templ!$A$2:$B$406</definedName>
    <definedName name="closestHomologues_4" localSheetId="9">Xtal_Templ!$A$2:$B$407</definedName>
    <definedName name="closestHomologues_5" localSheetId="9">Xtal_Templ!$A$2:$B$406</definedName>
    <definedName name="closestHomologues_6" localSheetId="9">Xtal_Templ!$A$2:$B$406</definedName>
    <definedName name="closestHomologues_7" localSheetId="9">Xtal_Templ!$A$2:$B$406</definedName>
    <definedName name="closestHomologues_8" localSheetId="9">Xtal_Templ!$A$2:$B$406</definedName>
    <definedName name="closestHomologues_9" localSheetId="9">Xtal_Templ!$A$2:$B$406</definedName>
    <definedName name="GPCRdb_alignment" localSheetId="8">Seqs!$A$408:$B$409</definedName>
    <definedName name="human_GPCR_fasta.fas" localSheetId="8">Seqs!$A$8:$B$406</definedName>
    <definedName name="Z_3E3401AF_8459_8641_BD70_AD04F80E86ED_.wvu.Cols" localSheetId="11" hidden="1">Orig!$D:$F</definedName>
    <definedName name="Z_3E3401AF_8459_8641_BD70_AD04F80E86ED_.wvu.FilterData" localSheetId="6" hidden="1">'NonXtal_Bulges_Constr_GPCRdb#'!$A$1:$Z$406</definedName>
    <definedName name="Z_3E3401AF_8459_8641_BD70_AD04F80E86ED_.wvu.FilterData" localSheetId="11" hidden="1">Orig!$A$1:$Z$1105</definedName>
    <definedName name="Z_3E3401AF_8459_8641_BD70_AD04F80E86ED_.wvu.FilterData" localSheetId="5" hidden="1">'Xtal_Bulges_Constr_GPCRdb#'!$C$1:$P$39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920" windowHeight="884" tabRatio="500" activeSheetId="3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2" i="3" l="1"/>
  <c r="G32" i="3"/>
  <c r="H32" i="3"/>
  <c r="Q29" i="6"/>
  <c r="R29" i="6"/>
  <c r="S29" i="6"/>
  <c r="T29" i="6"/>
  <c r="U29" i="6"/>
  <c r="Q30" i="6"/>
  <c r="R30" i="6"/>
  <c r="S30" i="6"/>
  <c r="T30" i="6"/>
  <c r="U30" i="6"/>
  <c r="Q31" i="6"/>
  <c r="R31" i="6"/>
  <c r="S31" i="6"/>
  <c r="T31" i="6"/>
  <c r="U31" i="6"/>
  <c r="B29" i="6"/>
  <c r="AF2" i="4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T2" i="4" a="1"/>
  <c r="T2" i="4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E35" i="2"/>
  <c r="F35" i="2"/>
  <c r="L35" i="2"/>
  <c r="M35" i="2"/>
  <c r="N35" i="2"/>
  <c r="O35" i="2"/>
  <c r="P35" i="2"/>
  <c r="Q35" i="2"/>
  <c r="R35" i="2"/>
  <c r="X35" i="2"/>
  <c r="Y35" i="2"/>
  <c r="AC164" i="5"/>
  <c r="AF4" i="4"/>
  <c r="F33" i="3"/>
  <c r="F34" i="3"/>
  <c r="F35" i="3"/>
  <c r="A3" i="3"/>
  <c r="H3" i="3"/>
  <c r="A4" i="3"/>
  <c r="H4" i="3"/>
  <c r="A5" i="3"/>
  <c r="H5" i="3"/>
  <c r="A6" i="3"/>
  <c r="H6" i="3"/>
  <c r="A7" i="3"/>
  <c r="H7" i="3"/>
  <c r="A8" i="3"/>
  <c r="H8" i="3"/>
  <c r="A9" i="3"/>
  <c r="H9" i="3"/>
  <c r="A10" i="3"/>
  <c r="H10" i="3"/>
  <c r="A11" i="3"/>
  <c r="H11" i="3"/>
  <c r="A12" i="3"/>
  <c r="H12" i="3"/>
  <c r="A13" i="3"/>
  <c r="H13" i="3"/>
  <c r="A14" i="3"/>
  <c r="H14" i="3"/>
  <c r="A15" i="3"/>
  <c r="H15" i="3"/>
  <c r="A16" i="3"/>
  <c r="H16" i="3"/>
  <c r="A17" i="3"/>
  <c r="H17" i="3"/>
  <c r="H18" i="3"/>
  <c r="A19" i="3"/>
  <c r="H19" i="3"/>
  <c r="A20" i="3"/>
  <c r="H20" i="3"/>
  <c r="A21" i="3"/>
  <c r="H21" i="3"/>
  <c r="A22" i="3"/>
  <c r="H22" i="3"/>
  <c r="A23" i="3"/>
  <c r="H23" i="3"/>
  <c r="A33" i="3"/>
  <c r="H33" i="3"/>
  <c r="A34" i="3"/>
  <c r="H34" i="3"/>
  <c r="A35" i="3"/>
  <c r="H35" i="3"/>
  <c r="A24" i="3"/>
  <c r="H24" i="3"/>
  <c r="A25" i="3"/>
  <c r="H25" i="3"/>
  <c r="A26" i="3"/>
  <c r="H26" i="3"/>
  <c r="A27" i="3"/>
  <c r="H27" i="3"/>
  <c r="A28" i="3"/>
  <c r="H28" i="3"/>
  <c r="A29" i="3"/>
  <c r="H29" i="3"/>
  <c r="A30" i="3"/>
  <c r="H30" i="3"/>
  <c r="A31" i="3"/>
  <c r="H31" i="3"/>
  <c r="U4" i="4" a="1"/>
  <c r="U4" i="4"/>
  <c r="AF5" i="4"/>
  <c r="U5" i="4" a="1"/>
  <c r="U5" i="4"/>
  <c r="AF6" i="4"/>
  <c r="U6" i="4" a="1"/>
  <c r="U6" i="4"/>
  <c r="AF7" i="4"/>
  <c r="U7" i="4" a="1"/>
  <c r="U7" i="4"/>
  <c r="AF8" i="4"/>
  <c r="U8" i="4" a="1"/>
  <c r="U8" i="4"/>
  <c r="AF9" i="4"/>
  <c r="U9" i="4" a="1"/>
  <c r="U9" i="4"/>
  <c r="AF10" i="4"/>
  <c r="U10" i="4" a="1"/>
  <c r="U10" i="4"/>
  <c r="AF11" i="4"/>
  <c r="U11" i="4" a="1"/>
  <c r="U11" i="4"/>
  <c r="AF12" i="4"/>
  <c r="U12" i="4" a="1"/>
  <c r="U12" i="4"/>
  <c r="AF13" i="4"/>
  <c r="U13" i="4" a="1"/>
  <c r="U13" i="4"/>
  <c r="AF14" i="4"/>
  <c r="U14" i="4" a="1"/>
  <c r="U14" i="4"/>
  <c r="AF15" i="4"/>
  <c r="U15" i="4" a="1"/>
  <c r="U15" i="4"/>
  <c r="AF16" i="4"/>
  <c r="U16" i="4" a="1"/>
  <c r="U16" i="4"/>
  <c r="AF17" i="4"/>
  <c r="U17" i="4" a="1"/>
  <c r="U17" i="4"/>
  <c r="AF18" i="4"/>
  <c r="U18" i="4" a="1"/>
  <c r="U18" i="4"/>
  <c r="AF19" i="4"/>
  <c r="U19" i="4" a="1"/>
  <c r="U19" i="4"/>
  <c r="AF20" i="4"/>
  <c r="U20" i="4" a="1"/>
  <c r="U20" i="4"/>
  <c r="AF21" i="4"/>
  <c r="U21" i="4" a="1"/>
  <c r="U21" i="4"/>
  <c r="AF22" i="4"/>
  <c r="U22" i="4" a="1"/>
  <c r="U22" i="4"/>
  <c r="AF23" i="4"/>
  <c r="U23" i="4" a="1"/>
  <c r="U23" i="4"/>
  <c r="AF24" i="4"/>
  <c r="U24" i="4" a="1"/>
  <c r="U24" i="4"/>
  <c r="AF25" i="4"/>
  <c r="U25" i="4" a="1"/>
  <c r="U25" i="4"/>
  <c r="AF26" i="4"/>
  <c r="U26" i="4" a="1"/>
  <c r="U26" i="4"/>
  <c r="AF27" i="4"/>
  <c r="U27" i="4" a="1"/>
  <c r="U27" i="4"/>
  <c r="AF28" i="4"/>
  <c r="U28" i="4" a="1"/>
  <c r="U28" i="4"/>
  <c r="AF29" i="4"/>
  <c r="U29" i="4" a="1"/>
  <c r="U29" i="4"/>
  <c r="AF30" i="4"/>
  <c r="U30" i="4" a="1"/>
  <c r="U30" i="4"/>
  <c r="AF31" i="4"/>
  <c r="U31" i="4" a="1"/>
  <c r="U31" i="4"/>
  <c r="AF32" i="4"/>
  <c r="U32" i="4" a="1"/>
  <c r="U32" i="4"/>
  <c r="AF33" i="4"/>
  <c r="U33" i="4" a="1"/>
  <c r="U33" i="4"/>
  <c r="AF34" i="4"/>
  <c r="U34" i="4" a="1"/>
  <c r="U34" i="4"/>
  <c r="AF35" i="4"/>
  <c r="U35" i="4" a="1"/>
  <c r="U35" i="4"/>
  <c r="AF36" i="4"/>
  <c r="U36" i="4" a="1"/>
  <c r="U36" i="4"/>
  <c r="AF37" i="4"/>
  <c r="U37" i="4" a="1"/>
  <c r="U37" i="4"/>
  <c r="AF38" i="4"/>
  <c r="U38" i="4" a="1"/>
  <c r="U38" i="4"/>
  <c r="AF39" i="4"/>
  <c r="U39" i="4" a="1"/>
  <c r="U39" i="4"/>
  <c r="AF40" i="4"/>
  <c r="U40" i="4" a="1"/>
  <c r="U40" i="4"/>
  <c r="AF41" i="4"/>
  <c r="U41" i="4" a="1"/>
  <c r="U41" i="4"/>
  <c r="AF42" i="4"/>
  <c r="U42" i="4" a="1"/>
  <c r="U42" i="4"/>
  <c r="AF43" i="4"/>
  <c r="U43" i="4" a="1"/>
  <c r="U43" i="4"/>
  <c r="AF44" i="4"/>
  <c r="U44" i="4" a="1"/>
  <c r="U44" i="4"/>
  <c r="AF45" i="4"/>
  <c r="AF46" i="4"/>
  <c r="U46" i="4" a="1"/>
  <c r="U46" i="4"/>
  <c r="AF47" i="4"/>
  <c r="U47" i="4" a="1"/>
  <c r="U47" i="4"/>
  <c r="AF48" i="4"/>
  <c r="U48" i="4" a="1"/>
  <c r="U48" i="4"/>
  <c r="AF49" i="4"/>
  <c r="U49" i="4" a="1"/>
  <c r="U49" i="4"/>
  <c r="AF50" i="4"/>
  <c r="U50" i="4" a="1"/>
  <c r="U50" i="4"/>
  <c r="AF51" i="4"/>
  <c r="U51" i="4" a="1"/>
  <c r="U51" i="4"/>
  <c r="AF52" i="4"/>
  <c r="U52" i="4" a="1"/>
  <c r="U52" i="4"/>
  <c r="AF53" i="4"/>
  <c r="U53" i="4" a="1"/>
  <c r="U53" i="4"/>
  <c r="AF54" i="4"/>
  <c r="U54" i="4" a="1"/>
  <c r="U54" i="4"/>
  <c r="AF55" i="4"/>
  <c r="U55" i="4" a="1"/>
  <c r="U55" i="4"/>
  <c r="AF56" i="4"/>
  <c r="U56" i="4" a="1"/>
  <c r="U56" i="4"/>
  <c r="AF57" i="4"/>
  <c r="U57" i="4" a="1"/>
  <c r="U57" i="4"/>
  <c r="AF58" i="4"/>
  <c r="U58" i="4" a="1"/>
  <c r="U58" i="4"/>
  <c r="AF59" i="4"/>
  <c r="U59" i="4" a="1"/>
  <c r="U59" i="4"/>
  <c r="AF60" i="4"/>
  <c r="U60" i="4" a="1"/>
  <c r="U60" i="4"/>
  <c r="AF61" i="4"/>
  <c r="U61" i="4" a="1"/>
  <c r="U61" i="4"/>
  <c r="AF62" i="4"/>
  <c r="U62" i="4" a="1"/>
  <c r="U62" i="4"/>
  <c r="AF63" i="4"/>
  <c r="U63" i="4" a="1"/>
  <c r="U63" i="4"/>
  <c r="AF64" i="4"/>
  <c r="U64" i="4" a="1"/>
  <c r="U64" i="4"/>
  <c r="AF65" i="4"/>
  <c r="U65" i="4" a="1"/>
  <c r="U65" i="4"/>
  <c r="AF66" i="4"/>
  <c r="U66" i="4" a="1"/>
  <c r="U66" i="4"/>
  <c r="AF67" i="4"/>
  <c r="U67" i="4" a="1"/>
  <c r="U67" i="4"/>
  <c r="AF68" i="4"/>
  <c r="U68" i="4" a="1"/>
  <c r="U68" i="4"/>
  <c r="AF69" i="4"/>
  <c r="U69" i="4" a="1"/>
  <c r="U69" i="4"/>
  <c r="AF70" i="4"/>
  <c r="U70" i="4" a="1"/>
  <c r="U70" i="4"/>
  <c r="AF71" i="4"/>
  <c r="U71" i="4" a="1"/>
  <c r="U71" i="4"/>
  <c r="AF72" i="4"/>
  <c r="U72" i="4" a="1"/>
  <c r="U72" i="4"/>
  <c r="AF73" i="4"/>
  <c r="U73" i="4" a="1"/>
  <c r="U73" i="4"/>
  <c r="AF74" i="4"/>
  <c r="AF75" i="4"/>
  <c r="U75" i="4" a="1"/>
  <c r="U75" i="4"/>
  <c r="AF76" i="4"/>
  <c r="U76" i="4" a="1"/>
  <c r="U76" i="4"/>
  <c r="AF77" i="4"/>
  <c r="U77" i="4" a="1"/>
  <c r="U77" i="4"/>
  <c r="AF78" i="4"/>
  <c r="U78" i="4" a="1"/>
  <c r="U78" i="4"/>
  <c r="AF79" i="4"/>
  <c r="U79" i="4" a="1"/>
  <c r="U79" i="4"/>
  <c r="AF80" i="4"/>
  <c r="U80" i="4" a="1"/>
  <c r="U80" i="4"/>
  <c r="AF81" i="4"/>
  <c r="U81" i="4" a="1"/>
  <c r="U81" i="4"/>
  <c r="AF82" i="4"/>
  <c r="U82" i="4" a="1"/>
  <c r="U82" i="4"/>
  <c r="AF83" i="4"/>
  <c r="U83" i="4" a="1"/>
  <c r="U83" i="4"/>
  <c r="AF84" i="4"/>
  <c r="U84" i="4" a="1"/>
  <c r="U84" i="4"/>
  <c r="AF85" i="4"/>
  <c r="U85" i="4" a="1"/>
  <c r="U85" i="4"/>
  <c r="AF86" i="4"/>
  <c r="U86" i="4" a="1"/>
  <c r="U86" i="4"/>
  <c r="AF87" i="4"/>
  <c r="U87" i="4" a="1"/>
  <c r="U87" i="4"/>
  <c r="AF88" i="4"/>
  <c r="U88" i="4" a="1"/>
  <c r="U88" i="4"/>
  <c r="AF89" i="4"/>
  <c r="U89" i="4" a="1"/>
  <c r="U89" i="4"/>
  <c r="AF90" i="4"/>
  <c r="U90" i="4" a="1"/>
  <c r="U90" i="4"/>
  <c r="AF91" i="4"/>
  <c r="U91" i="4" a="1"/>
  <c r="U91" i="4"/>
  <c r="AF92" i="4"/>
  <c r="U92" i="4" a="1"/>
  <c r="U92" i="4"/>
  <c r="AF93" i="4"/>
  <c r="U93" i="4" a="1"/>
  <c r="U93" i="4"/>
  <c r="AF94" i="4"/>
  <c r="U94" i="4" a="1"/>
  <c r="U94" i="4"/>
  <c r="AF95" i="4"/>
  <c r="U95" i="4" a="1"/>
  <c r="U95" i="4"/>
  <c r="AF96" i="4"/>
  <c r="U96" i="4" a="1"/>
  <c r="U96" i="4"/>
  <c r="AF97" i="4"/>
  <c r="U97" i="4" a="1"/>
  <c r="U97" i="4"/>
  <c r="AF98" i="4"/>
  <c r="U98" i="4" a="1"/>
  <c r="U98" i="4"/>
  <c r="AF99" i="4"/>
  <c r="U99" i="4" a="1"/>
  <c r="U99" i="4"/>
  <c r="AF100" i="4"/>
  <c r="U100" i="4" a="1"/>
  <c r="U100" i="4"/>
  <c r="AF101" i="4"/>
  <c r="U101" i="4" a="1"/>
  <c r="U101" i="4"/>
  <c r="AF102" i="4"/>
  <c r="U102" i="4" a="1"/>
  <c r="U102" i="4"/>
  <c r="AF103" i="4"/>
  <c r="U103" i="4" a="1"/>
  <c r="U103" i="4"/>
  <c r="AF104" i="4"/>
  <c r="U104" i="4" a="1"/>
  <c r="U104" i="4"/>
  <c r="AF105" i="4"/>
  <c r="U105" i="4" a="1"/>
  <c r="U105" i="4"/>
  <c r="AF106" i="4"/>
  <c r="U106" i="4" a="1"/>
  <c r="U106" i="4"/>
  <c r="AF107" i="4"/>
  <c r="U107" i="4" a="1"/>
  <c r="U107" i="4"/>
  <c r="AF108" i="4"/>
  <c r="U108" i="4" a="1"/>
  <c r="U108" i="4"/>
  <c r="AF109" i="4"/>
  <c r="U109" i="4" a="1"/>
  <c r="U109" i="4"/>
  <c r="AF110" i="4"/>
  <c r="U110" i="4" a="1"/>
  <c r="U110" i="4"/>
  <c r="AF111" i="4"/>
  <c r="U111" i="4" a="1"/>
  <c r="U111" i="4"/>
  <c r="AF112" i="4"/>
  <c r="U112" i="4" a="1"/>
  <c r="U112" i="4"/>
  <c r="AF113" i="4"/>
  <c r="U113" i="4" a="1"/>
  <c r="U113" i="4"/>
  <c r="AF114" i="4"/>
  <c r="U114" i="4" a="1"/>
  <c r="U114" i="4"/>
  <c r="AF115" i="4"/>
  <c r="U115" i="4" a="1"/>
  <c r="U115" i="4"/>
  <c r="AF116" i="4"/>
  <c r="U116" i="4" a="1"/>
  <c r="U116" i="4"/>
  <c r="AF117" i="4"/>
  <c r="U117" i="4" a="1"/>
  <c r="U117" i="4"/>
  <c r="AF118" i="4"/>
  <c r="U118" i="4" a="1"/>
  <c r="U118" i="4"/>
  <c r="AF119" i="4"/>
  <c r="U119" i="4" a="1"/>
  <c r="U119" i="4"/>
  <c r="AF120" i="4"/>
  <c r="U120" i="4" a="1"/>
  <c r="U120" i="4"/>
  <c r="AF121" i="4"/>
  <c r="U121" i="4" a="1"/>
  <c r="U121" i="4"/>
  <c r="AF122" i="4"/>
  <c r="U122" i="4" a="1"/>
  <c r="U122" i="4"/>
  <c r="AF123" i="4"/>
  <c r="U123" i="4" a="1"/>
  <c r="U123" i="4"/>
  <c r="AF124" i="4"/>
  <c r="U124" i="4" a="1"/>
  <c r="U124" i="4"/>
  <c r="AF125" i="4"/>
  <c r="U125" i="4" a="1"/>
  <c r="U125" i="4"/>
  <c r="AF126" i="4"/>
  <c r="U126" i="4" a="1"/>
  <c r="U126" i="4"/>
  <c r="AF127" i="4"/>
  <c r="U127" i="4" a="1"/>
  <c r="U127" i="4"/>
  <c r="AF128" i="4"/>
  <c r="U128" i="4" a="1"/>
  <c r="U128" i="4"/>
  <c r="AF129" i="4"/>
  <c r="U129" i="4" a="1"/>
  <c r="U129" i="4"/>
  <c r="AF130" i="4"/>
  <c r="U130" i="4" a="1"/>
  <c r="U130" i="4"/>
  <c r="AF131" i="4"/>
  <c r="U131" i="4" a="1"/>
  <c r="U131" i="4"/>
  <c r="AF132" i="4"/>
  <c r="U132" i="4" a="1"/>
  <c r="U132" i="4"/>
  <c r="AF133" i="4"/>
  <c r="U133" i="4" a="1"/>
  <c r="U133" i="4"/>
  <c r="AF134" i="4"/>
  <c r="U134" i="4" a="1"/>
  <c r="U134" i="4"/>
  <c r="AF135" i="4"/>
  <c r="U135" i="4" a="1"/>
  <c r="U135" i="4"/>
  <c r="AF136" i="4"/>
  <c r="U136" i="4" a="1"/>
  <c r="U136" i="4"/>
  <c r="AF137" i="4"/>
  <c r="U137" i="4" a="1"/>
  <c r="U137" i="4"/>
  <c r="AF138" i="4"/>
  <c r="U138" i="4" a="1"/>
  <c r="U138" i="4"/>
  <c r="AF139" i="4"/>
  <c r="U139" i="4" a="1"/>
  <c r="U139" i="4"/>
  <c r="AF140" i="4"/>
  <c r="U140" i="4" a="1"/>
  <c r="U140" i="4"/>
  <c r="AF141" i="4"/>
  <c r="U141" i="4" a="1"/>
  <c r="U141" i="4"/>
  <c r="AF142" i="4"/>
  <c r="U142" i="4" a="1"/>
  <c r="U142" i="4"/>
  <c r="AF143" i="4"/>
  <c r="U143" i="4" a="1"/>
  <c r="U143" i="4"/>
  <c r="AF144" i="4"/>
  <c r="U144" i="4" a="1"/>
  <c r="U144" i="4"/>
  <c r="AF145" i="4"/>
  <c r="U145" i="4" a="1"/>
  <c r="U145" i="4"/>
  <c r="AF146" i="4"/>
  <c r="U146" i="4" a="1"/>
  <c r="U146" i="4"/>
  <c r="AF147" i="4"/>
  <c r="U147" i="4" a="1"/>
  <c r="U147" i="4"/>
  <c r="AF148" i="4"/>
  <c r="U148" i="4" a="1"/>
  <c r="U148" i="4"/>
  <c r="AF149" i="4"/>
  <c r="U149" i="4" a="1"/>
  <c r="U149" i="4"/>
  <c r="AF150" i="4"/>
  <c r="U150" i="4" a="1"/>
  <c r="U150" i="4"/>
  <c r="AF151" i="4"/>
  <c r="U151" i="4" a="1"/>
  <c r="U151" i="4"/>
  <c r="AF152" i="4"/>
  <c r="U152" i="4" a="1"/>
  <c r="U152" i="4"/>
  <c r="AF153" i="4"/>
  <c r="U153" i="4" a="1"/>
  <c r="U153" i="4"/>
  <c r="AF154" i="4"/>
  <c r="U154" i="4" a="1"/>
  <c r="U154" i="4"/>
  <c r="AF155" i="4"/>
  <c r="U155" i="4" a="1"/>
  <c r="U155" i="4"/>
  <c r="AF156" i="4"/>
  <c r="U156" i="4" a="1"/>
  <c r="U156" i="4"/>
  <c r="AF157" i="4"/>
  <c r="U157" i="4" a="1"/>
  <c r="U157" i="4"/>
  <c r="AF158" i="4"/>
  <c r="U158" i="4" a="1"/>
  <c r="U158" i="4"/>
  <c r="AF159" i="4"/>
  <c r="U159" i="4" a="1"/>
  <c r="U159" i="4"/>
  <c r="AF160" i="4"/>
  <c r="U160" i="4" a="1"/>
  <c r="U160" i="4"/>
  <c r="AF161" i="4"/>
  <c r="U161" i="4" a="1"/>
  <c r="U161" i="4"/>
  <c r="AF162" i="4"/>
  <c r="U162" i="4" a="1"/>
  <c r="U162" i="4"/>
  <c r="AF163" i="4"/>
  <c r="U163" i="4" a="1"/>
  <c r="U163" i="4"/>
  <c r="AF164" i="4"/>
  <c r="U164" i="4" a="1"/>
  <c r="U164" i="4"/>
  <c r="AF165" i="4"/>
  <c r="U165" i="4" a="1"/>
  <c r="U165" i="4"/>
  <c r="AF166" i="4"/>
  <c r="U166" i="4" a="1"/>
  <c r="U166" i="4"/>
  <c r="AF167" i="4"/>
  <c r="U167" i="4" a="1"/>
  <c r="U167" i="4"/>
  <c r="AF168" i="4"/>
  <c r="U168" i="4" a="1"/>
  <c r="U168" i="4"/>
  <c r="AF169" i="4"/>
  <c r="U169" i="4" a="1"/>
  <c r="U169" i="4"/>
  <c r="AF170" i="4"/>
  <c r="U170" i="4" a="1"/>
  <c r="U170" i="4"/>
  <c r="AF171" i="4"/>
  <c r="U171" i="4" a="1"/>
  <c r="U171" i="4"/>
  <c r="AF172" i="4"/>
  <c r="U172" i="4" a="1"/>
  <c r="U172" i="4"/>
  <c r="AF173" i="4"/>
  <c r="U173" i="4" a="1"/>
  <c r="U173" i="4"/>
  <c r="AF174" i="4"/>
  <c r="U174" i="4" a="1"/>
  <c r="U174" i="4"/>
  <c r="AF175" i="4"/>
  <c r="U175" i="4" a="1"/>
  <c r="U175" i="4"/>
  <c r="AF176" i="4"/>
  <c r="U176" i="4" a="1"/>
  <c r="U176" i="4"/>
  <c r="AF177" i="4"/>
  <c r="U177" i="4" a="1"/>
  <c r="U177" i="4"/>
  <c r="AF178" i="4"/>
  <c r="U178" i="4" a="1"/>
  <c r="U178" i="4"/>
  <c r="AF179" i="4"/>
  <c r="U179" i="4" a="1"/>
  <c r="U179" i="4"/>
  <c r="AF180" i="4"/>
  <c r="U180" i="4" a="1"/>
  <c r="U180" i="4"/>
  <c r="AF181" i="4"/>
  <c r="U181" i="4" a="1"/>
  <c r="U181" i="4"/>
  <c r="AF182" i="4"/>
  <c r="U182" i="4" a="1"/>
  <c r="U182" i="4"/>
  <c r="AF183" i="4"/>
  <c r="U183" i="4" a="1"/>
  <c r="U183" i="4"/>
  <c r="AF184" i="4"/>
  <c r="U184" i="4" a="1"/>
  <c r="U184" i="4"/>
  <c r="AF185" i="4"/>
  <c r="U185" i="4" a="1"/>
  <c r="U185" i="4"/>
  <c r="AF186" i="4"/>
  <c r="U186" i="4" a="1"/>
  <c r="U186" i="4"/>
  <c r="AF187" i="4"/>
  <c r="U187" i="4" a="1"/>
  <c r="U187" i="4"/>
  <c r="AF188" i="4"/>
  <c r="U188" i="4" a="1"/>
  <c r="U188" i="4"/>
  <c r="AF189" i="4"/>
  <c r="U189" i="4" a="1"/>
  <c r="U189" i="4"/>
  <c r="AF190" i="4"/>
  <c r="U190" i="4" a="1"/>
  <c r="U190" i="4"/>
  <c r="AF191" i="4"/>
  <c r="U191" i="4" a="1"/>
  <c r="U191" i="4"/>
  <c r="AF192" i="4"/>
  <c r="U192" i="4" a="1"/>
  <c r="U192" i="4"/>
  <c r="AF193" i="4"/>
  <c r="U193" i="4" a="1"/>
  <c r="U193" i="4"/>
  <c r="AF194" i="4"/>
  <c r="U194" i="4" a="1"/>
  <c r="U194" i="4"/>
  <c r="AF195" i="4"/>
  <c r="U195" i="4" a="1"/>
  <c r="U195" i="4"/>
  <c r="AF196" i="4"/>
  <c r="U196" i="4" a="1"/>
  <c r="U196" i="4"/>
  <c r="AF197" i="4"/>
  <c r="U197" i="4" a="1"/>
  <c r="U197" i="4"/>
  <c r="AF198" i="4"/>
  <c r="U198" i="4" a="1"/>
  <c r="U198" i="4"/>
  <c r="AF199" i="4"/>
  <c r="U199" i="4" a="1"/>
  <c r="U199" i="4"/>
  <c r="AF200" i="4"/>
  <c r="U200" i="4" a="1"/>
  <c r="U200" i="4"/>
  <c r="AF201" i="4"/>
  <c r="U201" i="4" a="1"/>
  <c r="U201" i="4"/>
  <c r="AF202" i="4"/>
  <c r="U202" i="4" a="1"/>
  <c r="U202" i="4"/>
  <c r="AF203" i="4"/>
  <c r="U203" i="4" a="1"/>
  <c r="U203" i="4"/>
  <c r="AF204" i="4"/>
  <c r="U204" i="4" a="1"/>
  <c r="U204" i="4"/>
  <c r="AF205" i="4"/>
  <c r="U205" i="4" a="1"/>
  <c r="U205" i="4"/>
  <c r="AF206" i="4"/>
  <c r="U206" i="4" a="1"/>
  <c r="U206" i="4"/>
  <c r="AF207" i="4"/>
  <c r="U207" i="4" a="1"/>
  <c r="U207" i="4"/>
  <c r="AF208" i="4"/>
  <c r="U208" i="4" a="1"/>
  <c r="U208" i="4"/>
  <c r="AF209" i="4"/>
  <c r="U209" i="4" a="1"/>
  <c r="U209" i="4"/>
  <c r="AF210" i="4"/>
  <c r="U210" i="4" a="1"/>
  <c r="U210" i="4"/>
  <c r="AF211" i="4"/>
  <c r="U211" i="4" a="1"/>
  <c r="U211" i="4"/>
  <c r="AF212" i="4"/>
  <c r="U212" i="4" a="1"/>
  <c r="U212" i="4"/>
  <c r="AF213" i="4"/>
  <c r="U213" i="4" a="1"/>
  <c r="U213" i="4"/>
  <c r="AF214" i="4"/>
  <c r="U214" i="4" a="1"/>
  <c r="U214" i="4"/>
  <c r="AF215" i="4"/>
  <c r="U215" i="4" a="1"/>
  <c r="U215" i="4"/>
  <c r="AF216" i="4"/>
  <c r="U216" i="4" a="1"/>
  <c r="U216" i="4"/>
  <c r="AF217" i="4"/>
  <c r="U217" i="4" a="1"/>
  <c r="U217" i="4"/>
  <c r="AF218" i="4"/>
  <c r="U218" i="4" a="1"/>
  <c r="U218" i="4"/>
  <c r="AF219" i="4"/>
  <c r="U219" i="4" a="1"/>
  <c r="U219" i="4"/>
  <c r="AF220" i="4"/>
  <c r="U220" i="4" a="1"/>
  <c r="U220" i="4"/>
  <c r="AF221" i="4"/>
  <c r="U221" i="4" a="1"/>
  <c r="U221" i="4"/>
  <c r="AF222" i="4"/>
  <c r="U222" i="4" a="1"/>
  <c r="U222" i="4"/>
  <c r="AF223" i="4"/>
  <c r="U223" i="4" a="1"/>
  <c r="U223" i="4"/>
  <c r="AF224" i="4"/>
  <c r="U224" i="4" a="1"/>
  <c r="U224" i="4"/>
  <c r="AF225" i="4"/>
  <c r="U225" i="4" a="1"/>
  <c r="U225" i="4"/>
  <c r="AF226" i="4"/>
  <c r="U226" i="4" a="1"/>
  <c r="U226" i="4"/>
  <c r="AF227" i="4"/>
  <c r="U227" i="4" a="1"/>
  <c r="U227" i="4"/>
  <c r="AF228" i="4"/>
  <c r="U228" i="4" a="1"/>
  <c r="U228" i="4"/>
  <c r="AF229" i="4"/>
  <c r="U229" i="4" a="1"/>
  <c r="U229" i="4"/>
  <c r="AF230" i="4"/>
  <c r="U230" i="4" a="1"/>
  <c r="U230" i="4"/>
  <c r="AF231" i="4"/>
  <c r="U231" i="4" a="1"/>
  <c r="U231" i="4"/>
  <c r="AF232" i="4"/>
  <c r="U232" i="4" a="1"/>
  <c r="U232" i="4"/>
  <c r="AF233" i="4"/>
  <c r="U233" i="4" a="1"/>
  <c r="U233" i="4"/>
  <c r="AF234" i="4"/>
  <c r="U234" i="4" a="1"/>
  <c r="U234" i="4"/>
  <c r="AF235" i="4"/>
  <c r="U235" i="4" a="1"/>
  <c r="U235" i="4"/>
  <c r="AF236" i="4"/>
  <c r="U236" i="4" a="1"/>
  <c r="U236" i="4"/>
  <c r="AF237" i="4"/>
  <c r="U237" i="4" a="1"/>
  <c r="U237" i="4"/>
  <c r="AF238" i="4"/>
  <c r="U238" i="4" a="1"/>
  <c r="U238" i="4"/>
  <c r="AF239" i="4"/>
  <c r="U239" i="4" a="1"/>
  <c r="U239" i="4"/>
  <c r="AF240" i="4"/>
  <c r="U240" i="4" a="1"/>
  <c r="U240" i="4"/>
  <c r="AF241" i="4"/>
  <c r="U241" i="4" a="1"/>
  <c r="U241" i="4"/>
  <c r="AF242" i="4"/>
  <c r="U242" i="4" a="1"/>
  <c r="U242" i="4"/>
  <c r="AF243" i="4"/>
  <c r="U243" i="4" a="1"/>
  <c r="U243" i="4"/>
  <c r="AF244" i="4"/>
  <c r="U244" i="4" a="1"/>
  <c r="U244" i="4"/>
  <c r="AF245" i="4"/>
  <c r="U245" i="4" a="1"/>
  <c r="U245" i="4"/>
  <c r="AF246" i="4"/>
  <c r="U246" i="4" a="1"/>
  <c r="U246" i="4"/>
  <c r="AF247" i="4"/>
  <c r="U247" i="4" a="1"/>
  <c r="U247" i="4"/>
  <c r="AF248" i="4"/>
  <c r="AF249" i="4"/>
  <c r="U249" i="4" a="1"/>
  <c r="U249" i="4"/>
  <c r="AF250" i="4"/>
  <c r="U250" i="4" a="1"/>
  <c r="U250" i="4"/>
  <c r="AF251" i="4"/>
  <c r="AF252" i="4"/>
  <c r="AF253" i="4"/>
  <c r="U253" i="4" a="1"/>
  <c r="U253" i="4"/>
  <c r="AF254" i="4"/>
  <c r="U254" i="4" a="1"/>
  <c r="U254" i="4"/>
  <c r="AF255" i="4"/>
  <c r="U255" i="4" a="1"/>
  <c r="U255" i="4"/>
  <c r="AF256" i="4"/>
  <c r="U256" i="4" a="1"/>
  <c r="U256" i="4"/>
  <c r="AF257" i="4"/>
  <c r="U257" i="4" a="1"/>
  <c r="U257" i="4"/>
  <c r="AF258" i="4"/>
  <c r="U258" i="4" a="1"/>
  <c r="U258" i="4"/>
  <c r="AF259" i="4"/>
  <c r="U259" i="4" a="1"/>
  <c r="U259" i="4"/>
  <c r="AF260" i="4"/>
  <c r="U260" i="4" a="1"/>
  <c r="U260" i="4"/>
  <c r="AF261" i="4"/>
  <c r="U261" i="4" a="1"/>
  <c r="U261" i="4"/>
  <c r="AF262" i="4"/>
  <c r="U262" i="4" a="1"/>
  <c r="U262" i="4"/>
  <c r="AF263" i="4"/>
  <c r="U263" i="4" a="1"/>
  <c r="U263" i="4"/>
  <c r="AF264" i="4"/>
  <c r="U264" i="4" a="1"/>
  <c r="U264" i="4"/>
  <c r="AF265" i="4"/>
  <c r="U265" i="4" a="1"/>
  <c r="U265" i="4"/>
  <c r="AF266" i="4"/>
  <c r="U266" i="4" a="1"/>
  <c r="U266" i="4"/>
  <c r="AF267" i="4"/>
  <c r="U267" i="4" a="1"/>
  <c r="U267" i="4"/>
  <c r="AF268" i="4"/>
  <c r="U268" i="4" a="1"/>
  <c r="U268" i="4"/>
  <c r="AF269" i="4"/>
  <c r="U269" i="4" a="1"/>
  <c r="U269" i="4"/>
  <c r="AF270" i="4"/>
  <c r="U270" i="4" a="1"/>
  <c r="U270" i="4"/>
  <c r="AF271" i="4"/>
  <c r="U271" i="4" a="1"/>
  <c r="U271" i="4"/>
  <c r="AF272" i="4"/>
  <c r="U272" i="4" a="1"/>
  <c r="U272" i="4"/>
  <c r="AF273" i="4"/>
  <c r="U273" i="4" a="1"/>
  <c r="U273" i="4"/>
  <c r="AF274" i="4"/>
  <c r="U274" i="4" a="1"/>
  <c r="U274" i="4"/>
  <c r="AF275" i="4"/>
  <c r="U275" i="4" a="1"/>
  <c r="U275" i="4"/>
  <c r="AF276" i="4"/>
  <c r="U276" i="4" a="1"/>
  <c r="U276" i="4"/>
  <c r="AF277" i="4"/>
  <c r="U277" i="4" a="1"/>
  <c r="U277" i="4"/>
  <c r="AF278" i="4"/>
  <c r="U278" i="4" a="1"/>
  <c r="U278" i="4"/>
  <c r="AF279" i="4"/>
  <c r="U279" i="4" a="1"/>
  <c r="U279" i="4"/>
  <c r="AF280" i="4"/>
  <c r="U280" i="4" a="1"/>
  <c r="U280" i="4"/>
  <c r="AF281" i="4"/>
  <c r="U281" i="4" a="1"/>
  <c r="U281" i="4"/>
  <c r="AF282" i="4"/>
  <c r="U282" i="4" a="1"/>
  <c r="U282" i="4"/>
  <c r="AF283" i="4"/>
  <c r="U283" i="4" a="1"/>
  <c r="U283" i="4"/>
  <c r="AF284" i="4"/>
  <c r="U284" i="4" a="1"/>
  <c r="U284" i="4"/>
  <c r="AF285" i="4"/>
  <c r="U285" i="4" a="1"/>
  <c r="U285" i="4"/>
  <c r="AF286" i="4"/>
  <c r="U286" i="4" a="1"/>
  <c r="U286" i="4"/>
  <c r="AF287" i="4"/>
  <c r="U287" i="4" a="1"/>
  <c r="U287" i="4"/>
  <c r="AF288" i="4"/>
  <c r="U288" i="4" a="1"/>
  <c r="U288" i="4"/>
  <c r="AF289" i="4"/>
  <c r="U289" i="4" a="1"/>
  <c r="U289" i="4"/>
  <c r="AF290" i="4"/>
  <c r="U290" i="4" a="1"/>
  <c r="U290" i="4"/>
  <c r="AF291" i="4"/>
  <c r="U291" i="4" a="1"/>
  <c r="U291" i="4"/>
  <c r="AF292" i="4"/>
  <c r="U292" i="4" a="1"/>
  <c r="U292" i="4"/>
  <c r="AF293" i="4"/>
  <c r="U293" i="4" a="1"/>
  <c r="U293" i="4"/>
  <c r="AF294" i="4"/>
  <c r="U294" i="4" a="1"/>
  <c r="U294" i="4"/>
  <c r="AF295" i="4"/>
  <c r="U295" i="4" a="1"/>
  <c r="U295" i="4"/>
  <c r="AF3" i="4"/>
  <c r="U3" i="4" a="1"/>
  <c r="U3" i="4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33" i="3"/>
  <c r="G34" i="3"/>
  <c r="G35" i="3"/>
  <c r="G24" i="3"/>
  <c r="G25" i="3"/>
  <c r="G26" i="3"/>
  <c r="G27" i="3"/>
  <c r="G28" i="3"/>
  <c r="G29" i="3"/>
  <c r="G30" i="3"/>
  <c r="G31" i="3"/>
  <c r="T38" i="4" a="1"/>
  <c r="T38" i="4"/>
  <c r="T39" i="4" a="1"/>
  <c r="T39" i="4"/>
  <c r="T40" i="4" a="1"/>
  <c r="T40" i="4"/>
  <c r="T41" i="4" a="1"/>
  <c r="T41" i="4"/>
  <c r="T42" i="4" a="1"/>
  <c r="T42" i="4"/>
  <c r="T43" i="4" a="1"/>
  <c r="T43" i="4"/>
  <c r="T44" i="4" a="1"/>
  <c r="T44" i="4"/>
  <c r="T45" i="4" a="1"/>
  <c r="T45" i="4"/>
  <c r="T46" i="4" a="1"/>
  <c r="T46" i="4"/>
  <c r="T47" i="4" a="1"/>
  <c r="T47" i="4"/>
  <c r="T48" i="4" a="1"/>
  <c r="T48" i="4"/>
  <c r="T49" i="4" a="1"/>
  <c r="T49" i="4"/>
  <c r="T50" i="4" a="1"/>
  <c r="T50" i="4"/>
  <c r="T51" i="4" a="1"/>
  <c r="T51" i="4"/>
  <c r="T52" i="4" a="1"/>
  <c r="T52" i="4"/>
  <c r="T53" i="4" a="1"/>
  <c r="T53" i="4"/>
  <c r="T54" i="4" a="1"/>
  <c r="T54" i="4"/>
  <c r="T55" i="4" a="1"/>
  <c r="T55" i="4"/>
  <c r="T56" i="4" a="1"/>
  <c r="T56" i="4"/>
  <c r="T57" i="4" a="1"/>
  <c r="T57" i="4"/>
  <c r="T58" i="4" a="1"/>
  <c r="T58" i="4"/>
  <c r="T59" i="4" a="1"/>
  <c r="T59" i="4"/>
  <c r="T60" i="4" a="1"/>
  <c r="T60" i="4"/>
  <c r="T61" i="4" a="1"/>
  <c r="T61" i="4"/>
  <c r="T62" i="4" a="1"/>
  <c r="T62" i="4"/>
  <c r="T63" i="4" a="1"/>
  <c r="T63" i="4"/>
  <c r="T64" i="4" a="1"/>
  <c r="T64" i="4"/>
  <c r="T65" i="4" a="1"/>
  <c r="T65" i="4"/>
  <c r="T66" i="4" a="1"/>
  <c r="T66" i="4"/>
  <c r="T67" i="4" a="1"/>
  <c r="T67" i="4"/>
  <c r="T68" i="4" a="1"/>
  <c r="T68" i="4"/>
  <c r="T69" i="4" a="1"/>
  <c r="T69" i="4"/>
  <c r="T70" i="4" a="1"/>
  <c r="T70" i="4"/>
  <c r="T71" i="4" a="1"/>
  <c r="T71" i="4"/>
  <c r="T72" i="4" a="1"/>
  <c r="T72" i="4"/>
  <c r="T73" i="4" a="1"/>
  <c r="T73" i="4"/>
  <c r="T75" i="4" a="1"/>
  <c r="T75" i="4"/>
  <c r="T76" i="4" a="1"/>
  <c r="T76" i="4"/>
  <c r="T77" i="4" a="1"/>
  <c r="T77" i="4"/>
  <c r="T78" i="4" a="1"/>
  <c r="T78" i="4"/>
  <c r="T79" i="4" a="1"/>
  <c r="T79" i="4"/>
  <c r="T80" i="4" a="1"/>
  <c r="T80" i="4"/>
  <c r="T81" i="4" a="1"/>
  <c r="T81" i="4"/>
  <c r="T82" i="4" a="1"/>
  <c r="T82" i="4"/>
  <c r="T83" i="4" a="1"/>
  <c r="T83" i="4"/>
  <c r="T84" i="4" a="1"/>
  <c r="T84" i="4"/>
  <c r="T85" i="4" a="1"/>
  <c r="T85" i="4"/>
  <c r="T86" i="4" a="1"/>
  <c r="T86" i="4"/>
  <c r="T87" i="4" a="1"/>
  <c r="T87" i="4"/>
  <c r="T88" i="4" a="1"/>
  <c r="T88" i="4"/>
  <c r="T89" i="4" a="1"/>
  <c r="T89" i="4"/>
  <c r="T90" i="4" a="1"/>
  <c r="T90" i="4"/>
  <c r="T91" i="4" a="1"/>
  <c r="T91" i="4"/>
  <c r="T92" i="4" a="1"/>
  <c r="T92" i="4"/>
  <c r="T93" i="4" a="1"/>
  <c r="T93" i="4"/>
  <c r="T94" i="4" a="1"/>
  <c r="T94" i="4"/>
  <c r="T95" i="4" a="1"/>
  <c r="T95" i="4"/>
  <c r="T96" i="4" a="1"/>
  <c r="T96" i="4"/>
  <c r="T97" i="4" a="1"/>
  <c r="T97" i="4"/>
  <c r="T98" i="4" a="1"/>
  <c r="T98" i="4"/>
  <c r="T99" i="4" a="1"/>
  <c r="T99" i="4"/>
  <c r="T100" i="4" a="1"/>
  <c r="T100" i="4"/>
  <c r="T101" i="4" a="1"/>
  <c r="T101" i="4"/>
  <c r="T102" i="4" a="1"/>
  <c r="T102" i="4"/>
  <c r="T103" i="4" a="1"/>
  <c r="T103" i="4"/>
  <c r="T104" i="4" a="1"/>
  <c r="T104" i="4"/>
  <c r="T105" i="4" a="1"/>
  <c r="T105" i="4"/>
  <c r="T106" i="4" a="1"/>
  <c r="T106" i="4"/>
  <c r="T107" i="4" a="1"/>
  <c r="T107" i="4"/>
  <c r="T108" i="4" a="1"/>
  <c r="T108" i="4"/>
  <c r="T109" i="4" a="1"/>
  <c r="T109" i="4"/>
  <c r="T110" i="4" a="1"/>
  <c r="T110" i="4"/>
  <c r="T111" i="4" a="1"/>
  <c r="T111" i="4"/>
  <c r="T112" i="4" a="1"/>
  <c r="T112" i="4"/>
  <c r="T113" i="4" a="1"/>
  <c r="T113" i="4"/>
  <c r="T114" i="4" a="1"/>
  <c r="T114" i="4"/>
  <c r="T115" i="4" a="1"/>
  <c r="T115" i="4"/>
  <c r="T116" i="4" a="1"/>
  <c r="T116" i="4"/>
  <c r="T117" i="4" a="1"/>
  <c r="T117" i="4"/>
  <c r="T118" i="4" a="1"/>
  <c r="T118" i="4"/>
  <c r="T119" i="4" a="1"/>
  <c r="T119" i="4"/>
  <c r="T120" i="4" a="1"/>
  <c r="T120" i="4"/>
  <c r="T121" i="4" a="1"/>
  <c r="T121" i="4"/>
  <c r="T122" i="4" a="1"/>
  <c r="T122" i="4"/>
  <c r="T123" i="4" a="1"/>
  <c r="T123" i="4"/>
  <c r="T124" i="4" a="1"/>
  <c r="T124" i="4"/>
  <c r="T125" i="4" a="1"/>
  <c r="T125" i="4"/>
  <c r="T126" i="4" a="1"/>
  <c r="T126" i="4"/>
  <c r="T127" i="4" a="1"/>
  <c r="T127" i="4"/>
  <c r="T128" i="4" a="1"/>
  <c r="T128" i="4"/>
  <c r="T129" i="4" a="1"/>
  <c r="T129" i="4"/>
  <c r="T130" i="4" a="1"/>
  <c r="T130" i="4"/>
  <c r="T131" i="4" a="1"/>
  <c r="T131" i="4"/>
  <c r="T132" i="4" a="1"/>
  <c r="T132" i="4"/>
  <c r="T133" i="4" a="1"/>
  <c r="T133" i="4"/>
  <c r="T134" i="4" a="1"/>
  <c r="T134" i="4"/>
  <c r="T135" i="4" a="1"/>
  <c r="T135" i="4"/>
  <c r="T136" i="4" a="1"/>
  <c r="T136" i="4"/>
  <c r="T137" i="4" a="1"/>
  <c r="T137" i="4"/>
  <c r="T138" i="4" a="1"/>
  <c r="T138" i="4"/>
  <c r="T139" i="4" a="1"/>
  <c r="T139" i="4"/>
  <c r="T140" i="4" a="1"/>
  <c r="T140" i="4"/>
  <c r="T141" i="4" a="1"/>
  <c r="T141" i="4"/>
  <c r="T142" i="4" a="1"/>
  <c r="T142" i="4"/>
  <c r="T143" i="4" a="1"/>
  <c r="T143" i="4"/>
  <c r="T144" i="4" a="1"/>
  <c r="T144" i="4"/>
  <c r="T145" i="4" a="1"/>
  <c r="T145" i="4"/>
  <c r="T146" i="4" a="1"/>
  <c r="T146" i="4"/>
  <c r="T147" i="4" a="1"/>
  <c r="T147" i="4"/>
  <c r="T148" i="4" a="1"/>
  <c r="T148" i="4"/>
  <c r="T149" i="4" a="1"/>
  <c r="T149" i="4"/>
  <c r="T150" i="4" a="1"/>
  <c r="T150" i="4"/>
  <c r="T151" i="4" a="1"/>
  <c r="T151" i="4"/>
  <c r="T152" i="4" a="1"/>
  <c r="T152" i="4"/>
  <c r="T153" i="4" a="1"/>
  <c r="T153" i="4"/>
  <c r="T154" i="4" a="1"/>
  <c r="T154" i="4"/>
  <c r="T155" i="4" a="1"/>
  <c r="T155" i="4"/>
  <c r="T156" i="4" a="1"/>
  <c r="T156" i="4"/>
  <c r="T157" i="4" a="1"/>
  <c r="T157" i="4"/>
  <c r="T158" i="4" a="1"/>
  <c r="T158" i="4"/>
  <c r="T159" i="4" a="1"/>
  <c r="T159" i="4"/>
  <c r="T160" i="4" a="1"/>
  <c r="T160" i="4"/>
  <c r="T161" i="4" a="1"/>
  <c r="T161" i="4"/>
  <c r="T162" i="4" a="1"/>
  <c r="T162" i="4"/>
  <c r="T163" i="4" a="1"/>
  <c r="T163" i="4"/>
  <c r="T164" i="4" a="1"/>
  <c r="T164" i="4"/>
  <c r="T165" i="4" a="1"/>
  <c r="T165" i="4"/>
  <c r="T166" i="4" a="1"/>
  <c r="T166" i="4"/>
  <c r="T167" i="4" a="1"/>
  <c r="T167" i="4"/>
  <c r="T168" i="4" a="1"/>
  <c r="T168" i="4"/>
  <c r="T169" i="4" a="1"/>
  <c r="T169" i="4"/>
  <c r="T170" i="4" a="1"/>
  <c r="T170" i="4"/>
  <c r="T171" i="4" a="1"/>
  <c r="T171" i="4"/>
  <c r="T172" i="4" a="1"/>
  <c r="T172" i="4"/>
  <c r="T173" i="4" a="1"/>
  <c r="T173" i="4"/>
  <c r="T174" i="4" a="1"/>
  <c r="T174" i="4"/>
  <c r="T175" i="4" a="1"/>
  <c r="T175" i="4"/>
  <c r="T176" i="4" a="1"/>
  <c r="T176" i="4"/>
  <c r="T177" i="4" a="1"/>
  <c r="T177" i="4"/>
  <c r="T178" i="4" a="1"/>
  <c r="T178" i="4"/>
  <c r="T179" i="4" a="1"/>
  <c r="T179" i="4"/>
  <c r="T180" i="4" a="1"/>
  <c r="T180" i="4"/>
  <c r="T181" i="4" a="1"/>
  <c r="T181" i="4"/>
  <c r="T182" i="4" a="1"/>
  <c r="T182" i="4"/>
  <c r="T183" i="4" a="1"/>
  <c r="T183" i="4"/>
  <c r="T184" i="4" a="1"/>
  <c r="T184" i="4"/>
  <c r="T185" i="4" a="1"/>
  <c r="T185" i="4"/>
  <c r="T186" i="4" a="1"/>
  <c r="T186" i="4"/>
  <c r="T187" i="4" a="1"/>
  <c r="T187" i="4"/>
  <c r="T188" i="4" a="1"/>
  <c r="T188" i="4"/>
  <c r="T189" i="4" a="1"/>
  <c r="T189" i="4"/>
  <c r="T190" i="4" a="1"/>
  <c r="T190" i="4"/>
  <c r="T191" i="4" a="1"/>
  <c r="T191" i="4"/>
  <c r="T192" i="4" a="1"/>
  <c r="T192" i="4"/>
  <c r="T193" i="4" a="1"/>
  <c r="T193" i="4"/>
  <c r="T194" i="4" a="1"/>
  <c r="T194" i="4"/>
  <c r="T195" i="4" a="1"/>
  <c r="T195" i="4"/>
  <c r="T196" i="4" a="1"/>
  <c r="T196" i="4"/>
  <c r="T197" i="4" a="1"/>
  <c r="T197" i="4"/>
  <c r="T198" i="4" a="1"/>
  <c r="T198" i="4"/>
  <c r="T199" i="4" a="1"/>
  <c r="T199" i="4"/>
  <c r="T200" i="4" a="1"/>
  <c r="T200" i="4"/>
  <c r="T201" i="4" a="1"/>
  <c r="T201" i="4"/>
  <c r="T202" i="4" a="1"/>
  <c r="T202" i="4"/>
  <c r="T203" i="4" a="1"/>
  <c r="T203" i="4"/>
  <c r="T204" i="4" a="1"/>
  <c r="T204" i="4"/>
  <c r="T205" i="4" a="1"/>
  <c r="T205" i="4"/>
  <c r="T206" i="4" a="1"/>
  <c r="T206" i="4"/>
  <c r="T207" i="4" a="1"/>
  <c r="T207" i="4"/>
  <c r="T208" i="4" a="1"/>
  <c r="T208" i="4"/>
  <c r="T209" i="4" a="1"/>
  <c r="T209" i="4"/>
  <c r="T210" i="4" a="1"/>
  <c r="T210" i="4"/>
  <c r="T211" i="4" a="1"/>
  <c r="T211" i="4"/>
  <c r="T212" i="4" a="1"/>
  <c r="T212" i="4"/>
  <c r="T213" i="4" a="1"/>
  <c r="T213" i="4"/>
  <c r="T214" i="4" a="1"/>
  <c r="T214" i="4"/>
  <c r="T215" i="4" a="1"/>
  <c r="T215" i="4"/>
  <c r="T216" i="4" a="1"/>
  <c r="T216" i="4"/>
  <c r="T217" i="4" a="1"/>
  <c r="T217" i="4"/>
  <c r="T218" i="4" a="1"/>
  <c r="T218" i="4"/>
  <c r="T219" i="4" a="1"/>
  <c r="T219" i="4"/>
  <c r="T220" i="4" a="1"/>
  <c r="T220" i="4"/>
  <c r="T221" i="4" a="1"/>
  <c r="T221" i="4"/>
  <c r="T222" i="4" a="1"/>
  <c r="T222" i="4"/>
  <c r="T223" i="4" a="1"/>
  <c r="T223" i="4"/>
  <c r="T224" i="4" a="1"/>
  <c r="T224" i="4"/>
  <c r="T225" i="4" a="1"/>
  <c r="T225" i="4"/>
  <c r="T226" i="4" a="1"/>
  <c r="T226" i="4"/>
  <c r="T227" i="4" a="1"/>
  <c r="T227" i="4"/>
  <c r="T228" i="4" a="1"/>
  <c r="T228" i="4"/>
  <c r="T229" i="4" a="1"/>
  <c r="T229" i="4"/>
  <c r="T230" i="4" a="1"/>
  <c r="T230" i="4"/>
  <c r="T231" i="4" a="1"/>
  <c r="T231" i="4"/>
  <c r="T232" i="4" a="1"/>
  <c r="T232" i="4"/>
  <c r="T233" i="4" a="1"/>
  <c r="T233" i="4"/>
  <c r="T234" i="4" a="1"/>
  <c r="T234" i="4"/>
  <c r="T235" i="4" a="1"/>
  <c r="T235" i="4"/>
  <c r="T236" i="4" a="1"/>
  <c r="T236" i="4"/>
  <c r="T237" i="4" a="1"/>
  <c r="T237" i="4"/>
  <c r="T238" i="4" a="1"/>
  <c r="T238" i="4"/>
  <c r="T239" i="4" a="1"/>
  <c r="T239" i="4"/>
  <c r="T240" i="4" a="1"/>
  <c r="T240" i="4"/>
  <c r="T241" i="4" a="1"/>
  <c r="T241" i="4"/>
  <c r="T242" i="4" a="1"/>
  <c r="T242" i="4"/>
  <c r="T243" i="4" a="1"/>
  <c r="T243" i="4"/>
  <c r="T244" i="4" a="1"/>
  <c r="T244" i="4"/>
  <c r="T245" i="4" a="1"/>
  <c r="T245" i="4"/>
  <c r="T246" i="4" a="1"/>
  <c r="T246" i="4"/>
  <c r="T247" i="4" a="1"/>
  <c r="T247" i="4"/>
  <c r="T248" i="4" a="1"/>
  <c r="T248" i="4"/>
  <c r="T249" i="4" a="1"/>
  <c r="T249" i="4"/>
  <c r="T250" i="4" a="1"/>
  <c r="T250" i="4"/>
  <c r="T251" i="4" a="1"/>
  <c r="T251" i="4"/>
  <c r="T252" i="4" a="1"/>
  <c r="T252" i="4"/>
  <c r="T253" i="4" a="1"/>
  <c r="T253" i="4"/>
  <c r="T254" i="4" a="1"/>
  <c r="T254" i="4"/>
  <c r="T255" i="4" a="1"/>
  <c r="T255" i="4"/>
  <c r="T256" i="4" a="1"/>
  <c r="T256" i="4"/>
  <c r="T257" i="4" a="1"/>
  <c r="T257" i="4"/>
  <c r="T258" i="4" a="1"/>
  <c r="T258" i="4"/>
  <c r="T259" i="4" a="1"/>
  <c r="T259" i="4"/>
  <c r="T260" i="4" a="1"/>
  <c r="T260" i="4"/>
  <c r="T261" i="4" a="1"/>
  <c r="T261" i="4"/>
  <c r="T262" i="4" a="1"/>
  <c r="T262" i="4"/>
  <c r="T263" i="4" a="1"/>
  <c r="T263" i="4"/>
  <c r="T264" i="4" a="1"/>
  <c r="T264" i="4"/>
  <c r="T265" i="4" a="1"/>
  <c r="T265" i="4"/>
  <c r="T266" i="4" a="1"/>
  <c r="T266" i="4"/>
  <c r="T267" i="4" a="1"/>
  <c r="T267" i="4"/>
  <c r="T268" i="4" a="1"/>
  <c r="T268" i="4"/>
  <c r="T269" i="4" a="1"/>
  <c r="T269" i="4"/>
  <c r="T270" i="4" a="1"/>
  <c r="T270" i="4"/>
  <c r="T271" i="4" a="1"/>
  <c r="T271" i="4"/>
  <c r="T272" i="4" a="1"/>
  <c r="T272" i="4"/>
  <c r="T273" i="4" a="1"/>
  <c r="T273" i="4"/>
  <c r="T274" i="4" a="1"/>
  <c r="T274" i="4"/>
  <c r="T275" i="4" a="1"/>
  <c r="T275" i="4"/>
  <c r="T276" i="4" a="1"/>
  <c r="T276" i="4"/>
  <c r="T277" i="4" a="1"/>
  <c r="T277" i="4"/>
  <c r="T278" i="4" a="1"/>
  <c r="T278" i="4"/>
  <c r="T279" i="4" a="1"/>
  <c r="T279" i="4"/>
  <c r="T280" i="4" a="1"/>
  <c r="T280" i="4"/>
  <c r="T281" i="4" a="1"/>
  <c r="T281" i="4"/>
  <c r="T282" i="4" a="1"/>
  <c r="T282" i="4"/>
  <c r="T283" i="4" a="1"/>
  <c r="T283" i="4"/>
  <c r="T284" i="4" a="1"/>
  <c r="T284" i="4"/>
  <c r="T285" i="4" a="1"/>
  <c r="T285" i="4"/>
  <c r="T286" i="4" a="1"/>
  <c r="T286" i="4"/>
  <c r="T287" i="4" a="1"/>
  <c r="T287" i="4"/>
  <c r="T288" i="4" a="1"/>
  <c r="T288" i="4"/>
  <c r="T289" i="4" a="1"/>
  <c r="T289" i="4"/>
  <c r="T290" i="4" a="1"/>
  <c r="T290" i="4"/>
  <c r="T291" i="4" a="1"/>
  <c r="T291" i="4"/>
  <c r="T292" i="4" a="1"/>
  <c r="T292" i="4"/>
  <c r="T293" i="4" a="1"/>
  <c r="T293" i="4"/>
  <c r="T294" i="4" a="1"/>
  <c r="T294" i="4"/>
  <c r="T295" i="4" a="1"/>
  <c r="T295" i="4"/>
  <c r="T4" i="4" a="1"/>
  <c r="T4" i="4"/>
  <c r="T5" i="4" a="1"/>
  <c r="T5" i="4"/>
  <c r="T6" i="4" a="1"/>
  <c r="T6" i="4"/>
  <c r="T7" i="4" a="1"/>
  <c r="T7" i="4"/>
  <c r="T8" i="4" a="1"/>
  <c r="T8" i="4"/>
  <c r="T9" i="4" a="1"/>
  <c r="T9" i="4"/>
  <c r="T10" i="4" a="1"/>
  <c r="T10" i="4"/>
  <c r="T11" i="4" a="1"/>
  <c r="T11" i="4"/>
  <c r="T12" i="4" a="1"/>
  <c r="T12" i="4"/>
  <c r="T13" i="4" a="1"/>
  <c r="T13" i="4"/>
  <c r="T14" i="4" a="1"/>
  <c r="T14" i="4"/>
  <c r="T15" i="4" a="1"/>
  <c r="T15" i="4"/>
  <c r="T16" i="4" a="1"/>
  <c r="T16" i="4"/>
  <c r="T17" i="4" a="1"/>
  <c r="T17" i="4"/>
  <c r="T18" i="4" a="1"/>
  <c r="T18" i="4"/>
  <c r="T19" i="4" a="1"/>
  <c r="T19" i="4"/>
  <c r="T20" i="4" a="1"/>
  <c r="T20" i="4"/>
  <c r="T21" i="4" a="1"/>
  <c r="T21" i="4"/>
  <c r="T22" i="4" a="1"/>
  <c r="T22" i="4"/>
  <c r="T23" i="4" a="1"/>
  <c r="T23" i="4"/>
  <c r="T24" i="4" a="1"/>
  <c r="T24" i="4"/>
  <c r="T25" i="4" a="1"/>
  <c r="T25" i="4"/>
  <c r="T26" i="4" a="1"/>
  <c r="T26" i="4"/>
  <c r="T27" i="4" a="1"/>
  <c r="T27" i="4"/>
  <c r="T28" i="4" a="1"/>
  <c r="T28" i="4"/>
  <c r="T29" i="4" a="1"/>
  <c r="T29" i="4"/>
  <c r="T30" i="4" a="1"/>
  <c r="T30" i="4"/>
  <c r="T31" i="4" a="1"/>
  <c r="T31" i="4"/>
  <c r="T32" i="4" a="1"/>
  <c r="T32" i="4"/>
  <c r="T33" i="4" a="1"/>
  <c r="T33" i="4"/>
  <c r="T34" i="4" a="1"/>
  <c r="T34" i="4"/>
  <c r="T35" i="4" a="1"/>
  <c r="T35" i="4"/>
  <c r="T36" i="4" a="1"/>
  <c r="T36" i="4"/>
  <c r="T37" i="4" a="1"/>
  <c r="T37" i="4"/>
  <c r="T3" i="4" a="1"/>
  <c r="T3" i="4"/>
  <c r="B18" i="3"/>
  <c r="C18" i="3"/>
  <c r="S36" i="2"/>
  <c r="B148" i="4"/>
  <c r="S148" i="4"/>
  <c r="AA180" i="5"/>
  <c r="AD180" i="5"/>
  <c r="AC180" i="5"/>
  <c r="E18" i="3"/>
  <c r="AZ104" i="1"/>
  <c r="L29" i="2"/>
  <c r="B248" i="4"/>
  <c r="L248" i="4"/>
  <c r="Q306" i="5"/>
  <c r="M29" i="2"/>
  <c r="L36" i="2"/>
  <c r="L148" i="4"/>
  <c r="Q180" i="5"/>
  <c r="M36" i="2"/>
  <c r="M148" i="4"/>
  <c r="R180" i="5"/>
  <c r="H29" i="2"/>
  <c r="H36" i="2"/>
  <c r="H148" i="4"/>
  <c r="K180" i="5"/>
  <c r="D29" i="2"/>
  <c r="D36" i="2"/>
  <c r="D148" i="4"/>
  <c r="E180" i="5"/>
  <c r="C36" i="2"/>
  <c r="E36" i="2"/>
  <c r="F36" i="2"/>
  <c r="G36" i="2"/>
  <c r="I36" i="2"/>
  <c r="J36" i="2"/>
  <c r="K36" i="2"/>
  <c r="N36" i="2"/>
  <c r="T180" i="5"/>
  <c r="O36" i="2"/>
  <c r="P36" i="2"/>
  <c r="P148" i="4"/>
  <c r="W180" i="5"/>
  <c r="Q36" i="2"/>
  <c r="R36" i="2"/>
  <c r="T36" i="2"/>
  <c r="AA36" i="2"/>
  <c r="F180" i="5"/>
  <c r="AB36" i="2"/>
  <c r="I180" i="5"/>
  <c r="AC36" i="2"/>
  <c r="AD36" i="2"/>
  <c r="L180" i="5"/>
  <c r="AE36" i="2"/>
  <c r="AF36" i="2"/>
  <c r="AG36" i="2"/>
  <c r="AH36" i="2"/>
  <c r="N180" i="5"/>
  <c r="O180" i="5"/>
  <c r="AI36" i="2"/>
  <c r="AJ36" i="2"/>
  <c r="AZ101" i="1"/>
  <c r="AZ102" i="1"/>
  <c r="AZ103" i="1"/>
  <c r="AZ105" i="1"/>
  <c r="S23" i="2"/>
  <c r="B227" i="4"/>
  <c r="S227" i="4"/>
  <c r="S24" i="2"/>
  <c r="B244" i="4"/>
  <c r="S244" i="4"/>
  <c r="Z379" i="5"/>
  <c r="X379" i="5"/>
  <c r="Z391" i="5"/>
  <c r="X391" i="5"/>
  <c r="Z385" i="5"/>
  <c r="X385" i="5"/>
  <c r="T4" i="2"/>
  <c r="B298" i="4"/>
  <c r="T298" i="4"/>
  <c r="AC156" i="5"/>
  <c r="U4" i="2"/>
  <c r="U298" i="4"/>
  <c r="AD156" i="5"/>
  <c r="V4" i="2"/>
  <c r="V298" i="4"/>
  <c r="AF156" i="5"/>
  <c r="Z41" i="5"/>
  <c r="Z298" i="5"/>
  <c r="Z325" i="5"/>
  <c r="Z324" i="5"/>
  <c r="Z177" i="5"/>
  <c r="Z377" i="5"/>
  <c r="Z354" i="5"/>
  <c r="Z48" i="5"/>
  <c r="Z185" i="5"/>
  <c r="Z176" i="5"/>
  <c r="Z353" i="5"/>
  <c r="Z366" i="5"/>
  <c r="Z277" i="5"/>
  <c r="Z38" i="5"/>
  <c r="Z37" i="5"/>
  <c r="Z104" i="5"/>
  <c r="Z352" i="5"/>
  <c r="Z297" i="5"/>
  <c r="Z376" i="5"/>
  <c r="Z351" i="5"/>
  <c r="Z350" i="5"/>
  <c r="Z50" i="5"/>
  <c r="Z375" i="5"/>
  <c r="Z374" i="5"/>
  <c r="Z36" i="5"/>
  <c r="Z349" i="5"/>
  <c r="Z175" i="5"/>
  <c r="Z184" i="5"/>
  <c r="Z28" i="5"/>
  <c r="Z35" i="5"/>
  <c r="Z348" i="5"/>
  <c r="Z365" i="5"/>
  <c r="Z103" i="5"/>
  <c r="Z27" i="5"/>
  <c r="Z347" i="5"/>
  <c r="Z266" i="5"/>
  <c r="Z255" i="5"/>
  <c r="Z21" i="5"/>
  <c r="Z406" i="5"/>
  <c r="Z364" i="5"/>
  <c r="Z346" i="5"/>
  <c r="Z20" i="5"/>
  <c r="Z65" i="5"/>
  <c r="Z26" i="5"/>
  <c r="Z225" i="5"/>
  <c r="Z123" i="5"/>
  <c r="Z363" i="5"/>
  <c r="Z373" i="5"/>
  <c r="Z345" i="5"/>
  <c r="Z265" i="5"/>
  <c r="Z122" i="5"/>
  <c r="Z168" i="5"/>
  <c r="Z167" i="5"/>
  <c r="Z166" i="5"/>
  <c r="Z19" i="5"/>
  <c r="Z43" i="5"/>
  <c r="Z344" i="5"/>
  <c r="Z64" i="5"/>
  <c r="Z343" i="5"/>
  <c r="Z342" i="5"/>
  <c r="Z323" i="5"/>
  <c r="Z18" i="5"/>
  <c r="Z121" i="5"/>
  <c r="Z40" i="5"/>
  <c r="Z276" i="5"/>
  <c r="Z102" i="5"/>
  <c r="Z322" i="5"/>
  <c r="Z224" i="5"/>
  <c r="Z120" i="5"/>
  <c r="Z101" i="5"/>
  <c r="Z63" i="5"/>
  <c r="Z341" i="5"/>
  <c r="Z296" i="5"/>
  <c r="Z321" i="5"/>
  <c r="Z362" i="5"/>
  <c r="Z174" i="5"/>
  <c r="Z119" i="5"/>
  <c r="Z100" i="5"/>
  <c r="Z62" i="5"/>
  <c r="Z249" i="5"/>
  <c r="Z61" i="5"/>
  <c r="Z242" i="5"/>
  <c r="Z60" i="5"/>
  <c r="Z173" i="5"/>
  <c r="Z320" i="5"/>
  <c r="Z340" i="5"/>
  <c r="Z339" i="5"/>
  <c r="Z281" i="5"/>
  <c r="Z99" i="5"/>
  <c r="Z118" i="5"/>
  <c r="Z117" i="5"/>
  <c r="Z116" i="5"/>
  <c r="Z47" i="5"/>
  <c r="Z287" i="5"/>
  <c r="Z248" i="5"/>
  <c r="Z115" i="5"/>
  <c r="Z59" i="5"/>
  <c r="Z338" i="5"/>
  <c r="Z172" i="5"/>
  <c r="Z49" i="5"/>
  <c r="Z275" i="5"/>
  <c r="Z264" i="5"/>
  <c r="Z361" i="5"/>
  <c r="Z288" i="5"/>
  <c r="Z337" i="5"/>
  <c r="Z58" i="5"/>
  <c r="Z165" i="5"/>
  <c r="Z164" i="5"/>
  <c r="Z241" i="5"/>
  <c r="Z295" i="5"/>
  <c r="Z286" i="5"/>
  <c r="Z280" i="5"/>
  <c r="Z98" i="5"/>
  <c r="Z319" i="5"/>
  <c r="Z263" i="5"/>
  <c r="Z114" i="5"/>
  <c r="Z336" i="5"/>
  <c r="Z113" i="5"/>
  <c r="Z17" i="5"/>
  <c r="Z34" i="5"/>
  <c r="Z279" i="5"/>
  <c r="Z274" i="5"/>
  <c r="Z335" i="5"/>
  <c r="Z39" i="5"/>
  <c r="Z97" i="5"/>
  <c r="Z16" i="5"/>
  <c r="Z15" i="5"/>
  <c r="Z14" i="5"/>
  <c r="Z13" i="5"/>
  <c r="Z171" i="5"/>
  <c r="Z96" i="5"/>
  <c r="Z95" i="5"/>
  <c r="Z12" i="5"/>
  <c r="Z11" i="5"/>
  <c r="Z318" i="5"/>
  <c r="Z112" i="5"/>
  <c r="Z273" i="5"/>
  <c r="Z94" i="5"/>
  <c r="Z334" i="5"/>
  <c r="Z272" i="5"/>
  <c r="Z254" i="5"/>
  <c r="Z93" i="5"/>
  <c r="Z111" i="5"/>
  <c r="Z67" i="5"/>
  <c r="Z10" i="5"/>
  <c r="Z360" i="5"/>
  <c r="Z294" i="5"/>
  <c r="Z9" i="5"/>
  <c r="Z212" i="5"/>
  <c r="Z262" i="5"/>
  <c r="Z317" i="5"/>
  <c r="Z359" i="5"/>
  <c r="Z240" i="5"/>
  <c r="Z253" i="5"/>
  <c r="Z271" i="5"/>
  <c r="Z170" i="5"/>
  <c r="Z92" i="5"/>
  <c r="Z57" i="5"/>
  <c r="Z110" i="5"/>
  <c r="Z109" i="5"/>
  <c r="Z183" i="5"/>
  <c r="Z108" i="5"/>
  <c r="Z316" i="5"/>
  <c r="Z56" i="5"/>
  <c r="Z91" i="5"/>
  <c r="Z158" i="5"/>
  <c r="Z315" i="5"/>
  <c r="Z247" i="5"/>
  <c r="Z223" i="5"/>
  <c r="Z107" i="5"/>
  <c r="Z246" i="5"/>
  <c r="Z245" i="5"/>
  <c r="Z244" i="5"/>
  <c r="Z314" i="5"/>
  <c r="Z313" i="5"/>
  <c r="Z182" i="5"/>
  <c r="Z239" i="5"/>
  <c r="Z106" i="5"/>
  <c r="Z270" i="5"/>
  <c r="Z55" i="5"/>
  <c r="Z8" i="5"/>
  <c r="Z269" i="5"/>
  <c r="Z261" i="5"/>
  <c r="Z7" i="5"/>
  <c r="Z312" i="5"/>
  <c r="Z311" i="5"/>
  <c r="Z211" i="5"/>
  <c r="Z333" i="5"/>
  <c r="Z293" i="5"/>
  <c r="Z163" i="5"/>
  <c r="Z90" i="5"/>
  <c r="Z162" i="5"/>
  <c r="Z6" i="5"/>
  <c r="Z260" i="5"/>
  <c r="Z285" i="5"/>
  <c r="Z284" i="5"/>
  <c r="Z292" i="5"/>
  <c r="Z310" i="5"/>
  <c r="Z161" i="5"/>
  <c r="Z309" i="5"/>
  <c r="Z238" i="5"/>
  <c r="Z358" i="5"/>
  <c r="Z89" i="5"/>
  <c r="Z308" i="5"/>
  <c r="Z25" i="5"/>
  <c r="Z24" i="5"/>
  <c r="Z259" i="5"/>
  <c r="Z307" i="5"/>
  <c r="Z332" i="5"/>
  <c r="Z306" i="5"/>
  <c r="Z252" i="5"/>
  <c r="Z237" i="5"/>
  <c r="Z305" i="5"/>
  <c r="Z105" i="5"/>
  <c r="Z304" i="5"/>
  <c r="Z88" i="5"/>
  <c r="Z54" i="5"/>
  <c r="Z303" i="5"/>
  <c r="Z258" i="5"/>
  <c r="Z291" i="5"/>
  <c r="Z53" i="5"/>
  <c r="Z257" i="5"/>
  <c r="Z236" i="5"/>
  <c r="Z46" i="5"/>
  <c r="Z278" i="5"/>
  <c r="Z45" i="5"/>
  <c r="Z235" i="5"/>
  <c r="Z302" i="5"/>
  <c r="Z234" i="5"/>
  <c r="Z372" i="5"/>
  <c r="Z23" i="5"/>
  <c r="Z371" i="5"/>
  <c r="Z5" i="5"/>
  <c r="Z4" i="5"/>
  <c r="Z301" i="5"/>
  <c r="Z233" i="5"/>
  <c r="Z251" i="5"/>
  <c r="Z181" i="5"/>
  <c r="Z52" i="5"/>
  <c r="Z87" i="5"/>
  <c r="Z370" i="5"/>
  <c r="Z369" i="5"/>
  <c r="Z180" i="5"/>
  <c r="Z290" i="5"/>
  <c r="Z268" i="5"/>
  <c r="Z198" i="5"/>
  <c r="Z197" i="5"/>
  <c r="Z157" i="5"/>
  <c r="Z196" i="5"/>
  <c r="Z195" i="5"/>
  <c r="Z194" i="5"/>
  <c r="Z179" i="5"/>
  <c r="Z156" i="5"/>
  <c r="Z193" i="5"/>
  <c r="Z192" i="5"/>
  <c r="Z191" i="5"/>
  <c r="Z190" i="5"/>
  <c r="Z289" i="5"/>
  <c r="Z155" i="5"/>
  <c r="Z189" i="5"/>
  <c r="Z188" i="5"/>
  <c r="Z154" i="5"/>
  <c r="Z403" i="5"/>
  <c r="Z153" i="5"/>
  <c r="Z402" i="5"/>
  <c r="Z401" i="5"/>
  <c r="Z400" i="5"/>
  <c r="Z399" i="5"/>
  <c r="Z398" i="5"/>
  <c r="Z397" i="5"/>
  <c r="Z396" i="5"/>
  <c r="Z395" i="5"/>
  <c r="Z178" i="5"/>
  <c r="Z152" i="5"/>
  <c r="Z151" i="5"/>
  <c r="Z394" i="5"/>
  <c r="Z393" i="5"/>
  <c r="Z33" i="5"/>
  <c r="Z32" i="5"/>
  <c r="Z150" i="5"/>
  <c r="Z210" i="5"/>
  <c r="Z66" i="5"/>
  <c r="Z31" i="5"/>
  <c r="Z209" i="5"/>
  <c r="Z51" i="5"/>
  <c r="Z149" i="5"/>
  <c r="Z148" i="5"/>
  <c r="Z147" i="5"/>
  <c r="Z146" i="5"/>
  <c r="Z145" i="5"/>
  <c r="Z221" i="5"/>
  <c r="Z187" i="5"/>
  <c r="Z86" i="5"/>
  <c r="Z144" i="5"/>
  <c r="Z30" i="5"/>
  <c r="Z283" i="5"/>
  <c r="Z208" i="5"/>
  <c r="Z207" i="5"/>
  <c r="Z220" i="5"/>
  <c r="Z206" i="5"/>
  <c r="Z219" i="5"/>
  <c r="Z218" i="5"/>
  <c r="Z143" i="5"/>
  <c r="Z217" i="5"/>
  <c r="Z216" i="5"/>
  <c r="Z205" i="5"/>
  <c r="Z215" i="5"/>
  <c r="Z204" i="5"/>
  <c r="Z214" i="5"/>
  <c r="Z203" i="5"/>
  <c r="Z142" i="5"/>
  <c r="Z213" i="5"/>
  <c r="Z141" i="5"/>
  <c r="Z140" i="5"/>
  <c r="Z139" i="5"/>
  <c r="Z138" i="5"/>
  <c r="Z137" i="5"/>
  <c r="Z136" i="5"/>
  <c r="Z135" i="5"/>
  <c r="Z134" i="5"/>
  <c r="Z133" i="5"/>
  <c r="Z132" i="5"/>
  <c r="Z131" i="5"/>
  <c r="Z130" i="5"/>
  <c r="Z129" i="5"/>
  <c r="Z128" i="5"/>
  <c r="Z127" i="5"/>
  <c r="Z126" i="5"/>
  <c r="Z186" i="5"/>
  <c r="Z125" i="5"/>
  <c r="K156" i="5"/>
  <c r="J4" i="2"/>
  <c r="J298" i="4"/>
  <c r="N156" i="5"/>
  <c r="L4" i="2"/>
  <c r="L298" i="4"/>
  <c r="Q156" i="5"/>
  <c r="N4" i="2"/>
  <c r="N298" i="4"/>
  <c r="T156" i="5"/>
  <c r="P4" i="2"/>
  <c r="P298" i="4"/>
  <c r="W156" i="5"/>
  <c r="R4" i="2"/>
  <c r="B317" i="4"/>
  <c r="R317" i="4"/>
  <c r="K193" i="5"/>
  <c r="J5" i="2"/>
  <c r="B303" i="4"/>
  <c r="J303" i="4"/>
  <c r="N193" i="5"/>
  <c r="L5" i="2"/>
  <c r="L303" i="4"/>
  <c r="Q193" i="5"/>
  <c r="N5" i="2"/>
  <c r="N303" i="4"/>
  <c r="T193" i="5"/>
  <c r="P5" i="2"/>
  <c r="P303" i="4"/>
  <c r="W193" i="5"/>
  <c r="R5" i="2"/>
  <c r="B312" i="4"/>
  <c r="R312" i="4"/>
  <c r="B313" i="4"/>
  <c r="R313" i="4"/>
  <c r="B314" i="4"/>
  <c r="R314" i="4"/>
  <c r="B330" i="4"/>
  <c r="R330" i="4"/>
  <c r="B318" i="4"/>
  <c r="R318" i="4"/>
  <c r="B339" i="4"/>
  <c r="R339" i="4"/>
  <c r="B340" i="4"/>
  <c r="R340" i="4"/>
  <c r="B322" i="4"/>
  <c r="R322" i="4"/>
  <c r="B333" i="4"/>
  <c r="R333" i="4"/>
  <c r="B331" i="4"/>
  <c r="R331" i="4"/>
  <c r="B332" i="4"/>
  <c r="R332" i="4"/>
  <c r="B343" i="4"/>
  <c r="R343" i="4"/>
  <c r="B329" i="4"/>
  <c r="R329" i="4"/>
  <c r="B341" i="4"/>
  <c r="R341" i="4"/>
  <c r="B338" i="4"/>
  <c r="R338" i="4"/>
  <c r="B320" i="4"/>
  <c r="R320" i="4"/>
  <c r="B324" i="4"/>
  <c r="R324" i="4"/>
  <c r="H3" i="2"/>
  <c r="B352" i="4"/>
  <c r="H352" i="4"/>
  <c r="K218" i="5"/>
  <c r="J3" i="2"/>
  <c r="J352" i="4"/>
  <c r="N218" i="5"/>
  <c r="L3" i="2"/>
  <c r="L352" i="4"/>
  <c r="Q218" i="5"/>
  <c r="N3" i="2"/>
  <c r="N352" i="4"/>
  <c r="T218" i="5"/>
  <c r="P3" i="2"/>
  <c r="P352" i="4"/>
  <c r="W218" i="5"/>
  <c r="R3" i="2"/>
  <c r="B345" i="4"/>
  <c r="R345" i="4"/>
  <c r="B328" i="4"/>
  <c r="R328" i="4"/>
  <c r="H2" i="2"/>
  <c r="B348" i="4"/>
  <c r="H348" i="4"/>
  <c r="K204" i="5"/>
  <c r="J2" i="2"/>
  <c r="J348" i="4"/>
  <c r="N204" i="5"/>
  <c r="L2" i="2"/>
  <c r="L348" i="4"/>
  <c r="Q204" i="5"/>
  <c r="N2" i="2"/>
  <c r="N348" i="4"/>
  <c r="T204" i="5"/>
  <c r="P2" i="2"/>
  <c r="P348" i="4"/>
  <c r="W204" i="5"/>
  <c r="R2" i="2"/>
  <c r="B359" i="4"/>
  <c r="R359" i="4"/>
  <c r="B354" i="4"/>
  <c r="R354" i="4"/>
  <c r="R348" i="4"/>
  <c r="B351" i="4"/>
  <c r="R351" i="4"/>
  <c r="B344" i="4"/>
  <c r="R344" i="4"/>
  <c r="B353" i="4"/>
  <c r="R353" i="4"/>
  <c r="B355" i="4"/>
  <c r="R355" i="4"/>
  <c r="B323" i="4"/>
  <c r="R323" i="4"/>
  <c r="R352" i="4"/>
  <c r="B350" i="4"/>
  <c r="R350" i="4"/>
  <c r="B358" i="4"/>
  <c r="R358" i="4"/>
  <c r="B349" i="4"/>
  <c r="R349" i="4"/>
  <c r="B356" i="4"/>
  <c r="R356" i="4"/>
  <c r="B357" i="4"/>
  <c r="R357" i="4"/>
  <c r="L16" i="2"/>
  <c r="B143" i="4"/>
  <c r="L143" i="4"/>
  <c r="Q286" i="5"/>
  <c r="T286" i="5"/>
  <c r="P16" i="2"/>
  <c r="P143" i="4"/>
  <c r="W286" i="5"/>
  <c r="R16" i="2"/>
  <c r="B59" i="4"/>
  <c r="R59" i="4"/>
  <c r="L21" i="2"/>
  <c r="B199" i="4"/>
  <c r="L199" i="4"/>
  <c r="Q37" i="5"/>
  <c r="T37" i="5"/>
  <c r="P21" i="2"/>
  <c r="P199" i="4"/>
  <c r="W37" i="5"/>
  <c r="R21" i="2"/>
  <c r="B58" i="4"/>
  <c r="R58" i="4"/>
  <c r="B325" i="4"/>
  <c r="R325" i="4"/>
  <c r="L34" i="2"/>
  <c r="B85" i="4"/>
  <c r="L85" i="4"/>
  <c r="Q101" i="5"/>
  <c r="T101" i="5"/>
  <c r="P34" i="2"/>
  <c r="P85" i="4"/>
  <c r="W101" i="5"/>
  <c r="R34" i="2"/>
  <c r="B57" i="4"/>
  <c r="R57" i="4"/>
  <c r="B335" i="4"/>
  <c r="R335" i="4"/>
  <c r="B360" i="4"/>
  <c r="R360" i="4"/>
  <c r="B321" i="4"/>
  <c r="R321" i="4"/>
  <c r="B337" i="4"/>
  <c r="R337" i="4"/>
  <c r="B311" i="4"/>
  <c r="R311" i="4"/>
  <c r="B334" i="4"/>
  <c r="R334" i="4"/>
  <c r="B319" i="4"/>
  <c r="R319" i="4"/>
  <c r="H9" i="2"/>
  <c r="B251" i="4"/>
  <c r="H251" i="4"/>
  <c r="K55" i="5"/>
  <c r="J9" i="2"/>
  <c r="J251" i="4"/>
  <c r="N55" i="5"/>
  <c r="L9" i="2"/>
  <c r="L251" i="4"/>
  <c r="Q55" i="5"/>
  <c r="T55" i="5"/>
  <c r="P9" i="2"/>
  <c r="P251" i="4"/>
  <c r="W55" i="5"/>
  <c r="R9" i="2"/>
  <c r="B147" i="4"/>
  <c r="R147" i="4"/>
  <c r="B346" i="4"/>
  <c r="R346" i="4"/>
  <c r="B78" i="4"/>
  <c r="R78" i="4"/>
  <c r="L10" i="2"/>
  <c r="B241" i="4"/>
  <c r="L241" i="4"/>
  <c r="Q67" i="5"/>
  <c r="T67" i="5"/>
  <c r="P10" i="2"/>
  <c r="P241" i="4"/>
  <c r="W67" i="5"/>
  <c r="R10" i="2"/>
  <c r="B146" i="4"/>
  <c r="R146" i="4"/>
  <c r="B347" i="4"/>
  <c r="R347" i="4"/>
  <c r="B326" i="4"/>
  <c r="R326" i="4"/>
  <c r="B62" i="4"/>
  <c r="R62" i="4"/>
  <c r="B69" i="4"/>
  <c r="R69" i="4"/>
  <c r="H39" i="2"/>
  <c r="B376" i="4"/>
  <c r="H376" i="4"/>
  <c r="K398" i="5"/>
  <c r="J39" i="2"/>
  <c r="J376" i="4"/>
  <c r="N398" i="5"/>
  <c r="L39" i="2"/>
  <c r="L376" i="4"/>
  <c r="Q398" i="5"/>
  <c r="N39" i="2"/>
  <c r="N376" i="4"/>
  <c r="T398" i="5"/>
  <c r="P39" i="2"/>
  <c r="P376" i="4"/>
  <c r="W398" i="5"/>
  <c r="R39" i="2"/>
  <c r="B366" i="4"/>
  <c r="R366" i="4"/>
  <c r="B375" i="4"/>
  <c r="R375" i="4"/>
  <c r="B336" i="4"/>
  <c r="R336" i="4"/>
  <c r="B315" i="4"/>
  <c r="R315" i="4"/>
  <c r="T306" i="5"/>
  <c r="P29" i="2"/>
  <c r="P248" i="4"/>
  <c r="W306" i="5"/>
  <c r="R29" i="2"/>
  <c r="B150" i="4"/>
  <c r="R150" i="4"/>
  <c r="B373" i="4"/>
  <c r="R373" i="4"/>
  <c r="B368" i="4"/>
  <c r="R368" i="4"/>
  <c r="B371" i="4"/>
  <c r="R371" i="4"/>
  <c r="R376" i="4"/>
  <c r="B374" i="4"/>
  <c r="R374" i="4"/>
  <c r="B367" i="4"/>
  <c r="R367" i="4"/>
  <c r="B370" i="4"/>
  <c r="R370" i="4"/>
  <c r="B369" i="4"/>
  <c r="R369" i="4"/>
  <c r="B327" i="4"/>
  <c r="R327" i="4"/>
  <c r="B372" i="4"/>
  <c r="R372" i="4"/>
  <c r="B296" i="4"/>
  <c r="R296" i="4"/>
  <c r="B309" i="4"/>
  <c r="R309" i="4"/>
  <c r="B302" i="4"/>
  <c r="R302" i="4"/>
  <c r="B297" i="4"/>
  <c r="R297" i="4"/>
  <c r="L30" i="2"/>
  <c r="B252" i="4"/>
  <c r="L252" i="4"/>
  <c r="Q293" i="5"/>
  <c r="T293" i="5"/>
  <c r="P30" i="2"/>
  <c r="P252" i="4"/>
  <c r="W293" i="5"/>
  <c r="R30" i="2"/>
  <c r="B197" i="4"/>
  <c r="R197" i="4"/>
  <c r="B310" i="4"/>
  <c r="R310" i="4"/>
  <c r="B301" i="4"/>
  <c r="R301" i="4"/>
  <c r="B305" i="4"/>
  <c r="R305" i="4"/>
  <c r="R303" i="4"/>
  <c r="R298" i="4"/>
  <c r="B149" i="4"/>
  <c r="R149" i="4"/>
  <c r="B300" i="4"/>
  <c r="R300" i="4"/>
  <c r="B306" i="4"/>
  <c r="R306" i="4"/>
  <c r="B307" i="4"/>
  <c r="R307" i="4"/>
  <c r="B299" i="4"/>
  <c r="R299" i="4"/>
  <c r="B304" i="4"/>
  <c r="R304" i="4"/>
  <c r="B308" i="4"/>
  <c r="R308" i="4"/>
  <c r="L23" i="2"/>
  <c r="B132" i="4"/>
  <c r="L132" i="4"/>
  <c r="Q269" i="5"/>
  <c r="T269" i="5"/>
  <c r="P23" i="2"/>
  <c r="P132" i="4"/>
  <c r="W269" i="5"/>
  <c r="R23" i="2"/>
  <c r="B124" i="4"/>
  <c r="R124" i="4"/>
  <c r="B185" i="4"/>
  <c r="R185" i="4"/>
  <c r="R148" i="4"/>
  <c r="L28" i="2"/>
  <c r="B76" i="4"/>
  <c r="L76" i="4"/>
  <c r="Q369" i="5"/>
  <c r="T369" i="5"/>
  <c r="P28" i="2"/>
  <c r="P76" i="4"/>
  <c r="W369" i="5"/>
  <c r="R28" i="2"/>
  <c r="R76" i="4"/>
  <c r="B13" i="4"/>
  <c r="R13" i="4"/>
  <c r="B205" i="4"/>
  <c r="R205" i="4"/>
  <c r="B263" i="4"/>
  <c r="R263" i="4"/>
  <c r="L25" i="2"/>
  <c r="B129" i="4"/>
  <c r="L129" i="4"/>
  <c r="Q252" i="5"/>
  <c r="T252" i="5"/>
  <c r="P25" i="2"/>
  <c r="P129" i="4"/>
  <c r="W252" i="5"/>
  <c r="R25" i="2"/>
  <c r="B151" i="4"/>
  <c r="R151" i="4"/>
  <c r="B72" i="4"/>
  <c r="R72" i="4"/>
  <c r="H31" i="2"/>
  <c r="B236" i="4"/>
  <c r="H236" i="4"/>
  <c r="K234" i="5"/>
  <c r="J31" i="2"/>
  <c r="J236" i="4"/>
  <c r="N234" i="5"/>
  <c r="L31" i="2"/>
  <c r="L236" i="4"/>
  <c r="Q234" i="5"/>
  <c r="T234" i="5"/>
  <c r="P31" i="2"/>
  <c r="P236" i="4"/>
  <c r="W234" i="5"/>
  <c r="R31" i="2"/>
  <c r="B154" i="4"/>
  <c r="R154" i="4"/>
  <c r="B163" i="4"/>
  <c r="R163" i="4"/>
  <c r="L19" i="2"/>
  <c r="B270" i="4"/>
  <c r="L270" i="4"/>
  <c r="Q8" i="5"/>
  <c r="T8" i="5"/>
  <c r="P19" i="2"/>
  <c r="P270" i="4"/>
  <c r="W8" i="5"/>
  <c r="R19" i="2"/>
  <c r="B255" i="4"/>
  <c r="R255" i="4"/>
  <c r="B238" i="4"/>
  <c r="R238" i="4"/>
  <c r="B14" i="4"/>
  <c r="R14" i="4"/>
  <c r="L22" i="2"/>
  <c r="B271" i="4"/>
  <c r="L271" i="4"/>
  <c r="Q24" i="5"/>
  <c r="T24" i="5"/>
  <c r="P22" i="2"/>
  <c r="P271" i="4"/>
  <c r="W24" i="5"/>
  <c r="R22" i="2"/>
  <c r="B258" i="4"/>
  <c r="R258" i="4"/>
  <c r="B99" i="4"/>
  <c r="R99" i="4"/>
  <c r="R236" i="4"/>
  <c r="B171" i="4"/>
  <c r="R171" i="4"/>
  <c r="B229" i="4"/>
  <c r="R229" i="4"/>
  <c r="H7" i="2"/>
  <c r="B295" i="4"/>
  <c r="H295" i="4"/>
  <c r="K46" i="5"/>
  <c r="J7" i="2"/>
  <c r="J295" i="4"/>
  <c r="N46" i="5"/>
  <c r="L7" i="2"/>
  <c r="L295" i="4"/>
  <c r="Q46" i="5"/>
  <c r="T46" i="5"/>
  <c r="P7" i="2"/>
  <c r="P295" i="4"/>
  <c r="W46" i="5"/>
  <c r="R7" i="2"/>
  <c r="B294" i="4"/>
  <c r="R294" i="4"/>
  <c r="B211" i="4"/>
  <c r="H15" i="2"/>
  <c r="B212" i="4"/>
  <c r="H212" i="4"/>
  <c r="K288" i="5"/>
  <c r="J15" i="2"/>
  <c r="J212" i="4"/>
  <c r="N288" i="5"/>
  <c r="L15" i="2"/>
  <c r="L212" i="4"/>
  <c r="Q288" i="5"/>
  <c r="T288" i="5"/>
  <c r="P15" i="2"/>
  <c r="P212" i="4"/>
  <c r="W288" i="5"/>
  <c r="R15" i="2"/>
  <c r="R211" i="4"/>
  <c r="R295" i="4"/>
  <c r="B226" i="4"/>
  <c r="R226" i="4"/>
  <c r="K258" i="5"/>
  <c r="J24" i="2"/>
  <c r="B131" i="4"/>
  <c r="J131" i="4"/>
  <c r="N258" i="5"/>
  <c r="L24" i="2"/>
  <c r="L131" i="4"/>
  <c r="Q258" i="5"/>
  <c r="T258" i="5"/>
  <c r="P24" i="2"/>
  <c r="P131" i="4"/>
  <c r="W258" i="5"/>
  <c r="R24" i="2"/>
  <c r="B130" i="4"/>
  <c r="R130" i="4"/>
  <c r="B235" i="4"/>
  <c r="R235" i="4"/>
  <c r="B218" i="4"/>
  <c r="R218" i="4"/>
  <c r="R131" i="4"/>
  <c r="B167" i="4"/>
  <c r="R167" i="4"/>
  <c r="B266" i="4"/>
  <c r="R266" i="4"/>
  <c r="B102" i="4"/>
  <c r="R102" i="4"/>
  <c r="B180" i="4"/>
  <c r="R180" i="4"/>
  <c r="L33" i="2"/>
  <c r="B49" i="4"/>
  <c r="L49" i="4"/>
  <c r="Q121" i="5"/>
  <c r="T121" i="5"/>
  <c r="P33" i="2"/>
  <c r="P49" i="4"/>
  <c r="W121" i="5"/>
  <c r="R33" i="2"/>
  <c r="B25" i="4"/>
  <c r="R25" i="4"/>
  <c r="B170" i="4"/>
  <c r="R170" i="4"/>
  <c r="B221" i="4"/>
  <c r="R221" i="4"/>
  <c r="R129" i="4"/>
  <c r="R248" i="4"/>
  <c r="L38" i="2"/>
  <c r="B74" i="4"/>
  <c r="L74" i="4"/>
  <c r="Q333" i="5"/>
  <c r="T333" i="5"/>
  <c r="P38" i="2"/>
  <c r="P74" i="4"/>
  <c r="W333" i="5"/>
  <c r="R38" i="2"/>
  <c r="B64" i="4"/>
  <c r="R64" i="4"/>
  <c r="B168" i="4"/>
  <c r="R168" i="4"/>
  <c r="B135" i="4"/>
  <c r="R135" i="4"/>
  <c r="R271" i="4"/>
  <c r="B265" i="4"/>
  <c r="R265" i="4"/>
  <c r="B276" i="4"/>
  <c r="R276" i="4"/>
  <c r="B90" i="4"/>
  <c r="R90" i="4"/>
  <c r="H32" i="2"/>
  <c r="B113" i="4"/>
  <c r="H113" i="4"/>
  <c r="K363" i="5"/>
  <c r="J32" i="2"/>
  <c r="J113" i="4"/>
  <c r="N363" i="5"/>
  <c r="L32" i="2"/>
  <c r="L113" i="4"/>
  <c r="Q363" i="5"/>
  <c r="T363" i="5"/>
  <c r="P32" i="2"/>
  <c r="P113" i="4"/>
  <c r="W363" i="5"/>
  <c r="R32" i="2"/>
  <c r="B122" i="4"/>
  <c r="R122" i="4"/>
  <c r="B164" i="4"/>
  <c r="R164" i="4"/>
  <c r="B184" i="4"/>
  <c r="R184" i="4"/>
  <c r="B33" i="4"/>
  <c r="L33" i="4"/>
  <c r="Q165" i="5"/>
  <c r="T165" i="5"/>
  <c r="P33" i="4"/>
  <c r="W165" i="5"/>
  <c r="B32" i="4"/>
  <c r="R32" i="4"/>
  <c r="B193" i="4"/>
  <c r="R193" i="4"/>
  <c r="B140" i="4"/>
  <c r="R140" i="4"/>
  <c r="B144" i="4"/>
  <c r="R144" i="4"/>
  <c r="B145" i="4"/>
  <c r="R145" i="4"/>
  <c r="R244" i="4"/>
  <c r="B283" i="4"/>
  <c r="R283" i="4"/>
  <c r="B50" i="4"/>
  <c r="R50" i="4"/>
  <c r="B38" i="4"/>
  <c r="R38" i="4"/>
  <c r="B70" i="4"/>
  <c r="R70" i="4"/>
  <c r="R252" i="4"/>
  <c r="R74" i="4"/>
  <c r="B363" i="4"/>
  <c r="R363" i="4"/>
  <c r="B157" i="4"/>
  <c r="R157" i="4"/>
  <c r="B204" i="4"/>
  <c r="R204" i="4"/>
  <c r="B181" i="4"/>
  <c r="R181" i="4"/>
  <c r="B201" i="4"/>
  <c r="R201" i="4"/>
  <c r="R132" i="4"/>
  <c r="R270" i="4"/>
  <c r="R251" i="4"/>
  <c r="B118" i="4"/>
  <c r="R118" i="4"/>
  <c r="B27" i="4"/>
  <c r="R27" i="4"/>
  <c r="B153" i="4"/>
  <c r="R153" i="4"/>
  <c r="B192" i="4"/>
  <c r="R192" i="4"/>
  <c r="B165" i="4"/>
  <c r="R165" i="4"/>
  <c r="B281" i="4"/>
  <c r="R281" i="4"/>
  <c r="K245" i="5"/>
  <c r="J27" i="2"/>
  <c r="B128" i="4"/>
  <c r="J128" i="4"/>
  <c r="N245" i="5"/>
  <c r="L27" i="2"/>
  <c r="L128" i="4"/>
  <c r="Q245" i="5"/>
  <c r="T245" i="5"/>
  <c r="P27" i="2"/>
  <c r="B127" i="4"/>
  <c r="P26" i="2"/>
  <c r="P127" i="4"/>
  <c r="L26" i="2"/>
  <c r="L127" i="4"/>
  <c r="Q244" i="5"/>
  <c r="T244" i="5"/>
  <c r="W244" i="5"/>
  <c r="R26" i="2"/>
  <c r="P128" i="4"/>
  <c r="W245" i="5"/>
  <c r="R27" i="2"/>
  <c r="R127" i="4"/>
  <c r="R128" i="4"/>
  <c r="B137" i="4"/>
  <c r="R137" i="4"/>
  <c r="B24" i="4"/>
  <c r="R24" i="4"/>
  <c r="L14" i="2"/>
  <c r="B292" i="4"/>
  <c r="L292" i="4"/>
  <c r="Q224" i="5"/>
  <c r="T224" i="5"/>
  <c r="P14" i="2"/>
  <c r="P292" i="4"/>
  <c r="W224" i="5"/>
  <c r="R14" i="2"/>
  <c r="B267" i="4"/>
  <c r="R267" i="4"/>
  <c r="B126" i="4"/>
  <c r="R126" i="4"/>
  <c r="B223" i="4"/>
  <c r="R223" i="4"/>
  <c r="B342" i="4"/>
  <c r="R342" i="4"/>
  <c r="B17" i="4"/>
  <c r="R17" i="4"/>
  <c r="B257" i="4"/>
  <c r="R257" i="4"/>
  <c r="B269" i="4"/>
  <c r="R269" i="4"/>
  <c r="B31" i="4"/>
  <c r="R31" i="4"/>
  <c r="B189" i="4"/>
  <c r="R189" i="4"/>
  <c r="B3" i="4"/>
  <c r="R3" i="4"/>
  <c r="B16" i="4"/>
  <c r="R16" i="4"/>
  <c r="B259" i="4"/>
  <c r="R259" i="4"/>
  <c r="B86" i="4"/>
  <c r="R86" i="4"/>
  <c r="L18" i="2"/>
  <c r="B279" i="4"/>
  <c r="L279" i="4"/>
  <c r="Q174" i="5"/>
  <c r="T174" i="5"/>
  <c r="P18" i="2"/>
  <c r="P279" i="4"/>
  <c r="W174" i="5"/>
  <c r="R18" i="2"/>
  <c r="B246" i="4"/>
  <c r="R246" i="4"/>
  <c r="R227" i="4"/>
  <c r="B239" i="4"/>
  <c r="R239" i="4"/>
  <c r="B260" i="4"/>
  <c r="R260" i="4"/>
  <c r="B114" i="4"/>
  <c r="R114" i="4"/>
  <c r="B220" i="4"/>
  <c r="R220" i="4"/>
  <c r="B136" i="4"/>
  <c r="R136" i="4"/>
  <c r="B362" i="4"/>
  <c r="R362" i="4"/>
  <c r="B253" i="4"/>
  <c r="R253" i="4"/>
  <c r="B210" i="4"/>
  <c r="R210" i="4"/>
  <c r="B107" i="4"/>
  <c r="R107" i="4"/>
  <c r="B182" i="4"/>
  <c r="R182" i="4"/>
  <c r="R241" i="4"/>
  <c r="B21" i="4"/>
  <c r="R21" i="4"/>
  <c r="B56" i="4"/>
  <c r="R56" i="4"/>
  <c r="B40" i="4"/>
  <c r="R40" i="4"/>
  <c r="B203" i="4"/>
  <c r="R203" i="4"/>
  <c r="B75" i="4"/>
  <c r="R75" i="4"/>
  <c r="B60" i="4"/>
  <c r="R60" i="4"/>
  <c r="B159" i="4"/>
  <c r="R159" i="4"/>
  <c r="B48" i="4"/>
  <c r="R48" i="4"/>
  <c r="B156" i="4"/>
  <c r="R156" i="4"/>
  <c r="B214" i="4"/>
  <c r="R214" i="4"/>
  <c r="B216" i="4"/>
  <c r="R216" i="4"/>
  <c r="B119" i="4"/>
  <c r="R119" i="4"/>
  <c r="B28" i="4"/>
  <c r="R28" i="4"/>
  <c r="B277" i="4"/>
  <c r="R277" i="4"/>
  <c r="B207" i="4"/>
  <c r="R207" i="4"/>
  <c r="B215" i="4"/>
  <c r="R215" i="4"/>
  <c r="B268" i="4"/>
  <c r="R268" i="4"/>
  <c r="B285" i="4"/>
  <c r="R285" i="4"/>
  <c r="B19" i="4"/>
  <c r="R19" i="4"/>
  <c r="L13" i="2"/>
  <c r="B284" i="4"/>
  <c r="L284" i="4"/>
  <c r="Q40" i="5"/>
  <c r="T40" i="5"/>
  <c r="P13" i="2"/>
  <c r="P284" i="4"/>
  <c r="W40" i="5"/>
  <c r="R13" i="2"/>
  <c r="B282" i="4"/>
  <c r="R282" i="4"/>
  <c r="B95" i="4"/>
  <c r="R95" i="4"/>
  <c r="B125" i="4"/>
  <c r="R125" i="4"/>
  <c r="H17" i="2"/>
  <c r="B142" i="4"/>
  <c r="H142" i="4"/>
  <c r="K280" i="5"/>
  <c r="J17" i="2"/>
  <c r="J142" i="4"/>
  <c r="N280" i="5"/>
  <c r="L17" i="2"/>
  <c r="L142" i="4"/>
  <c r="Q280" i="5"/>
  <c r="T280" i="5"/>
  <c r="P17" i="2"/>
  <c r="P142" i="4"/>
  <c r="W280" i="5"/>
  <c r="R17" i="2"/>
  <c r="B178" i="4"/>
  <c r="R178" i="4"/>
  <c r="B262" i="4"/>
  <c r="R262" i="4"/>
  <c r="B280" i="4"/>
  <c r="R280" i="4"/>
  <c r="B23" i="4"/>
  <c r="R23" i="4"/>
  <c r="B103" i="4"/>
  <c r="R103" i="4"/>
  <c r="B30" i="4"/>
  <c r="R30" i="4"/>
  <c r="B110" i="4"/>
  <c r="R110" i="4"/>
  <c r="B120" i="4"/>
  <c r="R120" i="4"/>
  <c r="B39" i="4"/>
  <c r="R39" i="4"/>
  <c r="R142" i="4"/>
  <c r="R143" i="4"/>
  <c r="B242" i="4"/>
  <c r="R242" i="4"/>
  <c r="B230" i="4"/>
  <c r="R230" i="4"/>
  <c r="B2" i="4"/>
  <c r="R2" i="4"/>
  <c r="R33" i="4"/>
  <c r="B245" i="4"/>
  <c r="R245" i="4"/>
  <c r="B63" i="4"/>
  <c r="R63" i="4"/>
  <c r="R212" i="4"/>
  <c r="B116" i="4"/>
  <c r="R116" i="4"/>
  <c r="B117" i="4"/>
  <c r="R117" i="4"/>
  <c r="B250" i="4"/>
  <c r="R250" i="4"/>
  <c r="L11" i="2"/>
  <c r="B290" i="4"/>
  <c r="L290" i="4"/>
  <c r="Q49" i="5"/>
  <c r="T49" i="5"/>
  <c r="P11" i="2"/>
  <c r="P290" i="4"/>
  <c r="W49" i="5"/>
  <c r="R11" i="2"/>
  <c r="R290" i="4"/>
  <c r="B289" i="4"/>
  <c r="R289" i="4"/>
  <c r="B97" i="4"/>
  <c r="R97" i="4"/>
  <c r="B228" i="4"/>
  <c r="R228" i="4"/>
  <c r="B18" i="4"/>
  <c r="R18" i="4"/>
  <c r="B190" i="4"/>
  <c r="R190" i="4"/>
  <c r="B141" i="4"/>
  <c r="R141" i="4"/>
  <c r="B293" i="4"/>
  <c r="R293" i="4"/>
  <c r="B20" i="4"/>
  <c r="R20" i="4"/>
  <c r="B22" i="4"/>
  <c r="R22" i="4"/>
  <c r="B26" i="4"/>
  <c r="R26" i="4"/>
  <c r="B105" i="4"/>
  <c r="R105" i="4"/>
  <c r="B179" i="4"/>
  <c r="R179" i="4"/>
  <c r="B73" i="4"/>
  <c r="R73" i="4"/>
  <c r="B111" i="4"/>
  <c r="R111" i="4"/>
  <c r="B225" i="4"/>
  <c r="R225" i="4"/>
  <c r="B286" i="4"/>
  <c r="R286" i="4"/>
  <c r="B291" i="4"/>
  <c r="R291" i="4"/>
  <c r="B88" i="4"/>
  <c r="R88" i="4"/>
  <c r="B237" i="4"/>
  <c r="R237" i="4"/>
  <c r="B44" i="4"/>
  <c r="R44" i="4"/>
  <c r="B213" i="4"/>
  <c r="R213" i="4"/>
  <c r="B109" i="4"/>
  <c r="R109" i="4"/>
  <c r="B4" i="4"/>
  <c r="R4" i="4"/>
  <c r="R279" i="4"/>
  <c r="B121" i="4"/>
  <c r="R121" i="4"/>
  <c r="B217" i="4"/>
  <c r="R217" i="4"/>
  <c r="B177" i="4"/>
  <c r="R177" i="4"/>
  <c r="B98" i="4"/>
  <c r="R98" i="4"/>
  <c r="B247" i="4"/>
  <c r="R247" i="4"/>
  <c r="R85" i="4"/>
  <c r="B34" i="4"/>
  <c r="R34" i="4"/>
  <c r="R292" i="4"/>
  <c r="B162" i="4"/>
  <c r="R162" i="4"/>
  <c r="B41" i="4"/>
  <c r="R41" i="4"/>
  <c r="B243" i="4"/>
  <c r="R243" i="4"/>
  <c r="R284" i="4"/>
  <c r="R49" i="4"/>
  <c r="B249" i="4"/>
  <c r="R249" i="4"/>
  <c r="B139" i="4"/>
  <c r="R139" i="4"/>
  <c r="B66" i="4"/>
  <c r="R66" i="4"/>
  <c r="B67" i="4"/>
  <c r="R67" i="4"/>
  <c r="B155" i="4"/>
  <c r="R155" i="4"/>
  <c r="B112" i="4"/>
  <c r="R112" i="4"/>
  <c r="L12" i="2"/>
  <c r="B288" i="4"/>
  <c r="L288" i="4"/>
  <c r="Q43" i="5"/>
  <c r="T43" i="5"/>
  <c r="P12" i="2"/>
  <c r="P288" i="4"/>
  <c r="W43" i="5"/>
  <c r="R12" i="2"/>
  <c r="R288" i="4"/>
  <c r="B256" i="4"/>
  <c r="R256" i="4"/>
  <c r="B35" i="4"/>
  <c r="R35" i="4"/>
  <c r="B36" i="4"/>
  <c r="R36" i="4"/>
  <c r="B37" i="4"/>
  <c r="R37" i="4"/>
  <c r="B29" i="4"/>
  <c r="R29" i="4"/>
  <c r="B138" i="4"/>
  <c r="R138" i="4"/>
  <c r="B68" i="4"/>
  <c r="R68" i="4"/>
  <c r="B83" i="4"/>
  <c r="R83" i="4"/>
  <c r="R113" i="4"/>
  <c r="B46" i="4"/>
  <c r="R46" i="4"/>
  <c r="B195" i="4"/>
  <c r="R195" i="4"/>
  <c r="B219" i="4"/>
  <c r="R219" i="4"/>
  <c r="B161" i="4"/>
  <c r="R161" i="4"/>
  <c r="B273" i="4"/>
  <c r="R273" i="4"/>
  <c r="B79" i="4"/>
  <c r="R79" i="4"/>
  <c r="B108" i="4"/>
  <c r="R108" i="4"/>
  <c r="K406" i="5"/>
  <c r="J37" i="2"/>
  <c r="B45" i="4"/>
  <c r="J45" i="4"/>
  <c r="N406" i="5"/>
  <c r="L37" i="2"/>
  <c r="L45" i="4"/>
  <c r="Q406" i="5"/>
  <c r="N37" i="2"/>
  <c r="N45" i="4"/>
  <c r="T406" i="5"/>
  <c r="P37" i="2"/>
  <c r="P45" i="4"/>
  <c r="W406" i="5"/>
  <c r="R37" i="2"/>
  <c r="R45" i="4"/>
  <c r="B275" i="4"/>
  <c r="R275" i="4"/>
  <c r="B47" i="4"/>
  <c r="R47" i="4"/>
  <c r="B152" i="4"/>
  <c r="R152" i="4"/>
  <c r="B91" i="4"/>
  <c r="R91" i="4"/>
  <c r="B222" i="4"/>
  <c r="R222" i="4"/>
  <c r="B71" i="4"/>
  <c r="R71" i="4"/>
  <c r="B115" i="4"/>
  <c r="R115" i="4"/>
  <c r="B100" i="4"/>
  <c r="R100" i="4"/>
  <c r="B160" i="4"/>
  <c r="R160" i="4"/>
  <c r="B272" i="4"/>
  <c r="R272" i="4"/>
  <c r="L6" i="2"/>
  <c r="B55" i="4"/>
  <c r="L55" i="4"/>
  <c r="Q184" i="5"/>
  <c r="T184" i="5"/>
  <c r="P6" i="2"/>
  <c r="P55" i="4"/>
  <c r="W184" i="5"/>
  <c r="R6" i="2"/>
  <c r="R55" i="4"/>
  <c r="B194" i="4"/>
  <c r="R194" i="4"/>
  <c r="B77" i="4"/>
  <c r="R77" i="4"/>
  <c r="B183" i="4"/>
  <c r="R183" i="4"/>
  <c r="B51" i="4"/>
  <c r="R51" i="4"/>
  <c r="B53" i="4"/>
  <c r="R53" i="4"/>
  <c r="B261" i="4"/>
  <c r="R261" i="4"/>
  <c r="B89" i="4"/>
  <c r="R89" i="4"/>
  <c r="B65" i="4"/>
  <c r="R65" i="4"/>
  <c r="B94" i="4"/>
  <c r="R94" i="4"/>
  <c r="B264" i="4"/>
  <c r="R264" i="4"/>
  <c r="B96" i="4"/>
  <c r="R96" i="4"/>
  <c r="B42" i="4"/>
  <c r="R42" i="4"/>
  <c r="R199" i="4"/>
  <c r="B169" i="4"/>
  <c r="R169" i="4"/>
  <c r="B52" i="4"/>
  <c r="R52" i="4"/>
  <c r="B81" i="4"/>
  <c r="R81" i="4"/>
  <c r="B82" i="4"/>
  <c r="R82" i="4"/>
  <c r="B287" i="4"/>
  <c r="R287" i="4"/>
  <c r="B61" i="4"/>
  <c r="R61" i="4"/>
  <c r="B278" i="4"/>
  <c r="R278" i="4"/>
  <c r="B93" i="4"/>
  <c r="R93" i="4"/>
  <c r="B106" i="4"/>
  <c r="R106" i="4"/>
  <c r="B233" i="4"/>
  <c r="R233" i="4"/>
  <c r="B240" i="4"/>
  <c r="R240" i="4"/>
  <c r="B232" i="4"/>
  <c r="R232" i="4"/>
  <c r="B234" i="4"/>
  <c r="R234" i="4"/>
  <c r="B208" i="4"/>
  <c r="R208" i="4"/>
  <c r="Z124" i="5"/>
  <c r="AA156" i="5"/>
  <c r="D4" i="2"/>
  <c r="D298" i="4"/>
  <c r="E156" i="5"/>
  <c r="F156" i="5"/>
  <c r="H156" i="5"/>
  <c r="I156" i="5"/>
  <c r="I4" i="2"/>
  <c r="I298" i="4"/>
  <c r="L156" i="5"/>
  <c r="O156" i="5"/>
  <c r="M4" i="2"/>
  <c r="M298" i="4"/>
  <c r="R156" i="5"/>
  <c r="O4" i="2"/>
  <c r="O298" i="4"/>
  <c r="U156" i="5"/>
  <c r="Q4" i="2"/>
  <c r="Q298" i="4"/>
  <c r="X156" i="5"/>
  <c r="AG156" i="5"/>
  <c r="X4" i="2"/>
  <c r="X298" i="4"/>
  <c r="AI156" i="5"/>
  <c r="Y4" i="2"/>
  <c r="Y298" i="4"/>
  <c r="AJ156" i="5"/>
  <c r="Z4" i="2"/>
  <c r="Z298" i="4"/>
  <c r="AL156" i="5"/>
  <c r="C4" i="2"/>
  <c r="C298" i="4"/>
  <c r="C156" i="5"/>
  <c r="B5" i="4"/>
  <c r="B6" i="4"/>
  <c r="B7" i="4"/>
  <c r="B8" i="4"/>
  <c r="B9" i="4"/>
  <c r="B10" i="4"/>
  <c r="B11" i="4"/>
  <c r="B12" i="4"/>
  <c r="B15" i="4"/>
  <c r="B43" i="4"/>
  <c r="B54" i="4"/>
  <c r="B80" i="4"/>
  <c r="B84" i="4"/>
  <c r="B87" i="4"/>
  <c r="B92" i="4"/>
  <c r="B101" i="4"/>
  <c r="B104" i="4"/>
  <c r="B123" i="4"/>
  <c r="B133" i="4"/>
  <c r="B134" i="4"/>
  <c r="Z10" i="2"/>
  <c r="Z146" i="4"/>
  <c r="B158" i="4"/>
  <c r="B166" i="4"/>
  <c r="B172" i="4"/>
  <c r="B173" i="4"/>
  <c r="B174" i="4"/>
  <c r="B175" i="4"/>
  <c r="B176" i="4"/>
  <c r="B186" i="4"/>
  <c r="B187" i="4"/>
  <c r="B188" i="4"/>
  <c r="B191" i="4"/>
  <c r="B196" i="4"/>
  <c r="B198" i="4"/>
  <c r="B200" i="4"/>
  <c r="B202" i="4"/>
  <c r="B206" i="4"/>
  <c r="B209" i="4"/>
  <c r="B224" i="4"/>
  <c r="B231" i="4"/>
  <c r="Z241" i="4"/>
  <c r="B254" i="4"/>
  <c r="B274" i="4"/>
  <c r="Z296" i="4"/>
  <c r="Z297" i="4"/>
  <c r="Z299" i="4"/>
  <c r="T5" i="2"/>
  <c r="T303" i="4"/>
  <c r="AC193" i="5"/>
  <c r="V5" i="2"/>
  <c r="V303" i="4"/>
  <c r="AF193" i="5"/>
  <c r="X5" i="2"/>
  <c r="X303" i="4"/>
  <c r="AI193" i="5"/>
  <c r="Z5" i="2"/>
  <c r="Z300" i="4"/>
  <c r="Z301" i="4"/>
  <c r="Z302" i="4"/>
  <c r="Z303" i="4"/>
  <c r="Z304" i="4"/>
  <c r="Z305" i="4"/>
  <c r="Z306" i="4"/>
  <c r="Z307" i="4"/>
  <c r="Z308" i="4"/>
  <c r="Z309" i="4"/>
  <c r="Z310" i="4"/>
  <c r="T2" i="2"/>
  <c r="T348" i="4"/>
  <c r="AC204" i="5"/>
  <c r="V2" i="2"/>
  <c r="V348" i="4"/>
  <c r="AF204" i="5"/>
  <c r="X2" i="2"/>
  <c r="X348" i="4"/>
  <c r="AI204" i="5"/>
  <c r="Z2" i="2"/>
  <c r="Z344" i="4"/>
  <c r="T3" i="2"/>
  <c r="T352" i="4"/>
  <c r="AC218" i="5"/>
  <c r="V3" i="2"/>
  <c r="V352" i="4"/>
  <c r="AF218" i="5"/>
  <c r="X3" i="2"/>
  <c r="X352" i="4"/>
  <c r="AI218" i="5"/>
  <c r="Z3" i="2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B361" i="4"/>
  <c r="Z361" i="4"/>
  <c r="Z362" i="4"/>
  <c r="Z363" i="4"/>
  <c r="B364" i="4"/>
  <c r="Z364" i="4"/>
  <c r="B365" i="4"/>
  <c r="Z365" i="4"/>
  <c r="T39" i="2"/>
  <c r="T376" i="4"/>
  <c r="AC398" i="5"/>
  <c r="V39" i="2"/>
  <c r="V376" i="4"/>
  <c r="AF398" i="5"/>
  <c r="X39" i="2"/>
  <c r="X376" i="4"/>
  <c r="AI398" i="5"/>
  <c r="Z39" i="2"/>
  <c r="Z366" i="4"/>
  <c r="Z367" i="4"/>
  <c r="Z368" i="4"/>
  <c r="Z369" i="4"/>
  <c r="Z370" i="4"/>
  <c r="Z371" i="4"/>
  <c r="Z372" i="4"/>
  <c r="Z373" i="4"/>
  <c r="Z374" i="4"/>
  <c r="Z375" i="4"/>
  <c r="Z376" i="4"/>
  <c r="X296" i="4"/>
  <c r="X297" i="4"/>
  <c r="X299" i="4"/>
  <c r="X300" i="4"/>
  <c r="X301" i="4"/>
  <c r="X302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B316" i="4"/>
  <c r="X316" i="4"/>
  <c r="X317" i="4"/>
  <c r="X318" i="4"/>
  <c r="X337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8" i="4"/>
  <c r="X339" i="4"/>
  <c r="X340" i="4"/>
  <c r="X341" i="4"/>
  <c r="X342" i="4"/>
  <c r="X343" i="4"/>
  <c r="X344" i="4"/>
  <c r="X345" i="4"/>
  <c r="X346" i="4"/>
  <c r="X347" i="4"/>
  <c r="X349" i="4"/>
  <c r="X350" i="4"/>
  <c r="X351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V296" i="4"/>
  <c r="V297" i="4"/>
  <c r="V299" i="4"/>
  <c r="V300" i="4"/>
  <c r="V301" i="4"/>
  <c r="V302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37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9" i="4"/>
  <c r="V340" i="4"/>
  <c r="V341" i="4"/>
  <c r="V342" i="4"/>
  <c r="V343" i="4"/>
  <c r="V344" i="4"/>
  <c r="V345" i="4"/>
  <c r="V346" i="4"/>
  <c r="V347" i="4"/>
  <c r="V349" i="4"/>
  <c r="V350" i="4"/>
  <c r="V351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1" i="4"/>
  <c r="V372" i="4"/>
  <c r="V373" i="4"/>
  <c r="V374" i="4"/>
  <c r="V375" i="4"/>
  <c r="U2" i="14"/>
  <c r="U296" i="4"/>
  <c r="U297" i="4"/>
  <c r="U299" i="4"/>
  <c r="U5" i="2"/>
  <c r="U300" i="4"/>
  <c r="U301" i="4"/>
  <c r="U302" i="4"/>
  <c r="U303" i="4"/>
  <c r="U2" i="2"/>
  <c r="U344" i="4"/>
  <c r="U3" i="2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9" i="2"/>
  <c r="U366" i="4"/>
  <c r="U367" i="4"/>
  <c r="U368" i="4"/>
  <c r="U369" i="4"/>
  <c r="U370" i="4"/>
  <c r="U371" i="4"/>
  <c r="U372" i="4"/>
  <c r="U373" i="4"/>
  <c r="U374" i="4"/>
  <c r="U375" i="4"/>
  <c r="U376" i="4"/>
  <c r="L8" i="2"/>
  <c r="L172" i="4"/>
  <c r="Q229" i="5"/>
  <c r="T229" i="5"/>
  <c r="P8" i="2"/>
  <c r="P172" i="4"/>
  <c r="W229" i="5"/>
  <c r="R8" i="2"/>
  <c r="R172" i="4"/>
  <c r="Z229" i="5"/>
  <c r="L20" i="2"/>
  <c r="L198" i="4"/>
  <c r="Q386" i="5"/>
  <c r="T386" i="5"/>
  <c r="P20" i="2"/>
  <c r="P198" i="4"/>
  <c r="W386" i="5"/>
  <c r="R20" i="2"/>
  <c r="R198" i="4"/>
  <c r="Z386" i="5"/>
  <c r="T296" i="4"/>
  <c r="T297" i="4"/>
  <c r="T299" i="4"/>
  <c r="T300" i="4"/>
  <c r="T301" i="4"/>
  <c r="T302" i="4"/>
  <c r="T344" i="4"/>
  <c r="T345" i="4"/>
  <c r="T346" i="4"/>
  <c r="T347" i="4"/>
  <c r="T349" i="4"/>
  <c r="T350" i="4"/>
  <c r="T351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R5" i="4"/>
  <c r="R6" i="4"/>
  <c r="R7" i="4"/>
  <c r="R8" i="4"/>
  <c r="R9" i="4"/>
  <c r="R10" i="4"/>
  <c r="R11" i="4"/>
  <c r="R12" i="4"/>
  <c r="R15" i="4"/>
  <c r="R43" i="4"/>
  <c r="R54" i="4"/>
  <c r="R80" i="4"/>
  <c r="R84" i="4"/>
  <c r="R87" i="4"/>
  <c r="R92" i="4"/>
  <c r="R101" i="4"/>
  <c r="R104" i="4"/>
  <c r="R123" i="4"/>
  <c r="R133" i="4"/>
  <c r="R134" i="4"/>
  <c r="R158" i="4"/>
  <c r="R166" i="4"/>
  <c r="R173" i="4"/>
  <c r="R174" i="4"/>
  <c r="R175" i="4"/>
  <c r="R176" i="4"/>
  <c r="R186" i="4"/>
  <c r="R187" i="4"/>
  <c r="R188" i="4"/>
  <c r="R191" i="4"/>
  <c r="R196" i="4"/>
  <c r="R200" i="4"/>
  <c r="R202" i="4"/>
  <c r="R206" i="4"/>
  <c r="R209" i="4"/>
  <c r="R224" i="4"/>
  <c r="R231" i="4"/>
  <c r="R254" i="4"/>
  <c r="R274" i="4"/>
  <c r="R316" i="4"/>
  <c r="R361" i="4"/>
  <c r="R364" i="4"/>
  <c r="R365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Q2" i="14"/>
  <c r="P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4" i="4"/>
  <c r="P35" i="4"/>
  <c r="P36" i="4"/>
  <c r="P37" i="4"/>
  <c r="P38" i="4"/>
  <c r="P39" i="4"/>
  <c r="P40" i="4"/>
  <c r="P41" i="4"/>
  <c r="P42" i="4"/>
  <c r="P43" i="4"/>
  <c r="P44" i="4"/>
  <c r="P46" i="4"/>
  <c r="P47" i="4"/>
  <c r="P48" i="4"/>
  <c r="P50" i="4"/>
  <c r="P51" i="4"/>
  <c r="P52" i="4"/>
  <c r="P53" i="4"/>
  <c r="P54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5" i="4"/>
  <c r="P77" i="4"/>
  <c r="P78" i="4"/>
  <c r="P79" i="4"/>
  <c r="P80" i="4"/>
  <c r="P81" i="4"/>
  <c r="P82" i="4"/>
  <c r="P83" i="4"/>
  <c r="P84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30" i="4"/>
  <c r="P133" i="4"/>
  <c r="P134" i="4"/>
  <c r="P135" i="4"/>
  <c r="P136" i="4"/>
  <c r="P137" i="4"/>
  <c r="P138" i="4"/>
  <c r="P139" i="4"/>
  <c r="P140" i="4"/>
  <c r="P141" i="4"/>
  <c r="P144" i="4"/>
  <c r="P145" i="4"/>
  <c r="P146" i="4"/>
  <c r="P147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6" i="4"/>
  <c r="P197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7" i="4"/>
  <c r="P238" i="4"/>
  <c r="P239" i="4"/>
  <c r="P242" i="4"/>
  <c r="P243" i="4"/>
  <c r="P244" i="4"/>
  <c r="P245" i="4"/>
  <c r="P246" i="4"/>
  <c r="P247" i="4"/>
  <c r="P250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8" i="4"/>
  <c r="P269" i="4"/>
  <c r="P272" i="4"/>
  <c r="P273" i="4"/>
  <c r="P274" i="4"/>
  <c r="P275" i="4"/>
  <c r="P276" i="4"/>
  <c r="P277" i="4"/>
  <c r="P280" i="4"/>
  <c r="P281" i="4"/>
  <c r="P283" i="4"/>
  <c r="P285" i="4"/>
  <c r="P286" i="4"/>
  <c r="P287" i="4"/>
  <c r="P289" i="4"/>
  <c r="P291" i="4"/>
  <c r="P293" i="4"/>
  <c r="P294" i="4"/>
  <c r="P296" i="4"/>
  <c r="P297" i="4"/>
  <c r="P299" i="4"/>
  <c r="P300" i="4"/>
  <c r="P301" i="4"/>
  <c r="P302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37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8" i="4"/>
  <c r="P339" i="4"/>
  <c r="P340" i="4"/>
  <c r="P341" i="4"/>
  <c r="P342" i="4"/>
  <c r="P343" i="4"/>
  <c r="P344" i="4"/>
  <c r="P345" i="4"/>
  <c r="P346" i="4"/>
  <c r="P347" i="4"/>
  <c r="P349" i="4"/>
  <c r="P350" i="4"/>
  <c r="P351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O2" i="14"/>
  <c r="N33" i="2"/>
  <c r="N3" i="4"/>
  <c r="N34" i="2"/>
  <c r="N17" i="4"/>
  <c r="N18" i="4"/>
  <c r="N21" i="4"/>
  <c r="N38" i="2"/>
  <c r="N63" i="4"/>
  <c r="N23" i="2"/>
  <c r="N125" i="4"/>
  <c r="N26" i="2"/>
  <c r="N27" i="2"/>
  <c r="N126" i="4"/>
  <c r="N29" i="2"/>
  <c r="N166" i="4"/>
  <c r="N17" i="2"/>
  <c r="N178" i="4"/>
  <c r="N13" i="2"/>
  <c r="N208" i="4"/>
  <c r="N30" i="2"/>
  <c r="N218" i="4"/>
  <c r="N18" i="2"/>
  <c r="N233" i="4"/>
  <c r="N9" i="2"/>
  <c r="N237" i="4"/>
  <c r="N19" i="2"/>
  <c r="N238" i="4"/>
  <c r="N249" i="4"/>
  <c r="N277" i="4"/>
  <c r="N296" i="4"/>
  <c r="N297" i="4"/>
  <c r="N299" i="4"/>
  <c r="N300" i="4"/>
  <c r="N301" i="4"/>
  <c r="N302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37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8" i="4"/>
  <c r="N339" i="4"/>
  <c r="N340" i="4"/>
  <c r="N341" i="4"/>
  <c r="N342" i="4"/>
  <c r="N343" i="4"/>
  <c r="N344" i="4"/>
  <c r="N345" i="4"/>
  <c r="N346" i="4"/>
  <c r="N347" i="4"/>
  <c r="N349" i="4"/>
  <c r="N350" i="4"/>
  <c r="N351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82" i="4"/>
  <c r="N383" i="4"/>
  <c r="N20" i="2"/>
  <c r="N384" i="4"/>
  <c r="N22" i="2"/>
  <c r="N385" i="4"/>
  <c r="N386" i="4"/>
  <c r="N387" i="4"/>
  <c r="N388" i="4"/>
  <c r="N389" i="4"/>
  <c r="N390" i="4"/>
  <c r="N7" i="2"/>
  <c r="N391" i="4"/>
  <c r="N24" i="2"/>
  <c r="N392" i="4"/>
  <c r="N393" i="4"/>
  <c r="N394" i="4"/>
  <c r="N395" i="4"/>
  <c r="N396" i="4"/>
  <c r="N397" i="4"/>
  <c r="N398" i="4"/>
  <c r="N16" i="2"/>
  <c r="N399" i="4"/>
  <c r="N400" i="4"/>
  <c r="N12" i="2"/>
  <c r="N401" i="4"/>
  <c r="N402" i="4"/>
  <c r="N403" i="4"/>
  <c r="N404" i="4"/>
  <c r="N405" i="4"/>
  <c r="N406" i="4"/>
  <c r="M2" i="1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4" i="4"/>
  <c r="L35" i="4"/>
  <c r="L36" i="4"/>
  <c r="L37" i="4"/>
  <c r="L38" i="4"/>
  <c r="L39" i="4"/>
  <c r="L40" i="4"/>
  <c r="L41" i="4"/>
  <c r="L42" i="4"/>
  <c r="L43" i="4"/>
  <c r="L44" i="4"/>
  <c r="L46" i="4"/>
  <c r="L47" i="4"/>
  <c r="L48" i="4"/>
  <c r="L50" i="4"/>
  <c r="L51" i="4"/>
  <c r="L52" i="4"/>
  <c r="L53" i="4"/>
  <c r="L54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5" i="4"/>
  <c r="L77" i="4"/>
  <c r="L78" i="4"/>
  <c r="L79" i="4"/>
  <c r="L80" i="4"/>
  <c r="L81" i="4"/>
  <c r="L82" i="4"/>
  <c r="L83" i="4"/>
  <c r="L84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30" i="4"/>
  <c r="L133" i="4"/>
  <c r="L134" i="4"/>
  <c r="L135" i="4"/>
  <c r="L136" i="4"/>
  <c r="L137" i="4"/>
  <c r="L138" i="4"/>
  <c r="L139" i="4"/>
  <c r="L140" i="4"/>
  <c r="L141" i="4"/>
  <c r="L144" i="4"/>
  <c r="L145" i="4"/>
  <c r="L146" i="4"/>
  <c r="L147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7" i="4"/>
  <c r="L238" i="4"/>
  <c r="L239" i="4"/>
  <c r="L240" i="4"/>
  <c r="L242" i="4"/>
  <c r="L243" i="4"/>
  <c r="L244" i="4"/>
  <c r="L245" i="4"/>
  <c r="L246" i="4"/>
  <c r="L247" i="4"/>
  <c r="L249" i="4"/>
  <c r="L250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2" i="4"/>
  <c r="L273" i="4"/>
  <c r="L274" i="4"/>
  <c r="L275" i="4"/>
  <c r="L276" i="4"/>
  <c r="L277" i="4"/>
  <c r="L278" i="4"/>
  <c r="L280" i="4"/>
  <c r="L281" i="4"/>
  <c r="L282" i="4"/>
  <c r="L283" i="4"/>
  <c r="L285" i="4"/>
  <c r="L286" i="4"/>
  <c r="L287" i="4"/>
  <c r="L289" i="4"/>
  <c r="L291" i="4"/>
  <c r="L293" i="4"/>
  <c r="L294" i="4"/>
  <c r="L296" i="4"/>
  <c r="L297" i="4"/>
  <c r="L299" i="4"/>
  <c r="L300" i="4"/>
  <c r="L301" i="4"/>
  <c r="L302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37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8" i="4"/>
  <c r="L339" i="4"/>
  <c r="L340" i="4"/>
  <c r="L341" i="4"/>
  <c r="L342" i="4"/>
  <c r="L343" i="4"/>
  <c r="L344" i="4"/>
  <c r="L345" i="4"/>
  <c r="L346" i="4"/>
  <c r="L347" i="4"/>
  <c r="L349" i="4"/>
  <c r="L350" i="4"/>
  <c r="L351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K2" i="14"/>
  <c r="K165" i="5"/>
  <c r="J35" i="2"/>
  <c r="J2" i="4"/>
  <c r="K121" i="5"/>
  <c r="J33" i="2"/>
  <c r="J3" i="4"/>
  <c r="J4" i="4"/>
  <c r="H34" i="2"/>
  <c r="H85" i="4"/>
  <c r="K101" i="5"/>
  <c r="J34" i="2"/>
  <c r="J5" i="4"/>
  <c r="H38" i="2"/>
  <c r="H74" i="4"/>
  <c r="K333" i="5"/>
  <c r="J38" i="2"/>
  <c r="J6" i="4"/>
  <c r="J7" i="4"/>
  <c r="H28" i="2"/>
  <c r="H76" i="4"/>
  <c r="K369" i="5"/>
  <c r="J28" i="2"/>
  <c r="J8" i="4"/>
  <c r="J9" i="4"/>
  <c r="J10" i="4"/>
  <c r="J11" i="4"/>
  <c r="K252" i="5"/>
  <c r="J25" i="2"/>
  <c r="J12" i="4"/>
  <c r="J13" i="4"/>
  <c r="J14" i="4"/>
  <c r="K386" i="5"/>
  <c r="J20" i="2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K244" i="5"/>
  <c r="J26" i="2"/>
  <c r="J44" i="4"/>
  <c r="J46" i="4"/>
  <c r="J47" i="4"/>
  <c r="J48" i="4"/>
  <c r="J49" i="4"/>
  <c r="J50" i="4"/>
  <c r="J51" i="4"/>
  <c r="K269" i="5"/>
  <c r="J23" i="2"/>
  <c r="J52" i="4"/>
  <c r="J53" i="4"/>
  <c r="J54" i="4"/>
  <c r="H6" i="2"/>
  <c r="H55" i="4"/>
  <c r="K184" i="5"/>
  <c r="J6" i="2"/>
  <c r="J55" i="4"/>
  <c r="J56" i="4"/>
  <c r="J57" i="4"/>
  <c r="J21" i="2"/>
  <c r="J58" i="4"/>
  <c r="H16" i="2"/>
  <c r="H143" i="4"/>
  <c r="K286" i="5"/>
  <c r="J16" i="2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2" i="4"/>
  <c r="J103" i="4"/>
  <c r="H14" i="2"/>
  <c r="H292" i="4"/>
  <c r="K224" i="5"/>
  <c r="J14" i="2"/>
  <c r="J104" i="4"/>
  <c r="J105" i="4"/>
  <c r="J106" i="4"/>
  <c r="J107" i="4"/>
  <c r="J108" i="4"/>
  <c r="J109" i="4"/>
  <c r="J110" i="4"/>
  <c r="J111" i="4"/>
  <c r="J112" i="4"/>
  <c r="J114" i="4"/>
  <c r="J115" i="4"/>
  <c r="J116" i="4"/>
  <c r="J117" i="4"/>
  <c r="J118" i="4"/>
  <c r="J119" i="4"/>
  <c r="H248" i="4"/>
  <c r="K306" i="5"/>
  <c r="J29" i="2"/>
  <c r="J120" i="4"/>
  <c r="J121" i="4"/>
  <c r="J122" i="4"/>
  <c r="J123" i="4"/>
  <c r="J124" i="4"/>
  <c r="J125" i="4"/>
  <c r="J126" i="4"/>
  <c r="J127" i="4"/>
  <c r="J129" i="4"/>
  <c r="J130" i="4"/>
  <c r="J132" i="4"/>
  <c r="J133" i="4"/>
  <c r="J134" i="4"/>
  <c r="J135" i="4"/>
  <c r="J136" i="4"/>
  <c r="J137" i="4"/>
  <c r="J138" i="4"/>
  <c r="J139" i="4"/>
  <c r="H30" i="2"/>
  <c r="H252" i="4"/>
  <c r="K293" i="5"/>
  <c r="J30" i="2"/>
  <c r="J140" i="4"/>
  <c r="J141" i="4"/>
  <c r="J143" i="4"/>
  <c r="J144" i="4"/>
  <c r="J145" i="4"/>
  <c r="H10" i="2"/>
  <c r="H241" i="4"/>
  <c r="K67" i="5"/>
  <c r="J10" i="2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K229" i="5"/>
  <c r="J8" i="2"/>
  <c r="J172" i="4"/>
  <c r="J173" i="4"/>
  <c r="J174" i="4"/>
  <c r="J176" i="4"/>
  <c r="J177" i="4"/>
  <c r="J178" i="4"/>
  <c r="J179" i="4"/>
  <c r="J180" i="4"/>
  <c r="H19" i="2"/>
  <c r="H270" i="4"/>
  <c r="K8" i="5"/>
  <c r="J19" i="2"/>
  <c r="J181" i="4"/>
  <c r="J182" i="4"/>
  <c r="J183" i="4"/>
  <c r="J184" i="4"/>
  <c r="J185" i="4"/>
  <c r="J189" i="4"/>
  <c r="J190" i="4"/>
  <c r="J192" i="4"/>
  <c r="J193" i="4"/>
  <c r="H18" i="2"/>
  <c r="H279" i="4"/>
  <c r="K174" i="5"/>
  <c r="J18" i="2"/>
  <c r="J194" i="4"/>
  <c r="J195" i="4"/>
  <c r="J197" i="4"/>
  <c r="J198" i="4"/>
  <c r="J199" i="4"/>
  <c r="J201" i="4"/>
  <c r="J202" i="4"/>
  <c r="J203" i="4"/>
  <c r="J204" i="4"/>
  <c r="J205" i="4"/>
  <c r="J206" i="4"/>
  <c r="J207" i="4"/>
  <c r="J209" i="4"/>
  <c r="J210" i="4"/>
  <c r="J211" i="4"/>
  <c r="J213" i="4"/>
  <c r="J214" i="4"/>
  <c r="J215" i="4"/>
  <c r="J216" i="4"/>
  <c r="J217" i="4"/>
  <c r="J218" i="4"/>
  <c r="H22" i="2"/>
  <c r="H271" i="4"/>
  <c r="K24" i="5"/>
  <c r="J22" i="2"/>
  <c r="J219" i="4"/>
  <c r="J220" i="4"/>
  <c r="J221" i="4"/>
  <c r="J222" i="4"/>
  <c r="J223" i="4"/>
  <c r="J224" i="4"/>
  <c r="J225" i="4"/>
  <c r="J226" i="4"/>
  <c r="J227" i="4"/>
  <c r="J228" i="4"/>
  <c r="J229" i="4"/>
  <c r="J230" i="4"/>
  <c r="J232" i="4"/>
  <c r="J233" i="4"/>
  <c r="J234" i="4"/>
  <c r="J235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2" i="4"/>
  <c r="J253" i="4"/>
  <c r="J254" i="4"/>
  <c r="J255" i="4"/>
  <c r="J256" i="4"/>
  <c r="J257" i="4"/>
  <c r="J258" i="4"/>
  <c r="J259" i="4"/>
  <c r="J260" i="4"/>
  <c r="H11" i="2"/>
  <c r="H290" i="4"/>
  <c r="K49" i="5"/>
  <c r="J11" i="2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H13" i="2"/>
  <c r="H284" i="4"/>
  <c r="K40" i="5"/>
  <c r="J13" i="2"/>
  <c r="J282" i="4"/>
  <c r="J283" i="4"/>
  <c r="J284" i="4"/>
  <c r="J285" i="4"/>
  <c r="J286" i="4"/>
  <c r="J287" i="4"/>
  <c r="H12" i="2"/>
  <c r="H288" i="4"/>
  <c r="K43" i="5"/>
  <c r="J12" i="2"/>
  <c r="J288" i="4"/>
  <c r="J289" i="4"/>
  <c r="J290" i="4"/>
  <c r="J291" i="4"/>
  <c r="J292" i="4"/>
  <c r="J293" i="4"/>
  <c r="J294" i="4"/>
  <c r="J296" i="4"/>
  <c r="J297" i="4"/>
  <c r="J299" i="4"/>
  <c r="J300" i="4"/>
  <c r="J301" i="4"/>
  <c r="J302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37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8" i="4"/>
  <c r="J339" i="4"/>
  <c r="J340" i="4"/>
  <c r="J341" i="4"/>
  <c r="J342" i="4"/>
  <c r="J343" i="4"/>
  <c r="J344" i="4"/>
  <c r="J345" i="4"/>
  <c r="J346" i="4"/>
  <c r="J347" i="4"/>
  <c r="J349" i="4"/>
  <c r="J350" i="4"/>
  <c r="J351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I2" i="14"/>
  <c r="H35" i="2"/>
  <c r="H2" i="4"/>
  <c r="H7" i="4"/>
  <c r="H8" i="4"/>
  <c r="H10" i="4"/>
  <c r="H13" i="4"/>
  <c r="H14" i="4"/>
  <c r="H17" i="4"/>
  <c r="H19" i="4"/>
  <c r="H28" i="4"/>
  <c r="H35" i="4"/>
  <c r="H36" i="4"/>
  <c r="H37" i="4"/>
  <c r="H38" i="4"/>
  <c r="H39" i="4"/>
  <c r="H41" i="4"/>
  <c r="H43" i="4"/>
  <c r="H26" i="2"/>
  <c r="H27" i="2"/>
  <c r="H44" i="4"/>
  <c r="H25" i="2"/>
  <c r="H47" i="4"/>
  <c r="H51" i="4"/>
  <c r="H53" i="4"/>
  <c r="H56" i="4"/>
  <c r="H21" i="2"/>
  <c r="H58" i="4"/>
  <c r="H59" i="4"/>
  <c r="H60" i="4"/>
  <c r="H61" i="4"/>
  <c r="H62" i="4"/>
  <c r="H63" i="4"/>
  <c r="H64" i="4"/>
  <c r="H65" i="4"/>
  <c r="H66" i="4"/>
  <c r="H67" i="4"/>
  <c r="H69" i="4"/>
  <c r="H71" i="4"/>
  <c r="H72" i="4"/>
  <c r="H73" i="4"/>
  <c r="H75" i="4"/>
  <c r="H77" i="4"/>
  <c r="H78" i="4"/>
  <c r="H79" i="4"/>
  <c r="H81" i="4"/>
  <c r="H82" i="4"/>
  <c r="H83" i="4"/>
  <c r="H86" i="4"/>
  <c r="H93" i="4"/>
  <c r="H97" i="4"/>
  <c r="H99" i="4"/>
  <c r="H102" i="4"/>
  <c r="H103" i="4"/>
  <c r="H105" i="4"/>
  <c r="H107" i="4"/>
  <c r="H108" i="4"/>
  <c r="H109" i="4"/>
  <c r="H24" i="2"/>
  <c r="H110" i="4"/>
  <c r="H111" i="4"/>
  <c r="H112" i="4"/>
  <c r="H114" i="4"/>
  <c r="H115" i="4"/>
  <c r="H116" i="4"/>
  <c r="H119" i="4"/>
  <c r="H121" i="4"/>
  <c r="H122" i="4"/>
  <c r="H23" i="2"/>
  <c r="H124" i="4"/>
  <c r="H138" i="4"/>
  <c r="H139" i="4"/>
  <c r="H140" i="4"/>
  <c r="H141" i="4"/>
  <c r="H144" i="4"/>
  <c r="H145" i="4"/>
  <c r="H146" i="4"/>
  <c r="H147" i="4"/>
  <c r="H149" i="4"/>
  <c r="H150" i="4"/>
  <c r="H152" i="4"/>
  <c r="H155" i="4"/>
  <c r="H156" i="4"/>
  <c r="H157" i="4"/>
  <c r="H20" i="2"/>
  <c r="H158" i="4"/>
  <c r="H161" i="4"/>
  <c r="H162" i="4"/>
  <c r="H163" i="4"/>
  <c r="H165" i="4"/>
  <c r="H166" i="4"/>
  <c r="H167" i="4"/>
  <c r="H168" i="4"/>
  <c r="H170" i="4"/>
  <c r="H171" i="4"/>
  <c r="H176" i="4"/>
  <c r="H177" i="4"/>
  <c r="H178" i="4"/>
  <c r="H179" i="4"/>
  <c r="H180" i="4"/>
  <c r="H181" i="4"/>
  <c r="H182" i="4"/>
  <c r="H184" i="4"/>
  <c r="H185" i="4"/>
  <c r="H189" i="4"/>
  <c r="H190" i="4"/>
  <c r="H192" i="4"/>
  <c r="H193" i="4"/>
  <c r="H195" i="4"/>
  <c r="H197" i="4"/>
  <c r="H202" i="4"/>
  <c r="H203" i="4"/>
  <c r="H204" i="4"/>
  <c r="H205" i="4"/>
  <c r="H207" i="4"/>
  <c r="H209" i="4"/>
  <c r="H210" i="4"/>
  <c r="H211" i="4"/>
  <c r="H213" i="4"/>
  <c r="H214" i="4"/>
  <c r="H215" i="4"/>
  <c r="H216" i="4"/>
  <c r="H217" i="4"/>
  <c r="H218" i="4"/>
  <c r="H219" i="4"/>
  <c r="H220" i="4"/>
  <c r="H221" i="4"/>
  <c r="H222" i="4"/>
  <c r="H223" i="4"/>
  <c r="H225" i="4"/>
  <c r="H227" i="4"/>
  <c r="H228" i="4"/>
  <c r="H229" i="4"/>
  <c r="H230" i="4"/>
  <c r="H232" i="4"/>
  <c r="H233" i="4"/>
  <c r="H234" i="4"/>
  <c r="H237" i="4"/>
  <c r="H238" i="4"/>
  <c r="H240" i="4"/>
  <c r="H243" i="4"/>
  <c r="H244" i="4"/>
  <c r="H246" i="4"/>
  <c r="H247" i="4"/>
  <c r="H249" i="4"/>
  <c r="H250" i="4"/>
  <c r="H253" i="4"/>
  <c r="H254" i="4"/>
  <c r="H255" i="4"/>
  <c r="H256" i="4"/>
  <c r="H257" i="4"/>
  <c r="H258" i="4"/>
  <c r="H259" i="4"/>
  <c r="H260" i="4"/>
  <c r="H261" i="4"/>
  <c r="H263" i="4"/>
  <c r="H264" i="4"/>
  <c r="H265" i="4"/>
  <c r="H266" i="4"/>
  <c r="H267" i="4"/>
  <c r="H268" i="4"/>
  <c r="H269" i="4"/>
  <c r="H272" i="4"/>
  <c r="H273" i="4"/>
  <c r="H275" i="4"/>
  <c r="H276" i="4"/>
  <c r="H280" i="4"/>
  <c r="H281" i="4"/>
  <c r="H282" i="4"/>
  <c r="H283" i="4"/>
  <c r="H285" i="4"/>
  <c r="H286" i="4"/>
  <c r="H287" i="4"/>
  <c r="H289" i="4"/>
  <c r="H291" i="4"/>
  <c r="H293" i="4"/>
  <c r="H294" i="4"/>
  <c r="H344" i="4"/>
  <c r="H345" i="4"/>
  <c r="H346" i="4"/>
  <c r="H347" i="4"/>
  <c r="H349" i="4"/>
  <c r="H350" i="4"/>
  <c r="H351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G2" i="14"/>
  <c r="F2" i="4"/>
  <c r="F33" i="2"/>
  <c r="F3" i="4"/>
  <c r="F4" i="4"/>
  <c r="F34" i="2"/>
  <c r="F5" i="4"/>
  <c r="F38" i="2"/>
  <c r="F6" i="4"/>
  <c r="F7" i="4"/>
  <c r="F28" i="2"/>
  <c r="F8" i="4"/>
  <c r="F9" i="4"/>
  <c r="F10" i="4"/>
  <c r="F32" i="2"/>
  <c r="F11" i="4"/>
  <c r="F25" i="2"/>
  <c r="F12" i="4"/>
  <c r="F13" i="4"/>
  <c r="F14" i="4"/>
  <c r="F20" i="2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26" i="2"/>
  <c r="F27" i="2"/>
  <c r="F44" i="4"/>
  <c r="F37" i="2"/>
  <c r="F45" i="4"/>
  <c r="F46" i="4"/>
  <c r="F47" i="4"/>
  <c r="F48" i="4"/>
  <c r="F49" i="4"/>
  <c r="F50" i="4"/>
  <c r="F51" i="4"/>
  <c r="F23" i="2"/>
  <c r="F52" i="4"/>
  <c r="F53" i="4"/>
  <c r="F54" i="4"/>
  <c r="F6" i="2"/>
  <c r="F55" i="4"/>
  <c r="F56" i="4"/>
  <c r="F57" i="4"/>
  <c r="F21" i="2"/>
  <c r="F58" i="4"/>
  <c r="F16" i="2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31" i="2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4" i="2"/>
  <c r="F104" i="4"/>
  <c r="F105" i="4"/>
  <c r="F106" i="4"/>
  <c r="F107" i="4"/>
  <c r="F108" i="4"/>
  <c r="F109" i="4"/>
  <c r="F24" i="2"/>
  <c r="F110" i="4"/>
  <c r="F111" i="4"/>
  <c r="F112" i="4"/>
  <c r="F113" i="4"/>
  <c r="F114" i="4"/>
  <c r="F115" i="4"/>
  <c r="F116" i="4"/>
  <c r="F117" i="4"/>
  <c r="F118" i="4"/>
  <c r="F119" i="4"/>
  <c r="F29" i="2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30" i="2"/>
  <c r="F140" i="4"/>
  <c r="F141" i="4"/>
  <c r="F17" i="2"/>
  <c r="F142" i="4"/>
  <c r="F143" i="4"/>
  <c r="F144" i="4"/>
  <c r="F145" i="4"/>
  <c r="F10" i="2"/>
  <c r="F146" i="4"/>
  <c r="F9" i="2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8" i="2"/>
  <c r="F172" i="4"/>
  <c r="F173" i="4"/>
  <c r="F174" i="4"/>
  <c r="F175" i="4"/>
  <c r="F176" i="4"/>
  <c r="F177" i="4"/>
  <c r="F178" i="4"/>
  <c r="F15" i="2"/>
  <c r="F179" i="4"/>
  <c r="F180" i="4"/>
  <c r="F19" i="2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8" i="2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13" i="2"/>
  <c r="F208" i="4"/>
  <c r="F209" i="4"/>
  <c r="F210" i="4"/>
  <c r="F211" i="4"/>
  <c r="F212" i="4"/>
  <c r="F213" i="4"/>
  <c r="F214" i="4"/>
  <c r="F215" i="4"/>
  <c r="F216" i="4"/>
  <c r="F217" i="4"/>
  <c r="F218" i="4"/>
  <c r="F22" i="2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11" i="2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7" i="2"/>
  <c r="F278" i="4"/>
  <c r="F279" i="4"/>
  <c r="F280" i="4"/>
  <c r="F281" i="4"/>
  <c r="F282" i="4"/>
  <c r="F283" i="4"/>
  <c r="F284" i="4"/>
  <c r="F285" i="4"/>
  <c r="F286" i="4"/>
  <c r="F287" i="4"/>
  <c r="F12" i="2"/>
  <c r="F288" i="4"/>
  <c r="F289" i="4"/>
  <c r="F290" i="4"/>
  <c r="F291" i="4"/>
  <c r="F292" i="4"/>
  <c r="F293" i="4"/>
  <c r="F294" i="4"/>
  <c r="F295" i="4"/>
  <c r="F4" i="2"/>
  <c r="F296" i="4"/>
  <c r="F297" i="4"/>
  <c r="F298" i="4"/>
  <c r="F299" i="4"/>
  <c r="F5" i="2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37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8" i="4"/>
  <c r="F339" i="4"/>
  <c r="F340" i="4"/>
  <c r="F341" i="4"/>
  <c r="F342" i="4"/>
  <c r="F343" i="4"/>
  <c r="F2" i="2"/>
  <c r="F344" i="4"/>
  <c r="F3" i="2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9" i="2"/>
  <c r="F366" i="4"/>
  <c r="F367" i="4"/>
  <c r="F368" i="4"/>
  <c r="F369" i="4"/>
  <c r="F370" i="4"/>
  <c r="F371" i="4"/>
  <c r="F372" i="4"/>
  <c r="F373" i="4"/>
  <c r="F374" i="4"/>
  <c r="F375" i="4"/>
  <c r="F376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E2" i="14"/>
  <c r="D35" i="2"/>
  <c r="D2" i="4"/>
  <c r="D33" i="2"/>
  <c r="D3" i="4"/>
  <c r="D4" i="4"/>
  <c r="D34" i="2"/>
  <c r="D5" i="4"/>
  <c r="D38" i="2"/>
  <c r="D6" i="4"/>
  <c r="D7" i="4"/>
  <c r="D28" i="2"/>
  <c r="D8" i="4"/>
  <c r="D9" i="4"/>
  <c r="D10" i="4"/>
  <c r="D32" i="2"/>
  <c r="D11" i="4"/>
  <c r="D25" i="2"/>
  <c r="D12" i="4"/>
  <c r="D13" i="4"/>
  <c r="D14" i="4"/>
  <c r="D20" i="2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26" i="2"/>
  <c r="D27" i="2"/>
  <c r="D44" i="4"/>
  <c r="D37" i="2"/>
  <c r="D45" i="4"/>
  <c r="D46" i="4"/>
  <c r="D47" i="4"/>
  <c r="D48" i="4"/>
  <c r="D49" i="4"/>
  <c r="D50" i="4"/>
  <c r="D51" i="4"/>
  <c r="D23" i="2"/>
  <c r="D52" i="4"/>
  <c r="D53" i="4"/>
  <c r="D54" i="4"/>
  <c r="D6" i="2"/>
  <c r="D55" i="4"/>
  <c r="D56" i="4"/>
  <c r="D57" i="4"/>
  <c r="D21" i="2"/>
  <c r="D58" i="4"/>
  <c r="D16" i="2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31" i="2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4" i="2"/>
  <c r="D104" i="4"/>
  <c r="D105" i="4"/>
  <c r="D106" i="4"/>
  <c r="D107" i="4"/>
  <c r="D108" i="4"/>
  <c r="D109" i="4"/>
  <c r="D24" i="2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30" i="2"/>
  <c r="D140" i="4"/>
  <c r="D141" i="4"/>
  <c r="D17" i="2"/>
  <c r="D142" i="4"/>
  <c r="D143" i="4"/>
  <c r="D144" i="4"/>
  <c r="D145" i="4"/>
  <c r="D10" i="2"/>
  <c r="D146" i="4"/>
  <c r="D9" i="2"/>
  <c r="D147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8" i="2"/>
  <c r="D172" i="4"/>
  <c r="D173" i="4"/>
  <c r="D174" i="4"/>
  <c r="D175" i="4"/>
  <c r="D176" i="4"/>
  <c r="D177" i="4"/>
  <c r="D178" i="4"/>
  <c r="D15" i="2"/>
  <c r="D179" i="4"/>
  <c r="D180" i="4"/>
  <c r="D19" i="2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8" i="2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13" i="2"/>
  <c r="D208" i="4"/>
  <c r="D209" i="4"/>
  <c r="D210" i="4"/>
  <c r="D211" i="4"/>
  <c r="D212" i="4"/>
  <c r="D213" i="4"/>
  <c r="D214" i="4"/>
  <c r="D215" i="4"/>
  <c r="D216" i="4"/>
  <c r="D217" i="4"/>
  <c r="D218" i="4"/>
  <c r="D22" i="2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11" i="2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7" i="2"/>
  <c r="D278" i="4"/>
  <c r="D279" i="4"/>
  <c r="D280" i="4"/>
  <c r="D281" i="4"/>
  <c r="D282" i="4"/>
  <c r="D283" i="4"/>
  <c r="D284" i="4"/>
  <c r="D285" i="4"/>
  <c r="D286" i="4"/>
  <c r="D287" i="4"/>
  <c r="D12" i="2"/>
  <c r="D288" i="4"/>
  <c r="D289" i="4"/>
  <c r="D290" i="4"/>
  <c r="D291" i="4"/>
  <c r="D292" i="4"/>
  <c r="D293" i="4"/>
  <c r="D294" i="4"/>
  <c r="D295" i="4"/>
  <c r="D296" i="4"/>
  <c r="D297" i="4"/>
  <c r="D299" i="4"/>
  <c r="D5" i="2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37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8" i="4"/>
  <c r="D339" i="4"/>
  <c r="D340" i="4"/>
  <c r="D341" i="4"/>
  <c r="D342" i="4"/>
  <c r="D343" i="4"/>
  <c r="D2" i="2"/>
  <c r="D344" i="4"/>
  <c r="D3" i="2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9" i="2"/>
  <c r="D366" i="4"/>
  <c r="D367" i="4"/>
  <c r="D368" i="4"/>
  <c r="D369" i="4"/>
  <c r="D370" i="4"/>
  <c r="D371" i="4"/>
  <c r="D372" i="4"/>
  <c r="D373" i="4"/>
  <c r="D374" i="4"/>
  <c r="D375" i="4"/>
  <c r="D376" i="4"/>
  <c r="C2" i="14"/>
  <c r="E2" i="4"/>
  <c r="E33" i="2"/>
  <c r="E3" i="4"/>
  <c r="E4" i="4"/>
  <c r="E34" i="2"/>
  <c r="E5" i="4"/>
  <c r="E38" i="2"/>
  <c r="E6" i="4"/>
  <c r="E7" i="4"/>
  <c r="E28" i="2"/>
  <c r="E8" i="4"/>
  <c r="E9" i="4"/>
  <c r="E10" i="4"/>
  <c r="E32" i="2"/>
  <c r="E11" i="4"/>
  <c r="E25" i="2"/>
  <c r="E12" i="4"/>
  <c r="E13" i="4"/>
  <c r="E14" i="4"/>
  <c r="E20" i="2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26" i="2"/>
  <c r="E27" i="2"/>
  <c r="E44" i="4"/>
  <c r="E37" i="2"/>
  <c r="E45" i="4"/>
  <c r="E46" i="4"/>
  <c r="E47" i="4"/>
  <c r="E48" i="4"/>
  <c r="E49" i="4"/>
  <c r="E50" i="4"/>
  <c r="E51" i="4"/>
  <c r="E23" i="2"/>
  <c r="E52" i="4"/>
  <c r="E53" i="4"/>
  <c r="E54" i="4"/>
  <c r="E6" i="2"/>
  <c r="E55" i="4"/>
  <c r="E56" i="4"/>
  <c r="E57" i="4"/>
  <c r="E21" i="2"/>
  <c r="E58" i="4"/>
  <c r="E16" i="2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31" i="2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4" i="2"/>
  <c r="E104" i="4"/>
  <c r="E105" i="4"/>
  <c r="E106" i="4"/>
  <c r="E107" i="4"/>
  <c r="E108" i="4"/>
  <c r="E109" i="4"/>
  <c r="E24" i="2"/>
  <c r="E110" i="4"/>
  <c r="E111" i="4"/>
  <c r="E112" i="4"/>
  <c r="E113" i="4"/>
  <c r="E114" i="4"/>
  <c r="E115" i="4"/>
  <c r="E116" i="4"/>
  <c r="E117" i="4"/>
  <c r="E118" i="4"/>
  <c r="E119" i="4"/>
  <c r="E29" i="2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30" i="2"/>
  <c r="E140" i="4"/>
  <c r="E141" i="4"/>
  <c r="E17" i="2"/>
  <c r="E142" i="4"/>
  <c r="E143" i="4"/>
  <c r="E144" i="4"/>
  <c r="E145" i="4"/>
  <c r="E10" i="2"/>
  <c r="E146" i="4"/>
  <c r="E9" i="2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8" i="2"/>
  <c r="E172" i="4"/>
  <c r="E173" i="4"/>
  <c r="E174" i="4"/>
  <c r="E175" i="4"/>
  <c r="E176" i="4"/>
  <c r="E177" i="4"/>
  <c r="E178" i="4"/>
  <c r="E15" i="2"/>
  <c r="E179" i="4"/>
  <c r="E180" i="4"/>
  <c r="E19" i="2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8" i="2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13" i="2"/>
  <c r="E208" i="4"/>
  <c r="E209" i="4"/>
  <c r="E210" i="4"/>
  <c r="E211" i="4"/>
  <c r="E212" i="4"/>
  <c r="E213" i="4"/>
  <c r="E214" i="4"/>
  <c r="E215" i="4"/>
  <c r="E216" i="4"/>
  <c r="E217" i="4"/>
  <c r="E218" i="4"/>
  <c r="E22" i="2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11" i="2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7" i="2"/>
  <c r="E278" i="4"/>
  <c r="E279" i="4"/>
  <c r="E280" i="4"/>
  <c r="E281" i="4"/>
  <c r="E282" i="4"/>
  <c r="E283" i="4"/>
  <c r="E284" i="4"/>
  <c r="E285" i="4"/>
  <c r="E286" i="4"/>
  <c r="E287" i="4"/>
  <c r="E12" i="2"/>
  <c r="E288" i="4"/>
  <c r="E289" i="4"/>
  <c r="E290" i="4"/>
  <c r="E291" i="4"/>
  <c r="E292" i="4"/>
  <c r="E293" i="4"/>
  <c r="E294" i="4"/>
  <c r="E295" i="4"/>
  <c r="E4" i="2"/>
  <c r="E296" i="4"/>
  <c r="E297" i="4"/>
  <c r="E298" i="4"/>
  <c r="E299" i="4"/>
  <c r="E5" i="2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37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8" i="4"/>
  <c r="E339" i="4"/>
  <c r="E340" i="4"/>
  <c r="E341" i="4"/>
  <c r="E342" i="4"/>
  <c r="E343" i="4"/>
  <c r="E2" i="2"/>
  <c r="E344" i="4"/>
  <c r="E3" i="2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9" i="2"/>
  <c r="E366" i="4"/>
  <c r="E367" i="4"/>
  <c r="E368" i="4"/>
  <c r="E369" i="4"/>
  <c r="E370" i="4"/>
  <c r="E371" i="4"/>
  <c r="E372" i="4"/>
  <c r="E373" i="4"/>
  <c r="E374" i="4"/>
  <c r="E375" i="4"/>
  <c r="E376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D2" i="14"/>
  <c r="F2" i="14"/>
  <c r="I35" i="2"/>
  <c r="I2" i="4"/>
  <c r="I33" i="2"/>
  <c r="I3" i="4"/>
  <c r="I4" i="4"/>
  <c r="I34" i="2"/>
  <c r="I5" i="4"/>
  <c r="I38" i="2"/>
  <c r="I6" i="4"/>
  <c r="I7" i="4"/>
  <c r="I28" i="2"/>
  <c r="I8" i="4"/>
  <c r="I9" i="4"/>
  <c r="I10" i="4"/>
  <c r="I32" i="2"/>
  <c r="I11" i="4"/>
  <c r="I25" i="2"/>
  <c r="I12" i="4"/>
  <c r="I13" i="4"/>
  <c r="I14" i="4"/>
  <c r="I20" i="2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26" i="2"/>
  <c r="I27" i="2"/>
  <c r="I44" i="4"/>
  <c r="I37" i="2"/>
  <c r="I45" i="4"/>
  <c r="I46" i="4"/>
  <c r="I47" i="4"/>
  <c r="I48" i="4"/>
  <c r="I49" i="4"/>
  <c r="I50" i="4"/>
  <c r="I51" i="4"/>
  <c r="I23" i="2"/>
  <c r="I52" i="4"/>
  <c r="I53" i="4"/>
  <c r="I54" i="4"/>
  <c r="I6" i="2"/>
  <c r="I55" i="4"/>
  <c r="I56" i="4"/>
  <c r="I57" i="4"/>
  <c r="I16" i="2"/>
  <c r="I59" i="4"/>
  <c r="I60" i="4"/>
  <c r="I61" i="4"/>
  <c r="I63" i="4"/>
  <c r="I64" i="4"/>
  <c r="I65" i="4"/>
  <c r="I66" i="4"/>
  <c r="I67" i="4"/>
  <c r="I68" i="4"/>
  <c r="I70" i="4"/>
  <c r="I71" i="4"/>
  <c r="I72" i="4"/>
  <c r="I73" i="4"/>
  <c r="I74" i="4"/>
  <c r="I75" i="4"/>
  <c r="I76" i="4"/>
  <c r="I77" i="4"/>
  <c r="I79" i="4"/>
  <c r="I80" i="4"/>
  <c r="I81" i="4"/>
  <c r="I82" i="4"/>
  <c r="I83" i="4"/>
  <c r="I84" i="4"/>
  <c r="I85" i="4"/>
  <c r="I86" i="4"/>
  <c r="I31" i="2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2" i="4"/>
  <c r="I103" i="4"/>
  <c r="I14" i="2"/>
  <c r="I104" i="4"/>
  <c r="I105" i="4"/>
  <c r="I106" i="4"/>
  <c r="I107" i="4"/>
  <c r="I108" i="4"/>
  <c r="I109" i="4"/>
  <c r="I24" i="2"/>
  <c r="I110" i="4"/>
  <c r="I111" i="4"/>
  <c r="I112" i="4"/>
  <c r="I113" i="4"/>
  <c r="I114" i="4"/>
  <c r="I115" i="4"/>
  <c r="I116" i="4"/>
  <c r="I117" i="4"/>
  <c r="I118" i="4"/>
  <c r="I119" i="4"/>
  <c r="I29" i="2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30" i="2"/>
  <c r="I140" i="4"/>
  <c r="I141" i="4"/>
  <c r="I17" i="2"/>
  <c r="I142" i="4"/>
  <c r="I143" i="4"/>
  <c r="I144" i="4"/>
  <c r="I145" i="4"/>
  <c r="I10" i="2"/>
  <c r="I146" i="4"/>
  <c r="I9" i="2"/>
  <c r="I147" i="4"/>
  <c r="I148" i="4"/>
  <c r="I149" i="4"/>
  <c r="I150" i="4"/>
  <c r="I151" i="4"/>
  <c r="I152" i="4"/>
  <c r="I153" i="4"/>
  <c r="I154" i="4"/>
  <c r="I155" i="4"/>
  <c r="I156" i="4"/>
  <c r="I157" i="4"/>
  <c r="I159" i="4"/>
  <c r="I21" i="2"/>
  <c r="I160" i="4"/>
  <c r="I161" i="4"/>
  <c r="I162" i="4"/>
  <c r="I163" i="4"/>
  <c r="I164" i="4"/>
  <c r="I165" i="4"/>
  <c r="I166" i="4"/>
  <c r="I167" i="4"/>
  <c r="I168" i="4"/>
  <c r="I169" i="4"/>
  <c r="I170" i="4"/>
  <c r="I171" i="4"/>
  <c r="I8" i="2"/>
  <c r="I172" i="4"/>
  <c r="I173" i="4"/>
  <c r="I174" i="4"/>
  <c r="I177" i="4"/>
  <c r="I178" i="4"/>
  <c r="I15" i="2"/>
  <c r="I179" i="4"/>
  <c r="I180" i="4"/>
  <c r="I19" i="2"/>
  <c r="I181" i="4"/>
  <c r="I182" i="4"/>
  <c r="I183" i="4"/>
  <c r="I184" i="4"/>
  <c r="I185" i="4"/>
  <c r="I189" i="4"/>
  <c r="I190" i="4"/>
  <c r="I192" i="4"/>
  <c r="I193" i="4"/>
  <c r="I18" i="2"/>
  <c r="I194" i="4"/>
  <c r="I195" i="4"/>
  <c r="I197" i="4"/>
  <c r="I198" i="4"/>
  <c r="I199" i="4"/>
  <c r="I201" i="4"/>
  <c r="I202" i="4"/>
  <c r="I203" i="4"/>
  <c r="I204" i="4"/>
  <c r="I205" i="4"/>
  <c r="I206" i="4"/>
  <c r="I207" i="4"/>
  <c r="I209" i="4"/>
  <c r="I210" i="4"/>
  <c r="I211" i="4"/>
  <c r="I212" i="4"/>
  <c r="I213" i="4"/>
  <c r="I214" i="4"/>
  <c r="I215" i="4"/>
  <c r="I216" i="4"/>
  <c r="I217" i="4"/>
  <c r="I218" i="4"/>
  <c r="I22" i="2"/>
  <c r="I219" i="4"/>
  <c r="I220" i="4"/>
  <c r="I221" i="4"/>
  <c r="I222" i="4"/>
  <c r="I223" i="4"/>
  <c r="I224" i="4"/>
  <c r="I225" i="4"/>
  <c r="I226" i="4"/>
  <c r="I227" i="4"/>
  <c r="I228" i="4"/>
  <c r="I229" i="4"/>
  <c r="I230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11" i="2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7" i="2"/>
  <c r="I278" i="4"/>
  <c r="I279" i="4"/>
  <c r="I280" i="4"/>
  <c r="I281" i="4"/>
  <c r="I13" i="2"/>
  <c r="I282" i="4"/>
  <c r="I283" i="4"/>
  <c r="I284" i="4"/>
  <c r="I285" i="4"/>
  <c r="I286" i="4"/>
  <c r="I287" i="4"/>
  <c r="I12" i="2"/>
  <c r="I288" i="4"/>
  <c r="I289" i="4"/>
  <c r="I290" i="4"/>
  <c r="I291" i="4"/>
  <c r="I292" i="4"/>
  <c r="I293" i="4"/>
  <c r="I294" i="4"/>
  <c r="I295" i="4"/>
  <c r="I296" i="4"/>
  <c r="I297" i="4"/>
  <c r="I299" i="4"/>
  <c r="I5" i="2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37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8" i="4"/>
  <c r="I339" i="4"/>
  <c r="I340" i="4"/>
  <c r="I341" i="4"/>
  <c r="I342" i="4"/>
  <c r="I343" i="4"/>
  <c r="I2" i="2"/>
  <c r="I344" i="4"/>
  <c r="I3" i="2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9" i="2"/>
  <c r="I366" i="4"/>
  <c r="I367" i="4"/>
  <c r="I368" i="4"/>
  <c r="I369" i="4"/>
  <c r="I370" i="4"/>
  <c r="I371" i="4"/>
  <c r="I372" i="4"/>
  <c r="I373" i="4"/>
  <c r="I374" i="4"/>
  <c r="I375" i="4"/>
  <c r="I376" i="4"/>
  <c r="H2" i="14"/>
  <c r="K2" i="2"/>
  <c r="K344" i="4"/>
  <c r="K3" i="2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9" i="2"/>
  <c r="K366" i="4"/>
  <c r="K367" i="4"/>
  <c r="K368" i="4"/>
  <c r="K369" i="4"/>
  <c r="K370" i="4"/>
  <c r="K371" i="4"/>
  <c r="K372" i="4"/>
  <c r="K373" i="4"/>
  <c r="K374" i="4"/>
  <c r="K375" i="4"/>
  <c r="K376" i="4"/>
  <c r="J2" i="14"/>
  <c r="M2" i="4"/>
  <c r="M33" i="2"/>
  <c r="M3" i="4"/>
  <c r="M4" i="4"/>
  <c r="M34" i="2"/>
  <c r="M5" i="4"/>
  <c r="M38" i="2"/>
  <c r="M6" i="4"/>
  <c r="M7" i="4"/>
  <c r="M28" i="2"/>
  <c r="M8" i="4"/>
  <c r="M9" i="4"/>
  <c r="M10" i="4"/>
  <c r="M32" i="2"/>
  <c r="M11" i="4"/>
  <c r="M25" i="2"/>
  <c r="M12" i="4"/>
  <c r="M13" i="4"/>
  <c r="M14" i="4"/>
  <c r="M20" i="2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26" i="2"/>
  <c r="M27" i="2"/>
  <c r="M44" i="4"/>
  <c r="M37" i="2"/>
  <c r="M45" i="4"/>
  <c r="M46" i="4"/>
  <c r="M47" i="4"/>
  <c r="M48" i="4"/>
  <c r="M49" i="4"/>
  <c r="M50" i="4"/>
  <c r="M51" i="4"/>
  <c r="M23" i="2"/>
  <c r="M52" i="4"/>
  <c r="M53" i="4"/>
  <c r="M54" i="4"/>
  <c r="M6" i="2"/>
  <c r="M55" i="4"/>
  <c r="M56" i="4"/>
  <c r="M57" i="4"/>
  <c r="M21" i="2"/>
  <c r="M58" i="4"/>
  <c r="M16" i="2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31" i="2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4" i="2"/>
  <c r="M104" i="4"/>
  <c r="M105" i="4"/>
  <c r="M106" i="4"/>
  <c r="M107" i="4"/>
  <c r="M108" i="4"/>
  <c r="M109" i="4"/>
  <c r="M24" i="2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30" i="2"/>
  <c r="M140" i="4"/>
  <c r="M141" i="4"/>
  <c r="M17" i="2"/>
  <c r="M142" i="4"/>
  <c r="M143" i="4"/>
  <c r="M144" i="4"/>
  <c r="M145" i="4"/>
  <c r="M10" i="2"/>
  <c r="M146" i="4"/>
  <c r="M9" i="2"/>
  <c r="M147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8" i="2"/>
  <c r="M172" i="4"/>
  <c r="M173" i="4"/>
  <c r="M174" i="4"/>
  <c r="M175" i="4"/>
  <c r="M176" i="4"/>
  <c r="M177" i="4"/>
  <c r="M178" i="4"/>
  <c r="M15" i="2"/>
  <c r="M179" i="4"/>
  <c r="M180" i="4"/>
  <c r="M19" i="2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8" i="2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13" i="2"/>
  <c r="M208" i="4"/>
  <c r="M209" i="4"/>
  <c r="M210" i="4"/>
  <c r="M211" i="4"/>
  <c r="M212" i="4"/>
  <c r="M213" i="4"/>
  <c r="M214" i="4"/>
  <c r="M215" i="4"/>
  <c r="M216" i="4"/>
  <c r="M217" i="4"/>
  <c r="M218" i="4"/>
  <c r="M22" i="2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11" i="2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7" i="2"/>
  <c r="M278" i="4"/>
  <c r="M279" i="4"/>
  <c r="M280" i="4"/>
  <c r="M281" i="4"/>
  <c r="M282" i="4"/>
  <c r="M283" i="4"/>
  <c r="M284" i="4"/>
  <c r="M285" i="4"/>
  <c r="M286" i="4"/>
  <c r="M287" i="4"/>
  <c r="M12" i="2"/>
  <c r="M288" i="4"/>
  <c r="M289" i="4"/>
  <c r="M290" i="4"/>
  <c r="M291" i="4"/>
  <c r="M292" i="4"/>
  <c r="M293" i="4"/>
  <c r="M294" i="4"/>
  <c r="M295" i="4"/>
  <c r="M296" i="4"/>
  <c r="M297" i="4"/>
  <c r="M299" i="4"/>
  <c r="M5" i="2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37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8" i="4"/>
  <c r="M339" i="4"/>
  <c r="M340" i="4"/>
  <c r="M341" i="4"/>
  <c r="M342" i="4"/>
  <c r="M343" i="4"/>
  <c r="M2" i="2"/>
  <c r="M344" i="4"/>
  <c r="M3" i="2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9" i="2"/>
  <c r="M366" i="4"/>
  <c r="M367" i="4"/>
  <c r="M368" i="4"/>
  <c r="M369" i="4"/>
  <c r="M370" i="4"/>
  <c r="M371" i="4"/>
  <c r="M372" i="4"/>
  <c r="M373" i="4"/>
  <c r="M374" i="4"/>
  <c r="M375" i="4"/>
  <c r="M376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L2" i="14"/>
  <c r="O296" i="4"/>
  <c r="O297" i="4"/>
  <c r="O299" i="4"/>
  <c r="O5" i="2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37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8" i="4"/>
  <c r="O339" i="4"/>
  <c r="O340" i="4"/>
  <c r="O341" i="4"/>
  <c r="O342" i="4"/>
  <c r="O343" i="4"/>
  <c r="O2" i="2"/>
  <c r="O344" i="4"/>
  <c r="O3" i="2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9" i="2"/>
  <c r="O366" i="4"/>
  <c r="O367" i="4"/>
  <c r="O368" i="4"/>
  <c r="O369" i="4"/>
  <c r="O370" i="4"/>
  <c r="O371" i="4"/>
  <c r="O372" i="4"/>
  <c r="O373" i="4"/>
  <c r="O374" i="4"/>
  <c r="O375" i="4"/>
  <c r="O376" i="4"/>
  <c r="O29" i="2"/>
  <c r="O382" i="4"/>
  <c r="O38" i="2"/>
  <c r="O383" i="4"/>
  <c r="O20" i="2"/>
  <c r="O384" i="4"/>
  <c r="O22" i="2"/>
  <c r="O385" i="4"/>
  <c r="O34" i="2"/>
  <c r="O386" i="4"/>
  <c r="O387" i="4"/>
  <c r="O388" i="4"/>
  <c r="O389" i="4"/>
  <c r="O390" i="4"/>
  <c r="O7" i="2"/>
  <c r="O391" i="4"/>
  <c r="O24" i="2"/>
  <c r="O392" i="4"/>
  <c r="O393" i="4"/>
  <c r="O394" i="4"/>
  <c r="O395" i="4"/>
  <c r="O396" i="4"/>
  <c r="O397" i="4"/>
  <c r="O19" i="2"/>
  <c r="O398" i="4"/>
  <c r="O16" i="2"/>
  <c r="O399" i="4"/>
  <c r="O400" i="4"/>
  <c r="O12" i="2"/>
  <c r="O401" i="4"/>
  <c r="O37" i="2"/>
  <c r="O402" i="4"/>
  <c r="O403" i="4"/>
  <c r="O404" i="4"/>
  <c r="O405" i="4"/>
  <c r="O406" i="4"/>
  <c r="N2" i="14"/>
  <c r="Q2" i="4"/>
  <c r="Q33" i="2"/>
  <c r="Q3" i="4"/>
  <c r="Q4" i="4"/>
  <c r="Q34" i="2"/>
  <c r="Q5" i="4"/>
  <c r="Q38" i="2"/>
  <c r="Q6" i="4"/>
  <c r="Q7" i="4"/>
  <c r="Q28" i="2"/>
  <c r="Q8" i="4"/>
  <c r="Q9" i="4"/>
  <c r="Q10" i="4"/>
  <c r="Q32" i="2"/>
  <c r="Q11" i="4"/>
  <c r="Q25" i="2"/>
  <c r="Q12" i="4"/>
  <c r="Q13" i="4"/>
  <c r="Q14" i="4"/>
  <c r="Q20" i="2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26" i="2"/>
  <c r="Q27" i="2"/>
  <c r="Q44" i="4"/>
  <c r="Q37" i="2"/>
  <c r="Q45" i="4"/>
  <c r="Q46" i="4"/>
  <c r="Q47" i="4"/>
  <c r="Q48" i="4"/>
  <c r="Q49" i="4"/>
  <c r="Q50" i="4"/>
  <c r="Q51" i="4"/>
  <c r="Q23" i="2"/>
  <c r="Q52" i="4"/>
  <c r="Q53" i="4"/>
  <c r="Q54" i="4"/>
  <c r="Q6" i="2"/>
  <c r="Q55" i="4"/>
  <c r="Q56" i="4"/>
  <c r="Q57" i="4"/>
  <c r="Q21" i="2"/>
  <c r="Q58" i="4"/>
  <c r="Q16" i="2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31" i="2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4" i="2"/>
  <c r="Q104" i="4"/>
  <c r="Q105" i="4"/>
  <c r="Q106" i="4"/>
  <c r="Q107" i="4"/>
  <c r="Q108" i="4"/>
  <c r="Q109" i="4"/>
  <c r="Q24" i="2"/>
  <c r="Q110" i="4"/>
  <c r="Q111" i="4"/>
  <c r="Q112" i="4"/>
  <c r="Q113" i="4"/>
  <c r="Q114" i="4"/>
  <c r="Q115" i="4"/>
  <c r="Q116" i="4"/>
  <c r="Q117" i="4"/>
  <c r="Q118" i="4"/>
  <c r="Q119" i="4"/>
  <c r="Q29" i="2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30" i="2"/>
  <c r="Q140" i="4"/>
  <c r="Q141" i="4"/>
  <c r="Q17" i="2"/>
  <c r="Q142" i="4"/>
  <c r="Q143" i="4"/>
  <c r="Q144" i="4"/>
  <c r="Q145" i="4"/>
  <c r="Q10" i="2"/>
  <c r="Q146" i="4"/>
  <c r="Q9" i="2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8" i="2"/>
  <c r="Q172" i="4"/>
  <c r="Q173" i="4"/>
  <c r="Q174" i="4"/>
  <c r="Q175" i="4"/>
  <c r="Q176" i="4"/>
  <c r="Q177" i="4"/>
  <c r="Q178" i="4"/>
  <c r="Q15" i="2"/>
  <c r="Q179" i="4"/>
  <c r="Q180" i="4"/>
  <c r="Q19" i="2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8" i="2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13" i="2"/>
  <c r="Q208" i="4"/>
  <c r="Q209" i="4"/>
  <c r="Q210" i="4"/>
  <c r="Q211" i="4"/>
  <c r="Q212" i="4"/>
  <c r="Q213" i="4"/>
  <c r="Q214" i="4"/>
  <c r="Q215" i="4"/>
  <c r="Q216" i="4"/>
  <c r="Q217" i="4"/>
  <c r="Q218" i="4"/>
  <c r="Q22" i="2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11" i="2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7" i="2"/>
  <c r="Q278" i="4"/>
  <c r="Q279" i="4"/>
  <c r="Q280" i="4"/>
  <c r="Q281" i="4"/>
  <c r="Q282" i="4"/>
  <c r="Q283" i="4"/>
  <c r="Q284" i="4"/>
  <c r="Q285" i="4"/>
  <c r="Q286" i="4"/>
  <c r="Q287" i="4"/>
  <c r="Q12" i="2"/>
  <c r="Q288" i="4"/>
  <c r="Q289" i="4"/>
  <c r="Q290" i="4"/>
  <c r="Q291" i="4"/>
  <c r="Q292" i="4"/>
  <c r="Q293" i="4"/>
  <c r="Q294" i="4"/>
  <c r="Q295" i="4"/>
  <c r="Q296" i="4"/>
  <c r="Q297" i="4"/>
  <c r="Q299" i="4"/>
  <c r="Q5" i="2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37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8" i="4"/>
  <c r="Q339" i="4"/>
  <c r="Q340" i="4"/>
  <c r="Q341" i="4"/>
  <c r="Q342" i="4"/>
  <c r="Q343" i="4"/>
  <c r="Q2" i="2"/>
  <c r="Q344" i="4"/>
  <c r="Q3" i="2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9" i="2"/>
  <c r="Q366" i="4"/>
  <c r="Q367" i="4"/>
  <c r="Q368" i="4"/>
  <c r="Q369" i="4"/>
  <c r="Q370" i="4"/>
  <c r="Q371" i="4"/>
  <c r="Q372" i="4"/>
  <c r="Q373" i="4"/>
  <c r="Q374" i="4"/>
  <c r="Q375" i="4"/>
  <c r="Q376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P2" i="14"/>
  <c r="S35" i="2"/>
  <c r="S2" i="4"/>
  <c r="S33" i="2"/>
  <c r="S3" i="4"/>
  <c r="S4" i="4"/>
  <c r="S34" i="2"/>
  <c r="S5" i="4"/>
  <c r="S38" i="2"/>
  <c r="S6" i="4"/>
  <c r="S7" i="4"/>
  <c r="S28" i="2"/>
  <c r="S8" i="4"/>
  <c r="S9" i="4"/>
  <c r="S10" i="4"/>
  <c r="S32" i="2"/>
  <c r="S11" i="4"/>
  <c r="S25" i="2"/>
  <c r="S12" i="4"/>
  <c r="S14" i="4"/>
  <c r="S20" i="2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26" i="2"/>
  <c r="S27" i="2"/>
  <c r="S44" i="4"/>
  <c r="S37" i="2"/>
  <c r="S45" i="4"/>
  <c r="S47" i="4"/>
  <c r="S48" i="4"/>
  <c r="S49" i="4"/>
  <c r="S50" i="4"/>
  <c r="S51" i="4"/>
  <c r="S52" i="4"/>
  <c r="S53" i="4"/>
  <c r="S54" i="4"/>
  <c r="S6" i="2"/>
  <c r="S55" i="4"/>
  <c r="S56" i="4"/>
  <c r="S57" i="4"/>
  <c r="S21" i="2"/>
  <c r="S58" i="4"/>
  <c r="S60" i="4"/>
  <c r="S61" i="4"/>
  <c r="S62" i="4"/>
  <c r="S63" i="4"/>
  <c r="S64" i="4"/>
  <c r="S65" i="4"/>
  <c r="S66" i="4"/>
  <c r="S67" i="4"/>
  <c r="S68" i="4"/>
  <c r="S69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31" i="2"/>
  <c r="S87" i="4"/>
  <c r="S89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4" i="2"/>
  <c r="S104" i="4"/>
  <c r="S105" i="4"/>
  <c r="S107" i="4"/>
  <c r="S108" i="4"/>
  <c r="S109" i="4"/>
  <c r="S110" i="4"/>
  <c r="S111" i="4"/>
  <c r="S112" i="4"/>
  <c r="S113" i="4"/>
  <c r="S114" i="4"/>
  <c r="S115" i="4"/>
  <c r="S117" i="4"/>
  <c r="S118" i="4"/>
  <c r="S119" i="4"/>
  <c r="S29" i="2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30" i="2"/>
  <c r="S140" i="4"/>
  <c r="S16" i="2"/>
  <c r="S141" i="4"/>
  <c r="S17" i="2"/>
  <c r="S142" i="4"/>
  <c r="S143" i="4"/>
  <c r="S144" i="4"/>
  <c r="S145" i="4"/>
  <c r="S149" i="4"/>
  <c r="S150" i="4"/>
  <c r="S151" i="4"/>
  <c r="S152" i="4"/>
  <c r="S153" i="4"/>
  <c r="S154" i="4"/>
  <c r="S157" i="4"/>
  <c r="S158" i="4"/>
  <c r="S159" i="4"/>
  <c r="S160" i="4"/>
  <c r="S162" i="4"/>
  <c r="S163" i="4"/>
  <c r="S164" i="4"/>
  <c r="S165" i="4"/>
  <c r="S166" i="4"/>
  <c r="S167" i="4"/>
  <c r="S168" i="4"/>
  <c r="S169" i="4"/>
  <c r="S170" i="4"/>
  <c r="S171" i="4"/>
  <c r="S8" i="2"/>
  <c r="S172" i="4"/>
  <c r="S173" i="4"/>
  <c r="S174" i="4"/>
  <c r="S175" i="4"/>
  <c r="S176" i="4"/>
  <c r="S177" i="4"/>
  <c r="S178" i="4"/>
  <c r="S15" i="2"/>
  <c r="S179" i="4"/>
  <c r="S180" i="4"/>
  <c r="S183" i="4"/>
  <c r="S184" i="4"/>
  <c r="S185" i="4"/>
  <c r="S186" i="4"/>
  <c r="S187" i="4"/>
  <c r="S188" i="4"/>
  <c r="S189" i="4"/>
  <c r="S190" i="4"/>
  <c r="S191" i="4"/>
  <c r="S192" i="4"/>
  <c r="S193" i="4"/>
  <c r="S18" i="2"/>
  <c r="S194" i="4"/>
  <c r="S196" i="4"/>
  <c r="S197" i="4"/>
  <c r="S198" i="4"/>
  <c r="S199" i="4"/>
  <c r="S200" i="4"/>
  <c r="S201" i="4"/>
  <c r="S203" i="4"/>
  <c r="S204" i="4"/>
  <c r="S205" i="4"/>
  <c r="S206" i="4"/>
  <c r="S210" i="4"/>
  <c r="S211" i="4"/>
  <c r="S212" i="4"/>
  <c r="S218" i="4"/>
  <c r="S223" i="4"/>
  <c r="S225" i="4"/>
  <c r="S226" i="4"/>
  <c r="S229" i="4"/>
  <c r="S231" i="4"/>
  <c r="S234" i="4"/>
  <c r="S236" i="4"/>
  <c r="S239" i="4"/>
  <c r="S242" i="4"/>
  <c r="S243" i="4"/>
  <c r="S248" i="4"/>
  <c r="S250" i="4"/>
  <c r="S252" i="4"/>
  <c r="S254" i="4"/>
  <c r="S260" i="4"/>
  <c r="S262" i="4"/>
  <c r="S264" i="4"/>
  <c r="S269" i="4"/>
  <c r="S274" i="4"/>
  <c r="S276" i="4"/>
  <c r="S277" i="4"/>
  <c r="S281" i="4"/>
  <c r="S2" i="2"/>
  <c r="S344" i="4"/>
  <c r="S3" i="2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9" i="2"/>
  <c r="S366" i="4"/>
  <c r="S367" i="4"/>
  <c r="S368" i="4"/>
  <c r="S369" i="4"/>
  <c r="S370" i="4"/>
  <c r="S371" i="4"/>
  <c r="S372" i="4"/>
  <c r="S373" i="4"/>
  <c r="S374" i="4"/>
  <c r="S375" i="4"/>
  <c r="S376" i="4"/>
  <c r="R2" i="14"/>
  <c r="W2" i="2"/>
  <c r="W344" i="4"/>
  <c r="W3" i="2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9" i="2"/>
  <c r="W366" i="4"/>
  <c r="W367" i="4"/>
  <c r="W368" i="4"/>
  <c r="W369" i="4"/>
  <c r="W370" i="4"/>
  <c r="W371" i="4"/>
  <c r="W372" i="4"/>
  <c r="W373" i="4"/>
  <c r="W374" i="4"/>
  <c r="W375" i="4"/>
  <c r="W376" i="4"/>
  <c r="V2" i="14"/>
  <c r="Y10" i="2"/>
  <c r="Y146" i="4"/>
  <c r="Y241" i="4"/>
  <c r="Y296" i="4"/>
  <c r="Y297" i="4"/>
  <c r="Y299" i="4"/>
  <c r="Y5" i="2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37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8" i="4"/>
  <c r="Y339" i="4"/>
  <c r="Y340" i="4"/>
  <c r="Y341" i="4"/>
  <c r="Y342" i="4"/>
  <c r="Y343" i="4"/>
  <c r="Y2" i="2"/>
  <c r="Y344" i="4"/>
  <c r="Y3" i="2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9" i="2"/>
  <c r="Y366" i="4"/>
  <c r="Y367" i="4"/>
  <c r="Y368" i="4"/>
  <c r="Y369" i="4"/>
  <c r="Y370" i="4"/>
  <c r="Y371" i="4"/>
  <c r="Y372" i="4"/>
  <c r="Y373" i="4"/>
  <c r="Y374" i="4"/>
  <c r="Y375" i="4"/>
  <c r="Y376" i="4"/>
  <c r="C35" i="2"/>
  <c r="C2" i="4"/>
  <c r="C33" i="2"/>
  <c r="C3" i="4"/>
  <c r="C4" i="4"/>
  <c r="C34" i="2"/>
  <c r="C5" i="4"/>
  <c r="C38" i="2"/>
  <c r="C6" i="4"/>
  <c r="C7" i="4"/>
  <c r="C28" i="2"/>
  <c r="C8" i="4"/>
  <c r="C9" i="4"/>
  <c r="C10" i="4"/>
  <c r="C32" i="2"/>
  <c r="C11" i="4"/>
  <c r="C25" i="2"/>
  <c r="C12" i="4"/>
  <c r="C13" i="4"/>
  <c r="C14" i="4"/>
  <c r="C20" i="2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26" i="2"/>
  <c r="C27" i="2"/>
  <c r="C44" i="4"/>
  <c r="C37" i="2"/>
  <c r="C45" i="4"/>
  <c r="C46" i="4"/>
  <c r="C47" i="4"/>
  <c r="C48" i="4"/>
  <c r="C49" i="4"/>
  <c r="C50" i="4"/>
  <c r="C51" i="4"/>
  <c r="C23" i="2"/>
  <c r="C52" i="4"/>
  <c r="C53" i="4"/>
  <c r="C54" i="4"/>
  <c r="C6" i="2"/>
  <c r="C55" i="4"/>
  <c r="C56" i="4"/>
  <c r="C57" i="4"/>
  <c r="C21" i="2"/>
  <c r="C58" i="4"/>
  <c r="C16" i="2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31" i="2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4" i="2"/>
  <c r="C104" i="4"/>
  <c r="C105" i="4"/>
  <c r="C106" i="4"/>
  <c r="C107" i="4"/>
  <c r="C108" i="4"/>
  <c r="C109" i="4"/>
  <c r="C24" i="2"/>
  <c r="C110" i="4"/>
  <c r="C111" i="4"/>
  <c r="C112" i="4"/>
  <c r="C113" i="4"/>
  <c r="C114" i="4"/>
  <c r="C115" i="4"/>
  <c r="C116" i="4"/>
  <c r="C117" i="4"/>
  <c r="C118" i="4"/>
  <c r="C119" i="4"/>
  <c r="C29" i="2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30" i="2"/>
  <c r="C140" i="4"/>
  <c r="C141" i="4"/>
  <c r="C17" i="2"/>
  <c r="C142" i="4"/>
  <c r="C143" i="4"/>
  <c r="C144" i="4"/>
  <c r="C145" i="4"/>
  <c r="C10" i="2"/>
  <c r="C146" i="4"/>
  <c r="C9" i="2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8" i="2"/>
  <c r="C172" i="4"/>
  <c r="C173" i="4"/>
  <c r="C174" i="4"/>
  <c r="C175" i="4"/>
  <c r="C176" i="4"/>
  <c r="C177" i="4"/>
  <c r="C178" i="4"/>
  <c r="C15" i="2"/>
  <c r="C179" i="4"/>
  <c r="C180" i="4"/>
  <c r="C19" i="2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8" i="2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13" i="2"/>
  <c r="C208" i="4"/>
  <c r="C209" i="4"/>
  <c r="C210" i="4"/>
  <c r="C211" i="4"/>
  <c r="C212" i="4"/>
  <c r="C213" i="4"/>
  <c r="C214" i="4"/>
  <c r="C215" i="4"/>
  <c r="C216" i="4"/>
  <c r="C217" i="4"/>
  <c r="C218" i="4"/>
  <c r="C22" i="2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11" i="2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7" i="2"/>
  <c r="C278" i="4"/>
  <c r="C279" i="4"/>
  <c r="C280" i="4"/>
  <c r="C281" i="4"/>
  <c r="C282" i="4"/>
  <c r="C283" i="4"/>
  <c r="C284" i="4"/>
  <c r="C285" i="4"/>
  <c r="C286" i="4"/>
  <c r="C287" i="4"/>
  <c r="C12" i="2"/>
  <c r="C288" i="4"/>
  <c r="C289" i="4"/>
  <c r="C290" i="4"/>
  <c r="C291" i="4"/>
  <c r="C292" i="4"/>
  <c r="C293" i="4"/>
  <c r="C294" i="4"/>
  <c r="C295" i="4"/>
  <c r="C296" i="4"/>
  <c r="C297" i="4"/>
  <c r="C299" i="4"/>
  <c r="C5" i="2"/>
  <c r="C300" i="4"/>
  <c r="C301" i="4"/>
  <c r="C302" i="4"/>
  <c r="C303" i="4"/>
  <c r="C304" i="4"/>
  <c r="C305" i="4"/>
  <c r="C306" i="4"/>
  <c r="C307" i="4"/>
  <c r="C308" i="4"/>
  <c r="C309" i="4"/>
  <c r="C310" i="4"/>
  <c r="C2" i="2"/>
  <c r="C344" i="4"/>
  <c r="C3" i="2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9" i="2"/>
  <c r="C366" i="4"/>
  <c r="C367" i="4"/>
  <c r="C368" i="4"/>
  <c r="C369" i="4"/>
  <c r="C370" i="4"/>
  <c r="C371" i="4"/>
  <c r="C372" i="4"/>
  <c r="C373" i="4"/>
  <c r="C374" i="4"/>
  <c r="C375" i="4"/>
  <c r="C376" i="4"/>
  <c r="B377" i="4"/>
  <c r="C377" i="4"/>
  <c r="B378" i="4"/>
  <c r="C378" i="4"/>
  <c r="B379" i="4"/>
  <c r="C379" i="4"/>
  <c r="B380" i="4"/>
  <c r="C380" i="4"/>
  <c r="B381" i="4"/>
  <c r="C381" i="4"/>
  <c r="B2" i="14"/>
  <c r="AB3" i="7"/>
  <c r="AC3" i="7"/>
  <c r="AB4" i="7"/>
  <c r="AC4" i="7"/>
  <c r="AB5" i="7"/>
  <c r="AC5" i="7"/>
  <c r="AB6" i="7"/>
  <c r="AC6" i="7"/>
  <c r="AB7" i="7"/>
  <c r="AC7" i="7"/>
  <c r="AB8" i="7"/>
  <c r="AC8" i="7"/>
  <c r="AB9" i="7"/>
  <c r="AC9" i="7"/>
  <c r="AB10" i="7"/>
  <c r="AC10" i="7"/>
  <c r="AB11" i="7"/>
  <c r="AC11" i="7"/>
  <c r="AB12" i="7"/>
  <c r="AC12" i="7"/>
  <c r="AB13" i="7"/>
  <c r="AC13" i="7"/>
  <c r="AB14" i="7"/>
  <c r="AC14" i="7"/>
  <c r="AB15" i="7"/>
  <c r="AC15" i="7"/>
  <c r="AB16" i="7"/>
  <c r="AC16" i="7"/>
  <c r="AB17" i="7"/>
  <c r="AC17" i="7"/>
  <c r="AB18" i="7"/>
  <c r="AC18" i="7"/>
  <c r="AB19" i="7"/>
  <c r="AC19" i="7"/>
  <c r="AB20" i="7"/>
  <c r="AC20" i="7"/>
  <c r="AB21" i="7"/>
  <c r="AC21" i="7"/>
  <c r="AB22" i="7"/>
  <c r="AC22" i="7"/>
  <c r="AB23" i="7"/>
  <c r="AC23" i="7"/>
  <c r="AB24" i="7"/>
  <c r="AC24" i="7"/>
  <c r="AB25" i="7"/>
  <c r="AC25" i="7"/>
  <c r="AB26" i="7"/>
  <c r="AC26" i="7"/>
  <c r="AB27" i="7"/>
  <c r="AC27" i="7"/>
  <c r="W378" i="5"/>
  <c r="Z378" i="5"/>
  <c r="AB28" i="7"/>
  <c r="AC28" i="7"/>
  <c r="AB29" i="7"/>
  <c r="AC29" i="7"/>
  <c r="AB30" i="7"/>
  <c r="AC30" i="7"/>
  <c r="AB31" i="7"/>
  <c r="AC31" i="7"/>
  <c r="AB32" i="7"/>
  <c r="AC32" i="7"/>
  <c r="AB33" i="7"/>
  <c r="AC33" i="7"/>
  <c r="AB34" i="7"/>
  <c r="AC34" i="7"/>
  <c r="AB35" i="7"/>
  <c r="AC35" i="7"/>
  <c r="AB36" i="7"/>
  <c r="AC36" i="7"/>
  <c r="AB37" i="7"/>
  <c r="AC37" i="7"/>
  <c r="AB38" i="7"/>
  <c r="AC38" i="7"/>
  <c r="AB39" i="7"/>
  <c r="AC39" i="7"/>
  <c r="AB40" i="7"/>
  <c r="AC40" i="7"/>
  <c r="AB41" i="7"/>
  <c r="AC41" i="7"/>
  <c r="AB42" i="7"/>
  <c r="AC42" i="7"/>
  <c r="AB43" i="7"/>
  <c r="AC43" i="7"/>
  <c r="AB44" i="7"/>
  <c r="AC44" i="7"/>
  <c r="AB45" i="7"/>
  <c r="AC45" i="7"/>
  <c r="AB46" i="7"/>
  <c r="AC46" i="7"/>
  <c r="AB47" i="7"/>
  <c r="AC47" i="7"/>
  <c r="AB48" i="7"/>
  <c r="AC48" i="7"/>
  <c r="AB49" i="7"/>
  <c r="AC49" i="7"/>
  <c r="AB50" i="7"/>
  <c r="AC50" i="7"/>
  <c r="AB51" i="7"/>
  <c r="AC51" i="7"/>
  <c r="AB52" i="7"/>
  <c r="AC52" i="7"/>
  <c r="AB53" i="7"/>
  <c r="AC53" i="7"/>
  <c r="AB54" i="7"/>
  <c r="AC54" i="7"/>
  <c r="AB55" i="7"/>
  <c r="AC55" i="7"/>
  <c r="AB56" i="7"/>
  <c r="AC56" i="7"/>
  <c r="AB57" i="7"/>
  <c r="AC57" i="7"/>
  <c r="AB58" i="7"/>
  <c r="AC58" i="7"/>
  <c r="AB59" i="7"/>
  <c r="AC59" i="7"/>
  <c r="AB60" i="7"/>
  <c r="AC60" i="7"/>
  <c r="AB61" i="7"/>
  <c r="AC61" i="7"/>
  <c r="AB62" i="7"/>
  <c r="AC62" i="7"/>
  <c r="W226" i="5"/>
  <c r="Z226" i="5"/>
  <c r="AB63" i="7"/>
  <c r="AC63" i="7"/>
  <c r="W227" i="5"/>
  <c r="Z227" i="5"/>
  <c r="AB64" i="7"/>
  <c r="AC64" i="7"/>
  <c r="AB65" i="7"/>
  <c r="AC65" i="7"/>
  <c r="AB66" i="7"/>
  <c r="AC66" i="7"/>
  <c r="AB67" i="7"/>
  <c r="AC67" i="7"/>
  <c r="AB68" i="7"/>
  <c r="AC68" i="7"/>
  <c r="AB69" i="7"/>
  <c r="AC69" i="7"/>
  <c r="AB70" i="7"/>
  <c r="AC70" i="7"/>
  <c r="AB71" i="7"/>
  <c r="AC71" i="7"/>
  <c r="AB72" i="7"/>
  <c r="AC72" i="7"/>
  <c r="AB73" i="7"/>
  <c r="AC73" i="7"/>
  <c r="AB74" i="7"/>
  <c r="AC74" i="7"/>
  <c r="AB75" i="7"/>
  <c r="AC75" i="7"/>
  <c r="AB76" i="7"/>
  <c r="AC76" i="7"/>
  <c r="AB77" i="7"/>
  <c r="AC77" i="7"/>
  <c r="AB78" i="7"/>
  <c r="AC78" i="7"/>
  <c r="AB79" i="7"/>
  <c r="AC79" i="7"/>
  <c r="AB80" i="7"/>
  <c r="AC80" i="7"/>
  <c r="AB81" i="7"/>
  <c r="AC81" i="7"/>
  <c r="AB82" i="7"/>
  <c r="AC82" i="7"/>
  <c r="AB83" i="7"/>
  <c r="AC83" i="7"/>
  <c r="AB84" i="7"/>
  <c r="AC84" i="7"/>
  <c r="AB85" i="7"/>
  <c r="AC85" i="7"/>
  <c r="AB86" i="7"/>
  <c r="AC86" i="7"/>
  <c r="AB87" i="7"/>
  <c r="AC87" i="7"/>
  <c r="AB88" i="7"/>
  <c r="AC88" i="7"/>
  <c r="AB89" i="7"/>
  <c r="AC89" i="7"/>
  <c r="AB90" i="7"/>
  <c r="AC90" i="7"/>
  <c r="AB91" i="7"/>
  <c r="AC91" i="7"/>
  <c r="AB92" i="7"/>
  <c r="AC92" i="7"/>
  <c r="AB93" i="7"/>
  <c r="AC93" i="7"/>
  <c r="AB94" i="7"/>
  <c r="AC94" i="7"/>
  <c r="AB95" i="7"/>
  <c r="AC95" i="7"/>
  <c r="AB96" i="7"/>
  <c r="AC96" i="7"/>
  <c r="AB97" i="7"/>
  <c r="AC97" i="7"/>
  <c r="Q232" i="5"/>
  <c r="T232" i="5"/>
  <c r="W232" i="5"/>
  <c r="Z232" i="5"/>
  <c r="AB98" i="7"/>
  <c r="AC98" i="7"/>
  <c r="AB99" i="7"/>
  <c r="AC99" i="7"/>
  <c r="K267" i="5"/>
  <c r="N267" i="5"/>
  <c r="Q267" i="5"/>
  <c r="T267" i="5"/>
  <c r="W267" i="5"/>
  <c r="Z267" i="5"/>
  <c r="AB100" i="7"/>
  <c r="AC100" i="7"/>
  <c r="Q222" i="5"/>
  <c r="T222" i="5"/>
  <c r="W222" i="5"/>
  <c r="Z222" i="5"/>
  <c r="AB101" i="7"/>
  <c r="AC101" i="7"/>
  <c r="Q2" i="5"/>
  <c r="T2" i="5"/>
  <c r="W2" i="5"/>
  <c r="Z2" i="5"/>
  <c r="AB102" i="7"/>
  <c r="AC102" i="7"/>
  <c r="W404" i="5"/>
  <c r="Z404" i="5"/>
  <c r="AB103" i="7"/>
  <c r="AC103" i="7"/>
  <c r="AB104" i="7"/>
  <c r="AC104" i="7"/>
  <c r="AB105" i="7"/>
  <c r="AC105" i="7"/>
  <c r="AB106" i="7"/>
  <c r="AC106" i="7"/>
  <c r="AB107" i="7"/>
  <c r="AC107" i="7"/>
  <c r="AB108" i="7"/>
  <c r="AC108" i="7"/>
  <c r="AB109" i="7"/>
  <c r="AC109" i="7"/>
  <c r="AB110" i="7"/>
  <c r="AC110" i="7"/>
  <c r="AB111" i="7"/>
  <c r="AC111" i="7"/>
  <c r="AB112" i="7"/>
  <c r="AC112" i="7"/>
  <c r="AB113" i="7"/>
  <c r="AC113" i="7"/>
  <c r="AB114" i="7"/>
  <c r="AC114" i="7"/>
  <c r="AB115" i="7"/>
  <c r="AC115" i="7"/>
  <c r="AB116" i="7"/>
  <c r="AC116" i="7"/>
  <c r="AB117" i="7"/>
  <c r="AC117" i="7"/>
  <c r="AB118" i="7"/>
  <c r="AC118" i="7"/>
  <c r="AB119" i="7"/>
  <c r="AC119" i="7"/>
  <c r="W380" i="5"/>
  <c r="Z380" i="5"/>
  <c r="AB120" i="7"/>
  <c r="AC120" i="7"/>
  <c r="AB121" i="7"/>
  <c r="AC121" i="7"/>
  <c r="AB122" i="7"/>
  <c r="AC122" i="7"/>
  <c r="AB123" i="7"/>
  <c r="AC123" i="7"/>
  <c r="AB124" i="7"/>
  <c r="AC124" i="7"/>
  <c r="K367" i="5"/>
  <c r="N367" i="5"/>
  <c r="Q367" i="5"/>
  <c r="T367" i="5"/>
  <c r="W367" i="5"/>
  <c r="Z367" i="5"/>
  <c r="AB125" i="7"/>
  <c r="AC125" i="7"/>
  <c r="AB126" i="7"/>
  <c r="AC126" i="7"/>
  <c r="AB127" i="7"/>
  <c r="AC127" i="7"/>
  <c r="AB128" i="7"/>
  <c r="AC128" i="7"/>
  <c r="AB129" i="7"/>
  <c r="AC129" i="7"/>
  <c r="AB130" i="7"/>
  <c r="AC130" i="7"/>
  <c r="W228" i="5"/>
  <c r="Z228" i="5"/>
  <c r="AB131" i="7"/>
  <c r="AC131" i="7"/>
  <c r="AB132" i="7"/>
  <c r="AC132" i="7"/>
  <c r="AB133" i="7"/>
  <c r="AC133" i="7"/>
  <c r="AB134" i="7"/>
  <c r="AC134" i="7"/>
  <c r="AB135" i="7"/>
  <c r="AC135" i="7"/>
  <c r="AB136" i="7"/>
  <c r="AC136" i="7"/>
  <c r="AB137" i="7"/>
  <c r="AC137" i="7"/>
  <c r="AB138" i="7"/>
  <c r="AC138" i="7"/>
  <c r="AB139" i="7"/>
  <c r="AC139" i="7"/>
  <c r="AB140" i="7"/>
  <c r="AC140" i="7"/>
  <c r="AB141" i="7"/>
  <c r="AC141" i="7"/>
  <c r="AB142" i="7"/>
  <c r="AC142" i="7"/>
  <c r="AB143" i="7"/>
  <c r="AC143" i="7"/>
  <c r="W381" i="5"/>
  <c r="Z381" i="5"/>
  <c r="AB144" i="7"/>
  <c r="AC144" i="7"/>
  <c r="AB145" i="7"/>
  <c r="AC145" i="7"/>
  <c r="AB146" i="7"/>
  <c r="AC146" i="7"/>
  <c r="AB147" i="7"/>
  <c r="AC147" i="7"/>
  <c r="AB148" i="7"/>
  <c r="AC148" i="7"/>
  <c r="AB149" i="7"/>
  <c r="AC149" i="7"/>
  <c r="Q243" i="5"/>
  <c r="T243" i="5"/>
  <c r="W243" i="5"/>
  <c r="Z243" i="5"/>
  <c r="AB150" i="7"/>
  <c r="AC150" i="7"/>
  <c r="AB151" i="7"/>
  <c r="AC151" i="7"/>
  <c r="AB152" i="7"/>
  <c r="AC152" i="7"/>
  <c r="AB153" i="7"/>
  <c r="AC153" i="7"/>
  <c r="AB154" i="7"/>
  <c r="AC154" i="7"/>
  <c r="K169" i="5"/>
  <c r="N169" i="5"/>
  <c r="Q169" i="5"/>
  <c r="T169" i="5"/>
  <c r="W169" i="5"/>
  <c r="Z169" i="5"/>
  <c r="AB155" i="7"/>
  <c r="AC155" i="7"/>
  <c r="AB156" i="7"/>
  <c r="AC156" i="7"/>
  <c r="AB157" i="7"/>
  <c r="AC157" i="7"/>
  <c r="AB158" i="7"/>
  <c r="AC158" i="7"/>
  <c r="AB159" i="7"/>
  <c r="AC159" i="7"/>
  <c r="AB160" i="7"/>
  <c r="AC160" i="7"/>
  <c r="AB161" i="7"/>
  <c r="AC161" i="7"/>
  <c r="AB162" i="7"/>
  <c r="AC162" i="7"/>
  <c r="AB163" i="7"/>
  <c r="AC163" i="7"/>
  <c r="AB164" i="7"/>
  <c r="AC164" i="7"/>
  <c r="AB165" i="7"/>
  <c r="AC165" i="7"/>
  <c r="AB166" i="7"/>
  <c r="AC166" i="7"/>
  <c r="AB167" i="7"/>
  <c r="AC167" i="7"/>
  <c r="AB168" i="7"/>
  <c r="AC168" i="7"/>
  <c r="Q230" i="5"/>
  <c r="T230" i="5"/>
  <c r="W230" i="5"/>
  <c r="Z230" i="5"/>
  <c r="AB169" i="7"/>
  <c r="AC169" i="7"/>
  <c r="Q231" i="5"/>
  <c r="T231" i="5"/>
  <c r="W231" i="5"/>
  <c r="Z231" i="5"/>
  <c r="AB170" i="7"/>
  <c r="AC170" i="7"/>
  <c r="AB171" i="7"/>
  <c r="AC171" i="7"/>
  <c r="AB172" i="7"/>
  <c r="AC172" i="7"/>
  <c r="AB173" i="7"/>
  <c r="AC173" i="7"/>
  <c r="AB174" i="7"/>
  <c r="AC174" i="7"/>
  <c r="AB175" i="7"/>
  <c r="AC175" i="7"/>
  <c r="AB176" i="7"/>
  <c r="AC176" i="7"/>
  <c r="Q326" i="5"/>
  <c r="T326" i="5"/>
  <c r="W326" i="5"/>
  <c r="Z326" i="5"/>
  <c r="AB177" i="7"/>
  <c r="AC177" i="7"/>
  <c r="K327" i="5"/>
  <c r="N327" i="5"/>
  <c r="Q327" i="5"/>
  <c r="T327" i="5"/>
  <c r="W327" i="5"/>
  <c r="Z327" i="5"/>
  <c r="AB178" i="7"/>
  <c r="AC178" i="7"/>
  <c r="W382" i="5"/>
  <c r="Z382" i="5"/>
  <c r="AB179" i="7"/>
  <c r="AC179" i="7"/>
  <c r="W383" i="5"/>
  <c r="Z383" i="5"/>
  <c r="AB180" i="7"/>
  <c r="AC180" i="7"/>
  <c r="K29" i="5"/>
  <c r="N29" i="5"/>
  <c r="Q29" i="5"/>
  <c r="T29" i="5"/>
  <c r="W29" i="5"/>
  <c r="Z29" i="5"/>
  <c r="AB181" i="7"/>
  <c r="AC181" i="7"/>
  <c r="AB182" i="7"/>
  <c r="AC182" i="7"/>
  <c r="AB183" i="7"/>
  <c r="AC183" i="7"/>
  <c r="K328" i="5"/>
  <c r="N328" i="5"/>
  <c r="Q328" i="5"/>
  <c r="T328" i="5"/>
  <c r="W328" i="5"/>
  <c r="Z328" i="5"/>
  <c r="AB184" i="7"/>
  <c r="AC184" i="7"/>
  <c r="K368" i="5"/>
  <c r="N368" i="5"/>
  <c r="Q368" i="5"/>
  <c r="T368" i="5"/>
  <c r="W368" i="5"/>
  <c r="Z368" i="5"/>
  <c r="AB185" i="7"/>
  <c r="AC185" i="7"/>
  <c r="K329" i="5"/>
  <c r="N329" i="5"/>
  <c r="Q329" i="5"/>
  <c r="T329" i="5"/>
  <c r="W329" i="5"/>
  <c r="Z329" i="5"/>
  <c r="AB186" i="7"/>
  <c r="AC186" i="7"/>
  <c r="K68" i="5"/>
  <c r="N68" i="5"/>
  <c r="Q68" i="5"/>
  <c r="T68" i="5"/>
  <c r="W68" i="5"/>
  <c r="Z68" i="5"/>
  <c r="AB187" i="7"/>
  <c r="AC187" i="7"/>
  <c r="K330" i="5"/>
  <c r="N330" i="5"/>
  <c r="Q330" i="5"/>
  <c r="T330" i="5"/>
  <c r="W330" i="5"/>
  <c r="Z330" i="5"/>
  <c r="AB188" i="7"/>
  <c r="AC188" i="7"/>
  <c r="K69" i="5"/>
  <c r="N69" i="5"/>
  <c r="Q69" i="5"/>
  <c r="T69" i="5"/>
  <c r="W69" i="5"/>
  <c r="Z69" i="5"/>
  <c r="AB189" i="7"/>
  <c r="AC189" i="7"/>
  <c r="K355" i="5"/>
  <c r="N355" i="5"/>
  <c r="Q355" i="5"/>
  <c r="T355" i="5"/>
  <c r="W355" i="5"/>
  <c r="Z355" i="5"/>
  <c r="AB190" i="7"/>
  <c r="AC190" i="7"/>
  <c r="K250" i="5"/>
  <c r="N250" i="5"/>
  <c r="Q250" i="5"/>
  <c r="T250" i="5"/>
  <c r="W250" i="5"/>
  <c r="Z250" i="5"/>
  <c r="AB191" i="7"/>
  <c r="AC191" i="7"/>
  <c r="W384" i="5"/>
  <c r="Z384" i="5"/>
  <c r="AB192" i="7"/>
  <c r="AC192" i="7"/>
  <c r="AB193" i="7"/>
  <c r="AC193" i="7"/>
  <c r="AB194" i="7"/>
  <c r="AC194" i="7"/>
  <c r="AB195" i="7"/>
  <c r="AC195" i="7"/>
  <c r="AB196" i="7"/>
  <c r="AC196" i="7"/>
  <c r="AB197" i="7"/>
  <c r="AC197" i="7"/>
  <c r="AB198" i="7"/>
  <c r="AC198" i="7"/>
  <c r="AB199" i="7"/>
  <c r="AC199" i="7"/>
  <c r="AB200" i="7"/>
  <c r="AC200" i="7"/>
  <c r="AB201" i="7"/>
  <c r="AC201" i="7"/>
  <c r="AB202" i="7"/>
  <c r="AC202" i="7"/>
  <c r="AB203" i="7"/>
  <c r="AC203" i="7"/>
  <c r="AB204" i="7"/>
  <c r="AC204" i="7"/>
  <c r="AB205" i="7"/>
  <c r="AC205" i="7"/>
  <c r="AB206" i="7"/>
  <c r="AC206" i="7"/>
  <c r="AB207" i="7"/>
  <c r="AC207" i="7"/>
  <c r="AB208" i="7"/>
  <c r="AC208" i="7"/>
  <c r="AB209" i="7"/>
  <c r="AC209" i="7"/>
  <c r="AB210" i="7"/>
  <c r="AC210" i="7"/>
  <c r="AB211" i="7"/>
  <c r="AC211" i="7"/>
  <c r="Q299" i="5"/>
  <c r="T299" i="5"/>
  <c r="W299" i="5"/>
  <c r="Z299" i="5"/>
  <c r="AB212" i="7"/>
  <c r="AC212" i="7"/>
  <c r="AB213" i="7"/>
  <c r="AC213" i="7"/>
  <c r="AB214" i="7"/>
  <c r="AC214" i="7"/>
  <c r="AB215" i="7"/>
  <c r="AC215" i="7"/>
  <c r="AB216" i="7"/>
  <c r="AC216" i="7"/>
  <c r="AB217" i="7"/>
  <c r="AC217" i="7"/>
  <c r="AB218" i="7"/>
  <c r="AC218" i="7"/>
  <c r="AB219" i="7"/>
  <c r="AC219" i="7"/>
  <c r="AB220" i="7"/>
  <c r="AC220" i="7"/>
  <c r="AB221" i="7"/>
  <c r="AC221" i="7"/>
  <c r="AB222" i="7"/>
  <c r="AC222" i="7"/>
  <c r="AB223" i="7"/>
  <c r="AC223" i="7"/>
  <c r="AB224" i="7"/>
  <c r="AC224" i="7"/>
  <c r="AB225" i="7"/>
  <c r="AC225" i="7"/>
  <c r="AB226" i="7"/>
  <c r="AC226" i="7"/>
  <c r="AB227" i="7"/>
  <c r="AC227" i="7"/>
  <c r="AB228" i="7"/>
  <c r="AC228" i="7"/>
  <c r="AB229" i="7"/>
  <c r="AC229" i="7"/>
  <c r="AB230" i="7"/>
  <c r="AC230" i="7"/>
  <c r="AB231" i="7"/>
  <c r="AC231" i="7"/>
  <c r="AB232" i="7"/>
  <c r="AC232" i="7"/>
  <c r="AB233" i="7"/>
  <c r="AC233" i="7"/>
  <c r="AB234" i="7"/>
  <c r="AC234" i="7"/>
  <c r="AB235" i="7"/>
  <c r="AC235" i="7"/>
  <c r="AB236" i="7"/>
  <c r="AC236" i="7"/>
  <c r="AB237" i="7"/>
  <c r="AC237" i="7"/>
  <c r="AB238" i="7"/>
  <c r="AC238" i="7"/>
  <c r="AB239" i="7"/>
  <c r="AC239" i="7"/>
  <c r="AB240" i="7"/>
  <c r="AC240" i="7"/>
  <c r="AB241" i="7"/>
  <c r="AC241" i="7"/>
  <c r="AB242" i="7"/>
  <c r="AC242" i="7"/>
  <c r="AB243" i="7"/>
  <c r="AC243" i="7"/>
  <c r="AB244" i="7"/>
  <c r="AC244" i="7"/>
  <c r="AB245" i="7"/>
  <c r="AC245" i="7"/>
  <c r="AB246" i="7"/>
  <c r="AC246" i="7"/>
  <c r="AB247" i="7"/>
  <c r="AC247" i="7"/>
  <c r="AB248" i="7"/>
  <c r="AC248" i="7"/>
  <c r="AB249" i="7"/>
  <c r="AC249" i="7"/>
  <c r="AB250" i="7"/>
  <c r="AC250" i="7"/>
  <c r="AB251" i="7"/>
  <c r="AC251" i="7"/>
  <c r="AB252" i="7"/>
  <c r="AC252" i="7"/>
  <c r="AB253" i="7"/>
  <c r="AC253" i="7"/>
  <c r="AB254" i="7"/>
  <c r="AC254" i="7"/>
  <c r="AB255" i="7"/>
  <c r="AC255" i="7"/>
  <c r="K356" i="5"/>
  <c r="N356" i="5"/>
  <c r="Q356" i="5"/>
  <c r="T356" i="5"/>
  <c r="W356" i="5"/>
  <c r="Z356" i="5"/>
  <c r="AB256" i="7"/>
  <c r="AC256" i="7"/>
  <c r="AB257" i="7"/>
  <c r="AC257" i="7"/>
  <c r="AB258" i="7"/>
  <c r="AC258" i="7"/>
  <c r="AB259" i="7"/>
  <c r="AC259" i="7"/>
  <c r="AB260" i="7"/>
  <c r="AC260" i="7"/>
  <c r="AB261" i="7"/>
  <c r="AC261" i="7"/>
  <c r="AB262" i="7"/>
  <c r="AC262" i="7"/>
  <c r="AB263" i="7"/>
  <c r="AC263" i="7"/>
  <c r="AB264" i="7"/>
  <c r="AC264" i="7"/>
  <c r="AB265" i="7"/>
  <c r="AC265" i="7"/>
  <c r="AB266" i="7"/>
  <c r="AC266" i="7"/>
  <c r="AB267" i="7"/>
  <c r="AC267" i="7"/>
  <c r="AB268" i="7"/>
  <c r="AC268" i="7"/>
  <c r="AB269" i="7"/>
  <c r="AC269" i="7"/>
  <c r="Q387" i="5"/>
  <c r="T387" i="5"/>
  <c r="W387" i="5"/>
  <c r="Z387" i="5"/>
  <c r="AB270" i="7"/>
  <c r="AC270" i="7"/>
  <c r="Q388" i="5"/>
  <c r="T388" i="5"/>
  <c r="W388" i="5"/>
  <c r="Z388" i="5"/>
  <c r="AB271" i="7"/>
  <c r="AC271" i="7"/>
  <c r="Q389" i="5"/>
  <c r="T389" i="5"/>
  <c r="W389" i="5"/>
  <c r="Z389" i="5"/>
  <c r="AB272" i="7"/>
  <c r="AC272" i="7"/>
  <c r="Q390" i="5"/>
  <c r="T390" i="5"/>
  <c r="W390" i="5"/>
  <c r="Z390" i="5"/>
  <c r="AB273" i="7"/>
  <c r="AC273" i="7"/>
  <c r="AB274" i="7"/>
  <c r="AC274" i="7"/>
  <c r="AB275" i="7"/>
  <c r="AC275" i="7"/>
  <c r="AB276" i="7"/>
  <c r="AC276" i="7"/>
  <c r="AB277" i="7"/>
  <c r="AC277" i="7"/>
  <c r="AB278" i="7"/>
  <c r="AC278" i="7"/>
  <c r="AB279" i="7"/>
  <c r="AC279" i="7"/>
  <c r="AB280" i="7"/>
  <c r="AC280" i="7"/>
  <c r="AB281" i="7"/>
  <c r="AC281" i="7"/>
  <c r="AB282" i="7"/>
  <c r="AC282" i="7"/>
  <c r="AB283" i="7"/>
  <c r="AC283" i="7"/>
  <c r="AB284" i="7"/>
  <c r="AC284" i="7"/>
  <c r="AB285" i="7"/>
  <c r="AC285" i="7"/>
  <c r="AB286" i="7"/>
  <c r="AC286" i="7"/>
  <c r="AB287" i="7"/>
  <c r="AC287" i="7"/>
  <c r="AB288" i="7"/>
  <c r="AC288" i="7"/>
  <c r="AB289" i="7"/>
  <c r="AC289" i="7"/>
  <c r="AB290" i="7"/>
  <c r="AC290" i="7"/>
  <c r="AB291" i="7"/>
  <c r="AC291" i="7"/>
  <c r="AB292" i="7"/>
  <c r="AC292" i="7"/>
  <c r="AB293" i="7"/>
  <c r="AC293" i="7"/>
  <c r="AB294" i="7"/>
  <c r="AC294" i="7"/>
  <c r="AB295" i="7"/>
  <c r="AC295" i="7"/>
  <c r="AB296" i="7"/>
  <c r="AC296" i="7"/>
  <c r="AB297" i="7"/>
  <c r="AC297" i="7"/>
  <c r="AB298" i="7"/>
  <c r="AC298" i="7"/>
  <c r="AB299" i="7"/>
  <c r="AC299" i="7"/>
  <c r="AB300" i="7"/>
  <c r="AC300" i="7"/>
  <c r="AB301" i="7"/>
  <c r="AC301" i="7"/>
  <c r="AB302" i="7"/>
  <c r="AC302" i="7"/>
  <c r="AB303" i="7"/>
  <c r="AC303" i="7"/>
  <c r="AB304" i="7"/>
  <c r="AC304" i="7"/>
  <c r="AB305" i="7"/>
  <c r="AC305" i="7"/>
  <c r="AB306" i="7"/>
  <c r="AC306" i="7"/>
  <c r="AB307" i="7"/>
  <c r="AC307" i="7"/>
  <c r="AB308" i="7"/>
  <c r="AC308" i="7"/>
  <c r="AB309" i="7"/>
  <c r="AC309" i="7"/>
  <c r="AB310" i="7"/>
  <c r="AC310" i="7"/>
  <c r="AB311" i="7"/>
  <c r="AC311" i="7"/>
  <c r="AB312" i="7"/>
  <c r="AC312" i="7"/>
  <c r="AB313" i="7"/>
  <c r="AC313" i="7"/>
  <c r="AB314" i="7"/>
  <c r="AC314" i="7"/>
  <c r="AB315" i="7"/>
  <c r="AC315" i="7"/>
  <c r="AB316" i="7"/>
  <c r="AC316" i="7"/>
  <c r="AB317" i="7"/>
  <c r="AC317" i="7"/>
  <c r="AB318" i="7"/>
  <c r="AC318" i="7"/>
  <c r="AB319" i="7"/>
  <c r="AC319" i="7"/>
  <c r="AB320" i="7"/>
  <c r="AC320" i="7"/>
  <c r="AB321" i="7"/>
  <c r="AC321" i="7"/>
  <c r="AB322" i="7"/>
  <c r="AC322" i="7"/>
  <c r="AB323" i="7"/>
  <c r="AC323" i="7"/>
  <c r="AB324" i="7"/>
  <c r="AC324" i="7"/>
  <c r="AB325" i="7"/>
  <c r="AC325" i="7"/>
  <c r="AB326" i="7"/>
  <c r="AC326" i="7"/>
  <c r="AB327" i="7"/>
  <c r="AC327" i="7"/>
  <c r="AB328" i="7"/>
  <c r="AC328" i="7"/>
  <c r="AB329" i="7"/>
  <c r="AC329" i="7"/>
  <c r="AB330" i="7"/>
  <c r="AC330" i="7"/>
  <c r="AB331" i="7"/>
  <c r="AC331" i="7"/>
  <c r="AB332" i="7"/>
  <c r="AC332" i="7"/>
  <c r="AB333" i="7"/>
  <c r="AC333" i="7"/>
  <c r="AB334" i="7"/>
  <c r="AC334" i="7"/>
  <c r="AB335" i="7"/>
  <c r="AC335" i="7"/>
  <c r="AB336" i="7"/>
  <c r="AC336" i="7"/>
  <c r="AB337" i="7"/>
  <c r="AC337" i="7"/>
  <c r="AB338" i="7"/>
  <c r="AC338" i="7"/>
  <c r="AB339" i="7"/>
  <c r="AC339" i="7"/>
  <c r="AB340" i="7"/>
  <c r="AC340" i="7"/>
  <c r="AB341" i="7"/>
  <c r="AC341" i="7"/>
  <c r="AB342" i="7"/>
  <c r="AC342" i="7"/>
  <c r="AB343" i="7"/>
  <c r="AC343" i="7"/>
  <c r="AB344" i="7"/>
  <c r="AC344" i="7"/>
  <c r="AB345" i="7"/>
  <c r="AC345" i="7"/>
  <c r="AB346" i="7"/>
  <c r="AC346" i="7"/>
  <c r="K199" i="5"/>
  <c r="N199" i="5"/>
  <c r="Q199" i="5"/>
  <c r="T199" i="5"/>
  <c r="W199" i="5"/>
  <c r="Z199" i="5"/>
  <c r="AB347" i="7"/>
  <c r="AC347" i="7"/>
  <c r="AB348" i="7"/>
  <c r="AC348" i="7"/>
  <c r="AB349" i="7"/>
  <c r="AC349" i="7"/>
  <c r="AB350" i="7"/>
  <c r="AC350" i="7"/>
  <c r="AB351" i="7"/>
  <c r="AC351" i="7"/>
  <c r="K200" i="5"/>
  <c r="N200" i="5"/>
  <c r="Q200" i="5"/>
  <c r="T200" i="5"/>
  <c r="W200" i="5"/>
  <c r="Z200" i="5"/>
  <c r="AB352" i="7"/>
  <c r="AC352" i="7"/>
  <c r="AB353" i="7"/>
  <c r="AC353" i="7"/>
  <c r="AB354" i="7"/>
  <c r="AC354" i="7"/>
  <c r="AB355" i="7"/>
  <c r="AC355" i="7"/>
  <c r="AB356" i="7"/>
  <c r="AC356" i="7"/>
  <c r="AB357" i="7"/>
  <c r="AC357" i="7"/>
  <c r="AB358" i="7"/>
  <c r="AC358" i="7"/>
  <c r="AB359" i="7"/>
  <c r="AC359" i="7"/>
  <c r="AB360" i="7"/>
  <c r="AC360" i="7"/>
  <c r="AB361" i="7"/>
  <c r="AC361" i="7"/>
  <c r="K201" i="5"/>
  <c r="N201" i="5"/>
  <c r="Q201" i="5"/>
  <c r="T201" i="5"/>
  <c r="W201" i="5"/>
  <c r="Z201" i="5"/>
  <c r="AB362" i="7"/>
  <c r="AC362" i="7"/>
  <c r="AB363" i="7"/>
  <c r="AC363" i="7"/>
  <c r="AB364" i="7"/>
  <c r="AC364" i="7"/>
  <c r="AB365" i="7"/>
  <c r="AC365" i="7"/>
  <c r="AB366" i="7"/>
  <c r="AC366" i="7"/>
  <c r="AB367" i="7"/>
  <c r="AC367" i="7"/>
  <c r="AB368" i="7"/>
  <c r="AC368" i="7"/>
  <c r="AB369" i="7"/>
  <c r="AC369" i="7"/>
  <c r="AB370" i="7"/>
  <c r="AC370" i="7"/>
  <c r="AB371" i="7"/>
  <c r="AC371" i="7"/>
  <c r="AB372" i="7"/>
  <c r="AC372" i="7"/>
  <c r="AB373" i="7"/>
  <c r="AC373" i="7"/>
  <c r="AB374" i="7"/>
  <c r="AC374" i="7"/>
  <c r="AB375" i="7"/>
  <c r="AC375" i="7"/>
  <c r="AB376" i="7"/>
  <c r="AC376" i="7"/>
  <c r="K159" i="5"/>
  <c r="N159" i="5"/>
  <c r="Q159" i="5"/>
  <c r="T159" i="5"/>
  <c r="W159" i="5"/>
  <c r="Z159" i="5"/>
  <c r="AB377" i="7"/>
  <c r="AC377" i="7"/>
  <c r="K357" i="5"/>
  <c r="N357" i="5"/>
  <c r="Q357" i="5"/>
  <c r="T357" i="5"/>
  <c r="W357" i="5"/>
  <c r="Z357" i="5"/>
  <c r="AB378" i="7"/>
  <c r="AC378" i="7"/>
  <c r="K70" i="5"/>
  <c r="N70" i="5"/>
  <c r="Q70" i="5"/>
  <c r="T70" i="5"/>
  <c r="W70" i="5"/>
  <c r="Z70" i="5"/>
  <c r="AB379" i="7"/>
  <c r="AC379" i="7"/>
  <c r="K202" i="5"/>
  <c r="N202" i="5"/>
  <c r="Q202" i="5"/>
  <c r="T202" i="5"/>
  <c r="W202" i="5"/>
  <c r="Z202" i="5"/>
  <c r="AB380" i="7"/>
  <c r="AC380" i="7"/>
  <c r="K160" i="5"/>
  <c r="N160" i="5"/>
  <c r="Q160" i="5"/>
  <c r="T160" i="5"/>
  <c r="W160" i="5"/>
  <c r="Z160" i="5"/>
  <c r="AB381" i="7"/>
  <c r="AC381" i="7"/>
  <c r="W392" i="5"/>
  <c r="Z392" i="5"/>
  <c r="AB382" i="7"/>
  <c r="AC382" i="7"/>
  <c r="W22" i="5"/>
  <c r="Z22" i="5"/>
  <c r="AB383" i="7"/>
  <c r="AC383" i="7"/>
  <c r="W331" i="5"/>
  <c r="Z331" i="5"/>
  <c r="AB384" i="7"/>
  <c r="AC384" i="7"/>
  <c r="W300" i="5"/>
  <c r="Z300" i="5"/>
  <c r="AB385" i="7"/>
  <c r="AC385" i="7"/>
  <c r="W71" i="5"/>
  <c r="Z71" i="5"/>
  <c r="AB386" i="7"/>
  <c r="AC386" i="7"/>
  <c r="W72" i="5"/>
  <c r="Z72" i="5"/>
  <c r="AB387" i="7"/>
  <c r="AC387" i="7"/>
  <c r="W73" i="5"/>
  <c r="Z73" i="5"/>
  <c r="AB388" i="7"/>
  <c r="AC388" i="7"/>
  <c r="W74" i="5"/>
  <c r="Z74" i="5"/>
  <c r="AB389" i="7"/>
  <c r="AC389" i="7"/>
  <c r="W75" i="5"/>
  <c r="Z75" i="5"/>
  <c r="AB390" i="7"/>
  <c r="AC390" i="7"/>
  <c r="W44" i="5"/>
  <c r="Z44" i="5"/>
  <c r="AB391" i="7"/>
  <c r="AC391" i="7"/>
  <c r="W256" i="5"/>
  <c r="Z256" i="5"/>
  <c r="AB392" i="7"/>
  <c r="AC392" i="7"/>
  <c r="W76" i="5"/>
  <c r="Z76" i="5"/>
  <c r="AB393" i="7"/>
  <c r="AC393" i="7"/>
  <c r="W77" i="5"/>
  <c r="Z77" i="5"/>
  <c r="AB394" i="7"/>
  <c r="AC394" i="7"/>
  <c r="W78" i="5"/>
  <c r="Z78" i="5"/>
  <c r="AB395" i="7"/>
  <c r="AC395" i="7"/>
  <c r="W79" i="5"/>
  <c r="Z79" i="5"/>
  <c r="AB396" i="7"/>
  <c r="AC396" i="7"/>
  <c r="W80" i="5"/>
  <c r="Z80" i="5"/>
  <c r="AB397" i="7"/>
  <c r="AC397" i="7"/>
  <c r="W81" i="5"/>
  <c r="Z81" i="5"/>
  <c r="AB398" i="7"/>
  <c r="AC398" i="7"/>
  <c r="W3" i="5"/>
  <c r="Z3" i="5"/>
  <c r="AB399" i="7"/>
  <c r="AC399" i="7"/>
  <c r="W282" i="5"/>
  <c r="Z282" i="5"/>
  <c r="AB400" i="7"/>
  <c r="AC400" i="7"/>
  <c r="W82" i="5"/>
  <c r="Z82" i="5"/>
  <c r="AB401" i="7"/>
  <c r="AC401" i="7"/>
  <c r="W42" i="5"/>
  <c r="Z42" i="5"/>
  <c r="AB402" i="7"/>
  <c r="AC402" i="7"/>
  <c r="W405" i="5"/>
  <c r="Z405" i="5"/>
  <c r="AB403" i="7"/>
  <c r="AC403" i="7"/>
  <c r="W83" i="5"/>
  <c r="Z83" i="5"/>
  <c r="AB404" i="7"/>
  <c r="AC404" i="7"/>
  <c r="W84" i="5"/>
  <c r="Z84" i="5"/>
  <c r="AB405" i="7"/>
  <c r="AC405" i="7"/>
  <c r="W85" i="5"/>
  <c r="Z85" i="5"/>
  <c r="AB406" i="7"/>
  <c r="AC406" i="7"/>
  <c r="AC2" i="7"/>
  <c r="AB2" i="7"/>
  <c r="AA3" i="7"/>
  <c r="Q15" i="5"/>
  <c r="T15" i="5"/>
  <c r="AA4" i="7"/>
  <c r="Q20" i="5"/>
  <c r="T20" i="5"/>
  <c r="AA5" i="7"/>
  <c r="Q21" i="5"/>
  <c r="T21" i="5"/>
  <c r="AA6" i="7"/>
  <c r="Q23" i="5"/>
  <c r="T23" i="5"/>
  <c r="AA7" i="7"/>
  <c r="AA8" i="7"/>
  <c r="Q25" i="5"/>
  <c r="T25" i="5"/>
  <c r="AA9" i="7"/>
  <c r="Q59" i="5"/>
  <c r="T59" i="5"/>
  <c r="AA10" i="7"/>
  <c r="Q9" i="5"/>
  <c r="T9" i="5"/>
  <c r="AA11" i="7"/>
  <c r="Q63" i="5"/>
  <c r="T63" i="5"/>
  <c r="AA12" i="7"/>
  <c r="Q4" i="5"/>
  <c r="T4" i="5"/>
  <c r="AA13" i="7"/>
  <c r="Q36" i="5"/>
  <c r="T36" i="5"/>
  <c r="AA14" i="7"/>
  <c r="AA15" i="7"/>
  <c r="Q35" i="5"/>
  <c r="T35" i="5"/>
  <c r="AA16" i="7"/>
  <c r="Q38" i="5"/>
  <c r="T38" i="5"/>
  <c r="AA17" i="7"/>
  <c r="K109" i="5"/>
  <c r="N109" i="5"/>
  <c r="Q109" i="5"/>
  <c r="T109" i="5"/>
  <c r="AA18" i="7"/>
  <c r="K110" i="5"/>
  <c r="N110" i="5"/>
  <c r="Q110" i="5"/>
  <c r="T110" i="5"/>
  <c r="AA19" i="7"/>
  <c r="K91" i="5"/>
  <c r="N91" i="5"/>
  <c r="Q91" i="5"/>
  <c r="T91" i="5"/>
  <c r="AA20" i="7"/>
  <c r="K115" i="5"/>
  <c r="N115" i="5"/>
  <c r="Q115" i="5"/>
  <c r="T115" i="5"/>
  <c r="AA21" i="7"/>
  <c r="AA22" i="7"/>
  <c r="AA23" i="7"/>
  <c r="Q45" i="5"/>
  <c r="T45" i="5"/>
  <c r="AA24" i="7"/>
  <c r="AA25" i="7"/>
  <c r="AA26" i="7"/>
  <c r="Q47" i="5"/>
  <c r="T47" i="5"/>
  <c r="AA27" i="7"/>
  <c r="AA28" i="7"/>
  <c r="Q19" i="5"/>
  <c r="T19" i="5"/>
  <c r="AA29" i="7"/>
  <c r="Q57" i="5"/>
  <c r="T57" i="5"/>
  <c r="AA30" i="7"/>
  <c r="Q52" i="5"/>
  <c r="T52" i="5"/>
  <c r="AA31" i="7"/>
  <c r="Q16" i="5"/>
  <c r="T16" i="5"/>
  <c r="AA32" i="7"/>
  <c r="Q176" i="5"/>
  <c r="T176" i="5"/>
  <c r="AA33" i="7"/>
  <c r="Q6" i="5"/>
  <c r="T6" i="5"/>
  <c r="AA34" i="7"/>
  <c r="Q54" i="5"/>
  <c r="T54" i="5"/>
  <c r="AA35" i="7"/>
  <c r="AA36" i="7"/>
  <c r="AA37" i="7"/>
  <c r="Q56" i="5"/>
  <c r="T56" i="5"/>
  <c r="AA38" i="7"/>
  <c r="AA39" i="7"/>
  <c r="Q92" i="5"/>
  <c r="T92" i="5"/>
  <c r="AA40" i="7"/>
  <c r="Q100" i="5"/>
  <c r="T100" i="5"/>
  <c r="AA41" i="7"/>
  <c r="Q95" i="5"/>
  <c r="T95" i="5"/>
  <c r="AA42" i="7"/>
  <c r="Q88" i="5"/>
  <c r="T88" i="5"/>
  <c r="AA43" i="7"/>
  <c r="Q309" i="5"/>
  <c r="T309" i="5"/>
  <c r="AA44" i="7"/>
  <c r="Q255" i="5"/>
  <c r="T255" i="5"/>
  <c r="AA45" i="7"/>
  <c r="Q97" i="5"/>
  <c r="T97" i="5"/>
  <c r="AA46" i="7"/>
  <c r="Q164" i="5"/>
  <c r="T164" i="5"/>
  <c r="AA47" i="7"/>
  <c r="Q316" i="5"/>
  <c r="T316" i="5"/>
  <c r="AA48" i="7"/>
  <c r="Q116" i="5"/>
  <c r="T116" i="5"/>
  <c r="AA49" i="7"/>
  <c r="Q111" i="5"/>
  <c r="T111" i="5"/>
  <c r="AA50" i="7"/>
  <c r="Q112" i="5"/>
  <c r="T112" i="5"/>
  <c r="AA51" i="7"/>
  <c r="Q117" i="5"/>
  <c r="T117" i="5"/>
  <c r="AA52" i="7"/>
  <c r="Q113" i="5"/>
  <c r="T113" i="5"/>
  <c r="AA53" i="7"/>
  <c r="AA54" i="7"/>
  <c r="Q107" i="5"/>
  <c r="T107" i="5"/>
  <c r="AA55" i="7"/>
  <c r="Q105" i="5"/>
  <c r="T105" i="5"/>
  <c r="AA56" i="7"/>
  <c r="Q118" i="5"/>
  <c r="T118" i="5"/>
  <c r="AA57" i="7"/>
  <c r="Q106" i="5"/>
  <c r="T106" i="5"/>
  <c r="AA58" i="7"/>
  <c r="K119" i="5"/>
  <c r="N119" i="5"/>
  <c r="Q119" i="5"/>
  <c r="T119" i="5"/>
  <c r="AA59" i="7"/>
  <c r="Q346" i="5"/>
  <c r="T346" i="5"/>
  <c r="AA60" i="7"/>
  <c r="Q336" i="5"/>
  <c r="T336" i="5"/>
  <c r="AA61" i="7"/>
  <c r="Q96" i="5"/>
  <c r="T96" i="5"/>
  <c r="AA62" i="7"/>
  <c r="AA63" i="7"/>
  <c r="AA64" i="7"/>
  <c r="K122" i="5"/>
  <c r="N122" i="5"/>
  <c r="Q122" i="5"/>
  <c r="T122" i="5"/>
  <c r="AA65" i="7"/>
  <c r="Q114" i="5"/>
  <c r="T114" i="5"/>
  <c r="AA66" i="7"/>
  <c r="Q108" i="5"/>
  <c r="T108" i="5"/>
  <c r="AA67" i="7"/>
  <c r="Q161" i="5"/>
  <c r="T161" i="5"/>
  <c r="AA68" i="7"/>
  <c r="AA69" i="7"/>
  <c r="Q162" i="5"/>
  <c r="T162" i="5"/>
  <c r="AA70" i="7"/>
  <c r="Q120" i="5"/>
  <c r="T120" i="5"/>
  <c r="AA71" i="7"/>
  <c r="Q58" i="5"/>
  <c r="T58" i="5"/>
  <c r="AA72" i="7"/>
  <c r="Q173" i="5"/>
  <c r="T173" i="5"/>
  <c r="AA73" i="7"/>
  <c r="AA74" i="7"/>
  <c r="Q172" i="5"/>
  <c r="T172" i="5"/>
  <c r="AA75" i="7"/>
  <c r="Q53" i="5"/>
  <c r="T53" i="5"/>
  <c r="AA76" i="7"/>
  <c r="Q181" i="5"/>
  <c r="T181" i="5"/>
  <c r="AA77" i="7"/>
  <c r="AA78" i="7"/>
  <c r="K179" i="5"/>
  <c r="N179" i="5"/>
  <c r="Q179" i="5"/>
  <c r="T179" i="5"/>
  <c r="AA79" i="7"/>
  <c r="AA80" i="7"/>
  <c r="Q185" i="5"/>
  <c r="T185" i="5"/>
  <c r="AA81" i="7"/>
  <c r="Q374" i="5"/>
  <c r="T374" i="5"/>
  <c r="AA82" i="7"/>
  <c r="Q253" i="5"/>
  <c r="T253" i="5"/>
  <c r="AA83" i="7"/>
  <c r="Q166" i="5"/>
  <c r="T166" i="5"/>
  <c r="AA84" i="7"/>
  <c r="Q167" i="5"/>
  <c r="T167" i="5"/>
  <c r="AA85" i="7"/>
  <c r="Q168" i="5"/>
  <c r="T168" i="5"/>
  <c r="AA86" i="7"/>
  <c r="Q32" i="5"/>
  <c r="T32" i="5"/>
  <c r="AA87" i="7"/>
  <c r="Q263" i="5"/>
  <c r="T263" i="5"/>
  <c r="AA88" i="7"/>
  <c r="Q265" i="5"/>
  <c r="T265" i="5"/>
  <c r="AA89" i="7"/>
  <c r="Q266" i="5"/>
  <c r="T266" i="5"/>
  <c r="AA90" i="7"/>
  <c r="Q308" i="5"/>
  <c r="T308" i="5"/>
  <c r="AA91" i="7"/>
  <c r="Q239" i="5"/>
  <c r="T239" i="5"/>
  <c r="AA92" i="7"/>
  <c r="Q261" i="5"/>
  <c r="T261" i="5"/>
  <c r="AA93" i="7"/>
  <c r="Q60" i="5"/>
  <c r="T60" i="5"/>
  <c r="AA94" i="7"/>
  <c r="K379" i="5"/>
  <c r="N379" i="5"/>
  <c r="Q379" i="5"/>
  <c r="T379" i="5"/>
  <c r="AA95" i="7"/>
  <c r="Q337" i="5"/>
  <c r="T337" i="5"/>
  <c r="AA96" i="7"/>
  <c r="K290" i="5"/>
  <c r="N290" i="5"/>
  <c r="Q290" i="5"/>
  <c r="T290" i="5"/>
  <c r="AA97" i="7"/>
  <c r="AA98" i="7"/>
  <c r="Q277" i="5"/>
  <c r="T277" i="5"/>
  <c r="AA99" i="7"/>
  <c r="AA100" i="7"/>
  <c r="AA101" i="7"/>
  <c r="AA102" i="7"/>
  <c r="AA103" i="7"/>
  <c r="K291" i="5"/>
  <c r="N291" i="5"/>
  <c r="Q291" i="5"/>
  <c r="T291" i="5"/>
  <c r="AA104" i="7"/>
  <c r="Q319" i="5"/>
  <c r="T319" i="5"/>
  <c r="AA105" i="7"/>
  <c r="Q242" i="5"/>
  <c r="T242" i="5"/>
  <c r="AA106" i="7"/>
  <c r="Q324" i="5"/>
  <c r="T324" i="5"/>
  <c r="AA107" i="7"/>
  <c r="K225" i="5"/>
  <c r="N225" i="5"/>
  <c r="Q225" i="5"/>
  <c r="T225" i="5"/>
  <c r="AA108" i="7"/>
  <c r="Q18" i="5"/>
  <c r="T18" i="5"/>
  <c r="AA109" i="7"/>
  <c r="Q50" i="5"/>
  <c r="T50" i="5"/>
  <c r="AA110" i="7"/>
  <c r="K366" i="5"/>
  <c r="N366" i="5"/>
  <c r="Q366" i="5"/>
  <c r="T366" i="5"/>
  <c r="AA111" i="7"/>
  <c r="Q26" i="5"/>
  <c r="T26" i="5"/>
  <c r="AA112" i="7"/>
  <c r="Q350" i="5"/>
  <c r="T350" i="5"/>
  <c r="AA113" i="7"/>
  <c r="Q294" i="5"/>
  <c r="T294" i="5"/>
  <c r="AA114" i="7"/>
  <c r="Q90" i="5"/>
  <c r="T90" i="5"/>
  <c r="AA115" i="7"/>
  <c r="Q362" i="5"/>
  <c r="T362" i="5"/>
  <c r="AA116" i="7"/>
  <c r="K41" i="5"/>
  <c r="N41" i="5"/>
  <c r="Q41" i="5"/>
  <c r="T41" i="5"/>
  <c r="AA117" i="7"/>
  <c r="Q89" i="5"/>
  <c r="T89" i="5"/>
  <c r="AA118" i="7"/>
  <c r="Q98" i="5"/>
  <c r="T98" i="5"/>
  <c r="AA119" i="7"/>
  <c r="AA120" i="7"/>
  <c r="Q99" i="5"/>
  <c r="T99" i="5"/>
  <c r="AA121" i="7"/>
  <c r="Q332" i="5"/>
  <c r="T332" i="5"/>
  <c r="AA122" i="7"/>
  <c r="Q347" i="5"/>
  <c r="T347" i="5"/>
  <c r="AA123" i="7"/>
  <c r="Q305" i="5"/>
  <c r="T305" i="5"/>
  <c r="AA124" i="7"/>
  <c r="AA125" i="7"/>
  <c r="K321" i="5"/>
  <c r="N321" i="5"/>
  <c r="Q321" i="5"/>
  <c r="T321" i="5"/>
  <c r="AA126" i="7"/>
  <c r="K223" i="5"/>
  <c r="N223" i="5"/>
  <c r="Q223" i="5"/>
  <c r="T223" i="5"/>
  <c r="AA127" i="7"/>
  <c r="Q93" i="5"/>
  <c r="T93" i="5"/>
  <c r="AA128" i="7"/>
  <c r="K325" i="5"/>
  <c r="N325" i="5"/>
  <c r="Q325" i="5"/>
  <c r="T325" i="5"/>
  <c r="AA129" i="7"/>
  <c r="K28" i="5"/>
  <c r="N28" i="5"/>
  <c r="Q28" i="5"/>
  <c r="T28" i="5"/>
  <c r="AA130" i="7"/>
  <c r="AA131" i="7"/>
  <c r="Q354" i="5"/>
  <c r="T354" i="5"/>
  <c r="AA132" i="7"/>
  <c r="Q254" i="5"/>
  <c r="T254" i="5"/>
  <c r="AA133" i="7"/>
  <c r="Q102" i="5"/>
  <c r="T102" i="5"/>
  <c r="AA134" i="7"/>
  <c r="Q358" i="5"/>
  <c r="T358" i="5"/>
  <c r="AA135" i="7"/>
  <c r="K377" i="5"/>
  <c r="N377" i="5"/>
  <c r="Q377" i="5"/>
  <c r="T377" i="5"/>
  <c r="AA136" i="7"/>
  <c r="Q178" i="5"/>
  <c r="T178" i="5"/>
  <c r="AA137" i="7"/>
  <c r="K237" i="5"/>
  <c r="N237" i="5"/>
  <c r="Q237" i="5"/>
  <c r="T237" i="5"/>
  <c r="AA138" i="7"/>
  <c r="Q351" i="5"/>
  <c r="T351" i="5"/>
  <c r="AA139" i="7"/>
  <c r="Q375" i="5"/>
  <c r="T375" i="5"/>
  <c r="AA140" i="7"/>
  <c r="Q61" i="5"/>
  <c r="T61" i="5"/>
  <c r="AA141" i="7"/>
  <c r="K317" i="5"/>
  <c r="N317" i="5"/>
  <c r="Q317" i="5"/>
  <c r="T317" i="5"/>
  <c r="AA142" i="7"/>
  <c r="K376" i="5"/>
  <c r="N376" i="5"/>
  <c r="Q376" i="5"/>
  <c r="T376" i="5"/>
  <c r="AA143" i="7"/>
  <c r="AA144" i="7"/>
  <c r="Q170" i="5"/>
  <c r="T170" i="5"/>
  <c r="AA145" i="7"/>
  <c r="K177" i="5"/>
  <c r="N177" i="5"/>
  <c r="Q177" i="5"/>
  <c r="T177" i="5"/>
  <c r="AA146" i="7"/>
  <c r="Q5" i="5"/>
  <c r="T5" i="5"/>
  <c r="AA147" i="7"/>
  <c r="K171" i="5"/>
  <c r="N171" i="5"/>
  <c r="Q171" i="5"/>
  <c r="T171" i="5"/>
  <c r="AA148" i="7"/>
  <c r="K298" i="5"/>
  <c r="N298" i="5"/>
  <c r="Q298" i="5"/>
  <c r="T298" i="5"/>
  <c r="AA149" i="7"/>
  <c r="AA150" i="7"/>
  <c r="Q302" i="5"/>
  <c r="T302" i="5"/>
  <c r="AA151" i="7"/>
  <c r="K297" i="5"/>
  <c r="N297" i="5"/>
  <c r="Q297" i="5"/>
  <c r="T297" i="5"/>
  <c r="AA152" i="7"/>
  <c r="Q27" i="5"/>
  <c r="T27" i="5"/>
  <c r="AA153" i="7"/>
  <c r="Q360" i="5"/>
  <c r="T360" i="5"/>
  <c r="AA154" i="7"/>
  <c r="AA155" i="7"/>
  <c r="Q183" i="5"/>
  <c r="T183" i="5"/>
  <c r="AA156" i="7"/>
  <c r="Q353" i="5"/>
  <c r="T353" i="5"/>
  <c r="AA157" i="7"/>
  <c r="Q342" i="5"/>
  <c r="T342" i="5"/>
  <c r="AA158" i="7"/>
  <c r="Q343" i="5"/>
  <c r="T343" i="5"/>
  <c r="AA159" i="7"/>
  <c r="AA160" i="7"/>
  <c r="Q65" i="5"/>
  <c r="T65" i="5"/>
  <c r="AA161" i="7"/>
  <c r="Q39" i="5"/>
  <c r="T39" i="5"/>
  <c r="AA162" i="7"/>
  <c r="Q48" i="5"/>
  <c r="T48" i="5"/>
  <c r="AA163" i="7"/>
  <c r="Q272" i="5"/>
  <c r="T272" i="5"/>
  <c r="AA164" i="7"/>
  <c r="K86" i="5"/>
  <c r="N86" i="5"/>
  <c r="Q86" i="5"/>
  <c r="T86" i="5"/>
  <c r="AA165" i="7"/>
  <c r="K30" i="5"/>
  <c r="N30" i="5"/>
  <c r="Q30" i="5"/>
  <c r="T30" i="5"/>
  <c r="AA166" i="7"/>
  <c r="K283" i="5"/>
  <c r="N283" i="5"/>
  <c r="Q283" i="5"/>
  <c r="T283" i="5"/>
  <c r="AA167" i="7"/>
  <c r="AA168" i="7"/>
  <c r="AA169" i="7"/>
  <c r="AA170" i="7"/>
  <c r="Q335" i="5"/>
  <c r="T335" i="5"/>
  <c r="AA171" i="7"/>
  <c r="Q345" i="5"/>
  <c r="T345" i="5"/>
  <c r="AA172" i="7"/>
  <c r="Q352" i="5"/>
  <c r="T352" i="5"/>
  <c r="AA173" i="7"/>
  <c r="Q33" i="5"/>
  <c r="T33" i="5"/>
  <c r="AA174" i="7"/>
  <c r="Q104" i="5"/>
  <c r="T104" i="5"/>
  <c r="AA175" i="7"/>
  <c r="Q163" i="5"/>
  <c r="T163" i="5"/>
  <c r="AA176" i="7"/>
  <c r="AA177" i="7"/>
  <c r="AA178" i="7"/>
  <c r="AA179" i="7"/>
  <c r="AA180" i="7"/>
  <c r="AA181" i="7"/>
  <c r="Q268" i="5"/>
  <c r="T268" i="5"/>
  <c r="AA182" i="7"/>
  <c r="Q248" i="5"/>
  <c r="T248" i="5"/>
  <c r="AA183" i="7"/>
  <c r="AA184" i="7"/>
  <c r="AA185" i="7"/>
  <c r="AA186" i="7"/>
  <c r="AA187" i="7"/>
  <c r="AA188" i="7"/>
  <c r="AA189" i="7"/>
  <c r="AA190" i="7"/>
  <c r="AA191" i="7"/>
  <c r="AA192" i="7"/>
  <c r="Q233" i="5"/>
  <c r="T233" i="5"/>
  <c r="AA193" i="7"/>
  <c r="Q64" i="5"/>
  <c r="T64" i="5"/>
  <c r="AA194" i="7"/>
  <c r="Q318" i="5"/>
  <c r="T318" i="5"/>
  <c r="AA195" i="7"/>
  <c r="Q323" i="5"/>
  <c r="T323" i="5"/>
  <c r="AA196" i="7"/>
  <c r="Q322" i="5"/>
  <c r="T322" i="5"/>
  <c r="AA197" i="7"/>
  <c r="Q296" i="5"/>
  <c r="T296" i="5"/>
  <c r="AA198" i="7"/>
  <c r="Q301" i="5"/>
  <c r="T301" i="5"/>
  <c r="AA199" i="7"/>
  <c r="Q182" i="5"/>
  <c r="T182" i="5"/>
  <c r="AA200" i="7"/>
  <c r="Q236" i="5"/>
  <c r="T236" i="5"/>
  <c r="AA201" i="7"/>
  <c r="Q238" i="5"/>
  <c r="T238" i="5"/>
  <c r="AA202" i="7"/>
  <c r="Q274" i="5"/>
  <c r="T274" i="5"/>
  <c r="AA203" i="7"/>
  <c r="Q247" i="5"/>
  <c r="T247" i="5"/>
  <c r="AA204" i="7"/>
  <c r="Q310" i="5"/>
  <c r="T310" i="5"/>
  <c r="AA205" i="7"/>
  <c r="Q289" i="5"/>
  <c r="T289" i="5"/>
  <c r="AA206" i="7"/>
  <c r="Q315" i="5"/>
  <c r="T315" i="5"/>
  <c r="AA207" i="7"/>
  <c r="Q313" i="5"/>
  <c r="T313" i="5"/>
  <c r="AA208" i="7"/>
  <c r="Q292" i="5"/>
  <c r="T292" i="5"/>
  <c r="AA209" i="7"/>
  <c r="Q311" i="5"/>
  <c r="T311" i="5"/>
  <c r="AA210" i="7"/>
  <c r="Q314" i="5"/>
  <c r="T314" i="5"/>
  <c r="AA211" i="7"/>
  <c r="AA212" i="7"/>
  <c r="Q235" i="5"/>
  <c r="T235" i="5"/>
  <c r="AA213" i="7"/>
  <c r="AA214" i="7"/>
  <c r="Q240" i="5"/>
  <c r="T240" i="5"/>
  <c r="AA215" i="7"/>
  <c r="Q103" i="5"/>
  <c r="T103" i="5"/>
  <c r="AA216" i="7"/>
  <c r="Q279" i="5"/>
  <c r="T279" i="5"/>
  <c r="AA217" i="7"/>
  <c r="Q278" i="5"/>
  <c r="T278" i="5"/>
  <c r="AA218" i="7"/>
  <c r="Q281" i="5"/>
  <c r="T281" i="5"/>
  <c r="AA219" i="7"/>
  <c r="AA220" i="7"/>
  <c r="AA221" i="7"/>
  <c r="AA222" i="7"/>
  <c r="Q257" i="5"/>
  <c r="T257" i="5"/>
  <c r="AA223" i="7"/>
  <c r="AA224" i="7"/>
  <c r="AA225" i="7"/>
  <c r="Q287" i="5"/>
  <c r="T287" i="5"/>
  <c r="AA226" i="7"/>
  <c r="AA227" i="7"/>
  <c r="AA228" i="7"/>
  <c r="AA229" i="7"/>
  <c r="Q284" i="5"/>
  <c r="T284" i="5"/>
  <c r="AA230" i="7"/>
  <c r="Q285" i="5"/>
  <c r="T285" i="5"/>
  <c r="AA231" i="7"/>
  <c r="AA232" i="7"/>
  <c r="AA233" i="7"/>
  <c r="Q251" i="5"/>
  <c r="T251" i="5"/>
  <c r="AA234" i="7"/>
  <c r="Q339" i="5"/>
  <c r="T339" i="5"/>
  <c r="AA235" i="7"/>
  <c r="Q295" i="5"/>
  <c r="T295" i="5"/>
  <c r="AA236" i="7"/>
  <c r="AA237" i="7"/>
  <c r="Q340" i="5"/>
  <c r="T340" i="5"/>
  <c r="AA238" i="7"/>
  <c r="Q338" i="5"/>
  <c r="T338" i="5"/>
  <c r="AA239" i="7"/>
  <c r="Q344" i="5"/>
  <c r="T344" i="5"/>
  <c r="AA240" i="7"/>
  <c r="Q373" i="5"/>
  <c r="T373" i="5"/>
  <c r="AA241" i="7"/>
  <c r="Q341" i="5"/>
  <c r="T341" i="5"/>
  <c r="AA242" i="7"/>
  <c r="Q334" i="5"/>
  <c r="T334" i="5"/>
  <c r="AA243" i="7"/>
  <c r="AA244" i="7"/>
  <c r="Q359" i="5"/>
  <c r="T359" i="5"/>
  <c r="AA245" i="7"/>
  <c r="K365" i="5"/>
  <c r="N365" i="5"/>
  <c r="Q365" i="5"/>
  <c r="T365" i="5"/>
  <c r="AA246" i="7"/>
  <c r="AA247" i="7"/>
  <c r="Q372" i="5"/>
  <c r="T372" i="5"/>
  <c r="AA248" i="7"/>
  <c r="Q370" i="5"/>
  <c r="T370" i="5"/>
  <c r="AA249" i="7"/>
  <c r="Q371" i="5"/>
  <c r="T371" i="5"/>
  <c r="AA250" i="7"/>
  <c r="K320" i="5"/>
  <c r="N320" i="5"/>
  <c r="Q320" i="5"/>
  <c r="T320" i="5"/>
  <c r="AA251" i="7"/>
  <c r="Q249" i="5"/>
  <c r="T249" i="5"/>
  <c r="AA252" i="7"/>
  <c r="Q34" i="5"/>
  <c r="T34" i="5"/>
  <c r="AA253" i="7"/>
  <c r="K241" i="5"/>
  <c r="N241" i="5"/>
  <c r="Q241" i="5"/>
  <c r="T241" i="5"/>
  <c r="AA254" i="7"/>
  <c r="Q385" i="5"/>
  <c r="T385" i="5"/>
  <c r="AA255" i="7"/>
  <c r="AA256" i="7"/>
  <c r="Q361" i="5"/>
  <c r="T361" i="5"/>
  <c r="AA257" i="7"/>
  <c r="K175" i="5"/>
  <c r="N175" i="5"/>
  <c r="Q175" i="5"/>
  <c r="T175" i="5"/>
  <c r="AA258" i="7"/>
  <c r="Q303" i="5"/>
  <c r="T303" i="5"/>
  <c r="AA259" i="7"/>
  <c r="Q307" i="5"/>
  <c r="T307" i="5"/>
  <c r="AA260" i="7"/>
  <c r="Q304" i="5"/>
  <c r="T304" i="5"/>
  <c r="AA261" i="7"/>
  <c r="Q349" i="5"/>
  <c r="T349" i="5"/>
  <c r="AA262" i="7"/>
  <c r="Q364" i="5"/>
  <c r="T364" i="5"/>
  <c r="AA263" i="7"/>
  <c r="Q312" i="5"/>
  <c r="T312" i="5"/>
  <c r="AA264" i="7"/>
  <c r="Q87" i="5"/>
  <c r="T87" i="5"/>
  <c r="AA265" i="7"/>
  <c r="Q94" i="5"/>
  <c r="T94" i="5"/>
  <c r="AA266" i="7"/>
  <c r="K66" i="5"/>
  <c r="N66" i="5"/>
  <c r="Q66" i="5"/>
  <c r="T66" i="5"/>
  <c r="AA267" i="7"/>
  <c r="Q51" i="5"/>
  <c r="T51" i="5"/>
  <c r="AA268" i="7"/>
  <c r="AA269" i="7"/>
  <c r="AA270" i="7"/>
  <c r="AA271" i="7"/>
  <c r="AA272" i="7"/>
  <c r="AA273" i="7"/>
  <c r="Q259" i="5"/>
  <c r="T259" i="5"/>
  <c r="AA274" i="7"/>
  <c r="Q262" i="5"/>
  <c r="T262" i="5"/>
  <c r="AA275" i="7"/>
  <c r="Q273" i="5"/>
  <c r="T273" i="5"/>
  <c r="AA276" i="7"/>
  <c r="Q246" i="5"/>
  <c r="T246" i="5"/>
  <c r="AA277" i="7"/>
  <c r="Q264" i="5"/>
  <c r="T264" i="5"/>
  <c r="AA278" i="7"/>
  <c r="Q348" i="5"/>
  <c r="T348" i="5"/>
  <c r="AA279" i="7"/>
  <c r="Q391" i="5"/>
  <c r="T391" i="5"/>
  <c r="AA280" i="7"/>
  <c r="Q62" i="5"/>
  <c r="T62" i="5"/>
  <c r="AA281" i="7"/>
  <c r="Q7" i="5"/>
  <c r="T7" i="5"/>
  <c r="AA282" i="7"/>
  <c r="Q13" i="5"/>
  <c r="T13" i="5"/>
  <c r="AA283" i="7"/>
  <c r="Q10" i="5"/>
  <c r="T10" i="5"/>
  <c r="AA284" i="7"/>
  <c r="Q11" i="5"/>
  <c r="T11" i="5"/>
  <c r="AA285" i="7"/>
  <c r="Q14" i="5"/>
  <c r="T14" i="5"/>
  <c r="AA286" i="7"/>
  <c r="Q12" i="5"/>
  <c r="T12" i="5"/>
  <c r="AA287" i="7"/>
  <c r="Q276" i="5"/>
  <c r="T276" i="5"/>
  <c r="AA288" i="7"/>
  <c r="Q31" i="5"/>
  <c r="T31" i="5"/>
  <c r="AA289" i="7"/>
  <c r="Q270" i="5"/>
  <c r="T270" i="5"/>
  <c r="AA290" i="7"/>
  <c r="AA291" i="7"/>
  <c r="Q260" i="5"/>
  <c r="T260" i="5"/>
  <c r="AA292" i="7"/>
  <c r="Q275" i="5"/>
  <c r="T275" i="5"/>
  <c r="AA293" i="7"/>
  <c r="Q271" i="5"/>
  <c r="T271" i="5"/>
  <c r="AA294" i="7"/>
  <c r="Q123" i="5"/>
  <c r="T123" i="5"/>
  <c r="AA295" i="7"/>
  <c r="K154" i="5"/>
  <c r="N154" i="5"/>
  <c r="Q154" i="5"/>
  <c r="T154" i="5"/>
  <c r="AA296" i="7"/>
  <c r="K155" i="5"/>
  <c r="N155" i="5"/>
  <c r="Q155" i="5"/>
  <c r="T155" i="5"/>
  <c r="AA297" i="7"/>
  <c r="AA298" i="7"/>
  <c r="K157" i="5"/>
  <c r="N157" i="5"/>
  <c r="Q157" i="5"/>
  <c r="T157" i="5"/>
  <c r="AA299" i="7"/>
  <c r="K197" i="5"/>
  <c r="N197" i="5"/>
  <c r="Q197" i="5"/>
  <c r="T197" i="5"/>
  <c r="AA300" i="7"/>
  <c r="K194" i="5"/>
  <c r="N194" i="5"/>
  <c r="Q194" i="5"/>
  <c r="T194" i="5"/>
  <c r="AA301" i="7"/>
  <c r="K191" i="5"/>
  <c r="N191" i="5"/>
  <c r="Q191" i="5"/>
  <c r="T191" i="5"/>
  <c r="AA302" i="7"/>
  <c r="K189" i="5"/>
  <c r="N189" i="5"/>
  <c r="Q189" i="5"/>
  <c r="T189" i="5"/>
  <c r="AA303" i="7"/>
  <c r="AA304" i="7"/>
  <c r="K192" i="5"/>
  <c r="N192" i="5"/>
  <c r="Q192" i="5"/>
  <c r="T192" i="5"/>
  <c r="AA305" i="7"/>
  <c r="K188" i="5"/>
  <c r="N188" i="5"/>
  <c r="Q188" i="5"/>
  <c r="T188" i="5"/>
  <c r="AA306" i="7"/>
  <c r="K190" i="5"/>
  <c r="N190" i="5"/>
  <c r="Q190" i="5"/>
  <c r="T190" i="5"/>
  <c r="AA307" i="7"/>
  <c r="K195" i="5"/>
  <c r="N195" i="5"/>
  <c r="Q195" i="5"/>
  <c r="T195" i="5"/>
  <c r="AA308" i="7"/>
  <c r="K196" i="5"/>
  <c r="N196" i="5"/>
  <c r="Q196" i="5"/>
  <c r="T196" i="5"/>
  <c r="AA309" i="7"/>
  <c r="K198" i="5"/>
  <c r="N198" i="5"/>
  <c r="Q198" i="5"/>
  <c r="T198" i="5"/>
  <c r="AA310" i="7"/>
  <c r="K158" i="5"/>
  <c r="N158" i="5"/>
  <c r="Q158" i="5"/>
  <c r="T158" i="5"/>
  <c r="AA311" i="7"/>
  <c r="K136" i="5"/>
  <c r="N136" i="5"/>
  <c r="Q136" i="5"/>
  <c r="T136" i="5"/>
  <c r="AA312" i="7"/>
  <c r="K138" i="5"/>
  <c r="N138" i="5"/>
  <c r="Q138" i="5"/>
  <c r="T138" i="5"/>
  <c r="AA313" i="7"/>
  <c r="K130" i="5"/>
  <c r="N130" i="5"/>
  <c r="Q130" i="5"/>
  <c r="T130" i="5"/>
  <c r="AA314" i="7"/>
  <c r="K131" i="5"/>
  <c r="N131" i="5"/>
  <c r="Q131" i="5"/>
  <c r="T131" i="5"/>
  <c r="AA315" i="7"/>
  <c r="K143" i="5"/>
  <c r="N143" i="5"/>
  <c r="Q143" i="5"/>
  <c r="T143" i="5"/>
  <c r="AA316" i="7"/>
  <c r="K139" i="5"/>
  <c r="N139" i="5"/>
  <c r="Q139" i="5"/>
  <c r="T139" i="5"/>
  <c r="AA317" i="7"/>
  <c r="K141" i="5"/>
  <c r="N141" i="5"/>
  <c r="Q141" i="5"/>
  <c r="T141" i="5"/>
  <c r="AA318" i="7"/>
  <c r="K144" i="5"/>
  <c r="N144" i="5"/>
  <c r="Q144" i="5"/>
  <c r="T144" i="5"/>
  <c r="AA319" i="7"/>
  <c r="K150" i="5"/>
  <c r="N150" i="5"/>
  <c r="Q150" i="5"/>
  <c r="T150" i="5"/>
  <c r="AA320" i="7"/>
  <c r="K153" i="5"/>
  <c r="N153" i="5"/>
  <c r="Q153" i="5"/>
  <c r="T153" i="5"/>
  <c r="AA321" i="7"/>
  <c r="K142" i="5"/>
  <c r="N142" i="5"/>
  <c r="Q142" i="5"/>
  <c r="T142" i="5"/>
  <c r="AA322" i="7"/>
  <c r="K146" i="5"/>
  <c r="N146" i="5"/>
  <c r="Q146" i="5"/>
  <c r="T146" i="5"/>
  <c r="AA323" i="7"/>
  <c r="K137" i="5"/>
  <c r="N137" i="5"/>
  <c r="Q137" i="5"/>
  <c r="T137" i="5"/>
  <c r="AA324" i="7"/>
  <c r="K149" i="5"/>
  <c r="N149" i="5"/>
  <c r="Q149" i="5"/>
  <c r="T149" i="5"/>
  <c r="AA325" i="7"/>
  <c r="K128" i="5"/>
  <c r="N128" i="5"/>
  <c r="Q128" i="5"/>
  <c r="T128" i="5"/>
  <c r="AA326" i="7"/>
  <c r="K147" i="5"/>
  <c r="N147" i="5"/>
  <c r="Q147" i="5"/>
  <c r="T147" i="5"/>
  <c r="AA327" i="7"/>
  <c r="K140" i="5"/>
  <c r="N140" i="5"/>
  <c r="Q140" i="5"/>
  <c r="T140" i="5"/>
  <c r="AA328" i="7"/>
  <c r="K151" i="5"/>
  <c r="N151" i="5"/>
  <c r="Q151" i="5"/>
  <c r="T151" i="5"/>
  <c r="AA329" i="7"/>
  <c r="K125" i="5"/>
  <c r="N125" i="5"/>
  <c r="Q125" i="5"/>
  <c r="T125" i="5"/>
  <c r="AA330" i="7"/>
  <c r="K152" i="5"/>
  <c r="N152" i="5"/>
  <c r="Q152" i="5"/>
  <c r="T152" i="5"/>
  <c r="AA331" i="7"/>
  <c r="K145" i="5"/>
  <c r="N145" i="5"/>
  <c r="Q145" i="5"/>
  <c r="T145" i="5"/>
  <c r="AA332" i="7"/>
  <c r="K134" i="5"/>
  <c r="N134" i="5"/>
  <c r="Q134" i="5"/>
  <c r="T134" i="5"/>
  <c r="AA333" i="7"/>
  <c r="K135" i="5"/>
  <c r="N135" i="5"/>
  <c r="Q135" i="5"/>
  <c r="T135" i="5"/>
  <c r="AA334" i="7"/>
  <c r="K133" i="5"/>
  <c r="N133" i="5"/>
  <c r="Q133" i="5"/>
  <c r="T133" i="5"/>
  <c r="AA335" i="7"/>
  <c r="K148" i="5"/>
  <c r="N148" i="5"/>
  <c r="Q148" i="5"/>
  <c r="T148" i="5"/>
  <c r="AA336" i="7"/>
  <c r="K129" i="5"/>
  <c r="N129" i="5"/>
  <c r="Q129" i="5"/>
  <c r="T129" i="5"/>
  <c r="AA337" i="7"/>
  <c r="K187" i="5"/>
  <c r="N187" i="5"/>
  <c r="Q187" i="5"/>
  <c r="T187" i="5"/>
  <c r="AA338" i="7"/>
  <c r="K126" i="5"/>
  <c r="N126" i="5"/>
  <c r="Q126" i="5"/>
  <c r="T126" i="5"/>
  <c r="AA339" i="7"/>
  <c r="K127" i="5"/>
  <c r="N127" i="5"/>
  <c r="Q127" i="5"/>
  <c r="T127" i="5"/>
  <c r="AA340" i="7"/>
  <c r="K186" i="5"/>
  <c r="N186" i="5"/>
  <c r="Q186" i="5"/>
  <c r="T186" i="5"/>
  <c r="AA341" i="7"/>
  <c r="K132" i="5"/>
  <c r="N132" i="5"/>
  <c r="Q132" i="5"/>
  <c r="T132" i="5"/>
  <c r="AA342" i="7"/>
  <c r="K124" i="5"/>
  <c r="N124" i="5"/>
  <c r="Q124" i="5"/>
  <c r="T124" i="5"/>
  <c r="AA343" i="7"/>
  <c r="K213" i="5"/>
  <c r="N213" i="5"/>
  <c r="Q213" i="5"/>
  <c r="T213" i="5"/>
  <c r="AA344" i="7"/>
  <c r="K203" i="5"/>
  <c r="N203" i="5"/>
  <c r="Q203" i="5"/>
  <c r="T203" i="5"/>
  <c r="AA345" i="7"/>
  <c r="K221" i="5"/>
  <c r="N221" i="5"/>
  <c r="Q221" i="5"/>
  <c r="T221" i="5"/>
  <c r="AA346" i="7"/>
  <c r="AA347" i="7"/>
  <c r="K209" i="5"/>
  <c r="N209" i="5"/>
  <c r="Q209" i="5"/>
  <c r="T209" i="5"/>
  <c r="AA348" i="7"/>
  <c r="K210" i="5"/>
  <c r="N210" i="5"/>
  <c r="Q210" i="5"/>
  <c r="T210" i="5"/>
  <c r="AA349" i="7"/>
  <c r="K212" i="5"/>
  <c r="N212" i="5"/>
  <c r="Q212" i="5"/>
  <c r="T212" i="5"/>
  <c r="AA350" i="7"/>
  <c r="K211" i="5"/>
  <c r="N211" i="5"/>
  <c r="Q211" i="5"/>
  <c r="T211" i="5"/>
  <c r="AA351" i="7"/>
  <c r="AA352" i="7"/>
  <c r="K205" i="5"/>
  <c r="N205" i="5"/>
  <c r="Q205" i="5"/>
  <c r="T205" i="5"/>
  <c r="AA353" i="7"/>
  <c r="AA354" i="7"/>
  <c r="K220" i="5"/>
  <c r="N220" i="5"/>
  <c r="Q220" i="5"/>
  <c r="T220" i="5"/>
  <c r="AA355" i="7"/>
  <c r="K219" i="5"/>
  <c r="N219" i="5"/>
  <c r="Q219" i="5"/>
  <c r="T219" i="5"/>
  <c r="AA356" i="7"/>
  <c r="K215" i="5"/>
  <c r="N215" i="5"/>
  <c r="Q215" i="5"/>
  <c r="T215" i="5"/>
  <c r="AA357" i="7"/>
  <c r="AA358" i="7"/>
  <c r="K216" i="5"/>
  <c r="N216" i="5"/>
  <c r="Q216" i="5"/>
  <c r="T216" i="5"/>
  <c r="AA359" i="7"/>
  <c r="K214" i="5"/>
  <c r="N214" i="5"/>
  <c r="Q214" i="5"/>
  <c r="T214" i="5"/>
  <c r="AA360" i="7"/>
  <c r="K217" i="5"/>
  <c r="N217" i="5"/>
  <c r="Q217" i="5"/>
  <c r="T217" i="5"/>
  <c r="AA361" i="7"/>
  <c r="AA362" i="7"/>
  <c r="K207" i="5"/>
  <c r="N207" i="5"/>
  <c r="Q207" i="5"/>
  <c r="T207" i="5"/>
  <c r="AA363" i="7"/>
  <c r="K208" i="5"/>
  <c r="N208" i="5"/>
  <c r="Q208" i="5"/>
  <c r="T208" i="5"/>
  <c r="AA364" i="7"/>
  <c r="K206" i="5"/>
  <c r="N206" i="5"/>
  <c r="Q206" i="5"/>
  <c r="T206" i="5"/>
  <c r="AA365" i="7"/>
  <c r="K393" i="5"/>
  <c r="N393" i="5"/>
  <c r="Q393" i="5"/>
  <c r="T393" i="5"/>
  <c r="AA366" i="7"/>
  <c r="K400" i="5"/>
  <c r="N400" i="5"/>
  <c r="Q400" i="5"/>
  <c r="T400" i="5"/>
  <c r="AA367" i="7"/>
  <c r="K396" i="5"/>
  <c r="N396" i="5"/>
  <c r="Q396" i="5"/>
  <c r="T396" i="5"/>
  <c r="AA368" i="7"/>
  <c r="K402" i="5"/>
  <c r="N402" i="5"/>
  <c r="Q402" i="5"/>
  <c r="T402" i="5"/>
  <c r="AA369" i="7"/>
  <c r="K401" i="5"/>
  <c r="N401" i="5"/>
  <c r="Q401" i="5"/>
  <c r="T401" i="5"/>
  <c r="AA370" i="7"/>
  <c r="K397" i="5"/>
  <c r="N397" i="5"/>
  <c r="Q397" i="5"/>
  <c r="T397" i="5"/>
  <c r="AA371" i="7"/>
  <c r="K403" i="5"/>
  <c r="N403" i="5"/>
  <c r="Q403" i="5"/>
  <c r="T403" i="5"/>
  <c r="AA372" i="7"/>
  <c r="K395" i="5"/>
  <c r="N395" i="5"/>
  <c r="Q395" i="5"/>
  <c r="T395" i="5"/>
  <c r="AA373" i="7"/>
  <c r="K394" i="5"/>
  <c r="N394" i="5"/>
  <c r="Q394" i="5"/>
  <c r="T394" i="5"/>
  <c r="AA374" i="7"/>
  <c r="K399" i="5"/>
  <c r="N399" i="5"/>
  <c r="Q399" i="5"/>
  <c r="T399" i="5"/>
  <c r="AA375" i="7"/>
  <c r="AA376" i="7"/>
  <c r="AA377" i="7"/>
  <c r="AA378" i="7"/>
  <c r="AA379" i="7"/>
  <c r="AA380" i="7"/>
  <c r="AA381" i="7"/>
  <c r="AA382" i="7"/>
  <c r="AA383" i="7"/>
  <c r="AA384" i="7"/>
  <c r="AA385" i="7"/>
  <c r="AA386" i="7"/>
  <c r="AA387" i="7"/>
  <c r="AA388" i="7"/>
  <c r="AA389" i="7"/>
  <c r="AA390" i="7"/>
  <c r="AA391" i="7"/>
  <c r="AA392" i="7"/>
  <c r="AA393" i="7"/>
  <c r="AA394" i="7"/>
  <c r="AA395" i="7"/>
  <c r="AA396" i="7"/>
  <c r="AA397" i="7"/>
  <c r="AA398" i="7"/>
  <c r="AA399" i="7"/>
  <c r="AA400" i="7"/>
  <c r="AA401" i="7"/>
  <c r="AA402" i="7"/>
  <c r="AA403" i="7"/>
  <c r="AA404" i="7"/>
  <c r="AA405" i="7"/>
  <c r="AA406" i="7"/>
  <c r="Q17" i="5"/>
  <c r="T17" i="5"/>
  <c r="AA2" i="7"/>
  <c r="W3" i="7"/>
  <c r="X3" i="7"/>
  <c r="Y3" i="7"/>
  <c r="Z3" i="7"/>
  <c r="W4" i="7"/>
  <c r="X4" i="7"/>
  <c r="Y4" i="7"/>
  <c r="Z4" i="7"/>
  <c r="W5" i="7"/>
  <c r="X5" i="7"/>
  <c r="Y5" i="7"/>
  <c r="Z5" i="7"/>
  <c r="W6" i="7"/>
  <c r="X6" i="7"/>
  <c r="Y6" i="7"/>
  <c r="Z6" i="7"/>
  <c r="W7" i="7"/>
  <c r="X7" i="7"/>
  <c r="Y7" i="7"/>
  <c r="Z7" i="7"/>
  <c r="W8" i="7"/>
  <c r="X8" i="7"/>
  <c r="Y8" i="7"/>
  <c r="Z8" i="7"/>
  <c r="W9" i="7"/>
  <c r="X9" i="7"/>
  <c r="Y9" i="7"/>
  <c r="Z9" i="7"/>
  <c r="W10" i="7"/>
  <c r="X10" i="7"/>
  <c r="Y10" i="7"/>
  <c r="Z10" i="7"/>
  <c r="W11" i="7"/>
  <c r="X11" i="7"/>
  <c r="Y11" i="7"/>
  <c r="Z11" i="7"/>
  <c r="W12" i="7"/>
  <c r="X12" i="7"/>
  <c r="Y12" i="7"/>
  <c r="Z12" i="7"/>
  <c r="W13" i="7"/>
  <c r="X13" i="7"/>
  <c r="Y13" i="7"/>
  <c r="Z13" i="7"/>
  <c r="W14" i="7"/>
  <c r="X14" i="7"/>
  <c r="Y14" i="7"/>
  <c r="Z14" i="7"/>
  <c r="W15" i="7"/>
  <c r="X15" i="7"/>
  <c r="Y15" i="7"/>
  <c r="Z15" i="7"/>
  <c r="W16" i="7"/>
  <c r="X16" i="7"/>
  <c r="Y16" i="7"/>
  <c r="Z16" i="7"/>
  <c r="W17" i="7"/>
  <c r="X17" i="7"/>
  <c r="Y17" i="7"/>
  <c r="Z17" i="7"/>
  <c r="W18" i="7"/>
  <c r="X18" i="7"/>
  <c r="Y18" i="7"/>
  <c r="Z18" i="7"/>
  <c r="W19" i="7"/>
  <c r="X19" i="7"/>
  <c r="Y19" i="7"/>
  <c r="Z19" i="7"/>
  <c r="W20" i="7"/>
  <c r="X20" i="7"/>
  <c r="Y20" i="7"/>
  <c r="Z20" i="7"/>
  <c r="W21" i="7"/>
  <c r="X21" i="7"/>
  <c r="Y21" i="7"/>
  <c r="Z21" i="7"/>
  <c r="W22" i="7"/>
  <c r="X22" i="7"/>
  <c r="Y22" i="7"/>
  <c r="Z22" i="7"/>
  <c r="W23" i="7"/>
  <c r="X23" i="7"/>
  <c r="Y23" i="7"/>
  <c r="Z23" i="7"/>
  <c r="W24" i="7"/>
  <c r="X24" i="7"/>
  <c r="Y24" i="7"/>
  <c r="Z24" i="7"/>
  <c r="W25" i="7"/>
  <c r="X25" i="7"/>
  <c r="Y25" i="7"/>
  <c r="Z25" i="7"/>
  <c r="W26" i="7"/>
  <c r="X26" i="7"/>
  <c r="Y26" i="7"/>
  <c r="Z26" i="7"/>
  <c r="W27" i="7"/>
  <c r="X27" i="7"/>
  <c r="Y27" i="7"/>
  <c r="Z27" i="7"/>
  <c r="W28" i="7"/>
  <c r="X28" i="7"/>
  <c r="Y28" i="7"/>
  <c r="Z28" i="7"/>
  <c r="W29" i="7"/>
  <c r="X29" i="7"/>
  <c r="Y29" i="7"/>
  <c r="Z29" i="7"/>
  <c r="W30" i="7"/>
  <c r="X30" i="7"/>
  <c r="Y30" i="7"/>
  <c r="Z30" i="7"/>
  <c r="W31" i="7"/>
  <c r="X31" i="7"/>
  <c r="Y31" i="7"/>
  <c r="Z31" i="7"/>
  <c r="W32" i="7"/>
  <c r="X32" i="7"/>
  <c r="Y32" i="7"/>
  <c r="Z32" i="7"/>
  <c r="W33" i="7"/>
  <c r="X33" i="7"/>
  <c r="Y33" i="7"/>
  <c r="Z33" i="7"/>
  <c r="W34" i="7"/>
  <c r="X34" i="7"/>
  <c r="Y34" i="7"/>
  <c r="Z34" i="7"/>
  <c r="W35" i="7"/>
  <c r="X35" i="7"/>
  <c r="Y35" i="7"/>
  <c r="Z35" i="7"/>
  <c r="W36" i="7"/>
  <c r="X36" i="7"/>
  <c r="Y36" i="7"/>
  <c r="Z36" i="7"/>
  <c r="W37" i="7"/>
  <c r="X37" i="7"/>
  <c r="Y37" i="7"/>
  <c r="Z37" i="7"/>
  <c r="W38" i="7"/>
  <c r="X38" i="7"/>
  <c r="Y38" i="7"/>
  <c r="Z38" i="7"/>
  <c r="W39" i="7"/>
  <c r="X39" i="7"/>
  <c r="Y39" i="7"/>
  <c r="Z39" i="7"/>
  <c r="W40" i="7"/>
  <c r="X40" i="7"/>
  <c r="Y40" i="7"/>
  <c r="Z40" i="7"/>
  <c r="W41" i="7"/>
  <c r="X41" i="7"/>
  <c r="Y41" i="7"/>
  <c r="Z41" i="7"/>
  <c r="W42" i="7"/>
  <c r="X42" i="7"/>
  <c r="Y42" i="7"/>
  <c r="Z42" i="7"/>
  <c r="W43" i="7"/>
  <c r="X43" i="7"/>
  <c r="Y43" i="7"/>
  <c r="Z43" i="7"/>
  <c r="W44" i="7"/>
  <c r="X44" i="7"/>
  <c r="Y44" i="7"/>
  <c r="Z44" i="7"/>
  <c r="W45" i="7"/>
  <c r="X45" i="7"/>
  <c r="Y45" i="7"/>
  <c r="Z45" i="7"/>
  <c r="W46" i="7"/>
  <c r="X46" i="7"/>
  <c r="Y46" i="7"/>
  <c r="Z46" i="7"/>
  <c r="W47" i="7"/>
  <c r="X47" i="7"/>
  <c r="Y47" i="7"/>
  <c r="Z47" i="7"/>
  <c r="W48" i="7"/>
  <c r="X48" i="7"/>
  <c r="Y48" i="7"/>
  <c r="Z48" i="7"/>
  <c r="W49" i="7"/>
  <c r="X49" i="7"/>
  <c r="Y49" i="7"/>
  <c r="Z49" i="7"/>
  <c r="W50" i="7"/>
  <c r="X50" i="7"/>
  <c r="Y50" i="7"/>
  <c r="Z50" i="7"/>
  <c r="W51" i="7"/>
  <c r="X51" i="7"/>
  <c r="Y51" i="7"/>
  <c r="Z51" i="7"/>
  <c r="W52" i="7"/>
  <c r="X52" i="7"/>
  <c r="Y52" i="7"/>
  <c r="Z52" i="7"/>
  <c r="W53" i="7"/>
  <c r="X53" i="7"/>
  <c r="Y53" i="7"/>
  <c r="Z53" i="7"/>
  <c r="W54" i="7"/>
  <c r="X54" i="7"/>
  <c r="Y54" i="7"/>
  <c r="Z54" i="7"/>
  <c r="W55" i="7"/>
  <c r="X55" i="7"/>
  <c r="Y55" i="7"/>
  <c r="Z55" i="7"/>
  <c r="W56" i="7"/>
  <c r="X56" i="7"/>
  <c r="Y56" i="7"/>
  <c r="Z56" i="7"/>
  <c r="W57" i="7"/>
  <c r="X57" i="7"/>
  <c r="Y57" i="7"/>
  <c r="Z57" i="7"/>
  <c r="W58" i="7"/>
  <c r="X58" i="7"/>
  <c r="Y58" i="7"/>
  <c r="Z58" i="7"/>
  <c r="W59" i="7"/>
  <c r="X59" i="7"/>
  <c r="Y59" i="7"/>
  <c r="Z59" i="7"/>
  <c r="W60" i="7"/>
  <c r="X60" i="7"/>
  <c r="Y60" i="7"/>
  <c r="Z60" i="7"/>
  <c r="W61" i="7"/>
  <c r="X61" i="7"/>
  <c r="Y61" i="7"/>
  <c r="Z61" i="7"/>
  <c r="W62" i="7"/>
  <c r="X62" i="7"/>
  <c r="Y62" i="7"/>
  <c r="Z62" i="7"/>
  <c r="W63" i="7"/>
  <c r="X63" i="7"/>
  <c r="Y63" i="7"/>
  <c r="Z63" i="7"/>
  <c r="W64" i="7"/>
  <c r="X64" i="7"/>
  <c r="Y64" i="7"/>
  <c r="Z64" i="7"/>
  <c r="W65" i="7"/>
  <c r="X65" i="7"/>
  <c r="Y65" i="7"/>
  <c r="Z65" i="7"/>
  <c r="W66" i="7"/>
  <c r="X66" i="7"/>
  <c r="Y66" i="7"/>
  <c r="Z66" i="7"/>
  <c r="W67" i="7"/>
  <c r="X67" i="7"/>
  <c r="Y67" i="7"/>
  <c r="Z67" i="7"/>
  <c r="W68" i="7"/>
  <c r="X68" i="7"/>
  <c r="Y68" i="7"/>
  <c r="Z68" i="7"/>
  <c r="W69" i="7"/>
  <c r="X69" i="7"/>
  <c r="Y69" i="7"/>
  <c r="Z69" i="7"/>
  <c r="W70" i="7"/>
  <c r="X70" i="7"/>
  <c r="Y70" i="7"/>
  <c r="Z70" i="7"/>
  <c r="W71" i="7"/>
  <c r="X71" i="7"/>
  <c r="Y71" i="7"/>
  <c r="Z71" i="7"/>
  <c r="W72" i="7"/>
  <c r="X72" i="7"/>
  <c r="Y72" i="7"/>
  <c r="Z72" i="7"/>
  <c r="W73" i="7"/>
  <c r="X73" i="7"/>
  <c r="Y73" i="7"/>
  <c r="Z73" i="7"/>
  <c r="W74" i="7"/>
  <c r="X74" i="7"/>
  <c r="Y74" i="7"/>
  <c r="Z74" i="7"/>
  <c r="W75" i="7"/>
  <c r="X75" i="7"/>
  <c r="Y75" i="7"/>
  <c r="Z75" i="7"/>
  <c r="W76" i="7"/>
  <c r="X76" i="7"/>
  <c r="Y76" i="7"/>
  <c r="Z76" i="7"/>
  <c r="W77" i="7"/>
  <c r="X77" i="7"/>
  <c r="Y77" i="7"/>
  <c r="Z77" i="7"/>
  <c r="W78" i="7"/>
  <c r="X78" i="7"/>
  <c r="Y78" i="7"/>
  <c r="Z78" i="7"/>
  <c r="W79" i="7"/>
  <c r="X79" i="7"/>
  <c r="Y79" i="7"/>
  <c r="Z79" i="7"/>
  <c r="W80" i="7"/>
  <c r="X80" i="7"/>
  <c r="Y80" i="7"/>
  <c r="Z80" i="7"/>
  <c r="W81" i="7"/>
  <c r="X81" i="7"/>
  <c r="Y81" i="7"/>
  <c r="Z81" i="7"/>
  <c r="W82" i="7"/>
  <c r="X82" i="7"/>
  <c r="Y82" i="7"/>
  <c r="Z82" i="7"/>
  <c r="W83" i="7"/>
  <c r="X83" i="7"/>
  <c r="Y83" i="7"/>
  <c r="Z83" i="7"/>
  <c r="W84" i="7"/>
  <c r="X84" i="7"/>
  <c r="Y84" i="7"/>
  <c r="Z84" i="7"/>
  <c r="W85" i="7"/>
  <c r="X85" i="7"/>
  <c r="Y85" i="7"/>
  <c r="Z85" i="7"/>
  <c r="W86" i="7"/>
  <c r="X86" i="7"/>
  <c r="Y86" i="7"/>
  <c r="Z86" i="7"/>
  <c r="W87" i="7"/>
  <c r="X87" i="7"/>
  <c r="Y87" i="7"/>
  <c r="Z87" i="7"/>
  <c r="W88" i="7"/>
  <c r="X88" i="7"/>
  <c r="Y88" i="7"/>
  <c r="Z88" i="7"/>
  <c r="W89" i="7"/>
  <c r="X89" i="7"/>
  <c r="Y89" i="7"/>
  <c r="Z89" i="7"/>
  <c r="W90" i="7"/>
  <c r="X90" i="7"/>
  <c r="Y90" i="7"/>
  <c r="Z90" i="7"/>
  <c r="W91" i="7"/>
  <c r="X91" i="7"/>
  <c r="Y91" i="7"/>
  <c r="Z91" i="7"/>
  <c r="W92" i="7"/>
  <c r="X92" i="7"/>
  <c r="Y92" i="7"/>
  <c r="Z92" i="7"/>
  <c r="W93" i="7"/>
  <c r="X93" i="7"/>
  <c r="Y93" i="7"/>
  <c r="Z93" i="7"/>
  <c r="W94" i="7"/>
  <c r="X94" i="7"/>
  <c r="Y94" i="7"/>
  <c r="Z94" i="7"/>
  <c r="W95" i="7"/>
  <c r="X95" i="7"/>
  <c r="Y95" i="7"/>
  <c r="Z95" i="7"/>
  <c r="W96" i="7"/>
  <c r="X96" i="7"/>
  <c r="Y96" i="7"/>
  <c r="Z96" i="7"/>
  <c r="W97" i="7"/>
  <c r="X97" i="7"/>
  <c r="Y97" i="7"/>
  <c r="Z97" i="7"/>
  <c r="W98" i="7"/>
  <c r="X98" i="7"/>
  <c r="Y98" i="7"/>
  <c r="Z98" i="7"/>
  <c r="W99" i="7"/>
  <c r="X99" i="7"/>
  <c r="Y99" i="7"/>
  <c r="Z99" i="7"/>
  <c r="W100" i="7"/>
  <c r="X100" i="7"/>
  <c r="Y100" i="7"/>
  <c r="Z100" i="7"/>
  <c r="W101" i="7"/>
  <c r="X101" i="7"/>
  <c r="Y101" i="7"/>
  <c r="Z101" i="7"/>
  <c r="W102" i="7"/>
  <c r="X102" i="7"/>
  <c r="Y102" i="7"/>
  <c r="Z102" i="7"/>
  <c r="W103" i="7"/>
  <c r="X103" i="7"/>
  <c r="Y103" i="7"/>
  <c r="Z103" i="7"/>
  <c r="W104" i="7"/>
  <c r="X104" i="7"/>
  <c r="Y104" i="7"/>
  <c r="Z104" i="7"/>
  <c r="W105" i="7"/>
  <c r="X105" i="7"/>
  <c r="Y105" i="7"/>
  <c r="Z105" i="7"/>
  <c r="W106" i="7"/>
  <c r="X106" i="7"/>
  <c r="Y106" i="7"/>
  <c r="Z106" i="7"/>
  <c r="W107" i="7"/>
  <c r="X107" i="7"/>
  <c r="Y107" i="7"/>
  <c r="Z107" i="7"/>
  <c r="W108" i="7"/>
  <c r="X108" i="7"/>
  <c r="Y108" i="7"/>
  <c r="Z108" i="7"/>
  <c r="W109" i="7"/>
  <c r="X109" i="7"/>
  <c r="Y109" i="7"/>
  <c r="Z109" i="7"/>
  <c r="W110" i="7"/>
  <c r="X110" i="7"/>
  <c r="Y110" i="7"/>
  <c r="Z110" i="7"/>
  <c r="W111" i="7"/>
  <c r="X111" i="7"/>
  <c r="Y111" i="7"/>
  <c r="Z111" i="7"/>
  <c r="W112" i="7"/>
  <c r="X112" i="7"/>
  <c r="Y112" i="7"/>
  <c r="Z112" i="7"/>
  <c r="W113" i="7"/>
  <c r="X113" i="7"/>
  <c r="Y113" i="7"/>
  <c r="Z113" i="7"/>
  <c r="W114" i="7"/>
  <c r="X114" i="7"/>
  <c r="Y114" i="7"/>
  <c r="Z114" i="7"/>
  <c r="W115" i="7"/>
  <c r="X115" i="7"/>
  <c r="Y115" i="7"/>
  <c r="Z115" i="7"/>
  <c r="W116" i="7"/>
  <c r="X116" i="7"/>
  <c r="Y116" i="7"/>
  <c r="Z116" i="7"/>
  <c r="W117" i="7"/>
  <c r="X117" i="7"/>
  <c r="Y117" i="7"/>
  <c r="Z117" i="7"/>
  <c r="W118" i="7"/>
  <c r="X118" i="7"/>
  <c r="Y118" i="7"/>
  <c r="Z118" i="7"/>
  <c r="W119" i="7"/>
  <c r="X119" i="7"/>
  <c r="Y119" i="7"/>
  <c r="Z119" i="7"/>
  <c r="W120" i="7"/>
  <c r="X120" i="7"/>
  <c r="Y120" i="7"/>
  <c r="Z120" i="7"/>
  <c r="W121" i="7"/>
  <c r="X121" i="7"/>
  <c r="Y121" i="7"/>
  <c r="Z121" i="7"/>
  <c r="W122" i="7"/>
  <c r="X122" i="7"/>
  <c r="Y122" i="7"/>
  <c r="Z122" i="7"/>
  <c r="W123" i="7"/>
  <c r="X123" i="7"/>
  <c r="Y123" i="7"/>
  <c r="Z123" i="7"/>
  <c r="W124" i="7"/>
  <c r="X124" i="7"/>
  <c r="Y124" i="7"/>
  <c r="Z124" i="7"/>
  <c r="W125" i="7"/>
  <c r="X125" i="7"/>
  <c r="Y125" i="7"/>
  <c r="Z125" i="7"/>
  <c r="W126" i="7"/>
  <c r="X126" i="7"/>
  <c r="Y126" i="7"/>
  <c r="Z126" i="7"/>
  <c r="W127" i="7"/>
  <c r="X127" i="7"/>
  <c r="Y127" i="7"/>
  <c r="Z127" i="7"/>
  <c r="W128" i="7"/>
  <c r="X128" i="7"/>
  <c r="Y128" i="7"/>
  <c r="Z128" i="7"/>
  <c r="W129" i="7"/>
  <c r="X129" i="7"/>
  <c r="Y129" i="7"/>
  <c r="Z129" i="7"/>
  <c r="W130" i="7"/>
  <c r="X130" i="7"/>
  <c r="Y130" i="7"/>
  <c r="Z130" i="7"/>
  <c r="W131" i="7"/>
  <c r="X131" i="7"/>
  <c r="Y131" i="7"/>
  <c r="Z131" i="7"/>
  <c r="W132" i="7"/>
  <c r="X132" i="7"/>
  <c r="Y132" i="7"/>
  <c r="Z132" i="7"/>
  <c r="W133" i="7"/>
  <c r="X133" i="7"/>
  <c r="Y133" i="7"/>
  <c r="Z133" i="7"/>
  <c r="W134" i="7"/>
  <c r="X134" i="7"/>
  <c r="Y134" i="7"/>
  <c r="Z134" i="7"/>
  <c r="W135" i="7"/>
  <c r="X135" i="7"/>
  <c r="Y135" i="7"/>
  <c r="Z135" i="7"/>
  <c r="W136" i="7"/>
  <c r="X136" i="7"/>
  <c r="Y136" i="7"/>
  <c r="Z136" i="7"/>
  <c r="W137" i="7"/>
  <c r="X137" i="7"/>
  <c r="Y137" i="7"/>
  <c r="Z137" i="7"/>
  <c r="W138" i="7"/>
  <c r="X138" i="7"/>
  <c r="Y138" i="7"/>
  <c r="Z138" i="7"/>
  <c r="W139" i="7"/>
  <c r="X139" i="7"/>
  <c r="Y139" i="7"/>
  <c r="Z139" i="7"/>
  <c r="W140" i="7"/>
  <c r="X140" i="7"/>
  <c r="Y140" i="7"/>
  <c r="Z140" i="7"/>
  <c r="W141" i="7"/>
  <c r="X141" i="7"/>
  <c r="Y141" i="7"/>
  <c r="Z141" i="7"/>
  <c r="W142" i="7"/>
  <c r="X142" i="7"/>
  <c r="Y142" i="7"/>
  <c r="Z142" i="7"/>
  <c r="W143" i="7"/>
  <c r="X143" i="7"/>
  <c r="Y143" i="7"/>
  <c r="Z143" i="7"/>
  <c r="W144" i="7"/>
  <c r="X144" i="7"/>
  <c r="Y144" i="7"/>
  <c r="Z144" i="7"/>
  <c r="W145" i="7"/>
  <c r="X145" i="7"/>
  <c r="Y145" i="7"/>
  <c r="Z145" i="7"/>
  <c r="W146" i="7"/>
  <c r="X146" i="7"/>
  <c r="Y146" i="7"/>
  <c r="Z146" i="7"/>
  <c r="W147" i="7"/>
  <c r="X147" i="7"/>
  <c r="Y147" i="7"/>
  <c r="Z147" i="7"/>
  <c r="W148" i="7"/>
  <c r="X148" i="7"/>
  <c r="Y148" i="7"/>
  <c r="Z148" i="7"/>
  <c r="W149" i="7"/>
  <c r="X149" i="7"/>
  <c r="Y149" i="7"/>
  <c r="Z149" i="7"/>
  <c r="W150" i="7"/>
  <c r="X150" i="7"/>
  <c r="Y150" i="7"/>
  <c r="Z150" i="7"/>
  <c r="W151" i="7"/>
  <c r="X151" i="7"/>
  <c r="Y151" i="7"/>
  <c r="Z151" i="7"/>
  <c r="W152" i="7"/>
  <c r="X152" i="7"/>
  <c r="Y152" i="7"/>
  <c r="Z152" i="7"/>
  <c r="W153" i="7"/>
  <c r="X153" i="7"/>
  <c r="Y153" i="7"/>
  <c r="Z153" i="7"/>
  <c r="W154" i="7"/>
  <c r="X154" i="7"/>
  <c r="Y154" i="7"/>
  <c r="Z154" i="7"/>
  <c r="W155" i="7"/>
  <c r="X155" i="7"/>
  <c r="Y155" i="7"/>
  <c r="Z155" i="7"/>
  <c r="W156" i="7"/>
  <c r="X156" i="7"/>
  <c r="Y156" i="7"/>
  <c r="Z156" i="7"/>
  <c r="W157" i="7"/>
  <c r="X157" i="7"/>
  <c r="Y157" i="7"/>
  <c r="Z157" i="7"/>
  <c r="W158" i="7"/>
  <c r="X158" i="7"/>
  <c r="Y158" i="7"/>
  <c r="Z158" i="7"/>
  <c r="W159" i="7"/>
  <c r="X159" i="7"/>
  <c r="Y159" i="7"/>
  <c r="Z159" i="7"/>
  <c r="W160" i="7"/>
  <c r="X160" i="7"/>
  <c r="Y160" i="7"/>
  <c r="Z160" i="7"/>
  <c r="W161" i="7"/>
  <c r="X161" i="7"/>
  <c r="Y161" i="7"/>
  <c r="Z161" i="7"/>
  <c r="W162" i="7"/>
  <c r="X162" i="7"/>
  <c r="Y162" i="7"/>
  <c r="Z162" i="7"/>
  <c r="W163" i="7"/>
  <c r="X163" i="7"/>
  <c r="Y163" i="7"/>
  <c r="Z163" i="7"/>
  <c r="W164" i="7"/>
  <c r="X164" i="7"/>
  <c r="Y164" i="7"/>
  <c r="Z164" i="7"/>
  <c r="W165" i="7"/>
  <c r="X165" i="7"/>
  <c r="Y165" i="7"/>
  <c r="Z165" i="7"/>
  <c r="W166" i="7"/>
  <c r="X166" i="7"/>
  <c r="Y166" i="7"/>
  <c r="Z166" i="7"/>
  <c r="W167" i="7"/>
  <c r="X167" i="7"/>
  <c r="Y167" i="7"/>
  <c r="Z167" i="7"/>
  <c r="W168" i="7"/>
  <c r="X168" i="7"/>
  <c r="Y168" i="7"/>
  <c r="Z168" i="7"/>
  <c r="W169" i="7"/>
  <c r="X169" i="7"/>
  <c r="Y169" i="7"/>
  <c r="Z169" i="7"/>
  <c r="W170" i="7"/>
  <c r="X170" i="7"/>
  <c r="Y170" i="7"/>
  <c r="Z170" i="7"/>
  <c r="W171" i="7"/>
  <c r="X171" i="7"/>
  <c r="Y171" i="7"/>
  <c r="Z171" i="7"/>
  <c r="W172" i="7"/>
  <c r="X172" i="7"/>
  <c r="Y172" i="7"/>
  <c r="Z172" i="7"/>
  <c r="W173" i="7"/>
  <c r="X173" i="7"/>
  <c r="Y173" i="7"/>
  <c r="Z173" i="7"/>
  <c r="W174" i="7"/>
  <c r="X174" i="7"/>
  <c r="Y174" i="7"/>
  <c r="Z174" i="7"/>
  <c r="W175" i="7"/>
  <c r="X175" i="7"/>
  <c r="Y175" i="7"/>
  <c r="Z175" i="7"/>
  <c r="W176" i="7"/>
  <c r="X176" i="7"/>
  <c r="Y176" i="7"/>
  <c r="Z176" i="7"/>
  <c r="W177" i="7"/>
  <c r="X177" i="7"/>
  <c r="Y177" i="7"/>
  <c r="Z177" i="7"/>
  <c r="W178" i="7"/>
  <c r="X178" i="7"/>
  <c r="Y178" i="7"/>
  <c r="Z178" i="7"/>
  <c r="W179" i="7"/>
  <c r="X179" i="7"/>
  <c r="Y179" i="7"/>
  <c r="Z179" i="7"/>
  <c r="W180" i="7"/>
  <c r="X180" i="7"/>
  <c r="Y180" i="7"/>
  <c r="Z180" i="7"/>
  <c r="W181" i="7"/>
  <c r="X181" i="7"/>
  <c r="Y181" i="7"/>
  <c r="Z181" i="7"/>
  <c r="W182" i="7"/>
  <c r="X182" i="7"/>
  <c r="Y182" i="7"/>
  <c r="Z182" i="7"/>
  <c r="W183" i="7"/>
  <c r="X183" i="7"/>
  <c r="Y183" i="7"/>
  <c r="Z183" i="7"/>
  <c r="W184" i="7"/>
  <c r="X184" i="7"/>
  <c r="Y184" i="7"/>
  <c r="Z184" i="7"/>
  <c r="W185" i="7"/>
  <c r="X185" i="7"/>
  <c r="Y185" i="7"/>
  <c r="Z185" i="7"/>
  <c r="W186" i="7"/>
  <c r="X186" i="7"/>
  <c r="Y186" i="7"/>
  <c r="Z186" i="7"/>
  <c r="W187" i="7"/>
  <c r="X187" i="7"/>
  <c r="Y187" i="7"/>
  <c r="Z187" i="7"/>
  <c r="W188" i="7"/>
  <c r="X188" i="7"/>
  <c r="Y188" i="7"/>
  <c r="Z188" i="7"/>
  <c r="W189" i="7"/>
  <c r="X189" i="7"/>
  <c r="Y189" i="7"/>
  <c r="Z189" i="7"/>
  <c r="W190" i="7"/>
  <c r="X190" i="7"/>
  <c r="Y190" i="7"/>
  <c r="Z190" i="7"/>
  <c r="W191" i="7"/>
  <c r="X191" i="7"/>
  <c r="Y191" i="7"/>
  <c r="Z191" i="7"/>
  <c r="W192" i="7"/>
  <c r="X192" i="7"/>
  <c r="Y192" i="7"/>
  <c r="Z192" i="7"/>
  <c r="W193" i="7"/>
  <c r="X193" i="7"/>
  <c r="Y193" i="7"/>
  <c r="Z193" i="7"/>
  <c r="W194" i="7"/>
  <c r="X194" i="7"/>
  <c r="Y194" i="7"/>
  <c r="Z194" i="7"/>
  <c r="W195" i="7"/>
  <c r="X195" i="7"/>
  <c r="Y195" i="7"/>
  <c r="Z195" i="7"/>
  <c r="W196" i="7"/>
  <c r="X196" i="7"/>
  <c r="Y196" i="7"/>
  <c r="Z196" i="7"/>
  <c r="W197" i="7"/>
  <c r="X197" i="7"/>
  <c r="Y197" i="7"/>
  <c r="Z197" i="7"/>
  <c r="W198" i="7"/>
  <c r="X198" i="7"/>
  <c r="Y198" i="7"/>
  <c r="Z198" i="7"/>
  <c r="W199" i="7"/>
  <c r="X199" i="7"/>
  <c r="Y199" i="7"/>
  <c r="Z199" i="7"/>
  <c r="W200" i="7"/>
  <c r="X200" i="7"/>
  <c r="Y200" i="7"/>
  <c r="Z200" i="7"/>
  <c r="W201" i="7"/>
  <c r="X201" i="7"/>
  <c r="Y201" i="7"/>
  <c r="Z201" i="7"/>
  <c r="W202" i="7"/>
  <c r="X202" i="7"/>
  <c r="Y202" i="7"/>
  <c r="Z202" i="7"/>
  <c r="W203" i="7"/>
  <c r="X203" i="7"/>
  <c r="Y203" i="7"/>
  <c r="Z203" i="7"/>
  <c r="W204" i="7"/>
  <c r="X204" i="7"/>
  <c r="Y204" i="7"/>
  <c r="Z204" i="7"/>
  <c r="W205" i="7"/>
  <c r="X205" i="7"/>
  <c r="Y205" i="7"/>
  <c r="Z205" i="7"/>
  <c r="W206" i="7"/>
  <c r="X206" i="7"/>
  <c r="Y206" i="7"/>
  <c r="Z206" i="7"/>
  <c r="W207" i="7"/>
  <c r="X207" i="7"/>
  <c r="Y207" i="7"/>
  <c r="Z207" i="7"/>
  <c r="W208" i="7"/>
  <c r="X208" i="7"/>
  <c r="Y208" i="7"/>
  <c r="Z208" i="7"/>
  <c r="W209" i="7"/>
  <c r="X209" i="7"/>
  <c r="Y209" i="7"/>
  <c r="Z209" i="7"/>
  <c r="W210" i="7"/>
  <c r="X210" i="7"/>
  <c r="Y210" i="7"/>
  <c r="Z210" i="7"/>
  <c r="W211" i="7"/>
  <c r="X211" i="7"/>
  <c r="Y211" i="7"/>
  <c r="Z211" i="7"/>
  <c r="W212" i="7"/>
  <c r="X212" i="7"/>
  <c r="Y212" i="7"/>
  <c r="Z212" i="7"/>
  <c r="W213" i="7"/>
  <c r="X213" i="7"/>
  <c r="Y213" i="7"/>
  <c r="Z213" i="7"/>
  <c r="W214" i="7"/>
  <c r="X214" i="7"/>
  <c r="Y214" i="7"/>
  <c r="Z214" i="7"/>
  <c r="W215" i="7"/>
  <c r="X215" i="7"/>
  <c r="Y215" i="7"/>
  <c r="Z215" i="7"/>
  <c r="W216" i="7"/>
  <c r="X216" i="7"/>
  <c r="Y216" i="7"/>
  <c r="Z216" i="7"/>
  <c r="W217" i="7"/>
  <c r="X217" i="7"/>
  <c r="Y217" i="7"/>
  <c r="Z217" i="7"/>
  <c r="W218" i="7"/>
  <c r="X218" i="7"/>
  <c r="Y218" i="7"/>
  <c r="Z218" i="7"/>
  <c r="W219" i="7"/>
  <c r="X219" i="7"/>
  <c r="Y219" i="7"/>
  <c r="Z219" i="7"/>
  <c r="W220" i="7"/>
  <c r="X220" i="7"/>
  <c r="Y220" i="7"/>
  <c r="Z220" i="7"/>
  <c r="W221" i="7"/>
  <c r="X221" i="7"/>
  <c r="Y221" i="7"/>
  <c r="Z221" i="7"/>
  <c r="W222" i="7"/>
  <c r="X222" i="7"/>
  <c r="Y222" i="7"/>
  <c r="Z222" i="7"/>
  <c r="W223" i="7"/>
  <c r="X223" i="7"/>
  <c r="Y223" i="7"/>
  <c r="Z223" i="7"/>
  <c r="W224" i="7"/>
  <c r="X224" i="7"/>
  <c r="Y224" i="7"/>
  <c r="Z224" i="7"/>
  <c r="W225" i="7"/>
  <c r="X225" i="7"/>
  <c r="Y225" i="7"/>
  <c r="Z225" i="7"/>
  <c r="W226" i="7"/>
  <c r="X226" i="7"/>
  <c r="Y226" i="7"/>
  <c r="Z226" i="7"/>
  <c r="W227" i="7"/>
  <c r="X227" i="7"/>
  <c r="Y227" i="7"/>
  <c r="Z227" i="7"/>
  <c r="W228" i="7"/>
  <c r="X228" i="7"/>
  <c r="Y228" i="7"/>
  <c r="Z228" i="7"/>
  <c r="W229" i="7"/>
  <c r="X229" i="7"/>
  <c r="Y229" i="7"/>
  <c r="Z229" i="7"/>
  <c r="W230" i="7"/>
  <c r="X230" i="7"/>
  <c r="Y230" i="7"/>
  <c r="Z230" i="7"/>
  <c r="W231" i="7"/>
  <c r="X231" i="7"/>
  <c r="Y231" i="7"/>
  <c r="Z231" i="7"/>
  <c r="W232" i="7"/>
  <c r="X232" i="7"/>
  <c r="Y232" i="7"/>
  <c r="Z232" i="7"/>
  <c r="W233" i="7"/>
  <c r="X233" i="7"/>
  <c r="Y233" i="7"/>
  <c r="Z233" i="7"/>
  <c r="W234" i="7"/>
  <c r="X234" i="7"/>
  <c r="Y234" i="7"/>
  <c r="Z234" i="7"/>
  <c r="W235" i="7"/>
  <c r="X235" i="7"/>
  <c r="Y235" i="7"/>
  <c r="Z235" i="7"/>
  <c r="W236" i="7"/>
  <c r="X236" i="7"/>
  <c r="Y236" i="7"/>
  <c r="Z236" i="7"/>
  <c r="W237" i="7"/>
  <c r="X237" i="7"/>
  <c r="Y237" i="7"/>
  <c r="Z237" i="7"/>
  <c r="W238" i="7"/>
  <c r="X238" i="7"/>
  <c r="Y238" i="7"/>
  <c r="Z238" i="7"/>
  <c r="W239" i="7"/>
  <c r="X239" i="7"/>
  <c r="Y239" i="7"/>
  <c r="Z239" i="7"/>
  <c r="W240" i="7"/>
  <c r="X240" i="7"/>
  <c r="Y240" i="7"/>
  <c r="Z240" i="7"/>
  <c r="W241" i="7"/>
  <c r="X241" i="7"/>
  <c r="Y241" i="7"/>
  <c r="Z241" i="7"/>
  <c r="W242" i="7"/>
  <c r="X242" i="7"/>
  <c r="Y242" i="7"/>
  <c r="Z242" i="7"/>
  <c r="W243" i="7"/>
  <c r="X243" i="7"/>
  <c r="Y243" i="7"/>
  <c r="Z243" i="7"/>
  <c r="W244" i="7"/>
  <c r="X244" i="7"/>
  <c r="Y244" i="7"/>
  <c r="Z244" i="7"/>
  <c r="W245" i="7"/>
  <c r="X245" i="7"/>
  <c r="Y245" i="7"/>
  <c r="Z245" i="7"/>
  <c r="W246" i="7"/>
  <c r="X246" i="7"/>
  <c r="Y246" i="7"/>
  <c r="Z246" i="7"/>
  <c r="W247" i="7"/>
  <c r="X247" i="7"/>
  <c r="Y247" i="7"/>
  <c r="Z247" i="7"/>
  <c r="W248" i="7"/>
  <c r="X248" i="7"/>
  <c r="Y248" i="7"/>
  <c r="Z248" i="7"/>
  <c r="W249" i="7"/>
  <c r="X249" i="7"/>
  <c r="Y249" i="7"/>
  <c r="Z249" i="7"/>
  <c r="W250" i="7"/>
  <c r="X250" i="7"/>
  <c r="Y250" i="7"/>
  <c r="Z250" i="7"/>
  <c r="W251" i="7"/>
  <c r="X251" i="7"/>
  <c r="Y251" i="7"/>
  <c r="Z251" i="7"/>
  <c r="W252" i="7"/>
  <c r="X252" i="7"/>
  <c r="Y252" i="7"/>
  <c r="Z252" i="7"/>
  <c r="W253" i="7"/>
  <c r="X253" i="7"/>
  <c r="Y253" i="7"/>
  <c r="Z253" i="7"/>
  <c r="W254" i="7"/>
  <c r="X254" i="7"/>
  <c r="Y254" i="7"/>
  <c r="Z254" i="7"/>
  <c r="W255" i="7"/>
  <c r="X255" i="7"/>
  <c r="Y255" i="7"/>
  <c r="Z255" i="7"/>
  <c r="W256" i="7"/>
  <c r="X256" i="7"/>
  <c r="Y256" i="7"/>
  <c r="Z256" i="7"/>
  <c r="W257" i="7"/>
  <c r="X257" i="7"/>
  <c r="Y257" i="7"/>
  <c r="Z257" i="7"/>
  <c r="W258" i="7"/>
  <c r="X258" i="7"/>
  <c r="Y258" i="7"/>
  <c r="Z258" i="7"/>
  <c r="W259" i="7"/>
  <c r="X259" i="7"/>
  <c r="Y259" i="7"/>
  <c r="Z259" i="7"/>
  <c r="W260" i="7"/>
  <c r="X260" i="7"/>
  <c r="Y260" i="7"/>
  <c r="Z260" i="7"/>
  <c r="W261" i="7"/>
  <c r="X261" i="7"/>
  <c r="Y261" i="7"/>
  <c r="Z261" i="7"/>
  <c r="W262" i="7"/>
  <c r="X262" i="7"/>
  <c r="Y262" i="7"/>
  <c r="Z262" i="7"/>
  <c r="W263" i="7"/>
  <c r="X263" i="7"/>
  <c r="Y263" i="7"/>
  <c r="Z263" i="7"/>
  <c r="W264" i="7"/>
  <c r="X264" i="7"/>
  <c r="Y264" i="7"/>
  <c r="Z264" i="7"/>
  <c r="W265" i="7"/>
  <c r="X265" i="7"/>
  <c r="Y265" i="7"/>
  <c r="Z265" i="7"/>
  <c r="W266" i="7"/>
  <c r="X266" i="7"/>
  <c r="Y266" i="7"/>
  <c r="Z266" i="7"/>
  <c r="W267" i="7"/>
  <c r="X267" i="7"/>
  <c r="Y267" i="7"/>
  <c r="Z267" i="7"/>
  <c r="W268" i="7"/>
  <c r="X268" i="7"/>
  <c r="Y268" i="7"/>
  <c r="Z268" i="7"/>
  <c r="W269" i="7"/>
  <c r="X269" i="7"/>
  <c r="Y269" i="7"/>
  <c r="Z269" i="7"/>
  <c r="W270" i="7"/>
  <c r="X270" i="7"/>
  <c r="Y270" i="7"/>
  <c r="Z270" i="7"/>
  <c r="W271" i="7"/>
  <c r="X271" i="7"/>
  <c r="Y271" i="7"/>
  <c r="Z271" i="7"/>
  <c r="W272" i="7"/>
  <c r="X272" i="7"/>
  <c r="Y272" i="7"/>
  <c r="Z272" i="7"/>
  <c r="W273" i="7"/>
  <c r="X273" i="7"/>
  <c r="Y273" i="7"/>
  <c r="Z273" i="7"/>
  <c r="W274" i="7"/>
  <c r="X274" i="7"/>
  <c r="Y274" i="7"/>
  <c r="Z274" i="7"/>
  <c r="W275" i="7"/>
  <c r="X275" i="7"/>
  <c r="Y275" i="7"/>
  <c r="Z275" i="7"/>
  <c r="W276" i="7"/>
  <c r="X276" i="7"/>
  <c r="Y276" i="7"/>
  <c r="Z276" i="7"/>
  <c r="W277" i="7"/>
  <c r="X277" i="7"/>
  <c r="Y277" i="7"/>
  <c r="Z277" i="7"/>
  <c r="W278" i="7"/>
  <c r="X278" i="7"/>
  <c r="Y278" i="7"/>
  <c r="Z278" i="7"/>
  <c r="W279" i="7"/>
  <c r="X279" i="7"/>
  <c r="Y279" i="7"/>
  <c r="Z279" i="7"/>
  <c r="W280" i="7"/>
  <c r="X280" i="7"/>
  <c r="Y280" i="7"/>
  <c r="Z280" i="7"/>
  <c r="W281" i="7"/>
  <c r="X281" i="7"/>
  <c r="Y281" i="7"/>
  <c r="Z281" i="7"/>
  <c r="W282" i="7"/>
  <c r="X282" i="7"/>
  <c r="Y282" i="7"/>
  <c r="Z282" i="7"/>
  <c r="W283" i="7"/>
  <c r="X283" i="7"/>
  <c r="Y283" i="7"/>
  <c r="Z283" i="7"/>
  <c r="W284" i="7"/>
  <c r="X284" i="7"/>
  <c r="Y284" i="7"/>
  <c r="Z284" i="7"/>
  <c r="W285" i="7"/>
  <c r="X285" i="7"/>
  <c r="Y285" i="7"/>
  <c r="Z285" i="7"/>
  <c r="W286" i="7"/>
  <c r="X286" i="7"/>
  <c r="Y286" i="7"/>
  <c r="Z286" i="7"/>
  <c r="W287" i="7"/>
  <c r="X287" i="7"/>
  <c r="Y287" i="7"/>
  <c r="Z287" i="7"/>
  <c r="W288" i="7"/>
  <c r="X288" i="7"/>
  <c r="Y288" i="7"/>
  <c r="Z288" i="7"/>
  <c r="W289" i="7"/>
  <c r="X289" i="7"/>
  <c r="Y289" i="7"/>
  <c r="Z289" i="7"/>
  <c r="W290" i="7"/>
  <c r="X290" i="7"/>
  <c r="Y290" i="7"/>
  <c r="Z290" i="7"/>
  <c r="W291" i="7"/>
  <c r="X291" i="7"/>
  <c r="Y291" i="7"/>
  <c r="Z291" i="7"/>
  <c r="W292" i="7"/>
  <c r="X292" i="7"/>
  <c r="Y292" i="7"/>
  <c r="Z292" i="7"/>
  <c r="W293" i="7"/>
  <c r="X293" i="7"/>
  <c r="Y293" i="7"/>
  <c r="Z293" i="7"/>
  <c r="W294" i="7"/>
  <c r="X294" i="7"/>
  <c r="Y294" i="7"/>
  <c r="Z294" i="7"/>
  <c r="W295" i="7"/>
  <c r="X295" i="7"/>
  <c r="Y295" i="7"/>
  <c r="Z295" i="7"/>
  <c r="W296" i="7"/>
  <c r="X296" i="7"/>
  <c r="Y296" i="7"/>
  <c r="Z296" i="7"/>
  <c r="W297" i="7"/>
  <c r="X297" i="7"/>
  <c r="Y297" i="7"/>
  <c r="Z297" i="7"/>
  <c r="W298" i="7"/>
  <c r="X298" i="7"/>
  <c r="Y298" i="7"/>
  <c r="Z298" i="7"/>
  <c r="W299" i="7"/>
  <c r="X299" i="7"/>
  <c r="Y299" i="7"/>
  <c r="Z299" i="7"/>
  <c r="W300" i="7"/>
  <c r="X300" i="7"/>
  <c r="Y300" i="7"/>
  <c r="Z300" i="7"/>
  <c r="W301" i="7"/>
  <c r="X301" i="7"/>
  <c r="Y301" i="7"/>
  <c r="Z301" i="7"/>
  <c r="W302" i="7"/>
  <c r="X302" i="7"/>
  <c r="Y302" i="7"/>
  <c r="Z302" i="7"/>
  <c r="W303" i="7"/>
  <c r="X303" i="7"/>
  <c r="Y303" i="7"/>
  <c r="Z303" i="7"/>
  <c r="W304" i="7"/>
  <c r="X304" i="7"/>
  <c r="Y304" i="7"/>
  <c r="Z304" i="7"/>
  <c r="W305" i="7"/>
  <c r="X305" i="7"/>
  <c r="Y305" i="7"/>
  <c r="Z305" i="7"/>
  <c r="W306" i="7"/>
  <c r="X306" i="7"/>
  <c r="Y306" i="7"/>
  <c r="Z306" i="7"/>
  <c r="W307" i="7"/>
  <c r="X307" i="7"/>
  <c r="Y307" i="7"/>
  <c r="Z307" i="7"/>
  <c r="W308" i="7"/>
  <c r="X308" i="7"/>
  <c r="Y308" i="7"/>
  <c r="Z308" i="7"/>
  <c r="W309" i="7"/>
  <c r="X309" i="7"/>
  <c r="Y309" i="7"/>
  <c r="Z309" i="7"/>
  <c r="W310" i="7"/>
  <c r="X310" i="7"/>
  <c r="Y310" i="7"/>
  <c r="Z310" i="7"/>
  <c r="W311" i="7"/>
  <c r="X311" i="7"/>
  <c r="Y311" i="7"/>
  <c r="Z311" i="7"/>
  <c r="W312" i="7"/>
  <c r="X312" i="7"/>
  <c r="Y312" i="7"/>
  <c r="Z312" i="7"/>
  <c r="W313" i="7"/>
  <c r="X313" i="7"/>
  <c r="Y313" i="7"/>
  <c r="Z313" i="7"/>
  <c r="W314" i="7"/>
  <c r="X314" i="7"/>
  <c r="Y314" i="7"/>
  <c r="Z314" i="7"/>
  <c r="W315" i="7"/>
  <c r="X315" i="7"/>
  <c r="Y315" i="7"/>
  <c r="Z315" i="7"/>
  <c r="W316" i="7"/>
  <c r="X316" i="7"/>
  <c r="Y316" i="7"/>
  <c r="Z316" i="7"/>
  <c r="W317" i="7"/>
  <c r="X317" i="7"/>
  <c r="Y317" i="7"/>
  <c r="Z317" i="7"/>
  <c r="W318" i="7"/>
  <c r="X318" i="7"/>
  <c r="Y318" i="7"/>
  <c r="Z318" i="7"/>
  <c r="W319" i="7"/>
  <c r="X319" i="7"/>
  <c r="Y319" i="7"/>
  <c r="Z319" i="7"/>
  <c r="W320" i="7"/>
  <c r="X320" i="7"/>
  <c r="Y320" i="7"/>
  <c r="Z320" i="7"/>
  <c r="W321" i="7"/>
  <c r="X321" i="7"/>
  <c r="Y321" i="7"/>
  <c r="Z321" i="7"/>
  <c r="W322" i="7"/>
  <c r="X322" i="7"/>
  <c r="Y322" i="7"/>
  <c r="Z322" i="7"/>
  <c r="W323" i="7"/>
  <c r="X323" i="7"/>
  <c r="Y323" i="7"/>
  <c r="Z323" i="7"/>
  <c r="W324" i="7"/>
  <c r="X324" i="7"/>
  <c r="Y324" i="7"/>
  <c r="Z324" i="7"/>
  <c r="W325" i="7"/>
  <c r="X325" i="7"/>
  <c r="Y325" i="7"/>
  <c r="Z325" i="7"/>
  <c r="W326" i="7"/>
  <c r="X326" i="7"/>
  <c r="Y326" i="7"/>
  <c r="Z326" i="7"/>
  <c r="W327" i="7"/>
  <c r="X327" i="7"/>
  <c r="Y327" i="7"/>
  <c r="Z327" i="7"/>
  <c r="W328" i="7"/>
  <c r="X328" i="7"/>
  <c r="Y328" i="7"/>
  <c r="Z328" i="7"/>
  <c r="W329" i="7"/>
  <c r="X329" i="7"/>
  <c r="Y329" i="7"/>
  <c r="Z329" i="7"/>
  <c r="W330" i="7"/>
  <c r="X330" i="7"/>
  <c r="Y330" i="7"/>
  <c r="Z330" i="7"/>
  <c r="W331" i="7"/>
  <c r="X331" i="7"/>
  <c r="Y331" i="7"/>
  <c r="Z331" i="7"/>
  <c r="W332" i="7"/>
  <c r="X332" i="7"/>
  <c r="Y332" i="7"/>
  <c r="Z332" i="7"/>
  <c r="W333" i="7"/>
  <c r="X333" i="7"/>
  <c r="Y333" i="7"/>
  <c r="Z333" i="7"/>
  <c r="W334" i="7"/>
  <c r="X334" i="7"/>
  <c r="Y334" i="7"/>
  <c r="Z334" i="7"/>
  <c r="W335" i="7"/>
  <c r="X335" i="7"/>
  <c r="Y335" i="7"/>
  <c r="Z335" i="7"/>
  <c r="W336" i="7"/>
  <c r="X336" i="7"/>
  <c r="Y336" i="7"/>
  <c r="Z336" i="7"/>
  <c r="W337" i="7"/>
  <c r="X337" i="7"/>
  <c r="Y337" i="7"/>
  <c r="Z337" i="7"/>
  <c r="W338" i="7"/>
  <c r="X338" i="7"/>
  <c r="Y338" i="7"/>
  <c r="Z338" i="7"/>
  <c r="W339" i="7"/>
  <c r="X339" i="7"/>
  <c r="Y339" i="7"/>
  <c r="Z339" i="7"/>
  <c r="W340" i="7"/>
  <c r="X340" i="7"/>
  <c r="Y340" i="7"/>
  <c r="Z340" i="7"/>
  <c r="W341" i="7"/>
  <c r="X341" i="7"/>
  <c r="Y341" i="7"/>
  <c r="Z341" i="7"/>
  <c r="W342" i="7"/>
  <c r="X342" i="7"/>
  <c r="Y342" i="7"/>
  <c r="Z342" i="7"/>
  <c r="W343" i="7"/>
  <c r="X343" i="7"/>
  <c r="Y343" i="7"/>
  <c r="Z343" i="7"/>
  <c r="W344" i="7"/>
  <c r="X344" i="7"/>
  <c r="Y344" i="7"/>
  <c r="Z344" i="7"/>
  <c r="W345" i="7"/>
  <c r="X345" i="7"/>
  <c r="Y345" i="7"/>
  <c r="Z345" i="7"/>
  <c r="W346" i="7"/>
  <c r="X346" i="7"/>
  <c r="Y346" i="7"/>
  <c r="Z346" i="7"/>
  <c r="W347" i="7"/>
  <c r="X347" i="7"/>
  <c r="Y347" i="7"/>
  <c r="Z347" i="7"/>
  <c r="W348" i="7"/>
  <c r="X348" i="7"/>
  <c r="Y348" i="7"/>
  <c r="Z348" i="7"/>
  <c r="W349" i="7"/>
  <c r="X349" i="7"/>
  <c r="Y349" i="7"/>
  <c r="Z349" i="7"/>
  <c r="W350" i="7"/>
  <c r="X350" i="7"/>
  <c r="Y350" i="7"/>
  <c r="Z350" i="7"/>
  <c r="W351" i="7"/>
  <c r="X351" i="7"/>
  <c r="Y351" i="7"/>
  <c r="Z351" i="7"/>
  <c r="W352" i="7"/>
  <c r="X352" i="7"/>
  <c r="Y352" i="7"/>
  <c r="Z352" i="7"/>
  <c r="W353" i="7"/>
  <c r="X353" i="7"/>
  <c r="Y353" i="7"/>
  <c r="Z353" i="7"/>
  <c r="W354" i="7"/>
  <c r="X354" i="7"/>
  <c r="Y354" i="7"/>
  <c r="Z354" i="7"/>
  <c r="W355" i="7"/>
  <c r="X355" i="7"/>
  <c r="Y355" i="7"/>
  <c r="Z355" i="7"/>
  <c r="W356" i="7"/>
  <c r="X356" i="7"/>
  <c r="Y356" i="7"/>
  <c r="Z356" i="7"/>
  <c r="W357" i="7"/>
  <c r="X357" i="7"/>
  <c r="Y357" i="7"/>
  <c r="Z357" i="7"/>
  <c r="W358" i="7"/>
  <c r="X358" i="7"/>
  <c r="Y358" i="7"/>
  <c r="Z358" i="7"/>
  <c r="W359" i="7"/>
  <c r="X359" i="7"/>
  <c r="Y359" i="7"/>
  <c r="Z359" i="7"/>
  <c r="W360" i="7"/>
  <c r="X360" i="7"/>
  <c r="Y360" i="7"/>
  <c r="Z360" i="7"/>
  <c r="W361" i="7"/>
  <c r="X361" i="7"/>
  <c r="Y361" i="7"/>
  <c r="Z361" i="7"/>
  <c r="W362" i="7"/>
  <c r="X362" i="7"/>
  <c r="Y362" i="7"/>
  <c r="Z362" i="7"/>
  <c r="W363" i="7"/>
  <c r="X363" i="7"/>
  <c r="Y363" i="7"/>
  <c r="Z363" i="7"/>
  <c r="W364" i="7"/>
  <c r="X364" i="7"/>
  <c r="Y364" i="7"/>
  <c r="Z364" i="7"/>
  <c r="W365" i="7"/>
  <c r="X365" i="7"/>
  <c r="Y365" i="7"/>
  <c r="Z365" i="7"/>
  <c r="W366" i="7"/>
  <c r="X366" i="7"/>
  <c r="Y366" i="7"/>
  <c r="Z366" i="7"/>
  <c r="W367" i="7"/>
  <c r="X367" i="7"/>
  <c r="Y367" i="7"/>
  <c r="Z367" i="7"/>
  <c r="W368" i="7"/>
  <c r="X368" i="7"/>
  <c r="Y368" i="7"/>
  <c r="Z368" i="7"/>
  <c r="W369" i="7"/>
  <c r="X369" i="7"/>
  <c r="Y369" i="7"/>
  <c r="Z369" i="7"/>
  <c r="W370" i="7"/>
  <c r="X370" i="7"/>
  <c r="Y370" i="7"/>
  <c r="Z370" i="7"/>
  <c r="W371" i="7"/>
  <c r="X371" i="7"/>
  <c r="Y371" i="7"/>
  <c r="Z371" i="7"/>
  <c r="W372" i="7"/>
  <c r="X372" i="7"/>
  <c r="Y372" i="7"/>
  <c r="Z372" i="7"/>
  <c r="W373" i="7"/>
  <c r="X373" i="7"/>
  <c r="Y373" i="7"/>
  <c r="Z373" i="7"/>
  <c r="W374" i="7"/>
  <c r="X374" i="7"/>
  <c r="Y374" i="7"/>
  <c r="Z374" i="7"/>
  <c r="W375" i="7"/>
  <c r="X375" i="7"/>
  <c r="Y375" i="7"/>
  <c r="Z375" i="7"/>
  <c r="W376" i="7"/>
  <c r="X376" i="7"/>
  <c r="Y376" i="7"/>
  <c r="Z376" i="7"/>
  <c r="W377" i="7"/>
  <c r="X377" i="7"/>
  <c r="Y377" i="7"/>
  <c r="Z377" i="7"/>
  <c r="W378" i="7"/>
  <c r="X378" i="7"/>
  <c r="Y378" i="7"/>
  <c r="Z378" i="7"/>
  <c r="W379" i="7"/>
  <c r="X379" i="7"/>
  <c r="Y379" i="7"/>
  <c r="Z379" i="7"/>
  <c r="W380" i="7"/>
  <c r="X380" i="7"/>
  <c r="Y380" i="7"/>
  <c r="Z380" i="7"/>
  <c r="W381" i="7"/>
  <c r="X381" i="7"/>
  <c r="Y381" i="7"/>
  <c r="Z381" i="7"/>
  <c r="W382" i="7"/>
  <c r="X382" i="7"/>
  <c r="Y382" i="7"/>
  <c r="Z382" i="7"/>
  <c r="W383" i="7"/>
  <c r="X383" i="7"/>
  <c r="Y383" i="7"/>
  <c r="Z383" i="7"/>
  <c r="W384" i="7"/>
  <c r="X384" i="7"/>
  <c r="Y384" i="7"/>
  <c r="Z384" i="7"/>
  <c r="W385" i="7"/>
  <c r="X385" i="7"/>
  <c r="Y385" i="7"/>
  <c r="Z385" i="7"/>
  <c r="W386" i="7"/>
  <c r="X386" i="7"/>
  <c r="Y386" i="7"/>
  <c r="Z386" i="7"/>
  <c r="W387" i="7"/>
  <c r="X387" i="7"/>
  <c r="Y387" i="7"/>
  <c r="Z387" i="7"/>
  <c r="W388" i="7"/>
  <c r="X388" i="7"/>
  <c r="Y388" i="7"/>
  <c r="Z388" i="7"/>
  <c r="W389" i="7"/>
  <c r="X389" i="7"/>
  <c r="Y389" i="7"/>
  <c r="Z389" i="7"/>
  <c r="W390" i="7"/>
  <c r="X390" i="7"/>
  <c r="Y390" i="7"/>
  <c r="Z390" i="7"/>
  <c r="W391" i="7"/>
  <c r="X391" i="7"/>
  <c r="Y391" i="7"/>
  <c r="Z391" i="7"/>
  <c r="W392" i="7"/>
  <c r="X392" i="7"/>
  <c r="Y392" i="7"/>
  <c r="Z392" i="7"/>
  <c r="W393" i="7"/>
  <c r="X393" i="7"/>
  <c r="Y393" i="7"/>
  <c r="Z393" i="7"/>
  <c r="W394" i="7"/>
  <c r="X394" i="7"/>
  <c r="Y394" i="7"/>
  <c r="Z394" i="7"/>
  <c r="W395" i="7"/>
  <c r="X395" i="7"/>
  <c r="Y395" i="7"/>
  <c r="Z395" i="7"/>
  <c r="W396" i="7"/>
  <c r="X396" i="7"/>
  <c r="Y396" i="7"/>
  <c r="Z396" i="7"/>
  <c r="W397" i="7"/>
  <c r="X397" i="7"/>
  <c r="Y397" i="7"/>
  <c r="Z397" i="7"/>
  <c r="W398" i="7"/>
  <c r="X398" i="7"/>
  <c r="Y398" i="7"/>
  <c r="Z398" i="7"/>
  <c r="W399" i="7"/>
  <c r="X399" i="7"/>
  <c r="Y399" i="7"/>
  <c r="Z399" i="7"/>
  <c r="W400" i="7"/>
  <c r="X400" i="7"/>
  <c r="Y400" i="7"/>
  <c r="Z400" i="7"/>
  <c r="W401" i="7"/>
  <c r="X401" i="7"/>
  <c r="Y401" i="7"/>
  <c r="Z401" i="7"/>
  <c r="W402" i="7"/>
  <c r="X402" i="7"/>
  <c r="Y402" i="7"/>
  <c r="Z402" i="7"/>
  <c r="W403" i="7"/>
  <c r="X403" i="7"/>
  <c r="Y403" i="7"/>
  <c r="Z403" i="7"/>
  <c r="W404" i="7"/>
  <c r="X404" i="7"/>
  <c r="Y404" i="7"/>
  <c r="Z404" i="7"/>
  <c r="W405" i="7"/>
  <c r="X405" i="7"/>
  <c r="Y405" i="7"/>
  <c r="Z405" i="7"/>
  <c r="W406" i="7"/>
  <c r="X406" i="7"/>
  <c r="Y406" i="7"/>
  <c r="Z406" i="7"/>
  <c r="W2" i="7"/>
  <c r="X2" i="7"/>
  <c r="Y2" i="7"/>
  <c r="Z2" i="7"/>
  <c r="Q23" i="6"/>
  <c r="R23" i="6"/>
  <c r="S23" i="6"/>
  <c r="T23" i="6"/>
  <c r="U23" i="6"/>
  <c r="Q19" i="6"/>
  <c r="R19" i="6"/>
  <c r="S19" i="6"/>
  <c r="T19" i="6"/>
  <c r="U19" i="6"/>
  <c r="Q24" i="6"/>
  <c r="R24" i="6"/>
  <c r="S24" i="6"/>
  <c r="T24" i="6"/>
  <c r="U24" i="6"/>
  <c r="Q25" i="6"/>
  <c r="R25" i="6"/>
  <c r="S25" i="6"/>
  <c r="T25" i="6"/>
  <c r="U25" i="6"/>
  <c r="Q26" i="6"/>
  <c r="R26" i="6"/>
  <c r="S26" i="6"/>
  <c r="T26" i="6"/>
  <c r="U26" i="6"/>
  <c r="Q27" i="6"/>
  <c r="R27" i="6"/>
  <c r="S27" i="6"/>
  <c r="T27" i="6"/>
  <c r="U27" i="6"/>
  <c r="Q33" i="6"/>
  <c r="R33" i="6"/>
  <c r="S33" i="6"/>
  <c r="T33" i="6"/>
  <c r="U33" i="6"/>
  <c r="Q34" i="6"/>
  <c r="R34" i="6"/>
  <c r="S34" i="6"/>
  <c r="T34" i="6"/>
  <c r="U34" i="6"/>
  <c r="Q28" i="6"/>
  <c r="R28" i="6"/>
  <c r="S28" i="6"/>
  <c r="T28" i="6"/>
  <c r="U28" i="6"/>
  <c r="Q16" i="6"/>
  <c r="R16" i="6"/>
  <c r="S16" i="6"/>
  <c r="T16" i="6"/>
  <c r="U16" i="6"/>
  <c r="Q17" i="6"/>
  <c r="R17" i="6"/>
  <c r="S17" i="6"/>
  <c r="T17" i="6"/>
  <c r="U17" i="6"/>
  <c r="Q18" i="6"/>
  <c r="R18" i="6"/>
  <c r="S18" i="6"/>
  <c r="T18" i="6"/>
  <c r="U18" i="6"/>
  <c r="Q20" i="6"/>
  <c r="R20" i="6"/>
  <c r="S20" i="6"/>
  <c r="T20" i="6"/>
  <c r="U20" i="6"/>
  <c r="Q21" i="6"/>
  <c r="R21" i="6"/>
  <c r="S21" i="6"/>
  <c r="T21" i="6"/>
  <c r="U21" i="6"/>
  <c r="Q3" i="6"/>
  <c r="R3" i="6"/>
  <c r="S3" i="6"/>
  <c r="T3" i="6"/>
  <c r="U3" i="6"/>
  <c r="Q4" i="6"/>
  <c r="R4" i="6"/>
  <c r="S4" i="6"/>
  <c r="T4" i="6"/>
  <c r="U4" i="6"/>
  <c r="Q5" i="6"/>
  <c r="R5" i="6"/>
  <c r="S5" i="6"/>
  <c r="T5" i="6"/>
  <c r="U5" i="6"/>
  <c r="Q6" i="6"/>
  <c r="R6" i="6"/>
  <c r="S6" i="6"/>
  <c r="T6" i="6"/>
  <c r="U6" i="6"/>
  <c r="Q15" i="6"/>
  <c r="R15" i="6"/>
  <c r="S15" i="6"/>
  <c r="T15" i="6"/>
  <c r="U15" i="6"/>
  <c r="Q7" i="6"/>
  <c r="R7" i="6"/>
  <c r="S7" i="6"/>
  <c r="T7" i="6"/>
  <c r="U7" i="6"/>
  <c r="Q2" i="6"/>
  <c r="R2" i="6"/>
  <c r="S2" i="6"/>
  <c r="T2" i="6"/>
  <c r="U2" i="6"/>
  <c r="Q8" i="6"/>
  <c r="R8" i="6"/>
  <c r="S8" i="6"/>
  <c r="T8" i="6"/>
  <c r="U8" i="6"/>
  <c r="Q9" i="6"/>
  <c r="R9" i="6"/>
  <c r="S9" i="6"/>
  <c r="T9" i="6"/>
  <c r="U9" i="6"/>
  <c r="Q10" i="6"/>
  <c r="R10" i="6"/>
  <c r="S10" i="6"/>
  <c r="T10" i="6"/>
  <c r="U10" i="6"/>
  <c r="Q11" i="6"/>
  <c r="R11" i="6"/>
  <c r="S11" i="6"/>
  <c r="T11" i="6"/>
  <c r="U11" i="6"/>
  <c r="Q12" i="6"/>
  <c r="R12" i="6"/>
  <c r="S12" i="6"/>
  <c r="T12" i="6"/>
  <c r="U12" i="6"/>
  <c r="Q13" i="6"/>
  <c r="R13" i="6"/>
  <c r="S13" i="6"/>
  <c r="T13" i="6"/>
  <c r="U13" i="6"/>
  <c r="Q32" i="6"/>
  <c r="R32" i="6"/>
  <c r="S32" i="6"/>
  <c r="T32" i="6"/>
  <c r="U32" i="6"/>
  <c r="Q14" i="6"/>
  <c r="R14" i="6"/>
  <c r="S14" i="6"/>
  <c r="T14" i="6"/>
  <c r="U14" i="6"/>
  <c r="Q35" i="6"/>
  <c r="R35" i="6"/>
  <c r="S35" i="6"/>
  <c r="T35" i="6"/>
  <c r="U35" i="6"/>
  <c r="Q36" i="6"/>
  <c r="R36" i="6"/>
  <c r="S36" i="6"/>
  <c r="T36" i="6"/>
  <c r="U36" i="6"/>
  <c r="Q37" i="6"/>
  <c r="R37" i="6"/>
  <c r="S37" i="6"/>
  <c r="T37" i="6"/>
  <c r="U37" i="6"/>
  <c r="Q38" i="6"/>
  <c r="R38" i="6"/>
  <c r="S38" i="6"/>
  <c r="T38" i="6"/>
  <c r="U38" i="6"/>
  <c r="Q39" i="6"/>
  <c r="R39" i="6"/>
  <c r="S39" i="6"/>
  <c r="T39" i="6"/>
  <c r="U39" i="6"/>
  <c r="U22" i="6"/>
  <c r="T22" i="6"/>
  <c r="S22" i="6"/>
  <c r="R22" i="6"/>
  <c r="Q22" i="6"/>
  <c r="V2" i="7"/>
  <c r="U2" i="7"/>
  <c r="T2" i="7"/>
  <c r="S2" i="7"/>
  <c r="R2" i="7"/>
  <c r="R3" i="7"/>
  <c r="S3" i="7"/>
  <c r="T3" i="7"/>
  <c r="U3" i="7"/>
  <c r="V3" i="7"/>
  <c r="R4" i="7"/>
  <c r="S4" i="7"/>
  <c r="T4" i="7"/>
  <c r="U4" i="7"/>
  <c r="V4" i="7"/>
  <c r="R5" i="7"/>
  <c r="S5" i="7"/>
  <c r="T5" i="7"/>
  <c r="U5" i="7"/>
  <c r="V5" i="7"/>
  <c r="R6" i="7"/>
  <c r="S6" i="7"/>
  <c r="T6" i="7"/>
  <c r="U6" i="7"/>
  <c r="V6" i="7"/>
  <c r="R7" i="7"/>
  <c r="S7" i="7"/>
  <c r="T7" i="7"/>
  <c r="U7" i="7"/>
  <c r="V7" i="7"/>
  <c r="R8" i="7"/>
  <c r="S8" i="7"/>
  <c r="T8" i="7"/>
  <c r="U8" i="7"/>
  <c r="V8" i="7"/>
  <c r="R9" i="7"/>
  <c r="S9" i="7"/>
  <c r="T9" i="7"/>
  <c r="U9" i="7"/>
  <c r="V9" i="7"/>
  <c r="R10" i="7"/>
  <c r="S10" i="7"/>
  <c r="T10" i="7"/>
  <c r="U10" i="7"/>
  <c r="V10" i="7"/>
  <c r="R11" i="7"/>
  <c r="S11" i="7"/>
  <c r="T11" i="7"/>
  <c r="U11" i="7"/>
  <c r="V11" i="7"/>
  <c r="R12" i="7"/>
  <c r="S12" i="7"/>
  <c r="T12" i="7"/>
  <c r="U12" i="7"/>
  <c r="V12" i="7"/>
  <c r="R13" i="7"/>
  <c r="S13" i="7"/>
  <c r="T13" i="7"/>
  <c r="U13" i="7"/>
  <c r="V13" i="7"/>
  <c r="R14" i="7"/>
  <c r="S14" i="7"/>
  <c r="T14" i="7"/>
  <c r="U14" i="7"/>
  <c r="V14" i="7"/>
  <c r="R15" i="7"/>
  <c r="S15" i="7"/>
  <c r="T15" i="7"/>
  <c r="U15" i="7"/>
  <c r="V15" i="7"/>
  <c r="R16" i="7"/>
  <c r="S16" i="7"/>
  <c r="T16" i="7"/>
  <c r="U16" i="7"/>
  <c r="V16" i="7"/>
  <c r="R17" i="7"/>
  <c r="S17" i="7"/>
  <c r="T17" i="7"/>
  <c r="U17" i="7"/>
  <c r="V17" i="7"/>
  <c r="R18" i="7"/>
  <c r="S18" i="7"/>
  <c r="T18" i="7"/>
  <c r="U18" i="7"/>
  <c r="V18" i="7"/>
  <c r="R19" i="7"/>
  <c r="S19" i="7"/>
  <c r="T19" i="7"/>
  <c r="U19" i="7"/>
  <c r="V19" i="7"/>
  <c r="R20" i="7"/>
  <c r="S20" i="7"/>
  <c r="T20" i="7"/>
  <c r="U20" i="7"/>
  <c r="V20" i="7"/>
  <c r="R21" i="7"/>
  <c r="S21" i="7"/>
  <c r="T21" i="7"/>
  <c r="U21" i="7"/>
  <c r="V21" i="7"/>
  <c r="R22" i="7"/>
  <c r="S22" i="7"/>
  <c r="T22" i="7"/>
  <c r="U22" i="7"/>
  <c r="V22" i="7"/>
  <c r="R23" i="7"/>
  <c r="S23" i="7"/>
  <c r="T23" i="7"/>
  <c r="U23" i="7"/>
  <c r="V23" i="7"/>
  <c r="R24" i="7"/>
  <c r="S24" i="7"/>
  <c r="T24" i="7"/>
  <c r="U24" i="7"/>
  <c r="V24" i="7"/>
  <c r="R25" i="7"/>
  <c r="S25" i="7"/>
  <c r="T25" i="7"/>
  <c r="U25" i="7"/>
  <c r="V25" i="7"/>
  <c r="R26" i="7"/>
  <c r="S26" i="7"/>
  <c r="T26" i="7"/>
  <c r="U26" i="7"/>
  <c r="V26" i="7"/>
  <c r="R27" i="7"/>
  <c r="S27" i="7"/>
  <c r="T27" i="7"/>
  <c r="U27" i="7"/>
  <c r="V27" i="7"/>
  <c r="R28" i="7"/>
  <c r="S28" i="7"/>
  <c r="T28" i="7"/>
  <c r="U28" i="7"/>
  <c r="V28" i="7"/>
  <c r="R29" i="7"/>
  <c r="S29" i="7"/>
  <c r="T29" i="7"/>
  <c r="U29" i="7"/>
  <c r="V29" i="7"/>
  <c r="R30" i="7"/>
  <c r="S30" i="7"/>
  <c r="T30" i="7"/>
  <c r="U30" i="7"/>
  <c r="V30" i="7"/>
  <c r="R31" i="7"/>
  <c r="S31" i="7"/>
  <c r="T31" i="7"/>
  <c r="U31" i="7"/>
  <c r="V31" i="7"/>
  <c r="R32" i="7"/>
  <c r="S32" i="7"/>
  <c r="T32" i="7"/>
  <c r="U32" i="7"/>
  <c r="V32" i="7"/>
  <c r="R33" i="7"/>
  <c r="S33" i="7"/>
  <c r="T33" i="7"/>
  <c r="U33" i="7"/>
  <c r="V33" i="7"/>
  <c r="R34" i="7"/>
  <c r="S34" i="7"/>
  <c r="T34" i="7"/>
  <c r="U34" i="7"/>
  <c r="V34" i="7"/>
  <c r="R35" i="7"/>
  <c r="S35" i="7"/>
  <c r="T35" i="7"/>
  <c r="U35" i="7"/>
  <c r="V35" i="7"/>
  <c r="R36" i="7"/>
  <c r="S36" i="7"/>
  <c r="T36" i="7"/>
  <c r="U36" i="7"/>
  <c r="V36" i="7"/>
  <c r="R37" i="7"/>
  <c r="S37" i="7"/>
  <c r="T37" i="7"/>
  <c r="U37" i="7"/>
  <c r="V37" i="7"/>
  <c r="R38" i="7"/>
  <c r="S38" i="7"/>
  <c r="T38" i="7"/>
  <c r="U38" i="7"/>
  <c r="V38" i="7"/>
  <c r="R39" i="7"/>
  <c r="S39" i="7"/>
  <c r="T39" i="7"/>
  <c r="U39" i="7"/>
  <c r="V39" i="7"/>
  <c r="R40" i="7"/>
  <c r="S40" i="7"/>
  <c r="T40" i="7"/>
  <c r="U40" i="7"/>
  <c r="V40" i="7"/>
  <c r="R41" i="7"/>
  <c r="S41" i="7"/>
  <c r="T41" i="7"/>
  <c r="U41" i="7"/>
  <c r="V41" i="7"/>
  <c r="R42" i="7"/>
  <c r="S42" i="7"/>
  <c r="T42" i="7"/>
  <c r="U42" i="7"/>
  <c r="V42" i="7"/>
  <c r="R43" i="7"/>
  <c r="S43" i="7"/>
  <c r="T43" i="7"/>
  <c r="U43" i="7"/>
  <c r="V43" i="7"/>
  <c r="R44" i="7"/>
  <c r="S44" i="7"/>
  <c r="T44" i="7"/>
  <c r="U44" i="7"/>
  <c r="V44" i="7"/>
  <c r="R45" i="7"/>
  <c r="S45" i="7"/>
  <c r="T45" i="7"/>
  <c r="U45" i="7"/>
  <c r="V45" i="7"/>
  <c r="R46" i="7"/>
  <c r="S46" i="7"/>
  <c r="T46" i="7"/>
  <c r="U46" i="7"/>
  <c r="V46" i="7"/>
  <c r="R47" i="7"/>
  <c r="S47" i="7"/>
  <c r="T47" i="7"/>
  <c r="U47" i="7"/>
  <c r="V47" i="7"/>
  <c r="R48" i="7"/>
  <c r="S48" i="7"/>
  <c r="T48" i="7"/>
  <c r="U48" i="7"/>
  <c r="V48" i="7"/>
  <c r="R49" i="7"/>
  <c r="S49" i="7"/>
  <c r="T49" i="7"/>
  <c r="U49" i="7"/>
  <c r="V49" i="7"/>
  <c r="R50" i="7"/>
  <c r="S50" i="7"/>
  <c r="T50" i="7"/>
  <c r="U50" i="7"/>
  <c r="V50" i="7"/>
  <c r="R51" i="7"/>
  <c r="S51" i="7"/>
  <c r="T51" i="7"/>
  <c r="U51" i="7"/>
  <c r="V51" i="7"/>
  <c r="R52" i="7"/>
  <c r="S52" i="7"/>
  <c r="T52" i="7"/>
  <c r="U52" i="7"/>
  <c r="V52" i="7"/>
  <c r="R53" i="7"/>
  <c r="S53" i="7"/>
  <c r="T53" i="7"/>
  <c r="U53" i="7"/>
  <c r="V53" i="7"/>
  <c r="R54" i="7"/>
  <c r="S54" i="7"/>
  <c r="T54" i="7"/>
  <c r="U54" i="7"/>
  <c r="V54" i="7"/>
  <c r="R55" i="7"/>
  <c r="S55" i="7"/>
  <c r="T55" i="7"/>
  <c r="U55" i="7"/>
  <c r="V55" i="7"/>
  <c r="R56" i="7"/>
  <c r="S56" i="7"/>
  <c r="T56" i="7"/>
  <c r="U56" i="7"/>
  <c r="V56" i="7"/>
  <c r="R57" i="7"/>
  <c r="S57" i="7"/>
  <c r="T57" i="7"/>
  <c r="U57" i="7"/>
  <c r="V57" i="7"/>
  <c r="R58" i="7"/>
  <c r="S58" i="7"/>
  <c r="T58" i="7"/>
  <c r="U58" i="7"/>
  <c r="V58" i="7"/>
  <c r="R59" i="7"/>
  <c r="S59" i="7"/>
  <c r="T59" i="7"/>
  <c r="U59" i="7"/>
  <c r="V59" i="7"/>
  <c r="R60" i="7"/>
  <c r="S60" i="7"/>
  <c r="T60" i="7"/>
  <c r="U60" i="7"/>
  <c r="V60" i="7"/>
  <c r="R61" i="7"/>
  <c r="S61" i="7"/>
  <c r="T61" i="7"/>
  <c r="U61" i="7"/>
  <c r="V61" i="7"/>
  <c r="R62" i="7"/>
  <c r="S62" i="7"/>
  <c r="T62" i="7"/>
  <c r="U62" i="7"/>
  <c r="V62" i="7"/>
  <c r="R63" i="7"/>
  <c r="S63" i="7"/>
  <c r="T63" i="7"/>
  <c r="U63" i="7"/>
  <c r="V63" i="7"/>
  <c r="R64" i="7"/>
  <c r="S64" i="7"/>
  <c r="T64" i="7"/>
  <c r="U64" i="7"/>
  <c r="V64" i="7"/>
  <c r="R65" i="7"/>
  <c r="S65" i="7"/>
  <c r="T65" i="7"/>
  <c r="U65" i="7"/>
  <c r="V65" i="7"/>
  <c r="R66" i="7"/>
  <c r="S66" i="7"/>
  <c r="T66" i="7"/>
  <c r="U66" i="7"/>
  <c r="V66" i="7"/>
  <c r="R67" i="7"/>
  <c r="S67" i="7"/>
  <c r="T67" i="7"/>
  <c r="U67" i="7"/>
  <c r="V67" i="7"/>
  <c r="R68" i="7"/>
  <c r="S68" i="7"/>
  <c r="T68" i="7"/>
  <c r="U68" i="7"/>
  <c r="V68" i="7"/>
  <c r="R69" i="7"/>
  <c r="S69" i="7"/>
  <c r="T69" i="7"/>
  <c r="U69" i="7"/>
  <c r="V69" i="7"/>
  <c r="R70" i="7"/>
  <c r="S70" i="7"/>
  <c r="T70" i="7"/>
  <c r="U70" i="7"/>
  <c r="V70" i="7"/>
  <c r="R71" i="7"/>
  <c r="S71" i="7"/>
  <c r="T71" i="7"/>
  <c r="U71" i="7"/>
  <c r="V71" i="7"/>
  <c r="R72" i="7"/>
  <c r="S72" i="7"/>
  <c r="T72" i="7"/>
  <c r="U72" i="7"/>
  <c r="V72" i="7"/>
  <c r="R73" i="7"/>
  <c r="S73" i="7"/>
  <c r="T73" i="7"/>
  <c r="U73" i="7"/>
  <c r="V73" i="7"/>
  <c r="R74" i="7"/>
  <c r="S74" i="7"/>
  <c r="T74" i="7"/>
  <c r="U74" i="7"/>
  <c r="V74" i="7"/>
  <c r="R75" i="7"/>
  <c r="S75" i="7"/>
  <c r="T75" i="7"/>
  <c r="U75" i="7"/>
  <c r="V75" i="7"/>
  <c r="R76" i="7"/>
  <c r="S76" i="7"/>
  <c r="T76" i="7"/>
  <c r="U76" i="7"/>
  <c r="V76" i="7"/>
  <c r="R77" i="7"/>
  <c r="S77" i="7"/>
  <c r="T77" i="7"/>
  <c r="U77" i="7"/>
  <c r="V77" i="7"/>
  <c r="R78" i="7"/>
  <c r="S78" i="7"/>
  <c r="T78" i="7"/>
  <c r="U78" i="7"/>
  <c r="V78" i="7"/>
  <c r="R79" i="7"/>
  <c r="S79" i="7"/>
  <c r="T79" i="7"/>
  <c r="U79" i="7"/>
  <c r="V79" i="7"/>
  <c r="R80" i="7"/>
  <c r="S80" i="7"/>
  <c r="T80" i="7"/>
  <c r="U80" i="7"/>
  <c r="V80" i="7"/>
  <c r="R81" i="7"/>
  <c r="S81" i="7"/>
  <c r="T81" i="7"/>
  <c r="U81" i="7"/>
  <c r="V81" i="7"/>
  <c r="R82" i="7"/>
  <c r="S82" i="7"/>
  <c r="T82" i="7"/>
  <c r="U82" i="7"/>
  <c r="V82" i="7"/>
  <c r="R83" i="7"/>
  <c r="S83" i="7"/>
  <c r="T83" i="7"/>
  <c r="U83" i="7"/>
  <c r="V83" i="7"/>
  <c r="R84" i="7"/>
  <c r="S84" i="7"/>
  <c r="T84" i="7"/>
  <c r="U84" i="7"/>
  <c r="V84" i="7"/>
  <c r="R85" i="7"/>
  <c r="S85" i="7"/>
  <c r="T85" i="7"/>
  <c r="U85" i="7"/>
  <c r="V85" i="7"/>
  <c r="R86" i="7"/>
  <c r="S86" i="7"/>
  <c r="T86" i="7"/>
  <c r="U86" i="7"/>
  <c r="V86" i="7"/>
  <c r="R87" i="7"/>
  <c r="S87" i="7"/>
  <c r="T87" i="7"/>
  <c r="U87" i="7"/>
  <c r="V87" i="7"/>
  <c r="R88" i="7"/>
  <c r="S88" i="7"/>
  <c r="T88" i="7"/>
  <c r="U88" i="7"/>
  <c r="V88" i="7"/>
  <c r="R89" i="7"/>
  <c r="S89" i="7"/>
  <c r="T89" i="7"/>
  <c r="U89" i="7"/>
  <c r="V89" i="7"/>
  <c r="R90" i="7"/>
  <c r="S90" i="7"/>
  <c r="T90" i="7"/>
  <c r="U90" i="7"/>
  <c r="V90" i="7"/>
  <c r="R91" i="7"/>
  <c r="S91" i="7"/>
  <c r="T91" i="7"/>
  <c r="U91" i="7"/>
  <c r="V91" i="7"/>
  <c r="R92" i="7"/>
  <c r="S92" i="7"/>
  <c r="T92" i="7"/>
  <c r="U92" i="7"/>
  <c r="V92" i="7"/>
  <c r="R93" i="7"/>
  <c r="S93" i="7"/>
  <c r="T93" i="7"/>
  <c r="U93" i="7"/>
  <c r="V93" i="7"/>
  <c r="R94" i="7"/>
  <c r="S94" i="7"/>
  <c r="T94" i="7"/>
  <c r="U94" i="7"/>
  <c r="V94" i="7"/>
  <c r="R95" i="7"/>
  <c r="S95" i="7"/>
  <c r="T95" i="7"/>
  <c r="U95" i="7"/>
  <c r="V95" i="7"/>
  <c r="R96" i="7"/>
  <c r="S96" i="7"/>
  <c r="T96" i="7"/>
  <c r="U96" i="7"/>
  <c r="V96" i="7"/>
  <c r="R97" i="7"/>
  <c r="S97" i="7"/>
  <c r="T97" i="7"/>
  <c r="U97" i="7"/>
  <c r="V97" i="7"/>
  <c r="R98" i="7"/>
  <c r="S98" i="7"/>
  <c r="T98" i="7"/>
  <c r="U98" i="7"/>
  <c r="V98" i="7"/>
  <c r="R99" i="7"/>
  <c r="S99" i="7"/>
  <c r="T99" i="7"/>
  <c r="U99" i="7"/>
  <c r="V99" i="7"/>
  <c r="R100" i="7"/>
  <c r="S100" i="7"/>
  <c r="T100" i="7"/>
  <c r="U100" i="7"/>
  <c r="V100" i="7"/>
  <c r="R101" i="7"/>
  <c r="S101" i="7"/>
  <c r="T101" i="7"/>
  <c r="U101" i="7"/>
  <c r="V101" i="7"/>
  <c r="R102" i="7"/>
  <c r="S102" i="7"/>
  <c r="T102" i="7"/>
  <c r="U102" i="7"/>
  <c r="V102" i="7"/>
  <c r="R103" i="7"/>
  <c r="S103" i="7"/>
  <c r="T103" i="7"/>
  <c r="U103" i="7"/>
  <c r="V103" i="7"/>
  <c r="R104" i="7"/>
  <c r="S104" i="7"/>
  <c r="T104" i="7"/>
  <c r="U104" i="7"/>
  <c r="V104" i="7"/>
  <c r="R105" i="7"/>
  <c r="S105" i="7"/>
  <c r="T105" i="7"/>
  <c r="U105" i="7"/>
  <c r="V105" i="7"/>
  <c r="R106" i="7"/>
  <c r="S106" i="7"/>
  <c r="T106" i="7"/>
  <c r="U106" i="7"/>
  <c r="V106" i="7"/>
  <c r="R107" i="7"/>
  <c r="S107" i="7"/>
  <c r="T107" i="7"/>
  <c r="U107" i="7"/>
  <c r="V107" i="7"/>
  <c r="R108" i="7"/>
  <c r="S108" i="7"/>
  <c r="T108" i="7"/>
  <c r="U108" i="7"/>
  <c r="V108" i="7"/>
  <c r="R109" i="7"/>
  <c r="S109" i="7"/>
  <c r="T109" i="7"/>
  <c r="U109" i="7"/>
  <c r="V109" i="7"/>
  <c r="R110" i="7"/>
  <c r="S110" i="7"/>
  <c r="T110" i="7"/>
  <c r="U110" i="7"/>
  <c r="V110" i="7"/>
  <c r="R111" i="7"/>
  <c r="S111" i="7"/>
  <c r="T111" i="7"/>
  <c r="U111" i="7"/>
  <c r="V111" i="7"/>
  <c r="R112" i="7"/>
  <c r="S112" i="7"/>
  <c r="T112" i="7"/>
  <c r="U112" i="7"/>
  <c r="V112" i="7"/>
  <c r="R113" i="7"/>
  <c r="S113" i="7"/>
  <c r="T113" i="7"/>
  <c r="U113" i="7"/>
  <c r="V113" i="7"/>
  <c r="R114" i="7"/>
  <c r="S114" i="7"/>
  <c r="T114" i="7"/>
  <c r="U114" i="7"/>
  <c r="V114" i="7"/>
  <c r="R115" i="7"/>
  <c r="S115" i="7"/>
  <c r="T115" i="7"/>
  <c r="U115" i="7"/>
  <c r="V115" i="7"/>
  <c r="R116" i="7"/>
  <c r="S116" i="7"/>
  <c r="T116" i="7"/>
  <c r="U116" i="7"/>
  <c r="V116" i="7"/>
  <c r="R117" i="7"/>
  <c r="S117" i="7"/>
  <c r="T117" i="7"/>
  <c r="U117" i="7"/>
  <c r="V117" i="7"/>
  <c r="R118" i="7"/>
  <c r="S118" i="7"/>
  <c r="T118" i="7"/>
  <c r="U118" i="7"/>
  <c r="V118" i="7"/>
  <c r="R119" i="7"/>
  <c r="S119" i="7"/>
  <c r="T119" i="7"/>
  <c r="U119" i="7"/>
  <c r="V119" i="7"/>
  <c r="R120" i="7"/>
  <c r="S120" i="7"/>
  <c r="T120" i="7"/>
  <c r="U120" i="7"/>
  <c r="V120" i="7"/>
  <c r="R121" i="7"/>
  <c r="S121" i="7"/>
  <c r="T121" i="7"/>
  <c r="U121" i="7"/>
  <c r="V121" i="7"/>
  <c r="R122" i="7"/>
  <c r="S122" i="7"/>
  <c r="T122" i="7"/>
  <c r="U122" i="7"/>
  <c r="V122" i="7"/>
  <c r="R123" i="7"/>
  <c r="S123" i="7"/>
  <c r="T123" i="7"/>
  <c r="U123" i="7"/>
  <c r="V123" i="7"/>
  <c r="R124" i="7"/>
  <c r="S124" i="7"/>
  <c r="T124" i="7"/>
  <c r="U124" i="7"/>
  <c r="V124" i="7"/>
  <c r="R125" i="7"/>
  <c r="S125" i="7"/>
  <c r="T125" i="7"/>
  <c r="U125" i="7"/>
  <c r="V125" i="7"/>
  <c r="R126" i="7"/>
  <c r="S126" i="7"/>
  <c r="T126" i="7"/>
  <c r="U126" i="7"/>
  <c r="V126" i="7"/>
  <c r="R127" i="7"/>
  <c r="S127" i="7"/>
  <c r="T127" i="7"/>
  <c r="U127" i="7"/>
  <c r="V127" i="7"/>
  <c r="R128" i="7"/>
  <c r="S128" i="7"/>
  <c r="T128" i="7"/>
  <c r="U128" i="7"/>
  <c r="V128" i="7"/>
  <c r="R129" i="7"/>
  <c r="S129" i="7"/>
  <c r="T129" i="7"/>
  <c r="U129" i="7"/>
  <c r="V129" i="7"/>
  <c r="R130" i="7"/>
  <c r="S130" i="7"/>
  <c r="T130" i="7"/>
  <c r="U130" i="7"/>
  <c r="V130" i="7"/>
  <c r="R131" i="7"/>
  <c r="S131" i="7"/>
  <c r="T131" i="7"/>
  <c r="U131" i="7"/>
  <c r="V131" i="7"/>
  <c r="R132" i="7"/>
  <c r="S132" i="7"/>
  <c r="T132" i="7"/>
  <c r="U132" i="7"/>
  <c r="V132" i="7"/>
  <c r="R133" i="7"/>
  <c r="S133" i="7"/>
  <c r="T133" i="7"/>
  <c r="U133" i="7"/>
  <c r="V133" i="7"/>
  <c r="R134" i="7"/>
  <c r="S134" i="7"/>
  <c r="T134" i="7"/>
  <c r="U134" i="7"/>
  <c r="V134" i="7"/>
  <c r="R135" i="7"/>
  <c r="S135" i="7"/>
  <c r="T135" i="7"/>
  <c r="U135" i="7"/>
  <c r="V135" i="7"/>
  <c r="R136" i="7"/>
  <c r="S136" i="7"/>
  <c r="T136" i="7"/>
  <c r="U136" i="7"/>
  <c r="V136" i="7"/>
  <c r="R137" i="7"/>
  <c r="S137" i="7"/>
  <c r="T137" i="7"/>
  <c r="U137" i="7"/>
  <c r="V137" i="7"/>
  <c r="R138" i="7"/>
  <c r="S138" i="7"/>
  <c r="T138" i="7"/>
  <c r="U138" i="7"/>
  <c r="V138" i="7"/>
  <c r="R139" i="7"/>
  <c r="S139" i="7"/>
  <c r="T139" i="7"/>
  <c r="U139" i="7"/>
  <c r="V139" i="7"/>
  <c r="R140" i="7"/>
  <c r="S140" i="7"/>
  <c r="T140" i="7"/>
  <c r="U140" i="7"/>
  <c r="V140" i="7"/>
  <c r="R141" i="7"/>
  <c r="S141" i="7"/>
  <c r="T141" i="7"/>
  <c r="U141" i="7"/>
  <c r="V141" i="7"/>
  <c r="R142" i="7"/>
  <c r="S142" i="7"/>
  <c r="T142" i="7"/>
  <c r="U142" i="7"/>
  <c r="V142" i="7"/>
  <c r="R143" i="7"/>
  <c r="S143" i="7"/>
  <c r="T143" i="7"/>
  <c r="U143" i="7"/>
  <c r="V143" i="7"/>
  <c r="R144" i="7"/>
  <c r="S144" i="7"/>
  <c r="T144" i="7"/>
  <c r="U144" i="7"/>
  <c r="V144" i="7"/>
  <c r="R145" i="7"/>
  <c r="S145" i="7"/>
  <c r="T145" i="7"/>
  <c r="U145" i="7"/>
  <c r="V145" i="7"/>
  <c r="R146" i="7"/>
  <c r="S146" i="7"/>
  <c r="T146" i="7"/>
  <c r="U146" i="7"/>
  <c r="V146" i="7"/>
  <c r="R147" i="7"/>
  <c r="S147" i="7"/>
  <c r="T147" i="7"/>
  <c r="U147" i="7"/>
  <c r="V147" i="7"/>
  <c r="R148" i="7"/>
  <c r="S148" i="7"/>
  <c r="T148" i="7"/>
  <c r="U148" i="7"/>
  <c r="V148" i="7"/>
  <c r="R149" i="7"/>
  <c r="S149" i="7"/>
  <c r="T149" i="7"/>
  <c r="U149" i="7"/>
  <c r="V149" i="7"/>
  <c r="R150" i="7"/>
  <c r="S150" i="7"/>
  <c r="T150" i="7"/>
  <c r="U150" i="7"/>
  <c r="V150" i="7"/>
  <c r="R151" i="7"/>
  <c r="S151" i="7"/>
  <c r="T151" i="7"/>
  <c r="U151" i="7"/>
  <c r="V151" i="7"/>
  <c r="R152" i="7"/>
  <c r="S152" i="7"/>
  <c r="T152" i="7"/>
  <c r="U152" i="7"/>
  <c r="V152" i="7"/>
  <c r="R153" i="7"/>
  <c r="S153" i="7"/>
  <c r="T153" i="7"/>
  <c r="U153" i="7"/>
  <c r="V153" i="7"/>
  <c r="R154" i="7"/>
  <c r="S154" i="7"/>
  <c r="T154" i="7"/>
  <c r="U154" i="7"/>
  <c r="V154" i="7"/>
  <c r="R155" i="7"/>
  <c r="S155" i="7"/>
  <c r="T155" i="7"/>
  <c r="U155" i="7"/>
  <c r="V155" i="7"/>
  <c r="R156" i="7"/>
  <c r="S156" i="7"/>
  <c r="T156" i="7"/>
  <c r="U156" i="7"/>
  <c r="V156" i="7"/>
  <c r="R157" i="7"/>
  <c r="S157" i="7"/>
  <c r="T157" i="7"/>
  <c r="U157" i="7"/>
  <c r="V157" i="7"/>
  <c r="R158" i="7"/>
  <c r="S158" i="7"/>
  <c r="T158" i="7"/>
  <c r="U158" i="7"/>
  <c r="V158" i="7"/>
  <c r="R159" i="7"/>
  <c r="S159" i="7"/>
  <c r="T159" i="7"/>
  <c r="U159" i="7"/>
  <c r="V159" i="7"/>
  <c r="R160" i="7"/>
  <c r="S160" i="7"/>
  <c r="T160" i="7"/>
  <c r="U160" i="7"/>
  <c r="V160" i="7"/>
  <c r="R161" i="7"/>
  <c r="S161" i="7"/>
  <c r="T161" i="7"/>
  <c r="U161" i="7"/>
  <c r="V161" i="7"/>
  <c r="R162" i="7"/>
  <c r="S162" i="7"/>
  <c r="T162" i="7"/>
  <c r="U162" i="7"/>
  <c r="V162" i="7"/>
  <c r="R163" i="7"/>
  <c r="S163" i="7"/>
  <c r="T163" i="7"/>
  <c r="U163" i="7"/>
  <c r="V163" i="7"/>
  <c r="R164" i="7"/>
  <c r="S164" i="7"/>
  <c r="T164" i="7"/>
  <c r="U164" i="7"/>
  <c r="V164" i="7"/>
  <c r="R165" i="7"/>
  <c r="S165" i="7"/>
  <c r="T165" i="7"/>
  <c r="U165" i="7"/>
  <c r="V165" i="7"/>
  <c r="R166" i="7"/>
  <c r="S166" i="7"/>
  <c r="T166" i="7"/>
  <c r="U166" i="7"/>
  <c r="V166" i="7"/>
  <c r="R167" i="7"/>
  <c r="S167" i="7"/>
  <c r="T167" i="7"/>
  <c r="U167" i="7"/>
  <c r="V167" i="7"/>
  <c r="R168" i="7"/>
  <c r="S168" i="7"/>
  <c r="T168" i="7"/>
  <c r="U168" i="7"/>
  <c r="V168" i="7"/>
  <c r="R169" i="7"/>
  <c r="S169" i="7"/>
  <c r="T169" i="7"/>
  <c r="U169" i="7"/>
  <c r="V169" i="7"/>
  <c r="R170" i="7"/>
  <c r="S170" i="7"/>
  <c r="T170" i="7"/>
  <c r="U170" i="7"/>
  <c r="V170" i="7"/>
  <c r="R171" i="7"/>
  <c r="S171" i="7"/>
  <c r="T171" i="7"/>
  <c r="U171" i="7"/>
  <c r="V171" i="7"/>
  <c r="R172" i="7"/>
  <c r="S172" i="7"/>
  <c r="T172" i="7"/>
  <c r="U172" i="7"/>
  <c r="V172" i="7"/>
  <c r="R173" i="7"/>
  <c r="S173" i="7"/>
  <c r="T173" i="7"/>
  <c r="U173" i="7"/>
  <c r="V173" i="7"/>
  <c r="R174" i="7"/>
  <c r="S174" i="7"/>
  <c r="T174" i="7"/>
  <c r="U174" i="7"/>
  <c r="V174" i="7"/>
  <c r="R175" i="7"/>
  <c r="S175" i="7"/>
  <c r="T175" i="7"/>
  <c r="U175" i="7"/>
  <c r="V175" i="7"/>
  <c r="R176" i="7"/>
  <c r="S176" i="7"/>
  <c r="T176" i="7"/>
  <c r="U176" i="7"/>
  <c r="V176" i="7"/>
  <c r="R177" i="7"/>
  <c r="S177" i="7"/>
  <c r="T177" i="7"/>
  <c r="U177" i="7"/>
  <c r="V177" i="7"/>
  <c r="R178" i="7"/>
  <c r="S178" i="7"/>
  <c r="T178" i="7"/>
  <c r="U178" i="7"/>
  <c r="V178" i="7"/>
  <c r="R179" i="7"/>
  <c r="S179" i="7"/>
  <c r="T179" i="7"/>
  <c r="U179" i="7"/>
  <c r="V179" i="7"/>
  <c r="R180" i="7"/>
  <c r="S180" i="7"/>
  <c r="T180" i="7"/>
  <c r="U180" i="7"/>
  <c r="V180" i="7"/>
  <c r="R181" i="7"/>
  <c r="S181" i="7"/>
  <c r="T181" i="7"/>
  <c r="U181" i="7"/>
  <c r="V181" i="7"/>
  <c r="R182" i="7"/>
  <c r="S182" i="7"/>
  <c r="T182" i="7"/>
  <c r="U182" i="7"/>
  <c r="V182" i="7"/>
  <c r="R183" i="7"/>
  <c r="S183" i="7"/>
  <c r="T183" i="7"/>
  <c r="U183" i="7"/>
  <c r="V183" i="7"/>
  <c r="R184" i="7"/>
  <c r="S184" i="7"/>
  <c r="T184" i="7"/>
  <c r="U184" i="7"/>
  <c r="V184" i="7"/>
  <c r="R185" i="7"/>
  <c r="S185" i="7"/>
  <c r="T185" i="7"/>
  <c r="U185" i="7"/>
  <c r="V185" i="7"/>
  <c r="R186" i="7"/>
  <c r="S186" i="7"/>
  <c r="T186" i="7"/>
  <c r="U186" i="7"/>
  <c r="V186" i="7"/>
  <c r="R187" i="7"/>
  <c r="S187" i="7"/>
  <c r="T187" i="7"/>
  <c r="U187" i="7"/>
  <c r="V187" i="7"/>
  <c r="R188" i="7"/>
  <c r="S188" i="7"/>
  <c r="T188" i="7"/>
  <c r="U188" i="7"/>
  <c r="V188" i="7"/>
  <c r="R189" i="7"/>
  <c r="S189" i="7"/>
  <c r="T189" i="7"/>
  <c r="U189" i="7"/>
  <c r="V189" i="7"/>
  <c r="R190" i="7"/>
  <c r="S190" i="7"/>
  <c r="T190" i="7"/>
  <c r="U190" i="7"/>
  <c r="V190" i="7"/>
  <c r="R191" i="7"/>
  <c r="S191" i="7"/>
  <c r="T191" i="7"/>
  <c r="U191" i="7"/>
  <c r="V191" i="7"/>
  <c r="R192" i="7"/>
  <c r="S192" i="7"/>
  <c r="T192" i="7"/>
  <c r="U192" i="7"/>
  <c r="V192" i="7"/>
  <c r="R193" i="7"/>
  <c r="S193" i="7"/>
  <c r="T193" i="7"/>
  <c r="U193" i="7"/>
  <c r="V193" i="7"/>
  <c r="R194" i="7"/>
  <c r="S194" i="7"/>
  <c r="T194" i="7"/>
  <c r="U194" i="7"/>
  <c r="V194" i="7"/>
  <c r="R195" i="7"/>
  <c r="S195" i="7"/>
  <c r="T195" i="7"/>
  <c r="U195" i="7"/>
  <c r="V195" i="7"/>
  <c r="R196" i="7"/>
  <c r="S196" i="7"/>
  <c r="T196" i="7"/>
  <c r="U196" i="7"/>
  <c r="V196" i="7"/>
  <c r="R197" i="7"/>
  <c r="S197" i="7"/>
  <c r="T197" i="7"/>
  <c r="U197" i="7"/>
  <c r="V197" i="7"/>
  <c r="R198" i="7"/>
  <c r="S198" i="7"/>
  <c r="T198" i="7"/>
  <c r="U198" i="7"/>
  <c r="V198" i="7"/>
  <c r="R199" i="7"/>
  <c r="S199" i="7"/>
  <c r="T199" i="7"/>
  <c r="U199" i="7"/>
  <c r="V199" i="7"/>
  <c r="R200" i="7"/>
  <c r="S200" i="7"/>
  <c r="T200" i="7"/>
  <c r="U200" i="7"/>
  <c r="V200" i="7"/>
  <c r="R201" i="7"/>
  <c r="S201" i="7"/>
  <c r="T201" i="7"/>
  <c r="U201" i="7"/>
  <c r="V201" i="7"/>
  <c r="R202" i="7"/>
  <c r="S202" i="7"/>
  <c r="T202" i="7"/>
  <c r="U202" i="7"/>
  <c r="V202" i="7"/>
  <c r="R203" i="7"/>
  <c r="S203" i="7"/>
  <c r="T203" i="7"/>
  <c r="U203" i="7"/>
  <c r="V203" i="7"/>
  <c r="R204" i="7"/>
  <c r="S204" i="7"/>
  <c r="T204" i="7"/>
  <c r="U204" i="7"/>
  <c r="V204" i="7"/>
  <c r="R205" i="7"/>
  <c r="S205" i="7"/>
  <c r="T205" i="7"/>
  <c r="U205" i="7"/>
  <c r="V205" i="7"/>
  <c r="R206" i="7"/>
  <c r="S206" i="7"/>
  <c r="T206" i="7"/>
  <c r="U206" i="7"/>
  <c r="V206" i="7"/>
  <c r="R207" i="7"/>
  <c r="S207" i="7"/>
  <c r="T207" i="7"/>
  <c r="U207" i="7"/>
  <c r="V207" i="7"/>
  <c r="R208" i="7"/>
  <c r="S208" i="7"/>
  <c r="T208" i="7"/>
  <c r="U208" i="7"/>
  <c r="V208" i="7"/>
  <c r="R209" i="7"/>
  <c r="S209" i="7"/>
  <c r="T209" i="7"/>
  <c r="U209" i="7"/>
  <c r="V209" i="7"/>
  <c r="R210" i="7"/>
  <c r="S210" i="7"/>
  <c r="T210" i="7"/>
  <c r="U210" i="7"/>
  <c r="V210" i="7"/>
  <c r="R211" i="7"/>
  <c r="S211" i="7"/>
  <c r="T211" i="7"/>
  <c r="U211" i="7"/>
  <c r="V211" i="7"/>
  <c r="R212" i="7"/>
  <c r="S212" i="7"/>
  <c r="T212" i="7"/>
  <c r="U212" i="7"/>
  <c r="V212" i="7"/>
  <c r="R213" i="7"/>
  <c r="S213" i="7"/>
  <c r="T213" i="7"/>
  <c r="U213" i="7"/>
  <c r="V213" i="7"/>
  <c r="R214" i="7"/>
  <c r="S214" i="7"/>
  <c r="T214" i="7"/>
  <c r="U214" i="7"/>
  <c r="V214" i="7"/>
  <c r="R215" i="7"/>
  <c r="S215" i="7"/>
  <c r="T215" i="7"/>
  <c r="U215" i="7"/>
  <c r="V215" i="7"/>
  <c r="R216" i="7"/>
  <c r="S216" i="7"/>
  <c r="T216" i="7"/>
  <c r="U216" i="7"/>
  <c r="V216" i="7"/>
  <c r="R217" i="7"/>
  <c r="S217" i="7"/>
  <c r="T217" i="7"/>
  <c r="U217" i="7"/>
  <c r="V217" i="7"/>
  <c r="R218" i="7"/>
  <c r="S218" i="7"/>
  <c r="T218" i="7"/>
  <c r="U218" i="7"/>
  <c r="V218" i="7"/>
  <c r="R219" i="7"/>
  <c r="S219" i="7"/>
  <c r="T219" i="7"/>
  <c r="U219" i="7"/>
  <c r="V219" i="7"/>
  <c r="R220" i="7"/>
  <c r="S220" i="7"/>
  <c r="T220" i="7"/>
  <c r="U220" i="7"/>
  <c r="V220" i="7"/>
  <c r="R221" i="7"/>
  <c r="S221" i="7"/>
  <c r="T221" i="7"/>
  <c r="U221" i="7"/>
  <c r="V221" i="7"/>
  <c r="R222" i="7"/>
  <c r="S222" i="7"/>
  <c r="T222" i="7"/>
  <c r="U222" i="7"/>
  <c r="V222" i="7"/>
  <c r="R223" i="7"/>
  <c r="S223" i="7"/>
  <c r="T223" i="7"/>
  <c r="U223" i="7"/>
  <c r="V223" i="7"/>
  <c r="R224" i="7"/>
  <c r="S224" i="7"/>
  <c r="T224" i="7"/>
  <c r="U224" i="7"/>
  <c r="V224" i="7"/>
  <c r="R225" i="7"/>
  <c r="S225" i="7"/>
  <c r="T225" i="7"/>
  <c r="U225" i="7"/>
  <c r="V225" i="7"/>
  <c r="R226" i="7"/>
  <c r="S226" i="7"/>
  <c r="T226" i="7"/>
  <c r="U226" i="7"/>
  <c r="V226" i="7"/>
  <c r="R227" i="7"/>
  <c r="S227" i="7"/>
  <c r="T227" i="7"/>
  <c r="U227" i="7"/>
  <c r="V227" i="7"/>
  <c r="R228" i="7"/>
  <c r="S228" i="7"/>
  <c r="T228" i="7"/>
  <c r="U228" i="7"/>
  <c r="V228" i="7"/>
  <c r="R229" i="7"/>
  <c r="S229" i="7"/>
  <c r="T229" i="7"/>
  <c r="U229" i="7"/>
  <c r="V229" i="7"/>
  <c r="R230" i="7"/>
  <c r="S230" i="7"/>
  <c r="T230" i="7"/>
  <c r="U230" i="7"/>
  <c r="V230" i="7"/>
  <c r="R231" i="7"/>
  <c r="S231" i="7"/>
  <c r="T231" i="7"/>
  <c r="U231" i="7"/>
  <c r="V231" i="7"/>
  <c r="R232" i="7"/>
  <c r="S232" i="7"/>
  <c r="T232" i="7"/>
  <c r="U232" i="7"/>
  <c r="V232" i="7"/>
  <c r="R233" i="7"/>
  <c r="S233" i="7"/>
  <c r="T233" i="7"/>
  <c r="U233" i="7"/>
  <c r="V233" i="7"/>
  <c r="R234" i="7"/>
  <c r="S234" i="7"/>
  <c r="T234" i="7"/>
  <c r="U234" i="7"/>
  <c r="V234" i="7"/>
  <c r="R235" i="7"/>
  <c r="S235" i="7"/>
  <c r="T235" i="7"/>
  <c r="U235" i="7"/>
  <c r="V235" i="7"/>
  <c r="R236" i="7"/>
  <c r="S236" i="7"/>
  <c r="T236" i="7"/>
  <c r="U236" i="7"/>
  <c r="V236" i="7"/>
  <c r="R237" i="7"/>
  <c r="S237" i="7"/>
  <c r="T237" i="7"/>
  <c r="U237" i="7"/>
  <c r="V237" i="7"/>
  <c r="R238" i="7"/>
  <c r="S238" i="7"/>
  <c r="T238" i="7"/>
  <c r="U238" i="7"/>
  <c r="V238" i="7"/>
  <c r="R239" i="7"/>
  <c r="S239" i="7"/>
  <c r="T239" i="7"/>
  <c r="U239" i="7"/>
  <c r="V239" i="7"/>
  <c r="R240" i="7"/>
  <c r="S240" i="7"/>
  <c r="T240" i="7"/>
  <c r="U240" i="7"/>
  <c r="V240" i="7"/>
  <c r="R241" i="7"/>
  <c r="S241" i="7"/>
  <c r="T241" i="7"/>
  <c r="U241" i="7"/>
  <c r="V241" i="7"/>
  <c r="R242" i="7"/>
  <c r="S242" i="7"/>
  <c r="T242" i="7"/>
  <c r="U242" i="7"/>
  <c r="V242" i="7"/>
  <c r="R243" i="7"/>
  <c r="S243" i="7"/>
  <c r="T243" i="7"/>
  <c r="U243" i="7"/>
  <c r="V243" i="7"/>
  <c r="R244" i="7"/>
  <c r="S244" i="7"/>
  <c r="T244" i="7"/>
  <c r="U244" i="7"/>
  <c r="V244" i="7"/>
  <c r="R245" i="7"/>
  <c r="S245" i="7"/>
  <c r="T245" i="7"/>
  <c r="U245" i="7"/>
  <c r="V245" i="7"/>
  <c r="R246" i="7"/>
  <c r="S246" i="7"/>
  <c r="T246" i="7"/>
  <c r="U246" i="7"/>
  <c r="V246" i="7"/>
  <c r="R247" i="7"/>
  <c r="S247" i="7"/>
  <c r="T247" i="7"/>
  <c r="U247" i="7"/>
  <c r="V247" i="7"/>
  <c r="R248" i="7"/>
  <c r="S248" i="7"/>
  <c r="T248" i="7"/>
  <c r="U248" i="7"/>
  <c r="V248" i="7"/>
  <c r="R249" i="7"/>
  <c r="S249" i="7"/>
  <c r="T249" i="7"/>
  <c r="U249" i="7"/>
  <c r="V249" i="7"/>
  <c r="R250" i="7"/>
  <c r="S250" i="7"/>
  <c r="T250" i="7"/>
  <c r="U250" i="7"/>
  <c r="V250" i="7"/>
  <c r="R251" i="7"/>
  <c r="S251" i="7"/>
  <c r="T251" i="7"/>
  <c r="U251" i="7"/>
  <c r="V251" i="7"/>
  <c r="R252" i="7"/>
  <c r="S252" i="7"/>
  <c r="T252" i="7"/>
  <c r="U252" i="7"/>
  <c r="V252" i="7"/>
  <c r="R253" i="7"/>
  <c r="S253" i="7"/>
  <c r="T253" i="7"/>
  <c r="U253" i="7"/>
  <c r="V253" i="7"/>
  <c r="R254" i="7"/>
  <c r="S254" i="7"/>
  <c r="T254" i="7"/>
  <c r="U254" i="7"/>
  <c r="V254" i="7"/>
  <c r="R255" i="7"/>
  <c r="S255" i="7"/>
  <c r="T255" i="7"/>
  <c r="U255" i="7"/>
  <c r="V255" i="7"/>
  <c r="R256" i="7"/>
  <c r="S256" i="7"/>
  <c r="T256" i="7"/>
  <c r="U256" i="7"/>
  <c r="V256" i="7"/>
  <c r="R257" i="7"/>
  <c r="S257" i="7"/>
  <c r="T257" i="7"/>
  <c r="U257" i="7"/>
  <c r="V257" i="7"/>
  <c r="R258" i="7"/>
  <c r="S258" i="7"/>
  <c r="T258" i="7"/>
  <c r="U258" i="7"/>
  <c r="V258" i="7"/>
  <c r="R259" i="7"/>
  <c r="S259" i="7"/>
  <c r="T259" i="7"/>
  <c r="U259" i="7"/>
  <c r="V259" i="7"/>
  <c r="R260" i="7"/>
  <c r="S260" i="7"/>
  <c r="T260" i="7"/>
  <c r="U260" i="7"/>
  <c r="V260" i="7"/>
  <c r="R261" i="7"/>
  <c r="S261" i="7"/>
  <c r="T261" i="7"/>
  <c r="U261" i="7"/>
  <c r="V261" i="7"/>
  <c r="R262" i="7"/>
  <c r="S262" i="7"/>
  <c r="T262" i="7"/>
  <c r="U262" i="7"/>
  <c r="V262" i="7"/>
  <c r="R263" i="7"/>
  <c r="S263" i="7"/>
  <c r="T263" i="7"/>
  <c r="U263" i="7"/>
  <c r="V263" i="7"/>
  <c r="R264" i="7"/>
  <c r="S264" i="7"/>
  <c r="T264" i="7"/>
  <c r="U264" i="7"/>
  <c r="V264" i="7"/>
  <c r="R265" i="7"/>
  <c r="S265" i="7"/>
  <c r="T265" i="7"/>
  <c r="U265" i="7"/>
  <c r="V265" i="7"/>
  <c r="R266" i="7"/>
  <c r="S266" i="7"/>
  <c r="T266" i="7"/>
  <c r="U266" i="7"/>
  <c r="V266" i="7"/>
  <c r="R267" i="7"/>
  <c r="S267" i="7"/>
  <c r="T267" i="7"/>
  <c r="U267" i="7"/>
  <c r="V267" i="7"/>
  <c r="R268" i="7"/>
  <c r="S268" i="7"/>
  <c r="T268" i="7"/>
  <c r="U268" i="7"/>
  <c r="V268" i="7"/>
  <c r="R269" i="7"/>
  <c r="S269" i="7"/>
  <c r="T269" i="7"/>
  <c r="U269" i="7"/>
  <c r="V269" i="7"/>
  <c r="R270" i="7"/>
  <c r="S270" i="7"/>
  <c r="T270" i="7"/>
  <c r="U270" i="7"/>
  <c r="V270" i="7"/>
  <c r="R271" i="7"/>
  <c r="S271" i="7"/>
  <c r="T271" i="7"/>
  <c r="U271" i="7"/>
  <c r="V271" i="7"/>
  <c r="R272" i="7"/>
  <c r="S272" i="7"/>
  <c r="T272" i="7"/>
  <c r="U272" i="7"/>
  <c r="V272" i="7"/>
  <c r="R273" i="7"/>
  <c r="S273" i="7"/>
  <c r="T273" i="7"/>
  <c r="U273" i="7"/>
  <c r="V273" i="7"/>
  <c r="R274" i="7"/>
  <c r="S274" i="7"/>
  <c r="T274" i="7"/>
  <c r="U274" i="7"/>
  <c r="V274" i="7"/>
  <c r="R275" i="7"/>
  <c r="S275" i="7"/>
  <c r="T275" i="7"/>
  <c r="U275" i="7"/>
  <c r="V275" i="7"/>
  <c r="R276" i="7"/>
  <c r="S276" i="7"/>
  <c r="T276" i="7"/>
  <c r="U276" i="7"/>
  <c r="V276" i="7"/>
  <c r="R277" i="7"/>
  <c r="S277" i="7"/>
  <c r="T277" i="7"/>
  <c r="U277" i="7"/>
  <c r="V277" i="7"/>
  <c r="R278" i="7"/>
  <c r="S278" i="7"/>
  <c r="T278" i="7"/>
  <c r="U278" i="7"/>
  <c r="V278" i="7"/>
  <c r="R279" i="7"/>
  <c r="S279" i="7"/>
  <c r="T279" i="7"/>
  <c r="U279" i="7"/>
  <c r="V279" i="7"/>
  <c r="R280" i="7"/>
  <c r="S280" i="7"/>
  <c r="T280" i="7"/>
  <c r="U280" i="7"/>
  <c r="V280" i="7"/>
  <c r="R281" i="7"/>
  <c r="S281" i="7"/>
  <c r="T281" i="7"/>
  <c r="U281" i="7"/>
  <c r="V281" i="7"/>
  <c r="R282" i="7"/>
  <c r="S282" i="7"/>
  <c r="T282" i="7"/>
  <c r="U282" i="7"/>
  <c r="V282" i="7"/>
  <c r="R283" i="7"/>
  <c r="S283" i="7"/>
  <c r="T283" i="7"/>
  <c r="U283" i="7"/>
  <c r="V283" i="7"/>
  <c r="R284" i="7"/>
  <c r="S284" i="7"/>
  <c r="T284" i="7"/>
  <c r="U284" i="7"/>
  <c r="V284" i="7"/>
  <c r="R285" i="7"/>
  <c r="S285" i="7"/>
  <c r="T285" i="7"/>
  <c r="U285" i="7"/>
  <c r="V285" i="7"/>
  <c r="R286" i="7"/>
  <c r="S286" i="7"/>
  <c r="T286" i="7"/>
  <c r="U286" i="7"/>
  <c r="V286" i="7"/>
  <c r="R287" i="7"/>
  <c r="S287" i="7"/>
  <c r="T287" i="7"/>
  <c r="U287" i="7"/>
  <c r="V287" i="7"/>
  <c r="R288" i="7"/>
  <c r="S288" i="7"/>
  <c r="T288" i="7"/>
  <c r="U288" i="7"/>
  <c r="V288" i="7"/>
  <c r="R289" i="7"/>
  <c r="S289" i="7"/>
  <c r="T289" i="7"/>
  <c r="U289" i="7"/>
  <c r="V289" i="7"/>
  <c r="R290" i="7"/>
  <c r="S290" i="7"/>
  <c r="T290" i="7"/>
  <c r="U290" i="7"/>
  <c r="V290" i="7"/>
  <c r="R291" i="7"/>
  <c r="S291" i="7"/>
  <c r="T291" i="7"/>
  <c r="U291" i="7"/>
  <c r="V291" i="7"/>
  <c r="R292" i="7"/>
  <c r="S292" i="7"/>
  <c r="T292" i="7"/>
  <c r="U292" i="7"/>
  <c r="V292" i="7"/>
  <c r="R293" i="7"/>
  <c r="S293" i="7"/>
  <c r="T293" i="7"/>
  <c r="U293" i="7"/>
  <c r="V293" i="7"/>
  <c r="R294" i="7"/>
  <c r="S294" i="7"/>
  <c r="T294" i="7"/>
  <c r="U294" i="7"/>
  <c r="V294" i="7"/>
  <c r="R295" i="7"/>
  <c r="S295" i="7"/>
  <c r="T295" i="7"/>
  <c r="U295" i="7"/>
  <c r="V295" i="7"/>
  <c r="R296" i="7"/>
  <c r="S296" i="7"/>
  <c r="T296" i="7"/>
  <c r="U296" i="7"/>
  <c r="V296" i="7"/>
  <c r="R297" i="7"/>
  <c r="S297" i="7"/>
  <c r="T297" i="7"/>
  <c r="U297" i="7"/>
  <c r="V297" i="7"/>
  <c r="R298" i="7"/>
  <c r="S298" i="7"/>
  <c r="T298" i="7"/>
  <c r="U298" i="7"/>
  <c r="V298" i="7"/>
  <c r="R299" i="7"/>
  <c r="S299" i="7"/>
  <c r="T299" i="7"/>
  <c r="U299" i="7"/>
  <c r="V299" i="7"/>
  <c r="R300" i="7"/>
  <c r="S300" i="7"/>
  <c r="T300" i="7"/>
  <c r="U300" i="7"/>
  <c r="V300" i="7"/>
  <c r="R301" i="7"/>
  <c r="S301" i="7"/>
  <c r="T301" i="7"/>
  <c r="U301" i="7"/>
  <c r="V301" i="7"/>
  <c r="R302" i="7"/>
  <c r="S302" i="7"/>
  <c r="T302" i="7"/>
  <c r="U302" i="7"/>
  <c r="V302" i="7"/>
  <c r="R303" i="7"/>
  <c r="S303" i="7"/>
  <c r="T303" i="7"/>
  <c r="U303" i="7"/>
  <c r="V303" i="7"/>
  <c r="R304" i="7"/>
  <c r="S304" i="7"/>
  <c r="T304" i="7"/>
  <c r="U304" i="7"/>
  <c r="V304" i="7"/>
  <c r="R305" i="7"/>
  <c r="S305" i="7"/>
  <c r="T305" i="7"/>
  <c r="U305" i="7"/>
  <c r="V305" i="7"/>
  <c r="R306" i="7"/>
  <c r="S306" i="7"/>
  <c r="T306" i="7"/>
  <c r="U306" i="7"/>
  <c r="V306" i="7"/>
  <c r="R307" i="7"/>
  <c r="S307" i="7"/>
  <c r="T307" i="7"/>
  <c r="U307" i="7"/>
  <c r="V307" i="7"/>
  <c r="R308" i="7"/>
  <c r="S308" i="7"/>
  <c r="T308" i="7"/>
  <c r="U308" i="7"/>
  <c r="V308" i="7"/>
  <c r="R309" i="7"/>
  <c r="S309" i="7"/>
  <c r="T309" i="7"/>
  <c r="U309" i="7"/>
  <c r="V309" i="7"/>
  <c r="R310" i="7"/>
  <c r="S310" i="7"/>
  <c r="T310" i="7"/>
  <c r="U310" i="7"/>
  <c r="V310" i="7"/>
  <c r="R311" i="7"/>
  <c r="S311" i="7"/>
  <c r="T311" i="7"/>
  <c r="U311" i="7"/>
  <c r="V311" i="7"/>
  <c r="R312" i="7"/>
  <c r="S312" i="7"/>
  <c r="T312" i="7"/>
  <c r="U312" i="7"/>
  <c r="V312" i="7"/>
  <c r="R313" i="7"/>
  <c r="S313" i="7"/>
  <c r="T313" i="7"/>
  <c r="U313" i="7"/>
  <c r="V313" i="7"/>
  <c r="R314" i="7"/>
  <c r="S314" i="7"/>
  <c r="T314" i="7"/>
  <c r="U314" i="7"/>
  <c r="V314" i="7"/>
  <c r="R315" i="7"/>
  <c r="S315" i="7"/>
  <c r="T315" i="7"/>
  <c r="U315" i="7"/>
  <c r="V315" i="7"/>
  <c r="R316" i="7"/>
  <c r="S316" i="7"/>
  <c r="T316" i="7"/>
  <c r="U316" i="7"/>
  <c r="V316" i="7"/>
  <c r="R317" i="7"/>
  <c r="S317" i="7"/>
  <c r="T317" i="7"/>
  <c r="U317" i="7"/>
  <c r="V317" i="7"/>
  <c r="R318" i="7"/>
  <c r="S318" i="7"/>
  <c r="T318" i="7"/>
  <c r="U318" i="7"/>
  <c r="V318" i="7"/>
  <c r="R319" i="7"/>
  <c r="S319" i="7"/>
  <c r="T319" i="7"/>
  <c r="U319" i="7"/>
  <c r="V319" i="7"/>
  <c r="R320" i="7"/>
  <c r="S320" i="7"/>
  <c r="T320" i="7"/>
  <c r="U320" i="7"/>
  <c r="V320" i="7"/>
  <c r="R321" i="7"/>
  <c r="S321" i="7"/>
  <c r="T321" i="7"/>
  <c r="U321" i="7"/>
  <c r="V321" i="7"/>
  <c r="R322" i="7"/>
  <c r="S322" i="7"/>
  <c r="T322" i="7"/>
  <c r="U322" i="7"/>
  <c r="V322" i="7"/>
  <c r="R323" i="7"/>
  <c r="S323" i="7"/>
  <c r="T323" i="7"/>
  <c r="U323" i="7"/>
  <c r="V323" i="7"/>
  <c r="R324" i="7"/>
  <c r="S324" i="7"/>
  <c r="T324" i="7"/>
  <c r="U324" i="7"/>
  <c r="V324" i="7"/>
  <c r="R325" i="7"/>
  <c r="S325" i="7"/>
  <c r="T325" i="7"/>
  <c r="U325" i="7"/>
  <c r="V325" i="7"/>
  <c r="R326" i="7"/>
  <c r="S326" i="7"/>
  <c r="T326" i="7"/>
  <c r="U326" i="7"/>
  <c r="V326" i="7"/>
  <c r="R327" i="7"/>
  <c r="S327" i="7"/>
  <c r="T327" i="7"/>
  <c r="U327" i="7"/>
  <c r="V327" i="7"/>
  <c r="R328" i="7"/>
  <c r="S328" i="7"/>
  <c r="T328" i="7"/>
  <c r="U328" i="7"/>
  <c r="V328" i="7"/>
  <c r="R329" i="7"/>
  <c r="S329" i="7"/>
  <c r="T329" i="7"/>
  <c r="U329" i="7"/>
  <c r="V329" i="7"/>
  <c r="R330" i="7"/>
  <c r="S330" i="7"/>
  <c r="T330" i="7"/>
  <c r="U330" i="7"/>
  <c r="V330" i="7"/>
  <c r="R331" i="7"/>
  <c r="S331" i="7"/>
  <c r="T331" i="7"/>
  <c r="U331" i="7"/>
  <c r="V331" i="7"/>
  <c r="R332" i="7"/>
  <c r="S332" i="7"/>
  <c r="T332" i="7"/>
  <c r="U332" i="7"/>
  <c r="V332" i="7"/>
  <c r="R333" i="7"/>
  <c r="S333" i="7"/>
  <c r="T333" i="7"/>
  <c r="U333" i="7"/>
  <c r="V333" i="7"/>
  <c r="R334" i="7"/>
  <c r="S334" i="7"/>
  <c r="T334" i="7"/>
  <c r="U334" i="7"/>
  <c r="V334" i="7"/>
  <c r="R335" i="7"/>
  <c r="S335" i="7"/>
  <c r="T335" i="7"/>
  <c r="U335" i="7"/>
  <c r="V335" i="7"/>
  <c r="R336" i="7"/>
  <c r="S336" i="7"/>
  <c r="T336" i="7"/>
  <c r="U336" i="7"/>
  <c r="V336" i="7"/>
  <c r="R337" i="7"/>
  <c r="S337" i="7"/>
  <c r="T337" i="7"/>
  <c r="U337" i="7"/>
  <c r="V337" i="7"/>
  <c r="R338" i="7"/>
  <c r="S338" i="7"/>
  <c r="T338" i="7"/>
  <c r="U338" i="7"/>
  <c r="V338" i="7"/>
  <c r="R339" i="7"/>
  <c r="S339" i="7"/>
  <c r="T339" i="7"/>
  <c r="U339" i="7"/>
  <c r="V339" i="7"/>
  <c r="R340" i="7"/>
  <c r="S340" i="7"/>
  <c r="T340" i="7"/>
  <c r="U340" i="7"/>
  <c r="V340" i="7"/>
  <c r="R341" i="7"/>
  <c r="S341" i="7"/>
  <c r="T341" i="7"/>
  <c r="U341" i="7"/>
  <c r="V341" i="7"/>
  <c r="R342" i="7"/>
  <c r="S342" i="7"/>
  <c r="T342" i="7"/>
  <c r="U342" i="7"/>
  <c r="V342" i="7"/>
  <c r="R343" i="7"/>
  <c r="S343" i="7"/>
  <c r="T343" i="7"/>
  <c r="U343" i="7"/>
  <c r="V343" i="7"/>
  <c r="R344" i="7"/>
  <c r="S344" i="7"/>
  <c r="T344" i="7"/>
  <c r="U344" i="7"/>
  <c r="V344" i="7"/>
  <c r="R345" i="7"/>
  <c r="S345" i="7"/>
  <c r="T345" i="7"/>
  <c r="U345" i="7"/>
  <c r="V345" i="7"/>
  <c r="R346" i="7"/>
  <c r="S346" i="7"/>
  <c r="T346" i="7"/>
  <c r="U346" i="7"/>
  <c r="V346" i="7"/>
  <c r="R347" i="7"/>
  <c r="S347" i="7"/>
  <c r="T347" i="7"/>
  <c r="U347" i="7"/>
  <c r="V347" i="7"/>
  <c r="R348" i="7"/>
  <c r="S348" i="7"/>
  <c r="T348" i="7"/>
  <c r="U348" i="7"/>
  <c r="V348" i="7"/>
  <c r="R349" i="7"/>
  <c r="S349" i="7"/>
  <c r="T349" i="7"/>
  <c r="U349" i="7"/>
  <c r="V349" i="7"/>
  <c r="R350" i="7"/>
  <c r="S350" i="7"/>
  <c r="T350" i="7"/>
  <c r="U350" i="7"/>
  <c r="V350" i="7"/>
  <c r="R351" i="7"/>
  <c r="S351" i="7"/>
  <c r="T351" i="7"/>
  <c r="U351" i="7"/>
  <c r="V351" i="7"/>
  <c r="R352" i="7"/>
  <c r="S352" i="7"/>
  <c r="T352" i="7"/>
  <c r="U352" i="7"/>
  <c r="V352" i="7"/>
  <c r="R353" i="7"/>
  <c r="S353" i="7"/>
  <c r="T353" i="7"/>
  <c r="U353" i="7"/>
  <c r="V353" i="7"/>
  <c r="R354" i="7"/>
  <c r="S354" i="7"/>
  <c r="T354" i="7"/>
  <c r="U354" i="7"/>
  <c r="V354" i="7"/>
  <c r="R355" i="7"/>
  <c r="S355" i="7"/>
  <c r="T355" i="7"/>
  <c r="U355" i="7"/>
  <c r="V355" i="7"/>
  <c r="R356" i="7"/>
  <c r="S356" i="7"/>
  <c r="T356" i="7"/>
  <c r="U356" i="7"/>
  <c r="V356" i="7"/>
  <c r="R357" i="7"/>
  <c r="S357" i="7"/>
  <c r="T357" i="7"/>
  <c r="U357" i="7"/>
  <c r="V357" i="7"/>
  <c r="R358" i="7"/>
  <c r="S358" i="7"/>
  <c r="T358" i="7"/>
  <c r="U358" i="7"/>
  <c r="V358" i="7"/>
  <c r="R359" i="7"/>
  <c r="S359" i="7"/>
  <c r="T359" i="7"/>
  <c r="U359" i="7"/>
  <c r="V359" i="7"/>
  <c r="R360" i="7"/>
  <c r="S360" i="7"/>
  <c r="T360" i="7"/>
  <c r="U360" i="7"/>
  <c r="V360" i="7"/>
  <c r="R361" i="7"/>
  <c r="S361" i="7"/>
  <c r="T361" i="7"/>
  <c r="U361" i="7"/>
  <c r="V361" i="7"/>
  <c r="R362" i="7"/>
  <c r="S362" i="7"/>
  <c r="T362" i="7"/>
  <c r="U362" i="7"/>
  <c r="V362" i="7"/>
  <c r="R363" i="7"/>
  <c r="S363" i="7"/>
  <c r="T363" i="7"/>
  <c r="U363" i="7"/>
  <c r="V363" i="7"/>
  <c r="R364" i="7"/>
  <c r="S364" i="7"/>
  <c r="T364" i="7"/>
  <c r="U364" i="7"/>
  <c r="V364" i="7"/>
  <c r="R365" i="7"/>
  <c r="S365" i="7"/>
  <c r="T365" i="7"/>
  <c r="U365" i="7"/>
  <c r="V365" i="7"/>
  <c r="R366" i="7"/>
  <c r="S366" i="7"/>
  <c r="T366" i="7"/>
  <c r="U366" i="7"/>
  <c r="V366" i="7"/>
  <c r="R367" i="7"/>
  <c r="S367" i="7"/>
  <c r="T367" i="7"/>
  <c r="U367" i="7"/>
  <c r="V367" i="7"/>
  <c r="R368" i="7"/>
  <c r="S368" i="7"/>
  <c r="T368" i="7"/>
  <c r="U368" i="7"/>
  <c r="V368" i="7"/>
  <c r="R369" i="7"/>
  <c r="S369" i="7"/>
  <c r="T369" i="7"/>
  <c r="U369" i="7"/>
  <c r="V369" i="7"/>
  <c r="R370" i="7"/>
  <c r="S370" i="7"/>
  <c r="T370" i="7"/>
  <c r="U370" i="7"/>
  <c r="V370" i="7"/>
  <c r="R371" i="7"/>
  <c r="S371" i="7"/>
  <c r="T371" i="7"/>
  <c r="U371" i="7"/>
  <c r="V371" i="7"/>
  <c r="R372" i="7"/>
  <c r="S372" i="7"/>
  <c r="T372" i="7"/>
  <c r="U372" i="7"/>
  <c r="V372" i="7"/>
  <c r="R373" i="7"/>
  <c r="S373" i="7"/>
  <c r="T373" i="7"/>
  <c r="U373" i="7"/>
  <c r="V373" i="7"/>
  <c r="R374" i="7"/>
  <c r="S374" i="7"/>
  <c r="T374" i="7"/>
  <c r="U374" i="7"/>
  <c r="V374" i="7"/>
  <c r="R375" i="7"/>
  <c r="S375" i="7"/>
  <c r="T375" i="7"/>
  <c r="U375" i="7"/>
  <c r="V375" i="7"/>
  <c r="R376" i="7"/>
  <c r="S376" i="7"/>
  <c r="T376" i="7"/>
  <c r="U376" i="7"/>
  <c r="V376" i="7"/>
  <c r="R377" i="7"/>
  <c r="S377" i="7"/>
  <c r="T377" i="7"/>
  <c r="U377" i="7"/>
  <c r="V377" i="7"/>
  <c r="R378" i="7"/>
  <c r="S378" i="7"/>
  <c r="T378" i="7"/>
  <c r="U378" i="7"/>
  <c r="V378" i="7"/>
  <c r="R379" i="7"/>
  <c r="S379" i="7"/>
  <c r="T379" i="7"/>
  <c r="U379" i="7"/>
  <c r="V379" i="7"/>
  <c r="R380" i="7"/>
  <c r="S380" i="7"/>
  <c r="T380" i="7"/>
  <c r="U380" i="7"/>
  <c r="V380" i="7"/>
  <c r="R381" i="7"/>
  <c r="S381" i="7"/>
  <c r="T381" i="7"/>
  <c r="U381" i="7"/>
  <c r="V381" i="7"/>
  <c r="R382" i="7"/>
  <c r="S382" i="7"/>
  <c r="T382" i="7"/>
  <c r="U382" i="7"/>
  <c r="V382" i="7"/>
  <c r="R383" i="7"/>
  <c r="S383" i="7"/>
  <c r="T383" i="7"/>
  <c r="U383" i="7"/>
  <c r="V383" i="7"/>
  <c r="R384" i="7"/>
  <c r="S384" i="7"/>
  <c r="T384" i="7"/>
  <c r="U384" i="7"/>
  <c r="V384" i="7"/>
  <c r="R385" i="7"/>
  <c r="S385" i="7"/>
  <c r="T385" i="7"/>
  <c r="U385" i="7"/>
  <c r="V385" i="7"/>
  <c r="R386" i="7"/>
  <c r="S386" i="7"/>
  <c r="T386" i="7"/>
  <c r="U386" i="7"/>
  <c r="V386" i="7"/>
  <c r="R387" i="7"/>
  <c r="S387" i="7"/>
  <c r="T387" i="7"/>
  <c r="U387" i="7"/>
  <c r="V387" i="7"/>
  <c r="R388" i="7"/>
  <c r="S388" i="7"/>
  <c r="T388" i="7"/>
  <c r="U388" i="7"/>
  <c r="V388" i="7"/>
  <c r="R389" i="7"/>
  <c r="S389" i="7"/>
  <c r="T389" i="7"/>
  <c r="U389" i="7"/>
  <c r="V389" i="7"/>
  <c r="R390" i="7"/>
  <c r="S390" i="7"/>
  <c r="T390" i="7"/>
  <c r="U390" i="7"/>
  <c r="V390" i="7"/>
  <c r="R391" i="7"/>
  <c r="S391" i="7"/>
  <c r="T391" i="7"/>
  <c r="U391" i="7"/>
  <c r="V391" i="7"/>
  <c r="R392" i="7"/>
  <c r="S392" i="7"/>
  <c r="T392" i="7"/>
  <c r="U392" i="7"/>
  <c r="V392" i="7"/>
  <c r="R393" i="7"/>
  <c r="S393" i="7"/>
  <c r="T393" i="7"/>
  <c r="U393" i="7"/>
  <c r="V393" i="7"/>
  <c r="R394" i="7"/>
  <c r="S394" i="7"/>
  <c r="T394" i="7"/>
  <c r="U394" i="7"/>
  <c r="V394" i="7"/>
  <c r="R395" i="7"/>
  <c r="S395" i="7"/>
  <c r="T395" i="7"/>
  <c r="U395" i="7"/>
  <c r="V395" i="7"/>
  <c r="R396" i="7"/>
  <c r="S396" i="7"/>
  <c r="T396" i="7"/>
  <c r="U396" i="7"/>
  <c r="V396" i="7"/>
  <c r="R397" i="7"/>
  <c r="S397" i="7"/>
  <c r="T397" i="7"/>
  <c r="U397" i="7"/>
  <c r="V397" i="7"/>
  <c r="R398" i="7"/>
  <c r="S398" i="7"/>
  <c r="T398" i="7"/>
  <c r="U398" i="7"/>
  <c r="V398" i="7"/>
  <c r="R399" i="7"/>
  <c r="S399" i="7"/>
  <c r="T399" i="7"/>
  <c r="U399" i="7"/>
  <c r="V399" i="7"/>
  <c r="R400" i="7"/>
  <c r="S400" i="7"/>
  <c r="T400" i="7"/>
  <c r="U400" i="7"/>
  <c r="V400" i="7"/>
  <c r="R401" i="7"/>
  <c r="S401" i="7"/>
  <c r="T401" i="7"/>
  <c r="U401" i="7"/>
  <c r="V401" i="7"/>
  <c r="R402" i="7"/>
  <c r="S402" i="7"/>
  <c r="T402" i="7"/>
  <c r="U402" i="7"/>
  <c r="V402" i="7"/>
  <c r="R403" i="7"/>
  <c r="S403" i="7"/>
  <c r="T403" i="7"/>
  <c r="U403" i="7"/>
  <c r="V403" i="7"/>
  <c r="R404" i="7"/>
  <c r="S404" i="7"/>
  <c r="T404" i="7"/>
  <c r="U404" i="7"/>
  <c r="V404" i="7"/>
  <c r="R405" i="7"/>
  <c r="S405" i="7"/>
  <c r="T405" i="7"/>
  <c r="U405" i="7"/>
  <c r="V405" i="7"/>
  <c r="R406" i="7"/>
  <c r="S406" i="7"/>
  <c r="T406" i="7"/>
  <c r="U406" i="7"/>
  <c r="V406" i="7"/>
  <c r="C385" i="7"/>
  <c r="C204" i="7"/>
  <c r="C74" i="7"/>
  <c r="C73" i="7"/>
  <c r="C402" i="7"/>
  <c r="C321" i="7"/>
  <c r="C386" i="7"/>
  <c r="C396" i="7"/>
  <c r="C398" i="7"/>
  <c r="C160" i="7"/>
  <c r="C75" i="7"/>
  <c r="C192" i="7"/>
  <c r="C6" i="7"/>
  <c r="C181" i="7"/>
  <c r="C11" i="7"/>
  <c r="C383" i="7"/>
  <c r="C400" i="7"/>
  <c r="C99" i="7"/>
  <c r="C399" i="7"/>
  <c r="C28" i="7"/>
  <c r="C203" i="7"/>
  <c r="C211" i="7"/>
  <c r="C331" i="7"/>
  <c r="C80" i="7"/>
  <c r="C5" i="7"/>
  <c r="C4" i="7"/>
  <c r="C3" i="7"/>
  <c r="C336" i="7"/>
  <c r="C393" i="7"/>
  <c r="C405" i="7"/>
  <c r="C2" i="7"/>
  <c r="C33" i="7"/>
  <c r="C179" i="7"/>
  <c r="C329" i="7"/>
  <c r="C32" i="7"/>
  <c r="C368" i="7"/>
  <c r="C373" i="7"/>
  <c r="C366" i="7"/>
  <c r="C364" i="7"/>
  <c r="C403" i="7"/>
  <c r="C17" i="7"/>
  <c r="C150" i="7"/>
  <c r="C392" i="7"/>
  <c r="C23" i="7"/>
  <c r="C26" i="7"/>
  <c r="C391" i="7"/>
  <c r="C34" i="7"/>
  <c r="C152" i="7"/>
  <c r="C240" i="7"/>
  <c r="C363" i="7"/>
  <c r="C14" i="7"/>
  <c r="C382" i="7"/>
  <c r="C387" i="7"/>
  <c r="C389" i="7"/>
  <c r="C394" i="7"/>
  <c r="C395" i="7"/>
  <c r="C397" i="7"/>
  <c r="C406" i="7"/>
  <c r="C143" i="7"/>
  <c r="C180" i="7"/>
  <c r="C401" i="7"/>
  <c r="C136" i="7"/>
  <c r="C327" i="7"/>
  <c r="C16" i="7"/>
  <c r="C404" i="7"/>
  <c r="C153" i="7"/>
  <c r="C134" i="7"/>
  <c r="C18" i="7"/>
  <c r="C163" i="7"/>
  <c r="C286" i="7"/>
  <c r="C183" i="7"/>
  <c r="C162" i="7"/>
  <c r="C284" i="7"/>
  <c r="C131" i="7"/>
  <c r="C120" i="7"/>
  <c r="C144" i="7"/>
  <c r="C112" i="7"/>
  <c r="C242" i="7"/>
  <c r="C300" i="7"/>
  <c r="C390" i="7"/>
  <c r="C281" i="7"/>
  <c r="C280" i="7"/>
  <c r="C283" i="7"/>
  <c r="C285" i="7"/>
  <c r="C235" i="7"/>
  <c r="C102" i="7"/>
  <c r="C359" i="7"/>
  <c r="C384" i="7"/>
  <c r="C111" i="7"/>
  <c r="C377" i="7"/>
  <c r="C261" i="7"/>
  <c r="C365" i="7"/>
  <c r="C187" i="7"/>
  <c r="C132" i="7"/>
  <c r="C251" i="7"/>
  <c r="C101" i="7"/>
  <c r="C282" i="7"/>
  <c r="C130" i="7"/>
  <c r="C27" i="7"/>
  <c r="C287" i="7"/>
  <c r="C318" i="7"/>
  <c r="C388" i="7"/>
  <c r="C279" i="7"/>
  <c r="C42" i="7"/>
  <c r="C245" i="7"/>
  <c r="C299" i="7"/>
  <c r="C308" i="7"/>
  <c r="C298" i="7"/>
  <c r="C325" i="7"/>
  <c r="C83" i="7"/>
  <c r="C133" i="7"/>
  <c r="C113" i="7"/>
  <c r="C185" i="7"/>
  <c r="C253" i="7"/>
  <c r="C61" i="7"/>
  <c r="C370" i="7"/>
  <c r="C319" i="7"/>
  <c r="C60" i="7"/>
  <c r="C22" i="7"/>
  <c r="C227" i="7"/>
  <c r="C228" i="7"/>
  <c r="C207" i="7"/>
  <c r="C230" i="7"/>
  <c r="C231" i="7"/>
  <c r="C122" i="7"/>
  <c r="C182" i="7"/>
  <c r="C40" i="7"/>
  <c r="C250" i="7"/>
  <c r="C129" i="7"/>
  <c r="C254" i="7"/>
  <c r="C59" i="7"/>
  <c r="C92" i="7"/>
  <c r="C255" i="7"/>
  <c r="C246" i="7"/>
  <c r="C123" i="7"/>
  <c r="C184" i="7"/>
  <c r="C177" i="7"/>
  <c r="C226" i="7"/>
  <c r="C66" i="7"/>
  <c r="C142" i="7"/>
  <c r="C20" i="7"/>
  <c r="C378" i="7"/>
  <c r="C338" i="7"/>
  <c r="C108" i="7"/>
  <c r="C244" i="7"/>
  <c r="C126" i="7"/>
  <c r="C295" i="7"/>
  <c r="C47" i="7"/>
  <c r="C88" i="7"/>
  <c r="C294" i="7"/>
  <c r="C154" i="7"/>
  <c r="C67" i="7"/>
  <c r="C262" i="7"/>
  <c r="C45" i="7"/>
  <c r="C21" i="7"/>
  <c r="C25" i="7"/>
  <c r="C24" i="7"/>
  <c r="C155" i="7"/>
  <c r="C141" i="7"/>
  <c r="C46" i="7"/>
  <c r="C302" i="7"/>
  <c r="C100" i="7"/>
  <c r="C84" i="7"/>
  <c r="C85" i="7"/>
  <c r="C189" i="7"/>
  <c r="C219" i="7"/>
  <c r="C119" i="7"/>
  <c r="C237" i="7"/>
  <c r="C381" i="7"/>
  <c r="C118" i="7"/>
  <c r="C147" i="7"/>
  <c r="C380" i="7"/>
  <c r="C117" i="7"/>
  <c r="C188" i="7"/>
  <c r="C191" i="7"/>
  <c r="C69" i="7"/>
  <c r="C70" i="7"/>
  <c r="C68" i="7"/>
  <c r="C222" i="7"/>
  <c r="C310" i="7"/>
  <c r="C320" i="7"/>
  <c r="C263" i="7"/>
  <c r="C86" i="7"/>
  <c r="C225" i="7"/>
  <c r="C260" i="7"/>
  <c r="C259" i="7"/>
  <c r="C248" i="7"/>
  <c r="C190" i="7"/>
  <c r="C128" i="7"/>
  <c r="C50" i="7"/>
  <c r="C186" i="7"/>
  <c r="C58" i="7"/>
  <c r="C56" i="7"/>
  <c r="C247" i="7"/>
  <c r="C173" i="7"/>
  <c r="C243" i="7"/>
  <c r="C215" i="7"/>
  <c r="C168" i="7"/>
  <c r="C220" i="7"/>
  <c r="C221" i="7"/>
  <c r="C71" i="7"/>
  <c r="C94" i="7"/>
  <c r="C49" i="7"/>
  <c r="C52" i="7"/>
  <c r="C210" i="7"/>
  <c r="C356" i="7"/>
  <c r="C81" i="7"/>
  <c r="C194" i="7"/>
  <c r="C39" i="7"/>
  <c r="C54" i="7"/>
  <c r="C116" i="7"/>
  <c r="C57" i="7"/>
  <c r="C62" i="7"/>
  <c r="C195" i="7"/>
  <c r="C213" i="7"/>
  <c r="C305" i="7"/>
  <c r="C324" i="7"/>
  <c r="C95" i="7"/>
  <c r="C169" i="7"/>
  <c r="C121" i="7"/>
  <c r="C53" i="7"/>
  <c r="C135" i="7"/>
  <c r="C214" i="7"/>
  <c r="C309" i="7"/>
  <c r="C355" i="7"/>
  <c r="C257" i="7"/>
  <c r="C275" i="7"/>
  <c r="C209" i="7"/>
  <c r="C43" i="7"/>
  <c r="C78" i="7"/>
  <c r="C193" i="7"/>
  <c r="C55" i="7"/>
  <c r="C91" i="7"/>
  <c r="C77" i="7"/>
  <c r="C367" i="7"/>
  <c r="C317" i="7"/>
  <c r="C239" i="7"/>
  <c r="C171" i="7"/>
  <c r="C48" i="7"/>
  <c r="C125" i="7"/>
  <c r="C87" i="7"/>
  <c r="C170" i="7"/>
  <c r="C291" i="7"/>
  <c r="C278" i="7"/>
  <c r="C64" i="7"/>
  <c r="C236" i="7"/>
  <c r="C301" i="7"/>
  <c r="C65" i="7"/>
  <c r="C224" i="7"/>
  <c r="C223" i="7"/>
  <c r="C375" i="7"/>
  <c r="C38" i="7"/>
  <c r="C156" i="7"/>
  <c r="C266" i="7"/>
  <c r="C371" i="7"/>
  <c r="C268" i="7"/>
  <c r="C241" i="7"/>
  <c r="C178" i="7"/>
  <c r="C297" i="7"/>
  <c r="C304" i="7"/>
  <c r="C316" i="7"/>
  <c r="C175" i="7"/>
  <c r="C270" i="7"/>
  <c r="C208" i="7"/>
  <c r="C137" i="7"/>
  <c r="C127" i="7"/>
  <c r="C79" i="7"/>
  <c r="C174" i="7"/>
  <c r="C200" i="7"/>
  <c r="C82" i="7"/>
  <c r="C140" i="7"/>
  <c r="C157" i="7"/>
  <c r="C232" i="7"/>
  <c r="C274" i="7"/>
  <c r="C234" i="7"/>
  <c r="C322" i="7"/>
  <c r="C361" i="7"/>
  <c r="C357" i="7"/>
  <c r="C360" i="7"/>
  <c r="C98" i="7"/>
  <c r="C158" i="7"/>
  <c r="C41" i="7"/>
  <c r="C51" i="7"/>
  <c r="C149" i="7"/>
  <c r="C44" i="7"/>
  <c r="C176" i="7"/>
  <c r="C292" i="7"/>
  <c r="C296" i="7"/>
  <c r="C161" i="7"/>
  <c r="C238" i="7"/>
  <c r="C269" i="7"/>
  <c r="C201" i="7"/>
  <c r="C96" i="7"/>
  <c r="C19" i="7"/>
  <c r="C332" i="7"/>
  <c r="C290" i="7"/>
  <c r="C172" i="7"/>
  <c r="C164" i="7"/>
  <c r="C63" i="7"/>
  <c r="C139" i="7"/>
  <c r="C10" i="7"/>
  <c r="C277" i="7"/>
  <c r="C267" i="7"/>
  <c r="C289" i="7"/>
  <c r="C326" i="7"/>
  <c r="C90" i="7"/>
  <c r="C216" i="7"/>
  <c r="C272" i="7"/>
  <c r="C166" i="7"/>
  <c r="C146" i="7"/>
  <c r="C288" i="7"/>
  <c r="C265" i="7"/>
  <c r="C151" i="7"/>
  <c r="C352" i="7"/>
  <c r="C271" i="7"/>
  <c r="C233" i="7"/>
  <c r="C115" i="7"/>
  <c r="C104" i="7"/>
  <c r="C293" i="7"/>
  <c r="C124" i="7"/>
  <c r="C362" i="7"/>
  <c r="C37" i="7"/>
  <c r="C206" i="7"/>
  <c r="C202" i="7"/>
  <c r="C374" i="7"/>
  <c r="C252" i="7"/>
  <c r="C353" i="7"/>
  <c r="C330" i="7"/>
  <c r="C9" i="7"/>
  <c r="C198" i="7"/>
  <c r="C273" i="7"/>
  <c r="C7" i="7"/>
  <c r="C159" i="7"/>
  <c r="C217" i="7"/>
  <c r="C258" i="7"/>
  <c r="C89" i="7"/>
  <c r="C379" i="7"/>
  <c r="C13" i="7"/>
  <c r="C264" i="7"/>
  <c r="C35" i="7"/>
  <c r="C205" i="7"/>
  <c r="C8" i="7"/>
  <c r="C345" i="7"/>
  <c r="C197" i="7"/>
  <c r="C342" i="7"/>
  <c r="C303" i="7"/>
  <c r="C276" i="7"/>
  <c r="C97" i="7"/>
  <c r="C138" i="7"/>
  <c r="C145" i="7"/>
  <c r="C350" i="7"/>
  <c r="C199" i="7"/>
  <c r="C15" i="7"/>
  <c r="C105" i="7"/>
  <c r="C72" i="7"/>
  <c r="C76" i="7"/>
  <c r="C12" i="7"/>
  <c r="C306" i="7"/>
  <c r="C307" i="7"/>
  <c r="C218" i="7"/>
  <c r="C229" i="7"/>
  <c r="C328" i="7"/>
  <c r="C351" i="7"/>
  <c r="C167" i="7"/>
  <c r="C29" i="7"/>
  <c r="C36" i="7"/>
  <c r="C165" i="7"/>
  <c r="C343" i="7"/>
  <c r="C256" i="7"/>
  <c r="C148" i="7"/>
  <c r="C369" i="7"/>
  <c r="C31" i="7"/>
  <c r="C30" i="7"/>
  <c r="C106" i="7"/>
  <c r="C346" i="7"/>
  <c r="C114" i="7"/>
  <c r="C109" i="7"/>
  <c r="C372" i="7"/>
  <c r="C344" i="7"/>
  <c r="C311" i="7"/>
  <c r="C376" i="7"/>
  <c r="C110" i="7"/>
  <c r="C312" i="7"/>
  <c r="C313" i="7"/>
  <c r="C339" i="7"/>
  <c r="C340" i="7"/>
  <c r="C107" i="7"/>
  <c r="C196" i="7"/>
  <c r="C335" i="7"/>
  <c r="C354" i="7"/>
  <c r="C103" i="7"/>
  <c r="C334" i="7"/>
  <c r="C315" i="7"/>
  <c r="C333" i="7"/>
  <c r="C314" i="7"/>
  <c r="C358" i="7"/>
  <c r="C337" i="7"/>
  <c r="C347" i="7"/>
  <c r="C341" i="7"/>
  <c r="C348" i="7"/>
  <c r="C349" i="7"/>
  <c r="C93" i="7"/>
  <c r="C249" i="7"/>
  <c r="C323" i="7"/>
  <c r="C212" i="7"/>
  <c r="B22" i="6"/>
  <c r="B323" i="7"/>
  <c r="B249" i="7"/>
  <c r="B93" i="7"/>
  <c r="B349" i="7"/>
  <c r="B348" i="7"/>
  <c r="B341" i="7"/>
  <c r="B347" i="7"/>
  <c r="B337" i="7"/>
  <c r="B358" i="7"/>
  <c r="B314" i="7"/>
  <c r="B333" i="7"/>
  <c r="B315" i="7"/>
  <c r="B334" i="7"/>
  <c r="B103" i="7"/>
  <c r="B354" i="7"/>
  <c r="B335" i="7"/>
  <c r="B196" i="7"/>
  <c r="B107" i="7"/>
  <c r="B340" i="7"/>
  <c r="B339" i="7"/>
  <c r="B313" i="7"/>
  <c r="B312" i="7"/>
  <c r="B110" i="7"/>
  <c r="B376" i="7"/>
  <c r="B311" i="7"/>
  <c r="B344" i="7"/>
  <c r="B372" i="7"/>
  <c r="B109" i="7"/>
  <c r="B114" i="7"/>
  <c r="B346" i="7"/>
  <c r="B106" i="7"/>
  <c r="B30" i="7"/>
  <c r="B31" i="7"/>
  <c r="B369" i="7"/>
  <c r="B148" i="7"/>
  <c r="B256" i="7"/>
  <c r="B343" i="7"/>
  <c r="B165" i="7"/>
  <c r="B36" i="7"/>
  <c r="B29" i="7"/>
  <c r="B167" i="7"/>
  <c r="B351" i="7"/>
  <c r="B328" i="7"/>
  <c r="B229" i="7"/>
  <c r="B307" i="7"/>
  <c r="B306" i="7"/>
  <c r="B12" i="7"/>
  <c r="B76" i="7"/>
  <c r="B72" i="7"/>
  <c r="B105" i="7"/>
  <c r="B15" i="7"/>
  <c r="B199" i="7"/>
  <c r="B350" i="7"/>
  <c r="B145" i="7"/>
  <c r="B138" i="7"/>
  <c r="B97" i="7"/>
  <c r="B276" i="7"/>
  <c r="B303" i="7"/>
  <c r="B342" i="7"/>
  <c r="B197" i="7"/>
  <c r="B345" i="7"/>
  <c r="B8" i="7"/>
  <c r="B205" i="7"/>
  <c r="B35" i="7"/>
  <c r="B264" i="7"/>
  <c r="B13" i="7"/>
  <c r="B379" i="7"/>
  <c r="B89" i="7"/>
  <c r="B258" i="7"/>
  <c r="B217" i="7"/>
  <c r="B159" i="7"/>
  <c r="B7" i="7"/>
  <c r="B273" i="7"/>
  <c r="B198" i="7"/>
  <c r="B9" i="7"/>
  <c r="B330" i="7"/>
  <c r="B353" i="7"/>
  <c r="B252" i="7"/>
  <c r="B374" i="7"/>
  <c r="B202" i="7"/>
  <c r="B206" i="7"/>
  <c r="B37" i="7"/>
  <c r="B362" i="7"/>
  <c r="B124" i="7"/>
  <c r="B293" i="7"/>
  <c r="B104" i="7"/>
  <c r="B115" i="7"/>
  <c r="B233" i="7"/>
  <c r="B271" i="7"/>
  <c r="B352" i="7"/>
  <c r="B151" i="7"/>
  <c r="B265" i="7"/>
  <c r="B288" i="7"/>
  <c r="B146" i="7"/>
  <c r="B166" i="7"/>
  <c r="B272" i="7"/>
  <c r="B216" i="7"/>
  <c r="B90" i="7"/>
  <c r="B326" i="7"/>
  <c r="B289" i="7"/>
  <c r="B267" i="7"/>
  <c r="B277" i="7"/>
  <c r="B10" i="7"/>
  <c r="B139" i="7"/>
  <c r="B63" i="7"/>
  <c r="B164" i="7"/>
  <c r="B172" i="7"/>
  <c r="B290" i="7"/>
  <c r="B332" i="7"/>
  <c r="B19" i="7"/>
  <c r="B96" i="7"/>
  <c r="B201" i="7"/>
  <c r="B269" i="7"/>
  <c r="B238" i="7"/>
  <c r="B161" i="7"/>
  <c r="B296" i="7"/>
  <c r="B292" i="7"/>
  <c r="B176" i="7"/>
  <c r="B44" i="7"/>
  <c r="B149" i="7"/>
  <c r="B51" i="7"/>
  <c r="B41" i="7"/>
  <c r="B158" i="7"/>
  <c r="B98" i="7"/>
  <c r="B360" i="7"/>
  <c r="B357" i="7"/>
  <c r="B361" i="7"/>
  <c r="B322" i="7"/>
  <c r="B234" i="7"/>
  <c r="B274" i="7"/>
  <c r="B232" i="7"/>
  <c r="B157" i="7"/>
  <c r="B140" i="7"/>
  <c r="B82" i="7"/>
  <c r="B200" i="7"/>
  <c r="B174" i="7"/>
  <c r="B79" i="7"/>
  <c r="B127" i="7"/>
  <c r="B137" i="7"/>
  <c r="B208" i="7"/>
  <c r="B270" i="7"/>
  <c r="B175" i="7"/>
  <c r="B316" i="7"/>
  <c r="B304" i="7"/>
  <c r="B297" i="7"/>
  <c r="B178" i="7"/>
  <c r="B241" i="7"/>
  <c r="B268" i="7"/>
  <c r="B371" i="7"/>
  <c r="B266" i="7"/>
  <c r="B156" i="7"/>
  <c r="B38" i="7"/>
  <c r="B375" i="7"/>
  <c r="B223" i="7"/>
  <c r="B224" i="7"/>
  <c r="B65" i="7"/>
  <c r="B301" i="7"/>
  <c r="B236" i="7"/>
  <c r="B64" i="7"/>
  <c r="B278" i="7"/>
  <c r="B291" i="7"/>
  <c r="B170" i="7"/>
  <c r="B87" i="7"/>
  <c r="B125" i="7"/>
  <c r="B48" i="7"/>
  <c r="B171" i="7"/>
  <c r="B239" i="7"/>
  <c r="B317" i="7"/>
  <c r="B367" i="7"/>
  <c r="B77" i="7"/>
  <c r="B91" i="7"/>
  <c r="B55" i="7"/>
  <c r="B193" i="7"/>
  <c r="B78" i="7"/>
  <c r="B43" i="7"/>
  <c r="B209" i="7"/>
  <c r="B275" i="7"/>
  <c r="B257" i="7"/>
  <c r="B355" i="7"/>
  <c r="B309" i="7"/>
  <c r="B214" i="7"/>
  <c r="B135" i="7"/>
  <c r="B53" i="7"/>
  <c r="B121" i="7"/>
  <c r="B169" i="7"/>
  <c r="B95" i="7"/>
  <c r="B324" i="7"/>
  <c r="B305" i="7"/>
  <c r="B213" i="7"/>
  <c r="B195" i="7"/>
  <c r="B62" i="7"/>
  <c r="B57" i="7"/>
  <c r="B116" i="7"/>
  <c r="B54" i="7"/>
  <c r="B39" i="7"/>
  <c r="B194" i="7"/>
  <c r="B81" i="7"/>
  <c r="B356" i="7"/>
  <c r="B210" i="7"/>
  <c r="B52" i="7"/>
  <c r="B49" i="7"/>
  <c r="B94" i="7"/>
  <c r="B71" i="7"/>
  <c r="B221" i="7"/>
  <c r="B220" i="7"/>
  <c r="B168" i="7"/>
  <c r="B215" i="7"/>
  <c r="B243" i="7"/>
  <c r="B173" i="7"/>
  <c r="B247" i="7"/>
  <c r="B56" i="7"/>
  <c r="B58" i="7"/>
  <c r="B186" i="7"/>
  <c r="B50" i="7"/>
  <c r="B128" i="7"/>
  <c r="B190" i="7"/>
  <c r="B248" i="7"/>
  <c r="B259" i="7"/>
  <c r="B260" i="7"/>
  <c r="B225" i="7"/>
  <c r="B86" i="7"/>
  <c r="B263" i="7"/>
  <c r="B320" i="7"/>
  <c r="B310" i="7"/>
  <c r="B222" i="7"/>
  <c r="B68" i="7"/>
  <c r="B70" i="7"/>
  <c r="B69" i="7"/>
  <c r="B191" i="7"/>
  <c r="B188" i="7"/>
  <c r="B117" i="7"/>
  <c r="B380" i="7"/>
  <c r="B147" i="7"/>
  <c r="B118" i="7"/>
  <c r="B381" i="7"/>
  <c r="B237" i="7"/>
  <c r="B119" i="7"/>
  <c r="B189" i="7"/>
  <c r="B85" i="7"/>
  <c r="B84" i="7"/>
  <c r="B100" i="7"/>
  <c r="B302" i="7"/>
  <c r="B46" i="7"/>
  <c r="B141" i="7"/>
  <c r="B155" i="7"/>
  <c r="B24" i="7"/>
  <c r="B25" i="7"/>
  <c r="B21" i="7"/>
  <c r="B45" i="7"/>
  <c r="B262" i="7"/>
  <c r="B67" i="7"/>
  <c r="B154" i="7"/>
  <c r="B294" i="7"/>
  <c r="B88" i="7"/>
  <c r="B47" i="7"/>
  <c r="B295" i="7"/>
  <c r="B126" i="7"/>
  <c r="B244" i="7"/>
  <c r="B108" i="7"/>
  <c r="B338" i="7"/>
  <c r="B378" i="7"/>
  <c r="B20" i="7"/>
  <c r="B142" i="7"/>
  <c r="B66" i="7"/>
  <c r="B226" i="7"/>
  <c r="B177" i="7"/>
  <c r="B184" i="7"/>
  <c r="B123" i="7"/>
  <c r="B246" i="7"/>
  <c r="B255" i="7"/>
  <c r="B92" i="7"/>
  <c r="B59" i="7"/>
  <c r="B254" i="7"/>
  <c r="B129" i="7"/>
  <c r="B250" i="7"/>
  <c r="B40" i="7"/>
  <c r="B182" i="7"/>
  <c r="B122" i="7"/>
  <c r="B231" i="7"/>
  <c r="B230" i="7"/>
  <c r="B207" i="7"/>
  <c r="B228" i="7"/>
  <c r="B227" i="7"/>
  <c r="B22" i="7"/>
  <c r="B60" i="7"/>
  <c r="B319" i="7"/>
  <c r="B370" i="7"/>
  <c r="B61" i="7"/>
  <c r="B253" i="7"/>
  <c r="B185" i="7"/>
  <c r="B113" i="7"/>
  <c r="B133" i="7"/>
  <c r="B83" i="7"/>
  <c r="B325" i="7"/>
  <c r="B298" i="7"/>
  <c r="B308" i="7"/>
  <c r="B299" i="7"/>
  <c r="B245" i="7"/>
  <c r="B42" i="7"/>
  <c r="B279" i="7"/>
  <c r="B388" i="7"/>
  <c r="B318" i="7"/>
  <c r="B287" i="7"/>
  <c r="B27" i="7"/>
  <c r="B130" i="7"/>
  <c r="B282" i="7"/>
  <c r="B101" i="7"/>
  <c r="B251" i="7"/>
  <c r="B132" i="7"/>
  <c r="B187" i="7"/>
  <c r="B365" i="7"/>
  <c r="B261" i="7"/>
  <c r="B377" i="7"/>
  <c r="B111" i="7"/>
  <c r="B384" i="7"/>
  <c r="B359" i="7"/>
  <c r="B102" i="7"/>
  <c r="B235" i="7"/>
  <c r="B285" i="7"/>
  <c r="B283" i="7"/>
  <c r="B280" i="7"/>
  <c r="B281" i="7"/>
  <c r="B390" i="7"/>
  <c r="B300" i="7"/>
  <c r="B242" i="7"/>
  <c r="B112" i="7"/>
  <c r="B144" i="7"/>
  <c r="B120" i="7"/>
  <c r="B131" i="7"/>
  <c r="B284" i="7"/>
  <c r="B162" i="7"/>
  <c r="B183" i="7"/>
  <c r="B286" i="7"/>
  <c r="B163" i="7"/>
  <c r="B18" i="7"/>
  <c r="B134" i="7"/>
  <c r="B153" i="7"/>
  <c r="B404" i="7"/>
  <c r="B16" i="7"/>
  <c r="B327" i="7"/>
  <c r="B136" i="7"/>
  <c r="B401" i="7"/>
  <c r="B180" i="7"/>
  <c r="B143" i="7"/>
  <c r="B406" i="7"/>
  <c r="B397" i="7"/>
  <c r="B395" i="7"/>
  <c r="B394" i="7"/>
  <c r="B389" i="7"/>
  <c r="B387" i="7"/>
  <c r="B382" i="7"/>
  <c r="B14" i="7"/>
  <c r="B363" i="7"/>
  <c r="B240" i="7"/>
  <c r="B152" i="7"/>
  <c r="B34" i="7"/>
  <c r="B391" i="7"/>
  <c r="B26" i="7"/>
  <c r="B23" i="7"/>
  <c r="B392" i="7"/>
  <c r="B150" i="7"/>
  <c r="B17" i="7"/>
  <c r="B403" i="7"/>
  <c r="B364" i="7"/>
  <c r="B366" i="7"/>
  <c r="B373" i="7"/>
  <c r="B368" i="7"/>
  <c r="B32" i="7"/>
  <c r="B329" i="7"/>
  <c r="B179" i="7"/>
  <c r="B33" i="7"/>
  <c r="B2" i="7"/>
  <c r="B405" i="7"/>
  <c r="B393" i="7"/>
  <c r="B336" i="7"/>
  <c r="B3" i="7"/>
  <c r="B4" i="7"/>
  <c r="B5" i="7"/>
  <c r="B80" i="7"/>
  <c r="B331" i="7"/>
  <c r="B211" i="7"/>
  <c r="B203" i="7"/>
  <c r="B28" i="7"/>
  <c r="B399" i="7"/>
  <c r="B99" i="7"/>
  <c r="B400" i="7"/>
  <c r="B383" i="7"/>
  <c r="B11" i="7"/>
  <c r="B181" i="7"/>
  <c r="B6" i="7"/>
  <c r="B192" i="7"/>
  <c r="B75" i="7"/>
  <c r="B160" i="7"/>
  <c r="B398" i="7"/>
  <c r="B396" i="7"/>
  <c r="B386" i="7"/>
  <c r="B321" i="7"/>
  <c r="B402" i="7"/>
  <c r="B73" i="7"/>
  <c r="B74" i="7"/>
  <c r="B204" i="7"/>
  <c r="B385" i="7"/>
  <c r="B212" i="7"/>
  <c r="E224" i="5"/>
  <c r="A3" i="8"/>
  <c r="E63" i="5"/>
  <c r="E366" i="5"/>
  <c r="E367" i="5"/>
  <c r="E12" i="5"/>
  <c r="AD3" i="8"/>
  <c r="H63" i="5"/>
  <c r="H366" i="5"/>
  <c r="H367" i="5"/>
  <c r="H12" i="5"/>
  <c r="AE3" i="8"/>
  <c r="K63" i="5"/>
  <c r="K12" i="5"/>
  <c r="AF3" i="8"/>
  <c r="N63" i="5"/>
  <c r="N12" i="5"/>
  <c r="AG3" i="8"/>
  <c r="AH3" i="8"/>
  <c r="R12" i="5"/>
  <c r="AI3" i="8"/>
  <c r="W63" i="5"/>
  <c r="W366" i="5"/>
  <c r="W12" i="5"/>
  <c r="U12" i="5"/>
  <c r="AJ3" i="8"/>
  <c r="X12" i="5"/>
  <c r="AK3" i="8"/>
  <c r="AA12" i="5"/>
  <c r="AC12" i="5"/>
  <c r="AL3" i="8"/>
  <c r="E184" i="5"/>
  <c r="A4" i="8"/>
  <c r="E49" i="5"/>
  <c r="E375" i="5"/>
  <c r="E368" i="5"/>
  <c r="E26" i="5"/>
  <c r="AD4" i="8"/>
  <c r="H184" i="5"/>
  <c r="H49" i="5"/>
  <c r="H375" i="5"/>
  <c r="H368" i="5"/>
  <c r="H26" i="5"/>
  <c r="AE4" i="8"/>
  <c r="K375" i="5"/>
  <c r="K26" i="5"/>
  <c r="AF4" i="8"/>
  <c r="N49" i="5"/>
  <c r="N375" i="5"/>
  <c r="N26" i="5"/>
  <c r="AG4" i="8"/>
  <c r="AH4" i="8"/>
  <c r="R26" i="5"/>
  <c r="AI4" i="8"/>
  <c r="W375" i="5"/>
  <c r="W26" i="5"/>
  <c r="U26" i="5"/>
  <c r="AJ4" i="8"/>
  <c r="X26" i="5"/>
  <c r="AK4" i="8"/>
  <c r="AA26" i="5"/>
  <c r="AC26" i="5"/>
  <c r="AL4" i="8"/>
  <c r="E8" i="5"/>
  <c r="A5" i="8"/>
  <c r="E19" i="5"/>
  <c r="E349" i="5"/>
  <c r="E330" i="5"/>
  <c r="E29" i="5"/>
  <c r="AD5" i="8"/>
  <c r="H19" i="5"/>
  <c r="H349" i="5"/>
  <c r="H330" i="5"/>
  <c r="H29" i="5"/>
  <c r="AE5" i="8"/>
  <c r="K19" i="5"/>
  <c r="K349" i="5"/>
  <c r="AF5" i="8"/>
  <c r="N19" i="5"/>
  <c r="N349" i="5"/>
  <c r="L29" i="5"/>
  <c r="AG5" i="8"/>
  <c r="O29" i="5"/>
  <c r="AH5" i="8"/>
  <c r="R29" i="5"/>
  <c r="AI5" i="8"/>
  <c r="W19" i="5"/>
  <c r="W349" i="5"/>
  <c r="U29" i="5"/>
  <c r="AJ5" i="8"/>
  <c r="X29" i="5"/>
  <c r="AK5" i="8"/>
  <c r="AA29" i="5"/>
  <c r="AC29" i="5"/>
  <c r="AL5" i="8"/>
  <c r="E43" i="5"/>
  <c r="A6" i="8"/>
  <c r="E97" i="5"/>
  <c r="E65" i="5"/>
  <c r="E159" i="5"/>
  <c r="E46" i="5"/>
  <c r="AD6" i="8"/>
  <c r="H97" i="5"/>
  <c r="H65" i="5"/>
  <c r="H159" i="5"/>
  <c r="H46" i="5"/>
  <c r="AE6" i="8"/>
  <c r="K97" i="5"/>
  <c r="K65" i="5"/>
  <c r="AF6" i="8"/>
  <c r="N97" i="5"/>
  <c r="N65" i="5"/>
  <c r="L46" i="5"/>
  <c r="AG6" i="8"/>
  <c r="O46" i="5"/>
  <c r="AH6" i="8"/>
  <c r="R46" i="5"/>
  <c r="AI6" i="8"/>
  <c r="W97" i="5"/>
  <c r="W65" i="5"/>
  <c r="U46" i="5"/>
  <c r="AJ6" i="8"/>
  <c r="X46" i="5"/>
  <c r="AK6" i="8"/>
  <c r="AC159" i="5"/>
  <c r="AA46" i="5"/>
  <c r="AC46" i="5"/>
  <c r="AL6" i="8"/>
  <c r="AF159" i="5"/>
  <c r="AI159" i="5"/>
  <c r="AL159" i="5"/>
  <c r="A7" i="8"/>
  <c r="E164" i="5"/>
  <c r="E122" i="5"/>
  <c r="E357" i="5"/>
  <c r="E47" i="5"/>
  <c r="AD7" i="8"/>
  <c r="H164" i="5"/>
  <c r="H122" i="5"/>
  <c r="H357" i="5"/>
  <c r="H47" i="5"/>
  <c r="AE7" i="8"/>
  <c r="K164" i="5"/>
  <c r="K47" i="5"/>
  <c r="AF7" i="8"/>
  <c r="N164" i="5"/>
  <c r="N47" i="5"/>
  <c r="AG7" i="8"/>
  <c r="AH7" i="8"/>
  <c r="R47" i="5"/>
  <c r="AI7" i="8"/>
  <c r="W164" i="5"/>
  <c r="W122" i="5"/>
  <c r="W47" i="5"/>
  <c r="U47" i="5"/>
  <c r="AJ7" i="8"/>
  <c r="X47" i="5"/>
  <c r="AK7" i="8"/>
  <c r="AC357" i="5"/>
  <c r="AA47" i="5"/>
  <c r="AC47" i="5"/>
  <c r="AL7" i="8"/>
  <c r="AF357" i="5"/>
  <c r="AI357" i="5"/>
  <c r="AL357" i="5"/>
  <c r="E149" i="5"/>
  <c r="A8" i="8"/>
  <c r="E113" i="5"/>
  <c r="E283" i="5"/>
  <c r="E111" i="5"/>
  <c r="AD8" i="8"/>
  <c r="H113" i="5"/>
  <c r="H283" i="5"/>
  <c r="H111" i="5"/>
  <c r="AE8" i="8"/>
  <c r="K113" i="5"/>
  <c r="K111" i="5"/>
  <c r="AF8" i="8"/>
  <c r="N113" i="5"/>
  <c r="N111" i="5"/>
  <c r="AG8" i="8"/>
  <c r="AH8" i="8"/>
  <c r="R111" i="5"/>
  <c r="AI8" i="8"/>
  <c r="W149" i="5"/>
  <c r="W113" i="5"/>
  <c r="W283" i="5"/>
  <c r="W111" i="5"/>
  <c r="U111" i="5"/>
  <c r="AJ8" i="8"/>
  <c r="X111" i="5"/>
  <c r="AK8" i="8"/>
  <c r="AC149" i="5"/>
  <c r="AA111" i="5"/>
  <c r="AC111" i="5"/>
  <c r="AL8" i="8"/>
  <c r="AF149" i="5"/>
  <c r="AI149" i="5"/>
  <c r="AL149" i="5"/>
  <c r="E40" i="5"/>
  <c r="A9" i="8"/>
  <c r="E99" i="5"/>
  <c r="E15" i="5"/>
  <c r="E121" i="5"/>
  <c r="AD9" i="8"/>
  <c r="H99" i="5"/>
  <c r="H15" i="5"/>
  <c r="H121" i="5"/>
  <c r="AE9" i="8"/>
  <c r="K99" i="5"/>
  <c r="K15" i="5"/>
  <c r="AF9" i="8"/>
  <c r="N99" i="5"/>
  <c r="N15" i="5"/>
  <c r="N121" i="5"/>
  <c r="AG9" i="8"/>
  <c r="AH9" i="8"/>
  <c r="R121" i="5"/>
  <c r="AI9" i="8"/>
  <c r="W99" i="5"/>
  <c r="W15" i="5"/>
  <c r="U121" i="5"/>
  <c r="AJ9" i="8"/>
  <c r="X121" i="5"/>
  <c r="AK9" i="8"/>
  <c r="AA121" i="5"/>
  <c r="AC121" i="5"/>
  <c r="AL9" i="8"/>
  <c r="E280" i="5"/>
  <c r="A10" i="8"/>
  <c r="E332" i="5"/>
  <c r="E16" i="5"/>
  <c r="E51" i="5"/>
  <c r="AD10" i="8"/>
  <c r="H332" i="5"/>
  <c r="H16" i="5"/>
  <c r="H51" i="5"/>
  <c r="AE10" i="8"/>
  <c r="K332" i="5"/>
  <c r="K16" i="5"/>
  <c r="K51" i="5"/>
  <c r="AF10" i="8"/>
  <c r="N332" i="5"/>
  <c r="N16" i="5"/>
  <c r="N51" i="5"/>
  <c r="L122" i="5"/>
  <c r="AG10" i="8"/>
  <c r="O122" i="5"/>
  <c r="AH10" i="8"/>
  <c r="R122" i="5"/>
  <c r="AI10" i="8"/>
  <c r="W332" i="5"/>
  <c r="W16" i="5"/>
  <c r="W51" i="5"/>
  <c r="U122" i="5"/>
  <c r="AJ10" i="8"/>
  <c r="X122" i="5"/>
  <c r="AK10" i="8"/>
  <c r="AA122" i="5"/>
  <c r="AC122" i="5"/>
  <c r="AL10" i="8"/>
  <c r="E286" i="5"/>
  <c r="A11" i="8"/>
  <c r="E347" i="5"/>
  <c r="E209" i="5"/>
  <c r="E123" i="5"/>
  <c r="AD11" i="8"/>
  <c r="H347" i="5"/>
  <c r="H209" i="5"/>
  <c r="H123" i="5"/>
  <c r="AE11" i="8"/>
  <c r="K347" i="5"/>
  <c r="K123" i="5"/>
  <c r="AF11" i="8"/>
  <c r="N347" i="5"/>
  <c r="N123" i="5"/>
  <c r="AG11" i="8"/>
  <c r="AH11" i="8"/>
  <c r="R123" i="5"/>
  <c r="AI11" i="8"/>
  <c r="W347" i="5"/>
  <c r="W209" i="5"/>
  <c r="W123" i="5"/>
  <c r="U123" i="5"/>
  <c r="AJ11" i="8"/>
  <c r="X123" i="5"/>
  <c r="AK11" i="8"/>
  <c r="AC209" i="5"/>
  <c r="AA123" i="5"/>
  <c r="AC123" i="5"/>
  <c r="AL11" i="8"/>
  <c r="AF209" i="5"/>
  <c r="AI209" i="5"/>
  <c r="AL209" i="5"/>
  <c r="E225" i="5"/>
  <c r="A12" i="8"/>
  <c r="E177" i="5"/>
  <c r="E9" i="5"/>
  <c r="E188" i="5"/>
  <c r="E146" i="5"/>
  <c r="AD12" i="8"/>
  <c r="H225" i="5"/>
  <c r="H177" i="5"/>
  <c r="H9" i="5"/>
  <c r="H188" i="5"/>
  <c r="AE12" i="8"/>
  <c r="K9" i="5"/>
  <c r="I146" i="5"/>
  <c r="AF12" i="8"/>
  <c r="N9" i="5"/>
  <c r="L146" i="5"/>
  <c r="AG12" i="8"/>
  <c r="O146" i="5"/>
  <c r="AH12" i="8"/>
  <c r="R146" i="5"/>
  <c r="AI12" i="8"/>
  <c r="W225" i="5"/>
  <c r="W177" i="5"/>
  <c r="W9" i="5"/>
  <c r="W188" i="5"/>
  <c r="W146" i="5"/>
  <c r="U146" i="5"/>
  <c r="AJ12" i="8"/>
  <c r="X146" i="5"/>
  <c r="AK12" i="8"/>
  <c r="AC188" i="5"/>
  <c r="AC146" i="5"/>
  <c r="AA146" i="5"/>
  <c r="AL12" i="8"/>
  <c r="AF188" i="5"/>
  <c r="AF146" i="5"/>
  <c r="AD146" i="5"/>
  <c r="AM12" i="8"/>
  <c r="AI188" i="5"/>
  <c r="AI146" i="5"/>
  <c r="AG146" i="5"/>
  <c r="AN12" i="8"/>
  <c r="AL188" i="5"/>
  <c r="AO12" i="8"/>
  <c r="E115" i="5"/>
  <c r="A13" i="8"/>
  <c r="E353" i="5"/>
  <c r="E110" i="5"/>
  <c r="E195" i="5"/>
  <c r="E157" i="5"/>
  <c r="AD13" i="8"/>
  <c r="H353" i="5"/>
  <c r="H110" i="5"/>
  <c r="H195" i="5"/>
  <c r="H157" i="5"/>
  <c r="AE13" i="8"/>
  <c r="K353" i="5"/>
  <c r="AF13" i="8"/>
  <c r="N353" i="5"/>
  <c r="L157" i="5"/>
  <c r="AG13" i="8"/>
  <c r="O157" i="5"/>
  <c r="AH13" i="8"/>
  <c r="R157" i="5"/>
  <c r="AI13" i="8"/>
  <c r="W115" i="5"/>
  <c r="W353" i="5"/>
  <c r="W110" i="5"/>
  <c r="W195" i="5"/>
  <c r="W157" i="5"/>
  <c r="U157" i="5"/>
  <c r="AJ13" i="8"/>
  <c r="X157" i="5"/>
  <c r="AK13" i="8"/>
  <c r="AC195" i="5"/>
  <c r="AC157" i="5"/>
  <c r="AA157" i="5"/>
  <c r="AL13" i="8"/>
  <c r="AF195" i="5"/>
  <c r="AF157" i="5"/>
  <c r="AD157" i="5"/>
  <c r="AM13" i="8"/>
  <c r="AI195" i="5"/>
  <c r="AI157" i="5"/>
  <c r="AG157" i="5"/>
  <c r="AN13" i="8"/>
  <c r="AL195" i="5"/>
  <c r="AL157" i="5"/>
  <c r="AJ157" i="5"/>
  <c r="AO13" i="8"/>
  <c r="E333" i="5"/>
  <c r="A14" i="8"/>
  <c r="E231" i="5"/>
  <c r="E315" i="5"/>
  <c r="E251" i="5"/>
  <c r="E170" i="5"/>
  <c r="AD14" i="8"/>
  <c r="H333" i="5"/>
  <c r="H231" i="5"/>
  <c r="H315" i="5"/>
  <c r="H251" i="5"/>
  <c r="H170" i="5"/>
  <c r="AE14" i="8"/>
  <c r="K231" i="5"/>
  <c r="K315" i="5"/>
  <c r="K251" i="5"/>
  <c r="K170" i="5"/>
  <c r="I170" i="5"/>
  <c r="AF14" i="8"/>
  <c r="N231" i="5"/>
  <c r="N315" i="5"/>
  <c r="N251" i="5"/>
  <c r="N170" i="5"/>
  <c r="AG14" i="8"/>
  <c r="AH14" i="8"/>
  <c r="R170" i="5"/>
  <c r="AI14" i="8"/>
  <c r="W315" i="5"/>
  <c r="W251" i="5"/>
  <c r="W170" i="5"/>
  <c r="U170" i="5"/>
  <c r="AJ14" i="8"/>
  <c r="X170" i="5"/>
  <c r="AK14" i="8"/>
  <c r="AA170" i="5"/>
  <c r="AC170" i="5"/>
  <c r="AL14" i="8"/>
  <c r="E165" i="5"/>
  <c r="A15" i="8"/>
  <c r="E327" i="5"/>
  <c r="E245" i="5"/>
  <c r="E234" i="5"/>
  <c r="E178" i="5"/>
  <c r="AD15" i="8"/>
  <c r="H327" i="5"/>
  <c r="H245" i="5"/>
  <c r="H234" i="5"/>
  <c r="H178" i="5"/>
  <c r="AE15" i="8"/>
  <c r="K178" i="5"/>
  <c r="AF15" i="8"/>
  <c r="N178" i="5"/>
  <c r="AG15" i="8"/>
  <c r="AH15" i="8"/>
  <c r="R178" i="5"/>
  <c r="AI15" i="8"/>
  <c r="W178" i="5"/>
  <c r="U178" i="5"/>
  <c r="AJ15" i="8"/>
  <c r="X178" i="5"/>
  <c r="AK15" i="8"/>
  <c r="AA178" i="5"/>
  <c r="AC178" i="5"/>
  <c r="AL15" i="8"/>
  <c r="E252" i="5"/>
  <c r="A16" i="8"/>
  <c r="E55" i="5"/>
  <c r="E45" i="5"/>
  <c r="E181" i="5"/>
  <c r="AD16" i="8"/>
  <c r="H55" i="5"/>
  <c r="H45" i="5"/>
  <c r="AE16" i="8"/>
  <c r="K45" i="5"/>
  <c r="K181" i="5"/>
  <c r="AF16" i="8"/>
  <c r="N45" i="5"/>
  <c r="N181" i="5"/>
  <c r="AG16" i="8"/>
  <c r="AH16" i="8"/>
  <c r="R181" i="5"/>
  <c r="AI16" i="8"/>
  <c r="W45" i="5"/>
  <c r="W181" i="5"/>
  <c r="U181" i="5"/>
  <c r="AJ16" i="8"/>
  <c r="X181" i="5"/>
  <c r="AK16" i="8"/>
  <c r="AA181" i="5"/>
  <c r="AC181" i="5"/>
  <c r="AL16" i="8"/>
  <c r="E303" i="5"/>
  <c r="A17" i="8"/>
  <c r="E6" i="5"/>
  <c r="E258" i="5"/>
  <c r="AD17" i="8"/>
  <c r="H6" i="5"/>
  <c r="H258" i="5"/>
  <c r="AE17" i="8"/>
  <c r="K303" i="5"/>
  <c r="K6" i="5"/>
  <c r="AF17" i="8"/>
  <c r="N6" i="5"/>
  <c r="L188" i="5"/>
  <c r="AG17" i="8"/>
  <c r="O188" i="5"/>
  <c r="AH17" i="8"/>
  <c r="R188" i="5"/>
  <c r="AI17" i="8"/>
  <c r="W303" i="5"/>
  <c r="W6" i="5"/>
  <c r="U188" i="5"/>
  <c r="AJ17" i="8"/>
  <c r="X188" i="5"/>
  <c r="AK17" i="8"/>
  <c r="AA188" i="5"/>
  <c r="AL17" i="8"/>
  <c r="AD188" i="5"/>
  <c r="AM17" i="8"/>
  <c r="AG188" i="5"/>
  <c r="AN17" i="8"/>
  <c r="AJ188" i="5"/>
  <c r="AO17" i="8"/>
  <c r="E334" i="5"/>
  <c r="A18" i="8"/>
  <c r="E296" i="5"/>
  <c r="E292" i="5"/>
  <c r="E198" i="5"/>
  <c r="AD18" i="8"/>
  <c r="H334" i="5"/>
  <c r="H296" i="5"/>
  <c r="H292" i="5"/>
  <c r="H198" i="5"/>
  <c r="AE18" i="8"/>
  <c r="K334" i="5"/>
  <c r="K296" i="5"/>
  <c r="K292" i="5"/>
  <c r="AF18" i="8"/>
  <c r="N296" i="5"/>
  <c r="N292" i="5"/>
  <c r="L198" i="5"/>
  <c r="AG18" i="8"/>
  <c r="O198" i="5"/>
  <c r="AH18" i="8"/>
  <c r="R198" i="5"/>
  <c r="AI18" i="8"/>
  <c r="W334" i="5"/>
  <c r="W296" i="5"/>
  <c r="W292" i="5"/>
  <c r="W198" i="5"/>
  <c r="U198" i="5"/>
  <c r="AJ18" i="8"/>
  <c r="X198" i="5"/>
  <c r="AK18" i="8"/>
  <c r="AC198" i="5"/>
  <c r="AA198" i="5"/>
  <c r="AL18" i="8"/>
  <c r="AF198" i="5"/>
  <c r="AD198" i="5"/>
  <c r="AM18" i="8"/>
  <c r="AI198" i="5"/>
  <c r="AG198" i="5"/>
  <c r="AN18" i="8"/>
  <c r="AL198" i="5"/>
  <c r="AJ198" i="5"/>
  <c r="AO18" i="8"/>
  <c r="E244" i="5"/>
  <c r="A19" i="8"/>
  <c r="E236" i="5"/>
  <c r="E260" i="5"/>
  <c r="E24" i="5"/>
  <c r="E201" i="5"/>
  <c r="AD19" i="8"/>
  <c r="H236" i="5"/>
  <c r="H260" i="5"/>
  <c r="H24" i="5"/>
  <c r="H201" i="5"/>
  <c r="AE19" i="8"/>
  <c r="K236" i="5"/>
  <c r="K260" i="5"/>
  <c r="AF19" i="8"/>
  <c r="N236" i="5"/>
  <c r="N260" i="5"/>
  <c r="N24" i="5"/>
  <c r="L201" i="5"/>
  <c r="AG19" i="8"/>
  <c r="O201" i="5"/>
  <c r="AH19" i="8"/>
  <c r="R201" i="5"/>
  <c r="AI19" i="8"/>
  <c r="W236" i="5"/>
  <c r="W260" i="5"/>
  <c r="U201" i="5"/>
  <c r="AJ19" i="8"/>
  <c r="X201" i="5"/>
  <c r="AK19" i="8"/>
  <c r="AC201" i="5"/>
  <c r="AA201" i="5"/>
  <c r="AL19" i="8"/>
  <c r="AF201" i="5"/>
  <c r="AD201" i="5"/>
  <c r="AM19" i="8"/>
  <c r="AI201" i="5"/>
  <c r="AG201" i="5"/>
  <c r="AN19" i="8"/>
  <c r="AO19" i="8"/>
  <c r="A20" i="8"/>
  <c r="E238" i="5"/>
  <c r="E358" i="5"/>
  <c r="E25" i="5"/>
  <c r="E202" i="5"/>
  <c r="AD20" i="8"/>
  <c r="H238" i="5"/>
  <c r="H358" i="5"/>
  <c r="H25" i="5"/>
  <c r="H202" i="5"/>
  <c r="AE20" i="8"/>
  <c r="K238" i="5"/>
  <c r="K358" i="5"/>
  <c r="K25" i="5"/>
  <c r="I202" i="5"/>
  <c r="AF20" i="8"/>
  <c r="N238" i="5"/>
  <c r="N358" i="5"/>
  <c r="N25" i="5"/>
  <c r="L202" i="5"/>
  <c r="AG20" i="8"/>
  <c r="O202" i="5"/>
  <c r="AH20" i="8"/>
  <c r="R202" i="5"/>
  <c r="AI20" i="8"/>
  <c r="W238" i="5"/>
  <c r="W358" i="5"/>
  <c r="W25" i="5"/>
  <c r="U202" i="5"/>
  <c r="AJ20" i="8"/>
  <c r="X202" i="5"/>
  <c r="AK20" i="8"/>
  <c r="AC202" i="5"/>
  <c r="AA202" i="5"/>
  <c r="AL20" i="8"/>
  <c r="AF202" i="5"/>
  <c r="AD202" i="5"/>
  <c r="AM20" i="8"/>
  <c r="AI202" i="5"/>
  <c r="AG202" i="5"/>
  <c r="AN20" i="8"/>
  <c r="AL202" i="5"/>
  <c r="AO20" i="8"/>
  <c r="E120" i="5"/>
  <c r="A21" i="8"/>
  <c r="E274" i="5"/>
  <c r="E308" i="5"/>
  <c r="E203" i="5"/>
  <c r="AD21" i="8"/>
  <c r="H274" i="5"/>
  <c r="H308" i="5"/>
  <c r="H203" i="5"/>
  <c r="AE21" i="8"/>
  <c r="K120" i="5"/>
  <c r="K274" i="5"/>
  <c r="K308" i="5"/>
  <c r="AF21" i="8"/>
  <c r="N274" i="5"/>
  <c r="N308" i="5"/>
  <c r="L203" i="5"/>
  <c r="AG21" i="8"/>
  <c r="O203" i="5"/>
  <c r="AH21" i="8"/>
  <c r="R203" i="5"/>
  <c r="AI21" i="8"/>
  <c r="W120" i="5"/>
  <c r="W274" i="5"/>
  <c r="W308" i="5"/>
  <c r="W203" i="5"/>
  <c r="U203" i="5"/>
  <c r="AJ21" i="8"/>
  <c r="X203" i="5"/>
  <c r="AK21" i="8"/>
  <c r="AC203" i="5"/>
  <c r="AA203" i="5"/>
  <c r="AL21" i="8"/>
  <c r="AF203" i="5"/>
  <c r="AD203" i="5"/>
  <c r="AM21" i="8"/>
  <c r="AI203" i="5"/>
  <c r="AG203" i="5"/>
  <c r="AN21" i="8"/>
  <c r="AL203" i="5"/>
  <c r="AJ203" i="5"/>
  <c r="AO21" i="8"/>
  <c r="A22" i="8"/>
  <c r="E299" i="5"/>
  <c r="E305" i="5"/>
  <c r="E285" i="5"/>
  <c r="E212" i="5"/>
  <c r="AD22" i="8"/>
  <c r="H299" i="5"/>
  <c r="H305" i="5"/>
  <c r="H285" i="5"/>
  <c r="H212" i="5"/>
  <c r="AE22" i="8"/>
  <c r="K299" i="5"/>
  <c r="K305" i="5"/>
  <c r="K285" i="5"/>
  <c r="AF22" i="8"/>
  <c r="N299" i="5"/>
  <c r="N305" i="5"/>
  <c r="N285" i="5"/>
  <c r="L212" i="5"/>
  <c r="AG22" i="8"/>
  <c r="O212" i="5"/>
  <c r="AH22" i="8"/>
  <c r="R212" i="5"/>
  <c r="AI22" i="8"/>
  <c r="W305" i="5"/>
  <c r="W285" i="5"/>
  <c r="W212" i="5"/>
  <c r="U212" i="5"/>
  <c r="AJ22" i="8"/>
  <c r="X212" i="5"/>
  <c r="AK22" i="8"/>
  <c r="AC212" i="5"/>
  <c r="AA212" i="5"/>
  <c r="AL22" i="8"/>
  <c r="AF212" i="5"/>
  <c r="AD212" i="5"/>
  <c r="AM22" i="8"/>
  <c r="AI212" i="5"/>
  <c r="AG212" i="5"/>
  <c r="AN22" i="8"/>
  <c r="AL212" i="5"/>
  <c r="AJ212" i="5"/>
  <c r="AO22" i="8"/>
  <c r="E362" i="5"/>
  <c r="A23" i="8"/>
  <c r="E235" i="5"/>
  <c r="E237" i="5"/>
  <c r="E213" i="5"/>
  <c r="AD23" i="8"/>
  <c r="H235" i="5"/>
  <c r="H237" i="5"/>
  <c r="H213" i="5"/>
  <c r="AE23" i="8"/>
  <c r="K362" i="5"/>
  <c r="K235" i="5"/>
  <c r="AF23" i="8"/>
  <c r="N235" i="5"/>
  <c r="L213" i="5"/>
  <c r="AG23" i="8"/>
  <c r="O213" i="5"/>
  <c r="AH23" i="8"/>
  <c r="R213" i="5"/>
  <c r="AI23" i="8"/>
  <c r="W362" i="5"/>
  <c r="W235" i="5"/>
  <c r="W237" i="5"/>
  <c r="W213" i="5"/>
  <c r="U213" i="5"/>
  <c r="AJ23" i="8"/>
  <c r="X213" i="5"/>
  <c r="AK23" i="8"/>
  <c r="AC213" i="5"/>
  <c r="AA213" i="5"/>
  <c r="AL23" i="8"/>
  <c r="AF213" i="5"/>
  <c r="AD213" i="5"/>
  <c r="AM23" i="8"/>
  <c r="AI213" i="5"/>
  <c r="AG213" i="5"/>
  <c r="AN23" i="8"/>
  <c r="AL213" i="5"/>
  <c r="AJ213" i="5"/>
  <c r="AO23" i="8"/>
  <c r="E196" i="5"/>
  <c r="A24" i="8"/>
  <c r="E287" i="5"/>
  <c r="E226" i="5"/>
  <c r="AD24" i="8"/>
  <c r="H287" i="5"/>
  <c r="H8" i="5"/>
  <c r="H226" i="5"/>
  <c r="AE24" i="8"/>
  <c r="K287" i="5"/>
  <c r="K226" i="5"/>
  <c r="AF24" i="8"/>
  <c r="N287" i="5"/>
  <c r="N8" i="5"/>
  <c r="N226" i="5"/>
  <c r="L226" i="5"/>
  <c r="AG24" i="8"/>
  <c r="Q226" i="5"/>
  <c r="O226" i="5"/>
  <c r="AH24" i="8"/>
  <c r="T226" i="5"/>
  <c r="AI24" i="8"/>
  <c r="W196" i="5"/>
  <c r="W287" i="5"/>
  <c r="U226" i="5"/>
  <c r="AJ24" i="8"/>
  <c r="X226" i="5"/>
  <c r="AK24" i="8"/>
  <c r="AC196" i="5"/>
  <c r="AA226" i="5"/>
  <c r="AC226" i="5"/>
  <c r="AL24" i="8"/>
  <c r="AF196" i="5"/>
  <c r="AI196" i="5"/>
  <c r="AL196" i="5"/>
  <c r="E406" i="5"/>
  <c r="A25" i="8"/>
  <c r="E359" i="5"/>
  <c r="E290" i="5"/>
  <c r="E108" i="5"/>
  <c r="AD25" i="8"/>
  <c r="H359" i="5"/>
  <c r="H290" i="5"/>
  <c r="H108" i="5"/>
  <c r="AE25" i="8"/>
  <c r="K359" i="5"/>
  <c r="K108" i="5"/>
  <c r="AF25" i="8"/>
  <c r="N108" i="5"/>
  <c r="L245" i="5"/>
  <c r="AG25" i="8"/>
  <c r="O245" i="5"/>
  <c r="AH25" i="8"/>
  <c r="R245" i="5"/>
  <c r="AI25" i="8"/>
  <c r="W359" i="5"/>
  <c r="W290" i="5"/>
  <c r="W108" i="5"/>
  <c r="U245" i="5"/>
  <c r="AJ25" i="8"/>
  <c r="X245" i="5"/>
  <c r="AK25" i="8"/>
  <c r="AA245" i="5"/>
  <c r="AC245" i="5"/>
  <c r="AL25" i="8"/>
  <c r="A26" i="8"/>
  <c r="E320" i="5"/>
  <c r="AD26" i="8"/>
  <c r="H320" i="5"/>
  <c r="H196" i="5"/>
  <c r="AE26" i="8"/>
  <c r="AF26" i="8"/>
  <c r="AG26" i="8"/>
  <c r="AH26" i="8"/>
  <c r="R251" i="5"/>
  <c r="AI26" i="8"/>
  <c r="W320" i="5"/>
  <c r="U251" i="5"/>
  <c r="AJ26" i="8"/>
  <c r="X251" i="5"/>
  <c r="AK26" i="8"/>
  <c r="AA251" i="5"/>
  <c r="AC251" i="5"/>
  <c r="AL26" i="8"/>
  <c r="E193" i="5"/>
  <c r="A27" i="8"/>
  <c r="E10" i="5"/>
  <c r="E262" i="5"/>
  <c r="AD27" i="8"/>
  <c r="H10" i="5"/>
  <c r="H262" i="5"/>
  <c r="AE27" i="8"/>
  <c r="K10" i="5"/>
  <c r="K262" i="5"/>
  <c r="AF27" i="8"/>
  <c r="N10" i="5"/>
  <c r="N262" i="5"/>
  <c r="AG27" i="8"/>
  <c r="AH27" i="8"/>
  <c r="R262" i="5"/>
  <c r="AI27" i="8"/>
  <c r="W10" i="5"/>
  <c r="W262" i="5"/>
  <c r="U262" i="5"/>
  <c r="AJ27" i="8"/>
  <c r="X262" i="5"/>
  <c r="AK27" i="8"/>
  <c r="AA262" i="5"/>
  <c r="AC262" i="5"/>
  <c r="AL27" i="8"/>
  <c r="AL193" i="5"/>
  <c r="E259" i="5"/>
  <c r="A28" i="8"/>
  <c r="E273" i="5"/>
  <c r="E151" i="5"/>
  <c r="E96" i="5"/>
  <c r="E276" i="5"/>
  <c r="AD28" i="8"/>
  <c r="H273" i="5"/>
  <c r="H96" i="5"/>
  <c r="H276" i="5"/>
  <c r="AE28" i="8"/>
  <c r="K259" i="5"/>
  <c r="K273" i="5"/>
  <c r="K96" i="5"/>
  <c r="K276" i="5"/>
  <c r="AF28" i="8"/>
  <c r="N273" i="5"/>
  <c r="N96" i="5"/>
  <c r="N276" i="5"/>
  <c r="AG28" i="8"/>
  <c r="AH28" i="8"/>
  <c r="R276" i="5"/>
  <c r="AI28" i="8"/>
  <c r="W259" i="5"/>
  <c r="W273" i="5"/>
  <c r="W151" i="5"/>
  <c r="W96" i="5"/>
  <c r="W276" i="5"/>
  <c r="U276" i="5"/>
  <c r="AJ28" i="8"/>
  <c r="X276" i="5"/>
  <c r="AK28" i="8"/>
  <c r="AC151" i="5"/>
  <c r="AA276" i="5"/>
  <c r="AC276" i="5"/>
  <c r="AL28" i="8"/>
  <c r="AF151" i="5"/>
  <c r="AI151" i="5"/>
  <c r="AL151" i="5"/>
  <c r="E386" i="5"/>
  <c r="A29" i="8"/>
  <c r="E275" i="5"/>
  <c r="E187" i="5"/>
  <c r="E319" i="5"/>
  <c r="E293" i="5"/>
  <c r="AD29" i="8"/>
  <c r="H275" i="5"/>
  <c r="H319" i="5"/>
  <c r="H293" i="5"/>
  <c r="AE29" i="8"/>
  <c r="K275" i="5"/>
  <c r="K319" i="5"/>
  <c r="AF29" i="8"/>
  <c r="N275" i="5"/>
  <c r="N319" i="5"/>
  <c r="N293" i="5"/>
  <c r="AG29" i="8"/>
  <c r="AH29" i="8"/>
  <c r="R293" i="5"/>
  <c r="AI29" i="8"/>
  <c r="W275" i="5"/>
  <c r="W187" i="5"/>
  <c r="W319" i="5"/>
  <c r="U293" i="5"/>
  <c r="AJ29" i="8"/>
  <c r="X293" i="5"/>
  <c r="AK29" i="8"/>
  <c r="AC187" i="5"/>
  <c r="AA293" i="5"/>
  <c r="AL29" i="8"/>
  <c r="AF187" i="5"/>
  <c r="AI187" i="5"/>
  <c r="AL187" i="5"/>
  <c r="E306" i="5"/>
  <c r="A30" i="8"/>
  <c r="E141" i="5"/>
  <c r="E136" i="5"/>
  <c r="E318" i="5"/>
  <c r="AD30" i="8"/>
  <c r="H318" i="5"/>
  <c r="AE30" i="8"/>
  <c r="K318" i="5"/>
  <c r="AF30" i="8"/>
  <c r="N318" i="5"/>
  <c r="AG30" i="8"/>
  <c r="AH30" i="8"/>
  <c r="R318" i="5"/>
  <c r="AI30" i="8"/>
  <c r="W141" i="5"/>
  <c r="W136" i="5"/>
  <c r="W318" i="5"/>
  <c r="U318" i="5"/>
  <c r="AJ30" i="8"/>
  <c r="X318" i="5"/>
  <c r="AK30" i="8"/>
  <c r="AC141" i="5"/>
  <c r="AC136" i="5"/>
  <c r="AA318" i="5"/>
  <c r="AC318" i="5"/>
  <c r="AL30" i="8"/>
  <c r="AF141" i="5"/>
  <c r="AF136" i="5"/>
  <c r="AI141" i="5"/>
  <c r="AI136" i="5"/>
  <c r="AL141" i="5"/>
  <c r="AL136" i="5"/>
  <c r="E67" i="5"/>
  <c r="A31" i="8"/>
  <c r="E137" i="5"/>
  <c r="E132" i="5"/>
  <c r="E60" i="5"/>
  <c r="E324" i="5"/>
  <c r="AD31" i="8"/>
  <c r="H132" i="5"/>
  <c r="H60" i="5"/>
  <c r="H324" i="5"/>
  <c r="AE31" i="8"/>
  <c r="K60" i="5"/>
  <c r="K324" i="5"/>
  <c r="AF31" i="8"/>
  <c r="N60" i="5"/>
  <c r="N324" i="5"/>
  <c r="AG31" i="8"/>
  <c r="AH31" i="8"/>
  <c r="R324" i="5"/>
  <c r="AI31" i="8"/>
  <c r="W137" i="5"/>
  <c r="W132" i="5"/>
  <c r="W60" i="5"/>
  <c r="W324" i="5"/>
  <c r="U324" i="5"/>
  <c r="AJ31" i="8"/>
  <c r="X324" i="5"/>
  <c r="AK31" i="8"/>
  <c r="AC137" i="5"/>
  <c r="AC132" i="5"/>
  <c r="AA324" i="5"/>
  <c r="AC324" i="5"/>
  <c r="AL31" i="8"/>
  <c r="AF137" i="5"/>
  <c r="AF132" i="5"/>
  <c r="AI137" i="5"/>
  <c r="AI132" i="5"/>
  <c r="AL67" i="5"/>
  <c r="AL137" i="5"/>
  <c r="AL132" i="5"/>
  <c r="A32" i="8"/>
  <c r="E228" i="5"/>
  <c r="E344" i="5"/>
  <c r="AD32" i="8"/>
  <c r="H228" i="5"/>
  <c r="H344" i="5"/>
  <c r="AE32" i="8"/>
  <c r="K228" i="5"/>
  <c r="K344" i="5"/>
  <c r="AF32" i="8"/>
  <c r="N228" i="5"/>
  <c r="N344" i="5"/>
  <c r="AG32" i="8"/>
  <c r="Q228" i="5"/>
  <c r="AH32" i="8"/>
  <c r="T228" i="5"/>
  <c r="R344" i="5"/>
  <c r="AI32" i="8"/>
  <c r="W344" i="5"/>
  <c r="U344" i="5"/>
  <c r="AJ32" i="8"/>
  <c r="X344" i="5"/>
  <c r="AK32" i="8"/>
  <c r="AA344" i="5"/>
  <c r="AC344" i="5"/>
  <c r="AL32" i="8"/>
  <c r="E37" i="5"/>
  <c r="A33" i="8"/>
  <c r="E220" i="5"/>
  <c r="E168" i="5"/>
  <c r="E355" i="5"/>
  <c r="AD33" i="8"/>
  <c r="H220" i="5"/>
  <c r="H168" i="5"/>
  <c r="H355" i="5"/>
  <c r="AE33" i="8"/>
  <c r="K168" i="5"/>
  <c r="I355" i="5"/>
  <c r="AF33" i="8"/>
  <c r="N168" i="5"/>
  <c r="L355" i="5"/>
  <c r="AG33" i="8"/>
  <c r="O355" i="5"/>
  <c r="AH33" i="8"/>
  <c r="R355" i="5"/>
  <c r="AI33" i="8"/>
  <c r="W220" i="5"/>
  <c r="W168" i="5"/>
  <c r="U355" i="5"/>
  <c r="AJ33" i="8"/>
  <c r="X355" i="5"/>
  <c r="AK33" i="8"/>
  <c r="AC220" i="5"/>
  <c r="AA355" i="5"/>
  <c r="AC355" i="5"/>
  <c r="AL33" i="8"/>
  <c r="AF220" i="5"/>
  <c r="AI220" i="5"/>
  <c r="AL220" i="5"/>
  <c r="E288" i="5"/>
  <c r="A34" i="8"/>
  <c r="E207" i="5"/>
  <c r="E250" i="5"/>
  <c r="E363" i="5"/>
  <c r="AD34" i="8"/>
  <c r="H207" i="5"/>
  <c r="H250" i="5"/>
  <c r="H363" i="5"/>
  <c r="AE34" i="8"/>
  <c r="I363" i="5"/>
  <c r="AF34" i="8"/>
  <c r="L363" i="5"/>
  <c r="AG34" i="8"/>
  <c r="O363" i="5"/>
  <c r="AH34" i="8"/>
  <c r="R363" i="5"/>
  <c r="AI34" i="8"/>
  <c r="W207" i="5"/>
  <c r="U363" i="5"/>
  <c r="AJ34" i="8"/>
  <c r="X363" i="5"/>
  <c r="AK34" i="8"/>
  <c r="AC207" i="5"/>
  <c r="AA363" i="5"/>
  <c r="AC363" i="5"/>
  <c r="AL34" i="8"/>
  <c r="AF207" i="5"/>
  <c r="AI207" i="5"/>
  <c r="AL207" i="5"/>
  <c r="A35" i="8"/>
  <c r="E400" i="5"/>
  <c r="E356" i="5"/>
  <c r="E364" i="5"/>
  <c r="AD35" i="8"/>
  <c r="H400" i="5"/>
  <c r="H356" i="5"/>
  <c r="H364" i="5"/>
  <c r="AE35" i="8"/>
  <c r="K364" i="5"/>
  <c r="AF35" i="8"/>
  <c r="N364" i="5"/>
  <c r="L367" i="5"/>
  <c r="AG35" i="8"/>
  <c r="O367" i="5"/>
  <c r="AH35" i="8"/>
  <c r="R367" i="5"/>
  <c r="AI35" i="8"/>
  <c r="W400" i="5"/>
  <c r="W364" i="5"/>
  <c r="U367" i="5"/>
  <c r="AJ35" i="8"/>
  <c r="X367" i="5"/>
  <c r="AK35" i="8"/>
  <c r="AC400" i="5"/>
  <c r="AA367" i="5"/>
  <c r="AC367" i="5"/>
  <c r="AL35" i="8"/>
  <c r="AF400" i="5"/>
  <c r="AI400" i="5"/>
  <c r="AL400" i="5"/>
  <c r="E398" i="5"/>
  <c r="A36" i="8"/>
  <c r="F22" i="5"/>
  <c r="E22" i="5"/>
  <c r="E374" i="5"/>
  <c r="E383" i="5"/>
  <c r="AD36" i="8"/>
  <c r="H22" i="5"/>
  <c r="H374" i="5"/>
  <c r="H383" i="5"/>
  <c r="AE36" i="8"/>
  <c r="K22" i="5"/>
  <c r="K374" i="5"/>
  <c r="K383" i="5"/>
  <c r="AF36" i="8"/>
  <c r="N22" i="5"/>
  <c r="N374" i="5"/>
  <c r="N383" i="5"/>
  <c r="L383" i="5"/>
  <c r="AG36" i="8"/>
  <c r="Q22" i="5"/>
  <c r="Q383" i="5"/>
  <c r="O383" i="5"/>
  <c r="AH36" i="8"/>
  <c r="T22" i="5"/>
  <c r="T383" i="5"/>
  <c r="AI36" i="8"/>
  <c r="W374" i="5"/>
  <c r="U383" i="5"/>
  <c r="AJ36" i="8"/>
  <c r="X383" i="5"/>
  <c r="AK36" i="8"/>
  <c r="AC22" i="5"/>
  <c r="AA383" i="5"/>
  <c r="AC383" i="5"/>
  <c r="AL36" i="8"/>
  <c r="AF22" i="5"/>
  <c r="AL398" i="5"/>
  <c r="E204" i="5"/>
  <c r="A37" i="8"/>
  <c r="F256" i="5"/>
  <c r="E256" i="5"/>
  <c r="F392" i="5"/>
  <c r="E392" i="5"/>
  <c r="AD37" i="8"/>
  <c r="H256" i="5"/>
  <c r="H37" i="5"/>
  <c r="H392" i="5"/>
  <c r="AE37" i="8"/>
  <c r="K256" i="5"/>
  <c r="K392" i="5"/>
  <c r="AF37" i="8"/>
  <c r="N256" i="5"/>
  <c r="N37" i="5"/>
  <c r="N392" i="5"/>
  <c r="L392" i="5"/>
  <c r="AG37" i="8"/>
  <c r="Q256" i="5"/>
  <c r="Q392" i="5"/>
  <c r="O392" i="5"/>
  <c r="AH37" i="8"/>
  <c r="T256" i="5"/>
  <c r="T392" i="5"/>
  <c r="AI37" i="8"/>
  <c r="U392" i="5"/>
  <c r="AJ37" i="8"/>
  <c r="X392" i="5"/>
  <c r="AK37" i="8"/>
  <c r="AC256" i="5"/>
  <c r="AC392" i="5"/>
  <c r="AA392" i="5"/>
  <c r="AL37" i="8"/>
  <c r="AF256" i="5"/>
  <c r="AF392" i="5"/>
  <c r="AD392" i="5"/>
  <c r="AM37" i="8"/>
  <c r="AG392" i="5"/>
  <c r="X20" i="2"/>
  <c r="X384" i="4"/>
  <c r="AI392" i="5"/>
  <c r="AN37" i="8"/>
  <c r="AL204" i="5"/>
  <c r="E218" i="5"/>
  <c r="A38" i="8"/>
  <c r="F81" i="5"/>
  <c r="E81" i="5"/>
  <c r="E185" i="5"/>
  <c r="AD38" i="8"/>
  <c r="H81" i="5"/>
  <c r="H185" i="5"/>
  <c r="H398" i="5"/>
  <c r="AE38" i="8"/>
  <c r="K81" i="5"/>
  <c r="K185" i="5"/>
  <c r="AF38" i="8"/>
  <c r="N81" i="5"/>
  <c r="N185" i="5"/>
  <c r="L398" i="5"/>
  <c r="AG38" i="8"/>
  <c r="Q81" i="5"/>
  <c r="O398" i="5"/>
  <c r="AH38" i="8"/>
  <c r="T81" i="5"/>
  <c r="R398" i="5"/>
  <c r="AI38" i="8"/>
  <c r="W185" i="5"/>
  <c r="U398" i="5"/>
  <c r="AJ38" i="8"/>
  <c r="X398" i="5"/>
  <c r="AK38" i="8"/>
  <c r="AC81" i="5"/>
  <c r="AA398" i="5"/>
  <c r="AL38" i="8"/>
  <c r="AF81" i="5"/>
  <c r="AD398" i="5"/>
  <c r="AM38" i="8"/>
  <c r="AG398" i="5"/>
  <c r="AN38" i="8"/>
  <c r="AL218" i="5"/>
  <c r="AJ398" i="5"/>
  <c r="AO38" i="8"/>
  <c r="A39" i="8"/>
  <c r="E17" i="5"/>
  <c r="E41" i="5"/>
  <c r="E378" i="5"/>
  <c r="E2" i="5"/>
  <c r="AD39" i="8"/>
  <c r="H17" i="5"/>
  <c r="H41" i="5"/>
  <c r="H378" i="5"/>
  <c r="H2" i="5"/>
  <c r="AE39" i="8"/>
  <c r="K17" i="5"/>
  <c r="K378" i="5"/>
  <c r="K2" i="5"/>
  <c r="AF39" i="8"/>
  <c r="N17" i="5"/>
  <c r="N378" i="5"/>
  <c r="N2" i="5"/>
  <c r="AG39" i="8"/>
  <c r="Q378" i="5"/>
  <c r="AH39" i="8"/>
  <c r="T378" i="5"/>
  <c r="R2" i="5"/>
  <c r="AI39" i="8"/>
  <c r="W17" i="5"/>
  <c r="W41" i="5"/>
  <c r="U2" i="5"/>
  <c r="AJ39" i="8"/>
  <c r="X2" i="5"/>
  <c r="AK39" i="8"/>
  <c r="AA2" i="5"/>
  <c r="AC2" i="5"/>
  <c r="AL39" i="8"/>
  <c r="A40" i="8"/>
  <c r="E298" i="5"/>
  <c r="F3" i="5"/>
  <c r="E3" i="5"/>
  <c r="AD40" i="8"/>
  <c r="H298" i="5"/>
  <c r="H3" i="5"/>
  <c r="AE40" i="8"/>
  <c r="K300" i="5"/>
  <c r="K3" i="5"/>
  <c r="AF40" i="8"/>
  <c r="N300" i="5"/>
  <c r="N3" i="5"/>
  <c r="L3" i="5"/>
  <c r="AG40" i="8"/>
  <c r="Q300" i="5"/>
  <c r="Q3" i="5"/>
  <c r="O3" i="5"/>
  <c r="AH40" i="8"/>
  <c r="T3" i="5"/>
  <c r="AI40" i="8"/>
  <c r="W298" i="5"/>
  <c r="U3" i="5"/>
  <c r="AJ40" i="8"/>
  <c r="X3" i="5"/>
  <c r="AK40" i="8"/>
  <c r="AC300" i="5"/>
  <c r="AC3" i="5"/>
  <c r="AA3" i="5"/>
  <c r="AL40" i="8"/>
  <c r="AF300" i="5"/>
  <c r="AF3" i="5"/>
  <c r="AD3" i="5"/>
  <c r="AM40" i="8"/>
  <c r="AG3" i="5"/>
  <c r="X19" i="2"/>
  <c r="X398" i="4"/>
  <c r="AI3" i="5"/>
  <c r="AN40" i="8"/>
  <c r="E247" i="5"/>
  <c r="A41" i="8"/>
  <c r="E325" i="5"/>
  <c r="E227" i="5"/>
  <c r="E4" i="5"/>
  <c r="AD41" i="8"/>
  <c r="H325" i="5"/>
  <c r="H227" i="5"/>
  <c r="H4" i="5"/>
  <c r="AE41" i="8"/>
  <c r="K247" i="5"/>
  <c r="K227" i="5"/>
  <c r="K4" i="5"/>
  <c r="AF41" i="8"/>
  <c r="N227" i="5"/>
  <c r="N4" i="5"/>
  <c r="AG41" i="8"/>
  <c r="Q227" i="5"/>
  <c r="AH41" i="8"/>
  <c r="T227" i="5"/>
  <c r="R4" i="5"/>
  <c r="AI41" i="8"/>
  <c r="W247" i="5"/>
  <c r="W325" i="5"/>
  <c r="W4" i="5"/>
  <c r="U4" i="5"/>
  <c r="AJ41" i="8"/>
  <c r="X4" i="5"/>
  <c r="AK41" i="8"/>
  <c r="AA4" i="5"/>
  <c r="AC4" i="5"/>
  <c r="AL41" i="8"/>
  <c r="E173" i="5"/>
  <c r="A42" i="8"/>
  <c r="E21" i="5"/>
  <c r="E354" i="5"/>
  <c r="E232" i="5"/>
  <c r="AD42" i="8"/>
  <c r="H21" i="5"/>
  <c r="H354" i="5"/>
  <c r="H232" i="5"/>
  <c r="AE42" i="8"/>
  <c r="K173" i="5"/>
  <c r="K21" i="5"/>
  <c r="K354" i="5"/>
  <c r="K232" i="5"/>
  <c r="AF42" i="8"/>
  <c r="N21" i="5"/>
  <c r="N354" i="5"/>
  <c r="AG42" i="8"/>
  <c r="AH42" i="8"/>
  <c r="R6" i="5"/>
  <c r="AI42" i="8"/>
  <c r="W173" i="5"/>
  <c r="W21" i="5"/>
  <c r="W354" i="5"/>
  <c r="U6" i="5"/>
  <c r="AJ42" i="8"/>
  <c r="X6" i="5"/>
  <c r="AK42" i="8"/>
  <c r="AA6" i="5"/>
  <c r="AC6" i="5"/>
  <c r="AL42" i="8"/>
  <c r="A43" i="8"/>
  <c r="E23" i="5"/>
  <c r="E377" i="5"/>
  <c r="E267" i="5"/>
  <c r="E7" i="5"/>
  <c r="AD43" i="8"/>
  <c r="H23" i="5"/>
  <c r="H377" i="5"/>
  <c r="H267" i="5"/>
  <c r="H7" i="5"/>
  <c r="AE43" i="8"/>
  <c r="K42" i="5"/>
  <c r="K23" i="5"/>
  <c r="K7" i="5"/>
  <c r="AF43" i="8"/>
  <c r="N42" i="5"/>
  <c r="N23" i="5"/>
  <c r="N7" i="5"/>
  <c r="AG43" i="8"/>
  <c r="Q42" i="5"/>
  <c r="AH43" i="8"/>
  <c r="R7" i="5"/>
  <c r="AI43" i="8"/>
  <c r="W23" i="5"/>
  <c r="W377" i="5"/>
  <c r="W7" i="5"/>
  <c r="U7" i="5"/>
  <c r="AJ43" i="8"/>
  <c r="X7" i="5"/>
  <c r="AK43" i="8"/>
  <c r="AC42" i="5"/>
  <c r="AA7" i="5"/>
  <c r="AC7" i="5"/>
  <c r="AL43" i="8"/>
  <c r="AF42" i="5"/>
  <c r="E153" i="5"/>
  <c r="A44" i="8"/>
  <c r="E222" i="5"/>
  <c r="AD44" i="8"/>
  <c r="H222" i="5"/>
  <c r="AE44" i="8"/>
  <c r="K222" i="5"/>
  <c r="AF44" i="8"/>
  <c r="N222" i="5"/>
  <c r="AG44" i="8"/>
  <c r="AH44" i="8"/>
  <c r="R8" i="5"/>
  <c r="AI44" i="8"/>
  <c r="W153" i="5"/>
  <c r="U8" i="5"/>
  <c r="AJ44" i="8"/>
  <c r="X8" i="5"/>
  <c r="AK44" i="8"/>
  <c r="AC153" i="5"/>
  <c r="AA8" i="5"/>
  <c r="AC8" i="5"/>
  <c r="AL44" i="8"/>
  <c r="AF153" i="5"/>
  <c r="AI153" i="5"/>
  <c r="AL153" i="5"/>
  <c r="A45" i="8"/>
  <c r="E176" i="5"/>
  <c r="AD45" i="8"/>
  <c r="H176" i="5"/>
  <c r="AE45" i="8"/>
  <c r="K71" i="5"/>
  <c r="K176" i="5"/>
  <c r="AF45" i="8"/>
  <c r="N71" i="5"/>
  <c r="N176" i="5"/>
  <c r="AG45" i="8"/>
  <c r="Q71" i="5"/>
  <c r="AH45" i="8"/>
  <c r="R9" i="5"/>
  <c r="AI45" i="8"/>
  <c r="W176" i="5"/>
  <c r="U9" i="5"/>
  <c r="AJ45" i="8"/>
  <c r="X9" i="5"/>
  <c r="AK45" i="8"/>
  <c r="AC71" i="5"/>
  <c r="AA9" i="5"/>
  <c r="AC9" i="5"/>
  <c r="AL45" i="8"/>
  <c r="AF71" i="5"/>
  <c r="A46" i="8"/>
  <c r="E59" i="5"/>
  <c r="E404" i="5"/>
  <c r="AD46" i="8"/>
  <c r="H59" i="5"/>
  <c r="H404" i="5"/>
  <c r="AE46" i="8"/>
  <c r="K79" i="5"/>
  <c r="K59" i="5"/>
  <c r="K404" i="5"/>
  <c r="AF46" i="8"/>
  <c r="N79" i="5"/>
  <c r="N59" i="5"/>
  <c r="N404" i="5"/>
  <c r="AG46" i="8"/>
  <c r="Q79" i="5"/>
  <c r="Q404" i="5"/>
  <c r="AH46" i="8"/>
  <c r="R10" i="5"/>
  <c r="AI46" i="8"/>
  <c r="W59" i="5"/>
  <c r="U10" i="5"/>
  <c r="AJ46" i="8"/>
  <c r="X10" i="5"/>
  <c r="AK46" i="8"/>
  <c r="AC79" i="5"/>
  <c r="AA10" i="5"/>
  <c r="AC10" i="5"/>
  <c r="AL46" i="8"/>
  <c r="AF79" i="5"/>
  <c r="A47" i="8"/>
  <c r="E48" i="5"/>
  <c r="E380" i="5"/>
  <c r="E11" i="5"/>
  <c r="AD47" i="8"/>
  <c r="H48" i="5"/>
  <c r="H380" i="5"/>
  <c r="H11" i="5"/>
  <c r="AE47" i="8"/>
  <c r="K48" i="5"/>
  <c r="K380" i="5"/>
  <c r="K11" i="5"/>
  <c r="AF47" i="8"/>
  <c r="N48" i="5"/>
  <c r="N380" i="5"/>
  <c r="N11" i="5"/>
  <c r="AG47" i="8"/>
  <c r="Q380" i="5"/>
  <c r="AH47" i="8"/>
  <c r="T380" i="5"/>
  <c r="R11" i="5"/>
  <c r="AI47" i="8"/>
  <c r="W48" i="5"/>
  <c r="W11" i="5"/>
  <c r="U11" i="5"/>
  <c r="AJ47" i="8"/>
  <c r="X11" i="5"/>
  <c r="AK47" i="8"/>
  <c r="AA11" i="5"/>
  <c r="AC11" i="5"/>
  <c r="AL47" i="8"/>
  <c r="E172" i="5"/>
  <c r="A48" i="8"/>
  <c r="E13" i="5"/>
  <c r="AD48" i="8"/>
  <c r="H13" i="5"/>
  <c r="AE48" i="8"/>
  <c r="K172" i="5"/>
  <c r="K13" i="5"/>
  <c r="AF48" i="8"/>
  <c r="N13" i="5"/>
  <c r="AG48" i="8"/>
  <c r="AH48" i="8"/>
  <c r="R13" i="5"/>
  <c r="AI48" i="8"/>
  <c r="W172" i="5"/>
  <c r="W13" i="5"/>
  <c r="U13" i="5"/>
  <c r="AJ48" i="8"/>
  <c r="X13" i="5"/>
  <c r="AK48" i="8"/>
  <c r="AA13" i="5"/>
  <c r="AC13" i="5"/>
  <c r="AL48" i="8"/>
  <c r="E384" i="5"/>
  <c r="A49" i="8"/>
  <c r="E36" i="5"/>
  <c r="E381" i="5"/>
  <c r="E14" i="5"/>
  <c r="AD49" i="8"/>
  <c r="H36" i="5"/>
  <c r="H381" i="5"/>
  <c r="H14" i="5"/>
  <c r="AE49" i="8"/>
  <c r="K384" i="5"/>
  <c r="K381" i="5"/>
  <c r="K14" i="5"/>
  <c r="AF49" i="8"/>
  <c r="N384" i="5"/>
  <c r="N36" i="5"/>
  <c r="N381" i="5"/>
  <c r="N14" i="5"/>
  <c r="AG49" i="8"/>
  <c r="Q384" i="5"/>
  <c r="Q381" i="5"/>
  <c r="AH49" i="8"/>
  <c r="T381" i="5"/>
  <c r="R14" i="5"/>
  <c r="AI49" i="8"/>
  <c r="W36" i="5"/>
  <c r="W14" i="5"/>
  <c r="U14" i="5"/>
  <c r="AJ49" i="8"/>
  <c r="X14" i="5"/>
  <c r="AK49" i="8"/>
  <c r="AA14" i="5"/>
  <c r="AC14" i="5"/>
  <c r="AL49" i="8"/>
  <c r="A50" i="8"/>
  <c r="E38" i="5"/>
  <c r="E243" i="5"/>
  <c r="AD50" i="8"/>
  <c r="H38" i="5"/>
  <c r="H243" i="5"/>
  <c r="AE50" i="8"/>
  <c r="K243" i="5"/>
  <c r="AF50" i="8"/>
  <c r="N38" i="5"/>
  <c r="N243" i="5"/>
  <c r="AG50" i="8"/>
  <c r="AH50" i="8"/>
  <c r="R15" i="5"/>
  <c r="AI50" i="8"/>
  <c r="W38" i="5"/>
  <c r="U15" i="5"/>
  <c r="AJ50" i="8"/>
  <c r="X15" i="5"/>
  <c r="AK50" i="8"/>
  <c r="AA15" i="5"/>
  <c r="AC15" i="5"/>
  <c r="AL50" i="8"/>
  <c r="A51" i="8"/>
  <c r="E35" i="5"/>
  <c r="E277" i="5"/>
  <c r="E169" i="5"/>
  <c r="AD51" i="8"/>
  <c r="H35" i="5"/>
  <c r="H277" i="5"/>
  <c r="H169" i="5"/>
  <c r="AE51" i="8"/>
  <c r="K277" i="5"/>
  <c r="AF51" i="8"/>
  <c r="N35" i="5"/>
  <c r="N277" i="5"/>
  <c r="AG51" i="8"/>
  <c r="AH51" i="8"/>
  <c r="R16" i="5"/>
  <c r="AI51" i="8"/>
  <c r="W35" i="5"/>
  <c r="W277" i="5"/>
  <c r="U16" i="5"/>
  <c r="AJ51" i="8"/>
  <c r="X16" i="5"/>
  <c r="AK51" i="8"/>
  <c r="AA16" i="5"/>
  <c r="AC16" i="5"/>
  <c r="AL51" i="8"/>
  <c r="A52" i="8"/>
  <c r="E50" i="5"/>
  <c r="E229" i="5"/>
  <c r="AD52" i="8"/>
  <c r="H50" i="5"/>
  <c r="H229" i="5"/>
  <c r="AE52" i="8"/>
  <c r="K50" i="5"/>
  <c r="AF52" i="8"/>
  <c r="N50" i="5"/>
  <c r="N229" i="5"/>
  <c r="AG52" i="8"/>
  <c r="AH52" i="8"/>
  <c r="R17" i="5"/>
  <c r="AI52" i="8"/>
  <c r="W50" i="5"/>
  <c r="U17" i="5"/>
  <c r="AJ52" i="8"/>
  <c r="X17" i="5"/>
  <c r="AK52" i="8"/>
  <c r="AA17" i="5"/>
  <c r="AC17" i="5"/>
  <c r="AL52" i="8"/>
  <c r="A53" i="8"/>
  <c r="E109" i="5"/>
  <c r="E350" i="5"/>
  <c r="E230" i="5"/>
  <c r="E18" i="5"/>
  <c r="AD53" i="8"/>
  <c r="H109" i="5"/>
  <c r="H350" i="5"/>
  <c r="H230" i="5"/>
  <c r="H18" i="5"/>
  <c r="AE53" i="8"/>
  <c r="K350" i="5"/>
  <c r="K230" i="5"/>
  <c r="K18" i="5"/>
  <c r="AF53" i="8"/>
  <c r="N350" i="5"/>
  <c r="N230" i="5"/>
  <c r="N18" i="5"/>
  <c r="AG53" i="8"/>
  <c r="AH53" i="8"/>
  <c r="R18" i="5"/>
  <c r="AI53" i="8"/>
  <c r="W109" i="5"/>
  <c r="W350" i="5"/>
  <c r="W18" i="5"/>
  <c r="U18" i="5"/>
  <c r="AJ53" i="8"/>
  <c r="X18" i="5"/>
  <c r="AK53" i="8"/>
  <c r="AA18" i="5"/>
  <c r="AC18" i="5"/>
  <c r="AL53" i="8"/>
  <c r="A54" i="8"/>
  <c r="E351" i="5"/>
  <c r="AD54" i="8"/>
  <c r="H351" i="5"/>
  <c r="AE54" i="8"/>
  <c r="K282" i="5"/>
  <c r="K351" i="5"/>
  <c r="AF54" i="8"/>
  <c r="N282" i="5"/>
  <c r="N351" i="5"/>
  <c r="AG54" i="8"/>
  <c r="Q282" i="5"/>
  <c r="AH54" i="8"/>
  <c r="R19" i="5"/>
  <c r="AI54" i="8"/>
  <c r="W351" i="5"/>
  <c r="U19" i="5"/>
  <c r="AJ54" i="8"/>
  <c r="X19" i="5"/>
  <c r="AK54" i="8"/>
  <c r="AC282" i="5"/>
  <c r="AA19" i="5"/>
  <c r="AC19" i="5"/>
  <c r="AL54" i="8"/>
  <c r="AF282" i="5"/>
  <c r="A55" i="8"/>
  <c r="E91" i="5"/>
  <c r="E376" i="5"/>
  <c r="E326" i="5"/>
  <c r="E20" i="5"/>
  <c r="AD55" i="8"/>
  <c r="H91" i="5"/>
  <c r="H376" i="5"/>
  <c r="H326" i="5"/>
  <c r="H20" i="5"/>
  <c r="AE55" i="8"/>
  <c r="K326" i="5"/>
  <c r="K20" i="5"/>
  <c r="AF55" i="8"/>
  <c r="N20" i="5"/>
  <c r="AG55" i="8"/>
  <c r="AH55" i="8"/>
  <c r="R20" i="5"/>
  <c r="AI55" i="8"/>
  <c r="W91" i="5"/>
  <c r="W376" i="5"/>
  <c r="W20" i="5"/>
  <c r="U20" i="5"/>
  <c r="AJ55" i="8"/>
  <c r="X20" i="5"/>
  <c r="AK55" i="8"/>
  <c r="AA20" i="5"/>
  <c r="AC20" i="5"/>
  <c r="AL55" i="8"/>
  <c r="A56" i="8"/>
  <c r="E297" i="5"/>
  <c r="AD56" i="8"/>
  <c r="H115" i="5"/>
  <c r="H297" i="5"/>
  <c r="AE56" i="8"/>
  <c r="AF56" i="8"/>
  <c r="AG56" i="8"/>
  <c r="AH56" i="8"/>
  <c r="R21" i="5"/>
  <c r="AI56" i="8"/>
  <c r="W297" i="5"/>
  <c r="U21" i="5"/>
  <c r="AJ56" i="8"/>
  <c r="X21" i="5"/>
  <c r="AK56" i="8"/>
  <c r="AA21" i="5"/>
  <c r="AC21" i="5"/>
  <c r="AL56" i="8"/>
  <c r="A57" i="8"/>
  <c r="E352" i="5"/>
  <c r="E382" i="5"/>
  <c r="AD57" i="8"/>
  <c r="H40" i="5"/>
  <c r="H352" i="5"/>
  <c r="H382" i="5"/>
  <c r="AE57" i="8"/>
  <c r="K352" i="5"/>
  <c r="K382" i="5"/>
  <c r="AF57" i="8"/>
  <c r="N40" i="5"/>
  <c r="N352" i="5"/>
  <c r="N382" i="5"/>
  <c r="L22" i="5"/>
  <c r="AG57" i="8"/>
  <c r="Q382" i="5"/>
  <c r="O22" i="5"/>
  <c r="AH57" i="8"/>
  <c r="T382" i="5"/>
  <c r="AI57" i="8"/>
  <c r="W352" i="5"/>
  <c r="U22" i="5"/>
  <c r="AJ57" i="8"/>
  <c r="X22" i="5"/>
  <c r="AK57" i="8"/>
  <c r="AA22" i="5"/>
  <c r="AL57" i="8"/>
  <c r="AD22" i="5"/>
  <c r="AM57" i="8"/>
  <c r="AG22" i="5"/>
  <c r="X22" i="2"/>
  <c r="X385" i="4"/>
  <c r="AI22" i="5"/>
  <c r="AN57" i="8"/>
  <c r="A58" i="8"/>
  <c r="E104" i="5"/>
  <c r="AD58" i="8"/>
  <c r="H43" i="5"/>
  <c r="H104" i="5"/>
  <c r="AE58" i="8"/>
  <c r="K104" i="5"/>
  <c r="AF58" i="8"/>
  <c r="N43" i="5"/>
  <c r="N104" i="5"/>
  <c r="AG58" i="8"/>
  <c r="AH58" i="8"/>
  <c r="R23" i="5"/>
  <c r="AI58" i="8"/>
  <c r="W104" i="5"/>
  <c r="U23" i="5"/>
  <c r="AJ58" i="8"/>
  <c r="X23" i="5"/>
  <c r="AK58" i="8"/>
  <c r="AA23" i="5"/>
  <c r="AC23" i="5"/>
  <c r="AL58" i="8"/>
  <c r="E314" i="5"/>
  <c r="A59" i="8"/>
  <c r="AD59" i="8"/>
  <c r="AE59" i="8"/>
  <c r="K314" i="5"/>
  <c r="AF59" i="8"/>
  <c r="AG59" i="8"/>
  <c r="AH59" i="8"/>
  <c r="R24" i="5"/>
  <c r="AI59" i="8"/>
  <c r="W314" i="5"/>
  <c r="U24" i="5"/>
  <c r="AJ59" i="8"/>
  <c r="X24" i="5"/>
  <c r="AK59" i="8"/>
  <c r="AA24" i="5"/>
  <c r="AC24" i="5"/>
  <c r="AL59" i="8"/>
  <c r="E152" i="5"/>
  <c r="A60" i="8"/>
  <c r="E328" i="5"/>
  <c r="AD60" i="8"/>
  <c r="H328" i="5"/>
  <c r="AE60" i="8"/>
  <c r="AF60" i="8"/>
  <c r="AG60" i="8"/>
  <c r="AH60" i="8"/>
  <c r="R25" i="5"/>
  <c r="AI60" i="8"/>
  <c r="W152" i="5"/>
  <c r="U25" i="5"/>
  <c r="AJ60" i="8"/>
  <c r="X25" i="5"/>
  <c r="AK60" i="8"/>
  <c r="AC152" i="5"/>
  <c r="AA25" i="5"/>
  <c r="AC25" i="5"/>
  <c r="AL60" i="8"/>
  <c r="AF152" i="5"/>
  <c r="AI152" i="5"/>
  <c r="AL152" i="5"/>
  <c r="A61" i="8"/>
  <c r="E329" i="5"/>
  <c r="E27" i="5"/>
  <c r="AD61" i="8"/>
  <c r="H329" i="5"/>
  <c r="H27" i="5"/>
  <c r="AE61" i="8"/>
  <c r="K27" i="5"/>
  <c r="AF61" i="8"/>
  <c r="N184" i="5"/>
  <c r="N27" i="5"/>
  <c r="AG61" i="8"/>
  <c r="AH61" i="8"/>
  <c r="R27" i="5"/>
  <c r="AI61" i="8"/>
  <c r="W27" i="5"/>
  <c r="U27" i="5"/>
  <c r="AJ61" i="8"/>
  <c r="X27" i="5"/>
  <c r="AK61" i="8"/>
  <c r="AA27" i="5"/>
  <c r="AC27" i="5"/>
  <c r="AL61" i="8"/>
  <c r="A62" i="8"/>
  <c r="E175" i="5"/>
  <c r="E68" i="5"/>
  <c r="E28" i="5"/>
  <c r="AD62" i="8"/>
  <c r="H175" i="5"/>
  <c r="H68" i="5"/>
  <c r="H28" i="5"/>
  <c r="AE62" i="8"/>
  <c r="AF62" i="8"/>
  <c r="L28" i="5"/>
  <c r="AG62" i="8"/>
  <c r="O28" i="5"/>
  <c r="AH62" i="8"/>
  <c r="R28" i="5"/>
  <c r="AI62" i="8"/>
  <c r="W175" i="5"/>
  <c r="W28" i="5"/>
  <c r="U28" i="5"/>
  <c r="AJ62" i="8"/>
  <c r="X28" i="5"/>
  <c r="AK62" i="8"/>
  <c r="AA28" i="5"/>
  <c r="AC28" i="5"/>
  <c r="AL62" i="8"/>
  <c r="E148" i="5"/>
  <c r="A63" i="8"/>
  <c r="E57" i="5"/>
  <c r="E69" i="5"/>
  <c r="E30" i="5"/>
  <c r="AD63" i="8"/>
  <c r="H57" i="5"/>
  <c r="H69" i="5"/>
  <c r="H30" i="5"/>
  <c r="AE63" i="8"/>
  <c r="K57" i="5"/>
  <c r="I30" i="5"/>
  <c r="AF63" i="8"/>
  <c r="N57" i="5"/>
  <c r="L30" i="5"/>
  <c r="AG63" i="8"/>
  <c r="O30" i="5"/>
  <c r="AH63" i="8"/>
  <c r="R30" i="5"/>
  <c r="AI63" i="8"/>
  <c r="W148" i="5"/>
  <c r="W57" i="5"/>
  <c r="W30" i="5"/>
  <c r="U30" i="5"/>
  <c r="AJ63" i="8"/>
  <c r="X30" i="5"/>
  <c r="AK63" i="8"/>
  <c r="AC148" i="5"/>
  <c r="AA30" i="5"/>
  <c r="AC30" i="5"/>
  <c r="AL63" i="8"/>
  <c r="AF148" i="5"/>
  <c r="AI148" i="5"/>
  <c r="AL148" i="5"/>
  <c r="A64" i="8"/>
  <c r="E52" i="5"/>
  <c r="E31" i="5"/>
  <c r="AD64" i="8"/>
  <c r="H52" i="5"/>
  <c r="H31" i="5"/>
  <c r="AE64" i="8"/>
  <c r="K76" i="5"/>
  <c r="K52" i="5"/>
  <c r="K31" i="5"/>
  <c r="AF64" i="8"/>
  <c r="N76" i="5"/>
  <c r="N52" i="5"/>
  <c r="N31" i="5"/>
  <c r="AG64" i="8"/>
  <c r="Q76" i="5"/>
  <c r="AH64" i="8"/>
  <c r="R31" i="5"/>
  <c r="AI64" i="8"/>
  <c r="W52" i="5"/>
  <c r="W31" i="5"/>
  <c r="U31" i="5"/>
  <c r="AJ64" i="8"/>
  <c r="X31" i="5"/>
  <c r="AK64" i="8"/>
  <c r="AC76" i="5"/>
  <c r="AA31" i="5"/>
  <c r="AC31" i="5"/>
  <c r="AL64" i="8"/>
  <c r="AF76" i="5"/>
  <c r="A65" i="8"/>
  <c r="E32" i="5"/>
  <c r="AD65" i="8"/>
  <c r="H32" i="5"/>
  <c r="AE65" i="8"/>
  <c r="K84" i="5"/>
  <c r="K32" i="5"/>
  <c r="AF65" i="8"/>
  <c r="N84" i="5"/>
  <c r="N32" i="5"/>
  <c r="AG65" i="8"/>
  <c r="Q84" i="5"/>
  <c r="AH65" i="8"/>
  <c r="R32" i="5"/>
  <c r="AI65" i="8"/>
  <c r="W32" i="5"/>
  <c r="U32" i="5"/>
  <c r="AJ65" i="8"/>
  <c r="X32" i="5"/>
  <c r="AK65" i="8"/>
  <c r="AC84" i="5"/>
  <c r="AA32" i="5"/>
  <c r="AC32" i="5"/>
  <c r="AL65" i="8"/>
  <c r="AF84" i="5"/>
  <c r="A66" i="8"/>
  <c r="E255" i="5"/>
  <c r="E33" i="5"/>
  <c r="AD66" i="8"/>
  <c r="H255" i="5"/>
  <c r="H384" i="5"/>
  <c r="H33" i="5"/>
  <c r="AE66" i="8"/>
  <c r="K255" i="5"/>
  <c r="K33" i="5"/>
  <c r="AF66" i="8"/>
  <c r="N255" i="5"/>
  <c r="N33" i="5"/>
  <c r="AG66" i="8"/>
  <c r="AH66" i="8"/>
  <c r="T384" i="5"/>
  <c r="R33" i="5"/>
  <c r="AI66" i="8"/>
  <c r="W255" i="5"/>
  <c r="W33" i="5"/>
  <c r="U33" i="5"/>
  <c r="AJ66" i="8"/>
  <c r="X33" i="5"/>
  <c r="AK66" i="8"/>
  <c r="AA33" i="5"/>
  <c r="AC33" i="5"/>
  <c r="AL66" i="8"/>
  <c r="A67" i="8"/>
  <c r="E266" i="5"/>
  <c r="E34" i="5"/>
  <c r="AD67" i="8"/>
  <c r="H266" i="5"/>
  <c r="H34" i="5"/>
  <c r="AE67" i="8"/>
  <c r="K266" i="5"/>
  <c r="K34" i="5"/>
  <c r="AF67" i="8"/>
  <c r="N266" i="5"/>
  <c r="N34" i="5"/>
  <c r="AG67" i="8"/>
  <c r="AH67" i="8"/>
  <c r="R34" i="5"/>
  <c r="AI67" i="8"/>
  <c r="W266" i="5"/>
  <c r="W34" i="5"/>
  <c r="U34" i="5"/>
  <c r="AJ67" i="8"/>
  <c r="X34" i="5"/>
  <c r="AK67" i="8"/>
  <c r="AA34" i="5"/>
  <c r="AC34" i="5"/>
  <c r="AL67" i="8"/>
  <c r="A68" i="8"/>
  <c r="E54" i="5"/>
  <c r="E385" i="5"/>
  <c r="AD68" i="8"/>
  <c r="H54" i="5"/>
  <c r="H385" i="5"/>
  <c r="AE68" i="8"/>
  <c r="K54" i="5"/>
  <c r="K385" i="5"/>
  <c r="AF68" i="8"/>
  <c r="N54" i="5"/>
  <c r="N385" i="5"/>
  <c r="AG68" i="8"/>
  <c r="AH68" i="8"/>
  <c r="R35" i="5"/>
  <c r="AI68" i="8"/>
  <c r="W54" i="5"/>
  <c r="W385" i="5"/>
  <c r="U35" i="5"/>
  <c r="AJ68" i="8"/>
  <c r="X35" i="5"/>
  <c r="AK68" i="8"/>
  <c r="AA35" i="5"/>
  <c r="AC35" i="5"/>
  <c r="AL68" i="8"/>
  <c r="A69" i="8"/>
  <c r="AD69" i="8"/>
  <c r="AE69" i="8"/>
  <c r="AF69" i="8"/>
  <c r="AG69" i="8"/>
  <c r="AH69" i="8"/>
  <c r="R36" i="5"/>
  <c r="AI69" i="8"/>
  <c r="U36" i="5"/>
  <c r="AJ69" i="8"/>
  <c r="X36" i="5"/>
  <c r="AK69" i="8"/>
  <c r="AA36" i="5"/>
  <c r="AC36" i="5"/>
  <c r="AL69" i="8"/>
  <c r="A70" i="8"/>
  <c r="E103" i="5"/>
  <c r="AD70" i="8"/>
  <c r="H67" i="5"/>
  <c r="H103" i="5"/>
  <c r="H386" i="5"/>
  <c r="AE70" i="8"/>
  <c r="K103" i="5"/>
  <c r="AF70" i="8"/>
  <c r="N67" i="5"/>
  <c r="N103" i="5"/>
  <c r="N386" i="5"/>
  <c r="AG70" i="8"/>
  <c r="AH70" i="8"/>
  <c r="R37" i="5"/>
  <c r="AI70" i="8"/>
  <c r="W103" i="5"/>
  <c r="U37" i="5"/>
  <c r="AJ70" i="8"/>
  <c r="X37" i="5"/>
  <c r="AK70" i="8"/>
  <c r="AA37" i="5"/>
  <c r="AC37" i="5"/>
  <c r="AL70" i="8"/>
  <c r="E396" i="5"/>
  <c r="A71" i="8"/>
  <c r="E56" i="5"/>
  <c r="E365" i="5"/>
  <c r="E387" i="5"/>
  <c r="AD71" i="8"/>
  <c r="H56" i="5"/>
  <c r="H365" i="5"/>
  <c r="H387" i="5"/>
  <c r="AE71" i="8"/>
  <c r="K56" i="5"/>
  <c r="K387" i="5"/>
  <c r="AF71" i="8"/>
  <c r="N56" i="5"/>
  <c r="N387" i="5"/>
  <c r="AG71" i="8"/>
  <c r="AH71" i="8"/>
  <c r="R38" i="5"/>
  <c r="AI71" i="8"/>
  <c r="W396" i="5"/>
  <c r="W56" i="5"/>
  <c r="W365" i="5"/>
  <c r="U38" i="5"/>
  <c r="AJ71" i="8"/>
  <c r="X38" i="5"/>
  <c r="AK71" i="8"/>
  <c r="AC396" i="5"/>
  <c r="AA38" i="5"/>
  <c r="AC38" i="5"/>
  <c r="AL71" i="8"/>
  <c r="AF396" i="5"/>
  <c r="AI396" i="5"/>
  <c r="AL396" i="5"/>
  <c r="E395" i="5"/>
  <c r="A72" i="8"/>
  <c r="E101" i="5"/>
  <c r="E348" i="5"/>
  <c r="E388" i="5"/>
  <c r="E39" i="5"/>
  <c r="AD72" i="8"/>
  <c r="H101" i="5"/>
  <c r="H348" i="5"/>
  <c r="H388" i="5"/>
  <c r="H39" i="5"/>
  <c r="AE72" i="8"/>
  <c r="K348" i="5"/>
  <c r="K388" i="5"/>
  <c r="K39" i="5"/>
  <c r="AF72" i="8"/>
  <c r="N101" i="5"/>
  <c r="N348" i="5"/>
  <c r="N388" i="5"/>
  <c r="N39" i="5"/>
  <c r="AG72" i="8"/>
  <c r="AH72" i="8"/>
  <c r="R39" i="5"/>
  <c r="AI72" i="8"/>
  <c r="W395" i="5"/>
  <c r="W348" i="5"/>
  <c r="W39" i="5"/>
  <c r="U39" i="5"/>
  <c r="AJ72" i="8"/>
  <c r="X39" i="5"/>
  <c r="AK72" i="8"/>
  <c r="AC395" i="5"/>
  <c r="AA39" i="5"/>
  <c r="AC39" i="5"/>
  <c r="AL72" i="8"/>
  <c r="AF395" i="5"/>
  <c r="AI395" i="5"/>
  <c r="AL395" i="5"/>
  <c r="E393" i="5"/>
  <c r="A73" i="8"/>
  <c r="E92" i="5"/>
  <c r="E389" i="5"/>
  <c r="AD73" i="8"/>
  <c r="H92" i="5"/>
  <c r="H389" i="5"/>
  <c r="AE73" i="8"/>
  <c r="K92" i="5"/>
  <c r="K389" i="5"/>
  <c r="AF73" i="8"/>
  <c r="N92" i="5"/>
  <c r="N389" i="5"/>
  <c r="AG73" i="8"/>
  <c r="AH73" i="8"/>
  <c r="R40" i="5"/>
  <c r="AI73" i="8"/>
  <c r="W393" i="5"/>
  <c r="W92" i="5"/>
  <c r="U40" i="5"/>
  <c r="AJ73" i="8"/>
  <c r="X40" i="5"/>
  <c r="AK73" i="8"/>
  <c r="AC393" i="5"/>
  <c r="AA40" i="5"/>
  <c r="AC40" i="5"/>
  <c r="AL73" i="8"/>
  <c r="AF393" i="5"/>
  <c r="AI393" i="5"/>
  <c r="AL393" i="5"/>
  <c r="E208" i="5"/>
  <c r="A74" i="8"/>
  <c r="E100" i="5"/>
  <c r="E346" i="5"/>
  <c r="E390" i="5"/>
  <c r="AD74" i="8"/>
  <c r="H100" i="5"/>
  <c r="H346" i="5"/>
  <c r="H390" i="5"/>
  <c r="AE74" i="8"/>
  <c r="K100" i="5"/>
  <c r="K346" i="5"/>
  <c r="K390" i="5"/>
  <c r="AF74" i="8"/>
  <c r="N100" i="5"/>
  <c r="N346" i="5"/>
  <c r="N390" i="5"/>
  <c r="L41" i="5"/>
  <c r="AG74" i="8"/>
  <c r="O41" i="5"/>
  <c r="AH74" i="8"/>
  <c r="R41" i="5"/>
  <c r="AI74" i="8"/>
  <c r="W208" i="5"/>
  <c r="W100" i="5"/>
  <c r="W346" i="5"/>
  <c r="U41" i="5"/>
  <c r="AJ74" i="8"/>
  <c r="X41" i="5"/>
  <c r="AK74" i="8"/>
  <c r="AC208" i="5"/>
  <c r="AA41" i="5"/>
  <c r="AC41" i="5"/>
  <c r="AL74" i="8"/>
  <c r="AF208" i="5"/>
  <c r="AI208" i="5"/>
  <c r="AL208" i="5"/>
  <c r="A75" i="8"/>
  <c r="E95" i="5"/>
  <c r="E391" i="5"/>
  <c r="F42" i="5"/>
  <c r="E42" i="5"/>
  <c r="AD75" i="8"/>
  <c r="H95" i="5"/>
  <c r="H391" i="5"/>
  <c r="H42" i="5"/>
  <c r="AE75" i="8"/>
  <c r="K405" i="5"/>
  <c r="K95" i="5"/>
  <c r="K391" i="5"/>
  <c r="AF75" i="8"/>
  <c r="N405" i="5"/>
  <c r="N95" i="5"/>
  <c r="N391" i="5"/>
  <c r="L42" i="5"/>
  <c r="AG75" i="8"/>
  <c r="Q405" i="5"/>
  <c r="O42" i="5"/>
  <c r="AH75" i="8"/>
  <c r="T42" i="5"/>
  <c r="AI75" i="8"/>
  <c r="W95" i="5"/>
  <c r="W391" i="5"/>
  <c r="U42" i="5"/>
  <c r="AJ75" i="8"/>
  <c r="X42" i="5"/>
  <c r="AK75" i="8"/>
  <c r="AC405" i="5"/>
  <c r="AA42" i="5"/>
  <c r="AL75" i="8"/>
  <c r="AF405" i="5"/>
  <c r="AD42" i="5"/>
  <c r="AM75" i="8"/>
  <c r="AG42" i="5"/>
  <c r="X12" i="2"/>
  <c r="X401" i="4"/>
  <c r="AI42" i="5"/>
  <c r="AN75" i="8"/>
  <c r="A76" i="8"/>
  <c r="E88" i="5"/>
  <c r="E199" i="5"/>
  <c r="AD76" i="8"/>
  <c r="H88" i="5"/>
  <c r="H406" i="5"/>
  <c r="H199" i="5"/>
  <c r="AE76" i="8"/>
  <c r="K88" i="5"/>
  <c r="AF76" i="8"/>
  <c r="N88" i="5"/>
  <c r="AG76" i="8"/>
  <c r="AH76" i="8"/>
  <c r="R43" i="5"/>
  <c r="AI76" i="8"/>
  <c r="W88" i="5"/>
  <c r="U43" i="5"/>
  <c r="AJ76" i="8"/>
  <c r="X43" i="5"/>
  <c r="AK76" i="8"/>
  <c r="AC199" i="5"/>
  <c r="AA43" i="5"/>
  <c r="AC43" i="5"/>
  <c r="AL76" i="8"/>
  <c r="AF199" i="5"/>
  <c r="AI199" i="5"/>
  <c r="AL199" i="5"/>
  <c r="A77" i="8"/>
  <c r="E309" i="5"/>
  <c r="E200" i="5"/>
  <c r="F44" i="5"/>
  <c r="E44" i="5"/>
  <c r="AD77" i="8"/>
  <c r="H309" i="5"/>
  <c r="H200" i="5"/>
  <c r="H44" i="5"/>
  <c r="AE77" i="8"/>
  <c r="K309" i="5"/>
  <c r="K44" i="5"/>
  <c r="AF77" i="8"/>
  <c r="N309" i="5"/>
  <c r="N44" i="5"/>
  <c r="L44" i="5"/>
  <c r="AG77" i="8"/>
  <c r="Q44" i="5"/>
  <c r="O44" i="5"/>
  <c r="AH77" i="8"/>
  <c r="T44" i="5"/>
  <c r="AI77" i="8"/>
  <c r="W309" i="5"/>
  <c r="U44" i="5"/>
  <c r="AJ77" i="8"/>
  <c r="X44" i="5"/>
  <c r="AK77" i="8"/>
  <c r="AC200" i="5"/>
  <c r="AC44" i="5"/>
  <c r="AA44" i="5"/>
  <c r="AL77" i="8"/>
  <c r="AF200" i="5"/>
  <c r="AF44" i="5"/>
  <c r="AD44" i="5"/>
  <c r="AM77" i="8"/>
  <c r="AI200" i="5"/>
  <c r="AG44" i="5"/>
  <c r="X7" i="2"/>
  <c r="X391" i="4"/>
  <c r="AI44" i="5"/>
  <c r="AN77" i="8"/>
  <c r="A78" i="8"/>
  <c r="AD78" i="8"/>
  <c r="AE78" i="8"/>
  <c r="AF78" i="8"/>
  <c r="AG78" i="8"/>
  <c r="AH78" i="8"/>
  <c r="R45" i="5"/>
  <c r="AI78" i="8"/>
  <c r="U45" i="5"/>
  <c r="AJ78" i="8"/>
  <c r="X45" i="5"/>
  <c r="AK78" i="8"/>
  <c r="AA45" i="5"/>
  <c r="AC45" i="5"/>
  <c r="AL78" i="8"/>
  <c r="A79" i="8"/>
  <c r="E316" i="5"/>
  <c r="E265" i="5"/>
  <c r="E70" i="5"/>
  <c r="AD79" i="8"/>
  <c r="H316" i="5"/>
  <c r="H265" i="5"/>
  <c r="H70" i="5"/>
  <c r="AE79" i="8"/>
  <c r="K316" i="5"/>
  <c r="K265" i="5"/>
  <c r="AF79" i="8"/>
  <c r="N316" i="5"/>
  <c r="N265" i="5"/>
  <c r="AG79" i="8"/>
  <c r="AH79" i="8"/>
  <c r="R48" i="5"/>
  <c r="AI79" i="8"/>
  <c r="W316" i="5"/>
  <c r="W265" i="5"/>
  <c r="U48" i="5"/>
  <c r="AJ79" i="8"/>
  <c r="X48" i="5"/>
  <c r="AK79" i="8"/>
  <c r="AC70" i="5"/>
  <c r="AA48" i="5"/>
  <c r="AC48" i="5"/>
  <c r="AL79" i="8"/>
  <c r="AF70" i="5"/>
  <c r="AI70" i="5"/>
  <c r="AL70" i="5"/>
  <c r="A80" i="8"/>
  <c r="E116" i="5"/>
  <c r="E345" i="5"/>
  <c r="AD80" i="8"/>
  <c r="H116" i="5"/>
  <c r="H345" i="5"/>
  <c r="AE80" i="8"/>
  <c r="K116" i="5"/>
  <c r="K345" i="5"/>
  <c r="AF80" i="8"/>
  <c r="N116" i="5"/>
  <c r="N345" i="5"/>
  <c r="AG80" i="8"/>
  <c r="AH80" i="8"/>
  <c r="R49" i="5"/>
  <c r="AI80" i="8"/>
  <c r="W116" i="5"/>
  <c r="W345" i="5"/>
  <c r="U49" i="5"/>
  <c r="AJ80" i="8"/>
  <c r="X49" i="5"/>
  <c r="AK80" i="8"/>
  <c r="AA49" i="5"/>
  <c r="AC49" i="5"/>
  <c r="AL80" i="8"/>
  <c r="A81" i="8"/>
  <c r="E373" i="5"/>
  <c r="E160" i="5"/>
  <c r="AD81" i="8"/>
  <c r="H373" i="5"/>
  <c r="H160" i="5"/>
  <c r="AE81" i="8"/>
  <c r="K373" i="5"/>
  <c r="AF81" i="8"/>
  <c r="N373" i="5"/>
  <c r="AG81" i="8"/>
  <c r="AH81" i="8"/>
  <c r="R50" i="5"/>
  <c r="AI81" i="8"/>
  <c r="W373" i="5"/>
  <c r="U50" i="5"/>
  <c r="AJ81" i="8"/>
  <c r="X50" i="5"/>
  <c r="AK81" i="8"/>
  <c r="AC160" i="5"/>
  <c r="AA50" i="5"/>
  <c r="AC50" i="5"/>
  <c r="AL81" i="8"/>
  <c r="AF160" i="5"/>
  <c r="AI160" i="5"/>
  <c r="AL160" i="5"/>
  <c r="A82" i="8"/>
  <c r="E112" i="5"/>
  <c r="AD82" i="8"/>
  <c r="H112" i="5"/>
  <c r="AE82" i="8"/>
  <c r="K112" i="5"/>
  <c r="AF82" i="8"/>
  <c r="N112" i="5"/>
  <c r="AG82" i="8"/>
  <c r="AH82" i="8"/>
  <c r="R51" i="5"/>
  <c r="AI82" i="8"/>
  <c r="W112" i="5"/>
  <c r="U51" i="5"/>
  <c r="AJ82" i="8"/>
  <c r="X51" i="5"/>
  <c r="AK82" i="8"/>
  <c r="AA51" i="5"/>
  <c r="AC51" i="5"/>
  <c r="AL82" i="8"/>
  <c r="A83" i="8"/>
  <c r="E117" i="5"/>
  <c r="AD83" i="8"/>
  <c r="H117" i="5"/>
  <c r="AE83" i="8"/>
  <c r="K117" i="5"/>
  <c r="AF83" i="8"/>
  <c r="N117" i="5"/>
  <c r="AG83" i="8"/>
  <c r="AH83" i="8"/>
  <c r="R52" i="5"/>
  <c r="AI83" i="8"/>
  <c r="W117" i="5"/>
  <c r="U52" i="5"/>
  <c r="AJ83" i="8"/>
  <c r="X52" i="5"/>
  <c r="AK83" i="8"/>
  <c r="AA52" i="5"/>
  <c r="AC52" i="5"/>
  <c r="AL83" i="8"/>
  <c r="A84" i="8"/>
  <c r="F331" i="5"/>
  <c r="E331" i="5"/>
  <c r="E53" i="5"/>
  <c r="AD84" i="8"/>
  <c r="H331" i="5"/>
  <c r="H53" i="5"/>
  <c r="AE84" i="8"/>
  <c r="K331" i="5"/>
  <c r="K53" i="5"/>
  <c r="AF84" i="8"/>
  <c r="N331" i="5"/>
  <c r="N53" i="5"/>
  <c r="AG84" i="8"/>
  <c r="Q331" i="5"/>
  <c r="AH84" i="8"/>
  <c r="T331" i="5"/>
  <c r="R53" i="5"/>
  <c r="AI84" i="8"/>
  <c r="W53" i="5"/>
  <c r="U53" i="5"/>
  <c r="AJ84" i="8"/>
  <c r="X53" i="5"/>
  <c r="AK84" i="8"/>
  <c r="AC331" i="5"/>
  <c r="AA53" i="5"/>
  <c r="AC53" i="5"/>
  <c r="AL84" i="8"/>
  <c r="AF331" i="5"/>
  <c r="A85" i="8"/>
  <c r="F300" i="5"/>
  <c r="E300" i="5"/>
  <c r="AD85" i="8"/>
  <c r="H300" i="5"/>
  <c r="AE85" i="8"/>
  <c r="AF85" i="8"/>
  <c r="AG85" i="8"/>
  <c r="AH85" i="8"/>
  <c r="T300" i="5"/>
  <c r="R54" i="5"/>
  <c r="AI85" i="8"/>
  <c r="U54" i="5"/>
  <c r="AJ85" i="8"/>
  <c r="X54" i="5"/>
  <c r="AK85" i="8"/>
  <c r="AA54" i="5"/>
  <c r="AC54" i="5"/>
  <c r="AL85" i="8"/>
  <c r="A86" i="8"/>
  <c r="E107" i="5"/>
  <c r="E166" i="5"/>
  <c r="F71" i="5"/>
  <c r="E71" i="5"/>
  <c r="AD86" i="8"/>
  <c r="H107" i="5"/>
  <c r="H166" i="5"/>
  <c r="H71" i="5"/>
  <c r="AE86" i="8"/>
  <c r="K72" i="5"/>
  <c r="K107" i="5"/>
  <c r="K166" i="5"/>
  <c r="AF86" i="8"/>
  <c r="N72" i="5"/>
  <c r="N107" i="5"/>
  <c r="N166" i="5"/>
  <c r="L55" i="5"/>
  <c r="AG86" i="8"/>
  <c r="Q72" i="5"/>
  <c r="O55" i="5"/>
  <c r="AH86" i="8"/>
  <c r="T71" i="5"/>
  <c r="R55" i="5"/>
  <c r="AI86" i="8"/>
  <c r="W107" i="5"/>
  <c r="W166" i="5"/>
  <c r="U55" i="5"/>
  <c r="AJ86" i="8"/>
  <c r="X55" i="5"/>
  <c r="AK86" i="8"/>
  <c r="AC72" i="5"/>
  <c r="AA55" i="5"/>
  <c r="AC55" i="5"/>
  <c r="AL86" i="8"/>
  <c r="AF72" i="5"/>
  <c r="A87" i="8"/>
  <c r="E105" i="5"/>
  <c r="E167" i="5"/>
  <c r="F72" i="5"/>
  <c r="E72" i="5"/>
  <c r="AD87" i="8"/>
  <c r="H105" i="5"/>
  <c r="H167" i="5"/>
  <c r="H72" i="5"/>
  <c r="AE87" i="8"/>
  <c r="K74" i="5"/>
  <c r="K105" i="5"/>
  <c r="K167" i="5"/>
  <c r="AF87" i="8"/>
  <c r="N74" i="5"/>
  <c r="N105" i="5"/>
  <c r="N167" i="5"/>
  <c r="AG87" i="8"/>
  <c r="Q74" i="5"/>
  <c r="AH87" i="8"/>
  <c r="T72" i="5"/>
  <c r="R56" i="5"/>
  <c r="AI87" i="8"/>
  <c r="W105" i="5"/>
  <c r="W167" i="5"/>
  <c r="U56" i="5"/>
  <c r="AJ87" i="8"/>
  <c r="X56" i="5"/>
  <c r="AK87" i="8"/>
  <c r="AC74" i="5"/>
  <c r="AA56" i="5"/>
  <c r="AC56" i="5"/>
  <c r="AL87" i="8"/>
  <c r="AF74" i="5"/>
  <c r="A88" i="8"/>
  <c r="E118" i="5"/>
  <c r="F73" i="5"/>
  <c r="E73" i="5"/>
  <c r="AD88" i="8"/>
  <c r="H118" i="5"/>
  <c r="H73" i="5"/>
  <c r="AE88" i="8"/>
  <c r="K77" i="5"/>
  <c r="K118" i="5"/>
  <c r="K73" i="5"/>
  <c r="AF88" i="8"/>
  <c r="N77" i="5"/>
  <c r="N118" i="5"/>
  <c r="N73" i="5"/>
  <c r="AG88" i="8"/>
  <c r="Q77" i="5"/>
  <c r="Q73" i="5"/>
  <c r="AH88" i="8"/>
  <c r="T73" i="5"/>
  <c r="R57" i="5"/>
  <c r="AI88" i="8"/>
  <c r="W118" i="5"/>
  <c r="U57" i="5"/>
  <c r="AJ88" i="8"/>
  <c r="X57" i="5"/>
  <c r="AK88" i="8"/>
  <c r="AC77" i="5"/>
  <c r="AC73" i="5"/>
  <c r="AA57" i="5"/>
  <c r="AC57" i="5"/>
  <c r="AL88" i="8"/>
  <c r="AF77" i="5"/>
  <c r="AF73" i="5"/>
  <c r="A89" i="8"/>
  <c r="E106" i="5"/>
  <c r="E342" i="5"/>
  <c r="F74" i="5"/>
  <c r="E74" i="5"/>
  <c r="E58" i="5"/>
  <c r="AD89" i="8"/>
  <c r="H106" i="5"/>
  <c r="H342" i="5"/>
  <c r="H74" i="5"/>
  <c r="H58" i="5"/>
  <c r="AE89" i="8"/>
  <c r="K78" i="5"/>
  <c r="K106" i="5"/>
  <c r="K342" i="5"/>
  <c r="K58" i="5"/>
  <c r="AF89" i="8"/>
  <c r="N78" i="5"/>
  <c r="N106" i="5"/>
  <c r="N342" i="5"/>
  <c r="N58" i="5"/>
  <c r="AG89" i="8"/>
  <c r="Q78" i="5"/>
  <c r="AH89" i="8"/>
  <c r="T74" i="5"/>
  <c r="R58" i="5"/>
  <c r="AI89" i="8"/>
  <c r="W106" i="5"/>
  <c r="W342" i="5"/>
  <c r="W58" i="5"/>
  <c r="U58" i="5"/>
  <c r="AJ89" i="8"/>
  <c r="X58" i="5"/>
  <c r="AK89" i="8"/>
  <c r="AC78" i="5"/>
  <c r="AA58" i="5"/>
  <c r="AC58" i="5"/>
  <c r="AL89" i="8"/>
  <c r="AF78" i="5"/>
  <c r="A90" i="8"/>
  <c r="E119" i="5"/>
  <c r="E343" i="5"/>
  <c r="F75" i="5"/>
  <c r="E75" i="5"/>
  <c r="AD90" i="8"/>
  <c r="H119" i="5"/>
  <c r="H343" i="5"/>
  <c r="H75" i="5"/>
  <c r="AE90" i="8"/>
  <c r="K80" i="5"/>
  <c r="K343" i="5"/>
  <c r="K75" i="5"/>
  <c r="AF90" i="8"/>
  <c r="N80" i="5"/>
  <c r="N343" i="5"/>
  <c r="N75" i="5"/>
  <c r="AG90" i="8"/>
  <c r="Q80" i="5"/>
  <c r="Q75" i="5"/>
  <c r="AH90" i="8"/>
  <c r="T75" i="5"/>
  <c r="R59" i="5"/>
  <c r="AI90" i="8"/>
  <c r="W119" i="5"/>
  <c r="W343" i="5"/>
  <c r="U59" i="5"/>
  <c r="AJ90" i="8"/>
  <c r="X59" i="5"/>
  <c r="AK90" i="8"/>
  <c r="AC80" i="5"/>
  <c r="AC75" i="5"/>
  <c r="AA59" i="5"/>
  <c r="AC59" i="5"/>
  <c r="AL90" i="8"/>
  <c r="AF80" i="5"/>
  <c r="AF75" i="5"/>
  <c r="A91" i="8"/>
  <c r="E64" i="5"/>
  <c r="AD91" i="8"/>
  <c r="H64" i="5"/>
  <c r="AE91" i="8"/>
  <c r="K85" i="5"/>
  <c r="K64" i="5"/>
  <c r="AF91" i="8"/>
  <c r="N85" i="5"/>
  <c r="N64" i="5"/>
  <c r="AG91" i="8"/>
  <c r="Q85" i="5"/>
  <c r="AH91" i="8"/>
  <c r="R60" i="5"/>
  <c r="AI91" i="8"/>
  <c r="W64" i="5"/>
  <c r="U60" i="5"/>
  <c r="AJ91" i="8"/>
  <c r="X60" i="5"/>
  <c r="AK91" i="8"/>
  <c r="AC85" i="5"/>
  <c r="AA60" i="5"/>
  <c r="AC60" i="5"/>
  <c r="AL91" i="8"/>
  <c r="AF85" i="5"/>
  <c r="A92" i="8"/>
  <c r="E336" i="5"/>
  <c r="E61" i="5"/>
  <c r="AD92" i="8"/>
  <c r="H336" i="5"/>
  <c r="H61" i="5"/>
  <c r="AE92" i="8"/>
  <c r="K336" i="5"/>
  <c r="K61" i="5"/>
  <c r="AF92" i="8"/>
  <c r="N336" i="5"/>
  <c r="N61" i="5"/>
  <c r="AG92" i="8"/>
  <c r="AH92" i="8"/>
  <c r="R61" i="5"/>
  <c r="AI92" i="8"/>
  <c r="W336" i="5"/>
  <c r="W61" i="5"/>
  <c r="U61" i="5"/>
  <c r="AJ92" i="8"/>
  <c r="X61" i="5"/>
  <c r="AK92" i="8"/>
  <c r="AA61" i="5"/>
  <c r="AC61" i="5"/>
  <c r="AL92" i="8"/>
  <c r="A93" i="8"/>
  <c r="F76" i="5"/>
  <c r="E76" i="5"/>
  <c r="E62" i="5"/>
  <c r="AD93" i="8"/>
  <c r="H76" i="5"/>
  <c r="H62" i="5"/>
  <c r="AE93" i="8"/>
  <c r="K62" i="5"/>
  <c r="AF93" i="8"/>
  <c r="N62" i="5"/>
  <c r="AG93" i="8"/>
  <c r="AH93" i="8"/>
  <c r="T76" i="5"/>
  <c r="R62" i="5"/>
  <c r="AI93" i="8"/>
  <c r="W62" i="5"/>
  <c r="U62" i="5"/>
  <c r="AJ93" i="8"/>
  <c r="X62" i="5"/>
  <c r="AK93" i="8"/>
  <c r="AA62" i="5"/>
  <c r="AC62" i="5"/>
  <c r="AL93" i="8"/>
  <c r="A94" i="8"/>
  <c r="F77" i="5"/>
  <c r="E77" i="5"/>
  <c r="AD94" i="8"/>
  <c r="H77" i="5"/>
  <c r="AE94" i="8"/>
  <c r="K82" i="5"/>
  <c r="AF94" i="8"/>
  <c r="N82" i="5"/>
  <c r="AG94" i="8"/>
  <c r="Q82" i="5"/>
  <c r="AH94" i="8"/>
  <c r="T77" i="5"/>
  <c r="R63" i="5"/>
  <c r="AI94" i="8"/>
  <c r="U63" i="5"/>
  <c r="AJ94" i="8"/>
  <c r="X63" i="5"/>
  <c r="AK94" i="8"/>
  <c r="AC82" i="5"/>
  <c r="AA63" i="5"/>
  <c r="AC63" i="5"/>
  <c r="AL94" i="8"/>
  <c r="AF82" i="5"/>
  <c r="A95" i="8"/>
  <c r="F78" i="5"/>
  <c r="E78" i="5"/>
  <c r="AD95" i="8"/>
  <c r="H78" i="5"/>
  <c r="AE95" i="8"/>
  <c r="AF95" i="8"/>
  <c r="AG95" i="8"/>
  <c r="AH95" i="8"/>
  <c r="T78" i="5"/>
  <c r="R64" i="5"/>
  <c r="AI95" i="8"/>
  <c r="U64" i="5"/>
  <c r="AJ95" i="8"/>
  <c r="X64" i="5"/>
  <c r="AK95" i="8"/>
  <c r="AA64" i="5"/>
  <c r="AC64" i="5"/>
  <c r="AL95" i="8"/>
  <c r="E147" i="5"/>
  <c r="A96" i="8"/>
  <c r="E323" i="5"/>
  <c r="F79" i="5"/>
  <c r="E79" i="5"/>
  <c r="AD96" i="8"/>
  <c r="H323" i="5"/>
  <c r="H79" i="5"/>
  <c r="AE96" i="8"/>
  <c r="K323" i="5"/>
  <c r="AF96" i="8"/>
  <c r="N323" i="5"/>
  <c r="AG96" i="8"/>
  <c r="AH96" i="8"/>
  <c r="T79" i="5"/>
  <c r="R65" i="5"/>
  <c r="AI96" i="8"/>
  <c r="W147" i="5"/>
  <c r="W323" i="5"/>
  <c r="U65" i="5"/>
  <c r="AJ96" i="8"/>
  <c r="X65" i="5"/>
  <c r="AK96" i="8"/>
  <c r="AC147" i="5"/>
  <c r="AA65" i="5"/>
  <c r="AC65" i="5"/>
  <c r="AL96" i="8"/>
  <c r="AF147" i="5"/>
  <c r="AI147" i="5"/>
  <c r="AL147" i="5"/>
  <c r="A97" i="8"/>
  <c r="E114" i="5"/>
  <c r="E102" i="5"/>
  <c r="F80" i="5"/>
  <c r="E80" i="5"/>
  <c r="E66" i="5"/>
  <c r="AD97" i="8"/>
  <c r="H114" i="5"/>
  <c r="H102" i="5"/>
  <c r="H80" i="5"/>
  <c r="H66" i="5"/>
  <c r="AE97" i="8"/>
  <c r="K114" i="5"/>
  <c r="K102" i="5"/>
  <c r="AF97" i="8"/>
  <c r="N114" i="5"/>
  <c r="N102" i="5"/>
  <c r="L66" i="5"/>
  <c r="AG97" i="8"/>
  <c r="O66" i="5"/>
  <c r="AH97" i="8"/>
  <c r="T80" i="5"/>
  <c r="R66" i="5"/>
  <c r="AI97" i="8"/>
  <c r="W114" i="5"/>
  <c r="W102" i="5"/>
  <c r="W66" i="5"/>
  <c r="U66" i="5"/>
  <c r="AJ97" i="8"/>
  <c r="X66" i="5"/>
  <c r="AK97" i="8"/>
  <c r="AA66" i="5"/>
  <c r="AC66" i="5"/>
  <c r="AL97" i="8"/>
  <c r="AL66" i="5"/>
  <c r="AJ66" i="5"/>
  <c r="AO97" i="8"/>
  <c r="A98" i="8"/>
  <c r="AD98" i="8"/>
  <c r="AE98" i="8"/>
  <c r="K83" i="5"/>
  <c r="AF98" i="8"/>
  <c r="N83" i="5"/>
  <c r="AG98" i="8"/>
  <c r="Q83" i="5"/>
  <c r="AH98" i="8"/>
  <c r="R67" i="5"/>
  <c r="AI98" i="8"/>
  <c r="U67" i="5"/>
  <c r="AJ98" i="8"/>
  <c r="X67" i="5"/>
  <c r="AK98" i="8"/>
  <c r="AC83" i="5"/>
  <c r="AA67" i="5"/>
  <c r="AC67" i="5"/>
  <c r="AL98" i="8"/>
  <c r="AF83" i="5"/>
  <c r="AJ67" i="5"/>
  <c r="AO98" i="8"/>
  <c r="A99" i="8"/>
  <c r="E161" i="5"/>
  <c r="AD99" i="8"/>
  <c r="H161" i="5"/>
  <c r="AE99" i="8"/>
  <c r="K161" i="5"/>
  <c r="I68" i="5"/>
  <c r="AF99" i="8"/>
  <c r="N161" i="5"/>
  <c r="L68" i="5"/>
  <c r="AG99" i="8"/>
  <c r="O68" i="5"/>
  <c r="AH99" i="8"/>
  <c r="R68" i="5"/>
  <c r="AI99" i="8"/>
  <c r="W161" i="5"/>
  <c r="U68" i="5"/>
  <c r="AJ99" i="8"/>
  <c r="X68" i="5"/>
  <c r="AK99" i="8"/>
  <c r="AA68" i="5"/>
  <c r="AC68" i="5"/>
  <c r="AL99" i="8"/>
  <c r="A100" i="8"/>
  <c r="F282" i="5"/>
  <c r="E282" i="5"/>
  <c r="AD100" i="8"/>
  <c r="H165" i="5"/>
  <c r="H282" i="5"/>
  <c r="AE100" i="8"/>
  <c r="I69" i="5"/>
  <c r="AF100" i="8"/>
  <c r="N165" i="5"/>
  <c r="L69" i="5"/>
  <c r="AG100" i="8"/>
  <c r="O69" i="5"/>
  <c r="AH100" i="8"/>
  <c r="T282" i="5"/>
  <c r="R69" i="5"/>
  <c r="AI100" i="8"/>
  <c r="U69" i="5"/>
  <c r="AJ100" i="8"/>
  <c r="X69" i="5"/>
  <c r="AK100" i="8"/>
  <c r="AA69" i="5"/>
  <c r="AC69" i="5"/>
  <c r="AL100" i="8"/>
  <c r="A101" i="8"/>
  <c r="E162" i="5"/>
  <c r="F82" i="5"/>
  <c r="E82" i="5"/>
  <c r="AD101" i="8"/>
  <c r="H162" i="5"/>
  <c r="H120" i="5"/>
  <c r="H82" i="5"/>
  <c r="AE101" i="8"/>
  <c r="K162" i="5"/>
  <c r="I70" i="5"/>
  <c r="AF101" i="8"/>
  <c r="N162" i="5"/>
  <c r="N120" i="5"/>
  <c r="L70" i="5"/>
  <c r="AG101" i="8"/>
  <c r="O70" i="5"/>
  <c r="AH101" i="8"/>
  <c r="T82" i="5"/>
  <c r="R70" i="5"/>
  <c r="AI101" i="8"/>
  <c r="W162" i="5"/>
  <c r="U70" i="5"/>
  <c r="AJ101" i="8"/>
  <c r="X70" i="5"/>
  <c r="AK101" i="8"/>
  <c r="AA70" i="5"/>
  <c r="AL101" i="8"/>
  <c r="AD70" i="5"/>
  <c r="AM101" i="8"/>
  <c r="AG70" i="5"/>
  <c r="AN101" i="8"/>
  <c r="AJ70" i="5"/>
  <c r="AO101" i="8"/>
  <c r="A102" i="8"/>
  <c r="AD102" i="8"/>
  <c r="H224" i="5"/>
  <c r="AE102" i="8"/>
  <c r="AF102" i="8"/>
  <c r="N224" i="5"/>
  <c r="L71" i="5"/>
  <c r="AG102" i="8"/>
  <c r="O71" i="5"/>
  <c r="AH102" i="8"/>
  <c r="AI102" i="8"/>
  <c r="U71" i="5"/>
  <c r="AJ102" i="8"/>
  <c r="X71" i="5"/>
  <c r="AK102" i="8"/>
  <c r="AA71" i="5"/>
  <c r="AL102" i="8"/>
  <c r="AD71" i="5"/>
  <c r="AM102" i="8"/>
  <c r="AG71" i="5"/>
  <c r="X34" i="2"/>
  <c r="X386" i="4"/>
  <c r="AI71" i="5"/>
  <c r="AN102" i="8"/>
  <c r="A103" i="8"/>
  <c r="E322" i="5"/>
  <c r="F405" i="5"/>
  <c r="E405" i="5"/>
  <c r="AD103" i="8"/>
  <c r="H322" i="5"/>
  <c r="H405" i="5"/>
  <c r="AE103" i="8"/>
  <c r="K322" i="5"/>
  <c r="AF103" i="8"/>
  <c r="N322" i="5"/>
  <c r="L72" i="5"/>
  <c r="AG103" i="8"/>
  <c r="O72" i="5"/>
  <c r="AH103" i="8"/>
  <c r="T405" i="5"/>
  <c r="AI103" i="8"/>
  <c r="W322" i="5"/>
  <c r="U72" i="5"/>
  <c r="AJ103" i="8"/>
  <c r="X72" i="5"/>
  <c r="AK103" i="8"/>
  <c r="AA72" i="5"/>
  <c r="AL103" i="8"/>
  <c r="AD72" i="5"/>
  <c r="AM103" i="8"/>
  <c r="AG72" i="5"/>
  <c r="X387" i="4"/>
  <c r="AI72" i="5"/>
  <c r="AN103" i="8"/>
  <c r="E248" i="5"/>
  <c r="A104" i="8"/>
  <c r="F83" i="5"/>
  <c r="E83" i="5"/>
  <c r="AD104" i="8"/>
  <c r="H248" i="5"/>
  <c r="H173" i="5"/>
  <c r="H83" i="5"/>
  <c r="AE104" i="8"/>
  <c r="K248" i="5"/>
  <c r="AF104" i="8"/>
  <c r="N173" i="5"/>
  <c r="L73" i="5"/>
  <c r="AG104" i="8"/>
  <c r="O73" i="5"/>
  <c r="AH104" i="8"/>
  <c r="T83" i="5"/>
  <c r="AI104" i="8"/>
  <c r="W248" i="5"/>
  <c r="U73" i="5"/>
  <c r="AJ104" i="8"/>
  <c r="X73" i="5"/>
  <c r="AK104" i="8"/>
  <c r="AA73" i="5"/>
  <c r="AL104" i="8"/>
  <c r="AD73" i="5"/>
  <c r="AM104" i="8"/>
  <c r="AG73" i="5"/>
  <c r="X388" i="4"/>
  <c r="AI73" i="5"/>
  <c r="AN104" i="8"/>
  <c r="A105" i="8"/>
  <c r="E174" i="5"/>
  <c r="F84" i="5"/>
  <c r="E84" i="5"/>
  <c r="AD105" i="8"/>
  <c r="H174" i="5"/>
  <c r="H84" i="5"/>
  <c r="AE105" i="8"/>
  <c r="AF105" i="8"/>
  <c r="N174" i="5"/>
  <c r="L74" i="5"/>
  <c r="AG105" i="8"/>
  <c r="O74" i="5"/>
  <c r="AH105" i="8"/>
  <c r="T84" i="5"/>
  <c r="AI105" i="8"/>
  <c r="U74" i="5"/>
  <c r="AJ105" i="8"/>
  <c r="X74" i="5"/>
  <c r="AK105" i="8"/>
  <c r="AA74" i="5"/>
  <c r="AL105" i="8"/>
  <c r="AD74" i="5"/>
  <c r="AM105" i="8"/>
  <c r="AG74" i="5"/>
  <c r="X389" i="4"/>
  <c r="AI74" i="5"/>
  <c r="AN105" i="8"/>
  <c r="A106" i="8"/>
  <c r="F85" i="5"/>
  <c r="E85" i="5"/>
  <c r="AD106" i="8"/>
  <c r="H172" i="5"/>
  <c r="H85" i="5"/>
  <c r="AE106" i="8"/>
  <c r="AF106" i="8"/>
  <c r="N172" i="5"/>
  <c r="L75" i="5"/>
  <c r="AG106" i="8"/>
  <c r="O75" i="5"/>
  <c r="AH106" i="8"/>
  <c r="T85" i="5"/>
  <c r="AI106" i="8"/>
  <c r="U75" i="5"/>
  <c r="AJ106" i="8"/>
  <c r="X75" i="5"/>
  <c r="AK106" i="8"/>
  <c r="AA75" i="5"/>
  <c r="AL106" i="8"/>
  <c r="AD75" i="5"/>
  <c r="AM106" i="8"/>
  <c r="AG75" i="5"/>
  <c r="X390" i="4"/>
  <c r="AI75" i="5"/>
  <c r="AN106" i="8"/>
  <c r="A107" i="8"/>
  <c r="E124" i="5"/>
  <c r="AD107" i="8"/>
  <c r="H362" i="5"/>
  <c r="AE107" i="8"/>
  <c r="AF107" i="8"/>
  <c r="N362" i="5"/>
  <c r="L76" i="5"/>
  <c r="AG107" i="8"/>
  <c r="O76" i="5"/>
  <c r="AH107" i="8"/>
  <c r="AI107" i="8"/>
  <c r="W124" i="5"/>
  <c r="U76" i="5"/>
  <c r="AJ107" i="8"/>
  <c r="X76" i="5"/>
  <c r="AK107" i="8"/>
  <c r="AC124" i="5"/>
  <c r="AA76" i="5"/>
  <c r="AL107" i="8"/>
  <c r="AF124" i="5"/>
  <c r="AD76" i="5"/>
  <c r="AM107" i="8"/>
  <c r="AI124" i="5"/>
  <c r="AG76" i="5"/>
  <c r="X393" i="4"/>
  <c r="AI76" i="5"/>
  <c r="AN107" i="8"/>
  <c r="AL124" i="5"/>
  <c r="A108" i="8"/>
  <c r="E321" i="5"/>
  <c r="E125" i="5"/>
  <c r="AD108" i="8"/>
  <c r="H321" i="5"/>
  <c r="AE108" i="8"/>
  <c r="AF108" i="8"/>
  <c r="L77" i="5"/>
  <c r="AG108" i="8"/>
  <c r="O77" i="5"/>
  <c r="AH108" i="8"/>
  <c r="AI108" i="8"/>
  <c r="W321" i="5"/>
  <c r="W125" i="5"/>
  <c r="U77" i="5"/>
  <c r="AJ108" i="8"/>
  <c r="X77" i="5"/>
  <c r="AK108" i="8"/>
  <c r="AC125" i="5"/>
  <c r="AA77" i="5"/>
  <c r="AL108" i="8"/>
  <c r="AF125" i="5"/>
  <c r="AD77" i="5"/>
  <c r="AM108" i="8"/>
  <c r="AI125" i="5"/>
  <c r="AG77" i="5"/>
  <c r="X394" i="4"/>
  <c r="AI77" i="5"/>
  <c r="AN108" i="8"/>
  <c r="AL125" i="5"/>
  <c r="A109" i="8"/>
  <c r="E186" i="5"/>
  <c r="AD109" i="8"/>
  <c r="H186" i="5"/>
  <c r="AE109" i="8"/>
  <c r="AF109" i="8"/>
  <c r="L78" i="5"/>
  <c r="AG109" i="8"/>
  <c r="O78" i="5"/>
  <c r="AH109" i="8"/>
  <c r="AI109" i="8"/>
  <c r="W186" i="5"/>
  <c r="U78" i="5"/>
  <c r="AJ109" i="8"/>
  <c r="X78" i="5"/>
  <c r="AK109" i="8"/>
  <c r="AC186" i="5"/>
  <c r="AA78" i="5"/>
  <c r="AL109" i="8"/>
  <c r="AF186" i="5"/>
  <c r="AD78" i="5"/>
  <c r="AM109" i="8"/>
  <c r="AI186" i="5"/>
  <c r="AG78" i="5"/>
  <c r="X395" i="4"/>
  <c r="AI78" i="5"/>
  <c r="AN109" i="8"/>
  <c r="AL186" i="5"/>
  <c r="A110" i="8"/>
  <c r="E179" i="5"/>
  <c r="E341" i="5"/>
  <c r="E126" i="5"/>
  <c r="AD110" i="8"/>
  <c r="H179" i="5"/>
  <c r="H341" i="5"/>
  <c r="H126" i="5"/>
  <c r="AE110" i="8"/>
  <c r="K341" i="5"/>
  <c r="AF110" i="8"/>
  <c r="N341" i="5"/>
  <c r="L79" i="5"/>
  <c r="AG110" i="8"/>
  <c r="O79" i="5"/>
  <c r="AH110" i="8"/>
  <c r="AI110" i="8"/>
  <c r="W179" i="5"/>
  <c r="W341" i="5"/>
  <c r="W126" i="5"/>
  <c r="U79" i="5"/>
  <c r="AJ110" i="8"/>
  <c r="X79" i="5"/>
  <c r="AK110" i="8"/>
  <c r="AC126" i="5"/>
  <c r="AA79" i="5"/>
  <c r="AL110" i="8"/>
  <c r="AF126" i="5"/>
  <c r="AD79" i="5"/>
  <c r="AM110" i="8"/>
  <c r="AI126" i="5"/>
  <c r="AG79" i="5"/>
  <c r="X406" i="4"/>
  <c r="AI79" i="5"/>
  <c r="AN110" i="8"/>
  <c r="AL126" i="5"/>
  <c r="A111" i="8"/>
  <c r="E127" i="5"/>
  <c r="AD111" i="8"/>
  <c r="H127" i="5"/>
  <c r="AE111" i="8"/>
  <c r="AF111" i="8"/>
  <c r="L80" i="5"/>
  <c r="AG111" i="8"/>
  <c r="O80" i="5"/>
  <c r="AH111" i="8"/>
  <c r="AI111" i="8"/>
  <c r="W127" i="5"/>
  <c r="U80" i="5"/>
  <c r="AJ111" i="8"/>
  <c r="X80" i="5"/>
  <c r="AK111" i="8"/>
  <c r="AC127" i="5"/>
  <c r="AA80" i="5"/>
  <c r="AL111" i="8"/>
  <c r="AF127" i="5"/>
  <c r="AD80" i="5"/>
  <c r="AM111" i="8"/>
  <c r="AI127" i="5"/>
  <c r="AG80" i="5"/>
  <c r="X396" i="4"/>
  <c r="AI80" i="5"/>
  <c r="AN111" i="8"/>
  <c r="AL127" i="5"/>
  <c r="E197" i="5"/>
  <c r="A112" i="8"/>
  <c r="E128" i="5"/>
  <c r="AD112" i="8"/>
  <c r="H128" i="5"/>
  <c r="AE112" i="8"/>
  <c r="AF112" i="8"/>
  <c r="L81" i="5"/>
  <c r="AG112" i="8"/>
  <c r="O81" i="5"/>
  <c r="AH112" i="8"/>
  <c r="AI112" i="8"/>
  <c r="W197" i="5"/>
  <c r="W128" i="5"/>
  <c r="U81" i="5"/>
  <c r="AJ112" i="8"/>
  <c r="X81" i="5"/>
  <c r="AK112" i="8"/>
  <c r="AC197" i="5"/>
  <c r="AC128" i="5"/>
  <c r="AA81" i="5"/>
  <c r="AL112" i="8"/>
  <c r="AF197" i="5"/>
  <c r="AF128" i="5"/>
  <c r="AD81" i="5"/>
  <c r="AM112" i="8"/>
  <c r="AI197" i="5"/>
  <c r="AI128" i="5"/>
  <c r="AG81" i="5"/>
  <c r="X397" i="4"/>
  <c r="AI81" i="5"/>
  <c r="AN112" i="8"/>
  <c r="AL197" i="5"/>
  <c r="AL128" i="5"/>
  <c r="A113" i="8"/>
  <c r="E242" i="5"/>
  <c r="E129" i="5"/>
  <c r="AD113" i="8"/>
  <c r="H242" i="5"/>
  <c r="AE113" i="8"/>
  <c r="K242" i="5"/>
  <c r="AF113" i="8"/>
  <c r="N242" i="5"/>
  <c r="L82" i="5"/>
  <c r="AG113" i="8"/>
  <c r="O82" i="5"/>
  <c r="AH113" i="8"/>
  <c r="AI113" i="8"/>
  <c r="W242" i="5"/>
  <c r="W129" i="5"/>
  <c r="U82" i="5"/>
  <c r="AJ113" i="8"/>
  <c r="X82" i="5"/>
  <c r="AK113" i="8"/>
  <c r="AC129" i="5"/>
  <c r="AA82" i="5"/>
  <c r="AL113" i="8"/>
  <c r="AF129" i="5"/>
  <c r="AD82" i="5"/>
  <c r="AM113" i="8"/>
  <c r="AI129" i="5"/>
  <c r="AG82" i="5"/>
  <c r="X400" i="4"/>
  <c r="AI82" i="5"/>
  <c r="AN113" i="8"/>
  <c r="AL129" i="5"/>
  <c r="A114" i="8"/>
  <c r="E253" i="5"/>
  <c r="E130" i="5"/>
  <c r="AD114" i="8"/>
  <c r="H253" i="5"/>
  <c r="AE114" i="8"/>
  <c r="K253" i="5"/>
  <c r="AF114" i="8"/>
  <c r="N253" i="5"/>
  <c r="L83" i="5"/>
  <c r="AG114" i="8"/>
  <c r="O83" i="5"/>
  <c r="AH114" i="8"/>
  <c r="AI114" i="8"/>
  <c r="W253" i="5"/>
  <c r="W130" i="5"/>
  <c r="U83" i="5"/>
  <c r="AJ114" i="8"/>
  <c r="X83" i="5"/>
  <c r="AK114" i="8"/>
  <c r="AC130" i="5"/>
  <c r="AA83" i="5"/>
  <c r="AL114" i="8"/>
  <c r="AF130" i="5"/>
  <c r="AD83" i="5"/>
  <c r="AM114" i="8"/>
  <c r="AI130" i="5"/>
  <c r="AG83" i="5"/>
  <c r="X403" i="4"/>
  <c r="AI83" i="5"/>
  <c r="AN114" i="8"/>
  <c r="AL130" i="5"/>
  <c r="A115" i="8"/>
  <c r="E249" i="5"/>
  <c r="E131" i="5"/>
  <c r="AD115" i="8"/>
  <c r="H249" i="5"/>
  <c r="AE115" i="8"/>
  <c r="K249" i="5"/>
  <c r="AF115" i="8"/>
  <c r="N249" i="5"/>
  <c r="L84" i="5"/>
  <c r="AG115" i="8"/>
  <c r="O84" i="5"/>
  <c r="AH115" i="8"/>
  <c r="AI115" i="8"/>
  <c r="W249" i="5"/>
  <c r="W131" i="5"/>
  <c r="U84" i="5"/>
  <c r="AJ115" i="8"/>
  <c r="X84" i="5"/>
  <c r="AK115" i="8"/>
  <c r="AC131" i="5"/>
  <c r="AA84" i="5"/>
  <c r="AL115" i="8"/>
  <c r="AF131" i="5"/>
  <c r="AD84" i="5"/>
  <c r="AM115" i="8"/>
  <c r="AI131" i="5"/>
  <c r="AG84" i="5"/>
  <c r="X404" i="4"/>
  <c r="AI84" i="5"/>
  <c r="AN115" i="8"/>
  <c r="AL131" i="5"/>
  <c r="A116" i="8"/>
  <c r="AD116" i="8"/>
  <c r="AE116" i="8"/>
  <c r="AF116" i="8"/>
  <c r="L85" i="5"/>
  <c r="AG116" i="8"/>
  <c r="O85" i="5"/>
  <c r="AH116" i="8"/>
  <c r="AI116" i="8"/>
  <c r="U85" i="5"/>
  <c r="AJ116" i="8"/>
  <c r="X85" i="5"/>
  <c r="AK116" i="8"/>
  <c r="AA85" i="5"/>
  <c r="AL116" i="8"/>
  <c r="AD85" i="5"/>
  <c r="AM116" i="8"/>
  <c r="AG85" i="5"/>
  <c r="X405" i="4"/>
  <c r="AI85" i="5"/>
  <c r="AN116" i="8"/>
  <c r="A117" i="8"/>
  <c r="E133" i="5"/>
  <c r="E86" i="5"/>
  <c r="AD117" i="8"/>
  <c r="H133" i="5"/>
  <c r="H86" i="5"/>
  <c r="AE117" i="8"/>
  <c r="I86" i="5"/>
  <c r="AF117" i="8"/>
  <c r="L86" i="5"/>
  <c r="AG117" i="8"/>
  <c r="O86" i="5"/>
  <c r="AH117" i="8"/>
  <c r="R86" i="5"/>
  <c r="AI117" i="8"/>
  <c r="W133" i="5"/>
  <c r="W86" i="5"/>
  <c r="U86" i="5"/>
  <c r="AJ117" i="8"/>
  <c r="X86" i="5"/>
  <c r="AK117" i="8"/>
  <c r="AC133" i="5"/>
  <c r="AA86" i="5"/>
  <c r="AC86" i="5"/>
  <c r="AL117" i="8"/>
  <c r="AF133" i="5"/>
  <c r="AI133" i="5"/>
  <c r="AL133" i="5"/>
  <c r="E339" i="5"/>
  <c r="A118" i="8"/>
  <c r="E134" i="5"/>
  <c r="E87" i="5"/>
  <c r="AD118" i="8"/>
  <c r="H339" i="5"/>
  <c r="H134" i="5"/>
  <c r="H87" i="5"/>
  <c r="AE118" i="8"/>
  <c r="K339" i="5"/>
  <c r="K87" i="5"/>
  <c r="AF118" i="8"/>
  <c r="N87" i="5"/>
  <c r="AG118" i="8"/>
  <c r="AH118" i="8"/>
  <c r="R87" i="5"/>
  <c r="AI118" i="8"/>
  <c r="W339" i="5"/>
  <c r="W134" i="5"/>
  <c r="W87" i="5"/>
  <c r="U87" i="5"/>
  <c r="AJ118" i="8"/>
  <c r="X87" i="5"/>
  <c r="AK118" i="8"/>
  <c r="AC134" i="5"/>
  <c r="AA87" i="5"/>
  <c r="AC87" i="5"/>
  <c r="AL118" i="8"/>
  <c r="AF134" i="5"/>
  <c r="AI134" i="5"/>
  <c r="AL134" i="5"/>
  <c r="A119" i="8"/>
  <c r="E263" i="5"/>
  <c r="E135" i="5"/>
  <c r="AD119" i="8"/>
  <c r="H263" i="5"/>
  <c r="AE119" i="8"/>
  <c r="K263" i="5"/>
  <c r="AF119" i="8"/>
  <c r="N263" i="5"/>
  <c r="AG119" i="8"/>
  <c r="AH119" i="8"/>
  <c r="R88" i="5"/>
  <c r="AI119" i="8"/>
  <c r="W263" i="5"/>
  <c r="W135" i="5"/>
  <c r="U88" i="5"/>
  <c r="AJ119" i="8"/>
  <c r="X88" i="5"/>
  <c r="AK119" i="8"/>
  <c r="AC135" i="5"/>
  <c r="AA88" i="5"/>
  <c r="AC88" i="5"/>
  <c r="AL119" i="8"/>
  <c r="AF135" i="5"/>
  <c r="AI135" i="5"/>
  <c r="AL135" i="5"/>
  <c r="E216" i="5"/>
  <c r="A120" i="8"/>
  <c r="E89" i="5"/>
  <c r="AD120" i="8"/>
  <c r="H89" i="5"/>
  <c r="AE120" i="8"/>
  <c r="K89" i="5"/>
  <c r="AF120" i="8"/>
  <c r="N89" i="5"/>
  <c r="AG120" i="8"/>
  <c r="AH120" i="8"/>
  <c r="R89" i="5"/>
  <c r="AI120" i="8"/>
  <c r="W216" i="5"/>
  <c r="W89" i="5"/>
  <c r="U89" i="5"/>
  <c r="AJ120" i="8"/>
  <c r="X89" i="5"/>
  <c r="AK120" i="8"/>
  <c r="AC216" i="5"/>
  <c r="AA89" i="5"/>
  <c r="AC89" i="5"/>
  <c r="AL120" i="8"/>
  <c r="AF216" i="5"/>
  <c r="AI216" i="5"/>
  <c r="AL216" i="5"/>
  <c r="A121" i="8"/>
  <c r="E90" i="5"/>
  <c r="AD121" i="8"/>
  <c r="H90" i="5"/>
  <c r="AE121" i="8"/>
  <c r="K90" i="5"/>
  <c r="AF121" i="8"/>
  <c r="N90" i="5"/>
  <c r="AG121" i="8"/>
  <c r="AH121" i="8"/>
  <c r="R90" i="5"/>
  <c r="AI121" i="8"/>
  <c r="W90" i="5"/>
  <c r="U90" i="5"/>
  <c r="AJ121" i="8"/>
  <c r="X90" i="5"/>
  <c r="AK121" i="8"/>
  <c r="AA90" i="5"/>
  <c r="AC90" i="5"/>
  <c r="AL121" i="8"/>
  <c r="A122" i="8"/>
  <c r="E281" i="5"/>
  <c r="E138" i="5"/>
  <c r="AD122" i="8"/>
  <c r="H281" i="5"/>
  <c r="AE122" i="8"/>
  <c r="AF122" i="8"/>
  <c r="N281" i="5"/>
  <c r="L91" i="5"/>
  <c r="AG122" i="8"/>
  <c r="O91" i="5"/>
  <c r="AH122" i="8"/>
  <c r="R91" i="5"/>
  <c r="AI122" i="8"/>
  <c r="W281" i="5"/>
  <c r="W138" i="5"/>
  <c r="U91" i="5"/>
  <c r="AJ122" i="8"/>
  <c r="X91" i="5"/>
  <c r="AK122" i="8"/>
  <c r="AC138" i="5"/>
  <c r="AA91" i="5"/>
  <c r="AC91" i="5"/>
  <c r="AL122" i="8"/>
  <c r="AF138" i="5"/>
  <c r="AI138" i="5"/>
  <c r="AL138" i="5"/>
  <c r="A123" i="8"/>
  <c r="E239" i="5"/>
  <c r="E139" i="5"/>
  <c r="AD123" i="8"/>
  <c r="H239" i="5"/>
  <c r="AE123" i="8"/>
  <c r="K239" i="5"/>
  <c r="I92" i="5"/>
  <c r="AF123" i="8"/>
  <c r="N239" i="5"/>
  <c r="N339" i="5"/>
  <c r="AG123" i="8"/>
  <c r="AH123" i="8"/>
  <c r="R92" i="5"/>
  <c r="AI123" i="8"/>
  <c r="W239" i="5"/>
  <c r="W139" i="5"/>
  <c r="U92" i="5"/>
  <c r="AJ123" i="8"/>
  <c r="X92" i="5"/>
  <c r="AK123" i="8"/>
  <c r="AC139" i="5"/>
  <c r="AA92" i="5"/>
  <c r="AC92" i="5"/>
  <c r="AL123" i="8"/>
  <c r="AF139" i="5"/>
  <c r="AI139" i="5"/>
  <c r="AL139" i="5"/>
  <c r="E304" i="5"/>
  <c r="A124" i="8"/>
  <c r="E261" i="5"/>
  <c r="E340" i="5"/>
  <c r="E140" i="5"/>
  <c r="E93" i="5"/>
  <c r="AD124" i="8"/>
  <c r="H261" i="5"/>
  <c r="H340" i="5"/>
  <c r="H93" i="5"/>
  <c r="AE124" i="8"/>
  <c r="K304" i="5"/>
  <c r="K261" i="5"/>
  <c r="K340" i="5"/>
  <c r="K93" i="5"/>
  <c r="AF124" i="8"/>
  <c r="N261" i="5"/>
  <c r="N340" i="5"/>
  <c r="N93" i="5"/>
  <c r="AG124" i="8"/>
  <c r="AH124" i="8"/>
  <c r="R93" i="5"/>
  <c r="AI124" i="8"/>
  <c r="W304" i="5"/>
  <c r="W261" i="5"/>
  <c r="W340" i="5"/>
  <c r="W140" i="5"/>
  <c r="W93" i="5"/>
  <c r="U93" i="5"/>
  <c r="AJ124" i="8"/>
  <c r="X93" i="5"/>
  <c r="AK124" i="8"/>
  <c r="AC140" i="5"/>
  <c r="AA93" i="5"/>
  <c r="AC93" i="5"/>
  <c r="AL124" i="8"/>
  <c r="AF140" i="5"/>
  <c r="AI140" i="5"/>
  <c r="AL140" i="5"/>
  <c r="E206" i="5"/>
  <c r="A125" i="8"/>
  <c r="E94" i="5"/>
  <c r="AD125" i="8"/>
  <c r="H94" i="5"/>
  <c r="AE125" i="8"/>
  <c r="K94" i="5"/>
  <c r="AF125" i="8"/>
  <c r="N94" i="5"/>
  <c r="AG125" i="8"/>
  <c r="AH125" i="8"/>
  <c r="R94" i="5"/>
  <c r="AI125" i="8"/>
  <c r="W206" i="5"/>
  <c r="W94" i="5"/>
  <c r="U94" i="5"/>
  <c r="AJ125" i="8"/>
  <c r="X94" i="5"/>
  <c r="AK125" i="8"/>
  <c r="AC206" i="5"/>
  <c r="AA94" i="5"/>
  <c r="AC94" i="5"/>
  <c r="AL125" i="8"/>
  <c r="AF206" i="5"/>
  <c r="AI206" i="5"/>
  <c r="AL206" i="5"/>
  <c r="A126" i="8"/>
  <c r="E379" i="5"/>
  <c r="AD126" i="8"/>
  <c r="H379" i="5"/>
  <c r="AE126" i="8"/>
  <c r="AF126" i="8"/>
  <c r="AG126" i="8"/>
  <c r="AH126" i="8"/>
  <c r="R95" i="5"/>
  <c r="AI126" i="8"/>
  <c r="W379" i="5"/>
  <c r="U95" i="5"/>
  <c r="AJ126" i="8"/>
  <c r="X95" i="5"/>
  <c r="AK126" i="8"/>
  <c r="AA95" i="5"/>
  <c r="AC95" i="5"/>
  <c r="AL126" i="8"/>
  <c r="A127" i="8"/>
  <c r="E337" i="5"/>
  <c r="E142" i="5"/>
  <c r="AD127" i="8"/>
  <c r="H337" i="5"/>
  <c r="AE127" i="8"/>
  <c r="K337" i="5"/>
  <c r="I96" i="5"/>
  <c r="AF127" i="8"/>
  <c r="N337" i="5"/>
  <c r="AG127" i="8"/>
  <c r="AH127" i="8"/>
  <c r="R96" i="5"/>
  <c r="AI127" i="8"/>
  <c r="W337" i="5"/>
  <c r="W142" i="5"/>
  <c r="U96" i="5"/>
  <c r="AJ127" i="8"/>
  <c r="X96" i="5"/>
  <c r="AK127" i="8"/>
  <c r="AC142" i="5"/>
  <c r="AA96" i="5"/>
  <c r="AC96" i="5"/>
  <c r="AL127" i="8"/>
  <c r="AF142" i="5"/>
  <c r="AI142" i="5"/>
  <c r="AL142" i="5"/>
  <c r="A128" i="8"/>
  <c r="AD128" i="8"/>
  <c r="AE128" i="8"/>
  <c r="I97" i="5"/>
  <c r="AF128" i="8"/>
  <c r="N248" i="5"/>
  <c r="AG128" i="8"/>
  <c r="AH128" i="8"/>
  <c r="R97" i="5"/>
  <c r="AI128" i="8"/>
  <c r="U97" i="5"/>
  <c r="AJ128" i="8"/>
  <c r="X97" i="5"/>
  <c r="AK128" i="8"/>
  <c r="AA97" i="5"/>
  <c r="AC97" i="5"/>
  <c r="AL128" i="8"/>
  <c r="A129" i="8"/>
  <c r="E214" i="5"/>
  <c r="E98" i="5"/>
  <c r="AD129" i="8"/>
  <c r="H214" i="5"/>
  <c r="H98" i="5"/>
  <c r="AE129" i="8"/>
  <c r="K98" i="5"/>
  <c r="I98" i="5"/>
  <c r="AF129" i="8"/>
  <c r="N98" i="5"/>
  <c r="AG129" i="8"/>
  <c r="AH129" i="8"/>
  <c r="R98" i="5"/>
  <c r="AI129" i="8"/>
  <c r="W214" i="5"/>
  <c r="W98" i="5"/>
  <c r="U98" i="5"/>
  <c r="AJ129" i="8"/>
  <c r="X98" i="5"/>
  <c r="AK129" i="8"/>
  <c r="AC214" i="5"/>
  <c r="AA98" i="5"/>
  <c r="AC98" i="5"/>
  <c r="AL129" i="8"/>
  <c r="AF214" i="5"/>
  <c r="AI214" i="5"/>
  <c r="AL214" i="5"/>
  <c r="A130" i="8"/>
  <c r="AD130" i="8"/>
  <c r="H204" i="5"/>
  <c r="AE130" i="8"/>
  <c r="I99" i="5"/>
  <c r="AF130" i="8"/>
  <c r="AG130" i="8"/>
  <c r="AH130" i="8"/>
  <c r="R99" i="5"/>
  <c r="AI130" i="8"/>
  <c r="U99" i="5"/>
  <c r="AJ130" i="8"/>
  <c r="X99" i="5"/>
  <c r="AK130" i="8"/>
  <c r="AA99" i="5"/>
  <c r="AC99" i="5"/>
  <c r="AL130" i="8"/>
  <c r="A131" i="8"/>
  <c r="E215" i="5"/>
  <c r="AD131" i="8"/>
  <c r="H215" i="5"/>
  <c r="AE131" i="8"/>
  <c r="I100" i="5"/>
  <c r="AF131" i="8"/>
  <c r="AG131" i="8"/>
  <c r="AH131" i="8"/>
  <c r="R100" i="5"/>
  <c r="AI131" i="8"/>
  <c r="W215" i="5"/>
  <c r="U100" i="5"/>
  <c r="AJ131" i="8"/>
  <c r="X100" i="5"/>
  <c r="AK131" i="8"/>
  <c r="AC215" i="5"/>
  <c r="AA100" i="5"/>
  <c r="AC100" i="5"/>
  <c r="AL131" i="8"/>
  <c r="AF215" i="5"/>
  <c r="AI215" i="5"/>
  <c r="AL215" i="5"/>
  <c r="A132" i="8"/>
  <c r="E338" i="5"/>
  <c r="E205" i="5"/>
  <c r="AD132" i="8"/>
  <c r="H338" i="5"/>
  <c r="H205" i="5"/>
  <c r="AE132" i="8"/>
  <c r="K338" i="5"/>
  <c r="AF132" i="8"/>
  <c r="N338" i="5"/>
  <c r="AG132" i="8"/>
  <c r="AH132" i="8"/>
  <c r="R101" i="5"/>
  <c r="AI132" i="8"/>
  <c r="W338" i="5"/>
  <c r="W205" i="5"/>
  <c r="U101" i="5"/>
  <c r="AJ132" i="8"/>
  <c r="X101" i="5"/>
  <c r="AK132" i="8"/>
  <c r="AC205" i="5"/>
  <c r="AA101" i="5"/>
  <c r="AC101" i="5"/>
  <c r="AL132" i="8"/>
  <c r="AF205" i="5"/>
  <c r="AI205" i="5"/>
  <c r="AL205" i="5"/>
  <c r="A133" i="8"/>
  <c r="AD133" i="8"/>
  <c r="H216" i="5"/>
  <c r="AE133" i="8"/>
  <c r="I102" i="5"/>
  <c r="AF133" i="8"/>
  <c r="AG133" i="8"/>
  <c r="AH133" i="8"/>
  <c r="R102" i="5"/>
  <c r="AI133" i="8"/>
  <c r="U102" i="5"/>
  <c r="AJ133" i="8"/>
  <c r="X102" i="5"/>
  <c r="AK133" i="8"/>
  <c r="AA102" i="5"/>
  <c r="AC102" i="5"/>
  <c r="AL133" i="8"/>
  <c r="A134" i="8"/>
  <c r="E217" i="5"/>
  <c r="AD134" i="8"/>
  <c r="H217" i="5"/>
  <c r="AE134" i="8"/>
  <c r="I103" i="5"/>
  <c r="AF134" i="8"/>
  <c r="AG134" i="8"/>
  <c r="AH134" i="8"/>
  <c r="R103" i="5"/>
  <c r="AI134" i="8"/>
  <c r="W217" i="5"/>
  <c r="U103" i="5"/>
  <c r="AJ134" i="8"/>
  <c r="X103" i="5"/>
  <c r="AK134" i="8"/>
  <c r="AC217" i="5"/>
  <c r="AA103" i="5"/>
  <c r="AC103" i="5"/>
  <c r="AL134" i="8"/>
  <c r="AF217" i="5"/>
  <c r="AI217" i="5"/>
  <c r="AL217" i="5"/>
  <c r="A135" i="8"/>
  <c r="E291" i="5"/>
  <c r="E143" i="5"/>
  <c r="AD135" i="8"/>
  <c r="H291" i="5"/>
  <c r="H143" i="5"/>
  <c r="AE135" i="8"/>
  <c r="AF135" i="8"/>
  <c r="AG135" i="8"/>
  <c r="AH135" i="8"/>
  <c r="R104" i="5"/>
  <c r="AI135" i="8"/>
  <c r="W291" i="5"/>
  <c r="W143" i="5"/>
  <c r="U104" i="5"/>
  <c r="AJ135" i="8"/>
  <c r="X104" i="5"/>
  <c r="AK135" i="8"/>
  <c r="AC143" i="5"/>
  <c r="AA104" i="5"/>
  <c r="AC104" i="5"/>
  <c r="AL135" i="8"/>
  <c r="AF143" i="5"/>
  <c r="AI143" i="5"/>
  <c r="AL143" i="5"/>
  <c r="A136" i="8"/>
  <c r="AD136" i="8"/>
  <c r="H218" i="5"/>
  <c r="AE136" i="8"/>
  <c r="AF136" i="8"/>
  <c r="AG136" i="8"/>
  <c r="AH136" i="8"/>
  <c r="R105" i="5"/>
  <c r="AI136" i="8"/>
  <c r="U105" i="5"/>
  <c r="AJ136" i="8"/>
  <c r="X105" i="5"/>
  <c r="AK136" i="8"/>
  <c r="AA105" i="5"/>
  <c r="AC105" i="5"/>
  <c r="AL136" i="8"/>
  <c r="A137" i="8"/>
  <c r="E219" i="5"/>
  <c r="AD137" i="8"/>
  <c r="H288" i="5"/>
  <c r="H219" i="5"/>
  <c r="AE137" i="8"/>
  <c r="AF137" i="8"/>
  <c r="AG137" i="8"/>
  <c r="AH137" i="8"/>
  <c r="R106" i="5"/>
  <c r="AI137" i="8"/>
  <c r="W219" i="5"/>
  <c r="U106" i="5"/>
  <c r="AJ137" i="8"/>
  <c r="X106" i="5"/>
  <c r="AK137" i="8"/>
  <c r="AC219" i="5"/>
  <c r="AA106" i="5"/>
  <c r="AC106" i="5"/>
  <c r="AL137" i="8"/>
  <c r="AF219" i="5"/>
  <c r="AI219" i="5"/>
  <c r="AL219" i="5"/>
  <c r="A138" i="8"/>
  <c r="E361" i="5"/>
  <c r="AD138" i="8"/>
  <c r="H361" i="5"/>
  <c r="H206" i="5"/>
  <c r="AE138" i="8"/>
  <c r="K361" i="5"/>
  <c r="AF138" i="8"/>
  <c r="N361" i="5"/>
  <c r="AG138" i="8"/>
  <c r="AH138" i="8"/>
  <c r="R107" i="5"/>
  <c r="AI138" i="8"/>
  <c r="W361" i="5"/>
  <c r="U107" i="5"/>
  <c r="AJ138" i="8"/>
  <c r="X107" i="5"/>
  <c r="AK138" i="8"/>
  <c r="AA107" i="5"/>
  <c r="AC107" i="5"/>
  <c r="AL138" i="8"/>
  <c r="A139" i="8"/>
  <c r="E264" i="5"/>
  <c r="AD139" i="8"/>
  <c r="H264" i="5"/>
  <c r="AE139" i="8"/>
  <c r="K264" i="5"/>
  <c r="AF139" i="8"/>
  <c r="N264" i="5"/>
  <c r="AG139" i="8"/>
  <c r="AH139" i="8"/>
  <c r="R108" i="5"/>
  <c r="AI139" i="8"/>
  <c r="W264" i="5"/>
  <c r="U108" i="5"/>
  <c r="AJ139" i="8"/>
  <c r="X108" i="5"/>
  <c r="AK139" i="8"/>
  <c r="AA108" i="5"/>
  <c r="AC108" i="5"/>
  <c r="AL139" i="8"/>
  <c r="A140" i="8"/>
  <c r="AD140" i="8"/>
  <c r="AE140" i="8"/>
  <c r="I109" i="5"/>
  <c r="AF140" i="8"/>
  <c r="L109" i="5"/>
  <c r="AG140" i="8"/>
  <c r="O109" i="5"/>
  <c r="AH140" i="8"/>
  <c r="R109" i="5"/>
  <c r="AI140" i="8"/>
  <c r="U109" i="5"/>
  <c r="AJ140" i="8"/>
  <c r="X109" i="5"/>
  <c r="AK140" i="8"/>
  <c r="AA109" i="5"/>
  <c r="AC109" i="5"/>
  <c r="AL140" i="8"/>
  <c r="A141" i="8"/>
  <c r="AD141" i="8"/>
  <c r="H208" i="5"/>
  <c r="AE141" i="8"/>
  <c r="AF141" i="8"/>
  <c r="L110" i="5"/>
  <c r="AG141" i="8"/>
  <c r="O110" i="5"/>
  <c r="AH141" i="8"/>
  <c r="R110" i="5"/>
  <c r="AI141" i="8"/>
  <c r="U110" i="5"/>
  <c r="AJ141" i="8"/>
  <c r="X110" i="5"/>
  <c r="AK141" i="8"/>
  <c r="AA110" i="5"/>
  <c r="AC110" i="5"/>
  <c r="AL141" i="8"/>
  <c r="A142" i="8"/>
  <c r="AD142" i="8"/>
  <c r="AE142" i="8"/>
  <c r="AF142" i="8"/>
  <c r="AG142" i="8"/>
  <c r="AH142" i="8"/>
  <c r="R112" i="5"/>
  <c r="AI142" i="8"/>
  <c r="U112" i="5"/>
  <c r="AJ142" i="8"/>
  <c r="X112" i="5"/>
  <c r="AK142" i="8"/>
  <c r="AA112" i="5"/>
  <c r="AC112" i="5"/>
  <c r="AL142" i="8"/>
  <c r="E254" i="5"/>
  <c r="A143" i="8"/>
  <c r="E144" i="5"/>
  <c r="AD143" i="8"/>
  <c r="H254" i="5"/>
  <c r="H144" i="5"/>
  <c r="AE143" i="8"/>
  <c r="K254" i="5"/>
  <c r="AF143" i="8"/>
  <c r="AG143" i="8"/>
  <c r="AH143" i="8"/>
  <c r="R113" i="5"/>
  <c r="AI143" i="8"/>
  <c r="W254" i="5"/>
  <c r="W144" i="5"/>
  <c r="U113" i="5"/>
  <c r="AJ143" i="8"/>
  <c r="X113" i="5"/>
  <c r="AK143" i="8"/>
  <c r="AC144" i="5"/>
  <c r="AA113" i="5"/>
  <c r="AC113" i="5"/>
  <c r="AL143" i="8"/>
  <c r="AF144" i="5"/>
  <c r="AI144" i="5"/>
  <c r="AL144" i="5"/>
  <c r="A144" i="8"/>
  <c r="E294" i="5"/>
  <c r="AD144" i="8"/>
  <c r="H294" i="5"/>
  <c r="AE144" i="8"/>
  <c r="K294" i="5"/>
  <c r="AF144" i="8"/>
  <c r="N294" i="5"/>
  <c r="AG144" i="8"/>
  <c r="AH144" i="8"/>
  <c r="R114" i="5"/>
  <c r="AI144" i="8"/>
  <c r="W294" i="5"/>
  <c r="U114" i="5"/>
  <c r="AJ144" i="8"/>
  <c r="X114" i="5"/>
  <c r="AK144" i="8"/>
  <c r="AA114" i="5"/>
  <c r="AC114" i="5"/>
  <c r="AL144" i="8"/>
  <c r="A145" i="8"/>
  <c r="AD145" i="8"/>
  <c r="AE145" i="8"/>
  <c r="AF145" i="8"/>
  <c r="L115" i="5"/>
  <c r="AG145" i="8"/>
  <c r="O115" i="5"/>
  <c r="AH145" i="8"/>
  <c r="R115" i="5"/>
  <c r="AI145" i="8"/>
  <c r="U115" i="5"/>
  <c r="AJ145" i="8"/>
  <c r="X115" i="5"/>
  <c r="AK145" i="8"/>
  <c r="AA115" i="5"/>
  <c r="AC115" i="5"/>
  <c r="AL145" i="8"/>
  <c r="A146" i="8"/>
  <c r="E221" i="5"/>
  <c r="AD146" i="8"/>
  <c r="H221" i="5"/>
  <c r="AE146" i="8"/>
  <c r="AF146" i="8"/>
  <c r="AG146" i="8"/>
  <c r="AH146" i="8"/>
  <c r="R116" i="5"/>
  <c r="AI146" i="8"/>
  <c r="W221" i="5"/>
  <c r="U116" i="5"/>
  <c r="AJ146" i="8"/>
  <c r="X116" i="5"/>
  <c r="AK146" i="8"/>
  <c r="AC221" i="5"/>
  <c r="AA116" i="5"/>
  <c r="AC116" i="5"/>
  <c r="AL146" i="8"/>
  <c r="AF221" i="5"/>
  <c r="AI221" i="5"/>
  <c r="AL221" i="5"/>
  <c r="A147" i="8"/>
  <c r="E145" i="5"/>
  <c r="AD147" i="8"/>
  <c r="H280" i="5"/>
  <c r="AE147" i="8"/>
  <c r="AF147" i="8"/>
  <c r="AG147" i="8"/>
  <c r="AH147" i="8"/>
  <c r="R117" i="5"/>
  <c r="AI147" i="8"/>
  <c r="W145" i="5"/>
  <c r="U117" i="5"/>
  <c r="AJ147" i="8"/>
  <c r="X117" i="5"/>
  <c r="AK147" i="8"/>
  <c r="AC145" i="5"/>
  <c r="AA117" i="5"/>
  <c r="AC117" i="5"/>
  <c r="AL147" i="8"/>
  <c r="AF145" i="5"/>
  <c r="AI145" i="5"/>
  <c r="AL145" i="5"/>
  <c r="E401" i="5"/>
  <c r="A148" i="8"/>
  <c r="AD148" i="8"/>
  <c r="H286" i="5"/>
  <c r="AE148" i="8"/>
  <c r="AF148" i="8"/>
  <c r="N286" i="5"/>
  <c r="AG148" i="8"/>
  <c r="AH148" i="8"/>
  <c r="R118" i="5"/>
  <c r="AI148" i="8"/>
  <c r="W401" i="5"/>
  <c r="U118" i="5"/>
  <c r="AJ148" i="8"/>
  <c r="X118" i="5"/>
  <c r="AK148" i="8"/>
  <c r="AC401" i="5"/>
  <c r="AA118" i="5"/>
  <c r="AC118" i="5"/>
  <c r="AL148" i="8"/>
  <c r="AF401" i="5"/>
  <c r="AI401" i="5"/>
  <c r="AL401" i="5"/>
  <c r="A149" i="8"/>
  <c r="E295" i="5"/>
  <c r="AD149" i="8"/>
  <c r="H295" i="5"/>
  <c r="H147" i="5"/>
  <c r="AE149" i="8"/>
  <c r="K295" i="5"/>
  <c r="AF149" i="8"/>
  <c r="N295" i="5"/>
  <c r="L119" i="5"/>
  <c r="AG149" i="8"/>
  <c r="O119" i="5"/>
  <c r="AH149" i="8"/>
  <c r="R119" i="5"/>
  <c r="AI149" i="8"/>
  <c r="W295" i="5"/>
  <c r="U119" i="5"/>
  <c r="AJ149" i="8"/>
  <c r="X119" i="5"/>
  <c r="AK149" i="8"/>
  <c r="AA119" i="5"/>
  <c r="AC119" i="5"/>
  <c r="AL149" i="8"/>
  <c r="A150" i="8"/>
  <c r="E241" i="5"/>
  <c r="AD150" i="8"/>
  <c r="H241" i="5"/>
  <c r="AE150" i="8"/>
  <c r="AF150" i="8"/>
  <c r="AG150" i="8"/>
  <c r="AH150" i="8"/>
  <c r="R120" i="5"/>
  <c r="AI150" i="8"/>
  <c r="W241" i="5"/>
  <c r="U120" i="5"/>
  <c r="AJ150" i="8"/>
  <c r="X120" i="5"/>
  <c r="AK150" i="8"/>
  <c r="AA120" i="5"/>
  <c r="AC120" i="5"/>
  <c r="AL150" i="8"/>
  <c r="A151" i="8"/>
  <c r="AD151" i="8"/>
  <c r="AE151" i="8"/>
  <c r="I124" i="5"/>
  <c r="AF151" i="8"/>
  <c r="L124" i="5"/>
  <c r="AG151" i="8"/>
  <c r="O124" i="5"/>
  <c r="AH151" i="8"/>
  <c r="R124" i="5"/>
  <c r="AI151" i="8"/>
  <c r="U124" i="5"/>
  <c r="AJ151" i="8"/>
  <c r="X124" i="5"/>
  <c r="AK151" i="8"/>
  <c r="AA124" i="5"/>
  <c r="AL151" i="8"/>
  <c r="AD124" i="5"/>
  <c r="AM151" i="8"/>
  <c r="AG124" i="5"/>
  <c r="AN151" i="8"/>
  <c r="AJ124" i="5"/>
  <c r="AO151" i="8"/>
  <c r="E284" i="5"/>
  <c r="A152" i="8"/>
  <c r="E335" i="5"/>
  <c r="AD152" i="8"/>
  <c r="H335" i="5"/>
  <c r="AE152" i="8"/>
  <c r="K284" i="5"/>
  <c r="K335" i="5"/>
  <c r="I125" i="5"/>
  <c r="AF152" i="8"/>
  <c r="N335" i="5"/>
  <c r="L125" i="5"/>
  <c r="AG152" i="8"/>
  <c r="O125" i="5"/>
  <c r="AH152" i="8"/>
  <c r="R125" i="5"/>
  <c r="AI152" i="8"/>
  <c r="W284" i="5"/>
  <c r="W335" i="5"/>
  <c r="U125" i="5"/>
  <c r="AJ152" i="8"/>
  <c r="X125" i="5"/>
  <c r="AK152" i="8"/>
  <c r="AA125" i="5"/>
  <c r="AL152" i="8"/>
  <c r="AD125" i="5"/>
  <c r="AM152" i="8"/>
  <c r="AG125" i="5"/>
  <c r="AN152" i="8"/>
  <c r="AJ125" i="5"/>
  <c r="AO152" i="8"/>
  <c r="A153" i="8"/>
  <c r="E210" i="5"/>
  <c r="AD153" i="8"/>
  <c r="H210" i="5"/>
  <c r="AE153" i="8"/>
  <c r="AF153" i="8"/>
  <c r="L126" i="5"/>
  <c r="AG153" i="8"/>
  <c r="O126" i="5"/>
  <c r="AH153" i="8"/>
  <c r="R126" i="5"/>
  <c r="AI153" i="8"/>
  <c r="W210" i="5"/>
  <c r="U126" i="5"/>
  <c r="AJ153" i="8"/>
  <c r="X126" i="5"/>
  <c r="AK153" i="8"/>
  <c r="AC210" i="5"/>
  <c r="AA126" i="5"/>
  <c r="AL153" i="8"/>
  <c r="AF210" i="5"/>
  <c r="AD126" i="5"/>
  <c r="AM153" i="8"/>
  <c r="AI210" i="5"/>
  <c r="AG126" i="5"/>
  <c r="AN153" i="8"/>
  <c r="AL210" i="5"/>
  <c r="AJ126" i="5"/>
  <c r="AO153" i="8"/>
  <c r="A154" i="8"/>
  <c r="E223" i="5"/>
  <c r="E279" i="5"/>
  <c r="E150" i="5"/>
  <c r="AD154" i="8"/>
  <c r="H223" i="5"/>
  <c r="H279" i="5"/>
  <c r="H150" i="5"/>
  <c r="AE154" i="8"/>
  <c r="K279" i="5"/>
  <c r="AF154" i="8"/>
  <c r="N279" i="5"/>
  <c r="L127" i="5"/>
  <c r="AG154" i="8"/>
  <c r="O127" i="5"/>
  <c r="AH154" i="8"/>
  <c r="R127" i="5"/>
  <c r="AI154" i="8"/>
  <c r="W223" i="5"/>
  <c r="W279" i="5"/>
  <c r="W150" i="5"/>
  <c r="U127" i="5"/>
  <c r="AJ154" i="8"/>
  <c r="X127" i="5"/>
  <c r="AK154" i="8"/>
  <c r="AC150" i="5"/>
  <c r="AA127" i="5"/>
  <c r="AL154" i="8"/>
  <c r="AF150" i="5"/>
  <c r="AD127" i="5"/>
  <c r="AM154" i="8"/>
  <c r="AI150" i="5"/>
  <c r="AG127" i="5"/>
  <c r="AN154" i="8"/>
  <c r="AL150" i="5"/>
  <c r="AJ127" i="5"/>
  <c r="AO154" i="8"/>
  <c r="E268" i="5"/>
  <c r="A155" i="8"/>
  <c r="AD155" i="8"/>
  <c r="AE155" i="8"/>
  <c r="K268" i="5"/>
  <c r="AF155" i="8"/>
  <c r="L128" i="5"/>
  <c r="AG155" i="8"/>
  <c r="O128" i="5"/>
  <c r="AH155" i="8"/>
  <c r="R128" i="5"/>
  <c r="AI155" i="8"/>
  <c r="W268" i="5"/>
  <c r="U128" i="5"/>
  <c r="AJ155" i="8"/>
  <c r="X128" i="5"/>
  <c r="AK155" i="8"/>
  <c r="AA128" i="5"/>
  <c r="AL155" i="8"/>
  <c r="AD128" i="5"/>
  <c r="AM155" i="8"/>
  <c r="AG128" i="5"/>
  <c r="AN155" i="8"/>
  <c r="AJ128" i="5"/>
  <c r="AO155" i="8"/>
  <c r="A156" i="8"/>
  <c r="AD156" i="8"/>
  <c r="AE156" i="8"/>
  <c r="I129" i="5"/>
  <c r="AF156" i="8"/>
  <c r="L129" i="5"/>
  <c r="AG156" i="8"/>
  <c r="O129" i="5"/>
  <c r="AH156" i="8"/>
  <c r="R129" i="5"/>
  <c r="AI156" i="8"/>
  <c r="U129" i="5"/>
  <c r="AJ156" i="8"/>
  <c r="X129" i="5"/>
  <c r="AK156" i="8"/>
  <c r="AA129" i="5"/>
  <c r="AL156" i="8"/>
  <c r="AD129" i="5"/>
  <c r="AM156" i="8"/>
  <c r="AG129" i="5"/>
  <c r="AN156" i="8"/>
  <c r="AJ129" i="5"/>
  <c r="AO156" i="8"/>
  <c r="E371" i="5"/>
  <c r="A157" i="8"/>
  <c r="AD157" i="8"/>
  <c r="H371" i="5"/>
  <c r="H393" i="5"/>
  <c r="AE157" i="8"/>
  <c r="K371" i="5"/>
  <c r="I130" i="5"/>
  <c r="AF157" i="8"/>
  <c r="L130" i="5"/>
  <c r="AG157" i="8"/>
  <c r="O130" i="5"/>
  <c r="AH157" i="8"/>
  <c r="R130" i="5"/>
  <c r="AI157" i="8"/>
  <c r="W371" i="5"/>
  <c r="U130" i="5"/>
  <c r="AJ157" i="8"/>
  <c r="X130" i="5"/>
  <c r="AK157" i="8"/>
  <c r="AA130" i="5"/>
  <c r="AL157" i="8"/>
  <c r="AD130" i="5"/>
  <c r="AM157" i="8"/>
  <c r="AG130" i="5"/>
  <c r="AN157" i="8"/>
  <c r="AJ130" i="5"/>
  <c r="AO157" i="8"/>
  <c r="A158" i="8"/>
  <c r="E171" i="5"/>
  <c r="E394" i="5"/>
  <c r="AD158" i="8"/>
  <c r="H171" i="5"/>
  <c r="H394" i="5"/>
  <c r="AE158" i="8"/>
  <c r="I131" i="5"/>
  <c r="AF158" i="8"/>
  <c r="L131" i="5"/>
  <c r="AG158" i="8"/>
  <c r="O131" i="5"/>
  <c r="AH158" i="8"/>
  <c r="R131" i="5"/>
  <c r="AI158" i="8"/>
  <c r="W171" i="5"/>
  <c r="W394" i="5"/>
  <c r="U131" i="5"/>
  <c r="AJ158" i="8"/>
  <c r="X131" i="5"/>
  <c r="AK158" i="8"/>
  <c r="AC394" i="5"/>
  <c r="AA131" i="5"/>
  <c r="AL158" i="8"/>
  <c r="AF394" i="5"/>
  <c r="AD131" i="5"/>
  <c r="AM158" i="8"/>
  <c r="AI394" i="5"/>
  <c r="AG131" i="5"/>
  <c r="AN158" i="8"/>
  <c r="AL394" i="5"/>
  <c r="AJ131" i="5"/>
  <c r="AO158" i="8"/>
  <c r="A159" i="8"/>
  <c r="AD159" i="8"/>
  <c r="AE159" i="8"/>
  <c r="AF159" i="8"/>
  <c r="L132" i="5"/>
  <c r="AG159" i="8"/>
  <c r="O132" i="5"/>
  <c r="AH159" i="8"/>
  <c r="R132" i="5"/>
  <c r="AI159" i="8"/>
  <c r="U132" i="5"/>
  <c r="AJ159" i="8"/>
  <c r="X132" i="5"/>
  <c r="AK159" i="8"/>
  <c r="AA132" i="5"/>
  <c r="AL159" i="8"/>
  <c r="AD132" i="5"/>
  <c r="AM159" i="8"/>
  <c r="AG132" i="5"/>
  <c r="AN159" i="8"/>
  <c r="AJ132" i="5"/>
  <c r="AO159" i="8"/>
  <c r="A160" i="8"/>
  <c r="AD160" i="8"/>
  <c r="AE160" i="8"/>
  <c r="AF160" i="8"/>
  <c r="N254" i="5"/>
  <c r="L133" i="5"/>
  <c r="AG160" i="8"/>
  <c r="O133" i="5"/>
  <c r="AH160" i="8"/>
  <c r="R133" i="5"/>
  <c r="AI160" i="8"/>
  <c r="U133" i="5"/>
  <c r="AJ160" i="8"/>
  <c r="X133" i="5"/>
  <c r="AK160" i="8"/>
  <c r="AA133" i="5"/>
  <c r="AL160" i="8"/>
  <c r="AD133" i="5"/>
  <c r="AM160" i="8"/>
  <c r="AG133" i="5"/>
  <c r="AN160" i="8"/>
  <c r="AJ133" i="5"/>
  <c r="AO160" i="8"/>
  <c r="A161" i="8"/>
  <c r="AD161" i="8"/>
  <c r="AE161" i="8"/>
  <c r="AF161" i="8"/>
  <c r="L134" i="5"/>
  <c r="AG161" i="8"/>
  <c r="O134" i="5"/>
  <c r="AH161" i="8"/>
  <c r="R134" i="5"/>
  <c r="AI161" i="8"/>
  <c r="U134" i="5"/>
  <c r="AJ161" i="8"/>
  <c r="X134" i="5"/>
  <c r="AK161" i="8"/>
  <c r="AA134" i="5"/>
  <c r="AL161" i="8"/>
  <c r="AD134" i="5"/>
  <c r="AM161" i="8"/>
  <c r="AG134" i="5"/>
  <c r="AN161" i="8"/>
  <c r="AJ134" i="5"/>
  <c r="AO161" i="8"/>
  <c r="A162" i="8"/>
  <c r="AD162" i="8"/>
  <c r="H395" i="5"/>
  <c r="AE162" i="8"/>
  <c r="I135" i="5"/>
  <c r="AF162" i="8"/>
  <c r="L135" i="5"/>
  <c r="AG162" i="8"/>
  <c r="O135" i="5"/>
  <c r="AH162" i="8"/>
  <c r="R135" i="5"/>
  <c r="AI162" i="8"/>
  <c r="U135" i="5"/>
  <c r="AJ162" i="8"/>
  <c r="X135" i="5"/>
  <c r="AK162" i="8"/>
  <c r="AA135" i="5"/>
  <c r="AL162" i="8"/>
  <c r="AD135" i="5"/>
  <c r="AM162" i="8"/>
  <c r="AG135" i="5"/>
  <c r="AN162" i="8"/>
  <c r="AJ135" i="5"/>
  <c r="AO162" i="8"/>
  <c r="A163" i="8"/>
  <c r="AD163" i="8"/>
  <c r="H396" i="5"/>
  <c r="AE163" i="8"/>
  <c r="I136" i="5"/>
  <c r="AF163" i="8"/>
  <c r="L136" i="5"/>
  <c r="AG163" i="8"/>
  <c r="O136" i="5"/>
  <c r="AH163" i="8"/>
  <c r="R136" i="5"/>
  <c r="AI163" i="8"/>
  <c r="U136" i="5"/>
  <c r="AJ163" i="8"/>
  <c r="X136" i="5"/>
  <c r="AK163" i="8"/>
  <c r="AA136" i="5"/>
  <c r="AL163" i="8"/>
  <c r="AD136" i="5"/>
  <c r="AM163" i="8"/>
  <c r="AG136" i="5"/>
  <c r="AN163" i="8"/>
  <c r="AJ136" i="5"/>
  <c r="AO163" i="8"/>
  <c r="A164" i="8"/>
  <c r="E397" i="5"/>
  <c r="AD164" i="8"/>
  <c r="H397" i="5"/>
  <c r="AE164" i="8"/>
  <c r="I137" i="5"/>
  <c r="AF164" i="8"/>
  <c r="L137" i="5"/>
  <c r="AG164" i="8"/>
  <c r="O137" i="5"/>
  <c r="AH164" i="8"/>
  <c r="R137" i="5"/>
  <c r="AI164" i="8"/>
  <c r="W397" i="5"/>
  <c r="U137" i="5"/>
  <c r="AJ164" i="8"/>
  <c r="X137" i="5"/>
  <c r="AK164" i="8"/>
  <c r="AC397" i="5"/>
  <c r="AA137" i="5"/>
  <c r="AL164" i="8"/>
  <c r="AF397" i="5"/>
  <c r="AD137" i="5"/>
  <c r="AM164" i="8"/>
  <c r="AI397" i="5"/>
  <c r="AG137" i="5"/>
  <c r="AN164" i="8"/>
  <c r="AL397" i="5"/>
  <c r="AJ137" i="5"/>
  <c r="AO164" i="8"/>
  <c r="A165" i="8"/>
  <c r="AD165" i="8"/>
  <c r="AE165" i="8"/>
  <c r="I138" i="5"/>
  <c r="AF165" i="8"/>
  <c r="L138" i="5"/>
  <c r="AG165" i="8"/>
  <c r="O138" i="5"/>
  <c r="AH165" i="8"/>
  <c r="R138" i="5"/>
  <c r="AI165" i="8"/>
  <c r="U138" i="5"/>
  <c r="AJ165" i="8"/>
  <c r="X138" i="5"/>
  <c r="AK165" i="8"/>
  <c r="AA138" i="5"/>
  <c r="AL165" i="8"/>
  <c r="AD138" i="5"/>
  <c r="AM165" i="8"/>
  <c r="AG138" i="5"/>
  <c r="AN165" i="8"/>
  <c r="AJ138" i="5"/>
  <c r="AO165" i="8"/>
  <c r="A166" i="8"/>
  <c r="E399" i="5"/>
  <c r="AD166" i="8"/>
  <c r="H399" i="5"/>
  <c r="AE166" i="8"/>
  <c r="I139" i="5"/>
  <c r="AF166" i="8"/>
  <c r="L139" i="5"/>
  <c r="AG166" i="8"/>
  <c r="O139" i="5"/>
  <c r="AH166" i="8"/>
  <c r="R139" i="5"/>
  <c r="AI166" i="8"/>
  <c r="W399" i="5"/>
  <c r="U139" i="5"/>
  <c r="AJ166" i="8"/>
  <c r="X139" i="5"/>
  <c r="AK166" i="8"/>
  <c r="AC399" i="5"/>
  <c r="AA139" i="5"/>
  <c r="AL166" i="8"/>
  <c r="AF399" i="5"/>
  <c r="AD139" i="5"/>
  <c r="AM166" i="8"/>
  <c r="AI399" i="5"/>
  <c r="AG139" i="5"/>
  <c r="AN166" i="8"/>
  <c r="AL399" i="5"/>
  <c r="AJ139" i="5"/>
  <c r="AO166" i="8"/>
  <c r="A167" i="8"/>
  <c r="AD167" i="8"/>
  <c r="AE167" i="8"/>
  <c r="I140" i="5"/>
  <c r="AF167" i="8"/>
  <c r="L140" i="5"/>
  <c r="AG167" i="8"/>
  <c r="O140" i="5"/>
  <c r="AH167" i="8"/>
  <c r="R140" i="5"/>
  <c r="AI167" i="8"/>
  <c r="U140" i="5"/>
  <c r="AJ167" i="8"/>
  <c r="X140" i="5"/>
  <c r="AK167" i="8"/>
  <c r="AA140" i="5"/>
  <c r="AL167" i="8"/>
  <c r="AD140" i="5"/>
  <c r="AM167" i="8"/>
  <c r="AG140" i="5"/>
  <c r="AN167" i="8"/>
  <c r="AJ140" i="5"/>
  <c r="AO167" i="8"/>
  <c r="A168" i="8"/>
  <c r="AD168" i="8"/>
  <c r="H401" i="5"/>
  <c r="AE168" i="8"/>
  <c r="I141" i="5"/>
  <c r="AF168" i="8"/>
  <c r="L141" i="5"/>
  <c r="AG168" i="8"/>
  <c r="O141" i="5"/>
  <c r="AH168" i="8"/>
  <c r="R141" i="5"/>
  <c r="AI168" i="8"/>
  <c r="U141" i="5"/>
  <c r="AJ168" i="8"/>
  <c r="X141" i="5"/>
  <c r="AK168" i="8"/>
  <c r="AA141" i="5"/>
  <c r="AL168" i="8"/>
  <c r="AD141" i="5"/>
  <c r="AM168" i="8"/>
  <c r="AG141" i="5"/>
  <c r="AN168" i="8"/>
  <c r="AJ141" i="5"/>
  <c r="AO168" i="8"/>
  <c r="E317" i="5"/>
  <c r="A169" i="8"/>
  <c r="E272" i="5"/>
  <c r="E402" i="5"/>
  <c r="AD169" i="8"/>
  <c r="H317" i="5"/>
  <c r="H272" i="5"/>
  <c r="H402" i="5"/>
  <c r="AE169" i="8"/>
  <c r="K272" i="5"/>
  <c r="I142" i="5"/>
  <c r="AF169" i="8"/>
  <c r="N272" i="5"/>
  <c r="L142" i="5"/>
  <c r="AG169" i="8"/>
  <c r="O142" i="5"/>
  <c r="AH169" i="8"/>
  <c r="R142" i="5"/>
  <c r="AI169" i="8"/>
  <c r="W317" i="5"/>
  <c r="W272" i="5"/>
  <c r="W402" i="5"/>
  <c r="U142" i="5"/>
  <c r="AJ169" i="8"/>
  <c r="X142" i="5"/>
  <c r="AK169" i="8"/>
  <c r="AC402" i="5"/>
  <c r="AA142" i="5"/>
  <c r="AL169" i="8"/>
  <c r="AF402" i="5"/>
  <c r="AD142" i="5"/>
  <c r="AM169" i="8"/>
  <c r="AI402" i="5"/>
  <c r="AG142" i="5"/>
  <c r="AN169" i="8"/>
  <c r="AL402" i="5"/>
  <c r="AJ142" i="5"/>
  <c r="AO169" i="8"/>
  <c r="A170" i="8"/>
  <c r="AD170" i="8"/>
  <c r="H153" i="5"/>
  <c r="AE170" i="8"/>
  <c r="AF170" i="8"/>
  <c r="N334" i="5"/>
  <c r="L143" i="5"/>
  <c r="AG170" i="8"/>
  <c r="O143" i="5"/>
  <c r="AH170" i="8"/>
  <c r="R143" i="5"/>
  <c r="AI170" i="8"/>
  <c r="U143" i="5"/>
  <c r="AJ170" i="8"/>
  <c r="X143" i="5"/>
  <c r="AK170" i="8"/>
  <c r="AA143" i="5"/>
  <c r="AL170" i="8"/>
  <c r="AD143" i="5"/>
  <c r="AM170" i="8"/>
  <c r="AG143" i="5"/>
  <c r="AN170" i="8"/>
  <c r="AJ143" i="5"/>
  <c r="AO170" i="8"/>
  <c r="A171" i="8"/>
  <c r="E403" i="5"/>
  <c r="AD171" i="8"/>
  <c r="H403" i="5"/>
  <c r="AE171" i="8"/>
  <c r="AF171" i="8"/>
  <c r="L144" i="5"/>
  <c r="AG171" i="8"/>
  <c r="O144" i="5"/>
  <c r="AH171" i="8"/>
  <c r="R144" i="5"/>
  <c r="AI171" i="8"/>
  <c r="W403" i="5"/>
  <c r="U144" i="5"/>
  <c r="AJ171" i="8"/>
  <c r="X144" i="5"/>
  <c r="AK171" i="8"/>
  <c r="AC403" i="5"/>
  <c r="AA144" i="5"/>
  <c r="AL171" i="8"/>
  <c r="AF403" i="5"/>
  <c r="AD144" i="5"/>
  <c r="AM171" i="8"/>
  <c r="AI403" i="5"/>
  <c r="AG144" i="5"/>
  <c r="AN171" i="8"/>
  <c r="AL403" i="5"/>
  <c r="AJ144" i="5"/>
  <c r="AO171" i="8"/>
  <c r="A172" i="8"/>
  <c r="E154" i="5"/>
  <c r="AD172" i="8"/>
  <c r="H154" i="5"/>
  <c r="AE172" i="8"/>
  <c r="I145" i="5"/>
  <c r="AF172" i="8"/>
  <c r="L145" i="5"/>
  <c r="AG172" i="8"/>
  <c r="O145" i="5"/>
  <c r="AH172" i="8"/>
  <c r="R145" i="5"/>
  <c r="AI172" i="8"/>
  <c r="W154" i="5"/>
  <c r="U145" i="5"/>
  <c r="AJ172" i="8"/>
  <c r="X145" i="5"/>
  <c r="AK172" i="8"/>
  <c r="AC154" i="5"/>
  <c r="AA145" i="5"/>
  <c r="AL172" i="8"/>
  <c r="AF154" i="5"/>
  <c r="AD145" i="5"/>
  <c r="AM172" i="8"/>
  <c r="AI154" i="5"/>
  <c r="AG145" i="5"/>
  <c r="AN172" i="8"/>
  <c r="AL154" i="5"/>
  <c r="AJ145" i="5"/>
  <c r="AO172" i="8"/>
  <c r="A173" i="8"/>
  <c r="E5" i="5"/>
  <c r="E189" i="5"/>
  <c r="AD173" i="8"/>
  <c r="H5" i="5"/>
  <c r="H189" i="5"/>
  <c r="AE173" i="8"/>
  <c r="K5" i="5"/>
  <c r="AF173" i="8"/>
  <c r="N5" i="5"/>
  <c r="L147" i="5"/>
  <c r="AG173" i="8"/>
  <c r="O147" i="5"/>
  <c r="AH173" i="8"/>
  <c r="R147" i="5"/>
  <c r="AI173" i="8"/>
  <c r="W5" i="5"/>
  <c r="W189" i="5"/>
  <c r="U147" i="5"/>
  <c r="AJ173" i="8"/>
  <c r="X147" i="5"/>
  <c r="AK173" i="8"/>
  <c r="AC189" i="5"/>
  <c r="AA147" i="5"/>
  <c r="AL173" i="8"/>
  <c r="AF189" i="5"/>
  <c r="AD147" i="5"/>
  <c r="AM173" i="8"/>
  <c r="AI189" i="5"/>
  <c r="AG147" i="5"/>
  <c r="AN173" i="8"/>
  <c r="AL189" i="5"/>
  <c r="AJ147" i="5"/>
  <c r="AO173" i="8"/>
  <c r="A174" i="8"/>
  <c r="E360" i="5"/>
  <c r="E155" i="5"/>
  <c r="AD174" i="8"/>
  <c r="H360" i="5"/>
  <c r="H155" i="5"/>
  <c r="AE174" i="8"/>
  <c r="K360" i="5"/>
  <c r="I148" i="5"/>
  <c r="AF174" i="8"/>
  <c r="N360" i="5"/>
  <c r="L148" i="5"/>
  <c r="AG174" i="8"/>
  <c r="O148" i="5"/>
  <c r="AH174" i="8"/>
  <c r="R148" i="5"/>
  <c r="AI174" i="8"/>
  <c r="W360" i="5"/>
  <c r="W155" i="5"/>
  <c r="U148" i="5"/>
  <c r="AJ174" i="8"/>
  <c r="X148" i="5"/>
  <c r="AK174" i="8"/>
  <c r="AC155" i="5"/>
  <c r="AA148" i="5"/>
  <c r="AL174" i="8"/>
  <c r="AF155" i="5"/>
  <c r="AD148" i="5"/>
  <c r="AM174" i="8"/>
  <c r="AI155" i="5"/>
  <c r="AG148" i="5"/>
  <c r="AN174" i="8"/>
  <c r="AL155" i="5"/>
  <c r="AJ148" i="5"/>
  <c r="AO174" i="8"/>
  <c r="A175" i="8"/>
  <c r="E289" i="5"/>
  <c r="AD175" i="8"/>
  <c r="H289" i="5"/>
  <c r="AE175" i="8"/>
  <c r="K289" i="5"/>
  <c r="I149" i="5"/>
  <c r="AF175" i="8"/>
  <c r="N289" i="5"/>
  <c r="L149" i="5"/>
  <c r="AG175" i="8"/>
  <c r="O149" i="5"/>
  <c r="AH175" i="8"/>
  <c r="R149" i="5"/>
  <c r="AI175" i="8"/>
  <c r="W289" i="5"/>
  <c r="U149" i="5"/>
  <c r="AJ175" i="8"/>
  <c r="X149" i="5"/>
  <c r="AK175" i="8"/>
  <c r="AA149" i="5"/>
  <c r="AL175" i="8"/>
  <c r="AD149" i="5"/>
  <c r="AM175" i="8"/>
  <c r="AG149" i="5"/>
  <c r="AN175" i="8"/>
  <c r="AJ149" i="5"/>
  <c r="AO175" i="8"/>
  <c r="A176" i="8"/>
  <c r="E190" i="5"/>
  <c r="AD176" i="8"/>
  <c r="H190" i="5"/>
  <c r="AE176" i="8"/>
  <c r="AF176" i="8"/>
  <c r="L150" i="5"/>
  <c r="AG176" i="8"/>
  <c r="O150" i="5"/>
  <c r="AH176" i="8"/>
  <c r="R150" i="5"/>
  <c r="AI176" i="8"/>
  <c r="W190" i="5"/>
  <c r="U150" i="5"/>
  <c r="AJ176" i="8"/>
  <c r="X150" i="5"/>
  <c r="AK176" i="8"/>
  <c r="AC190" i="5"/>
  <c r="AA150" i="5"/>
  <c r="AL176" i="8"/>
  <c r="AF190" i="5"/>
  <c r="AD150" i="5"/>
  <c r="AM176" i="8"/>
  <c r="AI190" i="5"/>
  <c r="AG150" i="5"/>
  <c r="AN176" i="8"/>
  <c r="AL190" i="5"/>
  <c r="AJ150" i="5"/>
  <c r="AO176" i="8"/>
  <c r="A177" i="8"/>
  <c r="E302" i="5"/>
  <c r="E191" i="5"/>
  <c r="AD177" i="8"/>
  <c r="H302" i="5"/>
  <c r="H191" i="5"/>
  <c r="AE177" i="8"/>
  <c r="K302" i="5"/>
  <c r="I151" i="5"/>
  <c r="AF177" i="8"/>
  <c r="N302" i="5"/>
  <c r="L151" i="5"/>
  <c r="AG177" i="8"/>
  <c r="O151" i="5"/>
  <c r="AH177" i="8"/>
  <c r="R151" i="5"/>
  <c r="AI177" i="8"/>
  <c r="W302" i="5"/>
  <c r="W191" i="5"/>
  <c r="U151" i="5"/>
  <c r="AJ177" i="8"/>
  <c r="X151" i="5"/>
  <c r="AK177" i="8"/>
  <c r="AC191" i="5"/>
  <c r="AA151" i="5"/>
  <c r="AL177" i="8"/>
  <c r="AF191" i="5"/>
  <c r="AD151" i="5"/>
  <c r="AM177" i="8"/>
  <c r="AI191" i="5"/>
  <c r="AG151" i="5"/>
  <c r="AN177" i="8"/>
  <c r="AL191" i="5"/>
  <c r="AJ151" i="5"/>
  <c r="AO177" i="8"/>
  <c r="E271" i="5"/>
  <c r="A178" i="8"/>
  <c r="E192" i="5"/>
  <c r="AD178" i="8"/>
  <c r="H192" i="5"/>
  <c r="AE178" i="8"/>
  <c r="K271" i="5"/>
  <c r="I152" i="5"/>
  <c r="AF178" i="8"/>
  <c r="L152" i="5"/>
  <c r="AG178" i="8"/>
  <c r="O152" i="5"/>
  <c r="AH178" i="8"/>
  <c r="R152" i="5"/>
  <c r="AI178" i="8"/>
  <c r="W271" i="5"/>
  <c r="W192" i="5"/>
  <c r="U152" i="5"/>
  <c r="AJ178" i="8"/>
  <c r="X152" i="5"/>
  <c r="AK178" i="8"/>
  <c r="AC192" i="5"/>
  <c r="AA152" i="5"/>
  <c r="AL178" i="8"/>
  <c r="AF192" i="5"/>
  <c r="AD152" i="5"/>
  <c r="AM178" i="8"/>
  <c r="AI192" i="5"/>
  <c r="AG152" i="5"/>
  <c r="AN178" i="8"/>
  <c r="AL192" i="5"/>
  <c r="AJ152" i="5"/>
  <c r="AO178" i="8"/>
  <c r="A179" i="8"/>
  <c r="AD179" i="8"/>
  <c r="H193" i="5"/>
  <c r="AE179" i="8"/>
  <c r="AF179" i="8"/>
  <c r="L153" i="5"/>
  <c r="AG179" i="8"/>
  <c r="O153" i="5"/>
  <c r="AH179" i="8"/>
  <c r="R153" i="5"/>
  <c r="AI179" i="8"/>
  <c r="U153" i="5"/>
  <c r="AJ179" i="8"/>
  <c r="X153" i="5"/>
  <c r="AK179" i="8"/>
  <c r="AA153" i="5"/>
  <c r="AL179" i="8"/>
  <c r="AD153" i="5"/>
  <c r="AM179" i="8"/>
  <c r="AG153" i="5"/>
  <c r="AN179" i="8"/>
  <c r="AJ153" i="5"/>
  <c r="AO179" i="8"/>
  <c r="A180" i="8"/>
  <c r="E240" i="5"/>
  <c r="AD180" i="8"/>
  <c r="H240" i="5"/>
  <c r="AE180" i="8"/>
  <c r="K240" i="5"/>
  <c r="AF180" i="8"/>
  <c r="N240" i="5"/>
  <c r="L154" i="5"/>
  <c r="AG180" i="8"/>
  <c r="O154" i="5"/>
  <c r="AH180" i="8"/>
  <c r="R154" i="5"/>
  <c r="AI180" i="8"/>
  <c r="W240" i="5"/>
  <c r="U154" i="5"/>
  <c r="AJ180" i="8"/>
  <c r="X154" i="5"/>
  <c r="AK180" i="8"/>
  <c r="AA154" i="5"/>
  <c r="AL180" i="8"/>
  <c r="AD154" i="5"/>
  <c r="AM180" i="8"/>
  <c r="AG154" i="5"/>
  <c r="AN180" i="8"/>
  <c r="AJ154" i="5"/>
  <c r="AO180" i="8"/>
  <c r="A181" i="8"/>
  <c r="AD181" i="8"/>
  <c r="AE181" i="8"/>
  <c r="AF181" i="8"/>
  <c r="L155" i="5"/>
  <c r="AG181" i="8"/>
  <c r="O155" i="5"/>
  <c r="AH181" i="8"/>
  <c r="R155" i="5"/>
  <c r="AI181" i="8"/>
  <c r="U155" i="5"/>
  <c r="AJ181" i="8"/>
  <c r="X155" i="5"/>
  <c r="AK181" i="8"/>
  <c r="AA155" i="5"/>
  <c r="AL181" i="8"/>
  <c r="AD155" i="5"/>
  <c r="AM181" i="8"/>
  <c r="AG155" i="5"/>
  <c r="AN181" i="8"/>
  <c r="AJ155" i="5"/>
  <c r="AO181" i="8"/>
  <c r="A182" i="8"/>
  <c r="E183" i="5"/>
  <c r="E194" i="5"/>
  <c r="AD182" i="8"/>
  <c r="H183" i="5"/>
  <c r="H194" i="5"/>
  <c r="AE182" i="8"/>
  <c r="K183" i="5"/>
  <c r="AF182" i="8"/>
  <c r="N183" i="5"/>
  <c r="AG182" i="8"/>
  <c r="AH182" i="8"/>
  <c r="AI182" i="8"/>
  <c r="W183" i="5"/>
  <c r="W194" i="5"/>
  <c r="AJ182" i="8"/>
  <c r="AK182" i="8"/>
  <c r="AC194" i="5"/>
  <c r="AL182" i="8"/>
  <c r="AF194" i="5"/>
  <c r="AM182" i="8"/>
  <c r="AI194" i="5"/>
  <c r="AN182" i="8"/>
  <c r="AL194" i="5"/>
  <c r="AO182" i="8"/>
  <c r="A183" i="8"/>
  <c r="E158" i="5"/>
  <c r="AD183" i="8"/>
  <c r="AE183" i="8"/>
  <c r="I158" i="5"/>
  <c r="AF183" i="8"/>
  <c r="L158" i="5"/>
  <c r="AG183" i="8"/>
  <c r="O158" i="5"/>
  <c r="AH183" i="8"/>
  <c r="R158" i="5"/>
  <c r="AI183" i="8"/>
  <c r="W158" i="5"/>
  <c r="U158" i="5"/>
  <c r="AJ183" i="8"/>
  <c r="X158" i="5"/>
  <c r="AK183" i="8"/>
  <c r="AC158" i="5"/>
  <c r="AA158" i="5"/>
  <c r="AL183" i="8"/>
  <c r="AF158" i="5"/>
  <c r="AD158" i="5"/>
  <c r="AM183" i="8"/>
  <c r="AI158" i="5"/>
  <c r="AG158" i="5"/>
  <c r="AN183" i="8"/>
  <c r="AL158" i="5"/>
  <c r="AJ158" i="5"/>
  <c r="AO183" i="8"/>
  <c r="A184" i="8"/>
  <c r="AD184" i="8"/>
  <c r="AE184" i="8"/>
  <c r="I159" i="5"/>
  <c r="AF184" i="8"/>
  <c r="L159" i="5"/>
  <c r="AG184" i="8"/>
  <c r="O159" i="5"/>
  <c r="AH184" i="8"/>
  <c r="R159" i="5"/>
  <c r="AI184" i="8"/>
  <c r="U159" i="5"/>
  <c r="AJ184" i="8"/>
  <c r="X159" i="5"/>
  <c r="AK184" i="8"/>
  <c r="AA159" i="5"/>
  <c r="AL184" i="8"/>
  <c r="AD159" i="5"/>
  <c r="AM184" i="8"/>
  <c r="AG159" i="5"/>
  <c r="AN184" i="8"/>
  <c r="AJ159" i="5"/>
  <c r="AO184" i="8"/>
  <c r="A185" i="8"/>
  <c r="AD185" i="8"/>
  <c r="H197" i="5"/>
  <c r="AE185" i="8"/>
  <c r="I160" i="5"/>
  <c r="AF185" i="8"/>
  <c r="L160" i="5"/>
  <c r="AG185" i="8"/>
  <c r="O160" i="5"/>
  <c r="AH185" i="8"/>
  <c r="R160" i="5"/>
  <c r="AI185" i="8"/>
  <c r="U160" i="5"/>
  <c r="AJ185" i="8"/>
  <c r="X160" i="5"/>
  <c r="AK185" i="8"/>
  <c r="AA160" i="5"/>
  <c r="AL185" i="8"/>
  <c r="AD160" i="5"/>
  <c r="AM185" i="8"/>
  <c r="AG160" i="5"/>
  <c r="AN185" i="8"/>
  <c r="AO185" i="8"/>
  <c r="A186" i="8"/>
  <c r="AD186" i="8"/>
  <c r="H271" i="5"/>
  <c r="AE186" i="8"/>
  <c r="AF186" i="8"/>
  <c r="N271" i="5"/>
  <c r="AG186" i="8"/>
  <c r="AH186" i="8"/>
  <c r="R161" i="5"/>
  <c r="AI186" i="8"/>
  <c r="U161" i="5"/>
  <c r="AJ186" i="8"/>
  <c r="X161" i="5"/>
  <c r="AK186" i="8"/>
  <c r="AA161" i="5"/>
  <c r="AC161" i="5"/>
  <c r="AL186" i="8"/>
  <c r="A187" i="8"/>
  <c r="AD187" i="8"/>
  <c r="H268" i="5"/>
  <c r="AE187" i="8"/>
  <c r="AF187" i="8"/>
  <c r="N268" i="5"/>
  <c r="AG187" i="8"/>
  <c r="AH187" i="8"/>
  <c r="R162" i="5"/>
  <c r="AI187" i="8"/>
  <c r="U162" i="5"/>
  <c r="AJ187" i="8"/>
  <c r="X162" i="5"/>
  <c r="AK187" i="8"/>
  <c r="AA162" i="5"/>
  <c r="AC162" i="5"/>
  <c r="AL187" i="8"/>
  <c r="A188" i="8"/>
  <c r="E163" i="5"/>
  <c r="AD188" i="8"/>
  <c r="H163" i="5"/>
  <c r="AE188" i="8"/>
  <c r="K163" i="5"/>
  <c r="AF188" i="8"/>
  <c r="N163" i="5"/>
  <c r="AG188" i="8"/>
  <c r="AH188" i="8"/>
  <c r="R163" i="5"/>
  <c r="AI188" i="8"/>
  <c r="W163" i="5"/>
  <c r="U163" i="5"/>
  <c r="AJ188" i="8"/>
  <c r="X163" i="5"/>
  <c r="AK188" i="8"/>
  <c r="AA163" i="5"/>
  <c r="AC163" i="5"/>
  <c r="AL188" i="8"/>
  <c r="A189" i="8"/>
  <c r="AD189" i="8"/>
  <c r="AE189" i="8"/>
  <c r="I164" i="5"/>
  <c r="AF189" i="8"/>
  <c r="AG189" i="8"/>
  <c r="AH189" i="8"/>
  <c r="R164" i="5"/>
  <c r="AI189" i="8"/>
  <c r="U164" i="5"/>
  <c r="AJ189" i="8"/>
  <c r="X164" i="5"/>
  <c r="AK189" i="8"/>
  <c r="AA164" i="5"/>
  <c r="AL189" i="8"/>
  <c r="A190" i="8"/>
  <c r="E369" i="5"/>
  <c r="AD190" i="8"/>
  <c r="H369" i="5"/>
  <c r="AE190" i="8"/>
  <c r="AF190" i="8"/>
  <c r="N369" i="5"/>
  <c r="AG190" i="8"/>
  <c r="AH190" i="8"/>
  <c r="R165" i="5"/>
  <c r="AI190" i="8"/>
  <c r="U165" i="5"/>
  <c r="AJ190" i="8"/>
  <c r="X165" i="5"/>
  <c r="AK190" i="8"/>
  <c r="AA165" i="5"/>
  <c r="AC165" i="5"/>
  <c r="AL190" i="8"/>
  <c r="A191" i="8"/>
  <c r="E370" i="5"/>
  <c r="AD191" i="8"/>
  <c r="H370" i="5"/>
  <c r="AE191" i="8"/>
  <c r="K370" i="5"/>
  <c r="I166" i="5"/>
  <c r="AF191" i="8"/>
  <c r="N370" i="5"/>
  <c r="AG191" i="8"/>
  <c r="AH191" i="8"/>
  <c r="R166" i="5"/>
  <c r="AI191" i="8"/>
  <c r="W370" i="5"/>
  <c r="U166" i="5"/>
  <c r="AJ191" i="8"/>
  <c r="X166" i="5"/>
  <c r="AK191" i="8"/>
  <c r="AA166" i="5"/>
  <c r="AC166" i="5"/>
  <c r="AL191" i="8"/>
  <c r="A192" i="8"/>
  <c r="AD192" i="8"/>
  <c r="AE192" i="8"/>
  <c r="I167" i="5"/>
  <c r="AF192" i="8"/>
  <c r="AG192" i="8"/>
  <c r="AH192" i="8"/>
  <c r="R167" i="5"/>
  <c r="AI192" i="8"/>
  <c r="U167" i="5"/>
  <c r="AJ192" i="8"/>
  <c r="X167" i="5"/>
  <c r="AK192" i="8"/>
  <c r="AA167" i="5"/>
  <c r="AC167" i="5"/>
  <c r="AL192" i="8"/>
  <c r="A193" i="8"/>
  <c r="AD193" i="8"/>
  <c r="AE193" i="8"/>
  <c r="I168" i="5"/>
  <c r="AF193" i="8"/>
  <c r="AG193" i="8"/>
  <c r="AH193" i="8"/>
  <c r="R168" i="5"/>
  <c r="AI193" i="8"/>
  <c r="U168" i="5"/>
  <c r="AJ193" i="8"/>
  <c r="X168" i="5"/>
  <c r="AK193" i="8"/>
  <c r="AA168" i="5"/>
  <c r="AC168" i="5"/>
  <c r="AL193" i="8"/>
  <c r="A194" i="8"/>
  <c r="AD194" i="8"/>
  <c r="H247" i="5"/>
  <c r="AE194" i="8"/>
  <c r="AF194" i="8"/>
  <c r="N247" i="5"/>
  <c r="L169" i="5"/>
  <c r="AG194" i="8"/>
  <c r="O169" i="5"/>
  <c r="AH194" i="8"/>
  <c r="R169" i="5"/>
  <c r="AI194" i="8"/>
  <c r="U169" i="5"/>
  <c r="AJ194" i="8"/>
  <c r="X169" i="5"/>
  <c r="AK194" i="8"/>
  <c r="AA169" i="5"/>
  <c r="AC169" i="5"/>
  <c r="AL194" i="8"/>
  <c r="A195" i="8"/>
  <c r="E233" i="5"/>
  <c r="AD195" i="8"/>
  <c r="H233" i="5"/>
  <c r="AE195" i="8"/>
  <c r="K233" i="5"/>
  <c r="AF195" i="8"/>
  <c r="N233" i="5"/>
  <c r="L171" i="5"/>
  <c r="AG195" i="8"/>
  <c r="O171" i="5"/>
  <c r="AH195" i="8"/>
  <c r="R171" i="5"/>
  <c r="AI195" i="8"/>
  <c r="W233" i="5"/>
  <c r="U171" i="5"/>
  <c r="AJ195" i="8"/>
  <c r="X171" i="5"/>
  <c r="AK195" i="8"/>
  <c r="AA171" i="5"/>
  <c r="AC171" i="5"/>
  <c r="AL195" i="8"/>
  <c r="A196" i="8"/>
  <c r="E301" i="5"/>
  <c r="AD196" i="8"/>
  <c r="H301" i="5"/>
  <c r="AE196" i="8"/>
  <c r="K301" i="5"/>
  <c r="AF196" i="8"/>
  <c r="N301" i="5"/>
  <c r="AG196" i="8"/>
  <c r="AH196" i="8"/>
  <c r="R172" i="5"/>
  <c r="AI196" i="8"/>
  <c r="W301" i="5"/>
  <c r="U172" i="5"/>
  <c r="AJ196" i="8"/>
  <c r="X172" i="5"/>
  <c r="AK196" i="8"/>
  <c r="AA172" i="5"/>
  <c r="AC172" i="5"/>
  <c r="AL196" i="8"/>
  <c r="A197" i="8"/>
  <c r="AD197" i="8"/>
  <c r="AE197" i="8"/>
  <c r="AF197" i="8"/>
  <c r="AG197" i="8"/>
  <c r="AH197" i="8"/>
  <c r="R173" i="5"/>
  <c r="AI197" i="8"/>
  <c r="U173" i="5"/>
  <c r="AJ197" i="8"/>
  <c r="X173" i="5"/>
  <c r="AK197" i="8"/>
  <c r="AA173" i="5"/>
  <c r="AC173" i="5"/>
  <c r="AL197" i="8"/>
  <c r="A198" i="8"/>
  <c r="E182" i="5"/>
  <c r="AD198" i="8"/>
  <c r="H182" i="5"/>
  <c r="AE198" i="8"/>
  <c r="K182" i="5"/>
  <c r="AF198" i="8"/>
  <c r="N182" i="5"/>
  <c r="AG198" i="8"/>
  <c r="AH198" i="8"/>
  <c r="R174" i="5"/>
  <c r="AI198" i="8"/>
  <c r="W182" i="5"/>
  <c r="U174" i="5"/>
  <c r="AJ198" i="8"/>
  <c r="X174" i="5"/>
  <c r="AK198" i="8"/>
  <c r="AA174" i="5"/>
  <c r="AC174" i="5"/>
  <c r="AL198" i="8"/>
  <c r="A199" i="8"/>
  <c r="E313" i="5"/>
  <c r="AD199" i="8"/>
  <c r="H313" i="5"/>
  <c r="AE199" i="8"/>
  <c r="K313" i="5"/>
  <c r="I175" i="5"/>
  <c r="AF199" i="8"/>
  <c r="N313" i="5"/>
  <c r="N371" i="5"/>
  <c r="L175" i="5"/>
  <c r="AG199" i="8"/>
  <c r="O175" i="5"/>
  <c r="AH199" i="8"/>
  <c r="R175" i="5"/>
  <c r="AI199" i="8"/>
  <c r="W313" i="5"/>
  <c r="U175" i="5"/>
  <c r="AJ199" i="8"/>
  <c r="X175" i="5"/>
  <c r="AK199" i="8"/>
  <c r="AA175" i="5"/>
  <c r="AC175" i="5"/>
  <c r="AL199" i="8"/>
  <c r="A200" i="8"/>
  <c r="AD200" i="8"/>
  <c r="H314" i="5"/>
  <c r="AE200" i="8"/>
  <c r="AF200" i="8"/>
  <c r="N314" i="5"/>
  <c r="AG200" i="8"/>
  <c r="AH200" i="8"/>
  <c r="R176" i="5"/>
  <c r="AI200" i="8"/>
  <c r="U176" i="5"/>
  <c r="AJ200" i="8"/>
  <c r="X176" i="5"/>
  <c r="AK200" i="8"/>
  <c r="AA176" i="5"/>
  <c r="AC176" i="5"/>
  <c r="AL200" i="8"/>
  <c r="A201" i="8"/>
  <c r="E372" i="5"/>
  <c r="AD201" i="8"/>
  <c r="H244" i="5"/>
  <c r="H372" i="5"/>
  <c r="AE201" i="8"/>
  <c r="K372" i="5"/>
  <c r="I177" i="5"/>
  <c r="AF201" i="8"/>
  <c r="N244" i="5"/>
  <c r="N372" i="5"/>
  <c r="L177" i="5"/>
  <c r="AG201" i="8"/>
  <c r="O177" i="5"/>
  <c r="AH201" i="8"/>
  <c r="R177" i="5"/>
  <c r="AI201" i="8"/>
  <c r="W372" i="5"/>
  <c r="U177" i="5"/>
  <c r="AJ201" i="8"/>
  <c r="X177" i="5"/>
  <c r="AK201" i="8"/>
  <c r="AA177" i="5"/>
  <c r="AC177" i="5"/>
  <c r="AL201" i="8"/>
  <c r="A202" i="8"/>
  <c r="E246" i="5"/>
  <c r="AD202" i="8"/>
  <c r="H246" i="5"/>
  <c r="AE202" i="8"/>
  <c r="K246" i="5"/>
  <c r="AF202" i="8"/>
  <c r="N246" i="5"/>
  <c r="L179" i="5"/>
  <c r="AG202" i="8"/>
  <c r="O179" i="5"/>
  <c r="AH202" i="8"/>
  <c r="R179" i="5"/>
  <c r="AI202" i="8"/>
  <c r="W246" i="5"/>
  <c r="U179" i="5"/>
  <c r="AJ202" i="8"/>
  <c r="X179" i="5"/>
  <c r="AK202" i="8"/>
  <c r="AA179" i="5"/>
  <c r="AC179" i="5"/>
  <c r="AL202" i="8"/>
  <c r="A203" i="8"/>
  <c r="AD203" i="8"/>
  <c r="AE203" i="8"/>
  <c r="AF203" i="8"/>
  <c r="AG203" i="8"/>
  <c r="AH203" i="8"/>
  <c r="AI203" i="8"/>
  <c r="U180" i="5"/>
  <c r="AJ203" i="8"/>
  <c r="X180" i="5"/>
  <c r="AK203" i="8"/>
  <c r="AL203" i="8"/>
  <c r="A204" i="8"/>
  <c r="E270" i="5"/>
  <c r="E278" i="5"/>
  <c r="AD204" i="8"/>
  <c r="H270" i="5"/>
  <c r="H278" i="5"/>
  <c r="AE204" i="8"/>
  <c r="K270" i="5"/>
  <c r="AF204" i="8"/>
  <c r="N270" i="5"/>
  <c r="N278" i="5"/>
  <c r="AG204" i="8"/>
  <c r="AH204" i="8"/>
  <c r="R182" i="5"/>
  <c r="AI204" i="8"/>
  <c r="W270" i="5"/>
  <c r="W278" i="5"/>
  <c r="U182" i="5"/>
  <c r="AJ204" i="8"/>
  <c r="X182" i="5"/>
  <c r="AK204" i="8"/>
  <c r="AA182" i="5"/>
  <c r="AC182" i="5"/>
  <c r="AL204" i="8"/>
  <c r="A205" i="8"/>
  <c r="AD205" i="8"/>
  <c r="AE205" i="8"/>
  <c r="AF205" i="8"/>
  <c r="AG205" i="8"/>
  <c r="AH205" i="8"/>
  <c r="R183" i="5"/>
  <c r="AI205" i="8"/>
  <c r="U183" i="5"/>
  <c r="AJ205" i="8"/>
  <c r="X183" i="5"/>
  <c r="AK205" i="8"/>
  <c r="AA183" i="5"/>
  <c r="AC183" i="5"/>
  <c r="AL205" i="8"/>
  <c r="A206" i="8"/>
  <c r="E269" i="5"/>
  <c r="AD206" i="8"/>
  <c r="H269" i="5"/>
  <c r="AE206" i="8"/>
  <c r="I184" i="5"/>
  <c r="AF206" i="8"/>
  <c r="N269" i="5"/>
  <c r="AG206" i="8"/>
  <c r="AH206" i="8"/>
  <c r="R184" i="5"/>
  <c r="AI206" i="8"/>
  <c r="U184" i="5"/>
  <c r="AJ206" i="8"/>
  <c r="X184" i="5"/>
  <c r="AK206" i="8"/>
  <c r="AA184" i="5"/>
  <c r="AC184" i="5"/>
  <c r="AL206" i="8"/>
  <c r="A207" i="8"/>
  <c r="E311" i="5"/>
  <c r="E257" i="5"/>
  <c r="AD207" i="8"/>
  <c r="H311" i="5"/>
  <c r="H257" i="5"/>
  <c r="AE207" i="8"/>
  <c r="K311" i="5"/>
  <c r="K257" i="5"/>
  <c r="I185" i="5"/>
  <c r="AF207" i="8"/>
  <c r="N311" i="5"/>
  <c r="N257" i="5"/>
  <c r="AG207" i="8"/>
  <c r="AH207" i="8"/>
  <c r="R185" i="5"/>
  <c r="AI207" i="8"/>
  <c r="W311" i="5"/>
  <c r="W257" i="5"/>
  <c r="U185" i="5"/>
  <c r="AJ207" i="8"/>
  <c r="X185" i="5"/>
  <c r="AK207" i="8"/>
  <c r="AA185" i="5"/>
  <c r="AC185" i="5"/>
  <c r="AL207" i="8"/>
  <c r="A208" i="8"/>
  <c r="E312" i="5"/>
  <c r="AD208" i="8"/>
  <c r="H312" i="5"/>
  <c r="AE208" i="8"/>
  <c r="K312" i="5"/>
  <c r="AF208" i="8"/>
  <c r="N312" i="5"/>
  <c r="L186" i="5"/>
  <c r="AG208" i="8"/>
  <c r="O186" i="5"/>
  <c r="AH208" i="8"/>
  <c r="R186" i="5"/>
  <c r="AI208" i="8"/>
  <c r="W312" i="5"/>
  <c r="U186" i="5"/>
  <c r="AJ208" i="8"/>
  <c r="X186" i="5"/>
  <c r="AK208" i="8"/>
  <c r="AA186" i="5"/>
  <c r="AL208" i="8"/>
  <c r="AD186" i="5"/>
  <c r="AM208" i="8"/>
  <c r="AG186" i="5"/>
  <c r="AN208" i="8"/>
  <c r="AJ186" i="5"/>
  <c r="AO208" i="8"/>
  <c r="E307" i="5"/>
  <c r="A209" i="8"/>
  <c r="AD209" i="8"/>
  <c r="AE209" i="8"/>
  <c r="K307" i="5"/>
  <c r="I187" i="5"/>
  <c r="AF209" i="8"/>
  <c r="L187" i="5"/>
  <c r="AG209" i="8"/>
  <c r="O187" i="5"/>
  <c r="AH209" i="8"/>
  <c r="R187" i="5"/>
  <c r="AI209" i="8"/>
  <c r="W307" i="5"/>
  <c r="U187" i="5"/>
  <c r="AJ209" i="8"/>
  <c r="X187" i="5"/>
  <c r="AK209" i="8"/>
  <c r="AA187" i="5"/>
  <c r="AL209" i="8"/>
  <c r="AD187" i="5"/>
  <c r="AM209" i="8"/>
  <c r="AG187" i="5"/>
  <c r="AN209" i="8"/>
  <c r="AJ187" i="5"/>
  <c r="AO209" i="8"/>
  <c r="A210" i="8"/>
  <c r="AD210" i="8"/>
  <c r="H303" i="5"/>
  <c r="AE210" i="8"/>
  <c r="AF210" i="8"/>
  <c r="N303" i="5"/>
  <c r="L189" i="5"/>
  <c r="AG210" i="8"/>
  <c r="O189" i="5"/>
  <c r="AH210" i="8"/>
  <c r="R189" i="5"/>
  <c r="AI210" i="8"/>
  <c r="U189" i="5"/>
  <c r="AJ210" i="8"/>
  <c r="X189" i="5"/>
  <c r="AK210" i="8"/>
  <c r="AA189" i="5"/>
  <c r="AL210" i="8"/>
  <c r="AD189" i="5"/>
  <c r="AM210" i="8"/>
  <c r="AG189" i="5"/>
  <c r="AN210" i="8"/>
  <c r="AJ189" i="5"/>
  <c r="AO210" i="8"/>
  <c r="A211" i="8"/>
  <c r="AD211" i="8"/>
  <c r="AE211" i="8"/>
  <c r="AF211" i="8"/>
  <c r="L190" i="5"/>
  <c r="AG211" i="8"/>
  <c r="O190" i="5"/>
  <c r="AH211" i="8"/>
  <c r="R190" i="5"/>
  <c r="AI211" i="8"/>
  <c r="U190" i="5"/>
  <c r="AJ211" i="8"/>
  <c r="X190" i="5"/>
  <c r="AK211" i="8"/>
  <c r="AA190" i="5"/>
  <c r="AL211" i="8"/>
  <c r="AD190" i="5"/>
  <c r="AM211" i="8"/>
  <c r="AG190" i="5"/>
  <c r="AN211" i="8"/>
  <c r="AJ190" i="5"/>
  <c r="AO211" i="8"/>
  <c r="A212" i="8"/>
  <c r="AD212" i="8"/>
  <c r="AE212" i="8"/>
  <c r="AF212" i="8"/>
  <c r="L191" i="5"/>
  <c r="AG212" i="8"/>
  <c r="O191" i="5"/>
  <c r="AH212" i="8"/>
  <c r="R191" i="5"/>
  <c r="AI212" i="8"/>
  <c r="U191" i="5"/>
  <c r="AJ212" i="8"/>
  <c r="X191" i="5"/>
  <c r="AK212" i="8"/>
  <c r="AA191" i="5"/>
  <c r="AL212" i="8"/>
  <c r="AD191" i="5"/>
  <c r="AM212" i="8"/>
  <c r="AG191" i="5"/>
  <c r="AN212" i="8"/>
  <c r="AJ191" i="5"/>
  <c r="AO212" i="8"/>
  <c r="A213" i="8"/>
  <c r="AD213" i="8"/>
  <c r="H304" i="5"/>
  <c r="AE213" i="8"/>
  <c r="AF213" i="8"/>
  <c r="N304" i="5"/>
  <c r="L192" i="5"/>
  <c r="AG213" i="8"/>
  <c r="O192" i="5"/>
  <c r="AH213" i="8"/>
  <c r="R192" i="5"/>
  <c r="AI213" i="8"/>
  <c r="U192" i="5"/>
  <c r="AJ213" i="8"/>
  <c r="X192" i="5"/>
  <c r="AK213" i="8"/>
  <c r="AA192" i="5"/>
  <c r="AL213" i="8"/>
  <c r="AD192" i="5"/>
  <c r="AM213" i="8"/>
  <c r="AG192" i="5"/>
  <c r="AN213" i="8"/>
  <c r="AJ192" i="5"/>
  <c r="AO213" i="8"/>
  <c r="A214" i="8"/>
  <c r="AD214" i="8"/>
  <c r="AE214" i="8"/>
  <c r="AF214" i="8"/>
  <c r="N333" i="5"/>
  <c r="L193" i="5"/>
  <c r="AG214" i="8"/>
  <c r="O193" i="5"/>
  <c r="AH214" i="8"/>
  <c r="R193" i="5"/>
  <c r="AI214" i="8"/>
  <c r="U193" i="5"/>
  <c r="AJ214" i="8"/>
  <c r="X193" i="5"/>
  <c r="AK214" i="8"/>
  <c r="AA193" i="5"/>
  <c r="AL214" i="8"/>
  <c r="AD193" i="5"/>
  <c r="AM214" i="8"/>
  <c r="AG193" i="5"/>
  <c r="AN214" i="8"/>
  <c r="AJ193" i="5"/>
  <c r="AO214" i="8"/>
  <c r="A215" i="8"/>
  <c r="E211" i="5"/>
  <c r="AD215" i="8"/>
  <c r="H211" i="5"/>
  <c r="AE215" i="8"/>
  <c r="AF215" i="8"/>
  <c r="L194" i="5"/>
  <c r="AG215" i="8"/>
  <c r="O194" i="5"/>
  <c r="AH215" i="8"/>
  <c r="R194" i="5"/>
  <c r="AI215" i="8"/>
  <c r="W211" i="5"/>
  <c r="U194" i="5"/>
  <c r="AJ215" i="8"/>
  <c r="X194" i="5"/>
  <c r="AK215" i="8"/>
  <c r="AC211" i="5"/>
  <c r="AA194" i="5"/>
  <c r="AL215" i="8"/>
  <c r="AF211" i="5"/>
  <c r="AD194" i="5"/>
  <c r="AM215" i="8"/>
  <c r="AI211" i="5"/>
  <c r="AG194" i="5"/>
  <c r="AN215" i="8"/>
  <c r="AJ194" i="5"/>
  <c r="AO215" i="8"/>
  <c r="A216" i="8"/>
  <c r="AD216" i="8"/>
  <c r="AE216" i="8"/>
  <c r="AF216" i="8"/>
  <c r="L195" i="5"/>
  <c r="AG216" i="8"/>
  <c r="O195" i="5"/>
  <c r="AH216" i="8"/>
  <c r="R195" i="5"/>
  <c r="AI216" i="8"/>
  <c r="U195" i="5"/>
  <c r="AJ216" i="8"/>
  <c r="X195" i="5"/>
  <c r="AK216" i="8"/>
  <c r="AA195" i="5"/>
  <c r="AL216" i="8"/>
  <c r="AD195" i="5"/>
  <c r="AM216" i="8"/>
  <c r="AG195" i="5"/>
  <c r="AN216" i="8"/>
  <c r="AJ195" i="5"/>
  <c r="AO216" i="8"/>
  <c r="A217" i="8"/>
  <c r="AD217" i="8"/>
  <c r="H252" i="5"/>
  <c r="AE217" i="8"/>
  <c r="AF217" i="8"/>
  <c r="N252" i="5"/>
  <c r="L196" i="5"/>
  <c r="AG217" i="8"/>
  <c r="O196" i="5"/>
  <c r="AH217" i="8"/>
  <c r="R196" i="5"/>
  <c r="AI217" i="8"/>
  <c r="U196" i="5"/>
  <c r="AJ217" i="8"/>
  <c r="X196" i="5"/>
  <c r="AK217" i="8"/>
  <c r="AA196" i="5"/>
  <c r="AL217" i="8"/>
  <c r="AD196" i="5"/>
  <c r="AM217" i="8"/>
  <c r="AG196" i="5"/>
  <c r="AN217" i="8"/>
  <c r="AJ196" i="5"/>
  <c r="AO217" i="8"/>
  <c r="A218" i="8"/>
  <c r="E310" i="5"/>
  <c r="AD218" i="8"/>
  <c r="H310" i="5"/>
  <c r="H306" i="5"/>
  <c r="AE218" i="8"/>
  <c r="K310" i="5"/>
  <c r="AF218" i="8"/>
  <c r="N310" i="5"/>
  <c r="N306" i="5"/>
  <c r="L197" i="5"/>
  <c r="AG218" i="8"/>
  <c r="O197" i="5"/>
  <c r="AH218" i="8"/>
  <c r="R197" i="5"/>
  <c r="AI218" i="8"/>
  <c r="W310" i="5"/>
  <c r="U197" i="5"/>
  <c r="AJ218" i="8"/>
  <c r="X197" i="5"/>
  <c r="AK218" i="8"/>
  <c r="AA197" i="5"/>
  <c r="AL218" i="8"/>
  <c r="AD197" i="5"/>
  <c r="AM218" i="8"/>
  <c r="AG197" i="5"/>
  <c r="AN218" i="8"/>
  <c r="AJ197" i="5"/>
  <c r="AO218" i="8"/>
  <c r="A219" i="8"/>
  <c r="AD219" i="8"/>
  <c r="H284" i="5"/>
  <c r="H307" i="5"/>
  <c r="AE219" i="8"/>
  <c r="AF219" i="8"/>
  <c r="N284" i="5"/>
  <c r="N307" i="5"/>
  <c r="L199" i="5"/>
  <c r="AG219" i="8"/>
  <c r="O199" i="5"/>
  <c r="AH219" i="8"/>
  <c r="R199" i="5"/>
  <c r="AI219" i="8"/>
  <c r="U199" i="5"/>
  <c r="AJ219" i="8"/>
  <c r="X199" i="5"/>
  <c r="AK219" i="8"/>
  <c r="AA199" i="5"/>
  <c r="AL219" i="8"/>
  <c r="AD199" i="5"/>
  <c r="AM219" i="8"/>
  <c r="AG199" i="5"/>
  <c r="AN219" i="8"/>
  <c r="AJ199" i="5"/>
  <c r="AO219" i="8"/>
  <c r="A220" i="8"/>
  <c r="AD220" i="8"/>
  <c r="H259" i="5"/>
  <c r="AE220" i="8"/>
  <c r="AF220" i="8"/>
  <c r="N259" i="5"/>
  <c r="L200" i="5"/>
  <c r="AG220" i="8"/>
  <c r="O200" i="5"/>
  <c r="AH220" i="8"/>
  <c r="R200" i="5"/>
  <c r="AI220" i="8"/>
  <c r="U200" i="5"/>
  <c r="AJ220" i="8"/>
  <c r="X200" i="5"/>
  <c r="AK220" i="8"/>
  <c r="AA200" i="5"/>
  <c r="AL220" i="8"/>
  <c r="AD200" i="5"/>
  <c r="AM220" i="8"/>
  <c r="AG200" i="5"/>
  <c r="AN220" i="8"/>
  <c r="AO220" i="8"/>
  <c r="A221" i="8"/>
  <c r="AD221" i="8"/>
  <c r="AE221" i="8"/>
  <c r="AF221" i="8"/>
  <c r="L204" i="5"/>
  <c r="AG221" i="8"/>
  <c r="O204" i="5"/>
  <c r="AH221" i="8"/>
  <c r="R204" i="5"/>
  <c r="AI221" i="8"/>
  <c r="U204" i="5"/>
  <c r="AJ221" i="8"/>
  <c r="X204" i="5"/>
  <c r="AK221" i="8"/>
  <c r="AA204" i="5"/>
  <c r="AL221" i="8"/>
  <c r="AD204" i="5"/>
  <c r="AM221" i="8"/>
  <c r="AG204" i="5"/>
  <c r="AN221" i="8"/>
  <c r="AJ204" i="5"/>
  <c r="AO221" i="8"/>
  <c r="A222" i="8"/>
  <c r="AD222" i="8"/>
  <c r="AE222" i="8"/>
  <c r="AF222" i="8"/>
  <c r="L205" i="5"/>
  <c r="AG222" i="8"/>
  <c r="O205" i="5"/>
  <c r="AH222" i="8"/>
  <c r="R205" i="5"/>
  <c r="AI222" i="8"/>
  <c r="U205" i="5"/>
  <c r="AJ222" i="8"/>
  <c r="X205" i="5"/>
  <c r="AK222" i="8"/>
  <c r="AA205" i="5"/>
  <c r="AL222" i="8"/>
  <c r="AD205" i="5"/>
  <c r="AM222" i="8"/>
  <c r="AG205" i="5"/>
  <c r="AN222" i="8"/>
  <c r="AJ205" i="5"/>
  <c r="AO222" i="8"/>
  <c r="A223" i="8"/>
  <c r="AD223" i="8"/>
  <c r="AE223" i="8"/>
  <c r="AF223" i="8"/>
  <c r="L206" i="5"/>
  <c r="AG223" i="8"/>
  <c r="O206" i="5"/>
  <c r="AH223" i="8"/>
  <c r="R206" i="5"/>
  <c r="AI223" i="8"/>
  <c r="U206" i="5"/>
  <c r="AJ223" i="8"/>
  <c r="X206" i="5"/>
  <c r="AK223" i="8"/>
  <c r="AA206" i="5"/>
  <c r="AL223" i="8"/>
  <c r="AD206" i="5"/>
  <c r="AM223" i="8"/>
  <c r="AG206" i="5"/>
  <c r="AN223" i="8"/>
  <c r="AJ206" i="5"/>
  <c r="AO223" i="8"/>
  <c r="A224" i="8"/>
  <c r="AD224" i="8"/>
  <c r="AE224" i="8"/>
  <c r="AF224" i="8"/>
  <c r="L207" i="5"/>
  <c r="AG224" i="8"/>
  <c r="O207" i="5"/>
  <c r="AH224" i="8"/>
  <c r="R207" i="5"/>
  <c r="AI224" i="8"/>
  <c r="U207" i="5"/>
  <c r="AJ224" i="8"/>
  <c r="X207" i="5"/>
  <c r="AK224" i="8"/>
  <c r="AA207" i="5"/>
  <c r="AL224" i="8"/>
  <c r="AD207" i="5"/>
  <c r="AM224" i="8"/>
  <c r="AG207" i="5"/>
  <c r="AN224" i="8"/>
  <c r="AJ207" i="5"/>
  <c r="AO224" i="8"/>
  <c r="A225" i="8"/>
  <c r="AD225" i="8"/>
  <c r="AE225" i="8"/>
  <c r="AF225" i="8"/>
  <c r="L208" i="5"/>
  <c r="AG225" i="8"/>
  <c r="O208" i="5"/>
  <c r="AH225" i="8"/>
  <c r="R208" i="5"/>
  <c r="AI225" i="8"/>
  <c r="U208" i="5"/>
  <c r="AJ225" i="8"/>
  <c r="X208" i="5"/>
  <c r="AK225" i="8"/>
  <c r="AA208" i="5"/>
  <c r="AL225" i="8"/>
  <c r="AD208" i="5"/>
  <c r="AM225" i="8"/>
  <c r="AG208" i="5"/>
  <c r="AN225" i="8"/>
  <c r="AJ208" i="5"/>
  <c r="AO225" i="8"/>
  <c r="A226" i="8"/>
  <c r="AD226" i="8"/>
  <c r="AE226" i="8"/>
  <c r="AF226" i="8"/>
  <c r="L209" i="5"/>
  <c r="AG226" i="8"/>
  <c r="O209" i="5"/>
  <c r="AH226" i="8"/>
  <c r="R209" i="5"/>
  <c r="AI226" i="8"/>
  <c r="U209" i="5"/>
  <c r="AJ226" i="8"/>
  <c r="X209" i="5"/>
  <c r="AK226" i="8"/>
  <c r="AA209" i="5"/>
  <c r="AL226" i="8"/>
  <c r="AD209" i="5"/>
  <c r="AM226" i="8"/>
  <c r="AG209" i="5"/>
  <c r="AN226" i="8"/>
  <c r="AJ209" i="5"/>
  <c r="AO226" i="8"/>
  <c r="A227" i="8"/>
  <c r="AD227" i="8"/>
  <c r="AE227" i="8"/>
  <c r="AF227" i="8"/>
  <c r="L210" i="5"/>
  <c r="AG227" i="8"/>
  <c r="O210" i="5"/>
  <c r="AH227" i="8"/>
  <c r="R210" i="5"/>
  <c r="AI227" i="8"/>
  <c r="U210" i="5"/>
  <c r="AJ227" i="8"/>
  <c r="X210" i="5"/>
  <c r="AK227" i="8"/>
  <c r="AA210" i="5"/>
  <c r="AL227" i="8"/>
  <c r="AD210" i="5"/>
  <c r="AM227" i="8"/>
  <c r="AG210" i="5"/>
  <c r="AN227" i="8"/>
  <c r="AJ210" i="5"/>
  <c r="AO227" i="8"/>
  <c r="A228" i="8"/>
  <c r="AD228" i="8"/>
  <c r="AE228" i="8"/>
  <c r="AF228" i="8"/>
  <c r="L211" i="5"/>
  <c r="AG228" i="8"/>
  <c r="O211" i="5"/>
  <c r="AH228" i="8"/>
  <c r="R211" i="5"/>
  <c r="AI228" i="8"/>
  <c r="U211" i="5"/>
  <c r="AJ228" i="8"/>
  <c r="X211" i="5"/>
  <c r="AK228" i="8"/>
  <c r="AA211" i="5"/>
  <c r="AL228" i="8"/>
  <c r="AD211" i="5"/>
  <c r="AM228" i="8"/>
  <c r="AG211" i="5"/>
  <c r="AN228" i="8"/>
  <c r="AO228" i="8"/>
  <c r="A229" i="8"/>
  <c r="AD229" i="8"/>
  <c r="AE229" i="8"/>
  <c r="AF229" i="8"/>
  <c r="L214" i="5"/>
  <c r="AG229" i="8"/>
  <c r="O214" i="5"/>
  <c r="AH229" i="8"/>
  <c r="R214" i="5"/>
  <c r="AI229" i="8"/>
  <c r="U214" i="5"/>
  <c r="AJ229" i="8"/>
  <c r="X214" i="5"/>
  <c r="AK229" i="8"/>
  <c r="AA214" i="5"/>
  <c r="AL229" i="8"/>
  <c r="AD214" i="5"/>
  <c r="AM229" i="8"/>
  <c r="AG214" i="5"/>
  <c r="AN229" i="8"/>
  <c r="AJ214" i="5"/>
  <c r="AO229" i="8"/>
  <c r="A230" i="8"/>
  <c r="AD230" i="8"/>
  <c r="AE230" i="8"/>
  <c r="AF230" i="8"/>
  <c r="L215" i="5"/>
  <c r="AG230" i="8"/>
  <c r="O215" i="5"/>
  <c r="AH230" i="8"/>
  <c r="R215" i="5"/>
  <c r="AI230" i="8"/>
  <c r="U215" i="5"/>
  <c r="AJ230" i="8"/>
  <c r="X215" i="5"/>
  <c r="AK230" i="8"/>
  <c r="AA215" i="5"/>
  <c r="AL230" i="8"/>
  <c r="AD215" i="5"/>
  <c r="AM230" i="8"/>
  <c r="AG215" i="5"/>
  <c r="AN230" i="8"/>
  <c r="AJ215" i="5"/>
  <c r="AO230" i="8"/>
  <c r="A231" i="8"/>
  <c r="AD231" i="8"/>
  <c r="AE231" i="8"/>
  <c r="AF231" i="8"/>
  <c r="L216" i="5"/>
  <c r="AG231" i="8"/>
  <c r="O216" i="5"/>
  <c r="AH231" i="8"/>
  <c r="R216" i="5"/>
  <c r="AI231" i="8"/>
  <c r="U216" i="5"/>
  <c r="AJ231" i="8"/>
  <c r="X216" i="5"/>
  <c r="AK231" i="8"/>
  <c r="AA216" i="5"/>
  <c r="AL231" i="8"/>
  <c r="AD216" i="5"/>
  <c r="AM231" i="8"/>
  <c r="AG216" i="5"/>
  <c r="AN231" i="8"/>
  <c r="AJ216" i="5"/>
  <c r="AO231" i="8"/>
  <c r="A232" i="8"/>
  <c r="AD232" i="8"/>
  <c r="AE232" i="8"/>
  <c r="AF232" i="8"/>
  <c r="L217" i="5"/>
  <c r="AG232" i="8"/>
  <c r="O217" i="5"/>
  <c r="AH232" i="8"/>
  <c r="R217" i="5"/>
  <c r="AI232" i="8"/>
  <c r="U217" i="5"/>
  <c r="AJ232" i="8"/>
  <c r="X217" i="5"/>
  <c r="AK232" i="8"/>
  <c r="AA217" i="5"/>
  <c r="AL232" i="8"/>
  <c r="AD217" i="5"/>
  <c r="AM232" i="8"/>
  <c r="AG217" i="5"/>
  <c r="AN232" i="8"/>
  <c r="AJ217" i="5"/>
  <c r="AO232" i="8"/>
  <c r="A233" i="8"/>
  <c r="AD233" i="8"/>
  <c r="AE233" i="8"/>
  <c r="AF233" i="8"/>
  <c r="L218" i="5"/>
  <c r="AG233" i="8"/>
  <c r="O218" i="5"/>
  <c r="AH233" i="8"/>
  <c r="R218" i="5"/>
  <c r="AI233" i="8"/>
  <c r="U218" i="5"/>
  <c r="AJ233" i="8"/>
  <c r="X218" i="5"/>
  <c r="AK233" i="8"/>
  <c r="AA218" i="5"/>
  <c r="AL233" i="8"/>
  <c r="AD218" i="5"/>
  <c r="AM233" i="8"/>
  <c r="AG218" i="5"/>
  <c r="AN233" i="8"/>
  <c r="AJ218" i="5"/>
  <c r="AO233" i="8"/>
  <c r="A234" i="8"/>
  <c r="AD234" i="8"/>
  <c r="AE234" i="8"/>
  <c r="AF234" i="8"/>
  <c r="L219" i="5"/>
  <c r="AG234" i="8"/>
  <c r="O219" i="5"/>
  <c r="AH234" i="8"/>
  <c r="R219" i="5"/>
  <c r="AI234" i="8"/>
  <c r="U219" i="5"/>
  <c r="AJ234" i="8"/>
  <c r="X219" i="5"/>
  <c r="AK234" i="8"/>
  <c r="AA219" i="5"/>
  <c r="AL234" i="8"/>
  <c r="AD219" i="5"/>
  <c r="AM234" i="8"/>
  <c r="AG219" i="5"/>
  <c r="AN234" i="8"/>
  <c r="AJ219" i="5"/>
  <c r="AO234" i="8"/>
  <c r="A235" i="8"/>
  <c r="AD235" i="8"/>
  <c r="AE235" i="8"/>
  <c r="AF235" i="8"/>
  <c r="L220" i="5"/>
  <c r="AG235" i="8"/>
  <c r="O220" i="5"/>
  <c r="AH235" i="8"/>
  <c r="R220" i="5"/>
  <c r="AI235" i="8"/>
  <c r="U220" i="5"/>
  <c r="AJ235" i="8"/>
  <c r="X220" i="5"/>
  <c r="AK235" i="8"/>
  <c r="AA220" i="5"/>
  <c r="AL235" i="8"/>
  <c r="AD220" i="5"/>
  <c r="AM235" i="8"/>
  <c r="AG220" i="5"/>
  <c r="AN235" i="8"/>
  <c r="AJ220" i="5"/>
  <c r="AO235" i="8"/>
  <c r="A236" i="8"/>
  <c r="AD236" i="8"/>
  <c r="AE236" i="8"/>
  <c r="AF236" i="8"/>
  <c r="L221" i="5"/>
  <c r="AG236" i="8"/>
  <c r="O221" i="5"/>
  <c r="AH236" i="8"/>
  <c r="R221" i="5"/>
  <c r="AI236" i="8"/>
  <c r="U221" i="5"/>
  <c r="AJ236" i="8"/>
  <c r="X221" i="5"/>
  <c r="AK236" i="8"/>
  <c r="AA221" i="5"/>
  <c r="AL236" i="8"/>
  <c r="AD221" i="5"/>
  <c r="AM236" i="8"/>
  <c r="AG221" i="5"/>
  <c r="AN236" i="8"/>
  <c r="AJ221" i="5"/>
  <c r="AO236" i="8"/>
  <c r="A237" i="8"/>
  <c r="AD237" i="8"/>
  <c r="AE237" i="8"/>
  <c r="I222" i="5"/>
  <c r="AF237" i="8"/>
  <c r="AG237" i="8"/>
  <c r="AH237" i="8"/>
  <c r="R222" i="5"/>
  <c r="AI237" i="8"/>
  <c r="U222" i="5"/>
  <c r="AJ237" i="8"/>
  <c r="X222" i="5"/>
  <c r="AK237" i="8"/>
  <c r="AA222" i="5"/>
  <c r="AC222" i="5"/>
  <c r="AL237" i="8"/>
  <c r="A238" i="8"/>
  <c r="AD238" i="8"/>
  <c r="AE238" i="8"/>
  <c r="AF238" i="8"/>
  <c r="L223" i="5"/>
  <c r="AG238" i="8"/>
  <c r="O223" i="5"/>
  <c r="AH238" i="8"/>
  <c r="R223" i="5"/>
  <c r="AI238" i="8"/>
  <c r="U223" i="5"/>
  <c r="AJ238" i="8"/>
  <c r="X223" i="5"/>
  <c r="AK238" i="8"/>
  <c r="AA223" i="5"/>
  <c r="AC223" i="5"/>
  <c r="AL238" i="8"/>
  <c r="A239" i="8"/>
  <c r="AD239" i="8"/>
  <c r="AE239" i="8"/>
  <c r="AF239" i="8"/>
  <c r="AG239" i="8"/>
  <c r="AH239" i="8"/>
  <c r="R224" i="5"/>
  <c r="AI239" i="8"/>
  <c r="U224" i="5"/>
  <c r="AJ239" i="8"/>
  <c r="X224" i="5"/>
  <c r="AK239" i="8"/>
  <c r="AA224" i="5"/>
  <c r="AC224" i="5"/>
  <c r="AL239" i="8"/>
  <c r="A240" i="8"/>
  <c r="AD240" i="8"/>
  <c r="AE240" i="8"/>
  <c r="I225" i="5"/>
  <c r="AF240" i="8"/>
  <c r="L225" i="5"/>
  <c r="AG240" i="8"/>
  <c r="O225" i="5"/>
  <c r="AH240" i="8"/>
  <c r="R225" i="5"/>
  <c r="AI240" i="8"/>
  <c r="U225" i="5"/>
  <c r="AJ240" i="8"/>
  <c r="X225" i="5"/>
  <c r="AK240" i="8"/>
  <c r="AA225" i="5"/>
  <c r="AC225" i="5"/>
  <c r="AL240" i="8"/>
  <c r="A241" i="8"/>
  <c r="AD241" i="8"/>
  <c r="AE241" i="8"/>
  <c r="AF241" i="8"/>
  <c r="L227" i="5"/>
  <c r="AG241" i="8"/>
  <c r="O227" i="5"/>
  <c r="AH241" i="8"/>
  <c r="AI241" i="8"/>
  <c r="U227" i="5"/>
  <c r="AJ241" i="8"/>
  <c r="X227" i="5"/>
  <c r="AK241" i="8"/>
  <c r="AA227" i="5"/>
  <c r="AC227" i="5"/>
  <c r="AL241" i="8"/>
  <c r="A242" i="8"/>
  <c r="AD242" i="8"/>
  <c r="AE242" i="8"/>
  <c r="AF242" i="8"/>
  <c r="AG242" i="8"/>
  <c r="AH242" i="8"/>
  <c r="AI242" i="8"/>
  <c r="U228" i="5"/>
  <c r="AJ242" i="8"/>
  <c r="X228" i="5"/>
  <c r="AK242" i="8"/>
  <c r="AA228" i="5"/>
  <c r="AC228" i="5"/>
  <c r="AL242" i="8"/>
  <c r="A243" i="8"/>
  <c r="AD243" i="8"/>
  <c r="AE243" i="8"/>
  <c r="AF243" i="8"/>
  <c r="AG243" i="8"/>
  <c r="AH243" i="8"/>
  <c r="R229" i="5"/>
  <c r="AI243" i="8"/>
  <c r="U229" i="5"/>
  <c r="AJ243" i="8"/>
  <c r="X229" i="5"/>
  <c r="AK243" i="8"/>
  <c r="AA229" i="5"/>
  <c r="AC229" i="5"/>
  <c r="AL243" i="8"/>
  <c r="A244" i="8"/>
  <c r="AD244" i="8"/>
  <c r="AE244" i="8"/>
  <c r="AF244" i="8"/>
  <c r="AG244" i="8"/>
  <c r="AH244" i="8"/>
  <c r="R230" i="5"/>
  <c r="AI244" i="8"/>
  <c r="U230" i="5"/>
  <c r="AJ244" i="8"/>
  <c r="X230" i="5"/>
  <c r="AK244" i="8"/>
  <c r="AA230" i="5"/>
  <c r="AC230" i="5"/>
  <c r="AL244" i="8"/>
  <c r="A245" i="8"/>
  <c r="AD245" i="8"/>
  <c r="AE245" i="8"/>
  <c r="AF245" i="8"/>
  <c r="AG245" i="8"/>
  <c r="AH245" i="8"/>
  <c r="R231" i="5"/>
  <c r="AI245" i="8"/>
  <c r="U231" i="5"/>
  <c r="AJ245" i="8"/>
  <c r="X231" i="5"/>
  <c r="AK245" i="8"/>
  <c r="AA231" i="5"/>
  <c r="AC231" i="5"/>
  <c r="AL245" i="8"/>
  <c r="A246" i="8"/>
  <c r="AD246" i="8"/>
  <c r="AE246" i="8"/>
  <c r="I232" i="5"/>
  <c r="AF246" i="8"/>
  <c r="AG246" i="8"/>
  <c r="O232" i="5"/>
  <c r="AH246" i="8"/>
  <c r="R232" i="5"/>
  <c r="AI246" i="8"/>
  <c r="U232" i="5"/>
  <c r="AJ246" i="8"/>
  <c r="X232" i="5"/>
  <c r="AK246" i="8"/>
  <c r="AA232" i="5"/>
  <c r="AC232" i="5"/>
  <c r="AL246" i="8"/>
  <c r="A247" i="8"/>
  <c r="AD247" i="8"/>
  <c r="AE247" i="8"/>
  <c r="AF247" i="8"/>
  <c r="AG247" i="8"/>
  <c r="AH247" i="8"/>
  <c r="R233" i="5"/>
  <c r="AI247" i="8"/>
  <c r="U233" i="5"/>
  <c r="AJ247" i="8"/>
  <c r="X233" i="5"/>
  <c r="AK247" i="8"/>
  <c r="AA233" i="5"/>
  <c r="AC233" i="5"/>
  <c r="AL247" i="8"/>
  <c r="A248" i="8"/>
  <c r="AD248" i="8"/>
  <c r="AE248" i="8"/>
  <c r="AF248" i="8"/>
  <c r="L234" i="5"/>
  <c r="AG248" i="8"/>
  <c r="O234" i="5"/>
  <c r="AH248" i="8"/>
  <c r="R234" i="5"/>
  <c r="AI248" i="8"/>
  <c r="U234" i="5"/>
  <c r="AJ248" i="8"/>
  <c r="X234" i="5"/>
  <c r="AK248" i="8"/>
  <c r="AA234" i="5"/>
  <c r="AC234" i="5"/>
  <c r="AL248" i="8"/>
  <c r="A249" i="8"/>
  <c r="AD249" i="8"/>
  <c r="AE249" i="8"/>
  <c r="AF249" i="8"/>
  <c r="AG249" i="8"/>
  <c r="AH249" i="8"/>
  <c r="R235" i="5"/>
  <c r="AI249" i="8"/>
  <c r="U235" i="5"/>
  <c r="AJ249" i="8"/>
  <c r="X235" i="5"/>
  <c r="AK249" i="8"/>
  <c r="AA235" i="5"/>
  <c r="AC235" i="5"/>
  <c r="AL249" i="8"/>
  <c r="A250" i="8"/>
  <c r="AD250" i="8"/>
  <c r="AE250" i="8"/>
  <c r="AF250" i="8"/>
  <c r="AG250" i="8"/>
  <c r="AH250" i="8"/>
  <c r="R236" i="5"/>
  <c r="AI250" i="8"/>
  <c r="U236" i="5"/>
  <c r="AJ250" i="8"/>
  <c r="X236" i="5"/>
  <c r="AK250" i="8"/>
  <c r="AA236" i="5"/>
  <c r="AC236" i="5"/>
  <c r="AL250" i="8"/>
  <c r="A251" i="8"/>
  <c r="AD251" i="8"/>
  <c r="AE251" i="8"/>
  <c r="I237" i="5"/>
  <c r="AF251" i="8"/>
  <c r="L237" i="5"/>
  <c r="AG251" i="8"/>
  <c r="O237" i="5"/>
  <c r="AH251" i="8"/>
  <c r="R237" i="5"/>
  <c r="AI251" i="8"/>
  <c r="U237" i="5"/>
  <c r="AJ251" i="8"/>
  <c r="X237" i="5"/>
  <c r="AK251" i="8"/>
  <c r="AA237" i="5"/>
  <c r="AC237" i="5"/>
  <c r="AL251" i="8"/>
  <c r="A252" i="8"/>
  <c r="AD252" i="8"/>
  <c r="AE252" i="8"/>
  <c r="AF252" i="8"/>
  <c r="AG252" i="8"/>
  <c r="AH252" i="8"/>
  <c r="R238" i="5"/>
  <c r="AI252" i="8"/>
  <c r="U238" i="5"/>
  <c r="AJ252" i="8"/>
  <c r="X238" i="5"/>
  <c r="AK252" i="8"/>
  <c r="AA238" i="5"/>
  <c r="AC238" i="5"/>
  <c r="AL252" i="8"/>
  <c r="A253" i="8"/>
  <c r="AD253" i="8"/>
  <c r="AE253" i="8"/>
  <c r="AF253" i="8"/>
  <c r="AG253" i="8"/>
  <c r="AH253" i="8"/>
  <c r="R239" i="5"/>
  <c r="AI253" i="8"/>
  <c r="U239" i="5"/>
  <c r="AJ253" i="8"/>
  <c r="X239" i="5"/>
  <c r="AK253" i="8"/>
  <c r="AA239" i="5"/>
  <c r="AC239" i="5"/>
  <c r="AL253" i="8"/>
  <c r="A254" i="8"/>
  <c r="AD254" i="8"/>
  <c r="AE254" i="8"/>
  <c r="I240" i="5"/>
  <c r="AF254" i="8"/>
  <c r="AG254" i="8"/>
  <c r="AH254" i="8"/>
  <c r="R240" i="5"/>
  <c r="AI254" i="8"/>
  <c r="U240" i="5"/>
  <c r="AJ254" i="8"/>
  <c r="X240" i="5"/>
  <c r="AK254" i="8"/>
  <c r="AA240" i="5"/>
  <c r="AC240" i="5"/>
  <c r="AL254" i="8"/>
  <c r="A255" i="8"/>
  <c r="AD255" i="8"/>
  <c r="AE255" i="8"/>
  <c r="AF255" i="8"/>
  <c r="L241" i="5"/>
  <c r="AG255" i="8"/>
  <c r="O241" i="5"/>
  <c r="AH255" i="8"/>
  <c r="R241" i="5"/>
  <c r="AI255" i="8"/>
  <c r="U241" i="5"/>
  <c r="AJ255" i="8"/>
  <c r="X241" i="5"/>
  <c r="AK255" i="8"/>
  <c r="AA241" i="5"/>
  <c r="AC241" i="5"/>
  <c r="AL255" i="8"/>
  <c r="A256" i="8"/>
  <c r="AD256" i="8"/>
  <c r="AE256" i="8"/>
  <c r="I242" i="5"/>
  <c r="AF256" i="8"/>
  <c r="AG256" i="8"/>
  <c r="AH256" i="8"/>
  <c r="R242" i="5"/>
  <c r="AI256" i="8"/>
  <c r="U242" i="5"/>
  <c r="AJ256" i="8"/>
  <c r="X242" i="5"/>
  <c r="AK256" i="8"/>
  <c r="AA242" i="5"/>
  <c r="AC242" i="5"/>
  <c r="AL256" i="8"/>
  <c r="A257" i="8"/>
  <c r="AD257" i="8"/>
  <c r="AE257" i="8"/>
  <c r="I243" i="5"/>
  <c r="AF257" i="8"/>
  <c r="AG257" i="8"/>
  <c r="AH257" i="8"/>
  <c r="R243" i="5"/>
  <c r="AI257" i="8"/>
  <c r="U243" i="5"/>
  <c r="AJ257" i="8"/>
  <c r="X243" i="5"/>
  <c r="AK257" i="8"/>
  <c r="AA243" i="5"/>
  <c r="AC243" i="5"/>
  <c r="AL257" i="8"/>
  <c r="A258" i="8"/>
  <c r="AD258" i="8"/>
  <c r="AE258" i="8"/>
  <c r="AF258" i="8"/>
  <c r="AG258" i="8"/>
  <c r="AH258" i="8"/>
  <c r="R244" i="5"/>
  <c r="AI258" i="8"/>
  <c r="U244" i="5"/>
  <c r="AJ258" i="8"/>
  <c r="X244" i="5"/>
  <c r="AK258" i="8"/>
  <c r="AA244" i="5"/>
  <c r="AC244" i="5"/>
  <c r="AL258" i="8"/>
  <c r="A259" i="8"/>
  <c r="AD259" i="8"/>
  <c r="AE259" i="8"/>
  <c r="AF259" i="8"/>
  <c r="AG259" i="8"/>
  <c r="AH259" i="8"/>
  <c r="R246" i="5"/>
  <c r="AI259" i="8"/>
  <c r="U246" i="5"/>
  <c r="AJ259" i="8"/>
  <c r="X246" i="5"/>
  <c r="AK259" i="8"/>
  <c r="AA246" i="5"/>
  <c r="AC246" i="5"/>
  <c r="AL259" i="8"/>
  <c r="A260" i="8"/>
  <c r="AD260" i="8"/>
  <c r="AE260" i="8"/>
  <c r="AF260" i="8"/>
  <c r="AG260" i="8"/>
  <c r="AH260" i="8"/>
  <c r="R247" i="5"/>
  <c r="AI260" i="8"/>
  <c r="U247" i="5"/>
  <c r="AJ260" i="8"/>
  <c r="X247" i="5"/>
  <c r="AK260" i="8"/>
  <c r="AA247" i="5"/>
  <c r="AC247" i="5"/>
  <c r="AL260" i="8"/>
  <c r="A261" i="8"/>
  <c r="AD261" i="8"/>
  <c r="AE261" i="8"/>
  <c r="I248" i="5"/>
  <c r="AF261" i="8"/>
  <c r="AG261" i="8"/>
  <c r="AH261" i="8"/>
  <c r="R248" i="5"/>
  <c r="AI261" i="8"/>
  <c r="U248" i="5"/>
  <c r="AJ261" i="8"/>
  <c r="X248" i="5"/>
  <c r="AK261" i="8"/>
  <c r="AA248" i="5"/>
  <c r="AC248" i="5"/>
  <c r="AL261" i="8"/>
  <c r="A262" i="8"/>
  <c r="AD262" i="8"/>
  <c r="AE262" i="8"/>
  <c r="I249" i="5"/>
  <c r="AF262" i="8"/>
  <c r="AG262" i="8"/>
  <c r="AH262" i="8"/>
  <c r="R249" i="5"/>
  <c r="AI262" i="8"/>
  <c r="U249" i="5"/>
  <c r="AJ262" i="8"/>
  <c r="X249" i="5"/>
  <c r="AK262" i="8"/>
  <c r="AA249" i="5"/>
  <c r="AC249" i="5"/>
  <c r="AL262" i="8"/>
  <c r="A263" i="8"/>
  <c r="AD263" i="8"/>
  <c r="AE263" i="8"/>
  <c r="I250" i="5"/>
  <c r="AF263" i="8"/>
  <c r="L250" i="5"/>
  <c r="AG263" i="8"/>
  <c r="O250" i="5"/>
  <c r="AH263" i="8"/>
  <c r="R250" i="5"/>
  <c r="AI263" i="8"/>
  <c r="U250" i="5"/>
  <c r="AJ263" i="8"/>
  <c r="X250" i="5"/>
  <c r="AK263" i="8"/>
  <c r="AA250" i="5"/>
  <c r="AC250" i="5"/>
  <c r="AL263" i="8"/>
  <c r="A264" i="8"/>
  <c r="AD264" i="8"/>
  <c r="AE264" i="8"/>
  <c r="AF264" i="8"/>
  <c r="AG264" i="8"/>
  <c r="AH264" i="8"/>
  <c r="R252" i="5"/>
  <c r="AI264" i="8"/>
  <c r="U252" i="5"/>
  <c r="AJ264" i="8"/>
  <c r="X252" i="5"/>
  <c r="AK264" i="8"/>
  <c r="AA252" i="5"/>
  <c r="AC252" i="5"/>
  <c r="AL264" i="8"/>
  <c r="A265" i="8"/>
  <c r="AD265" i="8"/>
  <c r="AE265" i="8"/>
  <c r="I253" i="5"/>
  <c r="AF265" i="8"/>
  <c r="AG265" i="8"/>
  <c r="AH265" i="8"/>
  <c r="R253" i="5"/>
  <c r="AI265" i="8"/>
  <c r="U253" i="5"/>
  <c r="AJ265" i="8"/>
  <c r="X253" i="5"/>
  <c r="AK265" i="8"/>
  <c r="AA253" i="5"/>
  <c r="AC253" i="5"/>
  <c r="AL265" i="8"/>
  <c r="A266" i="8"/>
  <c r="AD266" i="8"/>
  <c r="AE266" i="8"/>
  <c r="I254" i="5"/>
  <c r="AF266" i="8"/>
  <c r="AG266" i="8"/>
  <c r="AH266" i="8"/>
  <c r="R254" i="5"/>
  <c r="AI266" i="8"/>
  <c r="U254" i="5"/>
  <c r="AJ266" i="8"/>
  <c r="X254" i="5"/>
  <c r="AK266" i="8"/>
  <c r="AA254" i="5"/>
  <c r="AC254" i="5"/>
  <c r="AL266" i="8"/>
  <c r="A267" i="8"/>
  <c r="AD267" i="8"/>
  <c r="AE267" i="8"/>
  <c r="I255" i="5"/>
  <c r="AF267" i="8"/>
  <c r="AG267" i="8"/>
  <c r="AH267" i="8"/>
  <c r="R255" i="5"/>
  <c r="AI267" i="8"/>
  <c r="U255" i="5"/>
  <c r="AJ267" i="8"/>
  <c r="X255" i="5"/>
  <c r="AK267" i="8"/>
  <c r="AA255" i="5"/>
  <c r="AC255" i="5"/>
  <c r="AL267" i="8"/>
  <c r="A268" i="8"/>
  <c r="AD268" i="8"/>
  <c r="AE268" i="8"/>
  <c r="AF268" i="8"/>
  <c r="L256" i="5"/>
  <c r="AG268" i="8"/>
  <c r="O256" i="5"/>
  <c r="AH268" i="8"/>
  <c r="AI268" i="8"/>
  <c r="U256" i="5"/>
  <c r="AJ268" i="8"/>
  <c r="X256" i="5"/>
  <c r="AK268" i="8"/>
  <c r="AA256" i="5"/>
  <c r="AL268" i="8"/>
  <c r="AD256" i="5"/>
  <c r="AM268" i="8"/>
  <c r="AG256" i="5"/>
  <c r="X24" i="2"/>
  <c r="X392" i="4"/>
  <c r="AI256" i="5"/>
  <c r="AN268" i="8"/>
  <c r="A269" i="8"/>
  <c r="AD269" i="8"/>
  <c r="AE269" i="8"/>
  <c r="AF269" i="8"/>
  <c r="AG269" i="8"/>
  <c r="AH269" i="8"/>
  <c r="R257" i="5"/>
  <c r="AI269" i="8"/>
  <c r="U257" i="5"/>
  <c r="AJ269" i="8"/>
  <c r="X257" i="5"/>
  <c r="AK269" i="8"/>
  <c r="AA257" i="5"/>
  <c r="AC257" i="5"/>
  <c r="AL269" i="8"/>
  <c r="A270" i="8"/>
  <c r="AD270" i="8"/>
  <c r="AE270" i="8"/>
  <c r="AF270" i="8"/>
  <c r="L258" i="5"/>
  <c r="AG270" i="8"/>
  <c r="O258" i="5"/>
  <c r="AH270" i="8"/>
  <c r="R258" i="5"/>
  <c r="AI270" i="8"/>
  <c r="U258" i="5"/>
  <c r="AJ270" i="8"/>
  <c r="X258" i="5"/>
  <c r="AK270" i="8"/>
  <c r="AA258" i="5"/>
  <c r="AC258" i="5"/>
  <c r="AL270" i="8"/>
  <c r="A271" i="8"/>
  <c r="AD271" i="8"/>
  <c r="AE271" i="8"/>
  <c r="AF271" i="8"/>
  <c r="AG271" i="8"/>
  <c r="AH271" i="8"/>
  <c r="R259" i="5"/>
  <c r="AI271" i="8"/>
  <c r="U259" i="5"/>
  <c r="AJ271" i="8"/>
  <c r="X259" i="5"/>
  <c r="AK271" i="8"/>
  <c r="AA259" i="5"/>
  <c r="AC259" i="5"/>
  <c r="AL271" i="8"/>
  <c r="A272" i="8"/>
  <c r="AD272" i="8"/>
  <c r="AE272" i="8"/>
  <c r="AF272" i="8"/>
  <c r="AG272" i="8"/>
  <c r="AH272" i="8"/>
  <c r="R260" i="5"/>
  <c r="AI272" i="8"/>
  <c r="U260" i="5"/>
  <c r="AJ272" i="8"/>
  <c r="X260" i="5"/>
  <c r="AK272" i="8"/>
  <c r="AA260" i="5"/>
  <c r="AC260" i="5"/>
  <c r="AL272" i="8"/>
  <c r="A273" i="8"/>
  <c r="AD273" i="8"/>
  <c r="AE273" i="8"/>
  <c r="AF273" i="8"/>
  <c r="AG273" i="8"/>
  <c r="AH273" i="8"/>
  <c r="R261" i="5"/>
  <c r="AI273" i="8"/>
  <c r="U261" i="5"/>
  <c r="AJ273" i="8"/>
  <c r="X261" i="5"/>
  <c r="AK273" i="8"/>
  <c r="AA261" i="5"/>
  <c r="AC261" i="5"/>
  <c r="AL273" i="8"/>
  <c r="A274" i="8"/>
  <c r="AD274" i="8"/>
  <c r="AE274" i="8"/>
  <c r="I263" i="5"/>
  <c r="AF274" i="8"/>
  <c r="AG274" i="8"/>
  <c r="AH274" i="8"/>
  <c r="R263" i="5"/>
  <c r="AI274" i="8"/>
  <c r="U263" i="5"/>
  <c r="AJ274" i="8"/>
  <c r="X263" i="5"/>
  <c r="AK274" i="8"/>
  <c r="AA263" i="5"/>
  <c r="AC263" i="5"/>
  <c r="AL274" i="8"/>
  <c r="A275" i="8"/>
  <c r="AD275" i="8"/>
  <c r="AE275" i="8"/>
  <c r="AF275" i="8"/>
  <c r="AG275" i="8"/>
  <c r="AH275" i="8"/>
  <c r="R264" i="5"/>
  <c r="AI275" i="8"/>
  <c r="U264" i="5"/>
  <c r="AJ275" i="8"/>
  <c r="X264" i="5"/>
  <c r="AK275" i="8"/>
  <c r="AA264" i="5"/>
  <c r="AC264" i="5"/>
  <c r="AL275" i="8"/>
  <c r="A276" i="8"/>
  <c r="AD276" i="8"/>
  <c r="AE276" i="8"/>
  <c r="AF276" i="8"/>
  <c r="AG276" i="8"/>
  <c r="AH276" i="8"/>
  <c r="R265" i="5"/>
  <c r="AI276" i="8"/>
  <c r="U265" i="5"/>
  <c r="AJ276" i="8"/>
  <c r="X265" i="5"/>
  <c r="AK276" i="8"/>
  <c r="AA265" i="5"/>
  <c r="AC265" i="5"/>
  <c r="AL276" i="8"/>
  <c r="A277" i="8"/>
  <c r="AD277" i="8"/>
  <c r="AE277" i="8"/>
  <c r="AF277" i="8"/>
  <c r="AG277" i="8"/>
  <c r="AH277" i="8"/>
  <c r="R266" i="5"/>
  <c r="AI277" i="8"/>
  <c r="U266" i="5"/>
  <c r="AJ277" i="8"/>
  <c r="X266" i="5"/>
  <c r="AK277" i="8"/>
  <c r="AA266" i="5"/>
  <c r="AC266" i="5"/>
  <c r="AL277" i="8"/>
  <c r="A278" i="8"/>
  <c r="AD278" i="8"/>
  <c r="AE278" i="8"/>
  <c r="I267" i="5"/>
  <c r="AF278" i="8"/>
  <c r="L267" i="5"/>
  <c r="AG278" i="8"/>
  <c r="O267" i="5"/>
  <c r="AH278" i="8"/>
  <c r="R267" i="5"/>
  <c r="AI278" i="8"/>
  <c r="U267" i="5"/>
  <c r="AJ278" i="8"/>
  <c r="X267" i="5"/>
  <c r="AK278" i="8"/>
  <c r="AA267" i="5"/>
  <c r="AC267" i="5"/>
  <c r="AL278" i="8"/>
  <c r="A279" i="8"/>
  <c r="AD279" i="8"/>
  <c r="AE279" i="8"/>
  <c r="AF279" i="8"/>
  <c r="AG279" i="8"/>
  <c r="AH279" i="8"/>
  <c r="R268" i="5"/>
  <c r="AI279" i="8"/>
  <c r="U268" i="5"/>
  <c r="AJ279" i="8"/>
  <c r="X268" i="5"/>
  <c r="AK279" i="8"/>
  <c r="AA268" i="5"/>
  <c r="AC268" i="5"/>
  <c r="AL279" i="8"/>
  <c r="A280" i="8"/>
  <c r="AD280" i="8"/>
  <c r="AE280" i="8"/>
  <c r="AF280" i="8"/>
  <c r="AG280" i="8"/>
  <c r="AH280" i="8"/>
  <c r="R269" i="5"/>
  <c r="AI280" i="8"/>
  <c r="U269" i="5"/>
  <c r="AJ280" i="8"/>
  <c r="X269" i="5"/>
  <c r="AK280" i="8"/>
  <c r="AA269" i="5"/>
  <c r="AC269" i="5"/>
  <c r="AL280" i="8"/>
  <c r="A281" i="8"/>
  <c r="AD281" i="8"/>
  <c r="AE281" i="8"/>
  <c r="AF281" i="8"/>
  <c r="AG281" i="8"/>
  <c r="AH281" i="8"/>
  <c r="R270" i="5"/>
  <c r="AI281" i="8"/>
  <c r="U270" i="5"/>
  <c r="AJ281" i="8"/>
  <c r="X270" i="5"/>
  <c r="AK281" i="8"/>
  <c r="AA270" i="5"/>
  <c r="AC270" i="5"/>
  <c r="AL281" i="8"/>
  <c r="A282" i="8"/>
  <c r="AD282" i="8"/>
  <c r="AE282" i="8"/>
  <c r="AF282" i="8"/>
  <c r="AG282" i="8"/>
  <c r="AH282" i="8"/>
  <c r="R271" i="5"/>
  <c r="AI282" i="8"/>
  <c r="U271" i="5"/>
  <c r="AJ282" i="8"/>
  <c r="X271" i="5"/>
  <c r="AK282" i="8"/>
  <c r="AA271" i="5"/>
  <c r="AC271" i="5"/>
  <c r="AL282" i="8"/>
  <c r="A283" i="8"/>
  <c r="AD283" i="8"/>
  <c r="AE283" i="8"/>
  <c r="AF283" i="8"/>
  <c r="AG283" i="8"/>
  <c r="AH283" i="8"/>
  <c r="R272" i="5"/>
  <c r="AI283" i="8"/>
  <c r="U272" i="5"/>
  <c r="AJ283" i="8"/>
  <c r="X272" i="5"/>
  <c r="AK283" i="8"/>
  <c r="AA272" i="5"/>
  <c r="AC272" i="5"/>
  <c r="AL283" i="8"/>
  <c r="A284" i="8"/>
  <c r="AD284" i="8"/>
  <c r="AE284" i="8"/>
  <c r="AF284" i="8"/>
  <c r="AG284" i="8"/>
  <c r="AH284" i="8"/>
  <c r="R273" i="5"/>
  <c r="AI284" i="8"/>
  <c r="U273" i="5"/>
  <c r="AJ284" i="8"/>
  <c r="X273" i="5"/>
  <c r="AK284" i="8"/>
  <c r="AA273" i="5"/>
  <c r="AC273" i="5"/>
  <c r="AL284" i="8"/>
  <c r="A285" i="8"/>
  <c r="AD285" i="8"/>
  <c r="AE285" i="8"/>
  <c r="AF285" i="8"/>
  <c r="AG285" i="8"/>
  <c r="AH285" i="8"/>
  <c r="R274" i="5"/>
  <c r="AI285" i="8"/>
  <c r="U274" i="5"/>
  <c r="AJ285" i="8"/>
  <c r="X274" i="5"/>
  <c r="AK285" i="8"/>
  <c r="AA274" i="5"/>
  <c r="AC274" i="5"/>
  <c r="AL285" i="8"/>
  <c r="A286" i="8"/>
  <c r="AD286" i="8"/>
  <c r="AE286" i="8"/>
  <c r="AF286" i="8"/>
  <c r="AG286" i="8"/>
  <c r="AH286" i="8"/>
  <c r="R275" i="5"/>
  <c r="AI286" i="8"/>
  <c r="U275" i="5"/>
  <c r="AJ286" i="8"/>
  <c r="X275" i="5"/>
  <c r="AK286" i="8"/>
  <c r="AA275" i="5"/>
  <c r="AC275" i="5"/>
  <c r="AL286" i="8"/>
  <c r="A287" i="8"/>
  <c r="AD287" i="8"/>
  <c r="AE287" i="8"/>
  <c r="AF287" i="8"/>
  <c r="AG287" i="8"/>
  <c r="AH287" i="8"/>
  <c r="R277" i="5"/>
  <c r="AI287" i="8"/>
  <c r="U277" i="5"/>
  <c r="AJ287" i="8"/>
  <c r="X277" i="5"/>
  <c r="AK287" i="8"/>
  <c r="AA277" i="5"/>
  <c r="AC277" i="5"/>
  <c r="AL287" i="8"/>
  <c r="AO287" i="8"/>
  <c r="A288" i="8"/>
  <c r="AD288" i="8"/>
  <c r="AE288" i="8"/>
  <c r="AF288" i="8"/>
  <c r="AG288" i="8"/>
  <c r="AH288" i="8"/>
  <c r="R278" i="5"/>
  <c r="AI288" i="8"/>
  <c r="U278" i="5"/>
  <c r="AJ288" i="8"/>
  <c r="X278" i="5"/>
  <c r="AK288" i="8"/>
  <c r="AA278" i="5"/>
  <c r="AC278" i="5"/>
  <c r="AL288" i="8"/>
  <c r="A289" i="8"/>
  <c r="AD289" i="8"/>
  <c r="AE289" i="8"/>
  <c r="AF289" i="8"/>
  <c r="AG289" i="8"/>
  <c r="AH289" i="8"/>
  <c r="R279" i="5"/>
  <c r="AI289" i="8"/>
  <c r="U279" i="5"/>
  <c r="AJ289" i="8"/>
  <c r="X279" i="5"/>
  <c r="AK289" i="8"/>
  <c r="AA279" i="5"/>
  <c r="AC279" i="5"/>
  <c r="AL289" i="8"/>
  <c r="A290" i="8"/>
  <c r="AD290" i="8"/>
  <c r="AE290" i="8"/>
  <c r="AF290" i="8"/>
  <c r="L280" i="5"/>
  <c r="AG290" i="8"/>
  <c r="O280" i="5"/>
  <c r="AH290" i="8"/>
  <c r="R280" i="5"/>
  <c r="AI290" i="8"/>
  <c r="U280" i="5"/>
  <c r="AJ290" i="8"/>
  <c r="X280" i="5"/>
  <c r="AK290" i="8"/>
  <c r="AA280" i="5"/>
  <c r="AC280" i="5"/>
  <c r="AL290" i="8"/>
  <c r="A291" i="8"/>
  <c r="AD291" i="8"/>
  <c r="AE291" i="8"/>
  <c r="AF291" i="8"/>
  <c r="AG291" i="8"/>
  <c r="AH291" i="8"/>
  <c r="R281" i="5"/>
  <c r="AI291" i="8"/>
  <c r="U281" i="5"/>
  <c r="AJ291" i="8"/>
  <c r="X281" i="5"/>
  <c r="AK291" i="8"/>
  <c r="AA281" i="5"/>
  <c r="AC281" i="5"/>
  <c r="AL291" i="8"/>
  <c r="A292" i="8"/>
  <c r="AD292" i="8"/>
  <c r="AE292" i="8"/>
  <c r="AF292" i="8"/>
  <c r="L282" i="5"/>
  <c r="AG292" i="8"/>
  <c r="O282" i="5"/>
  <c r="AH292" i="8"/>
  <c r="AI292" i="8"/>
  <c r="U282" i="5"/>
  <c r="AJ292" i="8"/>
  <c r="X282" i="5"/>
  <c r="AK292" i="8"/>
  <c r="AA282" i="5"/>
  <c r="AL292" i="8"/>
  <c r="AD282" i="5"/>
  <c r="AM292" i="8"/>
  <c r="AG282" i="5"/>
  <c r="X16" i="2"/>
  <c r="X399" i="4"/>
  <c r="AI282" i="5"/>
  <c r="AN292" i="8"/>
  <c r="A293" i="8"/>
  <c r="AD293" i="8"/>
  <c r="AE293" i="8"/>
  <c r="I283" i="5"/>
  <c r="AF293" i="8"/>
  <c r="L283" i="5"/>
  <c r="AG293" i="8"/>
  <c r="O283" i="5"/>
  <c r="AH293" i="8"/>
  <c r="R283" i="5"/>
  <c r="AI293" i="8"/>
  <c r="U283" i="5"/>
  <c r="AJ293" i="8"/>
  <c r="X283" i="5"/>
  <c r="AK293" i="8"/>
  <c r="AA283" i="5"/>
  <c r="AC283" i="5"/>
  <c r="AL293" i="8"/>
  <c r="A294" i="8"/>
  <c r="AD294" i="8"/>
  <c r="AE294" i="8"/>
  <c r="AF294" i="8"/>
  <c r="AG294" i="8"/>
  <c r="AH294" i="8"/>
  <c r="R284" i="5"/>
  <c r="AI294" i="8"/>
  <c r="U284" i="5"/>
  <c r="AJ294" i="8"/>
  <c r="X284" i="5"/>
  <c r="AK294" i="8"/>
  <c r="AA284" i="5"/>
  <c r="AC284" i="5"/>
  <c r="AL294" i="8"/>
  <c r="A295" i="8"/>
  <c r="AD295" i="8"/>
  <c r="AE295" i="8"/>
  <c r="AF295" i="8"/>
  <c r="AG295" i="8"/>
  <c r="AH295" i="8"/>
  <c r="R285" i="5"/>
  <c r="AI295" i="8"/>
  <c r="U285" i="5"/>
  <c r="AJ295" i="8"/>
  <c r="X285" i="5"/>
  <c r="AK295" i="8"/>
  <c r="AA285" i="5"/>
  <c r="AC285" i="5"/>
  <c r="AL295" i="8"/>
  <c r="A296" i="8"/>
  <c r="AD296" i="8"/>
  <c r="AE296" i="8"/>
  <c r="AF296" i="8"/>
  <c r="AG296" i="8"/>
  <c r="AH296" i="8"/>
  <c r="R286" i="5"/>
  <c r="AI296" i="8"/>
  <c r="U286" i="5"/>
  <c r="AJ296" i="8"/>
  <c r="X286" i="5"/>
  <c r="AK296" i="8"/>
  <c r="AA286" i="5"/>
  <c r="AC286" i="5"/>
  <c r="AL296" i="8"/>
  <c r="A297" i="8"/>
  <c r="AD297" i="8"/>
  <c r="AE297" i="8"/>
  <c r="AF297" i="8"/>
  <c r="AG297" i="8"/>
  <c r="AH297" i="8"/>
  <c r="R287" i="5"/>
  <c r="AI297" i="8"/>
  <c r="U287" i="5"/>
  <c r="AJ297" i="8"/>
  <c r="X287" i="5"/>
  <c r="AK297" i="8"/>
  <c r="AA287" i="5"/>
  <c r="AC287" i="5"/>
  <c r="AL297" i="8"/>
  <c r="A298" i="8"/>
  <c r="AD298" i="8"/>
  <c r="AE298" i="8"/>
  <c r="AF298" i="8"/>
  <c r="L288" i="5"/>
  <c r="AG298" i="8"/>
  <c r="O288" i="5"/>
  <c r="AH298" i="8"/>
  <c r="R288" i="5"/>
  <c r="AI298" i="8"/>
  <c r="U288" i="5"/>
  <c r="AJ298" i="8"/>
  <c r="X288" i="5"/>
  <c r="AK298" i="8"/>
  <c r="AA288" i="5"/>
  <c r="AL298" i="8"/>
  <c r="A299" i="8"/>
  <c r="AD299" i="8"/>
  <c r="AE299" i="8"/>
  <c r="AF299" i="8"/>
  <c r="AG299" i="8"/>
  <c r="AH299" i="8"/>
  <c r="R289" i="5"/>
  <c r="AI299" i="8"/>
  <c r="U289" i="5"/>
  <c r="AJ299" i="8"/>
  <c r="X289" i="5"/>
  <c r="AK299" i="8"/>
  <c r="AA289" i="5"/>
  <c r="AC289" i="5"/>
  <c r="AL299" i="8"/>
  <c r="A300" i="8"/>
  <c r="AD300" i="8"/>
  <c r="AE300" i="8"/>
  <c r="AF300" i="8"/>
  <c r="L290" i="5"/>
  <c r="AG300" i="8"/>
  <c r="O290" i="5"/>
  <c r="AH300" i="8"/>
  <c r="R290" i="5"/>
  <c r="AI300" i="8"/>
  <c r="U290" i="5"/>
  <c r="AJ300" i="8"/>
  <c r="X290" i="5"/>
  <c r="AK300" i="8"/>
  <c r="AA290" i="5"/>
  <c r="AC290" i="5"/>
  <c r="AL300" i="8"/>
  <c r="A301" i="8"/>
  <c r="AD301" i="8"/>
  <c r="AE301" i="8"/>
  <c r="I291" i="5"/>
  <c r="AF301" i="8"/>
  <c r="L291" i="5"/>
  <c r="AG301" i="8"/>
  <c r="O291" i="5"/>
  <c r="AH301" i="8"/>
  <c r="R291" i="5"/>
  <c r="AI301" i="8"/>
  <c r="U291" i="5"/>
  <c r="AJ301" i="8"/>
  <c r="X291" i="5"/>
  <c r="AK301" i="8"/>
  <c r="AA291" i="5"/>
  <c r="AC291" i="5"/>
  <c r="AL301" i="8"/>
  <c r="A302" i="8"/>
  <c r="AD302" i="8"/>
  <c r="AE302" i="8"/>
  <c r="AF302" i="8"/>
  <c r="AG302" i="8"/>
  <c r="AH302" i="8"/>
  <c r="R292" i="5"/>
  <c r="AI302" i="8"/>
  <c r="U292" i="5"/>
  <c r="AJ302" i="8"/>
  <c r="X292" i="5"/>
  <c r="AK302" i="8"/>
  <c r="AA292" i="5"/>
  <c r="AC292" i="5"/>
  <c r="AL302" i="8"/>
  <c r="A303" i="8"/>
  <c r="AD303" i="8"/>
  <c r="AE303" i="8"/>
  <c r="AF303" i="8"/>
  <c r="AG303" i="8"/>
  <c r="AH303" i="8"/>
  <c r="R294" i="5"/>
  <c r="AI303" i="8"/>
  <c r="U294" i="5"/>
  <c r="AJ303" i="8"/>
  <c r="X294" i="5"/>
  <c r="AK303" i="8"/>
  <c r="AA294" i="5"/>
  <c r="AC294" i="5"/>
  <c r="AL303" i="8"/>
  <c r="A304" i="8"/>
  <c r="AD304" i="8"/>
  <c r="AE304" i="8"/>
  <c r="AF304" i="8"/>
  <c r="AG304" i="8"/>
  <c r="AH304" i="8"/>
  <c r="R295" i="5"/>
  <c r="AI304" i="8"/>
  <c r="U295" i="5"/>
  <c r="AJ304" i="8"/>
  <c r="X295" i="5"/>
  <c r="AK304" i="8"/>
  <c r="AA295" i="5"/>
  <c r="AC295" i="5"/>
  <c r="AL304" i="8"/>
  <c r="A305" i="8"/>
  <c r="AD305" i="8"/>
  <c r="AE305" i="8"/>
  <c r="AF305" i="8"/>
  <c r="AG305" i="8"/>
  <c r="AH305" i="8"/>
  <c r="R296" i="5"/>
  <c r="AI305" i="8"/>
  <c r="U296" i="5"/>
  <c r="AJ305" i="8"/>
  <c r="X296" i="5"/>
  <c r="AK305" i="8"/>
  <c r="AA296" i="5"/>
  <c r="AC296" i="5"/>
  <c r="AL305" i="8"/>
  <c r="A306" i="8"/>
  <c r="AD306" i="8"/>
  <c r="AE306" i="8"/>
  <c r="AF306" i="8"/>
  <c r="L297" i="5"/>
  <c r="AG306" i="8"/>
  <c r="O297" i="5"/>
  <c r="AH306" i="8"/>
  <c r="R297" i="5"/>
  <c r="AI306" i="8"/>
  <c r="U297" i="5"/>
  <c r="AJ306" i="8"/>
  <c r="X297" i="5"/>
  <c r="AK306" i="8"/>
  <c r="AA297" i="5"/>
  <c r="AC297" i="5"/>
  <c r="AL306" i="8"/>
  <c r="A307" i="8"/>
  <c r="AD307" i="8"/>
  <c r="AE307" i="8"/>
  <c r="AF307" i="8"/>
  <c r="L298" i="5"/>
  <c r="AG307" i="8"/>
  <c r="O298" i="5"/>
  <c r="AH307" i="8"/>
  <c r="R298" i="5"/>
  <c r="AI307" i="8"/>
  <c r="U298" i="5"/>
  <c r="AJ307" i="8"/>
  <c r="X298" i="5"/>
  <c r="AK307" i="8"/>
  <c r="AA298" i="5"/>
  <c r="AC298" i="5"/>
  <c r="AL307" i="8"/>
  <c r="A308" i="8"/>
  <c r="AD308" i="8"/>
  <c r="AE308" i="8"/>
  <c r="AF308" i="8"/>
  <c r="AG308" i="8"/>
  <c r="AH308" i="8"/>
  <c r="R299" i="5"/>
  <c r="AI308" i="8"/>
  <c r="U299" i="5"/>
  <c r="AJ308" i="8"/>
  <c r="X299" i="5"/>
  <c r="AK308" i="8"/>
  <c r="AA299" i="5"/>
  <c r="AC299" i="5"/>
  <c r="AL308" i="8"/>
  <c r="A309" i="8"/>
  <c r="AD309" i="8"/>
  <c r="AE309" i="8"/>
  <c r="AF309" i="8"/>
  <c r="L300" i="5"/>
  <c r="AG309" i="8"/>
  <c r="O300" i="5"/>
  <c r="AH309" i="8"/>
  <c r="AI309" i="8"/>
  <c r="U300" i="5"/>
  <c r="AJ309" i="8"/>
  <c r="X300" i="5"/>
  <c r="AK309" i="8"/>
  <c r="AA300" i="5"/>
  <c r="AL309" i="8"/>
  <c r="AD300" i="5"/>
  <c r="AM309" i="8"/>
  <c r="AG300" i="5"/>
  <c r="X29" i="2"/>
  <c r="X382" i="4"/>
  <c r="AI300" i="5"/>
  <c r="AN309" i="8"/>
  <c r="A310" i="8"/>
  <c r="AD310" i="8"/>
  <c r="AE310" i="8"/>
  <c r="AF310" i="8"/>
  <c r="AG310" i="8"/>
  <c r="AH310" i="8"/>
  <c r="R301" i="5"/>
  <c r="AI310" i="8"/>
  <c r="U301" i="5"/>
  <c r="AJ310" i="8"/>
  <c r="X301" i="5"/>
  <c r="AK310" i="8"/>
  <c r="AA301" i="5"/>
  <c r="AC301" i="5"/>
  <c r="AL310" i="8"/>
  <c r="A311" i="8"/>
  <c r="AD311" i="8"/>
  <c r="AE311" i="8"/>
  <c r="AF311" i="8"/>
  <c r="AG311" i="8"/>
  <c r="AH311" i="8"/>
  <c r="R302" i="5"/>
  <c r="AI311" i="8"/>
  <c r="U302" i="5"/>
  <c r="AJ311" i="8"/>
  <c r="X302" i="5"/>
  <c r="AK311" i="8"/>
  <c r="AA302" i="5"/>
  <c r="AC302" i="5"/>
  <c r="AL311" i="8"/>
  <c r="A312" i="8"/>
  <c r="AD312" i="8"/>
  <c r="AE312" i="8"/>
  <c r="AF312" i="8"/>
  <c r="AG312" i="8"/>
  <c r="AH312" i="8"/>
  <c r="R303" i="5"/>
  <c r="AI312" i="8"/>
  <c r="U303" i="5"/>
  <c r="AJ312" i="8"/>
  <c r="X303" i="5"/>
  <c r="AK312" i="8"/>
  <c r="AA303" i="5"/>
  <c r="AC303" i="5"/>
  <c r="AL312" i="8"/>
  <c r="AO312" i="8"/>
  <c r="A313" i="8"/>
  <c r="AD313" i="8"/>
  <c r="AE313" i="8"/>
  <c r="AF313" i="8"/>
  <c r="AG313" i="8"/>
  <c r="AH313" i="8"/>
  <c r="R304" i="5"/>
  <c r="AI313" i="8"/>
  <c r="U304" i="5"/>
  <c r="AJ313" i="8"/>
  <c r="X304" i="5"/>
  <c r="AK313" i="8"/>
  <c r="AA304" i="5"/>
  <c r="AC304" i="5"/>
  <c r="AL313" i="8"/>
  <c r="A314" i="8"/>
  <c r="AD314" i="8"/>
  <c r="AE314" i="8"/>
  <c r="AF314" i="8"/>
  <c r="AG314" i="8"/>
  <c r="AH314" i="8"/>
  <c r="R305" i="5"/>
  <c r="AI314" i="8"/>
  <c r="U305" i="5"/>
  <c r="AJ314" i="8"/>
  <c r="X305" i="5"/>
  <c r="AK314" i="8"/>
  <c r="AA305" i="5"/>
  <c r="AC305" i="5"/>
  <c r="AL314" i="8"/>
  <c r="A315" i="8"/>
  <c r="AD315" i="8"/>
  <c r="AE315" i="8"/>
  <c r="AF315" i="8"/>
  <c r="AG315" i="8"/>
  <c r="AH315" i="8"/>
  <c r="R306" i="5"/>
  <c r="AI315" i="8"/>
  <c r="U306" i="5"/>
  <c r="AJ315" i="8"/>
  <c r="X306" i="5"/>
  <c r="AK315" i="8"/>
  <c r="AA306" i="5"/>
  <c r="AL315" i="8"/>
  <c r="A316" i="8"/>
  <c r="AD316" i="8"/>
  <c r="AE316" i="8"/>
  <c r="AF316" i="8"/>
  <c r="AG316" i="8"/>
  <c r="AH316" i="8"/>
  <c r="R307" i="5"/>
  <c r="AI316" i="8"/>
  <c r="U307" i="5"/>
  <c r="AJ316" i="8"/>
  <c r="X307" i="5"/>
  <c r="AK316" i="8"/>
  <c r="AA307" i="5"/>
  <c r="AC307" i="5"/>
  <c r="AL316" i="8"/>
  <c r="AO316" i="8"/>
  <c r="A317" i="8"/>
  <c r="AD317" i="8"/>
  <c r="AE317" i="8"/>
  <c r="AF317" i="8"/>
  <c r="AG317" i="8"/>
  <c r="AH317" i="8"/>
  <c r="R308" i="5"/>
  <c r="AI317" i="8"/>
  <c r="U308" i="5"/>
  <c r="AJ317" i="8"/>
  <c r="X308" i="5"/>
  <c r="AK317" i="8"/>
  <c r="AA308" i="5"/>
  <c r="AC308" i="5"/>
  <c r="AL317" i="8"/>
  <c r="A318" i="8"/>
  <c r="AD318" i="8"/>
  <c r="AE318" i="8"/>
  <c r="AF318" i="8"/>
  <c r="AG318" i="8"/>
  <c r="AH318" i="8"/>
  <c r="R309" i="5"/>
  <c r="AI318" i="8"/>
  <c r="U309" i="5"/>
  <c r="AJ318" i="8"/>
  <c r="X309" i="5"/>
  <c r="AK318" i="8"/>
  <c r="AA309" i="5"/>
  <c r="AC309" i="5"/>
  <c r="AL318" i="8"/>
  <c r="A319" i="8"/>
  <c r="AD319" i="8"/>
  <c r="AE319" i="8"/>
  <c r="AF319" i="8"/>
  <c r="AG319" i="8"/>
  <c r="AH319" i="8"/>
  <c r="R310" i="5"/>
  <c r="AI319" i="8"/>
  <c r="U310" i="5"/>
  <c r="AJ319" i="8"/>
  <c r="X310" i="5"/>
  <c r="AK319" i="8"/>
  <c r="AA310" i="5"/>
  <c r="AC310" i="5"/>
  <c r="AL319" i="8"/>
  <c r="A320" i="8"/>
  <c r="AD320" i="8"/>
  <c r="AE320" i="8"/>
  <c r="AF320" i="8"/>
  <c r="AG320" i="8"/>
  <c r="AH320" i="8"/>
  <c r="R311" i="5"/>
  <c r="AI320" i="8"/>
  <c r="U311" i="5"/>
  <c r="AJ320" i="8"/>
  <c r="X311" i="5"/>
  <c r="AK320" i="8"/>
  <c r="AA311" i="5"/>
  <c r="AC311" i="5"/>
  <c r="AL320" i="8"/>
  <c r="A321" i="8"/>
  <c r="AD321" i="8"/>
  <c r="AE321" i="8"/>
  <c r="AF321" i="8"/>
  <c r="AG321" i="8"/>
  <c r="AH321" i="8"/>
  <c r="R312" i="5"/>
  <c r="AI321" i="8"/>
  <c r="U312" i="5"/>
  <c r="AJ321" i="8"/>
  <c r="X312" i="5"/>
  <c r="AK321" i="8"/>
  <c r="AA312" i="5"/>
  <c r="AC312" i="5"/>
  <c r="AL321" i="8"/>
  <c r="A322" i="8"/>
  <c r="AD322" i="8"/>
  <c r="AE322" i="8"/>
  <c r="AF322" i="8"/>
  <c r="AG322" i="8"/>
  <c r="AH322" i="8"/>
  <c r="R313" i="5"/>
  <c r="AI322" i="8"/>
  <c r="U313" i="5"/>
  <c r="AJ322" i="8"/>
  <c r="X313" i="5"/>
  <c r="AK322" i="8"/>
  <c r="AA313" i="5"/>
  <c r="AC313" i="5"/>
  <c r="AL322" i="8"/>
  <c r="A323" i="8"/>
  <c r="AD323" i="8"/>
  <c r="AE323" i="8"/>
  <c r="AF323" i="8"/>
  <c r="AG323" i="8"/>
  <c r="AH323" i="8"/>
  <c r="R314" i="5"/>
  <c r="AI323" i="8"/>
  <c r="U314" i="5"/>
  <c r="AJ323" i="8"/>
  <c r="X314" i="5"/>
  <c r="AK323" i="8"/>
  <c r="AA314" i="5"/>
  <c r="AC314" i="5"/>
  <c r="AL323" i="8"/>
  <c r="A324" i="8"/>
  <c r="AD324" i="8"/>
  <c r="AE324" i="8"/>
  <c r="I315" i="5"/>
  <c r="AF324" i="8"/>
  <c r="AG324" i="8"/>
  <c r="AH324" i="8"/>
  <c r="R315" i="5"/>
  <c r="AI324" i="8"/>
  <c r="U315" i="5"/>
  <c r="AJ324" i="8"/>
  <c r="X315" i="5"/>
  <c r="AK324" i="8"/>
  <c r="AA315" i="5"/>
  <c r="AC315" i="5"/>
  <c r="AL324" i="8"/>
  <c r="A325" i="8"/>
  <c r="AD325" i="8"/>
  <c r="AE325" i="8"/>
  <c r="AF325" i="8"/>
  <c r="AG325" i="8"/>
  <c r="AH325" i="8"/>
  <c r="R316" i="5"/>
  <c r="AI325" i="8"/>
  <c r="U316" i="5"/>
  <c r="AJ325" i="8"/>
  <c r="X316" i="5"/>
  <c r="AK325" i="8"/>
  <c r="AA316" i="5"/>
  <c r="AC316" i="5"/>
  <c r="AL325" i="8"/>
  <c r="A326" i="8"/>
  <c r="AD326" i="8"/>
  <c r="AE326" i="8"/>
  <c r="AF326" i="8"/>
  <c r="L317" i="5"/>
  <c r="AG326" i="8"/>
  <c r="O317" i="5"/>
  <c r="AH326" i="8"/>
  <c r="R317" i="5"/>
  <c r="AI326" i="8"/>
  <c r="U317" i="5"/>
  <c r="AJ326" i="8"/>
  <c r="X317" i="5"/>
  <c r="AK326" i="8"/>
  <c r="AA317" i="5"/>
  <c r="AC317" i="5"/>
  <c r="AL326" i="8"/>
  <c r="A327" i="8"/>
  <c r="AD327" i="8"/>
  <c r="AE327" i="8"/>
  <c r="I319" i="5"/>
  <c r="AF327" i="8"/>
  <c r="AG327" i="8"/>
  <c r="AH327" i="8"/>
  <c r="R319" i="5"/>
  <c r="AI327" i="8"/>
  <c r="U319" i="5"/>
  <c r="AJ327" i="8"/>
  <c r="X319" i="5"/>
  <c r="AK327" i="8"/>
  <c r="AA319" i="5"/>
  <c r="AC319" i="5"/>
  <c r="AL327" i="8"/>
  <c r="A328" i="8"/>
  <c r="AD328" i="8"/>
  <c r="AE328" i="8"/>
  <c r="I320" i="5"/>
  <c r="AF328" i="8"/>
  <c r="L320" i="5"/>
  <c r="AG328" i="8"/>
  <c r="O320" i="5"/>
  <c r="AH328" i="8"/>
  <c r="R320" i="5"/>
  <c r="AI328" i="8"/>
  <c r="U320" i="5"/>
  <c r="AJ328" i="8"/>
  <c r="X320" i="5"/>
  <c r="AK328" i="8"/>
  <c r="AA320" i="5"/>
  <c r="AC320" i="5"/>
  <c r="AL328" i="8"/>
  <c r="A329" i="8"/>
  <c r="AD329" i="8"/>
  <c r="AE329" i="8"/>
  <c r="AF329" i="8"/>
  <c r="L321" i="5"/>
  <c r="AG329" i="8"/>
  <c r="O321" i="5"/>
  <c r="AH329" i="8"/>
  <c r="R321" i="5"/>
  <c r="AI329" i="8"/>
  <c r="U321" i="5"/>
  <c r="AJ329" i="8"/>
  <c r="X321" i="5"/>
  <c r="AK329" i="8"/>
  <c r="AA321" i="5"/>
  <c r="AC321" i="5"/>
  <c r="AL329" i="8"/>
  <c r="A330" i="8"/>
  <c r="AD330" i="8"/>
  <c r="AE330" i="8"/>
  <c r="AF330" i="8"/>
  <c r="AG330" i="8"/>
  <c r="AH330" i="8"/>
  <c r="R322" i="5"/>
  <c r="AI330" i="8"/>
  <c r="U322" i="5"/>
  <c r="AJ330" i="8"/>
  <c r="X322" i="5"/>
  <c r="AK330" i="8"/>
  <c r="AA322" i="5"/>
  <c r="AC322" i="5"/>
  <c r="AL330" i="8"/>
  <c r="A331" i="8"/>
  <c r="AD331" i="8"/>
  <c r="AE331" i="8"/>
  <c r="AF331" i="8"/>
  <c r="AG331" i="8"/>
  <c r="AH331" i="8"/>
  <c r="R323" i="5"/>
  <c r="AI331" i="8"/>
  <c r="U323" i="5"/>
  <c r="AJ331" i="8"/>
  <c r="X323" i="5"/>
  <c r="AK331" i="8"/>
  <c r="AA323" i="5"/>
  <c r="AC323" i="5"/>
  <c r="AL331" i="8"/>
  <c r="A332" i="8"/>
  <c r="AD332" i="8"/>
  <c r="AE332" i="8"/>
  <c r="AF332" i="8"/>
  <c r="L325" i="5"/>
  <c r="AG332" i="8"/>
  <c r="O325" i="5"/>
  <c r="AH332" i="8"/>
  <c r="R325" i="5"/>
  <c r="AI332" i="8"/>
  <c r="U325" i="5"/>
  <c r="AJ332" i="8"/>
  <c r="X325" i="5"/>
  <c r="AK332" i="8"/>
  <c r="AA325" i="5"/>
  <c r="AC325" i="5"/>
  <c r="AL332" i="8"/>
  <c r="A333" i="8"/>
  <c r="AD333" i="8"/>
  <c r="AE333" i="8"/>
  <c r="I326" i="5"/>
  <c r="AF333" i="8"/>
  <c r="AG333" i="8"/>
  <c r="O326" i="5"/>
  <c r="AH333" i="8"/>
  <c r="R326" i="5"/>
  <c r="AI333" i="8"/>
  <c r="U326" i="5"/>
  <c r="AJ333" i="8"/>
  <c r="X326" i="5"/>
  <c r="AK333" i="8"/>
  <c r="AA326" i="5"/>
  <c r="AC326" i="5"/>
  <c r="AL333" i="8"/>
  <c r="A334" i="8"/>
  <c r="AD334" i="8"/>
  <c r="AE334" i="8"/>
  <c r="I327" i="5"/>
  <c r="AF334" i="8"/>
  <c r="L327" i="5"/>
  <c r="AG334" i="8"/>
  <c r="O327" i="5"/>
  <c r="AH334" i="8"/>
  <c r="R327" i="5"/>
  <c r="AI334" i="8"/>
  <c r="U327" i="5"/>
  <c r="AJ334" i="8"/>
  <c r="X327" i="5"/>
  <c r="AK334" i="8"/>
  <c r="AA327" i="5"/>
  <c r="AC327" i="5"/>
  <c r="AL334" i="8"/>
  <c r="A335" i="8"/>
  <c r="AD335" i="8"/>
  <c r="AE335" i="8"/>
  <c r="I328" i="5"/>
  <c r="AF335" i="8"/>
  <c r="L328" i="5"/>
  <c r="AG335" i="8"/>
  <c r="O328" i="5"/>
  <c r="AH335" i="8"/>
  <c r="R328" i="5"/>
  <c r="AI335" i="8"/>
  <c r="U328" i="5"/>
  <c r="AJ335" i="8"/>
  <c r="X328" i="5"/>
  <c r="AK335" i="8"/>
  <c r="AA328" i="5"/>
  <c r="AC328" i="5"/>
  <c r="AL335" i="8"/>
  <c r="A336" i="8"/>
  <c r="AD336" i="8"/>
  <c r="AE336" i="8"/>
  <c r="I329" i="5"/>
  <c r="AF336" i="8"/>
  <c r="L329" i="5"/>
  <c r="AG336" i="8"/>
  <c r="O329" i="5"/>
  <c r="AH336" i="8"/>
  <c r="R329" i="5"/>
  <c r="AI336" i="8"/>
  <c r="U329" i="5"/>
  <c r="AJ336" i="8"/>
  <c r="X329" i="5"/>
  <c r="AK336" i="8"/>
  <c r="AA329" i="5"/>
  <c r="AC329" i="5"/>
  <c r="AL336" i="8"/>
  <c r="A337" i="8"/>
  <c r="AD337" i="8"/>
  <c r="AE337" i="8"/>
  <c r="I330" i="5"/>
  <c r="AF337" i="8"/>
  <c r="L330" i="5"/>
  <c r="AG337" i="8"/>
  <c r="O330" i="5"/>
  <c r="AH337" i="8"/>
  <c r="R330" i="5"/>
  <c r="AI337" i="8"/>
  <c r="U330" i="5"/>
  <c r="AJ337" i="8"/>
  <c r="X330" i="5"/>
  <c r="AK337" i="8"/>
  <c r="AA330" i="5"/>
  <c r="AC330" i="5"/>
  <c r="AL337" i="8"/>
  <c r="A338" i="8"/>
  <c r="AD338" i="8"/>
  <c r="AE338" i="8"/>
  <c r="AF338" i="8"/>
  <c r="L331" i="5"/>
  <c r="AG338" i="8"/>
  <c r="O331" i="5"/>
  <c r="AH338" i="8"/>
  <c r="AI338" i="8"/>
  <c r="U331" i="5"/>
  <c r="AJ338" i="8"/>
  <c r="X331" i="5"/>
  <c r="AK338" i="8"/>
  <c r="AA331" i="5"/>
  <c r="AL338" i="8"/>
  <c r="AD331" i="5"/>
  <c r="AM338" i="8"/>
  <c r="AG331" i="5"/>
  <c r="X38" i="2"/>
  <c r="X383" i="4"/>
  <c r="AI331" i="5"/>
  <c r="AN338" i="8"/>
  <c r="A339" i="8"/>
  <c r="AD339" i="8"/>
  <c r="AE339" i="8"/>
  <c r="I332" i="5"/>
  <c r="AF339" i="8"/>
  <c r="AG339" i="8"/>
  <c r="AH339" i="8"/>
  <c r="R332" i="5"/>
  <c r="AI339" i="8"/>
  <c r="U332" i="5"/>
  <c r="AJ339" i="8"/>
  <c r="X332" i="5"/>
  <c r="AK339" i="8"/>
  <c r="AA332" i="5"/>
  <c r="AC332" i="5"/>
  <c r="AL339" i="8"/>
  <c r="A340" i="8"/>
  <c r="AD340" i="8"/>
  <c r="AE340" i="8"/>
  <c r="I333" i="5"/>
  <c r="AF340" i="8"/>
  <c r="AG340" i="8"/>
  <c r="AH340" i="8"/>
  <c r="R333" i="5"/>
  <c r="AI340" i="8"/>
  <c r="U333" i="5"/>
  <c r="AJ340" i="8"/>
  <c r="X333" i="5"/>
  <c r="AK340" i="8"/>
  <c r="AA333" i="5"/>
  <c r="AC333" i="5"/>
  <c r="AL340" i="8"/>
  <c r="A341" i="8"/>
  <c r="AD341" i="8"/>
  <c r="AE341" i="8"/>
  <c r="I334" i="5"/>
  <c r="AF341" i="8"/>
  <c r="AG341" i="8"/>
  <c r="AH341" i="8"/>
  <c r="R334" i="5"/>
  <c r="AI341" i="8"/>
  <c r="U334" i="5"/>
  <c r="AJ341" i="8"/>
  <c r="X334" i="5"/>
  <c r="AK341" i="8"/>
  <c r="AA334" i="5"/>
  <c r="AC334" i="5"/>
  <c r="AL341" i="8"/>
  <c r="A342" i="8"/>
  <c r="AD342" i="8"/>
  <c r="AE342" i="8"/>
  <c r="AF342" i="8"/>
  <c r="AG342" i="8"/>
  <c r="AH342" i="8"/>
  <c r="R335" i="5"/>
  <c r="AI342" i="8"/>
  <c r="U335" i="5"/>
  <c r="AJ342" i="8"/>
  <c r="X335" i="5"/>
  <c r="AK342" i="8"/>
  <c r="AA335" i="5"/>
  <c r="AC335" i="5"/>
  <c r="AL342" i="8"/>
  <c r="A343" i="8"/>
  <c r="AD343" i="8"/>
  <c r="AE343" i="8"/>
  <c r="I336" i="5"/>
  <c r="AF343" i="8"/>
  <c r="AG343" i="8"/>
  <c r="AH343" i="8"/>
  <c r="R336" i="5"/>
  <c r="AI343" i="8"/>
  <c r="U336" i="5"/>
  <c r="AJ343" i="8"/>
  <c r="X336" i="5"/>
  <c r="AK343" i="8"/>
  <c r="AA336" i="5"/>
  <c r="AC336" i="5"/>
  <c r="AL343" i="8"/>
  <c r="A344" i="8"/>
  <c r="AD344" i="8"/>
  <c r="AE344" i="8"/>
  <c r="I337" i="5"/>
  <c r="AF344" i="8"/>
  <c r="AG344" i="8"/>
  <c r="AH344" i="8"/>
  <c r="R337" i="5"/>
  <c r="AI344" i="8"/>
  <c r="U337" i="5"/>
  <c r="AJ344" i="8"/>
  <c r="X337" i="5"/>
  <c r="AK344" i="8"/>
  <c r="AA337" i="5"/>
  <c r="AC337" i="5"/>
  <c r="AL344" i="8"/>
  <c r="A345" i="8"/>
  <c r="AD345" i="8"/>
  <c r="AE345" i="8"/>
  <c r="I338" i="5"/>
  <c r="AF345" i="8"/>
  <c r="AG345" i="8"/>
  <c r="AH345" i="8"/>
  <c r="R338" i="5"/>
  <c r="AI345" i="8"/>
  <c r="U338" i="5"/>
  <c r="AJ345" i="8"/>
  <c r="X338" i="5"/>
  <c r="AK345" i="8"/>
  <c r="AA338" i="5"/>
  <c r="AC338" i="5"/>
  <c r="AL345" i="8"/>
  <c r="A346" i="8"/>
  <c r="AD346" i="8"/>
  <c r="AE346" i="8"/>
  <c r="I339" i="5"/>
  <c r="AF346" i="8"/>
  <c r="AG346" i="8"/>
  <c r="AH346" i="8"/>
  <c r="R339" i="5"/>
  <c r="AI346" i="8"/>
  <c r="U339" i="5"/>
  <c r="AJ346" i="8"/>
  <c r="X339" i="5"/>
  <c r="AK346" i="8"/>
  <c r="AA339" i="5"/>
  <c r="AC339" i="5"/>
  <c r="AL346" i="8"/>
  <c r="A347" i="8"/>
  <c r="AD347" i="8"/>
  <c r="AE347" i="8"/>
  <c r="I340" i="5"/>
  <c r="AF347" i="8"/>
  <c r="AG347" i="8"/>
  <c r="AH347" i="8"/>
  <c r="R340" i="5"/>
  <c r="AI347" i="8"/>
  <c r="U340" i="5"/>
  <c r="AJ347" i="8"/>
  <c r="X340" i="5"/>
  <c r="AK347" i="8"/>
  <c r="AA340" i="5"/>
  <c r="AC340" i="5"/>
  <c r="AL347" i="8"/>
  <c r="A348" i="8"/>
  <c r="AD348" i="8"/>
  <c r="AE348" i="8"/>
  <c r="I341" i="5"/>
  <c r="AF348" i="8"/>
  <c r="AG348" i="8"/>
  <c r="AH348" i="8"/>
  <c r="R341" i="5"/>
  <c r="AI348" i="8"/>
  <c r="U341" i="5"/>
  <c r="AJ348" i="8"/>
  <c r="X341" i="5"/>
  <c r="AK348" i="8"/>
  <c r="AA341" i="5"/>
  <c r="AC341" i="5"/>
  <c r="AL348" i="8"/>
  <c r="A349" i="8"/>
  <c r="AD349" i="8"/>
  <c r="AE349" i="8"/>
  <c r="I342" i="5"/>
  <c r="AF349" i="8"/>
  <c r="AG349" i="8"/>
  <c r="AH349" i="8"/>
  <c r="R342" i="5"/>
  <c r="AI349" i="8"/>
  <c r="U342" i="5"/>
  <c r="AJ349" i="8"/>
  <c r="X342" i="5"/>
  <c r="AK349" i="8"/>
  <c r="AA342" i="5"/>
  <c r="AC342" i="5"/>
  <c r="AL349" i="8"/>
  <c r="A350" i="8"/>
  <c r="AD350" i="8"/>
  <c r="AE350" i="8"/>
  <c r="I343" i="5"/>
  <c r="AF350" i="8"/>
  <c r="AG350" i="8"/>
  <c r="AH350" i="8"/>
  <c r="R343" i="5"/>
  <c r="AI350" i="8"/>
  <c r="U343" i="5"/>
  <c r="AJ350" i="8"/>
  <c r="X343" i="5"/>
  <c r="AK350" i="8"/>
  <c r="AA343" i="5"/>
  <c r="AC343" i="5"/>
  <c r="AL350" i="8"/>
  <c r="A351" i="8"/>
  <c r="AD351" i="8"/>
  <c r="AE351" i="8"/>
  <c r="AF351" i="8"/>
  <c r="AG351" i="8"/>
  <c r="AH351" i="8"/>
  <c r="R345" i="5"/>
  <c r="AI351" i="8"/>
  <c r="U345" i="5"/>
  <c r="AJ351" i="8"/>
  <c r="X345" i="5"/>
  <c r="AK351" i="8"/>
  <c r="AA345" i="5"/>
  <c r="AC345" i="5"/>
  <c r="AL351" i="8"/>
  <c r="A352" i="8"/>
  <c r="AD352" i="8"/>
  <c r="AE352" i="8"/>
  <c r="I346" i="5"/>
  <c r="AF352" i="8"/>
  <c r="AG352" i="8"/>
  <c r="AH352" i="8"/>
  <c r="R346" i="5"/>
  <c r="AI352" i="8"/>
  <c r="U346" i="5"/>
  <c r="AJ352" i="8"/>
  <c r="X346" i="5"/>
  <c r="AK352" i="8"/>
  <c r="AA346" i="5"/>
  <c r="AC346" i="5"/>
  <c r="AL352" i="8"/>
  <c r="A353" i="8"/>
  <c r="AD353" i="8"/>
  <c r="AE353" i="8"/>
  <c r="I347" i="5"/>
  <c r="AF353" i="8"/>
  <c r="AG353" i="8"/>
  <c r="AH353" i="8"/>
  <c r="R347" i="5"/>
  <c r="AI353" i="8"/>
  <c r="U347" i="5"/>
  <c r="AJ353" i="8"/>
  <c r="X347" i="5"/>
  <c r="AK353" i="8"/>
  <c r="AA347" i="5"/>
  <c r="AC347" i="5"/>
  <c r="AL353" i="8"/>
  <c r="A354" i="8"/>
  <c r="AD354" i="8"/>
  <c r="AE354" i="8"/>
  <c r="I348" i="5"/>
  <c r="AF354" i="8"/>
  <c r="AG354" i="8"/>
  <c r="AH354" i="8"/>
  <c r="R348" i="5"/>
  <c r="AI354" i="8"/>
  <c r="U348" i="5"/>
  <c r="AJ354" i="8"/>
  <c r="X348" i="5"/>
  <c r="AK354" i="8"/>
  <c r="AA348" i="5"/>
  <c r="AC348" i="5"/>
  <c r="AL354" i="8"/>
  <c r="A355" i="8"/>
  <c r="AD355" i="8"/>
  <c r="AE355" i="8"/>
  <c r="I349" i="5"/>
  <c r="AF355" i="8"/>
  <c r="AG355" i="8"/>
  <c r="AH355" i="8"/>
  <c r="R349" i="5"/>
  <c r="AI355" i="8"/>
  <c r="U349" i="5"/>
  <c r="AJ355" i="8"/>
  <c r="X349" i="5"/>
  <c r="AK355" i="8"/>
  <c r="AA349" i="5"/>
  <c r="AC349" i="5"/>
  <c r="AL355" i="8"/>
  <c r="A356" i="8"/>
  <c r="AD356" i="8"/>
  <c r="AE356" i="8"/>
  <c r="I350" i="5"/>
  <c r="AF356" i="8"/>
  <c r="AG356" i="8"/>
  <c r="AH356" i="8"/>
  <c r="R350" i="5"/>
  <c r="AI356" i="8"/>
  <c r="U350" i="5"/>
  <c r="AJ356" i="8"/>
  <c r="X350" i="5"/>
  <c r="AK356" i="8"/>
  <c r="AA350" i="5"/>
  <c r="AC350" i="5"/>
  <c r="AL356" i="8"/>
  <c r="A357" i="8"/>
  <c r="AD357" i="8"/>
  <c r="AE357" i="8"/>
  <c r="I351" i="5"/>
  <c r="AF357" i="8"/>
  <c r="AG357" i="8"/>
  <c r="AH357" i="8"/>
  <c r="R351" i="5"/>
  <c r="AI357" i="8"/>
  <c r="U351" i="5"/>
  <c r="AJ357" i="8"/>
  <c r="X351" i="5"/>
  <c r="AK357" i="8"/>
  <c r="AA351" i="5"/>
  <c r="AC351" i="5"/>
  <c r="AL357" i="8"/>
  <c r="A358" i="8"/>
  <c r="AD358" i="8"/>
  <c r="AE358" i="8"/>
  <c r="AF358" i="8"/>
  <c r="AG358" i="8"/>
  <c r="AH358" i="8"/>
  <c r="R352" i="5"/>
  <c r="AI358" i="8"/>
  <c r="U352" i="5"/>
  <c r="AJ358" i="8"/>
  <c r="X352" i="5"/>
  <c r="AK358" i="8"/>
  <c r="AA352" i="5"/>
  <c r="AC352" i="5"/>
  <c r="AL358" i="8"/>
  <c r="A359" i="8"/>
  <c r="AD359" i="8"/>
  <c r="AE359" i="8"/>
  <c r="I353" i="5"/>
  <c r="AF359" i="8"/>
  <c r="AG359" i="8"/>
  <c r="AH359" i="8"/>
  <c r="R353" i="5"/>
  <c r="AI359" i="8"/>
  <c r="U353" i="5"/>
  <c r="AJ359" i="8"/>
  <c r="X353" i="5"/>
  <c r="AK359" i="8"/>
  <c r="AA353" i="5"/>
  <c r="AC353" i="5"/>
  <c r="AL359" i="8"/>
  <c r="A360" i="8"/>
  <c r="AD360" i="8"/>
  <c r="AE360" i="8"/>
  <c r="AF360" i="8"/>
  <c r="AG360" i="8"/>
  <c r="AH360" i="8"/>
  <c r="R354" i="5"/>
  <c r="AI360" i="8"/>
  <c r="U354" i="5"/>
  <c r="AJ360" i="8"/>
  <c r="X354" i="5"/>
  <c r="AK360" i="8"/>
  <c r="AA354" i="5"/>
  <c r="AC354" i="5"/>
  <c r="AL360" i="8"/>
  <c r="A361" i="8"/>
  <c r="AD361" i="8"/>
  <c r="AE361" i="8"/>
  <c r="I356" i="5"/>
  <c r="AF361" i="8"/>
  <c r="L356" i="5"/>
  <c r="AG361" i="8"/>
  <c r="O356" i="5"/>
  <c r="AH361" i="8"/>
  <c r="R356" i="5"/>
  <c r="AI361" i="8"/>
  <c r="U356" i="5"/>
  <c r="AJ361" i="8"/>
  <c r="X356" i="5"/>
  <c r="AK361" i="8"/>
  <c r="AA356" i="5"/>
  <c r="AC356" i="5"/>
  <c r="AL361" i="8"/>
  <c r="A362" i="8"/>
  <c r="AD362" i="8"/>
  <c r="AE362" i="8"/>
  <c r="I357" i="5"/>
  <c r="AF362" i="8"/>
  <c r="L357" i="5"/>
  <c r="AG362" i="8"/>
  <c r="O357" i="5"/>
  <c r="AH362" i="8"/>
  <c r="R357" i="5"/>
  <c r="AI362" i="8"/>
  <c r="U357" i="5"/>
  <c r="AJ362" i="8"/>
  <c r="X357" i="5"/>
  <c r="AK362" i="8"/>
  <c r="AA357" i="5"/>
  <c r="AL362" i="8"/>
  <c r="AD357" i="5"/>
  <c r="AM362" i="8"/>
  <c r="AG357" i="5"/>
  <c r="AN362" i="8"/>
  <c r="AJ357" i="5"/>
  <c r="AO362" i="8"/>
  <c r="A363" i="8"/>
  <c r="AD363" i="8"/>
  <c r="AE363" i="8"/>
  <c r="I358" i="5"/>
  <c r="AF363" i="8"/>
  <c r="AG363" i="8"/>
  <c r="AH363" i="8"/>
  <c r="R358" i="5"/>
  <c r="AI363" i="8"/>
  <c r="U358" i="5"/>
  <c r="AJ363" i="8"/>
  <c r="X358" i="5"/>
  <c r="AK363" i="8"/>
  <c r="AA358" i="5"/>
  <c r="AC358" i="5"/>
  <c r="AL363" i="8"/>
  <c r="A364" i="8"/>
  <c r="AD364" i="8"/>
  <c r="AE364" i="8"/>
  <c r="I359" i="5"/>
  <c r="AF364" i="8"/>
  <c r="AG364" i="8"/>
  <c r="O359" i="5"/>
  <c r="AH364" i="8"/>
  <c r="R359" i="5"/>
  <c r="AI364" i="8"/>
  <c r="U359" i="5"/>
  <c r="AJ364" i="8"/>
  <c r="X359" i="5"/>
  <c r="AK364" i="8"/>
  <c r="AA359" i="5"/>
  <c r="AC359" i="5"/>
  <c r="AL364" i="8"/>
  <c r="A365" i="8"/>
  <c r="AD365" i="8"/>
  <c r="AE365" i="8"/>
  <c r="I360" i="5"/>
  <c r="AF365" i="8"/>
  <c r="AG365" i="8"/>
  <c r="AH365" i="8"/>
  <c r="R360" i="5"/>
  <c r="AI365" i="8"/>
  <c r="U360" i="5"/>
  <c r="AJ365" i="8"/>
  <c r="X360" i="5"/>
  <c r="AK365" i="8"/>
  <c r="AA360" i="5"/>
  <c r="AC360" i="5"/>
  <c r="AL365" i="8"/>
  <c r="A366" i="8"/>
  <c r="AD366" i="8"/>
  <c r="AE366" i="8"/>
  <c r="AF366" i="8"/>
  <c r="AG366" i="8"/>
  <c r="AH366" i="8"/>
  <c r="R361" i="5"/>
  <c r="AI366" i="8"/>
  <c r="U361" i="5"/>
  <c r="AJ366" i="8"/>
  <c r="X361" i="5"/>
  <c r="AK366" i="8"/>
  <c r="AA361" i="5"/>
  <c r="AC361" i="5"/>
  <c r="AL366" i="8"/>
  <c r="A367" i="8"/>
  <c r="AD367" i="8"/>
  <c r="AE367" i="8"/>
  <c r="AF367" i="8"/>
  <c r="AG367" i="8"/>
  <c r="AH367" i="8"/>
  <c r="R362" i="5"/>
  <c r="AI367" i="8"/>
  <c r="U362" i="5"/>
  <c r="AJ367" i="8"/>
  <c r="X362" i="5"/>
  <c r="AK367" i="8"/>
  <c r="AA362" i="5"/>
  <c r="AC362" i="5"/>
  <c r="AL367" i="8"/>
  <c r="A368" i="8"/>
  <c r="AD368" i="8"/>
  <c r="AE368" i="8"/>
  <c r="I364" i="5"/>
  <c r="AF368" i="8"/>
  <c r="AG368" i="8"/>
  <c r="AH368" i="8"/>
  <c r="R364" i="5"/>
  <c r="AI368" i="8"/>
  <c r="U364" i="5"/>
  <c r="AJ368" i="8"/>
  <c r="X364" i="5"/>
  <c r="AK368" i="8"/>
  <c r="AA364" i="5"/>
  <c r="AC364" i="5"/>
  <c r="AL368" i="8"/>
  <c r="A369" i="8"/>
  <c r="AD369" i="8"/>
  <c r="AE369" i="8"/>
  <c r="I365" i="5"/>
  <c r="AF369" i="8"/>
  <c r="L365" i="5"/>
  <c r="AG369" i="8"/>
  <c r="O365" i="5"/>
  <c r="AH369" i="8"/>
  <c r="R365" i="5"/>
  <c r="AI369" i="8"/>
  <c r="U365" i="5"/>
  <c r="AJ369" i="8"/>
  <c r="X365" i="5"/>
  <c r="AK369" i="8"/>
  <c r="AA365" i="5"/>
  <c r="AC365" i="5"/>
  <c r="AL369" i="8"/>
  <c r="A370" i="8"/>
  <c r="AD370" i="8"/>
  <c r="AE370" i="8"/>
  <c r="I366" i="5"/>
  <c r="AF370" i="8"/>
  <c r="L366" i="5"/>
  <c r="AG370" i="8"/>
  <c r="O366" i="5"/>
  <c r="AH370" i="8"/>
  <c r="R366" i="5"/>
  <c r="AI370" i="8"/>
  <c r="U366" i="5"/>
  <c r="AJ370" i="8"/>
  <c r="X366" i="5"/>
  <c r="AK370" i="8"/>
  <c r="AA366" i="5"/>
  <c r="AC366" i="5"/>
  <c r="AL370" i="8"/>
  <c r="A371" i="8"/>
  <c r="AD371" i="8"/>
  <c r="AE371" i="8"/>
  <c r="I368" i="5"/>
  <c r="AF371" i="8"/>
  <c r="L368" i="5"/>
  <c r="AG371" i="8"/>
  <c r="O368" i="5"/>
  <c r="AH371" i="8"/>
  <c r="R368" i="5"/>
  <c r="AI371" i="8"/>
  <c r="U368" i="5"/>
  <c r="AJ371" i="8"/>
  <c r="X368" i="5"/>
  <c r="AK371" i="8"/>
  <c r="AA368" i="5"/>
  <c r="AC368" i="5"/>
  <c r="AL371" i="8"/>
  <c r="A372" i="8"/>
  <c r="AD372" i="8"/>
  <c r="AE372" i="8"/>
  <c r="AF372" i="8"/>
  <c r="AG372" i="8"/>
  <c r="AH372" i="8"/>
  <c r="R369" i="5"/>
  <c r="AI372" i="8"/>
  <c r="U369" i="5"/>
  <c r="AJ372" i="8"/>
  <c r="X369" i="5"/>
  <c r="AK372" i="8"/>
  <c r="AA369" i="5"/>
  <c r="AC369" i="5"/>
  <c r="AL372" i="8"/>
  <c r="A373" i="8"/>
  <c r="AD373" i="8"/>
  <c r="AE373" i="8"/>
  <c r="I370" i="5"/>
  <c r="AF373" i="8"/>
  <c r="AG373" i="8"/>
  <c r="AH373" i="8"/>
  <c r="R370" i="5"/>
  <c r="AI373" i="8"/>
  <c r="U370" i="5"/>
  <c r="AJ373" i="8"/>
  <c r="X370" i="5"/>
  <c r="AK373" i="8"/>
  <c r="AA370" i="5"/>
  <c r="AC370" i="5"/>
  <c r="AL373" i="8"/>
  <c r="AO373" i="8"/>
  <c r="A374" i="8"/>
  <c r="AD374" i="8"/>
  <c r="AE374" i="8"/>
  <c r="I371" i="5"/>
  <c r="AF374" i="8"/>
  <c r="AG374" i="8"/>
  <c r="AH374" i="8"/>
  <c r="R371" i="5"/>
  <c r="AI374" i="8"/>
  <c r="U371" i="5"/>
  <c r="AJ374" i="8"/>
  <c r="X371" i="5"/>
  <c r="AK374" i="8"/>
  <c r="AA371" i="5"/>
  <c r="AC371" i="5"/>
  <c r="AL374" i="8"/>
  <c r="A375" i="8"/>
  <c r="AD375" i="8"/>
  <c r="AE375" i="8"/>
  <c r="AF375" i="8"/>
  <c r="AG375" i="8"/>
  <c r="AH375" i="8"/>
  <c r="R372" i="5"/>
  <c r="AI375" i="8"/>
  <c r="U372" i="5"/>
  <c r="AJ375" i="8"/>
  <c r="X372" i="5"/>
  <c r="AK375" i="8"/>
  <c r="AA372" i="5"/>
  <c r="AC372" i="5"/>
  <c r="AL375" i="8"/>
  <c r="A376" i="8"/>
  <c r="AD376" i="8"/>
  <c r="AE376" i="8"/>
  <c r="I373" i="5"/>
  <c r="AF376" i="8"/>
  <c r="AG376" i="8"/>
  <c r="AH376" i="8"/>
  <c r="R373" i="5"/>
  <c r="AI376" i="8"/>
  <c r="U373" i="5"/>
  <c r="AJ376" i="8"/>
  <c r="X373" i="5"/>
  <c r="AK376" i="8"/>
  <c r="AA373" i="5"/>
  <c r="AC373" i="5"/>
  <c r="AL376" i="8"/>
  <c r="A377" i="8"/>
  <c r="AD377" i="8"/>
  <c r="AE377" i="8"/>
  <c r="I374" i="5"/>
  <c r="AF377" i="8"/>
  <c r="AG377" i="8"/>
  <c r="AH377" i="8"/>
  <c r="R374" i="5"/>
  <c r="AI377" i="8"/>
  <c r="U374" i="5"/>
  <c r="AJ377" i="8"/>
  <c r="X374" i="5"/>
  <c r="AK377" i="8"/>
  <c r="AA374" i="5"/>
  <c r="AC374" i="5"/>
  <c r="AL377" i="8"/>
  <c r="A378" i="8"/>
  <c r="AD378" i="8"/>
  <c r="AE378" i="8"/>
  <c r="I375" i="5"/>
  <c r="AF378" i="8"/>
  <c r="AG378" i="8"/>
  <c r="AH378" i="8"/>
  <c r="R375" i="5"/>
  <c r="AI378" i="8"/>
  <c r="U375" i="5"/>
  <c r="AJ378" i="8"/>
  <c r="X375" i="5"/>
  <c r="AK378" i="8"/>
  <c r="AA375" i="5"/>
  <c r="AC375" i="5"/>
  <c r="AL378" i="8"/>
  <c r="A379" i="8"/>
  <c r="AD379" i="8"/>
  <c r="AE379" i="8"/>
  <c r="I376" i="5"/>
  <c r="AF379" i="8"/>
  <c r="L376" i="5"/>
  <c r="AG379" i="8"/>
  <c r="O376" i="5"/>
  <c r="AH379" i="8"/>
  <c r="R376" i="5"/>
  <c r="AI379" i="8"/>
  <c r="U376" i="5"/>
  <c r="AJ379" i="8"/>
  <c r="X376" i="5"/>
  <c r="AK379" i="8"/>
  <c r="AA376" i="5"/>
  <c r="AC376" i="5"/>
  <c r="AL379" i="8"/>
  <c r="A380" i="8"/>
  <c r="AD380" i="8"/>
  <c r="AE380" i="8"/>
  <c r="AF380" i="8"/>
  <c r="L378" i="5"/>
  <c r="AG380" i="8"/>
  <c r="O378" i="5"/>
  <c r="AH380" i="8"/>
  <c r="AI380" i="8"/>
  <c r="U378" i="5"/>
  <c r="AJ380" i="8"/>
  <c r="X378" i="5"/>
  <c r="AK380" i="8"/>
  <c r="AA378" i="5"/>
  <c r="AC378" i="5"/>
  <c r="AL380" i="8"/>
  <c r="A381" i="8"/>
  <c r="AD381" i="8"/>
  <c r="AE381" i="8"/>
  <c r="AF381" i="8"/>
  <c r="L377" i="5"/>
  <c r="AG381" i="8"/>
  <c r="O377" i="5"/>
  <c r="AH381" i="8"/>
  <c r="R377" i="5"/>
  <c r="AI381" i="8"/>
  <c r="U377" i="5"/>
  <c r="AJ381" i="8"/>
  <c r="X377" i="5"/>
  <c r="AK381" i="8"/>
  <c r="AA377" i="5"/>
  <c r="AC377" i="5"/>
  <c r="AL381" i="8"/>
  <c r="A382" i="8"/>
  <c r="AD382" i="8"/>
  <c r="AE382" i="8"/>
  <c r="I380" i="5"/>
  <c r="AF382" i="8"/>
  <c r="AG382" i="8"/>
  <c r="AH382" i="8"/>
  <c r="AI382" i="8"/>
  <c r="U380" i="5"/>
  <c r="AJ382" i="8"/>
  <c r="X380" i="5"/>
  <c r="AK382" i="8"/>
  <c r="AA380" i="5"/>
  <c r="AC380" i="5"/>
  <c r="AL382" i="8"/>
  <c r="A383" i="8"/>
  <c r="AD383" i="8"/>
  <c r="AE383" i="8"/>
  <c r="AF383" i="8"/>
  <c r="AG383" i="8"/>
  <c r="AH383" i="8"/>
  <c r="AI383" i="8"/>
  <c r="U381" i="5"/>
  <c r="AJ383" i="8"/>
  <c r="X381" i="5"/>
  <c r="AK383" i="8"/>
  <c r="AA381" i="5"/>
  <c r="AC381" i="5"/>
  <c r="AL383" i="8"/>
  <c r="A384" i="8"/>
  <c r="AD384" i="8"/>
  <c r="AE384" i="8"/>
  <c r="I379" i="5"/>
  <c r="AF384" i="8"/>
  <c r="L379" i="5"/>
  <c r="AG384" i="8"/>
  <c r="O379" i="5"/>
  <c r="AH384" i="8"/>
  <c r="R379" i="5"/>
  <c r="AI384" i="8"/>
  <c r="U379" i="5"/>
  <c r="AJ384" i="8"/>
  <c r="AK384" i="8"/>
  <c r="AA379" i="5"/>
  <c r="AC379" i="5"/>
  <c r="AL384" i="8"/>
  <c r="A385" i="8"/>
  <c r="AD385" i="8"/>
  <c r="AE385" i="8"/>
  <c r="AF385" i="8"/>
  <c r="L382" i="5"/>
  <c r="AG385" i="8"/>
  <c r="O382" i="5"/>
  <c r="AH385" i="8"/>
  <c r="AI385" i="8"/>
  <c r="U382" i="5"/>
  <c r="AJ385" i="8"/>
  <c r="X382" i="5"/>
  <c r="AK385" i="8"/>
  <c r="AA382" i="5"/>
  <c r="AC382" i="5"/>
  <c r="AL385" i="8"/>
  <c r="A386" i="8"/>
  <c r="AD386" i="8"/>
  <c r="AE386" i="8"/>
  <c r="AF386" i="8"/>
  <c r="L384" i="5"/>
  <c r="AG386" i="8"/>
  <c r="O384" i="5"/>
  <c r="AH386" i="8"/>
  <c r="AI386" i="8"/>
  <c r="U384" i="5"/>
  <c r="AJ386" i="8"/>
  <c r="X384" i="5"/>
  <c r="AK386" i="8"/>
  <c r="AA384" i="5"/>
  <c r="AC384" i="5"/>
  <c r="AL386" i="8"/>
  <c r="A387" i="8"/>
  <c r="AD387" i="8"/>
  <c r="AE387" i="8"/>
  <c r="I385" i="5"/>
  <c r="AF387" i="8"/>
  <c r="AG387" i="8"/>
  <c r="AH387" i="8"/>
  <c r="R385" i="5"/>
  <c r="AI387" i="8"/>
  <c r="U385" i="5"/>
  <c r="AJ387" i="8"/>
  <c r="AK387" i="8"/>
  <c r="AA385" i="5"/>
  <c r="AC385" i="5"/>
  <c r="AL387" i="8"/>
  <c r="A388" i="8"/>
  <c r="AD388" i="8"/>
  <c r="AE388" i="8"/>
  <c r="AF388" i="8"/>
  <c r="AG388" i="8"/>
  <c r="AH388" i="8"/>
  <c r="R386" i="5"/>
  <c r="AI388" i="8"/>
  <c r="U386" i="5"/>
  <c r="AJ388" i="8"/>
  <c r="X386" i="5"/>
  <c r="AK388" i="8"/>
  <c r="AA386" i="5"/>
  <c r="AC386" i="5"/>
  <c r="AL388" i="8"/>
  <c r="A389" i="8"/>
  <c r="AD389" i="8"/>
  <c r="AE389" i="8"/>
  <c r="AF389" i="8"/>
  <c r="AG389" i="8"/>
  <c r="AH389" i="8"/>
  <c r="R387" i="5"/>
  <c r="AI389" i="8"/>
  <c r="U387" i="5"/>
  <c r="AJ389" i="8"/>
  <c r="X387" i="5"/>
  <c r="AK389" i="8"/>
  <c r="AA387" i="5"/>
  <c r="AC387" i="5"/>
  <c r="AL389" i="8"/>
  <c r="A390" i="8"/>
  <c r="AD390" i="8"/>
  <c r="AE390" i="8"/>
  <c r="AF390" i="8"/>
  <c r="AG390" i="8"/>
  <c r="AH390" i="8"/>
  <c r="R388" i="5"/>
  <c r="AI390" i="8"/>
  <c r="U388" i="5"/>
  <c r="AJ390" i="8"/>
  <c r="X388" i="5"/>
  <c r="AK390" i="8"/>
  <c r="AA388" i="5"/>
  <c r="AC388" i="5"/>
  <c r="AL390" i="8"/>
  <c r="A391" i="8"/>
  <c r="AD391" i="8"/>
  <c r="AE391" i="8"/>
  <c r="AF391" i="8"/>
  <c r="AG391" i="8"/>
  <c r="AH391" i="8"/>
  <c r="R389" i="5"/>
  <c r="AI391" i="8"/>
  <c r="U389" i="5"/>
  <c r="AJ391" i="8"/>
  <c r="X389" i="5"/>
  <c r="AK391" i="8"/>
  <c r="AA389" i="5"/>
  <c r="AC389" i="5"/>
  <c r="AL391" i="8"/>
  <c r="A392" i="8"/>
  <c r="AD392" i="8"/>
  <c r="AE392" i="8"/>
  <c r="AF392" i="8"/>
  <c r="AG392" i="8"/>
  <c r="AH392" i="8"/>
  <c r="R390" i="5"/>
  <c r="AI392" i="8"/>
  <c r="U390" i="5"/>
  <c r="AJ392" i="8"/>
  <c r="X390" i="5"/>
  <c r="AK392" i="8"/>
  <c r="AA390" i="5"/>
  <c r="AC390" i="5"/>
  <c r="AL392" i="8"/>
  <c r="A393" i="8"/>
  <c r="AD393" i="8"/>
  <c r="AE393" i="8"/>
  <c r="I391" i="5"/>
  <c r="AF393" i="8"/>
  <c r="AG393" i="8"/>
  <c r="AH393" i="8"/>
  <c r="R391" i="5"/>
  <c r="AI393" i="8"/>
  <c r="U391" i="5"/>
  <c r="AJ393" i="8"/>
  <c r="AK393" i="8"/>
  <c r="AA391" i="5"/>
  <c r="AC391" i="5"/>
  <c r="AL393" i="8"/>
  <c r="A394" i="8"/>
  <c r="AD394" i="8"/>
  <c r="AE394" i="8"/>
  <c r="AF394" i="8"/>
  <c r="L393" i="5"/>
  <c r="AG394" i="8"/>
  <c r="O393" i="5"/>
  <c r="AH394" i="8"/>
  <c r="R393" i="5"/>
  <c r="AI394" i="8"/>
  <c r="U393" i="5"/>
  <c r="AJ394" i="8"/>
  <c r="X393" i="5"/>
  <c r="AK394" i="8"/>
  <c r="AA393" i="5"/>
  <c r="AL394" i="8"/>
  <c r="AD393" i="5"/>
  <c r="AM394" i="8"/>
  <c r="AG393" i="5"/>
  <c r="AN394" i="8"/>
  <c r="AJ393" i="5"/>
  <c r="AO394" i="8"/>
  <c r="A395" i="8"/>
  <c r="AD395" i="8"/>
  <c r="AE395" i="8"/>
  <c r="AF395" i="8"/>
  <c r="L394" i="5"/>
  <c r="AG395" i="8"/>
  <c r="O394" i="5"/>
  <c r="AH395" i="8"/>
  <c r="R394" i="5"/>
  <c r="AI395" i="8"/>
  <c r="U394" i="5"/>
  <c r="AJ395" i="8"/>
  <c r="X394" i="5"/>
  <c r="AK395" i="8"/>
  <c r="AA394" i="5"/>
  <c r="AL395" i="8"/>
  <c r="AD394" i="5"/>
  <c r="AM395" i="8"/>
  <c r="AG394" i="5"/>
  <c r="AN395" i="8"/>
  <c r="AJ394" i="5"/>
  <c r="AO395" i="8"/>
  <c r="A396" i="8"/>
  <c r="AD396" i="8"/>
  <c r="AE396" i="8"/>
  <c r="AF396" i="8"/>
  <c r="L395" i="5"/>
  <c r="AG396" i="8"/>
  <c r="O395" i="5"/>
  <c r="AH396" i="8"/>
  <c r="R395" i="5"/>
  <c r="AI396" i="8"/>
  <c r="U395" i="5"/>
  <c r="AJ396" i="8"/>
  <c r="X395" i="5"/>
  <c r="AK396" i="8"/>
  <c r="AA395" i="5"/>
  <c r="AL396" i="8"/>
  <c r="AD395" i="5"/>
  <c r="AM396" i="8"/>
  <c r="AG395" i="5"/>
  <c r="AN396" i="8"/>
  <c r="AJ395" i="5"/>
  <c r="AO396" i="8"/>
  <c r="A397" i="8"/>
  <c r="AD397" i="8"/>
  <c r="AE397" i="8"/>
  <c r="AF397" i="8"/>
  <c r="L396" i="5"/>
  <c r="AG397" i="8"/>
  <c r="O396" i="5"/>
  <c r="AH397" i="8"/>
  <c r="R396" i="5"/>
  <c r="AI397" i="8"/>
  <c r="U396" i="5"/>
  <c r="AJ397" i="8"/>
  <c r="X396" i="5"/>
  <c r="AK397" i="8"/>
  <c r="AA396" i="5"/>
  <c r="AL397" i="8"/>
  <c r="AD396" i="5"/>
  <c r="AM397" i="8"/>
  <c r="AG396" i="5"/>
  <c r="AN397" i="8"/>
  <c r="AJ396" i="5"/>
  <c r="AO397" i="8"/>
  <c r="A398" i="8"/>
  <c r="AD398" i="8"/>
  <c r="AE398" i="8"/>
  <c r="AF398" i="8"/>
  <c r="L397" i="5"/>
  <c r="AG398" i="8"/>
  <c r="O397" i="5"/>
  <c r="AH398" i="8"/>
  <c r="R397" i="5"/>
  <c r="AI398" i="8"/>
  <c r="U397" i="5"/>
  <c r="AJ398" i="8"/>
  <c r="X397" i="5"/>
  <c r="AK398" i="8"/>
  <c r="AA397" i="5"/>
  <c r="AL398" i="8"/>
  <c r="AD397" i="5"/>
  <c r="AM398" i="8"/>
  <c r="AG397" i="5"/>
  <c r="AN398" i="8"/>
  <c r="AJ397" i="5"/>
  <c r="AO398" i="8"/>
  <c r="A399" i="8"/>
  <c r="AD399" i="8"/>
  <c r="AE399" i="8"/>
  <c r="AF399" i="8"/>
  <c r="L399" i="5"/>
  <c r="AG399" i="8"/>
  <c r="O399" i="5"/>
  <c r="AH399" i="8"/>
  <c r="R399" i="5"/>
  <c r="AI399" i="8"/>
  <c r="U399" i="5"/>
  <c r="AJ399" i="8"/>
  <c r="X399" i="5"/>
  <c r="AK399" i="8"/>
  <c r="AA399" i="5"/>
  <c r="AL399" i="8"/>
  <c r="AD399" i="5"/>
  <c r="AM399" i="8"/>
  <c r="AG399" i="5"/>
  <c r="AN399" i="8"/>
  <c r="AJ399" i="5"/>
  <c r="AO399" i="8"/>
  <c r="A400" i="8"/>
  <c r="AD400" i="8"/>
  <c r="AE400" i="8"/>
  <c r="AF400" i="8"/>
  <c r="L400" i="5"/>
  <c r="AG400" i="8"/>
  <c r="O400" i="5"/>
  <c r="AH400" i="8"/>
  <c r="R400" i="5"/>
  <c r="AI400" i="8"/>
  <c r="U400" i="5"/>
  <c r="AJ400" i="8"/>
  <c r="X400" i="5"/>
  <c r="AK400" i="8"/>
  <c r="AA400" i="5"/>
  <c r="AL400" i="8"/>
  <c r="AD400" i="5"/>
  <c r="AM400" i="8"/>
  <c r="AG400" i="5"/>
  <c r="AN400" i="8"/>
  <c r="AJ400" i="5"/>
  <c r="AO400" i="8"/>
  <c r="A401" i="8"/>
  <c r="AD401" i="8"/>
  <c r="AE401" i="8"/>
  <c r="AF401" i="8"/>
  <c r="L401" i="5"/>
  <c r="AG401" i="8"/>
  <c r="O401" i="5"/>
  <c r="AH401" i="8"/>
  <c r="R401" i="5"/>
  <c r="AI401" i="8"/>
  <c r="U401" i="5"/>
  <c r="AJ401" i="8"/>
  <c r="X401" i="5"/>
  <c r="AK401" i="8"/>
  <c r="AA401" i="5"/>
  <c r="AL401" i="8"/>
  <c r="AD401" i="5"/>
  <c r="AM401" i="8"/>
  <c r="AG401" i="5"/>
  <c r="AN401" i="8"/>
  <c r="AJ401" i="5"/>
  <c r="AO401" i="8"/>
  <c r="A402" i="8"/>
  <c r="AD402" i="8"/>
  <c r="AE402" i="8"/>
  <c r="AF402" i="8"/>
  <c r="L402" i="5"/>
  <c r="AG402" i="8"/>
  <c r="O402" i="5"/>
  <c r="AH402" i="8"/>
  <c r="R402" i="5"/>
  <c r="AI402" i="8"/>
  <c r="U402" i="5"/>
  <c r="AJ402" i="8"/>
  <c r="X402" i="5"/>
  <c r="AK402" i="8"/>
  <c r="AA402" i="5"/>
  <c r="AL402" i="8"/>
  <c r="AD402" i="5"/>
  <c r="AM402" i="8"/>
  <c r="AG402" i="5"/>
  <c r="AN402" i="8"/>
  <c r="AJ402" i="5"/>
  <c r="AO402" i="8"/>
  <c r="A403" i="8"/>
  <c r="AD403" i="8"/>
  <c r="AE403" i="8"/>
  <c r="AF403" i="8"/>
  <c r="L403" i="5"/>
  <c r="AG403" i="8"/>
  <c r="O403" i="5"/>
  <c r="AH403" i="8"/>
  <c r="R403" i="5"/>
  <c r="AI403" i="8"/>
  <c r="U403" i="5"/>
  <c r="AJ403" i="8"/>
  <c r="X403" i="5"/>
  <c r="AK403" i="8"/>
  <c r="AA403" i="5"/>
  <c r="AL403" i="8"/>
  <c r="AD403" i="5"/>
  <c r="AM403" i="8"/>
  <c r="AG403" i="5"/>
  <c r="AN403" i="8"/>
  <c r="AJ403" i="5"/>
  <c r="AO403" i="8"/>
  <c r="A404" i="8"/>
  <c r="AD404" i="8"/>
  <c r="AE404" i="8"/>
  <c r="I404" i="5"/>
  <c r="AF404" i="8"/>
  <c r="AG404" i="8"/>
  <c r="AH404" i="8"/>
  <c r="AI404" i="8"/>
  <c r="U404" i="5"/>
  <c r="AJ404" i="8"/>
  <c r="X404" i="5"/>
  <c r="AK404" i="8"/>
  <c r="AA404" i="5"/>
  <c r="AC404" i="5"/>
  <c r="AL404" i="8"/>
  <c r="A405" i="8"/>
  <c r="AD405" i="8"/>
  <c r="AE405" i="8"/>
  <c r="AF405" i="8"/>
  <c r="L405" i="5"/>
  <c r="AG405" i="8"/>
  <c r="O405" i="5"/>
  <c r="AH405" i="8"/>
  <c r="AI405" i="8"/>
  <c r="U405" i="5"/>
  <c r="AJ405" i="8"/>
  <c r="X405" i="5"/>
  <c r="AK405" i="8"/>
  <c r="AA405" i="5"/>
  <c r="AL405" i="8"/>
  <c r="AD405" i="5"/>
  <c r="AM405" i="8"/>
  <c r="AG405" i="5"/>
  <c r="X37" i="2"/>
  <c r="X402" i="4"/>
  <c r="AI405" i="5"/>
  <c r="AN405" i="8"/>
  <c r="A406" i="8"/>
  <c r="AD406" i="8"/>
  <c r="AE406" i="8"/>
  <c r="AF406" i="8"/>
  <c r="L406" i="5"/>
  <c r="AG406" i="8"/>
  <c r="O406" i="5"/>
  <c r="AH406" i="8"/>
  <c r="R406" i="5"/>
  <c r="AI406" i="8"/>
  <c r="U406" i="5"/>
  <c r="AJ406" i="8"/>
  <c r="X406" i="5"/>
  <c r="AK406" i="8"/>
  <c r="AA406" i="5"/>
  <c r="AC406" i="5"/>
  <c r="AL406" i="8"/>
  <c r="A2" i="8"/>
  <c r="AA5" i="5"/>
  <c r="AC5" i="5"/>
  <c r="AL2" i="8"/>
  <c r="X5" i="5"/>
  <c r="AK2" i="8"/>
  <c r="U5" i="5"/>
  <c r="AJ2" i="8"/>
  <c r="R5" i="5"/>
  <c r="AI2" i="8"/>
  <c r="AH2" i="8"/>
  <c r="AG2" i="8"/>
  <c r="AF2" i="8"/>
  <c r="AE2" i="8"/>
  <c r="AD2" i="8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D6" i="1"/>
  <c r="BC6" i="1"/>
  <c r="AZ6" i="1"/>
  <c r="B23" i="6"/>
  <c r="B19" i="6"/>
  <c r="B24" i="6"/>
  <c r="B25" i="6"/>
  <c r="B26" i="6"/>
  <c r="B27" i="6"/>
  <c r="B33" i="6"/>
  <c r="B34" i="6"/>
  <c r="B3" i="6"/>
  <c r="B4" i="6"/>
  <c r="B35" i="6"/>
  <c r="B5" i="6"/>
  <c r="B28" i="6"/>
  <c r="B6" i="6"/>
  <c r="B36" i="6"/>
  <c r="B37" i="6"/>
  <c r="B38" i="6"/>
  <c r="B30" i="6"/>
  <c r="B15" i="6"/>
  <c r="B31" i="6"/>
  <c r="B7" i="6"/>
  <c r="B2" i="6"/>
  <c r="B8" i="6"/>
  <c r="B9" i="6"/>
  <c r="B10" i="6"/>
  <c r="B16" i="6"/>
  <c r="B17" i="6"/>
  <c r="B18" i="6"/>
  <c r="B20" i="6"/>
  <c r="B21" i="6"/>
  <c r="B11" i="6"/>
  <c r="B12" i="6"/>
  <c r="B13" i="6"/>
  <c r="B32" i="6"/>
  <c r="B39" i="6"/>
  <c r="B14" i="6"/>
  <c r="AA32" i="2"/>
  <c r="A32" i="3"/>
  <c r="C300" i="5"/>
  <c r="C281" i="5"/>
  <c r="C299" i="5"/>
  <c r="C17" i="5"/>
  <c r="C41" i="5"/>
  <c r="C378" i="5"/>
  <c r="C2" i="5"/>
  <c r="R39" i="8"/>
  <c r="C370" i="5"/>
  <c r="C278" i="5"/>
  <c r="C8" i="5"/>
  <c r="C298" i="5"/>
  <c r="C226" i="5"/>
  <c r="C3" i="5"/>
  <c r="R40" i="8"/>
  <c r="F370" i="5"/>
  <c r="F278" i="5"/>
  <c r="F8" i="5"/>
  <c r="F298" i="5"/>
  <c r="F226" i="5"/>
  <c r="S40" i="8"/>
  <c r="I278" i="5"/>
  <c r="I300" i="5"/>
  <c r="I8" i="5"/>
  <c r="I298" i="5"/>
  <c r="I226" i="5"/>
  <c r="I3" i="5"/>
  <c r="T40" i="8"/>
  <c r="L278" i="5"/>
  <c r="L8" i="5"/>
  <c r="U40" i="8"/>
  <c r="O278" i="5"/>
  <c r="O8" i="5"/>
  <c r="V40" i="8"/>
  <c r="R300" i="5"/>
  <c r="R226" i="5"/>
  <c r="R3" i="5"/>
  <c r="W40" i="8"/>
  <c r="X40" i="8"/>
  <c r="Y40" i="8"/>
  <c r="Z40" i="8"/>
  <c r="AA40" i="8"/>
  <c r="AB40" i="8"/>
  <c r="Y19" i="2"/>
  <c r="Y398" i="4"/>
  <c r="AJ3" i="5"/>
  <c r="AC40" i="8"/>
  <c r="C247" i="5"/>
  <c r="C15" i="5"/>
  <c r="C325" i="5"/>
  <c r="C227" i="5"/>
  <c r="C4" i="5"/>
  <c r="R41" i="8"/>
  <c r="F299" i="5"/>
  <c r="F247" i="5"/>
  <c r="F15" i="5"/>
  <c r="F325" i="5"/>
  <c r="F227" i="5"/>
  <c r="F4" i="5"/>
  <c r="S41" i="8"/>
  <c r="I299" i="5"/>
  <c r="I247" i="5"/>
  <c r="I15" i="5"/>
  <c r="I325" i="5"/>
  <c r="I227" i="5"/>
  <c r="I4" i="5"/>
  <c r="T41" i="8"/>
  <c r="L299" i="5"/>
  <c r="L247" i="5"/>
  <c r="L15" i="5"/>
  <c r="L4" i="5"/>
  <c r="U41" i="8"/>
  <c r="O299" i="5"/>
  <c r="O247" i="5"/>
  <c r="O15" i="5"/>
  <c r="O4" i="5"/>
  <c r="V41" i="8"/>
  <c r="R227" i="5"/>
  <c r="W41" i="8"/>
  <c r="X41" i="8"/>
  <c r="Y41" i="8"/>
  <c r="Z41" i="8"/>
  <c r="AD4" i="5"/>
  <c r="AA41" i="8"/>
  <c r="AG4" i="5"/>
  <c r="AB41" i="8"/>
  <c r="Y255" i="4"/>
  <c r="AJ4" i="5"/>
  <c r="AC41" i="8"/>
  <c r="C174" i="5"/>
  <c r="C20" i="5"/>
  <c r="C324" i="5"/>
  <c r="C379" i="5"/>
  <c r="C5" i="5"/>
  <c r="R2" i="8"/>
  <c r="F174" i="5"/>
  <c r="F20" i="5"/>
  <c r="F324" i="5"/>
  <c r="F379" i="5"/>
  <c r="F5" i="5"/>
  <c r="S2" i="8"/>
  <c r="I174" i="5"/>
  <c r="I20" i="5"/>
  <c r="I324" i="5"/>
  <c r="I5" i="5"/>
  <c r="T2" i="8"/>
  <c r="L174" i="5"/>
  <c r="L20" i="5"/>
  <c r="L324" i="5"/>
  <c r="L5" i="5"/>
  <c r="U2" i="8"/>
  <c r="O174" i="5"/>
  <c r="O20" i="5"/>
  <c r="O324" i="5"/>
  <c r="O5" i="5"/>
  <c r="V2" i="8"/>
  <c r="W2" i="8"/>
  <c r="X2" i="8"/>
  <c r="Y2" i="8"/>
  <c r="Z2" i="8"/>
  <c r="AD5" i="5"/>
  <c r="AA2" i="8"/>
  <c r="AG5" i="5"/>
  <c r="AB2" i="8"/>
  <c r="Y238" i="4"/>
  <c r="AJ5" i="5"/>
  <c r="AC2" i="8"/>
  <c r="C173" i="5"/>
  <c r="C21" i="5"/>
  <c r="C354" i="5"/>
  <c r="C232" i="5"/>
  <c r="C6" i="5"/>
  <c r="R42" i="8"/>
  <c r="F173" i="5"/>
  <c r="F21" i="5"/>
  <c r="F354" i="5"/>
  <c r="F232" i="5"/>
  <c r="F6" i="5"/>
  <c r="S42" i="8"/>
  <c r="I173" i="5"/>
  <c r="I21" i="5"/>
  <c r="I354" i="5"/>
  <c r="I6" i="5"/>
  <c r="T42" i="8"/>
  <c r="L173" i="5"/>
  <c r="L21" i="5"/>
  <c r="L354" i="5"/>
  <c r="L6" i="5"/>
  <c r="U42" i="8"/>
  <c r="O173" i="5"/>
  <c r="O21" i="5"/>
  <c r="O354" i="5"/>
  <c r="O6" i="5"/>
  <c r="V42" i="8"/>
  <c r="W42" i="8"/>
  <c r="X42" i="8"/>
  <c r="Y42" i="8"/>
  <c r="Z42" i="8"/>
  <c r="AD6" i="5"/>
  <c r="AA42" i="8"/>
  <c r="AG6" i="5"/>
  <c r="AB42" i="8"/>
  <c r="Y283" i="4"/>
  <c r="AJ6" i="5"/>
  <c r="AC42" i="8"/>
  <c r="C42" i="5"/>
  <c r="C23" i="5"/>
  <c r="C377" i="5"/>
  <c r="C267" i="5"/>
  <c r="C7" i="5"/>
  <c r="R43" i="8"/>
  <c r="F23" i="5"/>
  <c r="F377" i="5"/>
  <c r="F267" i="5"/>
  <c r="F7" i="5"/>
  <c r="S43" i="8"/>
  <c r="I42" i="5"/>
  <c r="I23" i="5"/>
  <c r="I377" i="5"/>
  <c r="I7" i="5"/>
  <c r="T43" i="8"/>
  <c r="L23" i="5"/>
  <c r="L7" i="5"/>
  <c r="U43" i="8"/>
  <c r="O23" i="5"/>
  <c r="O7" i="5"/>
  <c r="V43" i="8"/>
  <c r="R42" i="5"/>
  <c r="W43" i="8"/>
  <c r="X43" i="8"/>
  <c r="Y43" i="8"/>
  <c r="Z43" i="8"/>
  <c r="AD7" i="5"/>
  <c r="AA43" i="8"/>
  <c r="AG7" i="5"/>
  <c r="AB43" i="8"/>
  <c r="Y181" i="4"/>
  <c r="AJ7" i="5"/>
  <c r="AC43" i="8"/>
  <c r="C153" i="5"/>
  <c r="C24" i="5"/>
  <c r="C177" i="5"/>
  <c r="C222" i="5"/>
  <c r="R44" i="8"/>
  <c r="F153" i="5"/>
  <c r="F24" i="5"/>
  <c r="F177" i="5"/>
  <c r="F222" i="5"/>
  <c r="S44" i="8"/>
  <c r="I153" i="5"/>
  <c r="I24" i="5"/>
  <c r="T44" i="8"/>
  <c r="L24" i="5"/>
  <c r="L222" i="5"/>
  <c r="U44" i="8"/>
  <c r="O24" i="5"/>
  <c r="O222" i="5"/>
  <c r="V44" i="8"/>
  <c r="W44" i="8"/>
  <c r="X44" i="8"/>
  <c r="Y44" i="8"/>
  <c r="Z44" i="8"/>
  <c r="AD8" i="5"/>
  <c r="AA44" i="8"/>
  <c r="AG8" i="5"/>
  <c r="AB44" i="8"/>
  <c r="Y270" i="4"/>
  <c r="AJ8" i="5"/>
  <c r="AC44" i="8"/>
  <c r="C71" i="5"/>
  <c r="C25" i="5"/>
  <c r="C176" i="5"/>
  <c r="C9" i="5"/>
  <c r="R45" i="8"/>
  <c r="F25" i="5"/>
  <c r="F176" i="5"/>
  <c r="F2" i="5"/>
  <c r="F9" i="5"/>
  <c r="S45" i="8"/>
  <c r="I71" i="5"/>
  <c r="I25" i="5"/>
  <c r="I176" i="5"/>
  <c r="I2" i="5"/>
  <c r="I9" i="5"/>
  <c r="T45" i="8"/>
  <c r="L25" i="5"/>
  <c r="L176" i="5"/>
  <c r="L2" i="5"/>
  <c r="L9" i="5"/>
  <c r="U45" i="8"/>
  <c r="O25" i="5"/>
  <c r="O176" i="5"/>
  <c r="O2" i="5"/>
  <c r="O9" i="5"/>
  <c r="V45" i="8"/>
  <c r="R71" i="5"/>
  <c r="W45" i="8"/>
  <c r="X45" i="8"/>
  <c r="Y45" i="8"/>
  <c r="Z45" i="8"/>
  <c r="AD9" i="5"/>
  <c r="AA45" i="8"/>
  <c r="AG9" i="5"/>
  <c r="AB45" i="8"/>
  <c r="Y253" i="4"/>
  <c r="AJ9" i="5"/>
  <c r="AC45" i="8"/>
  <c r="C79" i="5"/>
  <c r="C59" i="5"/>
  <c r="C185" i="5"/>
  <c r="C404" i="5"/>
  <c r="C10" i="5"/>
  <c r="R46" i="8"/>
  <c r="F59" i="5"/>
  <c r="F185" i="5"/>
  <c r="F404" i="5"/>
  <c r="F10" i="5"/>
  <c r="S46" i="8"/>
  <c r="I79" i="5"/>
  <c r="I59" i="5"/>
  <c r="I10" i="5"/>
  <c r="T46" i="8"/>
  <c r="L59" i="5"/>
  <c r="L185" i="5"/>
  <c r="L404" i="5"/>
  <c r="L10" i="5"/>
  <c r="U46" i="8"/>
  <c r="O59" i="5"/>
  <c r="O185" i="5"/>
  <c r="O404" i="5"/>
  <c r="O10" i="5"/>
  <c r="V46" i="8"/>
  <c r="R79" i="5"/>
  <c r="R404" i="5"/>
  <c r="W46" i="8"/>
  <c r="X46" i="8"/>
  <c r="Y46" i="8"/>
  <c r="Z46" i="8"/>
  <c r="AD10" i="5"/>
  <c r="AA46" i="8"/>
  <c r="AG10" i="5"/>
  <c r="AB46" i="8"/>
  <c r="Y182" i="4"/>
  <c r="AJ10" i="5"/>
  <c r="AC46" i="8"/>
  <c r="C81" i="5"/>
  <c r="C48" i="5"/>
  <c r="C380" i="5"/>
  <c r="C11" i="5"/>
  <c r="R47" i="8"/>
  <c r="F48" i="5"/>
  <c r="F380" i="5"/>
  <c r="F11" i="5"/>
  <c r="S47" i="8"/>
  <c r="I81" i="5"/>
  <c r="I48" i="5"/>
  <c r="I11" i="5"/>
  <c r="T47" i="8"/>
  <c r="L48" i="5"/>
  <c r="L380" i="5"/>
  <c r="L11" i="5"/>
  <c r="U47" i="8"/>
  <c r="O48" i="5"/>
  <c r="O380" i="5"/>
  <c r="O11" i="5"/>
  <c r="V47" i="8"/>
  <c r="R81" i="5"/>
  <c r="R380" i="5"/>
  <c r="W47" i="8"/>
  <c r="X47" i="8"/>
  <c r="Y47" i="8"/>
  <c r="Z47" i="8"/>
  <c r="AD11" i="5"/>
  <c r="AA47" i="8"/>
  <c r="AG11" i="5"/>
  <c r="AB47" i="8"/>
  <c r="Y214" i="4"/>
  <c r="AJ11" i="5"/>
  <c r="AC47" i="8"/>
  <c r="C224" i="5"/>
  <c r="C63" i="5"/>
  <c r="C366" i="5"/>
  <c r="C367" i="5"/>
  <c r="C12" i="5"/>
  <c r="R3" i="8"/>
  <c r="F224" i="5"/>
  <c r="F63" i="5"/>
  <c r="F366" i="5"/>
  <c r="F367" i="5"/>
  <c r="F12" i="5"/>
  <c r="S3" i="8"/>
  <c r="I224" i="5"/>
  <c r="I63" i="5"/>
  <c r="I367" i="5"/>
  <c r="I12" i="5"/>
  <c r="T3" i="8"/>
  <c r="L224" i="5"/>
  <c r="L63" i="5"/>
  <c r="L12" i="5"/>
  <c r="U3" i="8"/>
  <c r="O224" i="5"/>
  <c r="O63" i="5"/>
  <c r="O12" i="5"/>
  <c r="V3" i="8"/>
  <c r="W3" i="8"/>
  <c r="X3" i="8"/>
  <c r="Y3" i="8"/>
  <c r="Z3" i="8"/>
  <c r="AD12" i="5"/>
  <c r="AA3" i="8"/>
  <c r="AG12" i="5"/>
  <c r="AB3" i="8"/>
  <c r="Y216" i="4"/>
  <c r="AJ12" i="5"/>
  <c r="AC3" i="8"/>
  <c r="C172" i="5"/>
  <c r="C353" i="5"/>
  <c r="C228" i="5"/>
  <c r="C13" i="5"/>
  <c r="R48" i="8"/>
  <c r="F172" i="5"/>
  <c r="F353" i="5"/>
  <c r="F228" i="5"/>
  <c r="F13" i="5"/>
  <c r="S48" i="8"/>
  <c r="I172" i="5"/>
  <c r="I228" i="5"/>
  <c r="I13" i="5"/>
  <c r="T48" i="8"/>
  <c r="L172" i="5"/>
  <c r="L353" i="5"/>
  <c r="L228" i="5"/>
  <c r="L13" i="5"/>
  <c r="U48" i="8"/>
  <c r="O172" i="5"/>
  <c r="O353" i="5"/>
  <c r="O228" i="5"/>
  <c r="O13" i="5"/>
  <c r="V48" i="8"/>
  <c r="R228" i="5"/>
  <c r="W48" i="8"/>
  <c r="X48" i="8"/>
  <c r="Y48" i="8"/>
  <c r="Z48" i="8"/>
  <c r="AD13" i="5"/>
  <c r="AA48" i="8"/>
  <c r="AG13" i="5"/>
  <c r="AB48" i="8"/>
  <c r="Y207" i="4"/>
  <c r="AJ13" i="5"/>
  <c r="AC48" i="8"/>
  <c r="C384" i="5"/>
  <c r="C36" i="5"/>
  <c r="C37" i="5"/>
  <c r="C381" i="5"/>
  <c r="C14" i="5"/>
  <c r="R49" i="8"/>
  <c r="F384" i="5"/>
  <c r="F36" i="5"/>
  <c r="F37" i="5"/>
  <c r="F381" i="5"/>
  <c r="F14" i="5"/>
  <c r="S49" i="8"/>
  <c r="I384" i="5"/>
  <c r="I36" i="5"/>
  <c r="I37" i="5"/>
  <c r="I381" i="5"/>
  <c r="I14" i="5"/>
  <c r="T49" i="8"/>
  <c r="L36" i="5"/>
  <c r="L37" i="5"/>
  <c r="L381" i="5"/>
  <c r="L14" i="5"/>
  <c r="U49" i="8"/>
  <c r="O36" i="5"/>
  <c r="O37" i="5"/>
  <c r="O381" i="5"/>
  <c r="O14" i="5"/>
  <c r="V49" i="8"/>
  <c r="R384" i="5"/>
  <c r="R381" i="5"/>
  <c r="W49" i="8"/>
  <c r="X49" i="8"/>
  <c r="Y49" i="8"/>
  <c r="Z49" i="8"/>
  <c r="AD14" i="5"/>
  <c r="AA49" i="8"/>
  <c r="AG14" i="5"/>
  <c r="AB49" i="8"/>
  <c r="Y215" i="4"/>
  <c r="AJ14" i="5"/>
  <c r="AC49" i="8"/>
  <c r="C38" i="5"/>
  <c r="C243" i="5"/>
  <c r="R50" i="8"/>
  <c r="F38" i="5"/>
  <c r="F243" i="5"/>
  <c r="S50" i="8"/>
  <c r="I38" i="5"/>
  <c r="T50" i="8"/>
  <c r="L38" i="5"/>
  <c r="L243" i="5"/>
  <c r="U50" i="8"/>
  <c r="O38" i="5"/>
  <c r="O243" i="5"/>
  <c r="V50" i="8"/>
  <c r="W50" i="8"/>
  <c r="X50" i="8"/>
  <c r="Y50" i="8"/>
  <c r="Z50" i="8"/>
  <c r="AD15" i="5"/>
  <c r="AA50" i="8"/>
  <c r="AG15" i="5"/>
  <c r="AB50" i="8"/>
  <c r="Y268" i="4"/>
  <c r="AJ15" i="5"/>
  <c r="AC50" i="8"/>
  <c r="C29" i="5"/>
  <c r="C35" i="5"/>
  <c r="C277" i="5"/>
  <c r="C169" i="5"/>
  <c r="C16" i="5"/>
  <c r="R51" i="8"/>
  <c r="F29" i="5"/>
  <c r="F35" i="5"/>
  <c r="F277" i="5"/>
  <c r="F169" i="5"/>
  <c r="F16" i="5"/>
  <c r="S51" i="8"/>
  <c r="I29" i="5"/>
  <c r="I35" i="5"/>
  <c r="I277" i="5"/>
  <c r="I169" i="5"/>
  <c r="I16" i="5"/>
  <c r="T51" i="8"/>
  <c r="L35" i="5"/>
  <c r="L277" i="5"/>
  <c r="L16" i="5"/>
  <c r="U51" i="8"/>
  <c r="O35" i="5"/>
  <c r="O277" i="5"/>
  <c r="O16" i="5"/>
  <c r="V51" i="8"/>
  <c r="W51" i="8"/>
  <c r="X51" i="8"/>
  <c r="Y51" i="8"/>
  <c r="Z51" i="8"/>
  <c r="AD16" i="5"/>
  <c r="AA51" i="8"/>
  <c r="AG16" i="5"/>
  <c r="AB51" i="8"/>
  <c r="Y285" i="4"/>
  <c r="AJ16" i="5"/>
  <c r="AC51" i="8"/>
  <c r="C50" i="5"/>
  <c r="C229" i="5"/>
  <c r="R52" i="8"/>
  <c r="F50" i="5"/>
  <c r="F229" i="5"/>
  <c r="F17" i="5"/>
  <c r="S52" i="8"/>
  <c r="I50" i="5"/>
  <c r="I229" i="5"/>
  <c r="I17" i="5"/>
  <c r="T52" i="8"/>
  <c r="L50" i="5"/>
  <c r="L229" i="5"/>
  <c r="L17" i="5"/>
  <c r="U52" i="8"/>
  <c r="O50" i="5"/>
  <c r="O229" i="5"/>
  <c r="O17" i="5"/>
  <c r="V52" i="8"/>
  <c r="W52" i="8"/>
  <c r="X52" i="8"/>
  <c r="Y52" i="8"/>
  <c r="Z52" i="8"/>
  <c r="AD17" i="5"/>
  <c r="AA52" i="8"/>
  <c r="AG17" i="5"/>
  <c r="AB52" i="8"/>
  <c r="Y280" i="4"/>
  <c r="AJ17" i="5"/>
  <c r="AC52" i="8"/>
  <c r="C22" i="5"/>
  <c r="C109" i="5"/>
  <c r="C350" i="5"/>
  <c r="C230" i="5"/>
  <c r="C18" i="5"/>
  <c r="R53" i="8"/>
  <c r="F109" i="5"/>
  <c r="F350" i="5"/>
  <c r="F230" i="5"/>
  <c r="F18" i="5"/>
  <c r="S53" i="8"/>
  <c r="I22" i="5"/>
  <c r="I230" i="5"/>
  <c r="I18" i="5"/>
  <c r="T53" i="8"/>
  <c r="L350" i="5"/>
  <c r="L230" i="5"/>
  <c r="L18" i="5"/>
  <c r="U53" i="8"/>
  <c r="O350" i="5"/>
  <c r="O230" i="5"/>
  <c r="O18" i="5"/>
  <c r="V53" i="8"/>
  <c r="R22" i="5"/>
  <c r="W53" i="8"/>
  <c r="X53" i="8"/>
  <c r="Y53" i="8"/>
  <c r="Z53" i="8"/>
  <c r="AD18" i="5"/>
  <c r="AA53" i="8"/>
  <c r="AG18" i="5"/>
  <c r="AB53" i="8"/>
  <c r="Y249" i="4"/>
  <c r="AJ18" i="5"/>
  <c r="AC53" i="8"/>
  <c r="C282" i="5"/>
  <c r="C110" i="5"/>
  <c r="C351" i="5"/>
  <c r="C231" i="5"/>
  <c r="C19" i="5"/>
  <c r="R54" i="8"/>
  <c r="F110" i="5"/>
  <c r="F351" i="5"/>
  <c r="F231" i="5"/>
  <c r="F19" i="5"/>
  <c r="S54" i="8"/>
  <c r="I282" i="5"/>
  <c r="I110" i="5"/>
  <c r="I231" i="5"/>
  <c r="I19" i="5"/>
  <c r="T54" i="8"/>
  <c r="L351" i="5"/>
  <c r="L231" i="5"/>
  <c r="L19" i="5"/>
  <c r="U54" i="8"/>
  <c r="O351" i="5"/>
  <c r="O231" i="5"/>
  <c r="O19" i="5"/>
  <c r="V54" i="8"/>
  <c r="R282" i="5"/>
  <c r="W54" i="8"/>
  <c r="X54" i="8"/>
  <c r="Y54" i="8"/>
  <c r="Z54" i="8"/>
  <c r="AD19" i="5"/>
  <c r="AA54" i="8"/>
  <c r="AG19" i="5"/>
  <c r="AB54" i="8"/>
  <c r="Y256" i="4"/>
  <c r="AJ19" i="5"/>
  <c r="AC54" i="8"/>
  <c r="C91" i="5"/>
  <c r="C376" i="5"/>
  <c r="C326" i="5"/>
  <c r="R55" i="8"/>
  <c r="F91" i="5"/>
  <c r="F376" i="5"/>
  <c r="F326" i="5"/>
  <c r="S55" i="8"/>
  <c r="I91" i="5"/>
  <c r="T55" i="8"/>
  <c r="U55" i="8"/>
  <c r="V55" i="8"/>
  <c r="W55" i="8"/>
  <c r="X55" i="8"/>
  <c r="Y55" i="8"/>
  <c r="Z55" i="8"/>
  <c r="AD20" i="5"/>
  <c r="AA55" i="8"/>
  <c r="AG20" i="5"/>
  <c r="AB55" i="8"/>
  <c r="Y273" i="4"/>
  <c r="AJ20" i="5"/>
  <c r="AC55" i="8"/>
  <c r="C115" i="5"/>
  <c r="C297" i="5"/>
  <c r="C327" i="5"/>
  <c r="R56" i="8"/>
  <c r="F115" i="5"/>
  <c r="F297" i="5"/>
  <c r="F327" i="5"/>
  <c r="S56" i="8"/>
  <c r="I115" i="5"/>
  <c r="I297" i="5"/>
  <c r="T56" i="8"/>
  <c r="U56" i="8"/>
  <c r="V56" i="8"/>
  <c r="W56" i="8"/>
  <c r="X56" i="8"/>
  <c r="Y56" i="8"/>
  <c r="Z56" i="8"/>
  <c r="AD21" i="5"/>
  <c r="AA56" i="8"/>
  <c r="AG21" i="5"/>
  <c r="AB56" i="8"/>
  <c r="Y275" i="4"/>
  <c r="AJ21" i="5"/>
  <c r="AC56" i="8"/>
  <c r="C40" i="5"/>
  <c r="C352" i="5"/>
  <c r="C382" i="5"/>
  <c r="R57" i="8"/>
  <c r="F378" i="5"/>
  <c r="F40" i="5"/>
  <c r="F352" i="5"/>
  <c r="F382" i="5"/>
  <c r="S57" i="8"/>
  <c r="I378" i="5"/>
  <c r="I40" i="5"/>
  <c r="I352" i="5"/>
  <c r="I382" i="5"/>
  <c r="T57" i="8"/>
  <c r="L40" i="5"/>
  <c r="L352" i="5"/>
  <c r="U57" i="8"/>
  <c r="O40" i="5"/>
  <c r="O352" i="5"/>
  <c r="V57" i="8"/>
  <c r="R378" i="5"/>
  <c r="R382" i="5"/>
  <c r="W57" i="8"/>
  <c r="X57" i="8"/>
  <c r="Y57" i="8"/>
  <c r="Z57" i="8"/>
  <c r="AA57" i="8"/>
  <c r="AB57" i="8"/>
  <c r="Y22" i="2"/>
  <c r="Y385" i="4"/>
  <c r="AJ22" i="5"/>
  <c r="AC57" i="8"/>
  <c r="C274" i="5"/>
  <c r="C43" i="5"/>
  <c r="C104" i="5"/>
  <c r="C383" i="5"/>
  <c r="R58" i="8"/>
  <c r="F274" i="5"/>
  <c r="F43" i="5"/>
  <c r="F104" i="5"/>
  <c r="F383" i="5"/>
  <c r="S58" i="8"/>
  <c r="I274" i="5"/>
  <c r="I43" i="5"/>
  <c r="I104" i="5"/>
  <c r="I383" i="5"/>
  <c r="T58" i="8"/>
  <c r="L274" i="5"/>
  <c r="L43" i="5"/>
  <c r="L104" i="5"/>
  <c r="U58" i="8"/>
  <c r="O274" i="5"/>
  <c r="O43" i="5"/>
  <c r="O104" i="5"/>
  <c r="V58" i="8"/>
  <c r="R383" i="5"/>
  <c r="W58" i="8"/>
  <c r="X58" i="8"/>
  <c r="Y58" i="8"/>
  <c r="Z58" i="8"/>
  <c r="AD23" i="5"/>
  <c r="AA58" i="8"/>
  <c r="AG23" i="5"/>
  <c r="AB58" i="8"/>
  <c r="Y258" i="4"/>
  <c r="AJ23" i="5"/>
  <c r="AC58" i="8"/>
  <c r="C314" i="5"/>
  <c r="C45" i="5"/>
  <c r="R59" i="8"/>
  <c r="F314" i="5"/>
  <c r="F45" i="5"/>
  <c r="S59" i="8"/>
  <c r="I314" i="5"/>
  <c r="I45" i="5"/>
  <c r="T59" i="8"/>
  <c r="L314" i="5"/>
  <c r="L45" i="5"/>
  <c r="U59" i="8"/>
  <c r="O314" i="5"/>
  <c r="O45" i="5"/>
  <c r="V59" i="8"/>
  <c r="W59" i="8"/>
  <c r="X59" i="8"/>
  <c r="Y59" i="8"/>
  <c r="Z59" i="8"/>
  <c r="AD24" i="5"/>
  <c r="AA59" i="8"/>
  <c r="AG24" i="5"/>
  <c r="AB59" i="8"/>
  <c r="Y271" i="4"/>
  <c r="AJ24" i="5"/>
  <c r="AC59" i="8"/>
  <c r="C152" i="5"/>
  <c r="C46" i="5"/>
  <c r="C374" i="5"/>
  <c r="C328" i="5"/>
  <c r="R60" i="8"/>
  <c r="F46" i="5"/>
  <c r="F374" i="5"/>
  <c r="F328" i="5"/>
  <c r="S60" i="8"/>
  <c r="I46" i="5"/>
  <c r="T60" i="8"/>
  <c r="L374" i="5"/>
  <c r="U60" i="8"/>
  <c r="O374" i="5"/>
  <c r="V60" i="8"/>
  <c r="W60" i="8"/>
  <c r="X60" i="8"/>
  <c r="Y60" i="8"/>
  <c r="Z60" i="8"/>
  <c r="AD25" i="5"/>
  <c r="AA60" i="8"/>
  <c r="AG25" i="5"/>
  <c r="AB60" i="8"/>
  <c r="Y265" i="4"/>
  <c r="AJ25" i="5"/>
  <c r="AC60" i="8"/>
  <c r="C184" i="5"/>
  <c r="C49" i="5"/>
  <c r="C375" i="5"/>
  <c r="C368" i="5"/>
  <c r="C26" i="5"/>
  <c r="R4" i="8"/>
  <c r="F184" i="5"/>
  <c r="F49" i="5"/>
  <c r="F375" i="5"/>
  <c r="F368" i="5"/>
  <c r="F26" i="5"/>
  <c r="S4" i="8"/>
  <c r="I49" i="5"/>
  <c r="I26" i="5"/>
  <c r="T4" i="8"/>
  <c r="L184" i="5"/>
  <c r="L49" i="5"/>
  <c r="L375" i="5"/>
  <c r="L26" i="5"/>
  <c r="U4" i="8"/>
  <c r="O184" i="5"/>
  <c r="O49" i="5"/>
  <c r="O375" i="5"/>
  <c r="O26" i="5"/>
  <c r="V4" i="8"/>
  <c r="W4" i="8"/>
  <c r="X4" i="8"/>
  <c r="Y4" i="8"/>
  <c r="Z4" i="8"/>
  <c r="AD26" i="5"/>
  <c r="AA4" i="8"/>
  <c r="AG26" i="5"/>
  <c r="AB4" i="8"/>
  <c r="Y219" i="4"/>
  <c r="AJ26" i="5"/>
  <c r="AC4" i="8"/>
  <c r="C47" i="5"/>
  <c r="C329" i="5"/>
  <c r="C27" i="5"/>
  <c r="R61" i="8"/>
  <c r="F47" i="5"/>
  <c r="F329" i="5"/>
  <c r="F27" i="5"/>
  <c r="S61" i="8"/>
  <c r="I47" i="5"/>
  <c r="I27" i="5"/>
  <c r="T61" i="8"/>
  <c r="L47" i="5"/>
  <c r="L27" i="5"/>
  <c r="U61" i="8"/>
  <c r="O47" i="5"/>
  <c r="O27" i="5"/>
  <c r="V61" i="8"/>
  <c r="W61" i="8"/>
  <c r="X61" i="8"/>
  <c r="Y61" i="8"/>
  <c r="Z61" i="8"/>
  <c r="AD27" i="5"/>
  <c r="AA61" i="8"/>
  <c r="AG27" i="5"/>
  <c r="AB61" i="8"/>
  <c r="Y222" i="4"/>
  <c r="AJ27" i="5"/>
  <c r="AC61" i="8"/>
  <c r="C175" i="5"/>
  <c r="C68" i="5"/>
  <c r="C28" i="5"/>
  <c r="R62" i="8"/>
  <c r="F175" i="5"/>
  <c r="F68" i="5"/>
  <c r="F28" i="5"/>
  <c r="S62" i="8"/>
  <c r="I28" i="5"/>
  <c r="T62" i="8"/>
  <c r="U62" i="8"/>
  <c r="V62" i="8"/>
  <c r="W62" i="8"/>
  <c r="X62" i="8"/>
  <c r="Y62" i="8"/>
  <c r="Z62" i="8"/>
  <c r="AD28" i="5"/>
  <c r="AA62" i="8"/>
  <c r="AG28" i="5"/>
  <c r="AB62" i="8"/>
  <c r="Y272" i="4"/>
  <c r="AJ28" i="5"/>
  <c r="AC62" i="8"/>
  <c r="C349" i="5"/>
  <c r="C330" i="5"/>
  <c r="R5" i="8"/>
  <c r="F349" i="5"/>
  <c r="F330" i="5"/>
  <c r="S5" i="8"/>
  <c r="T5" i="8"/>
  <c r="L349" i="5"/>
  <c r="U5" i="8"/>
  <c r="O349" i="5"/>
  <c r="V5" i="8"/>
  <c r="W5" i="8"/>
  <c r="X5" i="8"/>
  <c r="Y5" i="8"/>
  <c r="Z5" i="8"/>
  <c r="AD29" i="5"/>
  <c r="AA5" i="8"/>
  <c r="AG29" i="5"/>
  <c r="AB5" i="8"/>
  <c r="Y21" i="2"/>
  <c r="Y176" i="4"/>
  <c r="AJ29" i="5"/>
  <c r="AC5" i="8"/>
  <c r="C148" i="5"/>
  <c r="C57" i="5"/>
  <c r="C69" i="5"/>
  <c r="C30" i="5"/>
  <c r="R63" i="8"/>
  <c r="F57" i="5"/>
  <c r="F69" i="5"/>
  <c r="F30" i="5"/>
  <c r="S63" i="8"/>
  <c r="I57" i="5"/>
  <c r="T63" i="8"/>
  <c r="L57" i="5"/>
  <c r="U63" i="8"/>
  <c r="O57" i="5"/>
  <c r="V63" i="8"/>
  <c r="W63" i="8"/>
  <c r="X63" i="8"/>
  <c r="Y63" i="8"/>
  <c r="Z63" i="8"/>
  <c r="AD30" i="5"/>
  <c r="AA63" i="8"/>
  <c r="AG30" i="5"/>
  <c r="AB63" i="8"/>
  <c r="Y58" i="4"/>
  <c r="AJ30" i="5"/>
  <c r="AC63" i="8"/>
  <c r="C76" i="5"/>
  <c r="C52" i="5"/>
  <c r="C355" i="5"/>
  <c r="C31" i="5"/>
  <c r="R64" i="8"/>
  <c r="F52" i="5"/>
  <c r="F355" i="5"/>
  <c r="F31" i="5"/>
  <c r="S64" i="8"/>
  <c r="I76" i="5"/>
  <c r="I52" i="5"/>
  <c r="I31" i="5"/>
  <c r="T64" i="8"/>
  <c r="L52" i="5"/>
  <c r="L31" i="5"/>
  <c r="U64" i="8"/>
  <c r="O52" i="5"/>
  <c r="O31" i="5"/>
  <c r="V64" i="8"/>
  <c r="R76" i="5"/>
  <c r="W64" i="8"/>
  <c r="X64" i="8"/>
  <c r="Y64" i="8"/>
  <c r="Z64" i="8"/>
  <c r="AD31" i="5"/>
  <c r="AA64" i="8"/>
  <c r="AG31" i="5"/>
  <c r="AB64" i="8"/>
  <c r="Y78" i="4"/>
  <c r="AJ31" i="5"/>
  <c r="AC64" i="8"/>
  <c r="C84" i="5"/>
  <c r="C250" i="5"/>
  <c r="C32" i="5"/>
  <c r="R65" i="8"/>
  <c r="F250" i="5"/>
  <c r="F32" i="5"/>
  <c r="S65" i="8"/>
  <c r="I84" i="5"/>
  <c r="I32" i="5"/>
  <c r="T65" i="8"/>
  <c r="L32" i="5"/>
  <c r="U65" i="8"/>
  <c r="O32" i="5"/>
  <c r="V65" i="8"/>
  <c r="R84" i="5"/>
  <c r="W65" i="8"/>
  <c r="X65" i="8"/>
  <c r="Y65" i="8"/>
  <c r="Z65" i="8"/>
  <c r="AD32" i="5"/>
  <c r="AA65" i="8"/>
  <c r="AG32" i="5"/>
  <c r="AB65" i="8"/>
  <c r="Y62" i="4"/>
  <c r="AJ32" i="5"/>
  <c r="AC65" i="8"/>
  <c r="C255" i="5"/>
  <c r="C33" i="5"/>
  <c r="R66" i="8"/>
  <c r="F255" i="5"/>
  <c r="F33" i="5"/>
  <c r="S66" i="8"/>
  <c r="I33" i="5"/>
  <c r="T66" i="8"/>
  <c r="L255" i="5"/>
  <c r="L33" i="5"/>
  <c r="U66" i="8"/>
  <c r="O255" i="5"/>
  <c r="O33" i="5"/>
  <c r="V66" i="8"/>
  <c r="W66" i="8"/>
  <c r="X66" i="8"/>
  <c r="Y66" i="8"/>
  <c r="Z66" i="8"/>
  <c r="AD33" i="5"/>
  <c r="AA66" i="8"/>
  <c r="AG33" i="5"/>
  <c r="AB66" i="8"/>
  <c r="Y69" i="4"/>
  <c r="AJ33" i="5"/>
  <c r="AC66" i="8"/>
  <c r="C266" i="5"/>
  <c r="C34" i="5"/>
  <c r="R67" i="8"/>
  <c r="F266" i="5"/>
  <c r="F34" i="5"/>
  <c r="S67" i="8"/>
  <c r="I266" i="5"/>
  <c r="I34" i="5"/>
  <c r="T67" i="8"/>
  <c r="L266" i="5"/>
  <c r="L34" i="5"/>
  <c r="U67" i="8"/>
  <c r="O266" i="5"/>
  <c r="O34" i="5"/>
  <c r="V67" i="8"/>
  <c r="W67" i="8"/>
  <c r="X67" i="8"/>
  <c r="Y67" i="8"/>
  <c r="Z67" i="8"/>
  <c r="AD34" i="5"/>
  <c r="AA67" i="8"/>
  <c r="AG34" i="5"/>
  <c r="AB67" i="8"/>
  <c r="Y262" i="4"/>
  <c r="AJ34" i="5"/>
  <c r="AC67" i="8"/>
  <c r="C54" i="5"/>
  <c r="C347" i="5"/>
  <c r="C385" i="5"/>
  <c r="R68" i="8"/>
  <c r="F54" i="5"/>
  <c r="F347" i="5"/>
  <c r="F385" i="5"/>
  <c r="S68" i="8"/>
  <c r="I54" i="5"/>
  <c r="T68" i="8"/>
  <c r="L54" i="5"/>
  <c r="L347" i="5"/>
  <c r="L385" i="5"/>
  <c r="U68" i="8"/>
  <c r="O54" i="5"/>
  <c r="O347" i="5"/>
  <c r="O385" i="5"/>
  <c r="V68" i="8"/>
  <c r="W68" i="8"/>
  <c r="X68" i="8"/>
  <c r="Y68" i="8"/>
  <c r="Z68" i="8"/>
  <c r="AD35" i="5"/>
  <c r="AA68" i="8"/>
  <c r="AG35" i="5"/>
  <c r="AB68" i="8"/>
  <c r="Y160" i="4"/>
  <c r="AJ35" i="5"/>
  <c r="AC68" i="8"/>
  <c r="C151" i="5"/>
  <c r="C55" i="5"/>
  <c r="C356" i="5"/>
  <c r="R69" i="8"/>
  <c r="F55" i="5"/>
  <c r="F356" i="5"/>
  <c r="S69" i="8"/>
  <c r="I55" i="5"/>
  <c r="T69" i="8"/>
  <c r="U69" i="8"/>
  <c r="V69" i="8"/>
  <c r="W69" i="8"/>
  <c r="X69" i="8"/>
  <c r="Y69" i="8"/>
  <c r="Z69" i="8"/>
  <c r="AD36" i="5"/>
  <c r="AA69" i="8"/>
  <c r="AG36" i="5"/>
  <c r="AB69" i="8"/>
  <c r="Y183" i="4"/>
  <c r="AJ36" i="5"/>
  <c r="AC69" i="8"/>
  <c r="C67" i="5"/>
  <c r="C103" i="5"/>
  <c r="C386" i="5"/>
  <c r="R70" i="8"/>
  <c r="F67" i="5"/>
  <c r="F103" i="5"/>
  <c r="F386" i="5"/>
  <c r="S70" i="8"/>
  <c r="I67" i="5"/>
  <c r="I386" i="5"/>
  <c r="T70" i="8"/>
  <c r="L67" i="5"/>
  <c r="L103" i="5"/>
  <c r="L386" i="5"/>
  <c r="U70" i="8"/>
  <c r="O67" i="5"/>
  <c r="O103" i="5"/>
  <c r="O386" i="5"/>
  <c r="V70" i="8"/>
  <c r="W70" i="8"/>
  <c r="X70" i="8"/>
  <c r="Y70" i="8"/>
  <c r="Z70" i="8"/>
  <c r="AD37" i="5"/>
  <c r="AA70" i="8"/>
  <c r="AG37" i="5"/>
  <c r="AB70" i="8"/>
  <c r="Y199" i="4"/>
  <c r="AJ37" i="5"/>
  <c r="AC70" i="8"/>
  <c r="C396" i="5"/>
  <c r="C56" i="5"/>
  <c r="C365" i="5"/>
  <c r="C387" i="5"/>
  <c r="R71" i="8"/>
  <c r="F396" i="5"/>
  <c r="F56" i="5"/>
  <c r="F365" i="5"/>
  <c r="F387" i="5"/>
  <c r="S71" i="8"/>
  <c r="I396" i="5"/>
  <c r="I56" i="5"/>
  <c r="I387" i="5"/>
  <c r="T71" i="8"/>
  <c r="L56" i="5"/>
  <c r="L387" i="5"/>
  <c r="U71" i="8"/>
  <c r="O56" i="5"/>
  <c r="O387" i="5"/>
  <c r="V71" i="8"/>
  <c r="W71" i="8"/>
  <c r="X71" i="8"/>
  <c r="Y71" i="8"/>
  <c r="Z71" i="8"/>
  <c r="AD38" i="5"/>
  <c r="AA71" i="8"/>
  <c r="AG38" i="5"/>
  <c r="AB71" i="8"/>
  <c r="Y169" i="4"/>
  <c r="AJ38" i="5"/>
  <c r="AC71" i="8"/>
  <c r="C395" i="5"/>
  <c r="C101" i="5"/>
  <c r="C348" i="5"/>
  <c r="C388" i="5"/>
  <c r="C39" i="5"/>
  <c r="R72" i="8"/>
  <c r="F395" i="5"/>
  <c r="F101" i="5"/>
  <c r="F348" i="5"/>
  <c r="F388" i="5"/>
  <c r="F39" i="5"/>
  <c r="S72" i="8"/>
  <c r="I395" i="5"/>
  <c r="I101" i="5"/>
  <c r="I388" i="5"/>
  <c r="I39" i="5"/>
  <c r="T72" i="8"/>
  <c r="L101" i="5"/>
  <c r="L348" i="5"/>
  <c r="L388" i="5"/>
  <c r="L39" i="5"/>
  <c r="U72" i="8"/>
  <c r="O101" i="5"/>
  <c r="O348" i="5"/>
  <c r="O388" i="5"/>
  <c r="O39" i="5"/>
  <c r="V72" i="8"/>
  <c r="W72" i="8"/>
  <c r="X72" i="8"/>
  <c r="Y72" i="8"/>
  <c r="Z72" i="8"/>
  <c r="AD39" i="5"/>
  <c r="AA72" i="8"/>
  <c r="AG39" i="5"/>
  <c r="AB72" i="8"/>
  <c r="Y13" i="2"/>
  <c r="Y282" i="4"/>
  <c r="AJ39" i="5"/>
  <c r="AC72" i="8"/>
  <c r="C393" i="5"/>
  <c r="C92" i="5"/>
  <c r="C389" i="5"/>
  <c r="R73" i="8"/>
  <c r="F393" i="5"/>
  <c r="F92" i="5"/>
  <c r="F389" i="5"/>
  <c r="S73" i="8"/>
  <c r="I393" i="5"/>
  <c r="I389" i="5"/>
  <c r="T73" i="8"/>
  <c r="L92" i="5"/>
  <c r="L389" i="5"/>
  <c r="U73" i="8"/>
  <c r="O92" i="5"/>
  <c r="O389" i="5"/>
  <c r="V73" i="8"/>
  <c r="W73" i="8"/>
  <c r="X73" i="8"/>
  <c r="Y73" i="8"/>
  <c r="Z73" i="8"/>
  <c r="AD40" i="5"/>
  <c r="AA73" i="8"/>
  <c r="AG40" i="5"/>
  <c r="AB73" i="8"/>
  <c r="Y284" i="4"/>
  <c r="AJ40" i="5"/>
  <c r="AC73" i="8"/>
  <c r="C208" i="5"/>
  <c r="C100" i="5"/>
  <c r="C346" i="5"/>
  <c r="C390" i="5"/>
  <c r="R74" i="8"/>
  <c r="F208" i="5"/>
  <c r="F100" i="5"/>
  <c r="F346" i="5"/>
  <c r="F390" i="5"/>
  <c r="F41" i="5"/>
  <c r="S74" i="8"/>
  <c r="I208" i="5"/>
  <c r="I390" i="5"/>
  <c r="I41" i="5"/>
  <c r="T74" i="8"/>
  <c r="L100" i="5"/>
  <c r="L346" i="5"/>
  <c r="L390" i="5"/>
  <c r="U74" i="8"/>
  <c r="O100" i="5"/>
  <c r="O346" i="5"/>
  <c r="O390" i="5"/>
  <c r="V74" i="8"/>
  <c r="W74" i="8"/>
  <c r="X74" i="8"/>
  <c r="Y74" i="8"/>
  <c r="Z74" i="8"/>
  <c r="AD41" i="5"/>
  <c r="AA74" i="8"/>
  <c r="AG41" i="5"/>
  <c r="AB74" i="8"/>
  <c r="Y208" i="4"/>
  <c r="AJ41" i="5"/>
  <c r="AC74" i="8"/>
  <c r="C405" i="5"/>
  <c r="C95" i="5"/>
  <c r="C364" i="5"/>
  <c r="C391" i="5"/>
  <c r="R75" i="8"/>
  <c r="F95" i="5"/>
  <c r="F364" i="5"/>
  <c r="F391" i="5"/>
  <c r="S75" i="8"/>
  <c r="I405" i="5"/>
  <c r="I95" i="5"/>
  <c r="T75" i="8"/>
  <c r="L95" i="5"/>
  <c r="L364" i="5"/>
  <c r="L391" i="5"/>
  <c r="U75" i="8"/>
  <c r="O95" i="5"/>
  <c r="O364" i="5"/>
  <c r="O391" i="5"/>
  <c r="V75" i="8"/>
  <c r="R405" i="5"/>
  <c r="W75" i="8"/>
  <c r="X75" i="8"/>
  <c r="Y75" i="8"/>
  <c r="Z75" i="8"/>
  <c r="AA75" i="8"/>
  <c r="AB75" i="8"/>
  <c r="Y12" i="2"/>
  <c r="Y401" i="4"/>
  <c r="AJ42" i="5"/>
  <c r="AC75" i="8"/>
  <c r="C88" i="5"/>
  <c r="C406" i="5"/>
  <c r="C199" i="5"/>
  <c r="R76" i="8"/>
  <c r="F88" i="5"/>
  <c r="F406" i="5"/>
  <c r="F199" i="5"/>
  <c r="S76" i="8"/>
  <c r="I88" i="5"/>
  <c r="I406" i="5"/>
  <c r="I199" i="5"/>
  <c r="T76" i="8"/>
  <c r="L88" i="5"/>
  <c r="U76" i="8"/>
  <c r="O88" i="5"/>
  <c r="V76" i="8"/>
  <c r="W76" i="8"/>
  <c r="X76" i="8"/>
  <c r="Y76" i="8"/>
  <c r="Z76" i="8"/>
  <c r="AD43" i="5"/>
  <c r="AA76" i="8"/>
  <c r="AG43" i="5"/>
  <c r="AB76" i="8"/>
  <c r="Y288" i="4"/>
  <c r="AJ43" i="5"/>
  <c r="AC76" i="8"/>
  <c r="C309" i="5"/>
  <c r="C225" i="5"/>
  <c r="C200" i="5"/>
  <c r="C44" i="5"/>
  <c r="R77" i="8"/>
  <c r="F309" i="5"/>
  <c r="F225" i="5"/>
  <c r="F200" i="5"/>
  <c r="S77" i="8"/>
  <c r="I309" i="5"/>
  <c r="I200" i="5"/>
  <c r="I44" i="5"/>
  <c r="T77" i="8"/>
  <c r="L309" i="5"/>
  <c r="U77" i="8"/>
  <c r="O309" i="5"/>
  <c r="V77" i="8"/>
  <c r="R44" i="5"/>
  <c r="W77" i="8"/>
  <c r="X77" i="8"/>
  <c r="Y77" i="8"/>
  <c r="Z77" i="8"/>
  <c r="AA77" i="8"/>
  <c r="AB77" i="8"/>
  <c r="Y7" i="2"/>
  <c r="Y391" i="4"/>
  <c r="AJ44" i="5"/>
  <c r="AC77" i="8"/>
  <c r="C256" i="5"/>
  <c r="C201" i="5"/>
  <c r="R78" i="8"/>
  <c r="F201" i="5"/>
  <c r="S78" i="8"/>
  <c r="I256" i="5"/>
  <c r="I201" i="5"/>
  <c r="T78" i="8"/>
  <c r="U78" i="8"/>
  <c r="V78" i="8"/>
  <c r="R256" i="5"/>
  <c r="W78" i="8"/>
  <c r="X78" i="8"/>
  <c r="Y78" i="8"/>
  <c r="Z78" i="8"/>
  <c r="AD45" i="5"/>
  <c r="AA78" i="8"/>
  <c r="AG45" i="5"/>
  <c r="AB78" i="8"/>
  <c r="Y294" i="4"/>
  <c r="AJ45" i="5"/>
  <c r="AC78" i="8"/>
  <c r="C97" i="5"/>
  <c r="C65" i="5"/>
  <c r="R6" i="8"/>
  <c r="F97" i="5"/>
  <c r="F65" i="5"/>
  <c r="F159" i="5"/>
  <c r="S6" i="8"/>
  <c r="I65" i="5"/>
  <c r="T6" i="8"/>
  <c r="L97" i="5"/>
  <c r="L65" i="5"/>
  <c r="U6" i="8"/>
  <c r="O97" i="5"/>
  <c r="O65" i="5"/>
  <c r="V6" i="8"/>
  <c r="W6" i="8"/>
  <c r="X6" i="8"/>
  <c r="Y6" i="8"/>
  <c r="Z6" i="8"/>
  <c r="AD46" i="5"/>
  <c r="AA6" i="8"/>
  <c r="AG46" i="5"/>
  <c r="AB6" i="8"/>
  <c r="Y295" i="4"/>
  <c r="AJ46" i="5"/>
  <c r="AC6" i="8"/>
  <c r="C164" i="5"/>
  <c r="C122" i="5"/>
  <c r="R7" i="8"/>
  <c r="F164" i="5"/>
  <c r="F122" i="5"/>
  <c r="F357" i="5"/>
  <c r="S7" i="8"/>
  <c r="I122" i="5"/>
  <c r="T7" i="8"/>
  <c r="L164" i="5"/>
  <c r="U7" i="8"/>
  <c r="O164" i="5"/>
  <c r="V7" i="8"/>
  <c r="W7" i="8"/>
  <c r="X7" i="8"/>
  <c r="Y7" i="8"/>
  <c r="Z7" i="8"/>
  <c r="AD47" i="5"/>
  <c r="AA7" i="8"/>
  <c r="AG47" i="5"/>
  <c r="AB7" i="8"/>
  <c r="Y293" i="4"/>
  <c r="AJ47" i="5"/>
  <c r="AC7" i="8"/>
  <c r="C316" i="5"/>
  <c r="C265" i="5"/>
  <c r="R79" i="8"/>
  <c r="F316" i="5"/>
  <c r="F265" i="5"/>
  <c r="F70" i="5"/>
  <c r="S79" i="8"/>
  <c r="I316" i="5"/>
  <c r="I265" i="5"/>
  <c r="T79" i="8"/>
  <c r="L316" i="5"/>
  <c r="L265" i="5"/>
  <c r="U79" i="8"/>
  <c r="O316" i="5"/>
  <c r="O265" i="5"/>
  <c r="V79" i="8"/>
  <c r="W79" i="8"/>
  <c r="X79" i="8"/>
  <c r="Y79" i="8"/>
  <c r="Z79" i="8"/>
  <c r="AD48" i="5"/>
  <c r="AA79" i="8"/>
  <c r="AG48" i="5"/>
  <c r="AB79" i="8"/>
  <c r="Y278" i="4"/>
  <c r="AJ48" i="5"/>
  <c r="AC79" i="8"/>
  <c r="C116" i="5"/>
  <c r="C345" i="5"/>
  <c r="C202" i="5"/>
  <c r="R80" i="8"/>
  <c r="F116" i="5"/>
  <c r="F345" i="5"/>
  <c r="F202" i="5"/>
  <c r="S80" i="8"/>
  <c r="I116" i="5"/>
  <c r="I345" i="5"/>
  <c r="T80" i="8"/>
  <c r="L116" i="5"/>
  <c r="L345" i="5"/>
  <c r="U80" i="8"/>
  <c r="O116" i="5"/>
  <c r="O345" i="5"/>
  <c r="V80" i="8"/>
  <c r="W80" i="8"/>
  <c r="X80" i="8"/>
  <c r="Y80" i="8"/>
  <c r="Z80" i="8"/>
  <c r="AD49" i="5"/>
  <c r="AA80" i="8"/>
  <c r="AG49" i="5"/>
  <c r="AB80" i="8"/>
  <c r="Y11" i="2"/>
  <c r="Y290" i="4"/>
  <c r="AJ49" i="5"/>
  <c r="AC80" i="8"/>
  <c r="C344" i="5"/>
  <c r="C111" i="5"/>
  <c r="C373" i="5"/>
  <c r="R81" i="8"/>
  <c r="F111" i="5"/>
  <c r="F373" i="5"/>
  <c r="F160" i="5"/>
  <c r="S81" i="8"/>
  <c r="I111" i="5"/>
  <c r="T81" i="8"/>
  <c r="L111" i="5"/>
  <c r="L373" i="5"/>
  <c r="U81" i="8"/>
  <c r="O111" i="5"/>
  <c r="O373" i="5"/>
  <c r="V81" i="8"/>
  <c r="W81" i="8"/>
  <c r="X81" i="8"/>
  <c r="Y81" i="8"/>
  <c r="Z81" i="8"/>
  <c r="AD50" i="5"/>
  <c r="AA81" i="8"/>
  <c r="AG50" i="5"/>
  <c r="AB81" i="8"/>
  <c r="Y261" i="4"/>
  <c r="AJ50" i="5"/>
  <c r="AC81" i="8"/>
  <c r="C207" i="5"/>
  <c r="C112" i="5"/>
  <c r="C363" i="5"/>
  <c r="C392" i="5"/>
  <c r="C51" i="5"/>
  <c r="R82" i="8"/>
  <c r="F344" i="5"/>
  <c r="F112" i="5"/>
  <c r="F363" i="5"/>
  <c r="F51" i="5"/>
  <c r="S82" i="8"/>
  <c r="I344" i="5"/>
  <c r="I112" i="5"/>
  <c r="I392" i="5"/>
  <c r="I51" i="5"/>
  <c r="T82" i="8"/>
  <c r="L344" i="5"/>
  <c r="L112" i="5"/>
  <c r="L51" i="5"/>
  <c r="U82" i="8"/>
  <c r="O344" i="5"/>
  <c r="O112" i="5"/>
  <c r="O51" i="5"/>
  <c r="V82" i="8"/>
  <c r="R392" i="5"/>
  <c r="W82" i="8"/>
  <c r="X82" i="8"/>
  <c r="Y82" i="8"/>
  <c r="Z82" i="8"/>
  <c r="AD51" i="5"/>
  <c r="AA82" i="8"/>
  <c r="AG51" i="5"/>
  <c r="AB82" i="8"/>
  <c r="Y9" i="2"/>
  <c r="Y147" i="4"/>
  <c r="AJ51" i="5"/>
  <c r="AC82" i="8"/>
  <c r="C117" i="5"/>
  <c r="C123" i="5"/>
  <c r="R83" i="8"/>
  <c r="F207" i="5"/>
  <c r="F117" i="5"/>
  <c r="F123" i="5"/>
  <c r="S83" i="8"/>
  <c r="I207" i="5"/>
  <c r="I117" i="5"/>
  <c r="I123" i="5"/>
  <c r="T83" i="8"/>
  <c r="L117" i="5"/>
  <c r="L123" i="5"/>
  <c r="U83" i="8"/>
  <c r="O117" i="5"/>
  <c r="O123" i="5"/>
  <c r="V83" i="8"/>
  <c r="W83" i="8"/>
  <c r="X83" i="8"/>
  <c r="Y83" i="8"/>
  <c r="Z83" i="8"/>
  <c r="AD52" i="5"/>
  <c r="AA83" i="8"/>
  <c r="AG52" i="5"/>
  <c r="AB83" i="8"/>
  <c r="Y263" i="4"/>
  <c r="AJ52" i="5"/>
  <c r="AC83" i="8"/>
  <c r="C113" i="5"/>
  <c r="C331" i="5"/>
  <c r="C53" i="5"/>
  <c r="R84" i="8"/>
  <c r="F113" i="5"/>
  <c r="F53" i="5"/>
  <c r="S84" i="8"/>
  <c r="I113" i="5"/>
  <c r="I331" i="5"/>
  <c r="I53" i="5"/>
  <c r="T84" i="8"/>
  <c r="L113" i="5"/>
  <c r="L53" i="5"/>
  <c r="U84" i="8"/>
  <c r="O113" i="5"/>
  <c r="O53" i="5"/>
  <c r="V84" i="8"/>
  <c r="R331" i="5"/>
  <c r="W84" i="8"/>
  <c r="X84" i="8"/>
  <c r="Y84" i="8"/>
  <c r="Z84" i="8"/>
  <c r="AD53" i="5"/>
  <c r="AA84" i="8"/>
  <c r="AG53" i="5"/>
  <c r="AB84" i="8"/>
  <c r="Y235" i="4"/>
  <c r="AJ53" i="5"/>
  <c r="AC84" i="8"/>
  <c r="C72" i="5"/>
  <c r="C121" i="5"/>
  <c r="R85" i="8"/>
  <c r="F121" i="5"/>
  <c r="S85" i="8"/>
  <c r="I121" i="5"/>
  <c r="T85" i="8"/>
  <c r="L121" i="5"/>
  <c r="U85" i="8"/>
  <c r="O121" i="5"/>
  <c r="V85" i="8"/>
  <c r="W85" i="8"/>
  <c r="X85" i="8"/>
  <c r="Y85" i="8"/>
  <c r="Z85" i="8"/>
  <c r="AD54" i="5"/>
  <c r="AA85" i="8"/>
  <c r="AG54" i="5"/>
  <c r="AB85" i="8"/>
  <c r="Y266" i="4"/>
  <c r="AJ54" i="5"/>
  <c r="AC85" i="8"/>
  <c r="C74" i="5"/>
  <c r="C107" i="5"/>
  <c r="C166" i="5"/>
  <c r="R86" i="8"/>
  <c r="F107" i="5"/>
  <c r="F166" i="5"/>
  <c r="S86" i="8"/>
  <c r="I72" i="5"/>
  <c r="I107" i="5"/>
  <c r="T86" i="8"/>
  <c r="L107" i="5"/>
  <c r="L166" i="5"/>
  <c r="U86" i="8"/>
  <c r="O107" i="5"/>
  <c r="O166" i="5"/>
  <c r="V86" i="8"/>
  <c r="R72" i="5"/>
  <c r="W86" i="8"/>
  <c r="X86" i="8"/>
  <c r="Y86" i="8"/>
  <c r="Z86" i="8"/>
  <c r="AD55" i="5"/>
  <c r="AA86" i="8"/>
  <c r="AG55" i="5"/>
  <c r="AB86" i="8"/>
  <c r="Y251" i="4"/>
  <c r="AJ55" i="5"/>
  <c r="AC86" i="8"/>
  <c r="C77" i="5"/>
  <c r="C105" i="5"/>
  <c r="C167" i="5"/>
  <c r="R87" i="8"/>
  <c r="F105" i="5"/>
  <c r="F167" i="5"/>
  <c r="S87" i="8"/>
  <c r="I74" i="5"/>
  <c r="I105" i="5"/>
  <c r="T87" i="8"/>
  <c r="L105" i="5"/>
  <c r="L167" i="5"/>
  <c r="U87" i="8"/>
  <c r="O105" i="5"/>
  <c r="O167" i="5"/>
  <c r="V87" i="8"/>
  <c r="R74" i="5"/>
  <c r="W87" i="8"/>
  <c r="X87" i="8"/>
  <c r="Y87" i="8"/>
  <c r="Z87" i="8"/>
  <c r="AD56" i="5"/>
  <c r="AA87" i="8"/>
  <c r="AG56" i="5"/>
  <c r="AB87" i="8"/>
  <c r="Y257" i="4"/>
  <c r="AJ56" i="5"/>
  <c r="AC87" i="8"/>
  <c r="C78" i="5"/>
  <c r="C118" i="5"/>
  <c r="C168" i="5"/>
  <c r="C73" i="5"/>
  <c r="R88" i="8"/>
  <c r="F118" i="5"/>
  <c r="F168" i="5"/>
  <c r="S88" i="8"/>
  <c r="I77" i="5"/>
  <c r="I118" i="5"/>
  <c r="I73" i="5"/>
  <c r="T88" i="8"/>
  <c r="L118" i="5"/>
  <c r="L168" i="5"/>
  <c r="U88" i="8"/>
  <c r="O118" i="5"/>
  <c r="O168" i="5"/>
  <c r="V88" i="8"/>
  <c r="R77" i="5"/>
  <c r="R73" i="5"/>
  <c r="W88" i="8"/>
  <c r="X88" i="8"/>
  <c r="Y88" i="8"/>
  <c r="Z88" i="8"/>
  <c r="AD57" i="5"/>
  <c r="AA88" i="8"/>
  <c r="AG57" i="5"/>
  <c r="AB88" i="8"/>
  <c r="Y259" i="4"/>
  <c r="AJ57" i="5"/>
  <c r="AC88" i="8"/>
  <c r="C80" i="5"/>
  <c r="C106" i="5"/>
  <c r="C342" i="5"/>
  <c r="C58" i="5"/>
  <c r="R89" i="8"/>
  <c r="F106" i="5"/>
  <c r="F342" i="5"/>
  <c r="F58" i="5"/>
  <c r="S89" i="8"/>
  <c r="I78" i="5"/>
  <c r="I106" i="5"/>
  <c r="I58" i="5"/>
  <c r="T89" i="8"/>
  <c r="L106" i="5"/>
  <c r="L342" i="5"/>
  <c r="L58" i="5"/>
  <c r="U89" i="8"/>
  <c r="O106" i="5"/>
  <c r="O342" i="5"/>
  <c r="O58" i="5"/>
  <c r="V89" i="8"/>
  <c r="R78" i="5"/>
  <c r="W89" i="8"/>
  <c r="X89" i="8"/>
  <c r="Y89" i="8"/>
  <c r="Z89" i="8"/>
  <c r="AD58" i="5"/>
  <c r="AA89" i="8"/>
  <c r="AG58" i="5"/>
  <c r="AB89" i="8"/>
  <c r="Y245" i="4"/>
  <c r="AJ58" i="5"/>
  <c r="AC89" i="8"/>
  <c r="C85" i="5"/>
  <c r="C119" i="5"/>
  <c r="C343" i="5"/>
  <c r="C75" i="5"/>
  <c r="R90" i="8"/>
  <c r="F119" i="5"/>
  <c r="F343" i="5"/>
  <c r="S90" i="8"/>
  <c r="I80" i="5"/>
  <c r="I119" i="5"/>
  <c r="I75" i="5"/>
  <c r="T90" i="8"/>
  <c r="L343" i="5"/>
  <c r="U90" i="8"/>
  <c r="O343" i="5"/>
  <c r="V90" i="8"/>
  <c r="R80" i="5"/>
  <c r="R75" i="5"/>
  <c r="W90" i="8"/>
  <c r="X90" i="8"/>
  <c r="Y90" i="8"/>
  <c r="Z90" i="8"/>
  <c r="AD59" i="5"/>
  <c r="AA90" i="8"/>
  <c r="AG59" i="5"/>
  <c r="AB90" i="8"/>
  <c r="Y228" i="4"/>
  <c r="AJ59" i="5"/>
  <c r="AC90" i="8"/>
  <c r="C64" i="5"/>
  <c r="C60" i="5"/>
  <c r="R91" i="8"/>
  <c r="F64" i="5"/>
  <c r="F60" i="5"/>
  <c r="S91" i="8"/>
  <c r="I85" i="5"/>
  <c r="I64" i="5"/>
  <c r="I60" i="5"/>
  <c r="T91" i="8"/>
  <c r="L64" i="5"/>
  <c r="L60" i="5"/>
  <c r="U91" i="8"/>
  <c r="O64" i="5"/>
  <c r="O60" i="5"/>
  <c r="V91" i="8"/>
  <c r="R85" i="5"/>
  <c r="W91" i="8"/>
  <c r="X91" i="8"/>
  <c r="Y91" i="8"/>
  <c r="Z91" i="8"/>
  <c r="AD60" i="5"/>
  <c r="AA91" i="8"/>
  <c r="AG60" i="5"/>
  <c r="AB91" i="8"/>
  <c r="Y291" i="4"/>
  <c r="AJ60" i="5"/>
  <c r="AC91" i="8"/>
  <c r="C336" i="5"/>
  <c r="C61" i="5"/>
  <c r="R92" i="8"/>
  <c r="F336" i="5"/>
  <c r="F61" i="5"/>
  <c r="S92" i="8"/>
  <c r="I61" i="5"/>
  <c r="T92" i="8"/>
  <c r="L336" i="5"/>
  <c r="L61" i="5"/>
  <c r="U92" i="8"/>
  <c r="O336" i="5"/>
  <c r="O61" i="5"/>
  <c r="V92" i="8"/>
  <c r="W92" i="8"/>
  <c r="X92" i="8"/>
  <c r="Y92" i="8"/>
  <c r="Z92" i="8"/>
  <c r="AD61" i="5"/>
  <c r="AA92" i="8"/>
  <c r="AG61" i="5"/>
  <c r="AB92" i="8"/>
  <c r="Y237" i="4"/>
  <c r="AJ61" i="5"/>
  <c r="AC92" i="8"/>
  <c r="C96" i="5"/>
  <c r="C62" i="5"/>
  <c r="R93" i="8"/>
  <c r="F96" i="5"/>
  <c r="F62" i="5"/>
  <c r="S93" i="8"/>
  <c r="I62" i="5"/>
  <c r="T93" i="8"/>
  <c r="L96" i="5"/>
  <c r="L62" i="5"/>
  <c r="U93" i="8"/>
  <c r="O96" i="5"/>
  <c r="O62" i="5"/>
  <c r="V93" i="8"/>
  <c r="W93" i="8"/>
  <c r="X93" i="8"/>
  <c r="Y93" i="8"/>
  <c r="Z93" i="8"/>
  <c r="AD62" i="5"/>
  <c r="AA93" i="8"/>
  <c r="AG62" i="5"/>
  <c r="AB93" i="8"/>
  <c r="Y213" i="4"/>
  <c r="AJ62" i="5"/>
  <c r="AC93" i="8"/>
  <c r="C82" i="5"/>
  <c r="R94" i="8"/>
  <c r="S94" i="8"/>
  <c r="I82" i="5"/>
  <c r="T94" i="8"/>
  <c r="U94" i="8"/>
  <c r="V94" i="8"/>
  <c r="R82" i="5"/>
  <c r="W94" i="8"/>
  <c r="X94" i="8"/>
  <c r="Y94" i="8"/>
  <c r="Z94" i="8"/>
  <c r="AD63" i="5"/>
  <c r="AA94" i="8"/>
  <c r="AG63" i="5"/>
  <c r="AB94" i="8"/>
  <c r="Y247" i="4"/>
  <c r="AJ63" i="5"/>
  <c r="AC94" i="8"/>
  <c r="R95" i="8"/>
  <c r="S95" i="8"/>
  <c r="T95" i="8"/>
  <c r="U95" i="8"/>
  <c r="V95" i="8"/>
  <c r="W95" i="8"/>
  <c r="X95" i="8"/>
  <c r="Y95" i="8"/>
  <c r="Z95" i="8"/>
  <c r="AD64" i="5"/>
  <c r="AA95" i="8"/>
  <c r="AG64" i="5"/>
  <c r="AB95" i="8"/>
  <c r="Y155" i="4"/>
  <c r="AJ64" i="5"/>
  <c r="AC95" i="8"/>
  <c r="C147" i="5"/>
  <c r="C323" i="5"/>
  <c r="R96" i="8"/>
  <c r="F147" i="5"/>
  <c r="F323" i="5"/>
  <c r="S96" i="8"/>
  <c r="I147" i="5"/>
  <c r="I323" i="5"/>
  <c r="T96" i="8"/>
  <c r="L323" i="5"/>
  <c r="U96" i="8"/>
  <c r="O323" i="5"/>
  <c r="V96" i="8"/>
  <c r="W96" i="8"/>
  <c r="X96" i="8"/>
  <c r="Y96" i="8"/>
  <c r="Z96" i="8"/>
  <c r="AD65" i="5"/>
  <c r="AA96" i="8"/>
  <c r="AG65" i="5"/>
  <c r="AB96" i="8"/>
  <c r="Y161" i="4"/>
  <c r="AJ65" i="5"/>
  <c r="AC96" i="8"/>
  <c r="C114" i="5"/>
  <c r="C102" i="5"/>
  <c r="C66" i="5"/>
  <c r="R97" i="8"/>
  <c r="F114" i="5"/>
  <c r="F102" i="5"/>
  <c r="F66" i="5"/>
  <c r="S97" i="8"/>
  <c r="I114" i="5"/>
  <c r="I66" i="5"/>
  <c r="T97" i="8"/>
  <c r="L114" i="5"/>
  <c r="L102" i="5"/>
  <c r="U97" i="8"/>
  <c r="O114" i="5"/>
  <c r="O102" i="5"/>
  <c r="V97" i="8"/>
  <c r="W97" i="8"/>
  <c r="X97" i="8"/>
  <c r="Y97" i="8"/>
  <c r="Z97" i="8"/>
  <c r="AD66" i="5"/>
  <c r="AA97" i="8"/>
  <c r="AG66" i="5"/>
  <c r="AB97" i="8"/>
  <c r="AC97" i="8"/>
  <c r="C83" i="5"/>
  <c r="C108" i="5"/>
  <c r="C276" i="5"/>
  <c r="R98" i="8"/>
  <c r="F108" i="5"/>
  <c r="F276" i="5"/>
  <c r="S98" i="8"/>
  <c r="I83" i="5"/>
  <c r="I108" i="5"/>
  <c r="I276" i="5"/>
  <c r="T98" i="8"/>
  <c r="L108" i="5"/>
  <c r="L276" i="5"/>
  <c r="U98" i="8"/>
  <c r="O108" i="5"/>
  <c r="O276" i="5"/>
  <c r="V98" i="8"/>
  <c r="R83" i="5"/>
  <c r="W98" i="8"/>
  <c r="X98" i="8"/>
  <c r="Y98" i="8"/>
  <c r="Z98" i="8"/>
  <c r="AD67" i="5"/>
  <c r="AA98" i="8"/>
  <c r="AG67" i="5"/>
  <c r="AB98" i="8"/>
  <c r="AC98" i="8"/>
  <c r="C161" i="5"/>
  <c r="R99" i="8"/>
  <c r="F161" i="5"/>
  <c r="S99" i="8"/>
  <c r="I161" i="5"/>
  <c r="T99" i="8"/>
  <c r="L161" i="5"/>
  <c r="U99" i="8"/>
  <c r="O161" i="5"/>
  <c r="V99" i="8"/>
  <c r="W99" i="8"/>
  <c r="X99" i="8"/>
  <c r="Y99" i="8"/>
  <c r="Z99" i="8"/>
  <c r="AD68" i="5"/>
  <c r="AA99" i="8"/>
  <c r="AG68" i="5"/>
  <c r="AB99" i="8"/>
  <c r="Y34" i="2"/>
  <c r="Y5" i="4"/>
  <c r="AJ68" i="5"/>
  <c r="AC99" i="8"/>
  <c r="C165" i="5"/>
  <c r="R100" i="8"/>
  <c r="F165" i="5"/>
  <c r="S100" i="8"/>
  <c r="I165" i="5"/>
  <c r="T100" i="8"/>
  <c r="L165" i="5"/>
  <c r="U100" i="8"/>
  <c r="O165" i="5"/>
  <c r="V100" i="8"/>
  <c r="W100" i="8"/>
  <c r="X100" i="8"/>
  <c r="Y100" i="8"/>
  <c r="Z100" i="8"/>
  <c r="AD69" i="5"/>
  <c r="AA100" i="8"/>
  <c r="AG69" i="5"/>
  <c r="AB100" i="8"/>
  <c r="Y10" i="4"/>
  <c r="AJ69" i="5"/>
  <c r="AC100" i="8"/>
  <c r="C162" i="5"/>
  <c r="C120" i="5"/>
  <c r="R101" i="8"/>
  <c r="F162" i="5"/>
  <c r="F120" i="5"/>
  <c r="S101" i="8"/>
  <c r="I162" i="5"/>
  <c r="I120" i="5"/>
  <c r="T101" i="8"/>
  <c r="L162" i="5"/>
  <c r="L120" i="5"/>
  <c r="U101" i="8"/>
  <c r="O162" i="5"/>
  <c r="O120" i="5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Y386" i="4"/>
  <c r="AJ71" i="5"/>
  <c r="AC102" i="8"/>
  <c r="C322" i="5"/>
  <c r="R103" i="8"/>
  <c r="F322" i="5"/>
  <c r="S103" i="8"/>
  <c r="I322" i="5"/>
  <c r="T103" i="8"/>
  <c r="L322" i="5"/>
  <c r="U103" i="8"/>
  <c r="O322" i="5"/>
  <c r="V103" i="8"/>
  <c r="W103" i="8"/>
  <c r="X103" i="8"/>
  <c r="Y103" i="8"/>
  <c r="Z103" i="8"/>
  <c r="AA103" i="8"/>
  <c r="AB103" i="8"/>
  <c r="Y387" i="4"/>
  <c r="AJ72" i="5"/>
  <c r="AC103" i="8"/>
  <c r="C248" i="5"/>
  <c r="R104" i="8"/>
  <c r="F248" i="5"/>
  <c r="S104" i="8"/>
  <c r="T104" i="8"/>
  <c r="L248" i="5"/>
  <c r="U104" i="8"/>
  <c r="O248" i="5"/>
  <c r="V104" i="8"/>
  <c r="W104" i="8"/>
  <c r="X104" i="8"/>
  <c r="Y104" i="8"/>
  <c r="Z104" i="8"/>
  <c r="AA104" i="8"/>
  <c r="AB104" i="8"/>
  <c r="Y388" i="4"/>
  <c r="AJ73" i="5"/>
  <c r="AC104" i="8"/>
  <c r="R105" i="8"/>
  <c r="S105" i="8"/>
  <c r="T105" i="8"/>
  <c r="U105" i="8"/>
  <c r="V105" i="8"/>
  <c r="W105" i="8"/>
  <c r="X105" i="8"/>
  <c r="Y105" i="8"/>
  <c r="Z105" i="8"/>
  <c r="AA105" i="8"/>
  <c r="AB105" i="8"/>
  <c r="Y389" i="4"/>
  <c r="AJ74" i="5"/>
  <c r="AC105" i="8"/>
  <c r="R106" i="8"/>
  <c r="S106" i="8"/>
  <c r="T106" i="8"/>
  <c r="U106" i="8"/>
  <c r="V106" i="8"/>
  <c r="W106" i="8"/>
  <c r="X106" i="8"/>
  <c r="Y106" i="8"/>
  <c r="Z106" i="8"/>
  <c r="AA106" i="8"/>
  <c r="AB106" i="8"/>
  <c r="Y390" i="4"/>
  <c r="AJ75" i="5"/>
  <c r="AC106" i="8"/>
  <c r="C362" i="5"/>
  <c r="C124" i="5"/>
  <c r="R107" i="8"/>
  <c r="F362" i="5"/>
  <c r="S107" i="8"/>
  <c r="I362" i="5"/>
  <c r="T107" i="8"/>
  <c r="L362" i="5"/>
  <c r="U107" i="8"/>
  <c r="O362" i="5"/>
  <c r="V107" i="8"/>
  <c r="W107" i="8"/>
  <c r="X107" i="8"/>
  <c r="Y107" i="8"/>
  <c r="Z107" i="8"/>
  <c r="AA107" i="8"/>
  <c r="AB107" i="8"/>
  <c r="Y393" i="4"/>
  <c r="AJ76" i="5"/>
  <c r="AC107" i="8"/>
  <c r="C181" i="5"/>
  <c r="C321" i="5"/>
  <c r="C125" i="5"/>
  <c r="R108" i="8"/>
  <c r="F181" i="5"/>
  <c r="F321" i="5"/>
  <c r="S108" i="8"/>
  <c r="I181" i="5"/>
  <c r="I321" i="5"/>
  <c r="T108" i="8"/>
  <c r="L181" i="5"/>
  <c r="U108" i="8"/>
  <c r="O181" i="5"/>
  <c r="V108" i="8"/>
  <c r="W108" i="8"/>
  <c r="X108" i="8"/>
  <c r="Y108" i="8"/>
  <c r="Z108" i="8"/>
  <c r="AA108" i="8"/>
  <c r="AB108" i="8"/>
  <c r="Y394" i="4"/>
  <c r="AJ77" i="5"/>
  <c r="AC108" i="8"/>
  <c r="C180" i="5"/>
  <c r="C296" i="5"/>
  <c r="C186" i="5"/>
  <c r="R109" i="8"/>
  <c r="F296" i="5"/>
  <c r="F186" i="5"/>
  <c r="S109" i="8"/>
  <c r="I296" i="5"/>
  <c r="I186" i="5"/>
  <c r="T109" i="8"/>
  <c r="L296" i="5"/>
  <c r="U109" i="8"/>
  <c r="O296" i="5"/>
  <c r="V109" i="8"/>
  <c r="W109" i="8"/>
  <c r="X109" i="8"/>
  <c r="Y109" i="8"/>
  <c r="Z109" i="8"/>
  <c r="AA109" i="8"/>
  <c r="AB109" i="8"/>
  <c r="Y395" i="4"/>
  <c r="AJ78" i="5"/>
  <c r="AC109" i="8"/>
  <c r="C179" i="5"/>
  <c r="C341" i="5"/>
  <c r="C126" i="5"/>
  <c r="R110" i="8"/>
  <c r="F179" i="5"/>
  <c r="F341" i="5"/>
  <c r="F126" i="5"/>
  <c r="S110" i="8"/>
  <c r="I179" i="5"/>
  <c r="I126" i="5"/>
  <c r="T110" i="8"/>
  <c r="L341" i="5"/>
  <c r="U110" i="8"/>
  <c r="O341" i="5"/>
  <c r="V110" i="8"/>
  <c r="W110" i="8"/>
  <c r="X110" i="8"/>
  <c r="Y110" i="8"/>
  <c r="Z110" i="8"/>
  <c r="AA110" i="8"/>
  <c r="AB110" i="8"/>
  <c r="Y406" i="4"/>
  <c r="AJ79" i="5"/>
  <c r="AC110" i="8"/>
  <c r="C127" i="5"/>
  <c r="R111" i="8"/>
  <c r="F127" i="5"/>
  <c r="S111" i="8"/>
  <c r="I127" i="5"/>
  <c r="T111" i="8"/>
  <c r="U111" i="8"/>
  <c r="V111" i="8"/>
  <c r="W111" i="8"/>
  <c r="X111" i="8"/>
  <c r="Y111" i="8"/>
  <c r="Z111" i="8"/>
  <c r="AA111" i="8"/>
  <c r="AB111" i="8"/>
  <c r="Y396" i="4"/>
  <c r="AJ80" i="5"/>
  <c r="AC111" i="8"/>
  <c r="C197" i="5"/>
  <c r="C128" i="5"/>
  <c r="R112" i="8"/>
  <c r="F197" i="5"/>
  <c r="F128" i="5"/>
  <c r="S112" i="8"/>
  <c r="I197" i="5"/>
  <c r="I128" i="5"/>
  <c r="T112" i="8"/>
  <c r="U112" i="8"/>
  <c r="V112" i="8"/>
  <c r="W112" i="8"/>
  <c r="X112" i="8"/>
  <c r="Y112" i="8"/>
  <c r="Z112" i="8"/>
  <c r="AA112" i="8"/>
  <c r="AB112" i="8"/>
  <c r="Y397" i="4"/>
  <c r="AJ81" i="5"/>
  <c r="AC112" i="8"/>
  <c r="C242" i="5"/>
  <c r="C129" i="5"/>
  <c r="R113" i="8"/>
  <c r="F242" i="5"/>
  <c r="S113" i="8"/>
  <c r="T113" i="8"/>
  <c r="L242" i="5"/>
  <c r="U113" i="8"/>
  <c r="O242" i="5"/>
  <c r="V113" i="8"/>
  <c r="W113" i="8"/>
  <c r="X113" i="8"/>
  <c r="Y113" i="8"/>
  <c r="Z113" i="8"/>
  <c r="AA113" i="8"/>
  <c r="AB113" i="8"/>
  <c r="Y400" i="4"/>
  <c r="AJ82" i="5"/>
  <c r="AC113" i="8"/>
  <c r="C253" i="5"/>
  <c r="C130" i="5"/>
  <c r="R114" i="8"/>
  <c r="F253" i="5"/>
  <c r="S114" i="8"/>
  <c r="T114" i="8"/>
  <c r="L253" i="5"/>
  <c r="U114" i="8"/>
  <c r="O253" i="5"/>
  <c r="V114" i="8"/>
  <c r="W114" i="8"/>
  <c r="X114" i="8"/>
  <c r="Y114" i="8"/>
  <c r="Z114" i="8"/>
  <c r="AA114" i="8"/>
  <c r="AB114" i="8"/>
  <c r="Y403" i="4"/>
  <c r="AJ83" i="5"/>
  <c r="AC114" i="8"/>
  <c r="C249" i="5"/>
  <c r="C131" i="5"/>
  <c r="R115" i="8"/>
  <c r="F249" i="5"/>
  <c r="S115" i="8"/>
  <c r="T115" i="8"/>
  <c r="L249" i="5"/>
  <c r="U115" i="8"/>
  <c r="O249" i="5"/>
  <c r="V115" i="8"/>
  <c r="W115" i="8"/>
  <c r="X115" i="8"/>
  <c r="Y115" i="8"/>
  <c r="Z115" i="8"/>
  <c r="AA115" i="8"/>
  <c r="AB115" i="8"/>
  <c r="Y404" i="4"/>
  <c r="AJ84" i="5"/>
  <c r="AC115" i="8"/>
  <c r="C132" i="5"/>
  <c r="R116" i="8"/>
  <c r="F132" i="5"/>
  <c r="S116" i="8"/>
  <c r="I132" i="5"/>
  <c r="T116" i="8"/>
  <c r="U116" i="8"/>
  <c r="V116" i="8"/>
  <c r="W116" i="8"/>
  <c r="X116" i="8"/>
  <c r="Y116" i="8"/>
  <c r="Z116" i="8"/>
  <c r="AA116" i="8"/>
  <c r="AB116" i="8"/>
  <c r="Y405" i="4"/>
  <c r="AJ85" i="5"/>
  <c r="AC116" i="8"/>
  <c r="C133" i="5"/>
  <c r="C86" i="5"/>
  <c r="R117" i="8"/>
  <c r="F133" i="5"/>
  <c r="F86" i="5"/>
  <c r="S117" i="8"/>
  <c r="I133" i="5"/>
  <c r="T117" i="8"/>
  <c r="U117" i="8"/>
  <c r="V117" i="8"/>
  <c r="W117" i="8"/>
  <c r="X117" i="8"/>
  <c r="Y117" i="8"/>
  <c r="Z117" i="8"/>
  <c r="AD86" i="5"/>
  <c r="AA117" i="8"/>
  <c r="AG86" i="5"/>
  <c r="AB117" i="8"/>
  <c r="Y57" i="4"/>
  <c r="AJ86" i="5"/>
  <c r="AC117" i="8"/>
  <c r="C339" i="5"/>
  <c r="C134" i="5"/>
  <c r="C87" i="5"/>
  <c r="R118" i="8"/>
  <c r="F339" i="5"/>
  <c r="F134" i="5"/>
  <c r="F87" i="5"/>
  <c r="S118" i="8"/>
  <c r="I134" i="5"/>
  <c r="I87" i="5"/>
  <c r="T118" i="8"/>
  <c r="L339" i="5"/>
  <c r="L87" i="5"/>
  <c r="U118" i="8"/>
  <c r="O339" i="5"/>
  <c r="O87" i="5"/>
  <c r="V118" i="8"/>
  <c r="W118" i="8"/>
  <c r="X118" i="8"/>
  <c r="Y118" i="8"/>
  <c r="Z118" i="8"/>
  <c r="AD87" i="5"/>
  <c r="AA118" i="8"/>
  <c r="AG87" i="5"/>
  <c r="AB118" i="8"/>
  <c r="Y205" i="4"/>
  <c r="AJ87" i="5"/>
  <c r="AC118" i="8"/>
  <c r="C263" i="5"/>
  <c r="C135" i="5"/>
  <c r="R119" i="8"/>
  <c r="F263" i="5"/>
  <c r="S119" i="8"/>
  <c r="T119" i="8"/>
  <c r="L263" i="5"/>
  <c r="U119" i="8"/>
  <c r="O263" i="5"/>
  <c r="V119" i="8"/>
  <c r="W119" i="8"/>
  <c r="X119" i="8"/>
  <c r="Y119" i="8"/>
  <c r="Z119" i="8"/>
  <c r="AD88" i="5"/>
  <c r="AA119" i="8"/>
  <c r="AG88" i="5"/>
  <c r="AB119" i="8"/>
  <c r="Y102" i="4"/>
  <c r="AJ88" i="5"/>
  <c r="AC119" i="8"/>
  <c r="C216" i="5"/>
  <c r="C136" i="5"/>
  <c r="C89" i="5"/>
  <c r="R120" i="8"/>
  <c r="F216" i="5"/>
  <c r="F89" i="5"/>
  <c r="S120" i="8"/>
  <c r="I216" i="5"/>
  <c r="I89" i="5"/>
  <c r="T120" i="8"/>
  <c r="L89" i="5"/>
  <c r="U120" i="8"/>
  <c r="O89" i="5"/>
  <c r="V120" i="8"/>
  <c r="W120" i="8"/>
  <c r="X120" i="8"/>
  <c r="Y120" i="8"/>
  <c r="Z120" i="8"/>
  <c r="AD89" i="5"/>
  <c r="AA120" i="8"/>
  <c r="AG89" i="5"/>
  <c r="AB120" i="8"/>
  <c r="Y90" i="4"/>
  <c r="AJ89" i="5"/>
  <c r="AC120" i="8"/>
  <c r="C99" i="5"/>
  <c r="C137" i="5"/>
  <c r="C90" i="5"/>
  <c r="R121" i="8"/>
  <c r="F99" i="5"/>
  <c r="F90" i="5"/>
  <c r="S121" i="8"/>
  <c r="I90" i="5"/>
  <c r="T121" i="8"/>
  <c r="L99" i="5"/>
  <c r="L90" i="5"/>
  <c r="U121" i="8"/>
  <c r="O99" i="5"/>
  <c r="O90" i="5"/>
  <c r="V121" i="8"/>
  <c r="W121" i="8"/>
  <c r="X121" i="8"/>
  <c r="Y121" i="8"/>
  <c r="Z121" i="8"/>
  <c r="AD90" i="5"/>
  <c r="AA121" i="8"/>
  <c r="AG90" i="5"/>
  <c r="AB121" i="8"/>
  <c r="Y38" i="4"/>
  <c r="AJ90" i="5"/>
  <c r="AC121" i="8"/>
  <c r="C308" i="5"/>
  <c r="C138" i="5"/>
  <c r="R122" i="8"/>
  <c r="F308" i="5"/>
  <c r="F281" i="5"/>
  <c r="S122" i="8"/>
  <c r="I308" i="5"/>
  <c r="I281" i="5"/>
  <c r="T122" i="8"/>
  <c r="L308" i="5"/>
  <c r="L281" i="5"/>
  <c r="U122" i="8"/>
  <c r="O308" i="5"/>
  <c r="O281" i="5"/>
  <c r="V122" i="8"/>
  <c r="W122" i="8"/>
  <c r="X122" i="8"/>
  <c r="Y122" i="8"/>
  <c r="Z122" i="8"/>
  <c r="AD91" i="5"/>
  <c r="AA122" i="8"/>
  <c r="AG91" i="5"/>
  <c r="AB122" i="8"/>
  <c r="Y17" i="4"/>
  <c r="AJ91" i="5"/>
  <c r="AC122" i="8"/>
  <c r="C239" i="5"/>
  <c r="C139" i="5"/>
  <c r="R123" i="8"/>
  <c r="F239" i="5"/>
  <c r="S123" i="8"/>
  <c r="I239" i="5"/>
  <c r="T123" i="8"/>
  <c r="L239" i="5"/>
  <c r="U123" i="8"/>
  <c r="O239" i="5"/>
  <c r="V123" i="8"/>
  <c r="W123" i="8"/>
  <c r="X123" i="8"/>
  <c r="Y123" i="8"/>
  <c r="Z123" i="8"/>
  <c r="AD92" i="5"/>
  <c r="AA123" i="8"/>
  <c r="AG92" i="5"/>
  <c r="AB123" i="8"/>
  <c r="Y86" i="4"/>
  <c r="AJ92" i="5"/>
  <c r="AC123" i="8"/>
  <c r="C304" i="5"/>
  <c r="C261" i="5"/>
  <c r="C340" i="5"/>
  <c r="C140" i="5"/>
  <c r="C93" i="5"/>
  <c r="R124" i="8"/>
  <c r="F304" i="5"/>
  <c r="F261" i="5"/>
  <c r="F340" i="5"/>
  <c r="F93" i="5"/>
  <c r="S124" i="8"/>
  <c r="I304" i="5"/>
  <c r="I261" i="5"/>
  <c r="I93" i="5"/>
  <c r="T124" i="8"/>
  <c r="L304" i="5"/>
  <c r="L261" i="5"/>
  <c r="L340" i="5"/>
  <c r="L93" i="5"/>
  <c r="U124" i="8"/>
  <c r="O304" i="5"/>
  <c r="O261" i="5"/>
  <c r="O340" i="5"/>
  <c r="O93" i="5"/>
  <c r="V124" i="8"/>
  <c r="W124" i="8"/>
  <c r="X124" i="8"/>
  <c r="Y124" i="8"/>
  <c r="Z124" i="8"/>
  <c r="AD93" i="5"/>
  <c r="AA124" i="8"/>
  <c r="AG93" i="5"/>
  <c r="AB124" i="8"/>
  <c r="Y56" i="4"/>
  <c r="AJ93" i="5"/>
  <c r="AC124" i="8"/>
  <c r="C206" i="5"/>
  <c r="C320" i="5"/>
  <c r="C141" i="5"/>
  <c r="C94" i="5"/>
  <c r="R125" i="8"/>
  <c r="F206" i="5"/>
  <c r="F320" i="5"/>
  <c r="F94" i="5"/>
  <c r="S125" i="8"/>
  <c r="I206" i="5"/>
  <c r="I94" i="5"/>
  <c r="T125" i="8"/>
  <c r="L94" i="5"/>
  <c r="U125" i="8"/>
  <c r="O94" i="5"/>
  <c r="V125" i="8"/>
  <c r="W125" i="8"/>
  <c r="X125" i="8"/>
  <c r="Y125" i="8"/>
  <c r="Z125" i="8"/>
  <c r="AD94" i="5"/>
  <c r="AA125" i="8"/>
  <c r="AG94" i="5"/>
  <c r="AB125" i="8"/>
  <c r="Y60" i="4"/>
  <c r="AJ94" i="5"/>
  <c r="AC125" i="8"/>
  <c r="C213" i="5"/>
  <c r="R126" i="8"/>
  <c r="F213" i="5"/>
  <c r="S126" i="8"/>
  <c r="I213" i="5"/>
  <c r="T126" i="8"/>
  <c r="U126" i="8"/>
  <c r="V126" i="8"/>
  <c r="W126" i="8"/>
  <c r="X126" i="8"/>
  <c r="Y126" i="8"/>
  <c r="Z126" i="8"/>
  <c r="AD95" i="5"/>
  <c r="AA126" i="8"/>
  <c r="AG95" i="5"/>
  <c r="AB126" i="8"/>
  <c r="Y119" i="4"/>
  <c r="AJ95" i="5"/>
  <c r="AC126" i="8"/>
  <c r="C337" i="5"/>
  <c r="C142" i="5"/>
  <c r="R127" i="8"/>
  <c r="F337" i="5"/>
  <c r="S127" i="8"/>
  <c r="T127" i="8"/>
  <c r="L337" i="5"/>
  <c r="U127" i="8"/>
  <c r="O337" i="5"/>
  <c r="V127" i="8"/>
  <c r="W127" i="8"/>
  <c r="X127" i="8"/>
  <c r="Y127" i="8"/>
  <c r="Z127" i="8"/>
  <c r="AD96" i="5"/>
  <c r="AA127" i="8"/>
  <c r="AG96" i="5"/>
  <c r="AB127" i="8"/>
  <c r="Y28" i="4"/>
  <c r="AJ96" i="5"/>
  <c r="AC127" i="8"/>
  <c r="C290" i="5"/>
  <c r="C203" i="5"/>
  <c r="R128" i="8"/>
  <c r="F290" i="5"/>
  <c r="F203" i="5"/>
  <c r="S128" i="8"/>
  <c r="I290" i="5"/>
  <c r="I203" i="5"/>
  <c r="T128" i="8"/>
  <c r="U128" i="8"/>
  <c r="V128" i="8"/>
  <c r="W128" i="8"/>
  <c r="X128" i="8"/>
  <c r="Y128" i="8"/>
  <c r="Z128" i="8"/>
  <c r="AD97" i="5"/>
  <c r="AA128" i="8"/>
  <c r="AG97" i="5"/>
  <c r="AB128" i="8"/>
  <c r="Y19" i="4"/>
  <c r="AJ97" i="5"/>
  <c r="AC128" i="8"/>
  <c r="C287" i="5"/>
  <c r="C214" i="5"/>
  <c r="C98" i="5"/>
  <c r="R129" i="8"/>
  <c r="F287" i="5"/>
  <c r="F214" i="5"/>
  <c r="F98" i="5"/>
  <c r="S129" i="8"/>
  <c r="I287" i="5"/>
  <c r="I214" i="5"/>
  <c r="T129" i="8"/>
  <c r="L287" i="5"/>
  <c r="L98" i="5"/>
  <c r="U129" i="8"/>
  <c r="O287" i="5"/>
  <c r="O98" i="5"/>
  <c r="V129" i="8"/>
  <c r="W129" i="8"/>
  <c r="X129" i="8"/>
  <c r="Y129" i="8"/>
  <c r="Z129" i="8"/>
  <c r="AD98" i="5"/>
  <c r="AA129" i="8"/>
  <c r="AG98" i="5"/>
  <c r="AB129" i="8"/>
  <c r="Y39" i="4"/>
  <c r="AJ98" i="5"/>
  <c r="AC129" i="8"/>
  <c r="C204" i="5"/>
  <c r="R130" i="8"/>
  <c r="F204" i="5"/>
  <c r="S130" i="8"/>
  <c r="I204" i="5"/>
  <c r="T130" i="8"/>
  <c r="U130" i="8"/>
  <c r="V130" i="8"/>
  <c r="W130" i="8"/>
  <c r="X130" i="8"/>
  <c r="Y130" i="8"/>
  <c r="Z130" i="8"/>
  <c r="AD99" i="5"/>
  <c r="AA130" i="8"/>
  <c r="AG99" i="5"/>
  <c r="AB130" i="8"/>
  <c r="Y105" i="4"/>
  <c r="AJ99" i="5"/>
  <c r="AC130" i="8"/>
  <c r="C215" i="5"/>
  <c r="R131" i="8"/>
  <c r="F215" i="5"/>
  <c r="S131" i="8"/>
  <c r="I215" i="5"/>
  <c r="T131" i="8"/>
  <c r="U131" i="8"/>
  <c r="V131" i="8"/>
  <c r="W131" i="8"/>
  <c r="X131" i="8"/>
  <c r="Y131" i="8"/>
  <c r="Z131" i="8"/>
  <c r="AD100" i="5"/>
  <c r="AA131" i="8"/>
  <c r="AG100" i="5"/>
  <c r="AB131" i="8"/>
  <c r="Y109" i="4"/>
  <c r="AJ100" i="5"/>
  <c r="AC131" i="8"/>
  <c r="C338" i="5"/>
  <c r="C205" i="5"/>
  <c r="R132" i="8"/>
  <c r="F338" i="5"/>
  <c r="F205" i="5"/>
  <c r="S132" i="8"/>
  <c r="I205" i="5"/>
  <c r="T132" i="8"/>
  <c r="L338" i="5"/>
  <c r="U132" i="8"/>
  <c r="O338" i="5"/>
  <c r="V132" i="8"/>
  <c r="W132" i="8"/>
  <c r="X132" i="8"/>
  <c r="Y132" i="8"/>
  <c r="Z132" i="8"/>
  <c r="AD101" i="5"/>
  <c r="AA132" i="8"/>
  <c r="AG101" i="5"/>
  <c r="AB132" i="8"/>
  <c r="Y85" i="4"/>
  <c r="AJ101" i="5"/>
  <c r="AC132" i="8"/>
  <c r="R133" i="8"/>
  <c r="S133" i="8"/>
  <c r="T133" i="8"/>
  <c r="U133" i="8"/>
  <c r="V133" i="8"/>
  <c r="W133" i="8"/>
  <c r="X133" i="8"/>
  <c r="Y133" i="8"/>
  <c r="Z133" i="8"/>
  <c r="AD102" i="5"/>
  <c r="AA133" i="8"/>
  <c r="AG102" i="5"/>
  <c r="AB133" i="8"/>
  <c r="Y41" i="4"/>
  <c r="AJ102" i="5"/>
  <c r="AC133" i="8"/>
  <c r="C217" i="5"/>
  <c r="R134" i="8"/>
  <c r="F217" i="5"/>
  <c r="S134" i="8"/>
  <c r="I217" i="5"/>
  <c r="T134" i="8"/>
  <c r="U134" i="8"/>
  <c r="V134" i="8"/>
  <c r="W134" i="8"/>
  <c r="X134" i="8"/>
  <c r="Y134" i="8"/>
  <c r="Z134" i="8"/>
  <c r="AD103" i="5"/>
  <c r="AA134" i="8"/>
  <c r="AG103" i="5"/>
  <c r="AB134" i="8"/>
  <c r="Y71" i="4"/>
  <c r="AJ103" i="5"/>
  <c r="AC134" i="8"/>
  <c r="C291" i="5"/>
  <c r="C143" i="5"/>
  <c r="R135" i="8"/>
  <c r="F291" i="5"/>
  <c r="F143" i="5"/>
  <c r="S135" i="8"/>
  <c r="I143" i="5"/>
  <c r="T135" i="8"/>
  <c r="U135" i="8"/>
  <c r="V135" i="8"/>
  <c r="W135" i="8"/>
  <c r="X135" i="8"/>
  <c r="Y135" i="8"/>
  <c r="Z135" i="8"/>
  <c r="AD104" i="5"/>
  <c r="AA135" i="8"/>
  <c r="AG104" i="5"/>
  <c r="AB135" i="8"/>
  <c r="Y42" i="4"/>
  <c r="AJ104" i="5"/>
  <c r="AC135" i="8"/>
  <c r="C319" i="5"/>
  <c r="C218" i="5"/>
  <c r="R136" i="8"/>
  <c r="F319" i="5"/>
  <c r="F218" i="5"/>
  <c r="S136" i="8"/>
  <c r="I218" i="5"/>
  <c r="T136" i="8"/>
  <c r="L319" i="5"/>
  <c r="U136" i="8"/>
  <c r="O319" i="5"/>
  <c r="V136" i="8"/>
  <c r="W136" i="8"/>
  <c r="X136" i="8"/>
  <c r="Y136" i="8"/>
  <c r="Z136" i="8"/>
  <c r="AD105" i="5"/>
  <c r="AA136" i="8"/>
  <c r="AG105" i="5"/>
  <c r="AB136" i="8"/>
  <c r="Y33" i="2"/>
  <c r="Y25" i="4"/>
  <c r="AJ105" i="5"/>
  <c r="AC136" i="8"/>
  <c r="C288" i="5"/>
  <c r="C219" i="5"/>
  <c r="R137" i="8"/>
  <c r="F288" i="5"/>
  <c r="F219" i="5"/>
  <c r="S137" i="8"/>
  <c r="I288" i="5"/>
  <c r="I219" i="5"/>
  <c r="T137" i="8"/>
  <c r="U137" i="8"/>
  <c r="V137" i="8"/>
  <c r="W137" i="8"/>
  <c r="X137" i="8"/>
  <c r="Y137" i="8"/>
  <c r="Z137" i="8"/>
  <c r="AD106" i="5"/>
  <c r="AA137" i="8"/>
  <c r="AG106" i="5"/>
  <c r="AB137" i="8"/>
  <c r="Y27" i="4"/>
  <c r="AJ106" i="5"/>
  <c r="AC137" i="8"/>
  <c r="C359" i="5"/>
  <c r="C361" i="5"/>
  <c r="R138" i="8"/>
  <c r="F359" i="5"/>
  <c r="F361" i="5"/>
  <c r="S138" i="8"/>
  <c r="I361" i="5"/>
  <c r="T138" i="8"/>
  <c r="L361" i="5"/>
  <c r="U138" i="8"/>
  <c r="O361" i="5"/>
  <c r="V138" i="8"/>
  <c r="W138" i="8"/>
  <c r="X138" i="8"/>
  <c r="Y138" i="8"/>
  <c r="Z138" i="8"/>
  <c r="AD107" i="5"/>
  <c r="AA138" i="8"/>
  <c r="AG107" i="5"/>
  <c r="AB138" i="8"/>
  <c r="Y24" i="4"/>
  <c r="AJ107" i="5"/>
  <c r="AC138" i="8"/>
  <c r="C157" i="5"/>
  <c r="C264" i="5"/>
  <c r="C220" i="5"/>
  <c r="R139" i="8"/>
  <c r="F157" i="5"/>
  <c r="F264" i="5"/>
  <c r="F220" i="5"/>
  <c r="S139" i="8"/>
  <c r="I157" i="5"/>
  <c r="I264" i="5"/>
  <c r="I220" i="5"/>
  <c r="T139" i="8"/>
  <c r="L264" i="5"/>
  <c r="U139" i="8"/>
  <c r="O264" i="5"/>
  <c r="V139" i="8"/>
  <c r="W139" i="8"/>
  <c r="X139" i="8"/>
  <c r="Y139" i="8"/>
  <c r="Z139" i="8"/>
  <c r="AD108" i="5"/>
  <c r="AA139" i="8"/>
  <c r="AG108" i="5"/>
  <c r="AB139" i="8"/>
  <c r="Y31" i="4"/>
  <c r="AJ108" i="5"/>
  <c r="AC139" i="8"/>
  <c r="C195" i="5"/>
  <c r="C275" i="5"/>
  <c r="R140" i="8"/>
  <c r="F195" i="5"/>
  <c r="F275" i="5"/>
  <c r="S140" i="8"/>
  <c r="I195" i="5"/>
  <c r="I275" i="5"/>
  <c r="T140" i="8"/>
  <c r="L275" i="5"/>
  <c r="U140" i="8"/>
  <c r="O275" i="5"/>
  <c r="V140" i="8"/>
  <c r="W140" i="8"/>
  <c r="X140" i="8"/>
  <c r="Y140" i="8"/>
  <c r="Z140" i="8"/>
  <c r="AD109" i="5"/>
  <c r="AA140" i="8"/>
  <c r="AG109" i="5"/>
  <c r="AB140" i="8"/>
  <c r="Y3" i="4"/>
  <c r="AJ109" i="5"/>
  <c r="AC140" i="8"/>
  <c r="R141" i="8"/>
  <c r="S141" i="8"/>
  <c r="T141" i="8"/>
  <c r="U141" i="8"/>
  <c r="V141" i="8"/>
  <c r="W141" i="8"/>
  <c r="X141" i="8"/>
  <c r="Y141" i="8"/>
  <c r="Z141" i="8"/>
  <c r="AD110" i="5"/>
  <c r="AA141" i="8"/>
  <c r="AG110" i="5"/>
  <c r="AB141" i="8"/>
  <c r="Y16" i="4"/>
  <c r="AJ110" i="5"/>
  <c r="AC141" i="8"/>
  <c r="C149" i="5"/>
  <c r="C283" i="5"/>
  <c r="R8" i="8"/>
  <c r="F283" i="5"/>
  <c r="S8" i="8"/>
  <c r="T8" i="8"/>
  <c r="U8" i="8"/>
  <c r="V8" i="8"/>
  <c r="W8" i="8"/>
  <c r="X8" i="8"/>
  <c r="Y8" i="8"/>
  <c r="Z8" i="8"/>
  <c r="AD111" i="5"/>
  <c r="AA8" i="8"/>
  <c r="AG111" i="5"/>
  <c r="AB8" i="8"/>
  <c r="Y21" i="4"/>
  <c r="AJ111" i="5"/>
  <c r="AC8" i="8"/>
  <c r="R142" i="8"/>
  <c r="S142" i="8"/>
  <c r="T142" i="8"/>
  <c r="U142" i="8"/>
  <c r="V142" i="8"/>
  <c r="W142" i="8"/>
  <c r="X142" i="8"/>
  <c r="Y142" i="8"/>
  <c r="Z142" i="8"/>
  <c r="AD112" i="5"/>
  <c r="AA142" i="8"/>
  <c r="AG112" i="5"/>
  <c r="AB142" i="8"/>
  <c r="Y48" i="4"/>
  <c r="AJ112" i="5"/>
  <c r="AC142" i="8"/>
  <c r="C254" i="5"/>
  <c r="C144" i="5"/>
  <c r="R143" i="8"/>
  <c r="F254" i="5"/>
  <c r="F144" i="5"/>
  <c r="S143" i="8"/>
  <c r="I144" i="5"/>
  <c r="T143" i="8"/>
  <c r="L254" i="5"/>
  <c r="U143" i="8"/>
  <c r="O254" i="5"/>
  <c r="V143" i="8"/>
  <c r="W143" i="8"/>
  <c r="X143" i="8"/>
  <c r="Y143" i="8"/>
  <c r="Z143" i="8"/>
  <c r="AD113" i="5"/>
  <c r="AA143" i="8"/>
  <c r="AG113" i="5"/>
  <c r="AB143" i="8"/>
  <c r="Y23" i="4"/>
  <c r="AJ113" i="5"/>
  <c r="AC143" i="8"/>
  <c r="C294" i="5"/>
  <c r="R144" i="8"/>
  <c r="F294" i="5"/>
  <c r="S144" i="8"/>
  <c r="I294" i="5"/>
  <c r="T144" i="8"/>
  <c r="L294" i="5"/>
  <c r="U144" i="8"/>
  <c r="O294" i="5"/>
  <c r="V144" i="8"/>
  <c r="W144" i="8"/>
  <c r="X144" i="8"/>
  <c r="Y144" i="8"/>
  <c r="Z144" i="8"/>
  <c r="AD114" i="5"/>
  <c r="AA144" i="8"/>
  <c r="AG114" i="5"/>
  <c r="AB144" i="8"/>
  <c r="Y30" i="4"/>
  <c r="AJ114" i="5"/>
  <c r="AC144" i="8"/>
  <c r="C187" i="5"/>
  <c r="R145" i="8"/>
  <c r="S145" i="8"/>
  <c r="T145" i="8"/>
  <c r="U145" i="8"/>
  <c r="V145" i="8"/>
  <c r="W145" i="8"/>
  <c r="X145" i="8"/>
  <c r="Y145" i="8"/>
  <c r="Z145" i="8"/>
  <c r="AD115" i="5"/>
  <c r="AA145" i="8"/>
  <c r="AG115" i="5"/>
  <c r="AB145" i="8"/>
  <c r="Y18" i="4"/>
  <c r="AJ115" i="5"/>
  <c r="AC145" i="8"/>
  <c r="C221" i="5"/>
  <c r="R146" i="8"/>
  <c r="F221" i="5"/>
  <c r="S146" i="8"/>
  <c r="I221" i="5"/>
  <c r="T146" i="8"/>
  <c r="U146" i="8"/>
  <c r="V146" i="8"/>
  <c r="W146" i="8"/>
  <c r="X146" i="8"/>
  <c r="Y146" i="8"/>
  <c r="Z146" i="8"/>
  <c r="AD116" i="5"/>
  <c r="AA146" i="8"/>
  <c r="AG116" i="5"/>
  <c r="AB146" i="8"/>
  <c r="Y20" i="4"/>
  <c r="AJ116" i="5"/>
  <c r="AC146" i="8"/>
  <c r="C280" i="5"/>
  <c r="C145" i="5"/>
  <c r="R147" i="8"/>
  <c r="F280" i="5"/>
  <c r="S147" i="8"/>
  <c r="I280" i="5"/>
  <c r="T147" i="8"/>
  <c r="U147" i="8"/>
  <c r="V147" i="8"/>
  <c r="W147" i="8"/>
  <c r="X147" i="8"/>
  <c r="Y147" i="8"/>
  <c r="Z147" i="8"/>
  <c r="AD117" i="5"/>
  <c r="AA147" i="8"/>
  <c r="AG117" i="5"/>
  <c r="AB147" i="8"/>
  <c r="Y22" i="4"/>
  <c r="AJ117" i="5"/>
  <c r="AC147" i="8"/>
  <c r="C401" i="5"/>
  <c r="C286" i="5"/>
  <c r="C146" i="5"/>
  <c r="R148" i="8"/>
  <c r="F401" i="5"/>
  <c r="F286" i="5"/>
  <c r="S148" i="8"/>
  <c r="I401" i="5"/>
  <c r="I286" i="5"/>
  <c r="T148" i="8"/>
  <c r="L286" i="5"/>
  <c r="U148" i="8"/>
  <c r="O286" i="5"/>
  <c r="V148" i="8"/>
  <c r="W148" i="8"/>
  <c r="X148" i="8"/>
  <c r="Y148" i="8"/>
  <c r="Z148" i="8"/>
  <c r="AD118" i="5"/>
  <c r="AA148" i="8"/>
  <c r="AG118" i="5"/>
  <c r="AB148" i="8"/>
  <c r="Y26" i="4"/>
  <c r="AJ118" i="5"/>
  <c r="AC148" i="8"/>
  <c r="C295" i="5"/>
  <c r="R149" i="8"/>
  <c r="F295" i="5"/>
  <c r="S149" i="8"/>
  <c r="I295" i="5"/>
  <c r="T149" i="8"/>
  <c r="L295" i="5"/>
  <c r="U149" i="8"/>
  <c r="O295" i="5"/>
  <c r="V149" i="8"/>
  <c r="W149" i="8"/>
  <c r="X149" i="8"/>
  <c r="Y149" i="8"/>
  <c r="Z149" i="8"/>
  <c r="AD119" i="5"/>
  <c r="AA149" i="8"/>
  <c r="AG119" i="5"/>
  <c r="AB149" i="8"/>
  <c r="Y4" i="4"/>
  <c r="AJ119" i="5"/>
  <c r="AC149" i="8"/>
  <c r="C241" i="5"/>
  <c r="R150" i="8"/>
  <c r="F241" i="5"/>
  <c r="S150" i="8"/>
  <c r="I241" i="5"/>
  <c r="T150" i="8"/>
  <c r="U150" i="8"/>
  <c r="V150" i="8"/>
  <c r="W150" i="8"/>
  <c r="X150" i="8"/>
  <c r="Y150" i="8"/>
  <c r="Z150" i="8"/>
  <c r="AD120" i="5"/>
  <c r="AA150" i="8"/>
  <c r="AG120" i="5"/>
  <c r="AB150" i="8"/>
  <c r="Y34" i="4"/>
  <c r="AJ120" i="5"/>
  <c r="AC150" i="8"/>
  <c r="R9" i="8"/>
  <c r="S9" i="8"/>
  <c r="T9" i="8"/>
  <c r="U9" i="8"/>
  <c r="V9" i="8"/>
  <c r="W9" i="8"/>
  <c r="X9" i="8"/>
  <c r="Y9" i="8"/>
  <c r="Z9" i="8"/>
  <c r="AD121" i="5"/>
  <c r="AA9" i="8"/>
  <c r="AG121" i="5"/>
  <c r="AB9" i="8"/>
  <c r="Y49" i="4"/>
  <c r="AJ121" i="5"/>
  <c r="AC9" i="8"/>
  <c r="C332" i="5"/>
  <c r="R10" i="8"/>
  <c r="F332" i="5"/>
  <c r="S10" i="8"/>
  <c r="T10" i="8"/>
  <c r="L332" i="5"/>
  <c r="U10" i="8"/>
  <c r="O332" i="5"/>
  <c r="V10" i="8"/>
  <c r="W10" i="8"/>
  <c r="X10" i="8"/>
  <c r="Y10" i="8"/>
  <c r="Z10" i="8"/>
  <c r="AD122" i="5"/>
  <c r="AA10" i="8"/>
  <c r="AG122" i="5"/>
  <c r="AB10" i="8"/>
  <c r="Y29" i="4"/>
  <c r="AJ122" i="5"/>
  <c r="AC10" i="8"/>
  <c r="C209" i="5"/>
  <c r="R11" i="8"/>
  <c r="F209" i="5"/>
  <c r="S11" i="8"/>
  <c r="I209" i="5"/>
  <c r="T11" i="8"/>
  <c r="U11" i="8"/>
  <c r="V11" i="8"/>
  <c r="W11" i="8"/>
  <c r="X11" i="8"/>
  <c r="Y11" i="8"/>
  <c r="Z11" i="8"/>
  <c r="AD123" i="5"/>
  <c r="AA11" i="8"/>
  <c r="AG123" i="5"/>
  <c r="AB11" i="8"/>
  <c r="Y46" i="4"/>
  <c r="AJ123" i="5"/>
  <c r="AC11" i="8"/>
  <c r="C315" i="5"/>
  <c r="C305" i="5"/>
  <c r="R151" i="8"/>
  <c r="F315" i="5"/>
  <c r="F305" i="5"/>
  <c r="S151" i="8"/>
  <c r="I305" i="5"/>
  <c r="T151" i="8"/>
  <c r="L315" i="5"/>
  <c r="L305" i="5"/>
  <c r="U151" i="8"/>
  <c r="O315" i="5"/>
  <c r="O305" i="5"/>
  <c r="V151" i="8"/>
  <c r="W151" i="8"/>
  <c r="X151" i="8"/>
  <c r="Y151" i="8"/>
  <c r="Z151" i="8"/>
  <c r="AA151" i="8"/>
  <c r="AB151" i="8"/>
  <c r="AC151" i="8"/>
  <c r="C284" i="5"/>
  <c r="C335" i="5"/>
  <c r="R152" i="8"/>
  <c r="F284" i="5"/>
  <c r="F335" i="5"/>
  <c r="S152" i="8"/>
  <c r="I284" i="5"/>
  <c r="I335" i="5"/>
  <c r="T152" i="8"/>
  <c r="L284" i="5"/>
  <c r="L335" i="5"/>
  <c r="U152" i="8"/>
  <c r="O284" i="5"/>
  <c r="O335" i="5"/>
  <c r="V152" i="8"/>
  <c r="W152" i="8"/>
  <c r="X152" i="8"/>
  <c r="Y152" i="8"/>
  <c r="Z152" i="8"/>
  <c r="AA152" i="8"/>
  <c r="AB152" i="8"/>
  <c r="AC152" i="8"/>
  <c r="C285" i="5"/>
  <c r="C210" i="5"/>
  <c r="R153" i="8"/>
  <c r="F285" i="5"/>
  <c r="F210" i="5"/>
  <c r="S153" i="8"/>
  <c r="I285" i="5"/>
  <c r="I210" i="5"/>
  <c r="T153" i="8"/>
  <c r="L285" i="5"/>
  <c r="U153" i="8"/>
  <c r="O285" i="5"/>
  <c r="V153" i="8"/>
  <c r="W153" i="8"/>
  <c r="X153" i="8"/>
  <c r="Y153" i="8"/>
  <c r="Z153" i="8"/>
  <c r="AA153" i="8"/>
  <c r="AB153" i="8"/>
  <c r="AC153" i="8"/>
  <c r="C223" i="5"/>
  <c r="C279" i="5"/>
  <c r="C150" i="5"/>
  <c r="R154" i="8"/>
  <c r="F223" i="5"/>
  <c r="F279" i="5"/>
  <c r="F150" i="5"/>
  <c r="S154" i="8"/>
  <c r="I223" i="5"/>
  <c r="I279" i="5"/>
  <c r="I150" i="5"/>
  <c r="T154" i="8"/>
  <c r="L279" i="5"/>
  <c r="U154" i="8"/>
  <c r="O279" i="5"/>
  <c r="V154" i="8"/>
  <c r="W154" i="8"/>
  <c r="X154" i="8"/>
  <c r="Y154" i="8"/>
  <c r="Z154" i="8"/>
  <c r="AA154" i="8"/>
  <c r="AB154" i="8"/>
  <c r="AC154" i="8"/>
  <c r="C268" i="5"/>
  <c r="R155" i="8"/>
  <c r="F268" i="5"/>
  <c r="S155" i="8"/>
  <c r="I268" i="5"/>
  <c r="T155" i="8"/>
  <c r="L268" i="5"/>
  <c r="U155" i="8"/>
  <c r="O268" i="5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C371" i="5"/>
  <c r="R157" i="8"/>
  <c r="F371" i="5"/>
  <c r="S157" i="8"/>
  <c r="T157" i="8"/>
  <c r="L371" i="5"/>
  <c r="U157" i="8"/>
  <c r="O371" i="5"/>
  <c r="V157" i="8"/>
  <c r="W157" i="8"/>
  <c r="X157" i="8"/>
  <c r="Y157" i="8"/>
  <c r="Z157" i="8"/>
  <c r="AA157" i="8"/>
  <c r="AB157" i="8"/>
  <c r="AC157" i="8"/>
  <c r="C171" i="5"/>
  <c r="C394" i="5"/>
  <c r="R158" i="8"/>
  <c r="F171" i="5"/>
  <c r="F394" i="5"/>
  <c r="S158" i="8"/>
  <c r="I171" i="5"/>
  <c r="I394" i="5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C178" i="5"/>
  <c r="R161" i="8"/>
  <c r="F178" i="5"/>
  <c r="S161" i="8"/>
  <c r="I178" i="5"/>
  <c r="T161" i="8"/>
  <c r="L178" i="5"/>
  <c r="U161" i="8"/>
  <c r="O178" i="5"/>
  <c r="V161" i="8"/>
  <c r="W161" i="8"/>
  <c r="X161" i="8"/>
  <c r="Y161" i="8"/>
  <c r="Z161" i="8"/>
  <c r="AA161" i="8"/>
  <c r="AB161" i="8"/>
  <c r="AC161" i="8"/>
  <c r="C358" i="5"/>
  <c r="C318" i="5"/>
  <c r="R162" i="8"/>
  <c r="F358" i="5"/>
  <c r="F318" i="5"/>
  <c r="S162" i="8"/>
  <c r="I318" i="5"/>
  <c r="T162" i="8"/>
  <c r="L358" i="5"/>
  <c r="L318" i="5"/>
  <c r="U162" i="8"/>
  <c r="O358" i="5"/>
  <c r="O318" i="5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C397" i="5"/>
  <c r="R164" i="8"/>
  <c r="F397" i="5"/>
  <c r="S164" i="8"/>
  <c r="I397" i="5"/>
  <c r="T164" i="8"/>
  <c r="U164" i="8"/>
  <c r="V164" i="8"/>
  <c r="W164" i="8"/>
  <c r="X164" i="8"/>
  <c r="Y164" i="8"/>
  <c r="Z164" i="8"/>
  <c r="AA164" i="8"/>
  <c r="AB164" i="8"/>
  <c r="AC164" i="8"/>
  <c r="C237" i="5"/>
  <c r="C398" i="5"/>
  <c r="R165" i="8"/>
  <c r="F237" i="5"/>
  <c r="F398" i="5"/>
  <c r="S165" i="8"/>
  <c r="I398" i="5"/>
  <c r="T165" i="8"/>
  <c r="U165" i="8"/>
  <c r="V165" i="8"/>
  <c r="W165" i="8"/>
  <c r="X165" i="8"/>
  <c r="Y165" i="8"/>
  <c r="Z165" i="8"/>
  <c r="AA165" i="8"/>
  <c r="AB165" i="8"/>
  <c r="AC165" i="8"/>
  <c r="C399" i="5"/>
  <c r="R166" i="8"/>
  <c r="F399" i="5"/>
  <c r="S166" i="8"/>
  <c r="I399" i="5"/>
  <c r="T166" i="8"/>
  <c r="U166" i="8"/>
  <c r="V166" i="8"/>
  <c r="W166" i="8"/>
  <c r="X166" i="8"/>
  <c r="Y166" i="8"/>
  <c r="Z166" i="8"/>
  <c r="AA166" i="8"/>
  <c r="AB166" i="8"/>
  <c r="AC166" i="8"/>
  <c r="C400" i="5"/>
  <c r="R167" i="8"/>
  <c r="F400" i="5"/>
  <c r="S167" i="8"/>
  <c r="I400" i="5"/>
  <c r="T167" i="8"/>
  <c r="U167" i="8"/>
  <c r="V167" i="8"/>
  <c r="W167" i="8"/>
  <c r="X167" i="8"/>
  <c r="Y167" i="8"/>
  <c r="Z167" i="8"/>
  <c r="AA167" i="8"/>
  <c r="AB167" i="8"/>
  <c r="AC167" i="8"/>
  <c r="C317" i="5"/>
  <c r="R168" i="8"/>
  <c r="S168" i="8"/>
  <c r="T168" i="8"/>
  <c r="U168" i="8"/>
  <c r="V168" i="8"/>
  <c r="W168" i="8"/>
  <c r="X168" i="8"/>
  <c r="Y168" i="8"/>
  <c r="Z168" i="8"/>
  <c r="AA168" i="8"/>
  <c r="AB168" i="8"/>
  <c r="AC168" i="8"/>
  <c r="C272" i="5"/>
  <c r="C402" i="5"/>
  <c r="R169" i="8"/>
  <c r="F317" i="5"/>
  <c r="F272" i="5"/>
  <c r="F402" i="5"/>
  <c r="S169" i="8"/>
  <c r="I317" i="5"/>
  <c r="I272" i="5"/>
  <c r="I402" i="5"/>
  <c r="T169" i="8"/>
  <c r="L272" i="5"/>
  <c r="U169" i="8"/>
  <c r="O272" i="5"/>
  <c r="V169" i="8"/>
  <c r="W169" i="8"/>
  <c r="X169" i="8"/>
  <c r="Y169" i="8"/>
  <c r="Z169" i="8"/>
  <c r="AA169" i="8"/>
  <c r="AB169" i="8"/>
  <c r="AC169" i="8"/>
  <c r="C334" i="5"/>
  <c r="R170" i="8"/>
  <c r="F334" i="5"/>
  <c r="S170" i="8"/>
  <c r="T170" i="8"/>
  <c r="L334" i="5"/>
  <c r="U170" i="8"/>
  <c r="O334" i="5"/>
  <c r="V170" i="8"/>
  <c r="W170" i="8"/>
  <c r="X170" i="8"/>
  <c r="Y170" i="8"/>
  <c r="Z170" i="8"/>
  <c r="AA170" i="8"/>
  <c r="AB170" i="8"/>
  <c r="AC170" i="8"/>
  <c r="C403" i="5"/>
  <c r="R171" i="8"/>
  <c r="F403" i="5"/>
  <c r="S171" i="8"/>
  <c r="I403" i="5"/>
  <c r="T171" i="8"/>
  <c r="U171" i="8"/>
  <c r="V171" i="8"/>
  <c r="W171" i="8"/>
  <c r="X171" i="8"/>
  <c r="Y171" i="8"/>
  <c r="Z171" i="8"/>
  <c r="AA171" i="8"/>
  <c r="AB171" i="8"/>
  <c r="AC171" i="8"/>
  <c r="C170" i="5"/>
  <c r="C273" i="5"/>
  <c r="C154" i="5"/>
  <c r="R172" i="8"/>
  <c r="F170" i="5"/>
  <c r="F273" i="5"/>
  <c r="F154" i="5"/>
  <c r="S172" i="8"/>
  <c r="I273" i="5"/>
  <c r="I154" i="5"/>
  <c r="T172" i="8"/>
  <c r="L170" i="5"/>
  <c r="L273" i="5"/>
  <c r="U172" i="8"/>
  <c r="O170" i="5"/>
  <c r="O273" i="5"/>
  <c r="V172" i="8"/>
  <c r="W172" i="8"/>
  <c r="X172" i="8"/>
  <c r="Y172" i="8"/>
  <c r="Z172" i="8"/>
  <c r="AA172" i="8"/>
  <c r="AB172" i="8"/>
  <c r="AC172" i="8"/>
  <c r="C188" i="5"/>
  <c r="R12" i="8"/>
  <c r="F188" i="5"/>
  <c r="S12" i="8"/>
  <c r="I188" i="5"/>
  <c r="T12" i="8"/>
  <c r="U12" i="8"/>
  <c r="V12" i="8"/>
  <c r="W12" i="8"/>
  <c r="X12" i="8"/>
  <c r="Y12" i="8"/>
  <c r="Z12" i="8"/>
  <c r="AA12" i="8"/>
  <c r="AB12" i="8"/>
  <c r="AC12" i="8"/>
  <c r="C189" i="5"/>
  <c r="R173" i="8"/>
  <c r="F189" i="5"/>
  <c r="S173" i="8"/>
  <c r="I189" i="5"/>
  <c r="T173" i="8"/>
  <c r="U173" i="8"/>
  <c r="V173" i="8"/>
  <c r="W173" i="8"/>
  <c r="X173" i="8"/>
  <c r="Y173" i="8"/>
  <c r="Z173" i="8"/>
  <c r="AA173" i="8"/>
  <c r="AB173" i="8"/>
  <c r="AC173" i="8"/>
  <c r="C360" i="5"/>
  <c r="C155" i="5"/>
  <c r="R174" i="8"/>
  <c r="F360" i="5"/>
  <c r="F155" i="5"/>
  <c r="S174" i="8"/>
  <c r="I155" i="5"/>
  <c r="T174" i="8"/>
  <c r="L360" i="5"/>
  <c r="U174" i="8"/>
  <c r="O360" i="5"/>
  <c r="V174" i="8"/>
  <c r="W174" i="8"/>
  <c r="X174" i="8"/>
  <c r="Y174" i="8"/>
  <c r="Z174" i="8"/>
  <c r="AA174" i="8"/>
  <c r="AB174" i="8"/>
  <c r="AC174" i="8"/>
  <c r="C289" i="5"/>
  <c r="R175" i="8"/>
  <c r="F289" i="5"/>
  <c r="S175" i="8"/>
  <c r="I289" i="5"/>
  <c r="T175" i="8"/>
  <c r="L289" i="5"/>
  <c r="U175" i="8"/>
  <c r="O289" i="5"/>
  <c r="V175" i="8"/>
  <c r="W175" i="8"/>
  <c r="X175" i="8"/>
  <c r="Y175" i="8"/>
  <c r="Z175" i="8"/>
  <c r="AA175" i="8"/>
  <c r="AB175" i="8"/>
  <c r="AC175" i="8"/>
  <c r="C190" i="5"/>
  <c r="R176" i="8"/>
  <c r="F190" i="5"/>
  <c r="S176" i="8"/>
  <c r="I190" i="5"/>
  <c r="T176" i="8"/>
  <c r="U176" i="8"/>
  <c r="V176" i="8"/>
  <c r="W176" i="8"/>
  <c r="X176" i="8"/>
  <c r="Y176" i="8"/>
  <c r="Z176" i="8"/>
  <c r="AA176" i="8"/>
  <c r="AB176" i="8"/>
  <c r="AC176" i="8"/>
  <c r="C271" i="5"/>
  <c r="C302" i="5"/>
  <c r="C262" i="5"/>
  <c r="C191" i="5"/>
  <c r="R177" i="8"/>
  <c r="F302" i="5"/>
  <c r="F262" i="5"/>
  <c r="F191" i="5"/>
  <c r="S177" i="8"/>
  <c r="I302" i="5"/>
  <c r="I262" i="5"/>
  <c r="I191" i="5"/>
  <c r="T177" i="8"/>
  <c r="L302" i="5"/>
  <c r="L262" i="5"/>
  <c r="U177" i="8"/>
  <c r="O302" i="5"/>
  <c r="O262" i="5"/>
  <c r="V177" i="8"/>
  <c r="W177" i="8"/>
  <c r="X177" i="8"/>
  <c r="Y177" i="8"/>
  <c r="Z177" i="8"/>
  <c r="AA177" i="8"/>
  <c r="AB177" i="8"/>
  <c r="AC177" i="8"/>
  <c r="C212" i="5"/>
  <c r="C192" i="5"/>
  <c r="R178" i="8"/>
  <c r="F271" i="5"/>
  <c r="F212" i="5"/>
  <c r="F192" i="5"/>
  <c r="S178" i="8"/>
  <c r="I271" i="5"/>
  <c r="I212" i="5"/>
  <c r="I192" i="5"/>
  <c r="T178" i="8"/>
  <c r="L271" i="5"/>
  <c r="U178" i="8"/>
  <c r="O271" i="5"/>
  <c r="V178" i="8"/>
  <c r="W178" i="8"/>
  <c r="X178" i="8"/>
  <c r="Y178" i="8"/>
  <c r="Z178" i="8"/>
  <c r="AA178" i="8"/>
  <c r="AB178" i="8"/>
  <c r="AC178" i="8"/>
  <c r="C193" i="5"/>
  <c r="R179" i="8"/>
  <c r="F193" i="5"/>
  <c r="S179" i="8"/>
  <c r="I193" i="5"/>
  <c r="T179" i="8"/>
  <c r="U179" i="8"/>
  <c r="V179" i="8"/>
  <c r="W179" i="8"/>
  <c r="X179" i="8"/>
  <c r="Y179" i="8"/>
  <c r="Z179" i="8"/>
  <c r="AA179" i="8"/>
  <c r="AB179" i="8"/>
  <c r="AC179" i="8"/>
  <c r="C240" i="5"/>
  <c r="R180" i="8"/>
  <c r="F240" i="5"/>
  <c r="S180" i="8"/>
  <c r="T180" i="8"/>
  <c r="L240" i="5"/>
  <c r="U180" i="8"/>
  <c r="O240" i="5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C183" i="5"/>
  <c r="C194" i="5"/>
  <c r="R182" i="8"/>
  <c r="F183" i="5"/>
  <c r="F194" i="5"/>
  <c r="S182" i="8"/>
  <c r="I183" i="5"/>
  <c r="I194" i="5"/>
  <c r="T182" i="8"/>
  <c r="L183" i="5"/>
  <c r="U182" i="8"/>
  <c r="O183" i="5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C196" i="5"/>
  <c r="C158" i="5"/>
  <c r="R183" i="8"/>
  <c r="F196" i="5"/>
  <c r="S183" i="8"/>
  <c r="I196" i="5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C198" i="5"/>
  <c r="R186" i="8"/>
  <c r="F198" i="5"/>
  <c r="S186" i="8"/>
  <c r="I198" i="5"/>
  <c r="T186" i="8"/>
  <c r="U186" i="8"/>
  <c r="V186" i="8"/>
  <c r="W186" i="8"/>
  <c r="X186" i="8"/>
  <c r="Y186" i="8"/>
  <c r="Z186" i="8"/>
  <c r="AD161" i="5"/>
  <c r="AA186" i="8"/>
  <c r="AG161" i="5"/>
  <c r="AB186" i="8"/>
  <c r="Y32" i="4"/>
  <c r="AJ161" i="5"/>
  <c r="AC186" i="8"/>
  <c r="R187" i="8"/>
  <c r="S187" i="8"/>
  <c r="T187" i="8"/>
  <c r="U187" i="8"/>
  <c r="V187" i="8"/>
  <c r="W187" i="8"/>
  <c r="X187" i="8"/>
  <c r="Y187" i="8"/>
  <c r="Z187" i="8"/>
  <c r="AD162" i="5"/>
  <c r="AA187" i="8"/>
  <c r="AG162" i="5"/>
  <c r="AB187" i="8"/>
  <c r="Y50" i="4"/>
  <c r="AJ162" i="5"/>
  <c r="AC187" i="8"/>
  <c r="C163" i="5"/>
  <c r="R188" i="8"/>
  <c r="F163" i="5"/>
  <c r="S188" i="8"/>
  <c r="I163" i="5"/>
  <c r="T188" i="8"/>
  <c r="L163" i="5"/>
  <c r="U188" i="8"/>
  <c r="O163" i="5"/>
  <c r="V188" i="8"/>
  <c r="W188" i="8"/>
  <c r="X188" i="8"/>
  <c r="Y188" i="8"/>
  <c r="Z188" i="8"/>
  <c r="AD163" i="5"/>
  <c r="AA188" i="8"/>
  <c r="AG163" i="5"/>
  <c r="AB188" i="8"/>
  <c r="Y70" i="4"/>
  <c r="AJ163" i="5"/>
  <c r="AC188" i="8"/>
  <c r="R189" i="8"/>
  <c r="S189" i="8"/>
  <c r="T189" i="8"/>
  <c r="U189" i="8"/>
  <c r="V189" i="8"/>
  <c r="W189" i="8"/>
  <c r="X189" i="8"/>
  <c r="Y189" i="8"/>
  <c r="Z189" i="8"/>
  <c r="U2" i="4" a="1"/>
  <c r="U2" i="4"/>
  <c r="AD164" i="5"/>
  <c r="AA189" i="8"/>
  <c r="AG164" i="5"/>
  <c r="AB189" i="8"/>
  <c r="Y2" i="4"/>
  <c r="AJ164" i="5"/>
  <c r="AC189" i="8"/>
  <c r="C369" i="5"/>
  <c r="R190" i="8"/>
  <c r="F369" i="5"/>
  <c r="S190" i="8"/>
  <c r="I369" i="5"/>
  <c r="T190" i="8"/>
  <c r="L369" i="5"/>
  <c r="U190" i="8"/>
  <c r="O369" i="5"/>
  <c r="V190" i="8"/>
  <c r="W190" i="8"/>
  <c r="X190" i="8"/>
  <c r="Y190" i="8"/>
  <c r="Z190" i="8"/>
  <c r="AD165" i="5"/>
  <c r="AA190" i="8"/>
  <c r="AG165" i="5"/>
  <c r="AB190" i="8"/>
  <c r="Y33" i="4"/>
  <c r="AJ165" i="5"/>
  <c r="AC190" i="8"/>
  <c r="R191" i="8"/>
  <c r="S191" i="8"/>
  <c r="T191" i="8"/>
  <c r="L370" i="5"/>
  <c r="U191" i="8"/>
  <c r="O370" i="5"/>
  <c r="V191" i="8"/>
  <c r="W191" i="8"/>
  <c r="X191" i="8"/>
  <c r="Y191" i="8"/>
  <c r="Z191" i="8"/>
  <c r="AD166" i="5"/>
  <c r="AA191" i="8"/>
  <c r="AG166" i="5"/>
  <c r="AB191" i="8"/>
  <c r="Y35" i="4"/>
  <c r="AJ166" i="5"/>
  <c r="AC191" i="8"/>
  <c r="R192" i="8"/>
  <c r="S192" i="8"/>
  <c r="T192" i="8"/>
  <c r="U192" i="8"/>
  <c r="V192" i="8"/>
  <c r="W192" i="8"/>
  <c r="X192" i="8"/>
  <c r="Y192" i="8"/>
  <c r="Z192" i="8"/>
  <c r="AD167" i="5"/>
  <c r="AA192" i="8"/>
  <c r="AG167" i="5"/>
  <c r="AB192" i="8"/>
  <c r="Y36" i="4"/>
  <c r="AJ167" i="5"/>
  <c r="AC192" i="8"/>
  <c r="R193" i="8"/>
  <c r="S193" i="8"/>
  <c r="T193" i="8"/>
  <c r="U193" i="8"/>
  <c r="V193" i="8"/>
  <c r="W193" i="8"/>
  <c r="X193" i="8"/>
  <c r="Y193" i="8"/>
  <c r="Z193" i="8"/>
  <c r="AD168" i="5"/>
  <c r="AA193" i="8"/>
  <c r="AG168" i="5"/>
  <c r="AB193" i="8"/>
  <c r="Y37" i="4"/>
  <c r="AJ168" i="5"/>
  <c r="AC193" i="8"/>
  <c r="R194" i="8"/>
  <c r="S194" i="8"/>
  <c r="T194" i="8"/>
  <c r="U194" i="8"/>
  <c r="V194" i="8"/>
  <c r="W194" i="8"/>
  <c r="X194" i="8"/>
  <c r="Y194" i="8"/>
  <c r="Z194" i="8"/>
  <c r="AD169" i="5"/>
  <c r="AA194" i="8"/>
  <c r="AG169" i="5"/>
  <c r="AB194" i="8"/>
  <c r="Y18" i="2"/>
  <c r="Y202" i="4"/>
  <c r="AJ169" i="5"/>
  <c r="AC194" i="8"/>
  <c r="C333" i="5"/>
  <c r="C251" i="5"/>
  <c r="R14" i="8"/>
  <c r="F333" i="5"/>
  <c r="F251" i="5"/>
  <c r="S14" i="8"/>
  <c r="I251" i="5"/>
  <c r="T14" i="8"/>
  <c r="L333" i="5"/>
  <c r="L251" i="5"/>
  <c r="U14" i="8"/>
  <c r="O333" i="5"/>
  <c r="O251" i="5"/>
  <c r="V14" i="8"/>
  <c r="W14" i="8"/>
  <c r="X14" i="8"/>
  <c r="Y14" i="8"/>
  <c r="Z14" i="8"/>
  <c r="AD170" i="5"/>
  <c r="AA14" i="8"/>
  <c r="AG170" i="5"/>
  <c r="AB14" i="8"/>
  <c r="Y246" i="4"/>
  <c r="AJ170" i="5"/>
  <c r="AC14" i="8"/>
  <c r="C233" i="5"/>
  <c r="R195" i="8"/>
  <c r="F233" i="5"/>
  <c r="S195" i="8"/>
  <c r="I233" i="5"/>
  <c r="T195" i="8"/>
  <c r="L233" i="5"/>
  <c r="U195" i="8"/>
  <c r="O233" i="5"/>
  <c r="V195" i="8"/>
  <c r="W195" i="8"/>
  <c r="X195" i="8"/>
  <c r="Y195" i="8"/>
  <c r="Z195" i="8"/>
  <c r="AD171" i="5"/>
  <c r="AA195" i="8"/>
  <c r="AG171" i="5"/>
  <c r="AB195" i="8"/>
  <c r="Y277" i="4"/>
  <c r="AJ171" i="5"/>
  <c r="AC195" i="8"/>
  <c r="C301" i="5"/>
  <c r="R196" i="8"/>
  <c r="F301" i="5"/>
  <c r="S196" i="8"/>
  <c r="I301" i="5"/>
  <c r="T196" i="8"/>
  <c r="L301" i="5"/>
  <c r="U196" i="8"/>
  <c r="O301" i="5"/>
  <c r="V196" i="8"/>
  <c r="W196" i="8"/>
  <c r="X196" i="8"/>
  <c r="Y196" i="8"/>
  <c r="Z196" i="8"/>
  <c r="AD172" i="5"/>
  <c r="AA196" i="8"/>
  <c r="AG172" i="5"/>
  <c r="AB196" i="8"/>
  <c r="Y289" i="4"/>
  <c r="AJ172" i="5"/>
  <c r="AC196" i="8"/>
  <c r="R197" i="8"/>
  <c r="S197" i="8"/>
  <c r="T197" i="8"/>
  <c r="U197" i="8"/>
  <c r="V197" i="8"/>
  <c r="W197" i="8"/>
  <c r="X197" i="8"/>
  <c r="Y197" i="8"/>
  <c r="Z197" i="8"/>
  <c r="AD173" i="5"/>
  <c r="AA197" i="8"/>
  <c r="AG173" i="5"/>
  <c r="AB197" i="8"/>
  <c r="Y286" i="4"/>
  <c r="AJ173" i="5"/>
  <c r="AC197" i="8"/>
  <c r="C182" i="5"/>
  <c r="R198" i="8"/>
  <c r="F182" i="5"/>
  <c r="S198" i="8"/>
  <c r="I182" i="5"/>
  <c r="T198" i="8"/>
  <c r="L182" i="5"/>
  <c r="U198" i="8"/>
  <c r="O182" i="5"/>
  <c r="V198" i="8"/>
  <c r="W198" i="8"/>
  <c r="X198" i="8"/>
  <c r="Y198" i="8"/>
  <c r="Z198" i="8"/>
  <c r="AD174" i="5"/>
  <c r="AA198" i="8"/>
  <c r="AG174" i="5"/>
  <c r="AB198" i="8"/>
  <c r="Y279" i="4"/>
  <c r="AJ174" i="5"/>
  <c r="AC198" i="8"/>
  <c r="C313" i="5"/>
  <c r="R199" i="8"/>
  <c r="F313" i="5"/>
  <c r="S199" i="8"/>
  <c r="I313" i="5"/>
  <c r="T199" i="8"/>
  <c r="L313" i="5"/>
  <c r="U199" i="8"/>
  <c r="O313" i="5"/>
  <c r="V199" i="8"/>
  <c r="W199" i="8"/>
  <c r="X199" i="8"/>
  <c r="Y199" i="8"/>
  <c r="Z199" i="8"/>
  <c r="AD175" i="5"/>
  <c r="AA199" i="8"/>
  <c r="AG175" i="5"/>
  <c r="AB199" i="8"/>
  <c r="Y194" i="4"/>
  <c r="AJ175" i="5"/>
  <c r="AC199" i="8"/>
  <c r="R200" i="8"/>
  <c r="S200" i="8"/>
  <c r="T200" i="8"/>
  <c r="U200" i="8"/>
  <c r="V200" i="8"/>
  <c r="W200" i="8"/>
  <c r="X200" i="8"/>
  <c r="Y200" i="8"/>
  <c r="Z200" i="8"/>
  <c r="AD176" i="5"/>
  <c r="AA200" i="8"/>
  <c r="AG176" i="5"/>
  <c r="AB200" i="8"/>
  <c r="Y287" i="4"/>
  <c r="AJ176" i="5"/>
  <c r="AC200" i="8"/>
  <c r="C244" i="5"/>
  <c r="C372" i="5"/>
  <c r="R201" i="8"/>
  <c r="F244" i="5"/>
  <c r="F372" i="5"/>
  <c r="S201" i="8"/>
  <c r="I244" i="5"/>
  <c r="I372" i="5"/>
  <c r="T201" i="8"/>
  <c r="L244" i="5"/>
  <c r="L372" i="5"/>
  <c r="U201" i="8"/>
  <c r="O244" i="5"/>
  <c r="O372" i="5"/>
  <c r="V201" i="8"/>
  <c r="W201" i="8"/>
  <c r="X201" i="8"/>
  <c r="Y201" i="8"/>
  <c r="Z201" i="8"/>
  <c r="AD177" i="5"/>
  <c r="AA201" i="8"/>
  <c r="AG177" i="5"/>
  <c r="AB201" i="8"/>
  <c r="Y233" i="4"/>
  <c r="AJ177" i="5"/>
  <c r="AC201" i="8"/>
  <c r="C245" i="5"/>
  <c r="C234" i="5"/>
  <c r="R15" i="8"/>
  <c r="F245" i="5"/>
  <c r="F234" i="5"/>
  <c r="S15" i="8"/>
  <c r="I245" i="5"/>
  <c r="I234" i="5"/>
  <c r="T15" i="8"/>
  <c r="U15" i="8"/>
  <c r="V15" i="8"/>
  <c r="W15" i="8"/>
  <c r="X15" i="8"/>
  <c r="Y15" i="8"/>
  <c r="Z15" i="8"/>
  <c r="AD178" i="5"/>
  <c r="AA15" i="8"/>
  <c r="AG178" i="5"/>
  <c r="AB15" i="8"/>
  <c r="Y36" i="2"/>
  <c r="Y150" i="4"/>
  <c r="AJ178" i="5"/>
  <c r="AC15" i="8"/>
  <c r="C246" i="5"/>
  <c r="R202" i="8"/>
  <c r="F246" i="5"/>
  <c r="S202" i="8"/>
  <c r="I246" i="5"/>
  <c r="T202" i="8"/>
  <c r="L246" i="5"/>
  <c r="U202" i="8"/>
  <c r="O246" i="5"/>
  <c r="V202" i="8"/>
  <c r="W202" i="8"/>
  <c r="X202" i="8"/>
  <c r="Y202" i="8"/>
  <c r="Z202" i="8"/>
  <c r="AD179" i="5"/>
  <c r="AA202" i="8"/>
  <c r="AG179" i="5"/>
  <c r="AB202" i="8"/>
  <c r="Y149" i="4"/>
  <c r="AJ179" i="5"/>
  <c r="AC202" i="8"/>
  <c r="C235" i="5"/>
  <c r="R203" i="8"/>
  <c r="F235" i="5"/>
  <c r="S203" i="8"/>
  <c r="I235" i="5"/>
  <c r="T203" i="8"/>
  <c r="L235" i="5"/>
  <c r="U203" i="8"/>
  <c r="O235" i="5"/>
  <c r="V203" i="8"/>
  <c r="W203" i="8"/>
  <c r="X203" i="8"/>
  <c r="Y203" i="8"/>
  <c r="Z203" i="8"/>
  <c r="AA203" i="8"/>
  <c r="AG180" i="5"/>
  <c r="AB203" i="8"/>
  <c r="Y148" i="4"/>
  <c r="AJ180" i="5"/>
  <c r="AC203" i="8"/>
  <c r="C252" i="5"/>
  <c r="R16" i="8"/>
  <c r="F252" i="5"/>
  <c r="S16" i="8"/>
  <c r="I252" i="5"/>
  <c r="T16" i="8"/>
  <c r="L252" i="5"/>
  <c r="U16" i="8"/>
  <c r="O252" i="5"/>
  <c r="V16" i="8"/>
  <c r="W16" i="8"/>
  <c r="X16" i="8"/>
  <c r="Y16" i="8"/>
  <c r="Z16" i="8"/>
  <c r="AD181" i="5"/>
  <c r="AA16" i="8"/>
  <c r="AG181" i="5"/>
  <c r="AB16" i="8"/>
  <c r="Y151" i="4"/>
  <c r="AJ181" i="5"/>
  <c r="AC16" i="8"/>
  <c r="C270" i="5"/>
  <c r="R204" i="8"/>
  <c r="F270" i="5"/>
  <c r="S204" i="8"/>
  <c r="I270" i="5"/>
  <c r="T204" i="8"/>
  <c r="L270" i="5"/>
  <c r="U204" i="8"/>
  <c r="O270" i="5"/>
  <c r="V204" i="8"/>
  <c r="W204" i="8"/>
  <c r="X204" i="8"/>
  <c r="Y204" i="8"/>
  <c r="Z204" i="8"/>
  <c r="AD182" i="5"/>
  <c r="AA204" i="8"/>
  <c r="AG182" i="5"/>
  <c r="AB204" i="8"/>
  <c r="Y192" i="4"/>
  <c r="AJ182" i="5"/>
  <c r="AC204" i="8"/>
  <c r="R205" i="8"/>
  <c r="S205" i="8"/>
  <c r="T205" i="8"/>
  <c r="U205" i="8"/>
  <c r="V205" i="8"/>
  <c r="W205" i="8"/>
  <c r="X205" i="8"/>
  <c r="Y205" i="8"/>
  <c r="Z205" i="8"/>
  <c r="AD183" i="5"/>
  <c r="AA205" i="8"/>
  <c r="AG183" i="5"/>
  <c r="AB205" i="8"/>
  <c r="Y189" i="4"/>
  <c r="AJ183" i="5"/>
  <c r="AC205" i="8"/>
  <c r="C269" i="5"/>
  <c r="C236" i="5"/>
  <c r="R206" i="8"/>
  <c r="F269" i="5"/>
  <c r="F236" i="5"/>
  <c r="S206" i="8"/>
  <c r="I269" i="5"/>
  <c r="I236" i="5"/>
  <c r="T206" i="8"/>
  <c r="L269" i="5"/>
  <c r="L236" i="5"/>
  <c r="U206" i="8"/>
  <c r="O269" i="5"/>
  <c r="O236" i="5"/>
  <c r="V206" i="8"/>
  <c r="W206" i="8"/>
  <c r="X206" i="8"/>
  <c r="Y206" i="8"/>
  <c r="Z206" i="8"/>
  <c r="AD184" i="5"/>
  <c r="AA206" i="8"/>
  <c r="AG184" i="5"/>
  <c r="AB206" i="8"/>
  <c r="Y6" i="2"/>
  <c r="Y55" i="4"/>
  <c r="AJ184" i="5"/>
  <c r="AC206" i="8"/>
  <c r="C311" i="5"/>
  <c r="C257" i="5"/>
  <c r="R207" i="8"/>
  <c r="F311" i="5"/>
  <c r="F257" i="5"/>
  <c r="S207" i="8"/>
  <c r="I311" i="5"/>
  <c r="I257" i="5"/>
  <c r="T207" i="8"/>
  <c r="L311" i="5"/>
  <c r="L257" i="5"/>
  <c r="U207" i="8"/>
  <c r="O311" i="5"/>
  <c r="O257" i="5"/>
  <c r="V207" i="8"/>
  <c r="W207" i="8"/>
  <c r="X207" i="8"/>
  <c r="Y207" i="8"/>
  <c r="Z207" i="8"/>
  <c r="AD185" i="5"/>
  <c r="AA207" i="8"/>
  <c r="AG185" i="5"/>
  <c r="AB207" i="8"/>
  <c r="Y61" i="4"/>
  <c r="AJ185" i="5"/>
  <c r="AC207" i="8"/>
  <c r="C312" i="5"/>
  <c r="R208" i="8"/>
  <c r="F312" i="5"/>
  <c r="S208" i="8"/>
  <c r="I312" i="5"/>
  <c r="T208" i="8"/>
  <c r="L312" i="5"/>
  <c r="U208" i="8"/>
  <c r="O312" i="5"/>
  <c r="V208" i="8"/>
  <c r="W208" i="8"/>
  <c r="X208" i="8"/>
  <c r="Y208" i="8"/>
  <c r="Z208" i="8"/>
  <c r="AA208" i="8"/>
  <c r="AB208" i="8"/>
  <c r="AC208" i="8"/>
  <c r="C307" i="5"/>
  <c r="R209" i="8"/>
  <c r="F307" i="5"/>
  <c r="S209" i="8"/>
  <c r="I307" i="5"/>
  <c r="T209" i="8"/>
  <c r="L307" i="5"/>
  <c r="U209" i="8"/>
  <c r="O307" i="5"/>
  <c r="V209" i="8"/>
  <c r="W209" i="8"/>
  <c r="X209" i="8"/>
  <c r="Y209" i="8"/>
  <c r="Z209" i="8"/>
  <c r="AA209" i="8"/>
  <c r="AB209" i="8"/>
  <c r="AC209" i="8"/>
  <c r="C303" i="5"/>
  <c r="C258" i="5"/>
  <c r="R17" i="8"/>
  <c r="F303" i="5"/>
  <c r="F258" i="5"/>
  <c r="S17" i="8"/>
  <c r="I303" i="5"/>
  <c r="I258" i="5"/>
  <c r="T17" i="8"/>
  <c r="L303" i="5"/>
  <c r="U17" i="8"/>
  <c r="O303" i="5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C293" i="5"/>
  <c r="R213" i="8"/>
  <c r="F293" i="5"/>
  <c r="S213" i="8"/>
  <c r="I293" i="5"/>
  <c r="T213" i="8"/>
  <c r="L293" i="5"/>
  <c r="U213" i="8"/>
  <c r="O293" i="5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C211" i="5"/>
  <c r="R215" i="8"/>
  <c r="F211" i="5"/>
  <c r="S215" i="8"/>
  <c r="I211" i="5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C310" i="5"/>
  <c r="C306" i="5"/>
  <c r="R218" i="8"/>
  <c r="F310" i="5"/>
  <c r="F306" i="5"/>
  <c r="S218" i="8"/>
  <c r="I310" i="5"/>
  <c r="I306" i="5"/>
  <c r="T218" i="8"/>
  <c r="L310" i="5"/>
  <c r="L306" i="5"/>
  <c r="U218" i="8"/>
  <c r="O310" i="5"/>
  <c r="O306" i="5"/>
  <c r="V218" i="8"/>
  <c r="W218" i="8"/>
  <c r="X218" i="8"/>
  <c r="Y218" i="8"/>
  <c r="Z218" i="8"/>
  <c r="AA218" i="8"/>
  <c r="AB218" i="8"/>
  <c r="AC218" i="8"/>
  <c r="C292" i="5"/>
  <c r="R18" i="8"/>
  <c r="F292" i="5"/>
  <c r="S18" i="8"/>
  <c r="I292" i="5"/>
  <c r="T18" i="8"/>
  <c r="L292" i="5"/>
  <c r="U18" i="8"/>
  <c r="O292" i="5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C259" i="5"/>
  <c r="R220" i="8"/>
  <c r="F259" i="5"/>
  <c r="S220" i="8"/>
  <c r="I259" i="5"/>
  <c r="T220" i="8"/>
  <c r="L259" i="5"/>
  <c r="U220" i="8"/>
  <c r="O259" i="5"/>
  <c r="V220" i="8"/>
  <c r="W220" i="8"/>
  <c r="X220" i="8"/>
  <c r="Y220" i="8"/>
  <c r="Z220" i="8"/>
  <c r="AA220" i="8"/>
  <c r="AB220" i="8"/>
  <c r="AC220" i="8"/>
  <c r="C260" i="5"/>
  <c r="R19" i="8"/>
  <c r="F260" i="5"/>
  <c r="S19" i="8"/>
  <c r="I260" i="5"/>
  <c r="T19" i="8"/>
  <c r="L260" i="5"/>
  <c r="U19" i="8"/>
  <c r="O260" i="5"/>
  <c r="V19" i="8"/>
  <c r="W19" i="8"/>
  <c r="X19" i="8"/>
  <c r="Y19" i="8"/>
  <c r="Z19" i="8"/>
  <c r="AA19" i="8"/>
  <c r="AB19" i="8"/>
  <c r="AC19" i="8"/>
  <c r="C238" i="5"/>
  <c r="R20" i="8"/>
  <c r="F238" i="5"/>
  <c r="S20" i="8"/>
  <c r="I238" i="5"/>
  <c r="T20" i="8"/>
  <c r="L238" i="5"/>
  <c r="U20" i="8"/>
  <c r="O238" i="5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D222" i="5"/>
  <c r="AA237" i="8"/>
  <c r="AG222" i="5"/>
  <c r="AB237" i="8"/>
  <c r="Y14" i="2"/>
  <c r="Y104" i="4"/>
  <c r="AJ222" i="5"/>
  <c r="AC237" i="8"/>
  <c r="R238" i="8"/>
  <c r="S238" i="8"/>
  <c r="T238" i="8"/>
  <c r="U238" i="8"/>
  <c r="V238" i="8"/>
  <c r="W238" i="8"/>
  <c r="X238" i="8"/>
  <c r="Y238" i="8"/>
  <c r="Z238" i="8"/>
  <c r="AD223" i="5"/>
  <c r="AA238" i="8"/>
  <c r="AG223" i="5"/>
  <c r="AB238" i="8"/>
  <c r="Y267" i="4"/>
  <c r="AJ223" i="5"/>
  <c r="AC238" i="8"/>
  <c r="R239" i="8"/>
  <c r="S239" i="8"/>
  <c r="T239" i="8"/>
  <c r="U239" i="8"/>
  <c r="V239" i="8"/>
  <c r="W239" i="8"/>
  <c r="X239" i="8"/>
  <c r="Y239" i="8"/>
  <c r="Z239" i="8"/>
  <c r="AD224" i="5"/>
  <c r="AA239" i="8"/>
  <c r="AG224" i="5"/>
  <c r="AB239" i="8"/>
  <c r="Y292" i="4"/>
  <c r="AJ224" i="5"/>
  <c r="AC239" i="8"/>
  <c r="R240" i="8"/>
  <c r="S240" i="8"/>
  <c r="T240" i="8"/>
  <c r="U240" i="8"/>
  <c r="V240" i="8"/>
  <c r="W240" i="8"/>
  <c r="X240" i="8"/>
  <c r="Y240" i="8"/>
  <c r="Z240" i="8"/>
  <c r="AD225" i="5"/>
  <c r="AA240" i="8"/>
  <c r="AG225" i="5"/>
  <c r="AB240" i="8"/>
  <c r="Y195" i="4"/>
  <c r="AJ225" i="5"/>
  <c r="AC240" i="8"/>
  <c r="R24" i="8"/>
  <c r="S24" i="8"/>
  <c r="T24" i="8"/>
  <c r="U24" i="8"/>
  <c r="V24" i="8"/>
  <c r="W24" i="8"/>
  <c r="X24" i="8"/>
  <c r="Y24" i="8"/>
  <c r="Z24" i="8"/>
  <c r="AD226" i="5"/>
  <c r="AA24" i="8"/>
  <c r="AG226" i="5"/>
  <c r="AB24" i="8"/>
  <c r="Y8" i="2"/>
  <c r="Y231" i="4"/>
  <c r="AJ226" i="5"/>
  <c r="AC24" i="8"/>
  <c r="R241" i="8"/>
  <c r="S241" i="8"/>
  <c r="T241" i="8"/>
  <c r="U241" i="8"/>
  <c r="V241" i="8"/>
  <c r="W241" i="8"/>
  <c r="X241" i="8"/>
  <c r="Y241" i="8"/>
  <c r="Z241" i="8"/>
  <c r="AD227" i="5"/>
  <c r="AA241" i="8"/>
  <c r="AG227" i="5"/>
  <c r="AB241" i="8"/>
  <c r="Y200" i="4"/>
  <c r="AJ227" i="5"/>
  <c r="AC241" i="8"/>
  <c r="R242" i="8"/>
  <c r="S242" i="8"/>
  <c r="T242" i="8"/>
  <c r="U242" i="8"/>
  <c r="V242" i="8"/>
  <c r="W242" i="8"/>
  <c r="X242" i="8"/>
  <c r="Y242" i="8"/>
  <c r="Z242" i="8"/>
  <c r="AD228" i="5"/>
  <c r="AA242" i="8"/>
  <c r="AG228" i="5"/>
  <c r="AB242" i="8"/>
  <c r="Y187" i="4"/>
  <c r="AJ228" i="5"/>
  <c r="AC242" i="8"/>
  <c r="R243" i="8"/>
  <c r="S243" i="8"/>
  <c r="T243" i="8"/>
  <c r="U243" i="8"/>
  <c r="V243" i="8"/>
  <c r="W243" i="8"/>
  <c r="X243" i="8"/>
  <c r="Y243" i="8"/>
  <c r="Z243" i="8"/>
  <c r="AD229" i="5"/>
  <c r="AA243" i="8"/>
  <c r="AG229" i="5"/>
  <c r="AB243" i="8"/>
  <c r="Y172" i="4"/>
  <c r="AJ229" i="5"/>
  <c r="AC243" i="8"/>
  <c r="R244" i="8"/>
  <c r="S244" i="8"/>
  <c r="T244" i="8"/>
  <c r="U244" i="8"/>
  <c r="V244" i="8"/>
  <c r="W244" i="8"/>
  <c r="X244" i="8"/>
  <c r="Y244" i="8"/>
  <c r="Z244" i="8"/>
  <c r="AD230" i="5"/>
  <c r="AA244" i="8"/>
  <c r="AG230" i="5"/>
  <c r="AB244" i="8"/>
  <c r="Y173" i="4"/>
  <c r="AJ230" i="5"/>
  <c r="AC244" i="8"/>
  <c r="R245" i="8"/>
  <c r="S245" i="8"/>
  <c r="T245" i="8"/>
  <c r="U245" i="8"/>
  <c r="V245" i="8"/>
  <c r="W245" i="8"/>
  <c r="X245" i="8"/>
  <c r="Y245" i="8"/>
  <c r="Z245" i="8"/>
  <c r="AD231" i="5"/>
  <c r="AA245" i="8"/>
  <c r="AG231" i="5"/>
  <c r="AB245" i="8"/>
  <c r="Y174" i="4"/>
  <c r="AJ231" i="5"/>
  <c r="AC245" i="8"/>
  <c r="R246" i="8"/>
  <c r="S246" i="8"/>
  <c r="T246" i="8"/>
  <c r="U246" i="8"/>
  <c r="V246" i="8"/>
  <c r="W246" i="8"/>
  <c r="X246" i="8"/>
  <c r="Y246" i="8"/>
  <c r="Z246" i="8"/>
  <c r="AD232" i="5"/>
  <c r="AA246" i="8"/>
  <c r="AG232" i="5"/>
  <c r="AB246" i="8"/>
  <c r="Y31" i="2"/>
  <c r="Y87" i="4"/>
  <c r="AJ232" i="5"/>
  <c r="AC246" i="8"/>
  <c r="R247" i="8"/>
  <c r="S247" i="8"/>
  <c r="T247" i="8"/>
  <c r="U247" i="8"/>
  <c r="V247" i="8"/>
  <c r="W247" i="8"/>
  <c r="X247" i="8"/>
  <c r="Y247" i="8"/>
  <c r="Z247" i="8"/>
  <c r="AD233" i="5"/>
  <c r="AA247" i="8"/>
  <c r="AG233" i="5"/>
  <c r="AB247" i="8"/>
  <c r="Y154" i="4"/>
  <c r="AJ233" i="5"/>
  <c r="AC247" i="8"/>
  <c r="R248" i="8"/>
  <c r="S248" i="8"/>
  <c r="T248" i="8"/>
  <c r="U248" i="8"/>
  <c r="V248" i="8"/>
  <c r="W248" i="8"/>
  <c r="X248" i="8"/>
  <c r="Y248" i="8"/>
  <c r="Z248" i="8"/>
  <c r="AD234" i="5"/>
  <c r="AA248" i="8"/>
  <c r="AG234" i="5"/>
  <c r="AB248" i="8"/>
  <c r="Y236" i="4"/>
  <c r="AJ234" i="5"/>
  <c r="AC248" i="8"/>
  <c r="R249" i="8"/>
  <c r="S249" i="8"/>
  <c r="T249" i="8"/>
  <c r="U249" i="8"/>
  <c r="V249" i="8"/>
  <c r="W249" i="8"/>
  <c r="X249" i="8"/>
  <c r="Y249" i="8"/>
  <c r="Z249" i="8"/>
  <c r="AD235" i="5"/>
  <c r="AA249" i="8"/>
  <c r="AG235" i="5"/>
  <c r="AB249" i="8"/>
  <c r="Y229" i="4"/>
  <c r="AJ235" i="5"/>
  <c r="AC249" i="8"/>
  <c r="R250" i="8"/>
  <c r="S250" i="8"/>
  <c r="T250" i="8"/>
  <c r="U250" i="8"/>
  <c r="V250" i="8"/>
  <c r="W250" i="8"/>
  <c r="X250" i="8"/>
  <c r="Y250" i="8"/>
  <c r="Z250" i="8"/>
  <c r="AD236" i="5"/>
  <c r="AA250" i="8"/>
  <c r="AG236" i="5"/>
  <c r="AB250" i="8"/>
  <c r="Y226" i="4"/>
  <c r="AJ236" i="5"/>
  <c r="AC250" i="8"/>
  <c r="R251" i="8"/>
  <c r="S251" i="8"/>
  <c r="T251" i="8"/>
  <c r="U251" i="8"/>
  <c r="V251" i="8"/>
  <c r="W251" i="8"/>
  <c r="X251" i="8"/>
  <c r="Y251" i="8"/>
  <c r="Z251" i="8"/>
  <c r="AD237" i="5"/>
  <c r="AA251" i="8"/>
  <c r="AG237" i="5"/>
  <c r="AB251" i="8"/>
  <c r="Y221" i="4"/>
  <c r="AJ237" i="5"/>
  <c r="AC251" i="8"/>
  <c r="R252" i="8"/>
  <c r="S252" i="8"/>
  <c r="T252" i="8"/>
  <c r="U252" i="8"/>
  <c r="V252" i="8"/>
  <c r="W252" i="8"/>
  <c r="X252" i="8"/>
  <c r="Y252" i="8"/>
  <c r="Z252" i="8"/>
  <c r="AD238" i="5"/>
  <c r="AA252" i="8"/>
  <c r="AG238" i="5"/>
  <c r="AB252" i="8"/>
  <c r="Y164" i="4"/>
  <c r="AJ238" i="5"/>
  <c r="AC252" i="8"/>
  <c r="R253" i="8"/>
  <c r="S253" i="8"/>
  <c r="T253" i="8"/>
  <c r="U253" i="8"/>
  <c r="V253" i="8"/>
  <c r="W253" i="8"/>
  <c r="X253" i="8"/>
  <c r="Y253" i="8"/>
  <c r="Z253" i="8"/>
  <c r="AD239" i="5"/>
  <c r="AA253" i="8"/>
  <c r="AG239" i="5"/>
  <c r="AB253" i="8"/>
  <c r="Y153" i="4"/>
  <c r="AJ239" i="5"/>
  <c r="AC253" i="8"/>
  <c r="R254" i="8"/>
  <c r="S254" i="8"/>
  <c r="T254" i="8"/>
  <c r="U254" i="8"/>
  <c r="V254" i="8"/>
  <c r="W254" i="8"/>
  <c r="X254" i="8"/>
  <c r="Y254" i="8"/>
  <c r="Z254" i="8"/>
  <c r="AD240" i="5"/>
  <c r="AA254" i="8"/>
  <c r="AG240" i="5"/>
  <c r="AB254" i="8"/>
  <c r="Y260" i="4"/>
  <c r="AJ240" i="5"/>
  <c r="AC254" i="8"/>
  <c r="R255" i="8"/>
  <c r="S255" i="8"/>
  <c r="T255" i="8"/>
  <c r="U255" i="8"/>
  <c r="V255" i="8"/>
  <c r="W255" i="8"/>
  <c r="X255" i="8"/>
  <c r="Y255" i="8"/>
  <c r="Z255" i="8"/>
  <c r="AD241" i="5"/>
  <c r="AA255" i="8"/>
  <c r="AG241" i="5"/>
  <c r="AB255" i="8"/>
  <c r="Y230" i="4"/>
  <c r="AJ241" i="5"/>
  <c r="AC255" i="8"/>
  <c r="R256" i="8"/>
  <c r="S256" i="8"/>
  <c r="T256" i="8"/>
  <c r="U256" i="8"/>
  <c r="V256" i="8"/>
  <c r="W256" i="8"/>
  <c r="X256" i="8"/>
  <c r="Y256" i="8"/>
  <c r="Z256" i="8"/>
  <c r="AD242" i="5"/>
  <c r="AA256" i="8"/>
  <c r="AG242" i="5"/>
  <c r="AB256" i="8"/>
  <c r="Y88" i="4"/>
  <c r="AJ242" i="5"/>
  <c r="AC256" i="8"/>
  <c r="R257" i="8"/>
  <c r="S257" i="8"/>
  <c r="T257" i="8"/>
  <c r="U257" i="8"/>
  <c r="V257" i="8"/>
  <c r="W257" i="8"/>
  <c r="X257" i="8"/>
  <c r="Y257" i="8"/>
  <c r="Z257" i="8"/>
  <c r="AD243" i="5"/>
  <c r="AA257" i="8"/>
  <c r="AG243" i="5"/>
  <c r="AB257" i="8"/>
  <c r="Y27" i="2"/>
  <c r="Y123" i="4"/>
  <c r="AJ243" i="5"/>
  <c r="AC257" i="8"/>
  <c r="R258" i="8"/>
  <c r="S258" i="8"/>
  <c r="T258" i="8"/>
  <c r="U258" i="8"/>
  <c r="V258" i="8"/>
  <c r="W258" i="8"/>
  <c r="X258" i="8"/>
  <c r="Y258" i="8"/>
  <c r="Z258" i="8"/>
  <c r="AD244" i="5"/>
  <c r="AA258" i="8"/>
  <c r="AG244" i="5"/>
  <c r="AB258" i="8"/>
  <c r="Y26" i="2"/>
  <c r="Y127" i="4"/>
  <c r="AJ244" i="5"/>
  <c r="AC258" i="8"/>
  <c r="R25" i="8"/>
  <c r="S25" i="8"/>
  <c r="T25" i="8"/>
  <c r="U25" i="8"/>
  <c r="V25" i="8"/>
  <c r="W25" i="8"/>
  <c r="X25" i="8"/>
  <c r="Y25" i="8"/>
  <c r="Z25" i="8"/>
  <c r="AD245" i="5"/>
  <c r="AA25" i="8"/>
  <c r="AG245" i="5"/>
  <c r="AB25" i="8"/>
  <c r="Y128" i="4"/>
  <c r="AJ245" i="5"/>
  <c r="AC25" i="8"/>
  <c r="R259" i="8"/>
  <c r="S259" i="8"/>
  <c r="T259" i="8"/>
  <c r="U259" i="8"/>
  <c r="V259" i="8"/>
  <c r="W259" i="8"/>
  <c r="X259" i="8"/>
  <c r="Y259" i="8"/>
  <c r="Z259" i="8"/>
  <c r="AD246" i="5"/>
  <c r="AA259" i="8"/>
  <c r="AG246" i="5"/>
  <c r="AB259" i="8"/>
  <c r="Y137" i="4"/>
  <c r="AJ246" i="5"/>
  <c r="AC259" i="8"/>
  <c r="R260" i="8"/>
  <c r="S260" i="8"/>
  <c r="T260" i="8"/>
  <c r="U260" i="8"/>
  <c r="V260" i="8"/>
  <c r="W260" i="8"/>
  <c r="X260" i="8"/>
  <c r="Y260" i="8"/>
  <c r="Z260" i="8"/>
  <c r="AD247" i="5"/>
  <c r="AA260" i="8"/>
  <c r="AG247" i="5"/>
  <c r="AB260" i="8"/>
  <c r="Y126" i="4"/>
  <c r="AJ247" i="5"/>
  <c r="AC260" i="8"/>
  <c r="R261" i="8"/>
  <c r="S261" i="8"/>
  <c r="T261" i="8"/>
  <c r="U261" i="8"/>
  <c r="V261" i="8"/>
  <c r="W261" i="8"/>
  <c r="X261" i="8"/>
  <c r="Y261" i="8"/>
  <c r="Z261" i="8"/>
  <c r="AD248" i="5"/>
  <c r="AA261" i="8"/>
  <c r="AG248" i="5"/>
  <c r="AB261" i="8"/>
  <c r="Y190" i="4"/>
  <c r="AJ248" i="5"/>
  <c r="AC261" i="8"/>
  <c r="R262" i="8"/>
  <c r="S262" i="8"/>
  <c r="T262" i="8"/>
  <c r="U262" i="8"/>
  <c r="V262" i="8"/>
  <c r="W262" i="8"/>
  <c r="X262" i="8"/>
  <c r="Y262" i="8"/>
  <c r="Z262" i="8"/>
  <c r="AD249" i="5"/>
  <c r="AA262" i="8"/>
  <c r="AG249" i="5"/>
  <c r="AB262" i="8"/>
  <c r="Y44" i="4"/>
  <c r="AJ249" i="5"/>
  <c r="AC262" i="8"/>
  <c r="R263" i="8"/>
  <c r="S263" i="8"/>
  <c r="T263" i="8"/>
  <c r="U263" i="8"/>
  <c r="V263" i="8"/>
  <c r="W263" i="8"/>
  <c r="X263" i="8"/>
  <c r="Y263" i="8"/>
  <c r="Z263" i="8"/>
  <c r="AD250" i="5"/>
  <c r="AA263" i="8"/>
  <c r="AG250" i="5"/>
  <c r="AB263" i="8"/>
  <c r="Y25" i="2"/>
  <c r="Y12" i="4"/>
  <c r="AJ250" i="5"/>
  <c r="AC263" i="8"/>
  <c r="R26" i="8"/>
  <c r="S26" i="8"/>
  <c r="T26" i="8"/>
  <c r="U26" i="8"/>
  <c r="V26" i="8"/>
  <c r="W26" i="8"/>
  <c r="X26" i="8"/>
  <c r="Y26" i="8"/>
  <c r="Z26" i="8"/>
  <c r="AD251" i="5"/>
  <c r="AA26" i="8"/>
  <c r="AG251" i="5"/>
  <c r="AB26" i="8"/>
  <c r="Y72" i="4"/>
  <c r="AJ251" i="5"/>
  <c r="AC26" i="8"/>
  <c r="R264" i="8"/>
  <c r="S264" i="8"/>
  <c r="T264" i="8"/>
  <c r="U264" i="8"/>
  <c r="V264" i="8"/>
  <c r="W264" i="8"/>
  <c r="X264" i="8"/>
  <c r="Y264" i="8"/>
  <c r="Z264" i="8"/>
  <c r="AD252" i="5"/>
  <c r="AA264" i="8"/>
  <c r="AG252" i="5"/>
  <c r="AB264" i="8"/>
  <c r="Y129" i="4"/>
  <c r="AJ252" i="5"/>
  <c r="AC264" i="8"/>
  <c r="R265" i="8"/>
  <c r="S265" i="8"/>
  <c r="T265" i="8"/>
  <c r="U265" i="8"/>
  <c r="V265" i="8"/>
  <c r="W265" i="8"/>
  <c r="X265" i="8"/>
  <c r="Y265" i="8"/>
  <c r="Z265" i="8"/>
  <c r="AD253" i="5"/>
  <c r="AA265" i="8"/>
  <c r="AG253" i="5"/>
  <c r="AB265" i="8"/>
  <c r="Y239" i="4"/>
  <c r="AJ253" i="5"/>
  <c r="AC265" i="8"/>
  <c r="R266" i="8"/>
  <c r="S266" i="8"/>
  <c r="T266" i="8"/>
  <c r="U266" i="8"/>
  <c r="V266" i="8"/>
  <c r="W266" i="8"/>
  <c r="X266" i="8"/>
  <c r="Y266" i="8"/>
  <c r="Z266" i="8"/>
  <c r="AD254" i="5"/>
  <c r="AA266" i="8"/>
  <c r="AG254" i="5"/>
  <c r="AB266" i="8"/>
  <c r="Y40" i="4"/>
  <c r="AJ254" i="5"/>
  <c r="AC266" i="8"/>
  <c r="R267" i="8"/>
  <c r="S267" i="8"/>
  <c r="T267" i="8"/>
  <c r="U267" i="8"/>
  <c r="V267" i="8"/>
  <c r="W267" i="8"/>
  <c r="X267" i="8"/>
  <c r="Y267" i="8"/>
  <c r="Z267" i="8"/>
  <c r="AD255" i="5"/>
  <c r="AA267" i="8"/>
  <c r="AG255" i="5"/>
  <c r="AB267" i="8"/>
  <c r="Y47" i="4"/>
  <c r="AJ255" i="5"/>
  <c r="AC267" i="8"/>
  <c r="R268" i="8"/>
  <c r="S268" i="8"/>
  <c r="T268" i="8"/>
  <c r="U268" i="8"/>
  <c r="V268" i="8"/>
  <c r="W268" i="8"/>
  <c r="X268" i="8"/>
  <c r="Y268" i="8"/>
  <c r="Z268" i="8"/>
  <c r="AA268" i="8"/>
  <c r="AB268" i="8"/>
  <c r="Y24" i="2"/>
  <c r="Y392" i="4"/>
  <c r="AJ256" i="5"/>
  <c r="AC268" i="8"/>
  <c r="R269" i="8"/>
  <c r="S269" i="8"/>
  <c r="T269" i="8"/>
  <c r="U269" i="8"/>
  <c r="V269" i="8"/>
  <c r="W269" i="8"/>
  <c r="X269" i="8"/>
  <c r="Y269" i="8"/>
  <c r="Z269" i="8"/>
  <c r="AD257" i="5"/>
  <c r="AA269" i="8"/>
  <c r="AG257" i="5"/>
  <c r="AB269" i="8"/>
  <c r="Y130" i="4"/>
  <c r="AJ257" i="5"/>
  <c r="AC269" i="8"/>
  <c r="R270" i="8"/>
  <c r="S270" i="8"/>
  <c r="T270" i="8"/>
  <c r="U270" i="8"/>
  <c r="V270" i="8"/>
  <c r="W270" i="8"/>
  <c r="X270" i="8"/>
  <c r="Y270" i="8"/>
  <c r="Z270" i="8"/>
  <c r="AD258" i="5"/>
  <c r="AA270" i="8"/>
  <c r="AG258" i="5"/>
  <c r="AB270" i="8"/>
  <c r="Y131" i="4"/>
  <c r="AJ258" i="5"/>
  <c r="AC270" i="8"/>
  <c r="R271" i="8"/>
  <c r="S271" i="8"/>
  <c r="T271" i="8"/>
  <c r="U271" i="8"/>
  <c r="V271" i="8"/>
  <c r="W271" i="8"/>
  <c r="X271" i="8"/>
  <c r="Y271" i="8"/>
  <c r="Z271" i="8"/>
  <c r="AD259" i="5"/>
  <c r="AA271" i="8"/>
  <c r="AG259" i="5"/>
  <c r="AB271" i="8"/>
  <c r="Y135" i="4"/>
  <c r="AJ259" i="5"/>
  <c r="AC271" i="8"/>
  <c r="R272" i="8"/>
  <c r="S272" i="8"/>
  <c r="T272" i="8"/>
  <c r="U272" i="8"/>
  <c r="V272" i="8"/>
  <c r="W272" i="8"/>
  <c r="X272" i="8"/>
  <c r="Y272" i="8"/>
  <c r="Z272" i="8"/>
  <c r="AD260" i="5"/>
  <c r="AA272" i="8"/>
  <c r="AG260" i="5"/>
  <c r="AB272" i="8"/>
  <c r="Y244" i="4"/>
  <c r="AJ260" i="5"/>
  <c r="AC272" i="8"/>
  <c r="R273" i="8"/>
  <c r="S273" i="8"/>
  <c r="T273" i="8"/>
  <c r="U273" i="8"/>
  <c r="V273" i="8"/>
  <c r="W273" i="8"/>
  <c r="X273" i="8"/>
  <c r="Y273" i="8"/>
  <c r="Z273" i="8"/>
  <c r="AD261" i="5"/>
  <c r="AA273" i="8"/>
  <c r="AG261" i="5"/>
  <c r="AB273" i="8"/>
  <c r="Y201" i="4"/>
  <c r="AJ261" i="5"/>
  <c r="AC273" i="8"/>
  <c r="R27" i="8"/>
  <c r="S27" i="8"/>
  <c r="T27" i="8"/>
  <c r="U27" i="8"/>
  <c r="V27" i="8"/>
  <c r="W27" i="8"/>
  <c r="X27" i="8"/>
  <c r="Y27" i="8"/>
  <c r="Z27" i="8"/>
  <c r="AD262" i="5"/>
  <c r="AA27" i="8"/>
  <c r="AG262" i="5"/>
  <c r="AB27" i="8"/>
  <c r="Y136" i="4"/>
  <c r="AJ262" i="5"/>
  <c r="AC27" i="8"/>
  <c r="R274" i="8"/>
  <c r="S274" i="8"/>
  <c r="T274" i="8"/>
  <c r="U274" i="8"/>
  <c r="V274" i="8"/>
  <c r="W274" i="8"/>
  <c r="X274" i="8"/>
  <c r="Y274" i="8"/>
  <c r="Z274" i="8"/>
  <c r="AD263" i="5"/>
  <c r="AA274" i="8"/>
  <c r="AG263" i="5"/>
  <c r="AB274" i="8"/>
  <c r="Y110" i="4"/>
  <c r="AJ263" i="5"/>
  <c r="AC274" i="8"/>
  <c r="R275" i="8"/>
  <c r="S275" i="8"/>
  <c r="T275" i="8"/>
  <c r="U275" i="8"/>
  <c r="V275" i="8"/>
  <c r="W275" i="8"/>
  <c r="X275" i="8"/>
  <c r="Y275" i="8"/>
  <c r="Z275" i="8"/>
  <c r="AD264" i="5"/>
  <c r="AA275" i="8"/>
  <c r="AG264" i="5"/>
  <c r="AB275" i="8"/>
  <c r="Y117" i="4"/>
  <c r="AJ264" i="5"/>
  <c r="AC275" i="8"/>
  <c r="R276" i="8"/>
  <c r="S276" i="8"/>
  <c r="T276" i="8"/>
  <c r="U276" i="8"/>
  <c r="V276" i="8"/>
  <c r="W276" i="8"/>
  <c r="X276" i="8"/>
  <c r="Y276" i="8"/>
  <c r="Z276" i="8"/>
  <c r="AD265" i="5"/>
  <c r="AA276" i="8"/>
  <c r="AG265" i="5"/>
  <c r="AB276" i="8"/>
  <c r="Y138" i="4"/>
  <c r="AJ265" i="5"/>
  <c r="AC276" i="8"/>
  <c r="R277" i="8"/>
  <c r="S277" i="8"/>
  <c r="T277" i="8"/>
  <c r="U277" i="8"/>
  <c r="V277" i="8"/>
  <c r="W277" i="8"/>
  <c r="X277" i="8"/>
  <c r="Y277" i="8"/>
  <c r="Z277" i="8"/>
  <c r="AD266" i="5"/>
  <c r="AA277" i="8"/>
  <c r="AG266" i="5"/>
  <c r="AB277" i="8"/>
  <c r="Y152" i="4"/>
  <c r="AJ266" i="5"/>
  <c r="AC277" i="8"/>
  <c r="R278" i="8"/>
  <c r="S278" i="8"/>
  <c r="T278" i="8"/>
  <c r="U278" i="8"/>
  <c r="V278" i="8"/>
  <c r="W278" i="8"/>
  <c r="X278" i="8"/>
  <c r="Y278" i="8"/>
  <c r="Z278" i="8"/>
  <c r="AD267" i="5"/>
  <c r="AA278" i="8"/>
  <c r="AG267" i="5"/>
  <c r="AB278" i="8"/>
  <c r="Y23" i="2"/>
  <c r="Y80" i="4"/>
  <c r="AJ267" i="5"/>
  <c r="AC278" i="8"/>
  <c r="R279" i="8"/>
  <c r="S279" i="8"/>
  <c r="T279" i="8"/>
  <c r="U279" i="8"/>
  <c r="V279" i="8"/>
  <c r="W279" i="8"/>
  <c r="X279" i="8"/>
  <c r="Y279" i="8"/>
  <c r="Z279" i="8"/>
  <c r="AD268" i="5"/>
  <c r="AA279" i="8"/>
  <c r="AG268" i="5"/>
  <c r="AB279" i="8"/>
  <c r="Y124" i="4"/>
  <c r="AJ268" i="5"/>
  <c r="AC279" i="8"/>
  <c r="R280" i="8"/>
  <c r="S280" i="8"/>
  <c r="T280" i="8"/>
  <c r="U280" i="8"/>
  <c r="V280" i="8"/>
  <c r="W280" i="8"/>
  <c r="X280" i="8"/>
  <c r="Y280" i="8"/>
  <c r="Z280" i="8"/>
  <c r="AD269" i="5"/>
  <c r="AA280" i="8"/>
  <c r="AG269" i="5"/>
  <c r="AB280" i="8"/>
  <c r="Y132" i="4"/>
  <c r="AJ269" i="5"/>
  <c r="AC280" i="8"/>
  <c r="R281" i="8"/>
  <c r="S281" i="8"/>
  <c r="T281" i="8"/>
  <c r="U281" i="8"/>
  <c r="V281" i="8"/>
  <c r="W281" i="8"/>
  <c r="X281" i="8"/>
  <c r="Y281" i="8"/>
  <c r="Z281" i="8"/>
  <c r="AD270" i="5"/>
  <c r="AA281" i="8"/>
  <c r="AG270" i="5"/>
  <c r="AB281" i="8"/>
  <c r="Y118" i="4"/>
  <c r="AJ270" i="5"/>
  <c r="AC281" i="8"/>
  <c r="R282" i="8"/>
  <c r="S282" i="8"/>
  <c r="T282" i="8"/>
  <c r="U282" i="8"/>
  <c r="V282" i="8"/>
  <c r="W282" i="8"/>
  <c r="X282" i="8"/>
  <c r="Y282" i="8"/>
  <c r="Z282" i="8"/>
  <c r="AD271" i="5"/>
  <c r="AA282" i="8"/>
  <c r="AG271" i="5"/>
  <c r="AB282" i="8"/>
  <c r="Y227" i="4"/>
  <c r="AJ271" i="5"/>
  <c r="AC282" i="8"/>
  <c r="R283" i="8"/>
  <c r="S283" i="8"/>
  <c r="T283" i="8"/>
  <c r="U283" i="8"/>
  <c r="V283" i="8"/>
  <c r="W283" i="8"/>
  <c r="X283" i="8"/>
  <c r="Y283" i="8"/>
  <c r="Z283" i="8"/>
  <c r="AD272" i="5"/>
  <c r="AA283" i="8"/>
  <c r="AG272" i="5"/>
  <c r="AB283" i="8"/>
  <c r="Y203" i="4"/>
  <c r="AJ272" i="5"/>
  <c r="AC283" i="8"/>
  <c r="R284" i="8"/>
  <c r="S284" i="8"/>
  <c r="T284" i="8"/>
  <c r="U284" i="8"/>
  <c r="V284" i="8"/>
  <c r="W284" i="8"/>
  <c r="X284" i="8"/>
  <c r="Y284" i="8"/>
  <c r="Z284" i="8"/>
  <c r="AD273" i="5"/>
  <c r="AA284" i="8"/>
  <c r="AG273" i="5"/>
  <c r="AB284" i="8"/>
  <c r="Y159" i="4"/>
  <c r="AJ273" i="5"/>
  <c r="AC284" i="8"/>
  <c r="R285" i="8"/>
  <c r="S285" i="8"/>
  <c r="T285" i="8"/>
  <c r="U285" i="8"/>
  <c r="V285" i="8"/>
  <c r="W285" i="8"/>
  <c r="X285" i="8"/>
  <c r="Y285" i="8"/>
  <c r="Z285" i="8"/>
  <c r="AD274" i="5"/>
  <c r="AA285" i="8"/>
  <c r="AG274" i="5"/>
  <c r="AB285" i="8"/>
  <c r="Y125" i="4"/>
  <c r="AJ274" i="5"/>
  <c r="AC285" i="8"/>
  <c r="R286" i="8"/>
  <c r="S286" i="8"/>
  <c r="T286" i="8"/>
  <c r="U286" i="8"/>
  <c r="V286" i="8"/>
  <c r="W286" i="8"/>
  <c r="X286" i="8"/>
  <c r="Y286" i="8"/>
  <c r="Z286" i="8"/>
  <c r="AD275" i="5"/>
  <c r="AA286" i="8"/>
  <c r="AG275" i="5"/>
  <c r="AB286" i="8"/>
  <c r="Y250" i="4"/>
  <c r="AJ275" i="5"/>
  <c r="AC286" i="8"/>
  <c r="R28" i="8"/>
  <c r="S28" i="8"/>
  <c r="T28" i="8"/>
  <c r="U28" i="8"/>
  <c r="V28" i="8"/>
  <c r="W28" i="8"/>
  <c r="X28" i="8"/>
  <c r="Y28" i="8"/>
  <c r="Z28" i="8"/>
  <c r="AD276" i="5"/>
  <c r="AA28" i="8"/>
  <c r="AG276" i="5"/>
  <c r="AB28" i="8"/>
  <c r="Y243" i="4"/>
  <c r="AJ276" i="5"/>
  <c r="AC28" i="8"/>
  <c r="R287" i="8"/>
  <c r="S287" i="8"/>
  <c r="T287" i="8"/>
  <c r="U287" i="8"/>
  <c r="V287" i="8"/>
  <c r="W287" i="8"/>
  <c r="X287" i="8"/>
  <c r="Y287" i="8"/>
  <c r="Z287" i="8"/>
  <c r="AD277" i="5"/>
  <c r="AA287" i="8"/>
  <c r="AG277" i="5"/>
  <c r="AB287" i="8"/>
  <c r="AC287" i="8"/>
  <c r="R288" i="8"/>
  <c r="S288" i="8"/>
  <c r="T288" i="8"/>
  <c r="U288" i="8"/>
  <c r="V288" i="8"/>
  <c r="W288" i="8"/>
  <c r="X288" i="8"/>
  <c r="Y288" i="8"/>
  <c r="Z288" i="8"/>
  <c r="AD278" i="5"/>
  <c r="AA288" i="8"/>
  <c r="AG278" i="5"/>
  <c r="AB288" i="8"/>
  <c r="Y15" i="2"/>
  <c r="Y211" i="4"/>
  <c r="AJ278" i="5"/>
  <c r="AC288" i="8"/>
  <c r="R289" i="8"/>
  <c r="S289" i="8"/>
  <c r="T289" i="8"/>
  <c r="U289" i="8"/>
  <c r="V289" i="8"/>
  <c r="W289" i="8"/>
  <c r="X289" i="8"/>
  <c r="Y289" i="8"/>
  <c r="Z289" i="8"/>
  <c r="AD279" i="5"/>
  <c r="AA289" i="8"/>
  <c r="AG279" i="5"/>
  <c r="AB289" i="8"/>
  <c r="Y17" i="2"/>
  <c r="Y178" i="4"/>
  <c r="AJ279" i="5"/>
  <c r="AC289" i="8"/>
  <c r="R290" i="8"/>
  <c r="S290" i="8"/>
  <c r="T290" i="8"/>
  <c r="U290" i="8"/>
  <c r="V290" i="8"/>
  <c r="W290" i="8"/>
  <c r="X290" i="8"/>
  <c r="Y290" i="8"/>
  <c r="Z290" i="8"/>
  <c r="AD280" i="5"/>
  <c r="AA290" i="8"/>
  <c r="AG280" i="5"/>
  <c r="AB290" i="8"/>
  <c r="Y142" i="4"/>
  <c r="AJ280" i="5"/>
  <c r="AC290" i="8"/>
  <c r="R291" i="8"/>
  <c r="S291" i="8"/>
  <c r="T291" i="8"/>
  <c r="U291" i="8"/>
  <c r="V291" i="8"/>
  <c r="W291" i="8"/>
  <c r="X291" i="8"/>
  <c r="Y291" i="8"/>
  <c r="Z291" i="8"/>
  <c r="AD281" i="5"/>
  <c r="AA291" i="8"/>
  <c r="AG281" i="5"/>
  <c r="AB291" i="8"/>
  <c r="Y179" i="4"/>
  <c r="AJ281" i="5"/>
  <c r="AC291" i="8"/>
  <c r="R292" i="8"/>
  <c r="S292" i="8"/>
  <c r="T292" i="8"/>
  <c r="U292" i="8"/>
  <c r="V292" i="8"/>
  <c r="W292" i="8"/>
  <c r="X292" i="8"/>
  <c r="Y292" i="8"/>
  <c r="Z292" i="8"/>
  <c r="AA292" i="8"/>
  <c r="AB292" i="8"/>
  <c r="Y16" i="2"/>
  <c r="Y399" i="4"/>
  <c r="AJ282" i="5"/>
  <c r="AC292" i="8"/>
  <c r="R293" i="8"/>
  <c r="S293" i="8"/>
  <c r="T293" i="8"/>
  <c r="U293" i="8"/>
  <c r="V293" i="8"/>
  <c r="W293" i="8"/>
  <c r="X293" i="8"/>
  <c r="Y293" i="8"/>
  <c r="Z293" i="8"/>
  <c r="AD283" i="5"/>
  <c r="AA293" i="8"/>
  <c r="AG283" i="5"/>
  <c r="AB293" i="8"/>
  <c r="Y59" i="4"/>
  <c r="AJ283" i="5"/>
  <c r="AC293" i="8"/>
  <c r="R294" i="8"/>
  <c r="S294" i="8"/>
  <c r="T294" i="8"/>
  <c r="U294" i="8"/>
  <c r="V294" i="8"/>
  <c r="W294" i="8"/>
  <c r="X294" i="8"/>
  <c r="Y294" i="8"/>
  <c r="Z294" i="8"/>
  <c r="AD284" i="5"/>
  <c r="AA294" i="8"/>
  <c r="AG284" i="5"/>
  <c r="AB294" i="8"/>
  <c r="Y144" i="4"/>
  <c r="AJ284" i="5"/>
  <c r="AC294" i="8"/>
  <c r="R295" i="8"/>
  <c r="S295" i="8"/>
  <c r="T295" i="8"/>
  <c r="U295" i="8"/>
  <c r="V295" i="8"/>
  <c r="W295" i="8"/>
  <c r="X295" i="8"/>
  <c r="Y295" i="8"/>
  <c r="Z295" i="8"/>
  <c r="AD285" i="5"/>
  <c r="AA295" i="8"/>
  <c r="AG285" i="5"/>
  <c r="AB295" i="8"/>
  <c r="Y145" i="4"/>
  <c r="AJ285" i="5"/>
  <c r="AC295" i="8"/>
  <c r="R296" i="8"/>
  <c r="S296" i="8"/>
  <c r="T296" i="8"/>
  <c r="U296" i="8"/>
  <c r="V296" i="8"/>
  <c r="W296" i="8"/>
  <c r="X296" i="8"/>
  <c r="Y296" i="8"/>
  <c r="Z296" i="8"/>
  <c r="AD286" i="5"/>
  <c r="AA296" i="8"/>
  <c r="AG286" i="5"/>
  <c r="AB296" i="8"/>
  <c r="Y143" i="4"/>
  <c r="AJ286" i="5"/>
  <c r="AC296" i="8"/>
  <c r="R297" i="8"/>
  <c r="S297" i="8"/>
  <c r="T297" i="8"/>
  <c r="U297" i="8"/>
  <c r="V297" i="8"/>
  <c r="W297" i="8"/>
  <c r="X297" i="8"/>
  <c r="Y297" i="8"/>
  <c r="Z297" i="8"/>
  <c r="AD287" i="5"/>
  <c r="AA297" i="8"/>
  <c r="AG287" i="5"/>
  <c r="AB297" i="8"/>
  <c r="Y141" i="4"/>
  <c r="AJ287" i="5"/>
  <c r="AC297" i="8"/>
  <c r="R298" i="8"/>
  <c r="S298" i="8"/>
  <c r="T298" i="8"/>
  <c r="U298" i="8"/>
  <c r="V298" i="8"/>
  <c r="W298" i="8"/>
  <c r="X298" i="8"/>
  <c r="Y298" i="8"/>
  <c r="Z298" i="8"/>
  <c r="AA298" i="8"/>
  <c r="AG288" i="5"/>
  <c r="AB298" i="8"/>
  <c r="Y212" i="4"/>
  <c r="AJ288" i="5"/>
  <c r="AC298" i="8"/>
  <c r="R299" i="8"/>
  <c r="S299" i="8"/>
  <c r="T299" i="8"/>
  <c r="U299" i="8"/>
  <c r="V299" i="8"/>
  <c r="W299" i="8"/>
  <c r="X299" i="8"/>
  <c r="Y299" i="8"/>
  <c r="Z299" i="8"/>
  <c r="AD289" i="5"/>
  <c r="AA299" i="8"/>
  <c r="AG289" i="5"/>
  <c r="AB299" i="8"/>
  <c r="Y30" i="2"/>
  <c r="Y197" i="4"/>
  <c r="AJ289" i="5"/>
  <c r="AC299" i="8"/>
  <c r="R300" i="8"/>
  <c r="S300" i="8"/>
  <c r="T300" i="8"/>
  <c r="U300" i="8"/>
  <c r="V300" i="8"/>
  <c r="W300" i="8"/>
  <c r="X300" i="8"/>
  <c r="Y300" i="8"/>
  <c r="Z300" i="8"/>
  <c r="AD290" i="5"/>
  <c r="AA300" i="8"/>
  <c r="AG290" i="5"/>
  <c r="AB300" i="8"/>
  <c r="Y185" i="4"/>
  <c r="AJ290" i="5"/>
  <c r="AC300" i="8"/>
  <c r="R301" i="8"/>
  <c r="S301" i="8"/>
  <c r="T301" i="8"/>
  <c r="U301" i="8"/>
  <c r="V301" i="8"/>
  <c r="W301" i="8"/>
  <c r="X301" i="8"/>
  <c r="Y301" i="8"/>
  <c r="Z301" i="8"/>
  <c r="AD291" i="5"/>
  <c r="AA301" i="8"/>
  <c r="AG291" i="5"/>
  <c r="AB301" i="8"/>
  <c r="Y218" i="4"/>
  <c r="AJ291" i="5"/>
  <c r="AC301" i="8"/>
  <c r="R302" i="8"/>
  <c r="S302" i="8"/>
  <c r="T302" i="8"/>
  <c r="U302" i="8"/>
  <c r="V302" i="8"/>
  <c r="W302" i="8"/>
  <c r="X302" i="8"/>
  <c r="Y302" i="8"/>
  <c r="Z302" i="8"/>
  <c r="AD292" i="5"/>
  <c r="AA302" i="8"/>
  <c r="AG292" i="5"/>
  <c r="AB302" i="8"/>
  <c r="Y140" i="4"/>
  <c r="AJ292" i="5"/>
  <c r="AC302" i="8"/>
  <c r="R29" i="8"/>
  <c r="S29" i="8"/>
  <c r="T29" i="8"/>
  <c r="U29" i="8"/>
  <c r="V29" i="8"/>
  <c r="W29" i="8"/>
  <c r="X29" i="8"/>
  <c r="Y29" i="8"/>
  <c r="Z29" i="8"/>
  <c r="AD293" i="5"/>
  <c r="AA29" i="8"/>
  <c r="AG293" i="5"/>
  <c r="AB29" i="8"/>
  <c r="Y252" i="4"/>
  <c r="AJ293" i="5"/>
  <c r="AC29" i="8"/>
  <c r="R303" i="8"/>
  <c r="S303" i="8"/>
  <c r="T303" i="8"/>
  <c r="U303" i="8"/>
  <c r="V303" i="8"/>
  <c r="W303" i="8"/>
  <c r="X303" i="8"/>
  <c r="Y303" i="8"/>
  <c r="Z303" i="8"/>
  <c r="AD294" i="5"/>
  <c r="AA303" i="8"/>
  <c r="AG294" i="5"/>
  <c r="AB303" i="8"/>
  <c r="Y210" i="4"/>
  <c r="AJ294" i="5"/>
  <c r="AC303" i="8"/>
  <c r="R304" i="8"/>
  <c r="S304" i="8"/>
  <c r="T304" i="8"/>
  <c r="U304" i="8"/>
  <c r="V304" i="8"/>
  <c r="W304" i="8"/>
  <c r="X304" i="8"/>
  <c r="Y304" i="8"/>
  <c r="Z304" i="8"/>
  <c r="AD295" i="5"/>
  <c r="AA304" i="8"/>
  <c r="AG295" i="5"/>
  <c r="AB304" i="8"/>
  <c r="Y242" i="4"/>
  <c r="AJ295" i="5"/>
  <c r="AC304" i="8"/>
  <c r="R305" i="8"/>
  <c r="S305" i="8"/>
  <c r="T305" i="8"/>
  <c r="U305" i="8"/>
  <c r="V305" i="8"/>
  <c r="W305" i="8"/>
  <c r="X305" i="8"/>
  <c r="Y305" i="8"/>
  <c r="Z305" i="8"/>
  <c r="AD296" i="5"/>
  <c r="AA305" i="8"/>
  <c r="AG296" i="5"/>
  <c r="AB305" i="8"/>
  <c r="Y177" i="4"/>
  <c r="AJ296" i="5"/>
  <c r="AC305" i="8"/>
  <c r="R306" i="8"/>
  <c r="S306" i="8"/>
  <c r="T306" i="8"/>
  <c r="U306" i="8"/>
  <c r="V306" i="8"/>
  <c r="W306" i="8"/>
  <c r="X306" i="8"/>
  <c r="Y306" i="8"/>
  <c r="Z306" i="8"/>
  <c r="AD297" i="5"/>
  <c r="AA306" i="8"/>
  <c r="AG297" i="5"/>
  <c r="AB306" i="8"/>
  <c r="Y264" i="4"/>
  <c r="AJ297" i="5"/>
  <c r="AC306" i="8"/>
  <c r="R307" i="8"/>
  <c r="S307" i="8"/>
  <c r="T307" i="8"/>
  <c r="U307" i="8"/>
  <c r="V307" i="8"/>
  <c r="W307" i="8"/>
  <c r="X307" i="8"/>
  <c r="Y307" i="8"/>
  <c r="Z307" i="8"/>
  <c r="AD298" i="5"/>
  <c r="AA307" i="8"/>
  <c r="AG298" i="5"/>
  <c r="AB307" i="8"/>
  <c r="Y234" i="4"/>
  <c r="AJ298" i="5"/>
  <c r="AC307" i="8"/>
  <c r="R308" i="8"/>
  <c r="S308" i="8"/>
  <c r="T308" i="8"/>
  <c r="U308" i="8"/>
  <c r="V308" i="8"/>
  <c r="W308" i="8"/>
  <c r="X308" i="8"/>
  <c r="Y308" i="8"/>
  <c r="Z308" i="8"/>
  <c r="AD299" i="5"/>
  <c r="AA308" i="8"/>
  <c r="AG299" i="5"/>
  <c r="AB308" i="8"/>
  <c r="Y29" i="2"/>
  <c r="Y166" i="4"/>
  <c r="AJ299" i="5"/>
  <c r="AC308" i="8"/>
  <c r="R309" i="8"/>
  <c r="S309" i="8"/>
  <c r="T309" i="8"/>
  <c r="U309" i="8"/>
  <c r="V309" i="8"/>
  <c r="W309" i="8"/>
  <c r="X309" i="8"/>
  <c r="Y309" i="8"/>
  <c r="Z309" i="8"/>
  <c r="AA309" i="8"/>
  <c r="AB309" i="8"/>
  <c r="Y382" i="4"/>
  <c r="AJ300" i="5"/>
  <c r="AC309" i="8"/>
  <c r="R310" i="8"/>
  <c r="S310" i="8"/>
  <c r="T310" i="8"/>
  <c r="U310" i="8"/>
  <c r="V310" i="8"/>
  <c r="W310" i="8"/>
  <c r="X310" i="8"/>
  <c r="Y310" i="8"/>
  <c r="Z310" i="8"/>
  <c r="AD301" i="5"/>
  <c r="AA310" i="8"/>
  <c r="AG301" i="5"/>
  <c r="AB310" i="8"/>
  <c r="Y163" i="4"/>
  <c r="AJ301" i="5"/>
  <c r="AC310" i="8"/>
  <c r="R311" i="8"/>
  <c r="S311" i="8"/>
  <c r="T311" i="8"/>
  <c r="U311" i="8"/>
  <c r="V311" i="8"/>
  <c r="W311" i="8"/>
  <c r="X311" i="8"/>
  <c r="Y311" i="8"/>
  <c r="Z311" i="8"/>
  <c r="AD302" i="5"/>
  <c r="AA311" i="8"/>
  <c r="AG302" i="5"/>
  <c r="AB311" i="8"/>
  <c r="Y171" i="4"/>
  <c r="AJ302" i="5"/>
  <c r="AC311" i="8"/>
  <c r="R312" i="8"/>
  <c r="S312" i="8"/>
  <c r="T312" i="8"/>
  <c r="U312" i="8"/>
  <c r="V312" i="8"/>
  <c r="W312" i="8"/>
  <c r="X312" i="8"/>
  <c r="Y312" i="8"/>
  <c r="Z312" i="8"/>
  <c r="AD303" i="5"/>
  <c r="AA312" i="8"/>
  <c r="AG303" i="5"/>
  <c r="AB312" i="8"/>
  <c r="AC312" i="8"/>
  <c r="R313" i="8"/>
  <c r="S313" i="8"/>
  <c r="T313" i="8"/>
  <c r="U313" i="8"/>
  <c r="V313" i="8"/>
  <c r="W313" i="8"/>
  <c r="X313" i="8"/>
  <c r="Y313" i="8"/>
  <c r="Z313" i="8"/>
  <c r="AD304" i="5"/>
  <c r="AA313" i="8"/>
  <c r="AG304" i="5"/>
  <c r="AB313" i="8"/>
  <c r="Y180" i="4"/>
  <c r="AJ304" i="5"/>
  <c r="AC313" i="8"/>
  <c r="R314" i="8"/>
  <c r="S314" i="8"/>
  <c r="T314" i="8"/>
  <c r="U314" i="8"/>
  <c r="V314" i="8"/>
  <c r="W314" i="8"/>
  <c r="X314" i="8"/>
  <c r="Y314" i="8"/>
  <c r="Z314" i="8"/>
  <c r="AD305" i="5"/>
  <c r="AA314" i="8"/>
  <c r="AG305" i="5"/>
  <c r="AB314" i="8"/>
  <c r="Y170" i="4"/>
  <c r="AJ305" i="5"/>
  <c r="AC314" i="8"/>
  <c r="R315" i="8"/>
  <c r="S315" i="8"/>
  <c r="T315" i="8"/>
  <c r="U315" i="8"/>
  <c r="V315" i="8"/>
  <c r="W315" i="8"/>
  <c r="X315" i="8"/>
  <c r="Y315" i="8"/>
  <c r="Z315" i="8"/>
  <c r="AD306" i="5"/>
  <c r="AA315" i="8"/>
  <c r="AG306" i="5"/>
  <c r="AB315" i="8"/>
  <c r="Y248" i="4"/>
  <c r="AJ306" i="5"/>
  <c r="AC315" i="8"/>
  <c r="R316" i="8"/>
  <c r="S316" i="8"/>
  <c r="T316" i="8"/>
  <c r="U316" i="8"/>
  <c r="V316" i="8"/>
  <c r="W316" i="8"/>
  <c r="X316" i="8"/>
  <c r="Y316" i="8"/>
  <c r="Z316" i="8"/>
  <c r="AD307" i="5"/>
  <c r="AA316" i="8"/>
  <c r="AG307" i="5"/>
  <c r="AB316" i="8"/>
  <c r="AC316" i="8"/>
  <c r="R317" i="8"/>
  <c r="S317" i="8"/>
  <c r="T317" i="8"/>
  <c r="U317" i="8"/>
  <c r="V317" i="8"/>
  <c r="W317" i="8"/>
  <c r="X317" i="8"/>
  <c r="Y317" i="8"/>
  <c r="Z317" i="8"/>
  <c r="AD308" i="5"/>
  <c r="AA317" i="8"/>
  <c r="AG308" i="5"/>
  <c r="AB317" i="8"/>
  <c r="Y276" i="4"/>
  <c r="AJ308" i="5"/>
  <c r="AC317" i="8"/>
  <c r="R318" i="8"/>
  <c r="S318" i="8"/>
  <c r="T318" i="8"/>
  <c r="U318" i="8"/>
  <c r="V318" i="8"/>
  <c r="W318" i="8"/>
  <c r="X318" i="8"/>
  <c r="Y318" i="8"/>
  <c r="Z318" i="8"/>
  <c r="AD309" i="5"/>
  <c r="AA318" i="8"/>
  <c r="AG309" i="5"/>
  <c r="AB318" i="8"/>
  <c r="Y184" i="4"/>
  <c r="AJ309" i="5"/>
  <c r="AC318" i="8"/>
  <c r="R319" i="8"/>
  <c r="S319" i="8"/>
  <c r="T319" i="8"/>
  <c r="U319" i="8"/>
  <c r="V319" i="8"/>
  <c r="W319" i="8"/>
  <c r="X319" i="8"/>
  <c r="Y319" i="8"/>
  <c r="Z319" i="8"/>
  <c r="AD310" i="5"/>
  <c r="AA319" i="8"/>
  <c r="AG310" i="5"/>
  <c r="AB319" i="8"/>
  <c r="Y193" i="4"/>
  <c r="AJ310" i="5"/>
  <c r="AC319" i="8"/>
  <c r="R320" i="8"/>
  <c r="S320" i="8"/>
  <c r="T320" i="8"/>
  <c r="U320" i="8"/>
  <c r="V320" i="8"/>
  <c r="W320" i="8"/>
  <c r="X320" i="8"/>
  <c r="Y320" i="8"/>
  <c r="Z320" i="8"/>
  <c r="AD311" i="5"/>
  <c r="AA320" i="8"/>
  <c r="AG311" i="5"/>
  <c r="AB320" i="8"/>
  <c r="Y157" i="4"/>
  <c r="AJ311" i="5"/>
  <c r="AC320" i="8"/>
  <c r="R321" i="8"/>
  <c r="S321" i="8"/>
  <c r="T321" i="8"/>
  <c r="U321" i="8"/>
  <c r="V321" i="8"/>
  <c r="W321" i="8"/>
  <c r="X321" i="8"/>
  <c r="Y321" i="8"/>
  <c r="Z321" i="8"/>
  <c r="AD312" i="5"/>
  <c r="AA321" i="8"/>
  <c r="AG312" i="5"/>
  <c r="AB321" i="8"/>
  <c r="Y204" i="4"/>
  <c r="AJ312" i="5"/>
  <c r="AC321" i="8"/>
  <c r="R322" i="8"/>
  <c r="S322" i="8"/>
  <c r="T322" i="8"/>
  <c r="U322" i="8"/>
  <c r="V322" i="8"/>
  <c r="W322" i="8"/>
  <c r="X322" i="8"/>
  <c r="Y322" i="8"/>
  <c r="Z322" i="8"/>
  <c r="AD313" i="5"/>
  <c r="AA322" i="8"/>
  <c r="AG313" i="5"/>
  <c r="AB322" i="8"/>
  <c r="Y165" i="4"/>
  <c r="AJ313" i="5"/>
  <c r="AC322" i="8"/>
  <c r="R323" i="8"/>
  <c r="S323" i="8"/>
  <c r="T323" i="8"/>
  <c r="U323" i="8"/>
  <c r="V323" i="8"/>
  <c r="W323" i="8"/>
  <c r="X323" i="8"/>
  <c r="Y323" i="8"/>
  <c r="Z323" i="8"/>
  <c r="AD314" i="5"/>
  <c r="AA323" i="8"/>
  <c r="AG314" i="5"/>
  <c r="AB323" i="8"/>
  <c r="Y281" i="4"/>
  <c r="AJ314" i="5"/>
  <c r="AC323" i="8"/>
  <c r="R324" i="8"/>
  <c r="S324" i="8"/>
  <c r="T324" i="8"/>
  <c r="U324" i="8"/>
  <c r="V324" i="8"/>
  <c r="W324" i="8"/>
  <c r="X324" i="8"/>
  <c r="Y324" i="8"/>
  <c r="Z324" i="8"/>
  <c r="AD315" i="5"/>
  <c r="AA324" i="8"/>
  <c r="AG315" i="5"/>
  <c r="AB324" i="8"/>
  <c r="Y223" i="4"/>
  <c r="AJ315" i="5"/>
  <c r="AC324" i="8"/>
  <c r="R325" i="8"/>
  <c r="S325" i="8"/>
  <c r="T325" i="8"/>
  <c r="U325" i="8"/>
  <c r="V325" i="8"/>
  <c r="W325" i="8"/>
  <c r="X325" i="8"/>
  <c r="Y325" i="8"/>
  <c r="Z325" i="8"/>
  <c r="AD316" i="5"/>
  <c r="AA325" i="8"/>
  <c r="AG316" i="5"/>
  <c r="AB325" i="8"/>
  <c r="Y269" i="4"/>
  <c r="AJ316" i="5"/>
  <c r="AC325" i="8"/>
  <c r="R326" i="8"/>
  <c r="S326" i="8"/>
  <c r="T326" i="8"/>
  <c r="U326" i="8"/>
  <c r="V326" i="8"/>
  <c r="W326" i="8"/>
  <c r="X326" i="8"/>
  <c r="Y326" i="8"/>
  <c r="Z326" i="8"/>
  <c r="AD317" i="5"/>
  <c r="AA326" i="8"/>
  <c r="AG317" i="5"/>
  <c r="AB326" i="8"/>
  <c r="Y220" i="4"/>
  <c r="AJ317" i="5"/>
  <c r="AC326" i="8"/>
  <c r="R30" i="8"/>
  <c r="S30" i="8"/>
  <c r="T30" i="8"/>
  <c r="U30" i="8"/>
  <c r="V30" i="8"/>
  <c r="W30" i="8"/>
  <c r="X30" i="8"/>
  <c r="Y30" i="8"/>
  <c r="Z30" i="8"/>
  <c r="AD318" i="5"/>
  <c r="AA30" i="8"/>
  <c r="AG318" i="5"/>
  <c r="AB30" i="8"/>
  <c r="Y156" i="4"/>
  <c r="AJ318" i="5"/>
  <c r="AC30" i="8"/>
  <c r="R327" i="8"/>
  <c r="S327" i="8"/>
  <c r="T327" i="8"/>
  <c r="U327" i="8"/>
  <c r="V327" i="8"/>
  <c r="W327" i="8"/>
  <c r="X327" i="8"/>
  <c r="Y327" i="8"/>
  <c r="Z327" i="8"/>
  <c r="AD319" i="5"/>
  <c r="AA327" i="8"/>
  <c r="AG319" i="5"/>
  <c r="AB327" i="8"/>
  <c r="Y120" i="4"/>
  <c r="AJ319" i="5"/>
  <c r="AC327" i="8"/>
  <c r="R328" i="8"/>
  <c r="S328" i="8"/>
  <c r="T328" i="8"/>
  <c r="U328" i="8"/>
  <c r="V328" i="8"/>
  <c r="W328" i="8"/>
  <c r="X328" i="8"/>
  <c r="Y328" i="8"/>
  <c r="Z328" i="8"/>
  <c r="AD320" i="5"/>
  <c r="AA328" i="8"/>
  <c r="AG320" i="5"/>
  <c r="AB328" i="8"/>
  <c r="Y225" i="4"/>
  <c r="AJ320" i="5"/>
  <c r="AC328" i="8"/>
  <c r="R329" i="8"/>
  <c r="S329" i="8"/>
  <c r="T329" i="8"/>
  <c r="U329" i="8"/>
  <c r="V329" i="8"/>
  <c r="W329" i="8"/>
  <c r="X329" i="8"/>
  <c r="Y329" i="8"/>
  <c r="Z329" i="8"/>
  <c r="AD321" i="5"/>
  <c r="AA329" i="8"/>
  <c r="AG321" i="5"/>
  <c r="AB329" i="8"/>
  <c r="Y217" i="4"/>
  <c r="AJ321" i="5"/>
  <c r="AC329" i="8"/>
  <c r="R330" i="8"/>
  <c r="S330" i="8"/>
  <c r="T330" i="8"/>
  <c r="U330" i="8"/>
  <c r="V330" i="8"/>
  <c r="W330" i="8"/>
  <c r="X330" i="8"/>
  <c r="Y330" i="8"/>
  <c r="Z330" i="8"/>
  <c r="AD322" i="5"/>
  <c r="AA330" i="8"/>
  <c r="AG322" i="5"/>
  <c r="AB330" i="8"/>
  <c r="Y162" i="4"/>
  <c r="AJ322" i="5"/>
  <c r="AC330" i="8"/>
  <c r="R331" i="8"/>
  <c r="S331" i="8"/>
  <c r="T331" i="8"/>
  <c r="U331" i="8"/>
  <c r="V331" i="8"/>
  <c r="W331" i="8"/>
  <c r="X331" i="8"/>
  <c r="Y331" i="8"/>
  <c r="Z331" i="8"/>
  <c r="AD323" i="5"/>
  <c r="AA331" i="8"/>
  <c r="AG323" i="5"/>
  <c r="AB331" i="8"/>
  <c r="Y139" i="4"/>
  <c r="AJ323" i="5"/>
  <c r="AC331" i="8"/>
  <c r="R31" i="8"/>
  <c r="S31" i="8"/>
  <c r="T31" i="8"/>
  <c r="U31" i="8"/>
  <c r="V31" i="8"/>
  <c r="W31" i="8"/>
  <c r="X31" i="8"/>
  <c r="Y31" i="8"/>
  <c r="Z31" i="8"/>
  <c r="AD324" i="5"/>
  <c r="AA31" i="8"/>
  <c r="AG324" i="5"/>
  <c r="AB31" i="8"/>
  <c r="Y240" i="4"/>
  <c r="AJ324" i="5"/>
  <c r="AC31" i="8"/>
  <c r="R332" i="8"/>
  <c r="S332" i="8"/>
  <c r="T332" i="8"/>
  <c r="U332" i="8"/>
  <c r="V332" i="8"/>
  <c r="W332" i="8"/>
  <c r="X332" i="8"/>
  <c r="Y332" i="8"/>
  <c r="Z332" i="8"/>
  <c r="AD325" i="5"/>
  <c r="AA332" i="8"/>
  <c r="AG325" i="5"/>
  <c r="AB332" i="8"/>
  <c r="Y232" i="4"/>
  <c r="AJ325" i="5"/>
  <c r="AC332" i="8"/>
  <c r="R333" i="8"/>
  <c r="S333" i="8"/>
  <c r="T333" i="8"/>
  <c r="U333" i="8"/>
  <c r="V333" i="8"/>
  <c r="W333" i="8"/>
  <c r="X333" i="8"/>
  <c r="Y333" i="8"/>
  <c r="Z333" i="8"/>
  <c r="AD326" i="5"/>
  <c r="AA333" i="8"/>
  <c r="AG326" i="5"/>
  <c r="AB333" i="8"/>
  <c r="Y38" i="2"/>
  <c r="Y6" i="4"/>
  <c r="AJ326" i="5"/>
  <c r="AC333" i="8"/>
  <c r="R334" i="8"/>
  <c r="S334" i="8"/>
  <c r="T334" i="8"/>
  <c r="U334" i="8"/>
  <c r="V334" i="8"/>
  <c r="W334" i="8"/>
  <c r="X334" i="8"/>
  <c r="Y334" i="8"/>
  <c r="Z334" i="8"/>
  <c r="AD327" i="5"/>
  <c r="AA334" i="8"/>
  <c r="AG327" i="5"/>
  <c r="AB334" i="8"/>
  <c r="Y7" i="4"/>
  <c r="AJ327" i="5"/>
  <c r="AC334" i="8"/>
  <c r="R335" i="8"/>
  <c r="S335" i="8"/>
  <c r="T335" i="8"/>
  <c r="U335" i="8"/>
  <c r="V335" i="8"/>
  <c r="W335" i="8"/>
  <c r="X335" i="8"/>
  <c r="Y335" i="8"/>
  <c r="Z335" i="8"/>
  <c r="AD328" i="5"/>
  <c r="AA335" i="8"/>
  <c r="AG328" i="5"/>
  <c r="AB335" i="8"/>
  <c r="Y54" i="4"/>
  <c r="AJ328" i="5"/>
  <c r="AC335" i="8"/>
  <c r="R336" i="8"/>
  <c r="S336" i="8"/>
  <c r="T336" i="8"/>
  <c r="U336" i="8"/>
  <c r="V336" i="8"/>
  <c r="W336" i="8"/>
  <c r="X336" i="8"/>
  <c r="Y336" i="8"/>
  <c r="Z336" i="8"/>
  <c r="AD329" i="5"/>
  <c r="AA336" i="8"/>
  <c r="AG329" i="5"/>
  <c r="AB336" i="8"/>
  <c r="Y43" i="4"/>
  <c r="AJ329" i="5"/>
  <c r="AC336" i="8"/>
  <c r="R337" i="8"/>
  <c r="S337" i="8"/>
  <c r="T337" i="8"/>
  <c r="U337" i="8"/>
  <c r="V337" i="8"/>
  <c r="W337" i="8"/>
  <c r="X337" i="8"/>
  <c r="Y337" i="8"/>
  <c r="Z337" i="8"/>
  <c r="AD330" i="5"/>
  <c r="AA337" i="8"/>
  <c r="AG330" i="5"/>
  <c r="AB337" i="8"/>
  <c r="Y9" i="4"/>
  <c r="AJ330" i="5"/>
  <c r="AC337" i="8"/>
  <c r="R338" i="8"/>
  <c r="S338" i="8"/>
  <c r="T338" i="8"/>
  <c r="U338" i="8"/>
  <c r="V338" i="8"/>
  <c r="W338" i="8"/>
  <c r="X338" i="8"/>
  <c r="Y338" i="8"/>
  <c r="Z338" i="8"/>
  <c r="AA338" i="8"/>
  <c r="AB338" i="8"/>
  <c r="Y383" i="4"/>
  <c r="AJ331" i="5"/>
  <c r="AC338" i="8"/>
  <c r="R339" i="8"/>
  <c r="S339" i="8"/>
  <c r="T339" i="8"/>
  <c r="U339" i="8"/>
  <c r="V339" i="8"/>
  <c r="W339" i="8"/>
  <c r="X339" i="8"/>
  <c r="Y339" i="8"/>
  <c r="Z339" i="8"/>
  <c r="AD332" i="5"/>
  <c r="AA339" i="8"/>
  <c r="AG332" i="5"/>
  <c r="AB339" i="8"/>
  <c r="Y64" i="4"/>
  <c r="AJ332" i="5"/>
  <c r="AC339" i="8"/>
  <c r="R340" i="8"/>
  <c r="S340" i="8"/>
  <c r="T340" i="8"/>
  <c r="U340" i="8"/>
  <c r="V340" i="8"/>
  <c r="W340" i="8"/>
  <c r="X340" i="8"/>
  <c r="Y340" i="8"/>
  <c r="Z340" i="8"/>
  <c r="AD333" i="5"/>
  <c r="AA340" i="8"/>
  <c r="AG333" i="5"/>
  <c r="AB340" i="8"/>
  <c r="Y74" i="4"/>
  <c r="AJ333" i="5"/>
  <c r="AC340" i="8"/>
  <c r="R341" i="8"/>
  <c r="S341" i="8"/>
  <c r="T341" i="8"/>
  <c r="U341" i="8"/>
  <c r="V341" i="8"/>
  <c r="W341" i="8"/>
  <c r="X341" i="8"/>
  <c r="Y341" i="8"/>
  <c r="Z341" i="8"/>
  <c r="AD334" i="5"/>
  <c r="AA341" i="8"/>
  <c r="AG334" i="5"/>
  <c r="AB341" i="8"/>
  <c r="Y75" i="4"/>
  <c r="AJ334" i="5"/>
  <c r="AC341" i="8"/>
  <c r="R342" i="8"/>
  <c r="S342" i="8"/>
  <c r="T342" i="8"/>
  <c r="U342" i="8"/>
  <c r="V342" i="8"/>
  <c r="W342" i="8"/>
  <c r="X342" i="8"/>
  <c r="Y342" i="8"/>
  <c r="Z342" i="8"/>
  <c r="AD335" i="5"/>
  <c r="AA342" i="8"/>
  <c r="AG335" i="5"/>
  <c r="AB342" i="8"/>
  <c r="Y95" i="4"/>
  <c r="AJ335" i="5"/>
  <c r="AC342" i="8"/>
  <c r="R343" i="8"/>
  <c r="S343" i="8"/>
  <c r="T343" i="8"/>
  <c r="U343" i="8"/>
  <c r="V343" i="8"/>
  <c r="W343" i="8"/>
  <c r="X343" i="8"/>
  <c r="Y343" i="8"/>
  <c r="Z343" i="8"/>
  <c r="AD336" i="5"/>
  <c r="AA343" i="8"/>
  <c r="AG336" i="5"/>
  <c r="AB343" i="8"/>
  <c r="Y103" i="4"/>
  <c r="AJ336" i="5"/>
  <c r="AC343" i="8"/>
  <c r="R344" i="8"/>
  <c r="S344" i="8"/>
  <c r="T344" i="8"/>
  <c r="U344" i="8"/>
  <c r="V344" i="8"/>
  <c r="W344" i="8"/>
  <c r="X344" i="8"/>
  <c r="Y344" i="8"/>
  <c r="Z344" i="8"/>
  <c r="AD337" i="5"/>
  <c r="AA344" i="8"/>
  <c r="AG337" i="5"/>
  <c r="AB344" i="8"/>
  <c r="Y63" i="4"/>
  <c r="AJ337" i="5"/>
  <c r="AC344" i="8"/>
  <c r="R345" i="8"/>
  <c r="S345" i="8"/>
  <c r="T345" i="8"/>
  <c r="U345" i="8"/>
  <c r="V345" i="8"/>
  <c r="W345" i="8"/>
  <c r="X345" i="8"/>
  <c r="Y345" i="8"/>
  <c r="Z345" i="8"/>
  <c r="AD338" i="5"/>
  <c r="AA345" i="8"/>
  <c r="AG338" i="5"/>
  <c r="AB345" i="8"/>
  <c r="Y97" i="4"/>
  <c r="AJ338" i="5"/>
  <c r="AC345" i="8"/>
  <c r="R346" i="8"/>
  <c r="S346" i="8"/>
  <c r="T346" i="8"/>
  <c r="U346" i="8"/>
  <c r="V346" i="8"/>
  <c r="W346" i="8"/>
  <c r="X346" i="8"/>
  <c r="Y346" i="8"/>
  <c r="Z346" i="8"/>
  <c r="AD339" i="5"/>
  <c r="AA346" i="8"/>
  <c r="AG339" i="5"/>
  <c r="AB346" i="8"/>
  <c r="Y73" i="4"/>
  <c r="AJ339" i="5"/>
  <c r="AC346" i="8"/>
  <c r="R347" i="8"/>
  <c r="S347" i="8"/>
  <c r="T347" i="8"/>
  <c r="U347" i="8"/>
  <c r="V347" i="8"/>
  <c r="W347" i="8"/>
  <c r="X347" i="8"/>
  <c r="Y347" i="8"/>
  <c r="Z347" i="8"/>
  <c r="AD340" i="5"/>
  <c r="AA347" i="8"/>
  <c r="AG340" i="5"/>
  <c r="AB347" i="8"/>
  <c r="Y111" i="4"/>
  <c r="AJ340" i="5"/>
  <c r="AC347" i="8"/>
  <c r="R348" i="8"/>
  <c r="S348" i="8"/>
  <c r="T348" i="8"/>
  <c r="U348" i="8"/>
  <c r="V348" i="8"/>
  <c r="W348" i="8"/>
  <c r="X348" i="8"/>
  <c r="Y348" i="8"/>
  <c r="Z348" i="8"/>
  <c r="AD341" i="5"/>
  <c r="AA348" i="8"/>
  <c r="AG341" i="5"/>
  <c r="AB348" i="8"/>
  <c r="Y98" i="4"/>
  <c r="AJ341" i="5"/>
  <c r="AC348" i="8"/>
  <c r="R349" i="8"/>
  <c r="S349" i="8"/>
  <c r="T349" i="8"/>
  <c r="U349" i="8"/>
  <c r="V349" i="8"/>
  <c r="W349" i="8"/>
  <c r="X349" i="8"/>
  <c r="Y349" i="8"/>
  <c r="Z349" i="8"/>
  <c r="AD342" i="5"/>
  <c r="AA349" i="8"/>
  <c r="AG342" i="5"/>
  <c r="AB349" i="8"/>
  <c r="Y66" i="4"/>
  <c r="AJ342" i="5"/>
  <c r="AC349" i="8"/>
  <c r="R350" i="8"/>
  <c r="S350" i="8"/>
  <c r="T350" i="8"/>
  <c r="U350" i="8"/>
  <c r="V350" i="8"/>
  <c r="W350" i="8"/>
  <c r="X350" i="8"/>
  <c r="Y350" i="8"/>
  <c r="Z350" i="8"/>
  <c r="AD343" i="5"/>
  <c r="AA350" i="8"/>
  <c r="AG343" i="5"/>
  <c r="AB350" i="8"/>
  <c r="Y67" i="4"/>
  <c r="AJ343" i="5"/>
  <c r="AC350" i="8"/>
  <c r="R32" i="8"/>
  <c r="S32" i="8"/>
  <c r="T32" i="8"/>
  <c r="U32" i="8"/>
  <c r="V32" i="8"/>
  <c r="W32" i="8"/>
  <c r="X32" i="8"/>
  <c r="Y32" i="8"/>
  <c r="Z32" i="8"/>
  <c r="AD344" i="5"/>
  <c r="AA32" i="8"/>
  <c r="AG344" i="5"/>
  <c r="AB32" i="8"/>
  <c r="Y112" i="4"/>
  <c r="AJ344" i="5"/>
  <c r="AC32" i="8"/>
  <c r="R351" i="8"/>
  <c r="S351" i="8"/>
  <c r="T351" i="8"/>
  <c r="U351" i="8"/>
  <c r="V351" i="8"/>
  <c r="W351" i="8"/>
  <c r="X351" i="8"/>
  <c r="Y351" i="8"/>
  <c r="Z351" i="8"/>
  <c r="AD345" i="5"/>
  <c r="AA351" i="8"/>
  <c r="AG345" i="5"/>
  <c r="AB351" i="8"/>
  <c r="Y68" i="4"/>
  <c r="AJ345" i="5"/>
  <c r="AC351" i="8"/>
  <c r="R352" i="8"/>
  <c r="S352" i="8"/>
  <c r="T352" i="8"/>
  <c r="U352" i="8"/>
  <c r="V352" i="8"/>
  <c r="W352" i="8"/>
  <c r="X352" i="8"/>
  <c r="Y352" i="8"/>
  <c r="Z352" i="8"/>
  <c r="AD346" i="5"/>
  <c r="AA352" i="8"/>
  <c r="AG346" i="5"/>
  <c r="AB352" i="8"/>
  <c r="Y79" i="4"/>
  <c r="AJ346" i="5"/>
  <c r="AC352" i="8"/>
  <c r="R353" i="8"/>
  <c r="S353" i="8"/>
  <c r="T353" i="8"/>
  <c r="U353" i="8"/>
  <c r="V353" i="8"/>
  <c r="W353" i="8"/>
  <c r="X353" i="8"/>
  <c r="Y353" i="8"/>
  <c r="Z353" i="8"/>
  <c r="AD347" i="5"/>
  <c r="AA353" i="8"/>
  <c r="AG347" i="5"/>
  <c r="AB353" i="8"/>
  <c r="Y91" i="4"/>
  <c r="AJ347" i="5"/>
  <c r="AC353" i="8"/>
  <c r="R354" i="8"/>
  <c r="S354" i="8"/>
  <c r="T354" i="8"/>
  <c r="U354" i="8"/>
  <c r="V354" i="8"/>
  <c r="W354" i="8"/>
  <c r="X354" i="8"/>
  <c r="Y354" i="8"/>
  <c r="Z354" i="8"/>
  <c r="AD348" i="5"/>
  <c r="AA354" i="8"/>
  <c r="AG348" i="5"/>
  <c r="AB354" i="8"/>
  <c r="Y100" i="4"/>
  <c r="AJ348" i="5"/>
  <c r="AC354" i="8"/>
  <c r="R355" i="8"/>
  <c r="S355" i="8"/>
  <c r="T355" i="8"/>
  <c r="U355" i="8"/>
  <c r="V355" i="8"/>
  <c r="W355" i="8"/>
  <c r="X355" i="8"/>
  <c r="Y355" i="8"/>
  <c r="Z355" i="8"/>
  <c r="AD349" i="5"/>
  <c r="AA355" i="8"/>
  <c r="AG349" i="5"/>
  <c r="AB355" i="8"/>
  <c r="Y77" i="4"/>
  <c r="AJ349" i="5"/>
  <c r="AC355" i="8"/>
  <c r="R356" i="8"/>
  <c r="S356" i="8"/>
  <c r="T356" i="8"/>
  <c r="U356" i="8"/>
  <c r="V356" i="8"/>
  <c r="W356" i="8"/>
  <c r="X356" i="8"/>
  <c r="Y356" i="8"/>
  <c r="Z356" i="8"/>
  <c r="AD350" i="5"/>
  <c r="AA356" i="8"/>
  <c r="AG350" i="5"/>
  <c r="AB356" i="8"/>
  <c r="Y89" i="4"/>
  <c r="AJ350" i="5"/>
  <c r="AC356" i="8"/>
  <c r="R357" i="8"/>
  <c r="S357" i="8"/>
  <c r="T357" i="8"/>
  <c r="U357" i="8"/>
  <c r="V357" i="8"/>
  <c r="W357" i="8"/>
  <c r="X357" i="8"/>
  <c r="Y357" i="8"/>
  <c r="Z357" i="8"/>
  <c r="AD351" i="5"/>
  <c r="AA357" i="8"/>
  <c r="AG351" i="5"/>
  <c r="AB357" i="8"/>
  <c r="Y65" i="4"/>
  <c r="AJ351" i="5"/>
  <c r="AC357" i="8"/>
  <c r="R358" i="8"/>
  <c r="S358" i="8"/>
  <c r="T358" i="8"/>
  <c r="U358" i="8"/>
  <c r="V358" i="8"/>
  <c r="W358" i="8"/>
  <c r="X358" i="8"/>
  <c r="Y358" i="8"/>
  <c r="Z358" i="8"/>
  <c r="AD352" i="5"/>
  <c r="AA358" i="8"/>
  <c r="AG352" i="5"/>
  <c r="AB358" i="8"/>
  <c r="Y96" i="4"/>
  <c r="AJ352" i="5"/>
  <c r="AC358" i="8"/>
  <c r="R359" i="8"/>
  <c r="S359" i="8"/>
  <c r="T359" i="8"/>
  <c r="U359" i="8"/>
  <c r="V359" i="8"/>
  <c r="W359" i="8"/>
  <c r="X359" i="8"/>
  <c r="Y359" i="8"/>
  <c r="Z359" i="8"/>
  <c r="AD353" i="5"/>
  <c r="AA359" i="8"/>
  <c r="AG353" i="5"/>
  <c r="AB359" i="8"/>
  <c r="Y82" i="4"/>
  <c r="AJ353" i="5"/>
  <c r="AC359" i="8"/>
  <c r="R360" i="8"/>
  <c r="S360" i="8"/>
  <c r="T360" i="8"/>
  <c r="U360" i="8"/>
  <c r="V360" i="8"/>
  <c r="W360" i="8"/>
  <c r="X360" i="8"/>
  <c r="Y360" i="8"/>
  <c r="Z360" i="8"/>
  <c r="AD354" i="5"/>
  <c r="AA360" i="8"/>
  <c r="AG354" i="5"/>
  <c r="AB360" i="8"/>
  <c r="Y93" i="4"/>
  <c r="AJ354" i="5"/>
  <c r="AC360" i="8"/>
  <c r="R33" i="8"/>
  <c r="S33" i="8"/>
  <c r="T33" i="8"/>
  <c r="U33" i="8"/>
  <c r="V33" i="8"/>
  <c r="W33" i="8"/>
  <c r="X33" i="8"/>
  <c r="Y33" i="8"/>
  <c r="Z33" i="8"/>
  <c r="AD355" i="5"/>
  <c r="AA33" i="8"/>
  <c r="AG355" i="5"/>
  <c r="AB33" i="8"/>
  <c r="Y32" i="2"/>
  <c r="Y11" i="4"/>
  <c r="AJ355" i="5"/>
  <c r="AC33" i="8"/>
  <c r="R361" i="8"/>
  <c r="S361" i="8"/>
  <c r="T361" i="8"/>
  <c r="U361" i="8"/>
  <c r="V361" i="8"/>
  <c r="W361" i="8"/>
  <c r="X361" i="8"/>
  <c r="Y361" i="8"/>
  <c r="Z361" i="8"/>
  <c r="AD356" i="5"/>
  <c r="AA361" i="8"/>
  <c r="AG356" i="5"/>
  <c r="AB361" i="8"/>
  <c r="Y254" i="4"/>
  <c r="AJ356" i="5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D358" i="5"/>
  <c r="AA363" i="8"/>
  <c r="AG358" i="5"/>
  <c r="AB363" i="8"/>
  <c r="Y122" i="4"/>
  <c r="AJ358" i="5"/>
  <c r="AC363" i="8"/>
  <c r="R364" i="8"/>
  <c r="S364" i="8"/>
  <c r="T364" i="8"/>
  <c r="U364" i="8"/>
  <c r="V364" i="8"/>
  <c r="W364" i="8"/>
  <c r="X364" i="8"/>
  <c r="Y364" i="8"/>
  <c r="Z364" i="8"/>
  <c r="AD359" i="5"/>
  <c r="AA364" i="8"/>
  <c r="AG359" i="5"/>
  <c r="AB364" i="8"/>
  <c r="Y114" i="4"/>
  <c r="AJ359" i="5"/>
  <c r="AC364" i="8"/>
  <c r="R365" i="8"/>
  <c r="S365" i="8"/>
  <c r="T365" i="8"/>
  <c r="U365" i="8"/>
  <c r="V365" i="8"/>
  <c r="W365" i="8"/>
  <c r="X365" i="8"/>
  <c r="Y365" i="8"/>
  <c r="Z365" i="8"/>
  <c r="AD360" i="5"/>
  <c r="AA365" i="8"/>
  <c r="AG360" i="5"/>
  <c r="AB365" i="8"/>
  <c r="Y107" i="4"/>
  <c r="AJ360" i="5"/>
  <c r="AC365" i="8"/>
  <c r="R366" i="8"/>
  <c r="S366" i="8"/>
  <c r="T366" i="8"/>
  <c r="U366" i="8"/>
  <c r="V366" i="8"/>
  <c r="W366" i="8"/>
  <c r="X366" i="8"/>
  <c r="Y366" i="8"/>
  <c r="Z366" i="8"/>
  <c r="AD361" i="5"/>
  <c r="AA366" i="8"/>
  <c r="AG361" i="5"/>
  <c r="AB366" i="8"/>
  <c r="Y116" i="4"/>
  <c r="AJ361" i="5"/>
  <c r="AC366" i="8"/>
  <c r="R367" i="8"/>
  <c r="S367" i="8"/>
  <c r="T367" i="8"/>
  <c r="U367" i="8"/>
  <c r="V367" i="8"/>
  <c r="W367" i="8"/>
  <c r="X367" i="8"/>
  <c r="Y367" i="8"/>
  <c r="Z367" i="8"/>
  <c r="AD362" i="5"/>
  <c r="AA367" i="8"/>
  <c r="AG362" i="5"/>
  <c r="AB367" i="8"/>
  <c r="Y121" i="4"/>
  <c r="AJ362" i="5"/>
  <c r="AC367" i="8"/>
  <c r="R34" i="8"/>
  <c r="S34" i="8"/>
  <c r="T34" i="8"/>
  <c r="U34" i="8"/>
  <c r="V34" i="8"/>
  <c r="W34" i="8"/>
  <c r="X34" i="8"/>
  <c r="Y34" i="8"/>
  <c r="Z34" i="8"/>
  <c r="AD363" i="5"/>
  <c r="AA34" i="8"/>
  <c r="AG363" i="5"/>
  <c r="AB34" i="8"/>
  <c r="Y113" i="4"/>
  <c r="AJ363" i="5"/>
  <c r="AC34" i="8"/>
  <c r="R368" i="8"/>
  <c r="S368" i="8"/>
  <c r="T368" i="8"/>
  <c r="U368" i="8"/>
  <c r="V368" i="8"/>
  <c r="W368" i="8"/>
  <c r="X368" i="8"/>
  <c r="Y368" i="8"/>
  <c r="Z368" i="8"/>
  <c r="AD364" i="5"/>
  <c r="AA368" i="8"/>
  <c r="AG364" i="5"/>
  <c r="AB368" i="8"/>
  <c r="Y108" i="4"/>
  <c r="AJ364" i="5"/>
  <c r="AC368" i="8"/>
  <c r="R369" i="8"/>
  <c r="S369" i="8"/>
  <c r="T369" i="8"/>
  <c r="U369" i="8"/>
  <c r="V369" i="8"/>
  <c r="W369" i="8"/>
  <c r="X369" i="8"/>
  <c r="Y369" i="8"/>
  <c r="Z369" i="8"/>
  <c r="AD365" i="5"/>
  <c r="AA369" i="8"/>
  <c r="AG365" i="5"/>
  <c r="AB369" i="8"/>
  <c r="Y115" i="4"/>
  <c r="AJ365" i="5"/>
  <c r="AC369" i="8"/>
  <c r="R370" i="8"/>
  <c r="S370" i="8"/>
  <c r="T370" i="8"/>
  <c r="U370" i="8"/>
  <c r="V370" i="8"/>
  <c r="W370" i="8"/>
  <c r="X370" i="8"/>
  <c r="Y370" i="8"/>
  <c r="Z370" i="8"/>
  <c r="AD366" i="5"/>
  <c r="AA370" i="8"/>
  <c r="AG366" i="5"/>
  <c r="AB370" i="8"/>
  <c r="Y81" i="4"/>
  <c r="AJ366" i="5"/>
  <c r="AC370" i="8"/>
  <c r="R35" i="8"/>
  <c r="S35" i="8"/>
  <c r="T35" i="8"/>
  <c r="U35" i="8"/>
  <c r="V35" i="8"/>
  <c r="W35" i="8"/>
  <c r="X35" i="8"/>
  <c r="Y35" i="8"/>
  <c r="Z35" i="8"/>
  <c r="AD367" i="5"/>
  <c r="AA35" i="8"/>
  <c r="AG367" i="5"/>
  <c r="AB35" i="8"/>
  <c r="Y28" i="2"/>
  <c r="Y92" i="4"/>
  <c r="AJ367" i="5"/>
  <c r="AC35" i="8"/>
  <c r="R371" i="8"/>
  <c r="S371" i="8"/>
  <c r="T371" i="8"/>
  <c r="U371" i="8"/>
  <c r="V371" i="8"/>
  <c r="W371" i="8"/>
  <c r="X371" i="8"/>
  <c r="Y371" i="8"/>
  <c r="Z371" i="8"/>
  <c r="AD368" i="5"/>
  <c r="AA371" i="8"/>
  <c r="AG368" i="5"/>
  <c r="AB371" i="8"/>
  <c r="Y8" i="4"/>
  <c r="AJ368" i="5"/>
  <c r="AC371" i="8"/>
  <c r="R372" i="8"/>
  <c r="S372" i="8"/>
  <c r="T372" i="8"/>
  <c r="U372" i="8"/>
  <c r="V372" i="8"/>
  <c r="W372" i="8"/>
  <c r="X372" i="8"/>
  <c r="Y372" i="8"/>
  <c r="Z372" i="8"/>
  <c r="AD369" i="5"/>
  <c r="AA372" i="8"/>
  <c r="AG369" i="5"/>
  <c r="AB372" i="8"/>
  <c r="Y76" i="4"/>
  <c r="AJ369" i="5"/>
  <c r="AC372" i="8"/>
  <c r="R373" i="8"/>
  <c r="S373" i="8"/>
  <c r="T373" i="8"/>
  <c r="U373" i="8"/>
  <c r="V373" i="8"/>
  <c r="W373" i="8"/>
  <c r="X373" i="8"/>
  <c r="Y373" i="8"/>
  <c r="Z373" i="8"/>
  <c r="AD370" i="5"/>
  <c r="AA373" i="8"/>
  <c r="AG370" i="5"/>
  <c r="AB373" i="8"/>
  <c r="AC373" i="8"/>
  <c r="R374" i="8"/>
  <c r="S374" i="8"/>
  <c r="T374" i="8"/>
  <c r="U374" i="8"/>
  <c r="V374" i="8"/>
  <c r="W374" i="8"/>
  <c r="X374" i="8"/>
  <c r="Y374" i="8"/>
  <c r="Z374" i="8"/>
  <c r="AD371" i="5"/>
  <c r="AA374" i="8"/>
  <c r="AG371" i="5"/>
  <c r="AB374" i="8"/>
  <c r="Y14" i="4"/>
  <c r="AJ371" i="5"/>
  <c r="AC374" i="8"/>
  <c r="R375" i="8"/>
  <c r="S375" i="8"/>
  <c r="T375" i="8"/>
  <c r="U375" i="8"/>
  <c r="V375" i="8"/>
  <c r="W375" i="8"/>
  <c r="X375" i="8"/>
  <c r="Y375" i="8"/>
  <c r="Z375" i="8"/>
  <c r="AD372" i="5"/>
  <c r="AA375" i="8"/>
  <c r="AG372" i="5"/>
  <c r="AB375" i="8"/>
  <c r="Y99" i="4"/>
  <c r="AJ372" i="5"/>
  <c r="AC375" i="8"/>
  <c r="R376" i="8"/>
  <c r="S376" i="8"/>
  <c r="T376" i="8"/>
  <c r="U376" i="8"/>
  <c r="V376" i="8"/>
  <c r="W376" i="8"/>
  <c r="X376" i="8"/>
  <c r="Y376" i="8"/>
  <c r="Z376" i="8"/>
  <c r="AD373" i="5"/>
  <c r="AA376" i="8"/>
  <c r="AG373" i="5"/>
  <c r="AB376" i="8"/>
  <c r="Y83" i="4"/>
  <c r="AJ373" i="5"/>
  <c r="AC376" i="8"/>
  <c r="R377" i="8"/>
  <c r="S377" i="8"/>
  <c r="T377" i="8"/>
  <c r="U377" i="8"/>
  <c r="V377" i="8"/>
  <c r="W377" i="8"/>
  <c r="X377" i="8"/>
  <c r="Y377" i="8"/>
  <c r="Z377" i="8"/>
  <c r="AD374" i="5"/>
  <c r="AA377" i="8"/>
  <c r="AG374" i="5"/>
  <c r="AB377" i="8"/>
  <c r="Y51" i="4"/>
  <c r="AJ374" i="5"/>
  <c r="AC377" i="8"/>
  <c r="R378" i="8"/>
  <c r="S378" i="8"/>
  <c r="T378" i="8"/>
  <c r="U378" i="8"/>
  <c r="V378" i="8"/>
  <c r="W378" i="8"/>
  <c r="X378" i="8"/>
  <c r="Y378" i="8"/>
  <c r="Z378" i="8"/>
  <c r="AD375" i="5"/>
  <c r="AA378" i="8"/>
  <c r="AG375" i="5"/>
  <c r="AB378" i="8"/>
  <c r="Y53" i="4"/>
  <c r="AJ375" i="5"/>
  <c r="AC378" i="8"/>
  <c r="R379" i="8"/>
  <c r="S379" i="8"/>
  <c r="T379" i="8"/>
  <c r="U379" i="8"/>
  <c r="V379" i="8"/>
  <c r="W379" i="8"/>
  <c r="X379" i="8"/>
  <c r="Y379" i="8"/>
  <c r="Z379" i="8"/>
  <c r="AD376" i="5"/>
  <c r="AA379" i="8"/>
  <c r="AG376" i="5"/>
  <c r="AB379" i="8"/>
  <c r="Y94" i="4"/>
  <c r="AJ376" i="5"/>
  <c r="AC379" i="8"/>
  <c r="R380" i="8"/>
  <c r="S380" i="8"/>
  <c r="T380" i="8"/>
  <c r="U380" i="8"/>
  <c r="V380" i="8"/>
  <c r="W380" i="8"/>
  <c r="X380" i="8"/>
  <c r="Y380" i="8"/>
  <c r="Z380" i="8"/>
  <c r="AD378" i="5"/>
  <c r="AA380" i="8"/>
  <c r="AG378" i="5"/>
  <c r="AB380" i="8"/>
  <c r="Y20" i="2"/>
  <c r="Y101" i="4"/>
  <c r="AJ378" i="5"/>
  <c r="AC380" i="8"/>
  <c r="R381" i="8"/>
  <c r="S381" i="8"/>
  <c r="T381" i="8"/>
  <c r="U381" i="8"/>
  <c r="V381" i="8"/>
  <c r="W381" i="8"/>
  <c r="X381" i="8"/>
  <c r="Y381" i="8"/>
  <c r="Z381" i="8"/>
  <c r="AD377" i="5"/>
  <c r="AA381" i="8"/>
  <c r="AG377" i="5"/>
  <c r="AB381" i="8"/>
  <c r="Y106" i="4"/>
  <c r="AJ377" i="5"/>
  <c r="AC381" i="8"/>
  <c r="R382" i="8"/>
  <c r="S382" i="8"/>
  <c r="T382" i="8"/>
  <c r="U382" i="8"/>
  <c r="V382" i="8"/>
  <c r="W382" i="8"/>
  <c r="X382" i="8"/>
  <c r="Y382" i="8"/>
  <c r="Z382" i="8"/>
  <c r="AD380" i="5"/>
  <c r="AA382" i="8"/>
  <c r="AG380" i="5"/>
  <c r="AB382" i="8"/>
  <c r="Y186" i="4"/>
  <c r="AJ380" i="5"/>
  <c r="AC382" i="8"/>
  <c r="R383" i="8"/>
  <c r="S383" i="8"/>
  <c r="T383" i="8"/>
  <c r="U383" i="8"/>
  <c r="V383" i="8"/>
  <c r="W383" i="8"/>
  <c r="X383" i="8"/>
  <c r="Y383" i="8"/>
  <c r="Z383" i="8"/>
  <c r="AD381" i="5"/>
  <c r="AA383" i="8"/>
  <c r="AG381" i="5"/>
  <c r="AB383" i="8"/>
  <c r="Y188" i="4"/>
  <c r="AJ381" i="5"/>
  <c r="AC383" i="8"/>
  <c r="R384" i="8"/>
  <c r="S384" i="8"/>
  <c r="T384" i="8"/>
  <c r="U384" i="8"/>
  <c r="V384" i="8"/>
  <c r="W384" i="8"/>
  <c r="X384" i="8"/>
  <c r="Y384" i="8"/>
  <c r="Z384" i="8"/>
  <c r="AD379" i="5"/>
  <c r="AA384" i="8"/>
  <c r="AG379" i="5"/>
  <c r="AB384" i="8"/>
  <c r="Y209" i="4"/>
  <c r="AJ379" i="5"/>
  <c r="AC384" i="8"/>
  <c r="R385" i="8"/>
  <c r="S385" i="8"/>
  <c r="T385" i="8"/>
  <c r="U385" i="8"/>
  <c r="V385" i="8"/>
  <c r="W385" i="8"/>
  <c r="X385" i="8"/>
  <c r="Y385" i="8"/>
  <c r="Z385" i="8"/>
  <c r="AD382" i="5"/>
  <c r="AA385" i="8"/>
  <c r="AG382" i="5"/>
  <c r="AB385" i="8"/>
  <c r="Y196" i="4"/>
  <c r="AJ382" i="5"/>
  <c r="AC385" i="8"/>
  <c r="R36" i="8"/>
  <c r="S36" i="8"/>
  <c r="T36" i="8"/>
  <c r="U36" i="8"/>
  <c r="V36" i="8"/>
  <c r="W36" i="8"/>
  <c r="X36" i="8"/>
  <c r="Y36" i="8"/>
  <c r="Z36" i="8"/>
  <c r="AD383" i="5"/>
  <c r="AA36" i="8"/>
  <c r="AG383" i="5"/>
  <c r="AB36" i="8"/>
  <c r="Y175" i="4"/>
  <c r="AJ383" i="5"/>
  <c r="AC36" i="8"/>
  <c r="R386" i="8"/>
  <c r="S386" i="8"/>
  <c r="T386" i="8"/>
  <c r="U386" i="8"/>
  <c r="V386" i="8"/>
  <c r="W386" i="8"/>
  <c r="X386" i="8"/>
  <c r="Y386" i="8"/>
  <c r="Z386" i="8"/>
  <c r="AD384" i="5"/>
  <c r="AA386" i="8"/>
  <c r="AG384" i="5"/>
  <c r="AB386" i="8"/>
  <c r="Y191" i="4"/>
  <c r="AJ384" i="5"/>
  <c r="AC386" i="8"/>
  <c r="R387" i="8"/>
  <c r="S387" i="8"/>
  <c r="T387" i="8"/>
  <c r="U387" i="8"/>
  <c r="V387" i="8"/>
  <c r="W387" i="8"/>
  <c r="X387" i="8"/>
  <c r="Y387" i="8"/>
  <c r="Z387" i="8"/>
  <c r="AD385" i="5"/>
  <c r="AA387" i="8"/>
  <c r="AG385" i="5"/>
  <c r="AB387" i="8"/>
  <c r="Y158" i="4"/>
  <c r="AJ385" i="5"/>
  <c r="AC387" i="8"/>
  <c r="R388" i="8"/>
  <c r="S388" i="8"/>
  <c r="T388" i="8"/>
  <c r="U388" i="8"/>
  <c r="V388" i="8"/>
  <c r="W388" i="8"/>
  <c r="X388" i="8"/>
  <c r="Y388" i="8"/>
  <c r="Z388" i="8"/>
  <c r="AD386" i="5"/>
  <c r="AA388" i="8"/>
  <c r="AG386" i="5"/>
  <c r="AB388" i="8"/>
  <c r="Y198" i="4"/>
  <c r="AJ386" i="5"/>
  <c r="AC388" i="8"/>
  <c r="R389" i="8"/>
  <c r="S389" i="8"/>
  <c r="T389" i="8"/>
  <c r="U389" i="8"/>
  <c r="V389" i="8"/>
  <c r="W389" i="8"/>
  <c r="X389" i="8"/>
  <c r="Y389" i="8"/>
  <c r="Z389" i="8"/>
  <c r="AD387" i="5"/>
  <c r="AA389" i="8"/>
  <c r="AG387" i="5"/>
  <c r="AB389" i="8"/>
  <c r="Y84" i="4"/>
  <c r="AJ387" i="5"/>
  <c r="AC389" i="8"/>
  <c r="R390" i="8"/>
  <c r="S390" i="8"/>
  <c r="T390" i="8"/>
  <c r="U390" i="8"/>
  <c r="V390" i="8"/>
  <c r="W390" i="8"/>
  <c r="X390" i="8"/>
  <c r="Y390" i="8"/>
  <c r="Z390" i="8"/>
  <c r="AD388" i="5"/>
  <c r="AA390" i="8"/>
  <c r="AG388" i="5"/>
  <c r="AB390" i="8"/>
  <c r="Y133" i="4"/>
  <c r="AJ388" i="5"/>
  <c r="AC390" i="8"/>
  <c r="R391" i="8"/>
  <c r="S391" i="8"/>
  <c r="T391" i="8"/>
  <c r="U391" i="8"/>
  <c r="V391" i="8"/>
  <c r="W391" i="8"/>
  <c r="X391" i="8"/>
  <c r="Y391" i="8"/>
  <c r="Z391" i="8"/>
  <c r="AD389" i="5"/>
  <c r="AA391" i="8"/>
  <c r="AG389" i="5"/>
  <c r="AB391" i="8"/>
  <c r="Y134" i="4"/>
  <c r="AJ389" i="5"/>
  <c r="AC391" i="8"/>
  <c r="R392" i="8"/>
  <c r="S392" i="8"/>
  <c r="T392" i="8"/>
  <c r="U392" i="8"/>
  <c r="V392" i="8"/>
  <c r="W392" i="8"/>
  <c r="X392" i="8"/>
  <c r="Y392" i="8"/>
  <c r="Z392" i="8"/>
  <c r="AD390" i="5"/>
  <c r="AA392" i="8"/>
  <c r="AG390" i="5"/>
  <c r="AB392" i="8"/>
  <c r="Y206" i="4"/>
  <c r="AJ390" i="5"/>
  <c r="AC392" i="8"/>
  <c r="R393" i="8"/>
  <c r="S393" i="8"/>
  <c r="T393" i="8"/>
  <c r="U393" i="8"/>
  <c r="V393" i="8"/>
  <c r="W393" i="8"/>
  <c r="X393" i="8"/>
  <c r="Y393" i="8"/>
  <c r="Z393" i="8"/>
  <c r="AD391" i="5"/>
  <c r="AA393" i="8"/>
  <c r="AG391" i="5"/>
  <c r="AB393" i="8"/>
  <c r="Y15" i="4"/>
  <c r="AJ391" i="5"/>
  <c r="AC393" i="8"/>
  <c r="R37" i="8"/>
  <c r="S37" i="8"/>
  <c r="T37" i="8"/>
  <c r="U37" i="8"/>
  <c r="V37" i="8"/>
  <c r="W37" i="8"/>
  <c r="X37" i="8"/>
  <c r="Y37" i="8"/>
  <c r="Z37" i="8"/>
  <c r="AA37" i="8"/>
  <c r="AB37" i="8"/>
  <c r="Y384" i="4"/>
  <c r="AJ392" i="5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D404" i="5"/>
  <c r="AA404" i="8"/>
  <c r="AG404" i="5"/>
  <c r="AB404" i="8"/>
  <c r="Y37" i="2"/>
  <c r="Y274" i="4"/>
  <c r="AJ404" i="5"/>
  <c r="AC404" i="8"/>
  <c r="R405" i="8"/>
  <c r="S405" i="8"/>
  <c r="T405" i="8"/>
  <c r="U405" i="8"/>
  <c r="V405" i="8"/>
  <c r="W405" i="8"/>
  <c r="X405" i="8"/>
  <c r="Y405" i="8"/>
  <c r="Z405" i="8"/>
  <c r="AA405" i="8"/>
  <c r="AB405" i="8"/>
  <c r="Y402" i="4"/>
  <c r="AJ405" i="5"/>
  <c r="AC405" i="8"/>
  <c r="R406" i="8"/>
  <c r="S406" i="8"/>
  <c r="T406" i="8"/>
  <c r="U406" i="8"/>
  <c r="V406" i="8"/>
  <c r="W406" i="8"/>
  <c r="X406" i="8"/>
  <c r="Y406" i="8"/>
  <c r="Z406" i="8"/>
  <c r="AD406" i="5"/>
  <c r="AA406" i="8"/>
  <c r="AG406" i="5"/>
  <c r="AB406" i="8"/>
  <c r="Y45" i="4"/>
  <c r="AJ406" i="5"/>
  <c r="AC406" i="8"/>
  <c r="Y224" i="4"/>
  <c r="AJ2" i="5"/>
  <c r="AC39" i="8"/>
  <c r="AG2" i="5"/>
  <c r="AB39" i="8"/>
  <c r="AD2" i="5"/>
  <c r="AA39" i="8"/>
  <c r="Z39" i="8"/>
  <c r="Y39" i="8"/>
  <c r="X39" i="8"/>
  <c r="W39" i="8"/>
  <c r="V39" i="8"/>
  <c r="U39" i="8"/>
  <c r="T39" i="8"/>
  <c r="S39" i="8"/>
  <c r="AP39" i="8"/>
  <c r="E39" i="8"/>
  <c r="F39" i="8"/>
  <c r="AZ370" i="5"/>
  <c r="AZ153" i="5"/>
  <c r="AZ277" i="5"/>
  <c r="AZ152" i="5"/>
  <c r="AZ148" i="5"/>
  <c r="AZ151" i="5"/>
  <c r="AZ396" i="5"/>
  <c r="AZ395" i="5"/>
  <c r="AZ393" i="5"/>
  <c r="AZ208" i="5"/>
  <c r="AZ207" i="5"/>
  <c r="AZ147" i="5"/>
  <c r="AZ197" i="5"/>
  <c r="AZ216" i="5"/>
  <c r="AZ159" i="5"/>
  <c r="AZ206" i="5"/>
  <c r="AZ141" i="5"/>
  <c r="AZ157" i="5"/>
  <c r="AZ195" i="5"/>
  <c r="AZ156" i="5"/>
  <c r="AZ149" i="5"/>
  <c r="AZ401" i="5"/>
  <c r="AZ144" i="5"/>
  <c r="AZ357" i="5"/>
  <c r="AZ187" i="5"/>
  <c r="AZ191" i="5"/>
  <c r="AZ160" i="5"/>
  <c r="AZ202" i="5"/>
  <c r="AZ198" i="5"/>
  <c r="AZ150" i="5"/>
  <c r="AZ307" i="5"/>
  <c r="AZ303" i="5"/>
  <c r="AZ219" i="5"/>
  <c r="AZ192" i="5"/>
  <c r="AZ137" i="5"/>
  <c r="AZ196" i="5"/>
  <c r="AZ220" i="5"/>
  <c r="AZ400" i="5"/>
  <c r="AZ139" i="5"/>
  <c r="AZ194" i="5"/>
  <c r="AZ399" i="5"/>
  <c r="AZ397" i="5"/>
  <c r="AZ155" i="5"/>
  <c r="AZ193" i="5"/>
  <c r="AZ143" i="5"/>
  <c r="AZ142" i="5"/>
  <c r="AZ217" i="5"/>
  <c r="AZ215" i="5"/>
  <c r="AZ214" i="5"/>
  <c r="AZ154" i="5"/>
  <c r="AZ145" i="5"/>
  <c r="AZ66" i="5"/>
  <c r="AZ128" i="5"/>
  <c r="AZ200" i="5"/>
  <c r="AZ201" i="5"/>
  <c r="AZ67" i="5"/>
  <c r="AZ394" i="5"/>
  <c r="AZ205" i="5"/>
  <c r="AZ125" i="5"/>
  <c r="AZ70" i="5"/>
  <c r="AZ203" i="5"/>
  <c r="AZ132" i="5"/>
  <c r="AZ189" i="5"/>
  <c r="AZ212" i="5"/>
  <c r="AZ188" i="5"/>
  <c r="AZ190" i="5"/>
  <c r="AZ140" i="5"/>
  <c r="AZ211" i="5"/>
  <c r="AZ124" i="5"/>
  <c r="AZ402" i="5"/>
  <c r="AZ221" i="5"/>
  <c r="AZ403" i="5"/>
  <c r="AZ213" i="5"/>
  <c r="AZ158" i="5"/>
  <c r="AZ398" i="5"/>
  <c r="AZ136" i="5"/>
  <c r="AZ138" i="5"/>
  <c r="AZ126" i="5"/>
  <c r="AZ127" i="5"/>
  <c r="AZ133" i="5"/>
  <c r="AZ204" i="5"/>
  <c r="AZ135" i="5"/>
  <c r="AZ131" i="5"/>
  <c r="AZ134" i="5"/>
  <c r="AZ130" i="5"/>
  <c r="AZ218" i="5"/>
  <c r="AZ129" i="5"/>
  <c r="AZ199" i="5"/>
  <c r="AZ186" i="5"/>
  <c r="AZ209" i="5"/>
  <c r="AZ210" i="5"/>
  <c r="AZ146" i="5"/>
  <c r="AZ300" i="5"/>
  <c r="BE370" i="5"/>
  <c r="BE153" i="5"/>
  <c r="BE146" i="5"/>
  <c r="BE151" i="5"/>
  <c r="BE152" i="5"/>
  <c r="BE148" i="5"/>
  <c r="BE300" i="5"/>
  <c r="BE173" i="5"/>
  <c r="BE174" i="5"/>
  <c r="BE42" i="5"/>
  <c r="BE71" i="5"/>
  <c r="BE79" i="5"/>
  <c r="BE81" i="5"/>
  <c r="BE172" i="5"/>
  <c r="BE224" i="5"/>
  <c r="BE384" i="5"/>
  <c r="BE21" i="5"/>
  <c r="BE9" i="5"/>
  <c r="BE29" i="5"/>
  <c r="BE22" i="5"/>
  <c r="BE3" i="5"/>
  <c r="BE282" i="5"/>
  <c r="BE378" i="5"/>
  <c r="BE277" i="5"/>
  <c r="BE274" i="5"/>
  <c r="BE314" i="5"/>
  <c r="BE8" i="5"/>
  <c r="BE15" i="5"/>
  <c r="BE20" i="5"/>
  <c r="BE184" i="5"/>
  <c r="BE147" i="5"/>
  <c r="BE76" i="5"/>
  <c r="BE84" i="5"/>
  <c r="BE17" i="5"/>
  <c r="BE176" i="5"/>
  <c r="BE382" i="5"/>
  <c r="BE16" i="5"/>
  <c r="BE6" i="5"/>
  <c r="BE208" i="5"/>
  <c r="BE393" i="5"/>
  <c r="BE396" i="5"/>
  <c r="BE395" i="5"/>
  <c r="BE44" i="5"/>
  <c r="BE256" i="5"/>
  <c r="BE405" i="5"/>
  <c r="BE38" i="5"/>
  <c r="BE43" i="5"/>
  <c r="BE49" i="5"/>
  <c r="BE297" i="5"/>
  <c r="BE344" i="5"/>
  <c r="BE207" i="5"/>
  <c r="BE36" i="5"/>
  <c r="BE392" i="5"/>
  <c r="BE72" i="5"/>
  <c r="BE74" i="5"/>
  <c r="BE77" i="5"/>
  <c r="BE78" i="5"/>
  <c r="BE80" i="5"/>
  <c r="BE85" i="5"/>
  <c r="BE376" i="5"/>
  <c r="BE243" i="5"/>
  <c r="BE141" i="5"/>
  <c r="BE383" i="5"/>
  <c r="BE149" i="5"/>
  <c r="BE82" i="5"/>
  <c r="BE377" i="5"/>
  <c r="BE83" i="5"/>
  <c r="BE35" i="5"/>
  <c r="BE109" i="5"/>
  <c r="BE102" i="5"/>
  <c r="BE27" i="5"/>
  <c r="BE144" i="5"/>
  <c r="BE380" i="5"/>
  <c r="BE228" i="5"/>
  <c r="BE381" i="5"/>
  <c r="BE48" i="5"/>
  <c r="BE248" i="5"/>
  <c r="BE10" i="5"/>
  <c r="BE14" i="5"/>
  <c r="BE26" i="5"/>
  <c r="BE39" i="5"/>
  <c r="BE341" i="5"/>
  <c r="BE385" i="5"/>
  <c r="BE197" i="5"/>
  <c r="BE75" i="5"/>
  <c r="BE2" i="5"/>
  <c r="BE339" i="5"/>
  <c r="BE62" i="5"/>
  <c r="BE13" i="5"/>
  <c r="BE11" i="5"/>
  <c r="BE216" i="5"/>
  <c r="BE331" i="5"/>
  <c r="BE366" i="5"/>
  <c r="BE304" i="5"/>
  <c r="BE187" i="5"/>
  <c r="BE206" i="5"/>
  <c r="BE159" i="5"/>
  <c r="BE222" i="5"/>
  <c r="BE354" i="5"/>
  <c r="BE68" i="5"/>
  <c r="BE320" i="5"/>
  <c r="BE391" i="5"/>
  <c r="BE7" i="5"/>
  <c r="BE47" i="5"/>
  <c r="BE28" i="5"/>
  <c r="BE12" i="5"/>
  <c r="BE73" i="5"/>
  <c r="BE95" i="5"/>
  <c r="BE359" i="5"/>
  <c r="BE348" i="5"/>
  <c r="BE156" i="5"/>
  <c r="BE157" i="5"/>
  <c r="BE195" i="5"/>
  <c r="BE253" i="5"/>
  <c r="BE254" i="5"/>
  <c r="BE336" i="5"/>
  <c r="BE350" i="5"/>
  <c r="BE368" i="5"/>
  <c r="BE150" i="5"/>
  <c r="BE401" i="5"/>
  <c r="BE40" i="5"/>
  <c r="BE346" i="5"/>
  <c r="BE332" i="5"/>
  <c r="BE268" i="5"/>
  <c r="BE315" i="5"/>
  <c r="BE280" i="5"/>
  <c r="BE286" i="5"/>
  <c r="BE284" i="5"/>
  <c r="BE285" i="5"/>
  <c r="BE92" i="5"/>
  <c r="BE325" i="5"/>
  <c r="BE328" i="5"/>
  <c r="BE371" i="5"/>
  <c r="BE119" i="5"/>
  <c r="BE239" i="5"/>
  <c r="BE241" i="5"/>
  <c r="BE91" i="5"/>
  <c r="BE114" i="5"/>
  <c r="BE347" i="5"/>
  <c r="BE317" i="5"/>
  <c r="BE326" i="5"/>
  <c r="BE287" i="5"/>
  <c r="BE365" i="5"/>
  <c r="BE357" i="5"/>
  <c r="BE247" i="5"/>
  <c r="BD247" i="5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99" i="9"/>
  <c r="E100" i="9"/>
  <c r="E44" i="9"/>
  <c r="E45" i="9"/>
  <c r="E33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3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4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5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34" i="9"/>
  <c r="E35" i="9"/>
  <c r="E36" i="9"/>
  <c r="E37" i="9"/>
  <c r="E38" i="9"/>
  <c r="E39" i="9"/>
  <c r="E40" i="9"/>
  <c r="E41" i="9"/>
  <c r="E42" i="9"/>
  <c r="E43" i="9"/>
  <c r="E27" i="9"/>
  <c r="E28" i="9"/>
  <c r="E29" i="9"/>
  <c r="E30" i="9"/>
  <c r="E31" i="9"/>
  <c r="E32" i="9"/>
  <c r="E114" i="9"/>
  <c r="AM299" i="5"/>
  <c r="T14" i="2"/>
  <c r="T32" i="2"/>
  <c r="T35" i="2"/>
  <c r="S4" i="2"/>
  <c r="O14" i="2"/>
  <c r="O32" i="2"/>
  <c r="N14" i="2"/>
  <c r="N32" i="2"/>
  <c r="N10" i="2"/>
  <c r="N8" i="2"/>
  <c r="K4" i="2"/>
  <c r="K14" i="2"/>
  <c r="K32" i="2"/>
  <c r="K35" i="2"/>
  <c r="BD160" i="5"/>
  <c r="BD17" i="5"/>
  <c r="BD8" i="5"/>
  <c r="BD15" i="5"/>
  <c r="BD20" i="5"/>
  <c r="BD21" i="5"/>
  <c r="BD23" i="5"/>
  <c r="BD24" i="5"/>
  <c r="BD25" i="5"/>
  <c r="BD59" i="5"/>
  <c r="BD9" i="5"/>
  <c r="BD63" i="5"/>
  <c r="BD4" i="5"/>
  <c r="BD36" i="5"/>
  <c r="BD37" i="5"/>
  <c r="BD35" i="5"/>
  <c r="BD38" i="5"/>
  <c r="BD109" i="5"/>
  <c r="BD110" i="5"/>
  <c r="BD91" i="5"/>
  <c r="BD115" i="5"/>
  <c r="BD40" i="5"/>
  <c r="BD43" i="5"/>
  <c r="BD45" i="5"/>
  <c r="BD46" i="5"/>
  <c r="BD49" i="5"/>
  <c r="BD47" i="5"/>
  <c r="BD378" i="5"/>
  <c r="BD19" i="5"/>
  <c r="BD57" i="5"/>
  <c r="BD52" i="5"/>
  <c r="BD16" i="5"/>
  <c r="BD176" i="5"/>
  <c r="BD6" i="5"/>
  <c r="BD54" i="5"/>
  <c r="BD55" i="5"/>
  <c r="BD67" i="5"/>
  <c r="BD56" i="5"/>
  <c r="BD101" i="5"/>
  <c r="BD92" i="5"/>
  <c r="BD100" i="5"/>
  <c r="BD95" i="5"/>
  <c r="BD88" i="5"/>
  <c r="BD309" i="5"/>
  <c r="BD255" i="5"/>
  <c r="BD97" i="5"/>
  <c r="BD164" i="5"/>
  <c r="BD316" i="5"/>
  <c r="BD116" i="5"/>
  <c r="BD111" i="5"/>
  <c r="BD112" i="5"/>
  <c r="BD117" i="5"/>
  <c r="BD113" i="5"/>
  <c r="BD121" i="5"/>
  <c r="BD107" i="5"/>
  <c r="BD105" i="5"/>
  <c r="BD118" i="5"/>
  <c r="BD106" i="5"/>
  <c r="BD119" i="5"/>
  <c r="BD346" i="5"/>
  <c r="BD336" i="5"/>
  <c r="BD96" i="5"/>
  <c r="BD226" i="5"/>
  <c r="BD227" i="5"/>
  <c r="BD122" i="5"/>
  <c r="BD114" i="5"/>
  <c r="BD108" i="5"/>
  <c r="BD161" i="5"/>
  <c r="BD165" i="5"/>
  <c r="BD162" i="5"/>
  <c r="BD120" i="5"/>
  <c r="BD58" i="5"/>
  <c r="BD173" i="5"/>
  <c r="BD174" i="5"/>
  <c r="BD172" i="5"/>
  <c r="BD53" i="5"/>
  <c r="BD181" i="5"/>
  <c r="BD180" i="5"/>
  <c r="BD179" i="5"/>
  <c r="BD184" i="5"/>
  <c r="BD185" i="5"/>
  <c r="BD374" i="5"/>
  <c r="BD253" i="5"/>
  <c r="BD166" i="5"/>
  <c r="BD167" i="5"/>
  <c r="BD168" i="5"/>
  <c r="BD32" i="5"/>
  <c r="BD263" i="5"/>
  <c r="BD265" i="5"/>
  <c r="BD266" i="5"/>
  <c r="BD308" i="5"/>
  <c r="BD239" i="5"/>
  <c r="BD261" i="5"/>
  <c r="BD60" i="5"/>
  <c r="BD379" i="5"/>
  <c r="BD337" i="5"/>
  <c r="BD290" i="5"/>
  <c r="BD232" i="5"/>
  <c r="BD277" i="5"/>
  <c r="BD267" i="5"/>
  <c r="BD222" i="5"/>
  <c r="BD2" i="5"/>
  <c r="BD404" i="5"/>
  <c r="BD291" i="5"/>
  <c r="BD319" i="5"/>
  <c r="BD242" i="5"/>
  <c r="BD324" i="5"/>
  <c r="BD225" i="5"/>
  <c r="BD18" i="5"/>
  <c r="BD50" i="5"/>
  <c r="BD366" i="5"/>
  <c r="BD26" i="5"/>
  <c r="BD350" i="5"/>
  <c r="BD294" i="5"/>
  <c r="BD90" i="5"/>
  <c r="BD362" i="5"/>
  <c r="BD41" i="5"/>
  <c r="BD89" i="5"/>
  <c r="BD98" i="5"/>
  <c r="BD380" i="5"/>
  <c r="BD99" i="5"/>
  <c r="BD332" i="5"/>
  <c r="BD347" i="5"/>
  <c r="BD305" i="5"/>
  <c r="BD367" i="5"/>
  <c r="BD321" i="5"/>
  <c r="BD223" i="5"/>
  <c r="BD93" i="5"/>
  <c r="BD325" i="5"/>
  <c r="BD28" i="5"/>
  <c r="BD228" i="5"/>
  <c r="BD354" i="5"/>
  <c r="BD254" i="5"/>
  <c r="BD102" i="5"/>
  <c r="BD358" i="5"/>
  <c r="BD377" i="5"/>
  <c r="BD178" i="5"/>
  <c r="BD237" i="5"/>
  <c r="BD351" i="5"/>
  <c r="BD375" i="5"/>
  <c r="BD61" i="5"/>
  <c r="BD317" i="5"/>
  <c r="BD376" i="5"/>
  <c r="BD381" i="5"/>
  <c r="BD170" i="5"/>
  <c r="BD177" i="5"/>
  <c r="BD5" i="5"/>
  <c r="BD171" i="5"/>
  <c r="BD298" i="5"/>
  <c r="BD243" i="5"/>
  <c r="BD302" i="5"/>
  <c r="BD297" i="5"/>
  <c r="BD27" i="5"/>
  <c r="BD360" i="5"/>
  <c r="BD169" i="5"/>
  <c r="BD183" i="5"/>
  <c r="BD353" i="5"/>
  <c r="BD342" i="5"/>
  <c r="BD343" i="5"/>
  <c r="BD224" i="5"/>
  <c r="BD65" i="5"/>
  <c r="BD39" i="5"/>
  <c r="BD48" i="5"/>
  <c r="BD272" i="5"/>
  <c r="BD86" i="5"/>
  <c r="BD30" i="5"/>
  <c r="BD283" i="5"/>
  <c r="BD229" i="5"/>
  <c r="BD230" i="5"/>
  <c r="BD231" i="5"/>
  <c r="BD335" i="5"/>
  <c r="BD345" i="5"/>
  <c r="BD352" i="5"/>
  <c r="BD33" i="5"/>
  <c r="BD104" i="5"/>
  <c r="BD163" i="5"/>
  <c r="BD326" i="5"/>
  <c r="BD327" i="5"/>
  <c r="BD382" i="5"/>
  <c r="BD383" i="5"/>
  <c r="BD29" i="5"/>
  <c r="BD268" i="5"/>
  <c r="BD248" i="5"/>
  <c r="BD328" i="5"/>
  <c r="BD368" i="5"/>
  <c r="BD329" i="5"/>
  <c r="BD68" i="5"/>
  <c r="BD330" i="5"/>
  <c r="BD69" i="5"/>
  <c r="BD355" i="5"/>
  <c r="BD250" i="5"/>
  <c r="BD384" i="5"/>
  <c r="BD233" i="5"/>
  <c r="BD64" i="5"/>
  <c r="BD318" i="5"/>
  <c r="BD323" i="5"/>
  <c r="BD322" i="5"/>
  <c r="BD296" i="5"/>
  <c r="BD301" i="5"/>
  <c r="BD182" i="5"/>
  <c r="BD236" i="5"/>
  <c r="BD238" i="5"/>
  <c r="BD274" i="5"/>
  <c r="BD310" i="5"/>
  <c r="BD289" i="5"/>
  <c r="BD315" i="5"/>
  <c r="BD313" i="5"/>
  <c r="BD292" i="5"/>
  <c r="BD311" i="5"/>
  <c r="BD314" i="5"/>
  <c r="BD235" i="5"/>
  <c r="BD234" i="5"/>
  <c r="BD240" i="5"/>
  <c r="BD103" i="5"/>
  <c r="BD279" i="5"/>
  <c r="BD278" i="5"/>
  <c r="BD281" i="5"/>
  <c r="BD244" i="5"/>
  <c r="BD245" i="5"/>
  <c r="BD252" i="5"/>
  <c r="BD257" i="5"/>
  <c r="BD258" i="5"/>
  <c r="BD269" i="5"/>
  <c r="BD287" i="5"/>
  <c r="BD280" i="5"/>
  <c r="BD286" i="5"/>
  <c r="BD288" i="5"/>
  <c r="BD284" i="5"/>
  <c r="BD285" i="5"/>
  <c r="BD293" i="5"/>
  <c r="BD306" i="5"/>
  <c r="BD251" i="5"/>
  <c r="BD339" i="5"/>
  <c r="BD295" i="5"/>
  <c r="BD333" i="5"/>
  <c r="BD340" i="5"/>
  <c r="BD338" i="5"/>
  <c r="BD344" i="5"/>
  <c r="BD373" i="5"/>
  <c r="BD341" i="5"/>
  <c r="BD334" i="5"/>
  <c r="BD363" i="5"/>
  <c r="BD359" i="5"/>
  <c r="BD365" i="5"/>
  <c r="BD369" i="5"/>
  <c r="BD372" i="5"/>
  <c r="BD370" i="5"/>
  <c r="BD371" i="5"/>
  <c r="BD320" i="5"/>
  <c r="BD249" i="5"/>
  <c r="BD34" i="5"/>
  <c r="BD241" i="5"/>
  <c r="BD385" i="5"/>
  <c r="BD356" i="5"/>
  <c r="BD361" i="5"/>
  <c r="BD175" i="5"/>
  <c r="BD303" i="5"/>
  <c r="BD307" i="5"/>
  <c r="BD304" i="5"/>
  <c r="BD349" i="5"/>
  <c r="BD364" i="5"/>
  <c r="BD312" i="5"/>
  <c r="BD87" i="5"/>
  <c r="BD94" i="5"/>
  <c r="BD66" i="5"/>
  <c r="BD51" i="5"/>
  <c r="BD386" i="5"/>
  <c r="BD387" i="5"/>
  <c r="BD388" i="5"/>
  <c r="BD389" i="5"/>
  <c r="BD390" i="5"/>
  <c r="BD259" i="5"/>
  <c r="BD262" i="5"/>
  <c r="BD273" i="5"/>
  <c r="BD246" i="5"/>
  <c r="BD264" i="5"/>
  <c r="BD348" i="5"/>
  <c r="BD391" i="5"/>
  <c r="BD62" i="5"/>
  <c r="BD7" i="5"/>
  <c r="BD13" i="5"/>
  <c r="BD10" i="5"/>
  <c r="BD11" i="5"/>
  <c r="BD14" i="5"/>
  <c r="BD12" i="5"/>
  <c r="BD276" i="5"/>
  <c r="BD31" i="5"/>
  <c r="BD270" i="5"/>
  <c r="BD406" i="5"/>
  <c r="BD260" i="5"/>
  <c r="BD275" i="5"/>
  <c r="BD271" i="5"/>
  <c r="BD123" i="5"/>
  <c r="BD154" i="5"/>
  <c r="BD155" i="5"/>
  <c r="BD156" i="5"/>
  <c r="BD157" i="5"/>
  <c r="BD197" i="5"/>
  <c r="BD194" i="5"/>
  <c r="BD191" i="5"/>
  <c r="BD189" i="5"/>
  <c r="BD193" i="5"/>
  <c r="BD192" i="5"/>
  <c r="BD188" i="5"/>
  <c r="BD190" i="5"/>
  <c r="BD195" i="5"/>
  <c r="BD196" i="5"/>
  <c r="BD198" i="5"/>
  <c r="BD158" i="5"/>
  <c r="BD136" i="5"/>
  <c r="BD138" i="5"/>
  <c r="BD130" i="5"/>
  <c r="BD131" i="5"/>
  <c r="BD143" i="5"/>
  <c r="BD139" i="5"/>
  <c r="BD141" i="5"/>
  <c r="BD144" i="5"/>
  <c r="BD150" i="5"/>
  <c r="BD153" i="5"/>
  <c r="BD142" i="5"/>
  <c r="BD146" i="5"/>
  <c r="BD137" i="5"/>
  <c r="BD149" i="5"/>
  <c r="BD128" i="5"/>
  <c r="BD147" i="5"/>
  <c r="BD140" i="5"/>
  <c r="BD151" i="5"/>
  <c r="BD125" i="5"/>
  <c r="BD152" i="5"/>
  <c r="BD145" i="5"/>
  <c r="BD134" i="5"/>
  <c r="BD135" i="5"/>
  <c r="BD133" i="5"/>
  <c r="BD148" i="5"/>
  <c r="BD129" i="5"/>
  <c r="BD187" i="5"/>
  <c r="BD126" i="5"/>
  <c r="BD127" i="5"/>
  <c r="BD186" i="5"/>
  <c r="BD132" i="5"/>
  <c r="BD124" i="5"/>
  <c r="BD213" i="5"/>
  <c r="BD203" i="5"/>
  <c r="BD221" i="5"/>
  <c r="BD199" i="5"/>
  <c r="BD209" i="5"/>
  <c r="BD210" i="5"/>
  <c r="BD212" i="5"/>
  <c r="BD211" i="5"/>
  <c r="BD200" i="5"/>
  <c r="BD205" i="5"/>
  <c r="BD204" i="5"/>
  <c r="BD220" i="5"/>
  <c r="BD219" i="5"/>
  <c r="BD215" i="5"/>
  <c r="BD218" i="5"/>
  <c r="BD216" i="5"/>
  <c r="BD214" i="5"/>
  <c r="BD217" i="5"/>
  <c r="BD201" i="5"/>
  <c r="BD207" i="5"/>
  <c r="BD208" i="5"/>
  <c r="BD206" i="5"/>
  <c r="BD393" i="5"/>
  <c r="BD400" i="5"/>
  <c r="BD396" i="5"/>
  <c r="BD402" i="5"/>
  <c r="BD401" i="5"/>
  <c r="BD397" i="5"/>
  <c r="BD403" i="5"/>
  <c r="BD395" i="5"/>
  <c r="BD394" i="5"/>
  <c r="BD399" i="5"/>
  <c r="BD398" i="5"/>
  <c r="BD159" i="5"/>
  <c r="BD357" i="5"/>
  <c r="BD70" i="5"/>
  <c r="BD202" i="5"/>
  <c r="BD392" i="5"/>
  <c r="BD22" i="5"/>
  <c r="BD331" i="5"/>
  <c r="BD300" i="5"/>
  <c r="BD71" i="5"/>
  <c r="BD72" i="5"/>
  <c r="BD73" i="5"/>
  <c r="BD74" i="5"/>
  <c r="BD75" i="5"/>
  <c r="BD44" i="5"/>
  <c r="BD256" i="5"/>
  <c r="BD76" i="5"/>
  <c r="BD77" i="5"/>
  <c r="BD78" i="5"/>
  <c r="BD79" i="5"/>
  <c r="BD80" i="5"/>
  <c r="BD81" i="5"/>
  <c r="BD3" i="5"/>
  <c r="BD282" i="5"/>
  <c r="BD82" i="5"/>
  <c r="BD42" i="5"/>
  <c r="BD405" i="5"/>
  <c r="BD83" i="5"/>
  <c r="BD84" i="5"/>
  <c r="BD85" i="5"/>
  <c r="BD299" i="5"/>
  <c r="BB299" i="5"/>
  <c r="BB160" i="5"/>
  <c r="BB17" i="5"/>
  <c r="BB8" i="5"/>
  <c r="BB15" i="5"/>
  <c r="BB20" i="5"/>
  <c r="BB21" i="5"/>
  <c r="BB23" i="5"/>
  <c r="BB24" i="5"/>
  <c r="BB25" i="5"/>
  <c r="BB59" i="5"/>
  <c r="BB9" i="5"/>
  <c r="BB63" i="5"/>
  <c r="BB4" i="5"/>
  <c r="BB36" i="5"/>
  <c r="BB37" i="5"/>
  <c r="BB35" i="5"/>
  <c r="BB38" i="5"/>
  <c r="BB109" i="5"/>
  <c r="BB110" i="5"/>
  <c r="BB91" i="5"/>
  <c r="BB115" i="5"/>
  <c r="BB40" i="5"/>
  <c r="BB43" i="5"/>
  <c r="BB45" i="5"/>
  <c r="BB46" i="5"/>
  <c r="BB49" i="5"/>
  <c r="BB47" i="5"/>
  <c r="BB378" i="5"/>
  <c r="BB19" i="5"/>
  <c r="BB57" i="5"/>
  <c r="BB52" i="5"/>
  <c r="BB16" i="5"/>
  <c r="BB176" i="5"/>
  <c r="BB6" i="5"/>
  <c r="BB54" i="5"/>
  <c r="BB55" i="5"/>
  <c r="BB67" i="5"/>
  <c r="BB56" i="5"/>
  <c r="BB101" i="5"/>
  <c r="BB92" i="5"/>
  <c r="BB100" i="5"/>
  <c r="BB95" i="5"/>
  <c r="BB88" i="5"/>
  <c r="BB309" i="5"/>
  <c r="BB255" i="5"/>
  <c r="BB97" i="5"/>
  <c r="BB164" i="5"/>
  <c r="BB316" i="5"/>
  <c r="BB116" i="5"/>
  <c r="BB111" i="5"/>
  <c r="BB112" i="5"/>
  <c r="BB117" i="5"/>
  <c r="BB113" i="5"/>
  <c r="BB121" i="5"/>
  <c r="BB107" i="5"/>
  <c r="BB105" i="5"/>
  <c r="BB118" i="5"/>
  <c r="BB106" i="5"/>
  <c r="BB119" i="5"/>
  <c r="BB346" i="5"/>
  <c r="BB336" i="5"/>
  <c r="BB96" i="5"/>
  <c r="BB226" i="5"/>
  <c r="BB227" i="5"/>
  <c r="BB122" i="5"/>
  <c r="BB114" i="5"/>
  <c r="BB108" i="5"/>
  <c r="BB161" i="5"/>
  <c r="BB165" i="5"/>
  <c r="BB162" i="5"/>
  <c r="BB120" i="5"/>
  <c r="BB58" i="5"/>
  <c r="BB173" i="5"/>
  <c r="BB174" i="5"/>
  <c r="BB172" i="5"/>
  <c r="BB53" i="5"/>
  <c r="BB181" i="5"/>
  <c r="BB180" i="5"/>
  <c r="BB179" i="5"/>
  <c r="BB184" i="5"/>
  <c r="BB185" i="5"/>
  <c r="BB374" i="5"/>
  <c r="BB253" i="5"/>
  <c r="BB166" i="5"/>
  <c r="BB167" i="5"/>
  <c r="BB168" i="5"/>
  <c r="BB32" i="5"/>
  <c r="BB263" i="5"/>
  <c r="BB265" i="5"/>
  <c r="BB266" i="5"/>
  <c r="BB308" i="5"/>
  <c r="BB239" i="5"/>
  <c r="BB261" i="5"/>
  <c r="BB60" i="5"/>
  <c r="BB379" i="5"/>
  <c r="BB337" i="5"/>
  <c r="BB290" i="5"/>
  <c r="BB232" i="5"/>
  <c r="BB277" i="5"/>
  <c r="BB267" i="5"/>
  <c r="BB222" i="5"/>
  <c r="BB2" i="5"/>
  <c r="BB404" i="5"/>
  <c r="BB291" i="5"/>
  <c r="BB319" i="5"/>
  <c r="BB242" i="5"/>
  <c r="BB324" i="5"/>
  <c r="BB225" i="5"/>
  <c r="BB18" i="5"/>
  <c r="BB50" i="5"/>
  <c r="BB366" i="5"/>
  <c r="BB26" i="5"/>
  <c r="BB350" i="5"/>
  <c r="BB294" i="5"/>
  <c r="BB90" i="5"/>
  <c r="BB362" i="5"/>
  <c r="BB41" i="5"/>
  <c r="BB89" i="5"/>
  <c r="BB98" i="5"/>
  <c r="BB380" i="5"/>
  <c r="BB99" i="5"/>
  <c r="BB332" i="5"/>
  <c r="BB347" i="5"/>
  <c r="BB305" i="5"/>
  <c r="BB367" i="5"/>
  <c r="BB321" i="5"/>
  <c r="BB223" i="5"/>
  <c r="BB93" i="5"/>
  <c r="BB325" i="5"/>
  <c r="BB28" i="5"/>
  <c r="BB228" i="5"/>
  <c r="BB354" i="5"/>
  <c r="BB254" i="5"/>
  <c r="BB102" i="5"/>
  <c r="BB358" i="5"/>
  <c r="BB377" i="5"/>
  <c r="BB178" i="5"/>
  <c r="BB237" i="5"/>
  <c r="BB351" i="5"/>
  <c r="BB375" i="5"/>
  <c r="BB61" i="5"/>
  <c r="BB317" i="5"/>
  <c r="BB376" i="5"/>
  <c r="BB381" i="5"/>
  <c r="BB170" i="5"/>
  <c r="BB177" i="5"/>
  <c r="BB5" i="5"/>
  <c r="BB171" i="5"/>
  <c r="BB298" i="5"/>
  <c r="BB243" i="5"/>
  <c r="BB302" i="5"/>
  <c r="BB297" i="5"/>
  <c r="BB27" i="5"/>
  <c r="BB360" i="5"/>
  <c r="BB169" i="5"/>
  <c r="BB183" i="5"/>
  <c r="BB353" i="5"/>
  <c r="BB342" i="5"/>
  <c r="BB343" i="5"/>
  <c r="BB224" i="5"/>
  <c r="BB65" i="5"/>
  <c r="BB39" i="5"/>
  <c r="BB48" i="5"/>
  <c r="BB272" i="5"/>
  <c r="BB86" i="5"/>
  <c r="BB30" i="5"/>
  <c r="BB283" i="5"/>
  <c r="BB229" i="5"/>
  <c r="BB230" i="5"/>
  <c r="BB231" i="5"/>
  <c r="BB335" i="5"/>
  <c r="BB345" i="5"/>
  <c r="BB352" i="5"/>
  <c r="BB33" i="5"/>
  <c r="BB104" i="5"/>
  <c r="BB163" i="5"/>
  <c r="BB326" i="5"/>
  <c r="BB327" i="5"/>
  <c r="BB382" i="5"/>
  <c r="BB383" i="5"/>
  <c r="BB29" i="5"/>
  <c r="BB268" i="5"/>
  <c r="BB248" i="5"/>
  <c r="BB328" i="5"/>
  <c r="BB368" i="5"/>
  <c r="BB329" i="5"/>
  <c r="BB68" i="5"/>
  <c r="BB330" i="5"/>
  <c r="BB69" i="5"/>
  <c r="BB355" i="5"/>
  <c r="BB250" i="5"/>
  <c r="BB384" i="5"/>
  <c r="BB233" i="5"/>
  <c r="BB64" i="5"/>
  <c r="BB318" i="5"/>
  <c r="BB323" i="5"/>
  <c r="BB322" i="5"/>
  <c r="BB296" i="5"/>
  <c r="BB301" i="5"/>
  <c r="BB182" i="5"/>
  <c r="BB236" i="5"/>
  <c r="BB238" i="5"/>
  <c r="BB274" i="5"/>
  <c r="BB247" i="5"/>
  <c r="BB310" i="5"/>
  <c r="BB289" i="5"/>
  <c r="BB315" i="5"/>
  <c r="BB313" i="5"/>
  <c r="BB292" i="5"/>
  <c r="BB311" i="5"/>
  <c r="BB314" i="5"/>
  <c r="BB235" i="5"/>
  <c r="BB234" i="5"/>
  <c r="BB240" i="5"/>
  <c r="BB103" i="5"/>
  <c r="BB279" i="5"/>
  <c r="BB278" i="5"/>
  <c r="BB281" i="5"/>
  <c r="BB244" i="5"/>
  <c r="BB245" i="5"/>
  <c r="BB252" i="5"/>
  <c r="BB257" i="5"/>
  <c r="BB258" i="5"/>
  <c r="BB269" i="5"/>
  <c r="BB287" i="5"/>
  <c r="BB280" i="5"/>
  <c r="BB286" i="5"/>
  <c r="BB288" i="5"/>
  <c r="BB284" i="5"/>
  <c r="BB285" i="5"/>
  <c r="BB293" i="5"/>
  <c r="BB306" i="5"/>
  <c r="BB251" i="5"/>
  <c r="BB339" i="5"/>
  <c r="BB295" i="5"/>
  <c r="BB333" i="5"/>
  <c r="BB340" i="5"/>
  <c r="BB338" i="5"/>
  <c r="BB344" i="5"/>
  <c r="BB373" i="5"/>
  <c r="BB341" i="5"/>
  <c r="BB334" i="5"/>
  <c r="BB363" i="5"/>
  <c r="BB359" i="5"/>
  <c r="BB365" i="5"/>
  <c r="BB369" i="5"/>
  <c r="BB372" i="5"/>
  <c r="BB370" i="5"/>
  <c r="BB371" i="5"/>
  <c r="BB320" i="5"/>
  <c r="BB249" i="5"/>
  <c r="BB34" i="5"/>
  <c r="BB241" i="5"/>
  <c r="BB385" i="5"/>
  <c r="BB356" i="5"/>
  <c r="BB361" i="5"/>
  <c r="BB175" i="5"/>
  <c r="BB303" i="5"/>
  <c r="BB307" i="5"/>
  <c r="BB304" i="5"/>
  <c r="BB349" i="5"/>
  <c r="BB364" i="5"/>
  <c r="BB312" i="5"/>
  <c r="BB87" i="5"/>
  <c r="BB94" i="5"/>
  <c r="BB66" i="5"/>
  <c r="BB51" i="5"/>
  <c r="BB386" i="5"/>
  <c r="BB387" i="5"/>
  <c r="BB388" i="5"/>
  <c r="BB389" i="5"/>
  <c r="BB390" i="5"/>
  <c r="BB259" i="5"/>
  <c r="BB262" i="5"/>
  <c r="BB273" i="5"/>
  <c r="BB246" i="5"/>
  <c r="BB264" i="5"/>
  <c r="BB348" i="5"/>
  <c r="BB391" i="5"/>
  <c r="BB62" i="5"/>
  <c r="BB7" i="5"/>
  <c r="BB13" i="5"/>
  <c r="BB10" i="5"/>
  <c r="BB11" i="5"/>
  <c r="BB14" i="5"/>
  <c r="BB12" i="5"/>
  <c r="BB276" i="5"/>
  <c r="BB31" i="5"/>
  <c r="BB270" i="5"/>
  <c r="BB406" i="5"/>
  <c r="BB260" i="5"/>
  <c r="BB275" i="5"/>
  <c r="BB271" i="5"/>
  <c r="BB123" i="5"/>
  <c r="BB154" i="5"/>
  <c r="BB155" i="5"/>
  <c r="BB156" i="5"/>
  <c r="BB157" i="5"/>
  <c r="BB197" i="5"/>
  <c r="BB194" i="5"/>
  <c r="BB191" i="5"/>
  <c r="BB189" i="5"/>
  <c r="BB193" i="5"/>
  <c r="BB192" i="5"/>
  <c r="BB188" i="5"/>
  <c r="BB190" i="5"/>
  <c r="BB195" i="5"/>
  <c r="BB196" i="5"/>
  <c r="BB198" i="5"/>
  <c r="BB158" i="5"/>
  <c r="BB136" i="5"/>
  <c r="BB138" i="5"/>
  <c r="BB130" i="5"/>
  <c r="BB131" i="5"/>
  <c r="BB143" i="5"/>
  <c r="BB139" i="5"/>
  <c r="BB141" i="5"/>
  <c r="BB144" i="5"/>
  <c r="BB150" i="5"/>
  <c r="BB153" i="5"/>
  <c r="BB142" i="5"/>
  <c r="BB146" i="5"/>
  <c r="BB137" i="5"/>
  <c r="BB149" i="5"/>
  <c r="BB128" i="5"/>
  <c r="BB147" i="5"/>
  <c r="BB140" i="5"/>
  <c r="BB151" i="5"/>
  <c r="BB125" i="5"/>
  <c r="BB152" i="5"/>
  <c r="BB145" i="5"/>
  <c r="BB134" i="5"/>
  <c r="BB135" i="5"/>
  <c r="BB133" i="5"/>
  <c r="BB148" i="5"/>
  <c r="BB129" i="5"/>
  <c r="BB187" i="5"/>
  <c r="BB126" i="5"/>
  <c r="BB127" i="5"/>
  <c r="BB186" i="5"/>
  <c r="BB132" i="5"/>
  <c r="BB124" i="5"/>
  <c r="BB213" i="5"/>
  <c r="BB203" i="5"/>
  <c r="BB221" i="5"/>
  <c r="BB199" i="5"/>
  <c r="BB209" i="5"/>
  <c r="BB210" i="5"/>
  <c r="BB212" i="5"/>
  <c r="BB211" i="5"/>
  <c r="BB200" i="5"/>
  <c r="BB205" i="5"/>
  <c r="BB204" i="5"/>
  <c r="BB220" i="5"/>
  <c r="BB219" i="5"/>
  <c r="BB215" i="5"/>
  <c r="BB218" i="5"/>
  <c r="BB216" i="5"/>
  <c r="BB214" i="5"/>
  <c r="BB217" i="5"/>
  <c r="BB201" i="5"/>
  <c r="BB207" i="5"/>
  <c r="BB208" i="5"/>
  <c r="BB206" i="5"/>
  <c r="BB393" i="5"/>
  <c r="BB400" i="5"/>
  <c r="BB396" i="5"/>
  <c r="BB402" i="5"/>
  <c r="BB401" i="5"/>
  <c r="BB397" i="5"/>
  <c r="BB403" i="5"/>
  <c r="BB395" i="5"/>
  <c r="BB394" i="5"/>
  <c r="BB399" i="5"/>
  <c r="BB398" i="5"/>
  <c r="BB159" i="5"/>
  <c r="BB357" i="5"/>
  <c r="BB70" i="5"/>
  <c r="BB202" i="5"/>
  <c r="BB392" i="5"/>
  <c r="BB22" i="5"/>
  <c r="BB331" i="5"/>
  <c r="BB300" i="5"/>
  <c r="BB71" i="5"/>
  <c r="BB72" i="5"/>
  <c r="BB73" i="5"/>
  <c r="BB74" i="5"/>
  <c r="BB75" i="5"/>
  <c r="BB44" i="5"/>
  <c r="BB256" i="5"/>
  <c r="BB76" i="5"/>
  <c r="BB77" i="5"/>
  <c r="BB78" i="5"/>
  <c r="BB79" i="5"/>
  <c r="BB80" i="5"/>
  <c r="BB81" i="5"/>
  <c r="BB3" i="5"/>
  <c r="BB282" i="5"/>
  <c r="BB82" i="5"/>
  <c r="BB42" i="5"/>
  <c r="BB405" i="5"/>
  <c r="BB83" i="5"/>
  <c r="BB84" i="5"/>
  <c r="BB85" i="5"/>
  <c r="BA160" i="5"/>
  <c r="BA17" i="5"/>
  <c r="BA8" i="5"/>
  <c r="BA15" i="5"/>
  <c r="BA20" i="5"/>
  <c r="BA21" i="5"/>
  <c r="BA23" i="5"/>
  <c r="BA24" i="5"/>
  <c r="BA25" i="5"/>
  <c r="BA59" i="5"/>
  <c r="BA9" i="5"/>
  <c r="BA63" i="5"/>
  <c r="BA4" i="5"/>
  <c r="BA36" i="5"/>
  <c r="BA37" i="5"/>
  <c r="BA35" i="5"/>
  <c r="BA38" i="5"/>
  <c r="BA109" i="5"/>
  <c r="BA110" i="5"/>
  <c r="BA91" i="5"/>
  <c r="BA115" i="5"/>
  <c r="BA40" i="5"/>
  <c r="BA43" i="5"/>
  <c r="BA45" i="5"/>
  <c r="BA46" i="5"/>
  <c r="BA49" i="5"/>
  <c r="BA47" i="5"/>
  <c r="BA378" i="5"/>
  <c r="BA19" i="5"/>
  <c r="BA57" i="5"/>
  <c r="BA52" i="5"/>
  <c r="BA16" i="5"/>
  <c r="BA176" i="5"/>
  <c r="BA6" i="5"/>
  <c r="BA54" i="5"/>
  <c r="BA55" i="5"/>
  <c r="BA67" i="5"/>
  <c r="BA56" i="5"/>
  <c r="BA101" i="5"/>
  <c r="BA92" i="5"/>
  <c r="BA100" i="5"/>
  <c r="BA95" i="5"/>
  <c r="BA88" i="5"/>
  <c r="BA309" i="5"/>
  <c r="BA255" i="5"/>
  <c r="BA97" i="5"/>
  <c r="BA164" i="5"/>
  <c r="BA316" i="5"/>
  <c r="BA116" i="5"/>
  <c r="BA111" i="5"/>
  <c r="BA112" i="5"/>
  <c r="BA117" i="5"/>
  <c r="BA113" i="5"/>
  <c r="BA121" i="5"/>
  <c r="BA107" i="5"/>
  <c r="BA105" i="5"/>
  <c r="BA118" i="5"/>
  <c r="BA106" i="5"/>
  <c r="BA119" i="5"/>
  <c r="BA346" i="5"/>
  <c r="BA336" i="5"/>
  <c r="BA96" i="5"/>
  <c r="BA226" i="5"/>
  <c r="BA227" i="5"/>
  <c r="BA122" i="5"/>
  <c r="BA114" i="5"/>
  <c r="BA108" i="5"/>
  <c r="BA161" i="5"/>
  <c r="BA165" i="5"/>
  <c r="BA162" i="5"/>
  <c r="BA120" i="5"/>
  <c r="BA58" i="5"/>
  <c r="BA173" i="5"/>
  <c r="BA174" i="5"/>
  <c r="BA172" i="5"/>
  <c r="BA53" i="5"/>
  <c r="BA181" i="5"/>
  <c r="BA180" i="5"/>
  <c r="BA179" i="5"/>
  <c r="BA184" i="5"/>
  <c r="BA185" i="5"/>
  <c r="BA374" i="5"/>
  <c r="BA253" i="5"/>
  <c r="BA166" i="5"/>
  <c r="BA167" i="5"/>
  <c r="BA168" i="5"/>
  <c r="BA32" i="5"/>
  <c r="BA263" i="5"/>
  <c r="BA265" i="5"/>
  <c r="BA266" i="5"/>
  <c r="BA308" i="5"/>
  <c r="BA239" i="5"/>
  <c r="BA261" i="5"/>
  <c r="BA60" i="5"/>
  <c r="BA379" i="5"/>
  <c r="BA337" i="5"/>
  <c r="BA290" i="5"/>
  <c r="BA232" i="5"/>
  <c r="BA277" i="5"/>
  <c r="BA267" i="5"/>
  <c r="BA222" i="5"/>
  <c r="BA2" i="5"/>
  <c r="BA404" i="5"/>
  <c r="BA291" i="5"/>
  <c r="BA319" i="5"/>
  <c r="BA242" i="5"/>
  <c r="BA324" i="5"/>
  <c r="BA225" i="5"/>
  <c r="BA18" i="5"/>
  <c r="BA50" i="5"/>
  <c r="BA366" i="5"/>
  <c r="BA26" i="5"/>
  <c r="BA350" i="5"/>
  <c r="BA294" i="5"/>
  <c r="BA90" i="5"/>
  <c r="BA362" i="5"/>
  <c r="BA41" i="5"/>
  <c r="BA89" i="5"/>
  <c r="BA98" i="5"/>
  <c r="BA380" i="5"/>
  <c r="BA99" i="5"/>
  <c r="BA332" i="5"/>
  <c r="BA347" i="5"/>
  <c r="BA305" i="5"/>
  <c r="BA367" i="5"/>
  <c r="BA321" i="5"/>
  <c r="BA223" i="5"/>
  <c r="BA93" i="5"/>
  <c r="BA325" i="5"/>
  <c r="BA28" i="5"/>
  <c r="BA228" i="5"/>
  <c r="BA354" i="5"/>
  <c r="BA254" i="5"/>
  <c r="BA102" i="5"/>
  <c r="BA358" i="5"/>
  <c r="BA377" i="5"/>
  <c r="BA178" i="5"/>
  <c r="BA237" i="5"/>
  <c r="BA351" i="5"/>
  <c r="BA375" i="5"/>
  <c r="BA61" i="5"/>
  <c r="BA317" i="5"/>
  <c r="BA376" i="5"/>
  <c r="BA381" i="5"/>
  <c r="BA170" i="5"/>
  <c r="BA177" i="5"/>
  <c r="BA5" i="5"/>
  <c r="BA171" i="5"/>
  <c r="BA298" i="5"/>
  <c r="BA243" i="5"/>
  <c r="BA302" i="5"/>
  <c r="BA297" i="5"/>
  <c r="BA27" i="5"/>
  <c r="BA360" i="5"/>
  <c r="BA169" i="5"/>
  <c r="BA183" i="5"/>
  <c r="BA353" i="5"/>
  <c r="BA342" i="5"/>
  <c r="BA343" i="5"/>
  <c r="BA224" i="5"/>
  <c r="BA65" i="5"/>
  <c r="BA39" i="5"/>
  <c r="BA48" i="5"/>
  <c r="BA272" i="5"/>
  <c r="BA86" i="5"/>
  <c r="BA30" i="5"/>
  <c r="BA283" i="5"/>
  <c r="BA229" i="5"/>
  <c r="BA230" i="5"/>
  <c r="BA231" i="5"/>
  <c r="BA335" i="5"/>
  <c r="BA345" i="5"/>
  <c r="BA352" i="5"/>
  <c r="BA33" i="5"/>
  <c r="BA104" i="5"/>
  <c r="BA163" i="5"/>
  <c r="BA326" i="5"/>
  <c r="BA327" i="5"/>
  <c r="BA382" i="5"/>
  <c r="BA383" i="5"/>
  <c r="BA29" i="5"/>
  <c r="BA268" i="5"/>
  <c r="BA248" i="5"/>
  <c r="BA328" i="5"/>
  <c r="BA368" i="5"/>
  <c r="BA329" i="5"/>
  <c r="BA68" i="5"/>
  <c r="BA330" i="5"/>
  <c r="BA69" i="5"/>
  <c r="BA355" i="5"/>
  <c r="BA250" i="5"/>
  <c r="BA384" i="5"/>
  <c r="BA233" i="5"/>
  <c r="BA64" i="5"/>
  <c r="BA318" i="5"/>
  <c r="BA323" i="5"/>
  <c r="BA322" i="5"/>
  <c r="BA296" i="5"/>
  <c r="BA301" i="5"/>
  <c r="BA182" i="5"/>
  <c r="BA236" i="5"/>
  <c r="BA238" i="5"/>
  <c r="BA274" i="5"/>
  <c r="BA247" i="5"/>
  <c r="BA310" i="5"/>
  <c r="BA289" i="5"/>
  <c r="BA315" i="5"/>
  <c r="BA313" i="5"/>
  <c r="BA292" i="5"/>
  <c r="BA311" i="5"/>
  <c r="BA314" i="5"/>
  <c r="BA235" i="5"/>
  <c r="BA234" i="5"/>
  <c r="BA240" i="5"/>
  <c r="BA103" i="5"/>
  <c r="BA279" i="5"/>
  <c r="BA278" i="5"/>
  <c r="BA281" i="5"/>
  <c r="BA244" i="5"/>
  <c r="BA245" i="5"/>
  <c r="BA252" i="5"/>
  <c r="BA257" i="5"/>
  <c r="BA258" i="5"/>
  <c r="BA269" i="5"/>
  <c r="BA287" i="5"/>
  <c r="BA280" i="5"/>
  <c r="BA286" i="5"/>
  <c r="BA288" i="5"/>
  <c r="BA284" i="5"/>
  <c r="BA285" i="5"/>
  <c r="BA293" i="5"/>
  <c r="BA306" i="5"/>
  <c r="BA251" i="5"/>
  <c r="BA339" i="5"/>
  <c r="BA295" i="5"/>
  <c r="BA333" i="5"/>
  <c r="BA340" i="5"/>
  <c r="BA338" i="5"/>
  <c r="BA344" i="5"/>
  <c r="BA373" i="5"/>
  <c r="BA341" i="5"/>
  <c r="BA334" i="5"/>
  <c r="BA363" i="5"/>
  <c r="BA359" i="5"/>
  <c r="BA365" i="5"/>
  <c r="BA369" i="5"/>
  <c r="BA372" i="5"/>
  <c r="BA370" i="5"/>
  <c r="BA371" i="5"/>
  <c r="BA320" i="5"/>
  <c r="BA249" i="5"/>
  <c r="BA34" i="5"/>
  <c r="BA241" i="5"/>
  <c r="BA385" i="5"/>
  <c r="BA356" i="5"/>
  <c r="BA361" i="5"/>
  <c r="BA175" i="5"/>
  <c r="BA303" i="5"/>
  <c r="BA307" i="5"/>
  <c r="BA304" i="5"/>
  <c r="BA349" i="5"/>
  <c r="BA364" i="5"/>
  <c r="BA312" i="5"/>
  <c r="BA87" i="5"/>
  <c r="BA94" i="5"/>
  <c r="BA66" i="5"/>
  <c r="BA51" i="5"/>
  <c r="BA386" i="5"/>
  <c r="BA387" i="5"/>
  <c r="BA388" i="5"/>
  <c r="BA389" i="5"/>
  <c r="BA390" i="5"/>
  <c r="BA259" i="5"/>
  <c r="BA262" i="5"/>
  <c r="BA273" i="5"/>
  <c r="BA246" i="5"/>
  <c r="BA264" i="5"/>
  <c r="BA348" i="5"/>
  <c r="BA391" i="5"/>
  <c r="BA62" i="5"/>
  <c r="BA7" i="5"/>
  <c r="BA13" i="5"/>
  <c r="BA10" i="5"/>
  <c r="BA11" i="5"/>
  <c r="BA14" i="5"/>
  <c r="BA12" i="5"/>
  <c r="BA276" i="5"/>
  <c r="BA31" i="5"/>
  <c r="BA270" i="5"/>
  <c r="BA406" i="5"/>
  <c r="BA260" i="5"/>
  <c r="BA275" i="5"/>
  <c r="BA271" i="5"/>
  <c r="BA123" i="5"/>
  <c r="BA154" i="5"/>
  <c r="BA155" i="5"/>
  <c r="BA156" i="5"/>
  <c r="BA157" i="5"/>
  <c r="BA197" i="5"/>
  <c r="BA194" i="5"/>
  <c r="BA191" i="5"/>
  <c r="BA189" i="5"/>
  <c r="BA193" i="5"/>
  <c r="BA192" i="5"/>
  <c r="BA188" i="5"/>
  <c r="BA190" i="5"/>
  <c r="BA195" i="5"/>
  <c r="BA196" i="5"/>
  <c r="BA198" i="5"/>
  <c r="BA158" i="5"/>
  <c r="BA136" i="5"/>
  <c r="BA138" i="5"/>
  <c r="BA130" i="5"/>
  <c r="BA131" i="5"/>
  <c r="BA143" i="5"/>
  <c r="BA139" i="5"/>
  <c r="BA141" i="5"/>
  <c r="BA144" i="5"/>
  <c r="BA150" i="5"/>
  <c r="BA153" i="5"/>
  <c r="BA142" i="5"/>
  <c r="BA146" i="5"/>
  <c r="BA137" i="5"/>
  <c r="BA149" i="5"/>
  <c r="BA128" i="5"/>
  <c r="BA147" i="5"/>
  <c r="BA140" i="5"/>
  <c r="BA151" i="5"/>
  <c r="BA125" i="5"/>
  <c r="BA152" i="5"/>
  <c r="BA145" i="5"/>
  <c r="BA134" i="5"/>
  <c r="BA135" i="5"/>
  <c r="BA133" i="5"/>
  <c r="BA148" i="5"/>
  <c r="BA129" i="5"/>
  <c r="BA187" i="5"/>
  <c r="BA126" i="5"/>
  <c r="BA127" i="5"/>
  <c r="BA186" i="5"/>
  <c r="BA132" i="5"/>
  <c r="BA124" i="5"/>
  <c r="BA213" i="5"/>
  <c r="BA203" i="5"/>
  <c r="BA221" i="5"/>
  <c r="BA199" i="5"/>
  <c r="BA209" i="5"/>
  <c r="BA210" i="5"/>
  <c r="BA212" i="5"/>
  <c r="BA211" i="5"/>
  <c r="BA200" i="5"/>
  <c r="BA205" i="5"/>
  <c r="BA204" i="5"/>
  <c r="BA220" i="5"/>
  <c r="BA219" i="5"/>
  <c r="BA215" i="5"/>
  <c r="BA218" i="5"/>
  <c r="BA216" i="5"/>
  <c r="BA214" i="5"/>
  <c r="BA217" i="5"/>
  <c r="BA201" i="5"/>
  <c r="BA207" i="5"/>
  <c r="BA208" i="5"/>
  <c r="BA206" i="5"/>
  <c r="BA393" i="5"/>
  <c r="BA400" i="5"/>
  <c r="BA396" i="5"/>
  <c r="BA402" i="5"/>
  <c r="BA401" i="5"/>
  <c r="BA397" i="5"/>
  <c r="BA403" i="5"/>
  <c r="BA395" i="5"/>
  <c r="BA394" i="5"/>
  <c r="BA399" i="5"/>
  <c r="BA398" i="5"/>
  <c r="BA159" i="5"/>
  <c r="BA357" i="5"/>
  <c r="BA70" i="5"/>
  <c r="BA202" i="5"/>
  <c r="BA392" i="5"/>
  <c r="BA22" i="5"/>
  <c r="BA331" i="5"/>
  <c r="BA300" i="5"/>
  <c r="BA71" i="5"/>
  <c r="BA72" i="5"/>
  <c r="BA73" i="5"/>
  <c r="BA74" i="5"/>
  <c r="BA75" i="5"/>
  <c r="BA44" i="5"/>
  <c r="BA256" i="5"/>
  <c r="BA76" i="5"/>
  <c r="BA77" i="5"/>
  <c r="BA78" i="5"/>
  <c r="BA79" i="5"/>
  <c r="BA80" i="5"/>
  <c r="BA81" i="5"/>
  <c r="BA3" i="5"/>
  <c r="BA282" i="5"/>
  <c r="BA82" i="5"/>
  <c r="BA42" i="5"/>
  <c r="BA405" i="5"/>
  <c r="BA83" i="5"/>
  <c r="BA84" i="5"/>
  <c r="BA85" i="5"/>
  <c r="BA299" i="5"/>
  <c r="W4" i="2"/>
  <c r="H4" i="2"/>
  <c r="H33" i="2"/>
  <c r="T33" i="2"/>
  <c r="T34" i="2"/>
  <c r="T25" i="2"/>
  <c r="T38" i="2"/>
  <c r="T28" i="2"/>
  <c r="T26" i="2"/>
  <c r="T37" i="2"/>
  <c r="T24" i="2"/>
  <c r="T23" i="2"/>
  <c r="T6" i="2"/>
  <c r="T21" i="2"/>
  <c r="T22" i="2"/>
  <c r="T20" i="2"/>
  <c r="T31" i="2"/>
  <c r="T19" i="2"/>
  <c r="T29" i="2"/>
  <c r="T30" i="2"/>
  <c r="T16" i="2"/>
  <c r="T17" i="2"/>
  <c r="T10" i="2"/>
  <c r="T8" i="2"/>
  <c r="T18" i="2"/>
  <c r="T11" i="2"/>
  <c r="T7" i="2"/>
  <c r="T13" i="2"/>
  <c r="T12" i="2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08" i="4"/>
  <c r="AF309" i="4"/>
  <c r="AF310" i="4"/>
  <c r="AF311" i="4"/>
  <c r="AF312" i="4"/>
  <c r="AF313" i="4"/>
  <c r="AF314" i="4"/>
  <c r="AF315" i="4"/>
  <c r="AF316" i="4"/>
  <c r="AF317" i="4"/>
  <c r="AF318" i="4"/>
  <c r="AF337" i="4"/>
  <c r="AF319" i="4"/>
  <c r="AF320" i="4"/>
  <c r="AF321" i="4"/>
  <c r="AF322" i="4"/>
  <c r="AF323" i="4"/>
  <c r="AF324" i="4"/>
  <c r="AF325" i="4"/>
  <c r="AF326" i="4"/>
  <c r="AF327" i="4"/>
  <c r="AF328" i="4"/>
  <c r="AF329" i="4"/>
  <c r="AF330" i="4"/>
  <c r="AF331" i="4"/>
  <c r="AF332" i="4"/>
  <c r="AF333" i="4"/>
  <c r="AF334" i="4"/>
  <c r="AF335" i="4"/>
  <c r="AF336" i="4"/>
  <c r="AF338" i="4"/>
  <c r="AF339" i="4"/>
  <c r="AF340" i="4"/>
  <c r="AF341" i="4"/>
  <c r="AF342" i="4"/>
  <c r="AF343" i="4"/>
  <c r="AF344" i="4"/>
  <c r="AF345" i="4"/>
  <c r="AF346" i="4"/>
  <c r="AF347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66" i="4"/>
  <c r="AF367" i="4"/>
  <c r="AF368" i="4"/>
  <c r="AF369" i="4"/>
  <c r="AF370" i="4"/>
  <c r="AF371" i="4"/>
  <c r="AF372" i="4"/>
  <c r="AF373" i="4"/>
  <c r="AF374" i="4"/>
  <c r="AF375" i="4"/>
  <c r="AF376" i="4"/>
  <c r="AF377" i="4"/>
  <c r="AF378" i="4"/>
  <c r="AF379" i="4"/>
  <c r="AF380" i="4"/>
  <c r="AF381" i="4"/>
  <c r="AF382" i="4"/>
  <c r="AF383" i="4"/>
  <c r="AF384" i="4"/>
  <c r="AF385" i="4"/>
  <c r="AF386" i="4"/>
  <c r="AF387" i="4"/>
  <c r="AF388" i="4"/>
  <c r="AF389" i="4"/>
  <c r="AF390" i="4"/>
  <c r="AF391" i="4"/>
  <c r="AF392" i="4"/>
  <c r="AF393" i="4"/>
  <c r="AF394" i="4"/>
  <c r="AF395" i="4"/>
  <c r="AF396" i="4"/>
  <c r="AF397" i="4"/>
  <c r="AF398" i="4"/>
  <c r="AF399" i="4"/>
  <c r="AF400" i="4"/>
  <c r="AF401" i="4"/>
  <c r="AF402" i="4"/>
  <c r="AF403" i="4"/>
  <c r="AF404" i="4"/>
  <c r="AF405" i="4"/>
  <c r="AF406" i="4"/>
  <c r="BE164" i="5"/>
  <c r="I35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9" i="3"/>
  <c r="E20" i="3"/>
  <c r="E21" i="3"/>
  <c r="E32" i="3"/>
  <c r="E22" i="3"/>
  <c r="E23" i="3"/>
  <c r="E33" i="3"/>
  <c r="E34" i="3"/>
  <c r="E35" i="3"/>
  <c r="E24" i="3"/>
  <c r="E25" i="3"/>
  <c r="E26" i="3"/>
  <c r="E27" i="3"/>
  <c r="E28" i="3"/>
  <c r="E29" i="3"/>
  <c r="E30" i="3"/>
  <c r="E31" i="3"/>
  <c r="E3" i="3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D20" i="1"/>
  <c r="BC20" i="1"/>
  <c r="AZ20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D19" i="1"/>
  <c r="BC19" i="1"/>
  <c r="AZ19" i="1"/>
  <c r="I28" i="3"/>
  <c r="I23" i="3"/>
  <c r="I14" i="3"/>
  <c r="I21" i="3"/>
  <c r="I4" i="3"/>
  <c r="AM109" i="5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M1036" i="12"/>
  <c r="N1036" i="12"/>
  <c r="L1037" i="12"/>
  <c r="M1037" i="12"/>
  <c r="N1037" i="12"/>
  <c r="L1038" i="12"/>
  <c r="M1038" i="12"/>
  <c r="N1038" i="12"/>
  <c r="L1039" i="12"/>
  <c r="M1039" i="12"/>
  <c r="N1039" i="12"/>
  <c r="L1040" i="12"/>
  <c r="M1040" i="12"/>
  <c r="N1040" i="12"/>
  <c r="L1041" i="12"/>
  <c r="M1041" i="12"/>
  <c r="N1041" i="12"/>
  <c r="L1042" i="12"/>
  <c r="L1043" i="12"/>
  <c r="L1044" i="12"/>
  <c r="L1045" i="12"/>
  <c r="L1046" i="12"/>
  <c r="M1046" i="12"/>
  <c r="N1046" i="12"/>
  <c r="L1047" i="12"/>
  <c r="M1047" i="12"/>
  <c r="N1047" i="12"/>
  <c r="L1048" i="12"/>
  <c r="L1049" i="12"/>
  <c r="L1050" i="12"/>
  <c r="L1051" i="12"/>
  <c r="L1052" i="12"/>
  <c r="L1053" i="12"/>
  <c r="L1054" i="12"/>
  <c r="M1054" i="12"/>
  <c r="N1054" i="12"/>
  <c r="L1055" i="12"/>
  <c r="M1055" i="12"/>
  <c r="N1055" i="12"/>
  <c r="L1056" i="12"/>
  <c r="M1056" i="12"/>
  <c r="N1056" i="12"/>
  <c r="L1057" i="12"/>
  <c r="M1057" i="12"/>
  <c r="N1057" i="12"/>
  <c r="L1058" i="12"/>
  <c r="M1058" i="12"/>
  <c r="N1058" i="12"/>
  <c r="L1059" i="12"/>
  <c r="M1059" i="12"/>
  <c r="N1059" i="12"/>
  <c r="L1060" i="12"/>
  <c r="M1060" i="12"/>
  <c r="N1060" i="12"/>
  <c r="L1061" i="12"/>
  <c r="M1061" i="12"/>
  <c r="N1061" i="12"/>
  <c r="L1062" i="12"/>
  <c r="M1062" i="12"/>
  <c r="N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M1101" i="12"/>
  <c r="N1101" i="12"/>
  <c r="L1102" i="12"/>
  <c r="M1102" i="12"/>
  <c r="N1102" i="12"/>
  <c r="L1103" i="12"/>
  <c r="M1103" i="12"/>
  <c r="N1103" i="12"/>
  <c r="L1104" i="12"/>
  <c r="L1105" i="12"/>
  <c r="L1014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M103" i="12"/>
  <c r="N103" i="12"/>
  <c r="L104" i="12"/>
  <c r="M104" i="12"/>
  <c r="N104" i="12"/>
  <c r="L105" i="12"/>
  <c r="L106" i="12"/>
  <c r="L107" i="12"/>
  <c r="L108" i="12"/>
  <c r="L109" i="12"/>
  <c r="L110" i="12"/>
  <c r="L111" i="12"/>
  <c r="M111" i="12"/>
  <c r="N111" i="12"/>
  <c r="L112" i="12"/>
  <c r="M112" i="12"/>
  <c r="N112" i="12"/>
  <c r="L1010" i="12"/>
  <c r="M1010" i="12"/>
  <c r="N1010" i="12"/>
  <c r="L153" i="12"/>
  <c r="M153" i="12"/>
  <c r="N153" i="12"/>
  <c r="L154" i="12"/>
  <c r="M154" i="12"/>
  <c r="N154" i="12"/>
  <c r="L155" i="12"/>
  <c r="M155" i="12"/>
  <c r="N155" i="12"/>
  <c r="L156" i="12"/>
  <c r="M156" i="12"/>
  <c r="N156" i="12"/>
  <c r="L157" i="12"/>
  <c r="M157" i="12"/>
  <c r="N157" i="12"/>
  <c r="L158" i="12"/>
  <c r="M158" i="12"/>
  <c r="N158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011" i="12"/>
  <c r="M1011" i="12"/>
  <c r="N1011" i="12"/>
  <c r="L1012" i="12"/>
  <c r="M1012" i="12"/>
  <c r="N1012" i="12"/>
  <c r="L1013" i="12"/>
  <c r="M1013" i="12"/>
  <c r="N1013" i="12"/>
  <c r="L151" i="12"/>
  <c r="L152" i="12"/>
  <c r="L71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M956" i="12"/>
  <c r="N956" i="12"/>
  <c r="L957" i="12"/>
  <c r="M957" i="12"/>
  <c r="N957" i="12"/>
  <c r="L958" i="12"/>
  <c r="L959" i="12"/>
  <c r="L960" i="12"/>
  <c r="L961" i="12"/>
  <c r="L65" i="12"/>
  <c r="L66" i="12"/>
  <c r="L962" i="12"/>
  <c r="M962" i="12"/>
  <c r="N962" i="12"/>
  <c r="L963" i="12"/>
  <c r="M963" i="12"/>
  <c r="N963" i="12"/>
  <c r="L964" i="12"/>
  <c r="M964" i="12"/>
  <c r="N964" i="12"/>
  <c r="L965" i="12"/>
  <c r="M965" i="12"/>
  <c r="N965" i="12"/>
  <c r="L966" i="12"/>
  <c r="M966" i="12"/>
  <c r="N966" i="12"/>
  <c r="L967" i="12"/>
  <c r="M967" i="12"/>
  <c r="N967" i="12"/>
  <c r="L968" i="12"/>
  <c r="M968" i="12"/>
  <c r="N968" i="12"/>
  <c r="L969" i="12"/>
  <c r="M969" i="12"/>
  <c r="N969" i="12"/>
  <c r="L970" i="12"/>
  <c r="M970" i="12"/>
  <c r="N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67" i="12"/>
  <c r="L68" i="12"/>
  <c r="L1001" i="12"/>
  <c r="L1002" i="12"/>
  <c r="L69" i="12"/>
  <c r="L70" i="12"/>
  <c r="L1003" i="12"/>
  <c r="L1004" i="12"/>
  <c r="L1005" i="12"/>
  <c r="M1005" i="12"/>
  <c r="N1005" i="12"/>
  <c r="L1006" i="12"/>
  <c r="M1006" i="12"/>
  <c r="N1006" i="12"/>
  <c r="L1007" i="12"/>
  <c r="M1007" i="12"/>
  <c r="N1007" i="12"/>
  <c r="L1008" i="12"/>
  <c r="L1009" i="12"/>
  <c r="L924" i="12"/>
  <c r="L162" i="12"/>
  <c r="M162" i="12"/>
  <c r="N162" i="12"/>
  <c r="L163" i="12"/>
  <c r="M163" i="12"/>
  <c r="N163" i="12"/>
  <c r="L164" i="12"/>
  <c r="M164" i="12"/>
  <c r="N164" i="12"/>
  <c r="L165" i="12"/>
  <c r="M165" i="12"/>
  <c r="N165" i="12"/>
  <c r="L61" i="12"/>
  <c r="M61" i="12"/>
  <c r="N61" i="12"/>
  <c r="L62" i="12"/>
  <c r="M62" i="12"/>
  <c r="N62" i="12"/>
  <c r="L63" i="12"/>
  <c r="M63" i="12"/>
  <c r="N63" i="12"/>
  <c r="L64" i="12"/>
  <c r="M64" i="12"/>
  <c r="N64" i="12"/>
  <c r="L166" i="12"/>
  <c r="M166" i="12"/>
  <c r="N166" i="12"/>
  <c r="L167" i="12"/>
  <c r="M167" i="12"/>
  <c r="N167" i="12"/>
  <c r="L168" i="12"/>
  <c r="M168" i="12"/>
  <c r="N168" i="12"/>
  <c r="L169" i="12"/>
  <c r="M169" i="12"/>
  <c r="N169" i="12"/>
  <c r="L170" i="12"/>
  <c r="M170" i="12"/>
  <c r="N170" i="12"/>
  <c r="L171" i="12"/>
  <c r="M171" i="12"/>
  <c r="N171" i="12"/>
  <c r="L172" i="12"/>
  <c r="M172" i="12"/>
  <c r="N172" i="12"/>
  <c r="L173" i="12"/>
  <c r="M173" i="12"/>
  <c r="N173" i="12"/>
  <c r="L174" i="12"/>
  <c r="M174" i="12"/>
  <c r="N174" i="12"/>
  <c r="L175" i="12"/>
  <c r="M175" i="12"/>
  <c r="N175" i="12"/>
  <c r="L176" i="12"/>
  <c r="M176" i="12"/>
  <c r="N176" i="12"/>
  <c r="L177" i="12"/>
  <c r="M177" i="12"/>
  <c r="N177" i="12"/>
  <c r="L178" i="12"/>
  <c r="M178" i="12"/>
  <c r="N178" i="12"/>
  <c r="L179" i="12"/>
  <c r="M179" i="12"/>
  <c r="N179" i="12"/>
  <c r="L180" i="12"/>
  <c r="M180" i="12"/>
  <c r="N180" i="12"/>
  <c r="L181" i="12"/>
  <c r="M181" i="12"/>
  <c r="N181" i="12"/>
  <c r="L182" i="12"/>
  <c r="M182" i="12"/>
  <c r="N182" i="12"/>
  <c r="L183" i="12"/>
  <c r="M183" i="12"/>
  <c r="N183" i="12"/>
  <c r="L184" i="12"/>
  <c r="M184" i="12"/>
  <c r="N184" i="12"/>
  <c r="L185" i="12"/>
  <c r="M185" i="12"/>
  <c r="N185" i="12"/>
  <c r="L186" i="12"/>
  <c r="M186" i="12"/>
  <c r="N186" i="12"/>
  <c r="L187" i="12"/>
  <c r="M187" i="12"/>
  <c r="N187" i="12"/>
  <c r="L188" i="12"/>
  <c r="M188" i="12"/>
  <c r="N188" i="12"/>
  <c r="L902" i="12"/>
  <c r="M902" i="12"/>
  <c r="N902" i="12"/>
  <c r="L903" i="12"/>
  <c r="M903" i="12"/>
  <c r="N903" i="12"/>
  <c r="L189" i="12"/>
  <c r="M189" i="12"/>
  <c r="N189" i="12"/>
  <c r="L190" i="12"/>
  <c r="M190" i="12"/>
  <c r="N190" i="12"/>
  <c r="L191" i="12"/>
  <c r="M191" i="12"/>
  <c r="N191" i="12"/>
  <c r="L192" i="12"/>
  <c r="M192" i="12"/>
  <c r="N192" i="12"/>
  <c r="L193" i="12"/>
  <c r="M193" i="12"/>
  <c r="N193" i="12"/>
  <c r="L194" i="12"/>
  <c r="M194" i="12"/>
  <c r="N194" i="12"/>
  <c r="L904" i="12"/>
  <c r="M904" i="12"/>
  <c r="N904" i="12"/>
  <c r="L905" i="12"/>
  <c r="M905" i="12"/>
  <c r="N905" i="12"/>
  <c r="L906" i="12"/>
  <c r="M906" i="12"/>
  <c r="N906" i="12"/>
  <c r="L907" i="12"/>
  <c r="M907" i="12"/>
  <c r="N907" i="12"/>
  <c r="L908" i="12"/>
  <c r="M908" i="12"/>
  <c r="N908" i="12"/>
  <c r="L909" i="12"/>
  <c r="M909" i="12"/>
  <c r="N909" i="12"/>
  <c r="L910" i="12"/>
  <c r="M910" i="12"/>
  <c r="N910" i="12"/>
  <c r="L911" i="12"/>
  <c r="M911" i="12"/>
  <c r="N911" i="12"/>
  <c r="L912" i="12"/>
  <c r="M912" i="12"/>
  <c r="N912" i="12"/>
  <c r="L195" i="12"/>
  <c r="M195" i="12"/>
  <c r="N195" i="12"/>
  <c r="L196" i="12"/>
  <c r="M196" i="12"/>
  <c r="N196" i="12"/>
  <c r="L913" i="12"/>
  <c r="M913" i="12"/>
  <c r="N913" i="12"/>
  <c r="L914" i="12"/>
  <c r="M914" i="12"/>
  <c r="N914" i="12"/>
  <c r="L915" i="12"/>
  <c r="M915" i="12"/>
  <c r="N915" i="12"/>
  <c r="L916" i="12"/>
  <c r="M916" i="12"/>
  <c r="N916" i="12"/>
  <c r="L917" i="12"/>
  <c r="M917" i="12"/>
  <c r="N917" i="12"/>
  <c r="L197" i="12"/>
  <c r="M197" i="12"/>
  <c r="N197" i="12"/>
  <c r="L198" i="12"/>
  <c r="M198" i="12"/>
  <c r="N198" i="12"/>
  <c r="L199" i="12"/>
  <c r="M199" i="12"/>
  <c r="N199" i="12"/>
  <c r="L200" i="12"/>
  <c r="M200" i="12"/>
  <c r="N200" i="12"/>
  <c r="L201" i="12"/>
  <c r="M201" i="12"/>
  <c r="N201" i="12"/>
  <c r="L202" i="12"/>
  <c r="M202" i="12"/>
  <c r="N202" i="12"/>
  <c r="L203" i="12"/>
  <c r="M203" i="12"/>
  <c r="N203" i="12"/>
  <c r="L204" i="12"/>
  <c r="M204" i="12"/>
  <c r="N204" i="12"/>
  <c r="L205" i="12"/>
  <c r="M205" i="12"/>
  <c r="N205" i="12"/>
  <c r="L206" i="12"/>
  <c r="M206" i="12"/>
  <c r="N206" i="12"/>
  <c r="L207" i="12"/>
  <c r="M207" i="12"/>
  <c r="N207" i="12"/>
  <c r="L208" i="12"/>
  <c r="M208" i="12"/>
  <c r="N208" i="12"/>
  <c r="L209" i="12"/>
  <c r="M209" i="12"/>
  <c r="N209" i="12"/>
  <c r="L210" i="12"/>
  <c r="M210" i="12"/>
  <c r="N210" i="12"/>
  <c r="L211" i="12"/>
  <c r="M211" i="12"/>
  <c r="N211" i="12"/>
  <c r="L212" i="12"/>
  <c r="M212" i="12"/>
  <c r="N212" i="12"/>
  <c r="L213" i="12"/>
  <c r="M213" i="12"/>
  <c r="N213" i="12"/>
  <c r="L214" i="12"/>
  <c r="M214" i="12"/>
  <c r="N214" i="12"/>
  <c r="L215" i="12"/>
  <c r="M215" i="12"/>
  <c r="N215" i="12"/>
  <c r="L216" i="12"/>
  <c r="M216" i="12"/>
  <c r="N216" i="12"/>
  <c r="L217" i="12"/>
  <c r="M217" i="12"/>
  <c r="N217" i="12"/>
  <c r="L218" i="12"/>
  <c r="M218" i="12"/>
  <c r="N218" i="12"/>
  <c r="L219" i="12"/>
  <c r="M219" i="12"/>
  <c r="N219" i="12"/>
  <c r="L220" i="12"/>
  <c r="M220" i="12"/>
  <c r="N220" i="12"/>
  <c r="L221" i="12"/>
  <c r="M221" i="12"/>
  <c r="N221" i="12"/>
  <c r="L918" i="12"/>
  <c r="M918" i="12"/>
  <c r="N918" i="12"/>
  <c r="L919" i="12"/>
  <c r="M919" i="12"/>
  <c r="N919" i="12"/>
  <c r="L920" i="12"/>
  <c r="M920" i="12"/>
  <c r="N920" i="12"/>
  <c r="L921" i="12"/>
  <c r="M921" i="12"/>
  <c r="N921" i="12"/>
  <c r="L922" i="12"/>
  <c r="M922" i="12"/>
  <c r="N922" i="12"/>
  <c r="L923" i="12"/>
  <c r="M923" i="12"/>
  <c r="N923" i="12"/>
  <c r="L222" i="12"/>
  <c r="M222" i="12"/>
  <c r="N222" i="12"/>
  <c r="L223" i="12"/>
  <c r="M223" i="12"/>
  <c r="N223" i="12"/>
  <c r="L224" i="12"/>
  <c r="M224" i="12"/>
  <c r="N224" i="12"/>
  <c r="L225" i="12"/>
  <c r="M225" i="12"/>
  <c r="N225" i="12"/>
  <c r="L226" i="12"/>
  <c r="M226" i="12"/>
  <c r="N226" i="12"/>
  <c r="N161" i="12"/>
  <c r="M161" i="12"/>
  <c r="L161" i="12"/>
  <c r="L811" i="12"/>
  <c r="M811" i="12"/>
  <c r="N811" i="12"/>
  <c r="L812" i="12"/>
  <c r="M812" i="12"/>
  <c r="N812" i="12"/>
  <c r="L813" i="12"/>
  <c r="M813" i="12"/>
  <c r="N813" i="12"/>
  <c r="L814" i="12"/>
  <c r="M814" i="12"/>
  <c r="N814" i="12"/>
  <c r="L815" i="12"/>
  <c r="M815" i="12"/>
  <c r="N815" i="12"/>
  <c r="L816" i="12"/>
  <c r="M816" i="12"/>
  <c r="N816" i="12"/>
  <c r="L817" i="12"/>
  <c r="M817" i="12"/>
  <c r="N817" i="12"/>
  <c r="L818" i="12"/>
  <c r="M818" i="12"/>
  <c r="N818" i="12"/>
  <c r="L819" i="12"/>
  <c r="M819" i="12"/>
  <c r="N819" i="12"/>
  <c r="L820" i="12"/>
  <c r="M820" i="12"/>
  <c r="N820" i="12"/>
  <c r="L821" i="12"/>
  <c r="M821" i="12"/>
  <c r="N821" i="12"/>
  <c r="L822" i="12"/>
  <c r="M822" i="12"/>
  <c r="N822" i="12"/>
  <c r="L823" i="12"/>
  <c r="M823" i="12"/>
  <c r="N823" i="12"/>
  <c r="L824" i="12"/>
  <c r="M824" i="12"/>
  <c r="N824" i="12"/>
  <c r="L825" i="12"/>
  <c r="M825" i="12"/>
  <c r="N825" i="12"/>
  <c r="L826" i="12"/>
  <c r="M826" i="12"/>
  <c r="N826" i="12"/>
  <c r="L827" i="12"/>
  <c r="M827" i="12"/>
  <c r="N827" i="12"/>
  <c r="L828" i="12"/>
  <c r="M828" i="12"/>
  <c r="N828" i="12"/>
  <c r="L829" i="12"/>
  <c r="M829" i="12"/>
  <c r="N829" i="12"/>
  <c r="L830" i="12"/>
  <c r="M830" i="12"/>
  <c r="N830" i="12"/>
  <c r="L831" i="12"/>
  <c r="M831" i="12"/>
  <c r="N831" i="12"/>
  <c r="L832" i="12"/>
  <c r="M832" i="12"/>
  <c r="N832" i="12"/>
  <c r="L833" i="12"/>
  <c r="M833" i="12"/>
  <c r="N833" i="12"/>
  <c r="L834" i="12"/>
  <c r="M834" i="12"/>
  <c r="N834" i="12"/>
  <c r="L835" i="12"/>
  <c r="M835" i="12"/>
  <c r="N835" i="12"/>
  <c r="L836" i="12"/>
  <c r="M836" i="12"/>
  <c r="N836" i="12"/>
  <c r="L837" i="12"/>
  <c r="M837" i="12"/>
  <c r="N837" i="12"/>
  <c r="L838" i="12"/>
  <c r="M838" i="12"/>
  <c r="N838" i="12"/>
  <c r="L839" i="12"/>
  <c r="M839" i="12"/>
  <c r="N839" i="12"/>
  <c r="L840" i="12"/>
  <c r="M840" i="12"/>
  <c r="N840" i="12"/>
  <c r="L841" i="12"/>
  <c r="M841" i="12"/>
  <c r="N841" i="12"/>
  <c r="L842" i="12"/>
  <c r="M842" i="12"/>
  <c r="N842" i="12"/>
  <c r="L843" i="12"/>
  <c r="M843" i="12"/>
  <c r="N843" i="12"/>
  <c r="L844" i="12"/>
  <c r="M844" i="12"/>
  <c r="N844" i="12"/>
  <c r="L845" i="12"/>
  <c r="M845" i="12"/>
  <c r="N845" i="12"/>
  <c r="L846" i="12"/>
  <c r="M846" i="12"/>
  <c r="N846" i="12"/>
  <c r="L847" i="12"/>
  <c r="M847" i="12"/>
  <c r="N847" i="12"/>
  <c r="L848" i="12"/>
  <c r="M848" i="12"/>
  <c r="N848" i="12"/>
  <c r="L849" i="12"/>
  <c r="M849" i="12"/>
  <c r="N849" i="12"/>
  <c r="L850" i="12"/>
  <c r="M850" i="12"/>
  <c r="N850" i="12"/>
  <c r="L851" i="12"/>
  <c r="M851" i="12"/>
  <c r="N851" i="12"/>
  <c r="L852" i="12"/>
  <c r="M852" i="12"/>
  <c r="N852" i="12"/>
  <c r="L853" i="12"/>
  <c r="M853" i="12"/>
  <c r="N853" i="12"/>
  <c r="L854" i="12"/>
  <c r="M854" i="12"/>
  <c r="N854" i="12"/>
  <c r="L855" i="12"/>
  <c r="M855" i="12"/>
  <c r="N855" i="12"/>
  <c r="L856" i="12"/>
  <c r="M856" i="12"/>
  <c r="N856" i="12"/>
  <c r="L857" i="12"/>
  <c r="M857" i="12"/>
  <c r="N857" i="12"/>
  <c r="L858" i="12"/>
  <c r="M858" i="12"/>
  <c r="N858" i="12"/>
  <c r="L859" i="12"/>
  <c r="M859" i="12"/>
  <c r="N859" i="12"/>
  <c r="L860" i="12"/>
  <c r="M860" i="12"/>
  <c r="N860" i="12"/>
  <c r="L861" i="12"/>
  <c r="M861" i="12"/>
  <c r="N861" i="12"/>
  <c r="L862" i="12"/>
  <c r="M862" i="12"/>
  <c r="N862" i="12"/>
  <c r="L863" i="12"/>
  <c r="M863" i="12"/>
  <c r="N863" i="12"/>
  <c r="L864" i="12"/>
  <c r="M864" i="12"/>
  <c r="N864" i="12"/>
  <c r="L865" i="12"/>
  <c r="M865" i="12"/>
  <c r="N865" i="12"/>
  <c r="L866" i="12"/>
  <c r="M866" i="12"/>
  <c r="N866" i="12"/>
  <c r="L867" i="12"/>
  <c r="M867" i="12"/>
  <c r="N867" i="12"/>
  <c r="L868" i="12"/>
  <c r="M868" i="12"/>
  <c r="N868" i="12"/>
  <c r="L869" i="12"/>
  <c r="M869" i="12"/>
  <c r="N869" i="12"/>
  <c r="L870" i="12"/>
  <c r="M870" i="12"/>
  <c r="N870" i="12"/>
  <c r="L871" i="12"/>
  <c r="M871" i="12"/>
  <c r="N871" i="12"/>
  <c r="L872" i="12"/>
  <c r="M872" i="12"/>
  <c r="N872" i="12"/>
  <c r="L873" i="12"/>
  <c r="M873" i="12"/>
  <c r="N873" i="12"/>
  <c r="L874" i="12"/>
  <c r="M874" i="12"/>
  <c r="N874" i="12"/>
  <c r="L875" i="12"/>
  <c r="M875" i="12"/>
  <c r="N875" i="12"/>
  <c r="L876" i="12"/>
  <c r="M876" i="12"/>
  <c r="N876" i="12"/>
  <c r="L877" i="12"/>
  <c r="M877" i="12"/>
  <c r="N877" i="12"/>
  <c r="L878" i="12"/>
  <c r="M878" i="12"/>
  <c r="N878" i="12"/>
  <c r="L879" i="12"/>
  <c r="M879" i="12"/>
  <c r="N879" i="12"/>
  <c r="L880" i="12"/>
  <c r="M880" i="12"/>
  <c r="N880" i="12"/>
  <c r="L881" i="12"/>
  <c r="M881" i="12"/>
  <c r="N881" i="12"/>
  <c r="L882" i="12"/>
  <c r="M882" i="12"/>
  <c r="N882" i="12"/>
  <c r="L883" i="12"/>
  <c r="M883" i="12"/>
  <c r="N883" i="12"/>
  <c r="L884" i="12"/>
  <c r="M884" i="12"/>
  <c r="N884" i="12"/>
  <c r="L885" i="12"/>
  <c r="M885" i="12"/>
  <c r="N885" i="12"/>
  <c r="L886" i="12"/>
  <c r="M886" i="12"/>
  <c r="N886" i="12"/>
  <c r="L887" i="12"/>
  <c r="M887" i="12"/>
  <c r="N887" i="12"/>
  <c r="L888" i="12"/>
  <c r="M888" i="12"/>
  <c r="N888" i="12"/>
  <c r="L889" i="12"/>
  <c r="M889" i="12"/>
  <c r="N889" i="12"/>
  <c r="L890" i="12"/>
  <c r="M890" i="12"/>
  <c r="N890" i="12"/>
  <c r="L891" i="12"/>
  <c r="M891" i="12"/>
  <c r="N891" i="12"/>
  <c r="L892" i="12"/>
  <c r="M892" i="12"/>
  <c r="N892" i="12"/>
  <c r="L893" i="12"/>
  <c r="M893" i="12"/>
  <c r="N893" i="12"/>
  <c r="L894" i="12"/>
  <c r="M894" i="12"/>
  <c r="N894" i="12"/>
  <c r="L895" i="12"/>
  <c r="M895" i="12"/>
  <c r="N895" i="12"/>
  <c r="L896" i="12"/>
  <c r="M896" i="12"/>
  <c r="N896" i="12"/>
  <c r="L897" i="12"/>
  <c r="M897" i="12"/>
  <c r="N897" i="12"/>
  <c r="L898" i="12"/>
  <c r="M898" i="12"/>
  <c r="N898" i="12"/>
  <c r="L899" i="12"/>
  <c r="M899" i="12"/>
  <c r="N899" i="12"/>
  <c r="L900" i="12"/>
  <c r="M900" i="12"/>
  <c r="N900" i="12"/>
  <c r="L901" i="12"/>
  <c r="M901" i="12"/>
  <c r="N901" i="12"/>
  <c r="N810" i="12"/>
  <c r="M810" i="12"/>
  <c r="L810" i="12"/>
  <c r="L751" i="12"/>
  <c r="M751" i="12"/>
  <c r="N751" i="12"/>
  <c r="L752" i="12"/>
  <c r="M752" i="12"/>
  <c r="N752" i="12"/>
  <c r="L229" i="12"/>
  <c r="M229" i="12"/>
  <c r="N229" i="12"/>
  <c r="L230" i="12"/>
  <c r="M230" i="12"/>
  <c r="N230" i="12"/>
  <c r="L753" i="12"/>
  <c r="M753" i="12"/>
  <c r="N753" i="12"/>
  <c r="L754" i="12"/>
  <c r="M754" i="12"/>
  <c r="N754" i="12"/>
  <c r="L755" i="12"/>
  <c r="M755" i="12"/>
  <c r="N755" i="12"/>
  <c r="L756" i="12"/>
  <c r="M756" i="12"/>
  <c r="N756" i="12"/>
  <c r="L757" i="12"/>
  <c r="M757" i="12"/>
  <c r="N757" i="12"/>
  <c r="L758" i="12"/>
  <c r="M758" i="12"/>
  <c r="N758" i="12"/>
  <c r="L759" i="12"/>
  <c r="M759" i="12"/>
  <c r="N759" i="12"/>
  <c r="L760" i="12"/>
  <c r="M760" i="12"/>
  <c r="N760" i="12"/>
  <c r="L761" i="12"/>
  <c r="M761" i="12"/>
  <c r="N761" i="12"/>
  <c r="L762" i="12"/>
  <c r="M762" i="12"/>
  <c r="N762" i="12"/>
  <c r="L763" i="12"/>
  <c r="M763" i="12"/>
  <c r="N763" i="12"/>
  <c r="L764" i="12"/>
  <c r="M764" i="12"/>
  <c r="N764" i="12"/>
  <c r="L765" i="12"/>
  <c r="M765" i="12"/>
  <c r="N765" i="12"/>
  <c r="L766" i="12"/>
  <c r="M766" i="12"/>
  <c r="N766" i="12"/>
  <c r="L767" i="12"/>
  <c r="M767" i="12"/>
  <c r="N767" i="12"/>
  <c r="L768" i="12"/>
  <c r="M768" i="12"/>
  <c r="N768" i="12"/>
  <c r="L769" i="12"/>
  <c r="M769" i="12"/>
  <c r="N769" i="12"/>
  <c r="L770" i="12"/>
  <c r="M770" i="12"/>
  <c r="N770" i="12"/>
  <c r="L771" i="12"/>
  <c r="M771" i="12"/>
  <c r="N771" i="12"/>
  <c r="L772" i="12"/>
  <c r="M772" i="12"/>
  <c r="N772" i="12"/>
  <c r="L773" i="12"/>
  <c r="M773" i="12"/>
  <c r="N773" i="12"/>
  <c r="L774" i="12"/>
  <c r="M774" i="12"/>
  <c r="N774" i="12"/>
  <c r="L775" i="12"/>
  <c r="M775" i="12"/>
  <c r="N775" i="12"/>
  <c r="L227" i="12"/>
  <c r="M227" i="12"/>
  <c r="N227" i="12"/>
  <c r="L228" i="12"/>
  <c r="M228" i="12"/>
  <c r="N228" i="12"/>
  <c r="L231" i="12"/>
  <c r="M231" i="12"/>
  <c r="N231" i="12"/>
  <c r="L232" i="12"/>
  <c r="M232" i="12"/>
  <c r="N232" i="12"/>
  <c r="L59" i="12"/>
  <c r="M59" i="12"/>
  <c r="N59" i="12"/>
  <c r="L60" i="12"/>
  <c r="M60" i="12"/>
  <c r="N60" i="12"/>
  <c r="L233" i="12"/>
  <c r="M233" i="12"/>
  <c r="N233" i="12"/>
  <c r="L234" i="12"/>
  <c r="M234" i="12"/>
  <c r="N234" i="12"/>
  <c r="L235" i="12"/>
  <c r="M235" i="12"/>
  <c r="N235" i="12"/>
  <c r="L236" i="12"/>
  <c r="M236" i="12"/>
  <c r="N236" i="12"/>
  <c r="L776" i="12"/>
  <c r="M776" i="12"/>
  <c r="N776" i="12"/>
  <c r="L777" i="12"/>
  <c r="M777" i="12"/>
  <c r="N777" i="12"/>
  <c r="L778" i="12"/>
  <c r="M778" i="12"/>
  <c r="N778" i="12"/>
  <c r="L779" i="12"/>
  <c r="M779" i="12"/>
  <c r="N779" i="12"/>
  <c r="L780" i="12"/>
  <c r="M780" i="12"/>
  <c r="N780" i="12"/>
  <c r="L781" i="12"/>
  <c r="M781" i="12"/>
  <c r="N781" i="12"/>
  <c r="L782" i="12"/>
  <c r="M782" i="12"/>
  <c r="N782" i="12"/>
  <c r="L783" i="12"/>
  <c r="M783" i="12"/>
  <c r="N783" i="12"/>
  <c r="L784" i="12"/>
  <c r="M784" i="12"/>
  <c r="N784" i="12"/>
  <c r="L785" i="12"/>
  <c r="M785" i="12"/>
  <c r="N785" i="12"/>
  <c r="L786" i="12"/>
  <c r="M786" i="12"/>
  <c r="N786" i="12"/>
  <c r="L159" i="12"/>
  <c r="M159" i="12"/>
  <c r="N159" i="12"/>
  <c r="L160" i="12"/>
  <c r="M160" i="12"/>
  <c r="N160" i="12"/>
  <c r="L787" i="12"/>
  <c r="M787" i="12"/>
  <c r="N787" i="12"/>
  <c r="L788" i="12"/>
  <c r="M788" i="12"/>
  <c r="N788" i="12"/>
  <c r="L237" i="12"/>
  <c r="M237" i="12"/>
  <c r="N237" i="12"/>
  <c r="L238" i="12"/>
  <c r="M238" i="12"/>
  <c r="N238" i="12"/>
  <c r="L239" i="12"/>
  <c r="M239" i="12"/>
  <c r="N239" i="12"/>
  <c r="L789" i="12"/>
  <c r="M789" i="12"/>
  <c r="N789" i="12"/>
  <c r="L790" i="12"/>
  <c r="M790" i="12"/>
  <c r="N790" i="12"/>
  <c r="L791" i="12"/>
  <c r="M791" i="12"/>
  <c r="N791" i="12"/>
  <c r="L792" i="12"/>
  <c r="M792" i="12"/>
  <c r="N792" i="12"/>
  <c r="L793" i="12"/>
  <c r="M793" i="12"/>
  <c r="N793" i="12"/>
  <c r="L794" i="12"/>
  <c r="M794" i="12"/>
  <c r="N794" i="12"/>
  <c r="L795" i="12"/>
  <c r="M795" i="12"/>
  <c r="N795" i="12"/>
  <c r="L796" i="12"/>
  <c r="M796" i="12"/>
  <c r="N796" i="12"/>
  <c r="L797" i="12"/>
  <c r="M797" i="12"/>
  <c r="N797" i="12"/>
  <c r="L798" i="12"/>
  <c r="M798" i="12"/>
  <c r="N798" i="12"/>
  <c r="L799" i="12"/>
  <c r="M799" i="12"/>
  <c r="N799" i="12"/>
  <c r="L800" i="12"/>
  <c r="M800" i="12"/>
  <c r="N800" i="12"/>
  <c r="L801" i="12"/>
  <c r="M801" i="12"/>
  <c r="N801" i="12"/>
  <c r="L802" i="12"/>
  <c r="M802" i="12"/>
  <c r="N802" i="12"/>
  <c r="L803" i="12"/>
  <c r="M803" i="12"/>
  <c r="N803" i="12"/>
  <c r="L804" i="12"/>
  <c r="M804" i="12"/>
  <c r="N804" i="12"/>
  <c r="L251" i="12"/>
  <c r="M251" i="12"/>
  <c r="N251" i="12"/>
  <c r="L252" i="12"/>
  <c r="M252" i="12"/>
  <c r="N252" i="12"/>
  <c r="L240" i="12"/>
  <c r="M240" i="12"/>
  <c r="N240" i="12"/>
  <c r="L241" i="12"/>
  <c r="M241" i="12"/>
  <c r="N241" i="12"/>
  <c r="L242" i="12"/>
  <c r="M242" i="12"/>
  <c r="N242" i="12"/>
  <c r="L243" i="12"/>
  <c r="M243" i="12"/>
  <c r="N243" i="12"/>
  <c r="L244" i="12"/>
  <c r="M244" i="12"/>
  <c r="N244" i="12"/>
  <c r="L245" i="12"/>
  <c r="M245" i="12"/>
  <c r="N245" i="12"/>
  <c r="L246" i="12"/>
  <c r="M246" i="12"/>
  <c r="N246" i="12"/>
  <c r="L253" i="12"/>
  <c r="M253" i="12"/>
  <c r="N253" i="12"/>
  <c r="L254" i="12"/>
  <c r="M254" i="12"/>
  <c r="N254" i="12"/>
  <c r="L247" i="12"/>
  <c r="M247" i="12"/>
  <c r="N247" i="12"/>
  <c r="L248" i="12"/>
  <c r="M248" i="12"/>
  <c r="N248" i="12"/>
  <c r="L805" i="12"/>
  <c r="M805" i="12"/>
  <c r="N805" i="12"/>
  <c r="L806" i="12"/>
  <c r="M806" i="12"/>
  <c r="N806" i="12"/>
  <c r="L807" i="12"/>
  <c r="M807" i="12"/>
  <c r="N807" i="12"/>
  <c r="L808" i="12"/>
  <c r="M808" i="12"/>
  <c r="N808" i="12"/>
  <c r="L809" i="12"/>
  <c r="M809" i="12"/>
  <c r="N809" i="12"/>
  <c r="L249" i="12"/>
  <c r="M249" i="12"/>
  <c r="N249" i="12"/>
  <c r="L250" i="12"/>
  <c r="M250" i="12"/>
  <c r="N250" i="12"/>
  <c r="N750" i="12"/>
  <c r="M750" i="12"/>
  <c r="L750" i="12"/>
  <c r="L659" i="12"/>
  <c r="M659" i="12"/>
  <c r="N659" i="12"/>
  <c r="L660" i="12"/>
  <c r="M660" i="12"/>
  <c r="N660" i="12"/>
  <c r="L661" i="12"/>
  <c r="M661" i="12"/>
  <c r="N661" i="12"/>
  <c r="L662" i="12"/>
  <c r="M662" i="12"/>
  <c r="N662" i="12"/>
  <c r="L663" i="12"/>
  <c r="M663" i="12"/>
  <c r="N663" i="12"/>
  <c r="L664" i="12"/>
  <c r="M664" i="12"/>
  <c r="N664" i="12"/>
  <c r="L665" i="12"/>
  <c r="M665" i="12"/>
  <c r="N665" i="12"/>
  <c r="L666" i="12"/>
  <c r="M666" i="12"/>
  <c r="N666" i="12"/>
  <c r="L667" i="12"/>
  <c r="M667" i="12"/>
  <c r="N667" i="12"/>
  <c r="L668" i="12"/>
  <c r="M668" i="12"/>
  <c r="N668" i="12"/>
  <c r="L669" i="12"/>
  <c r="M669" i="12"/>
  <c r="N669" i="12"/>
  <c r="L670" i="12"/>
  <c r="M670" i="12"/>
  <c r="N670" i="12"/>
  <c r="L671" i="12"/>
  <c r="M671" i="12"/>
  <c r="N671" i="12"/>
  <c r="L672" i="12"/>
  <c r="M672" i="12"/>
  <c r="N672" i="12"/>
  <c r="L673" i="12"/>
  <c r="M673" i="12"/>
  <c r="N673" i="12"/>
  <c r="L674" i="12"/>
  <c r="M674" i="12"/>
  <c r="N674" i="12"/>
  <c r="L675" i="12"/>
  <c r="M675" i="12"/>
  <c r="N675" i="12"/>
  <c r="L676" i="12"/>
  <c r="M676" i="12"/>
  <c r="N676" i="12"/>
  <c r="L677" i="12"/>
  <c r="M677" i="12"/>
  <c r="N677" i="12"/>
  <c r="L678" i="12"/>
  <c r="M678" i="12"/>
  <c r="N678" i="12"/>
  <c r="L679" i="12"/>
  <c r="M679" i="12"/>
  <c r="N679" i="12"/>
  <c r="L680" i="12"/>
  <c r="M680" i="12"/>
  <c r="N680" i="12"/>
  <c r="L681" i="12"/>
  <c r="M681" i="12"/>
  <c r="N681" i="12"/>
  <c r="L682" i="12"/>
  <c r="M682" i="12"/>
  <c r="N682" i="12"/>
  <c r="L683" i="12"/>
  <c r="M683" i="12"/>
  <c r="N683" i="12"/>
  <c r="L684" i="12"/>
  <c r="M684" i="12"/>
  <c r="N684" i="12"/>
  <c r="L685" i="12"/>
  <c r="M685" i="12"/>
  <c r="N685" i="12"/>
  <c r="L686" i="12"/>
  <c r="M686" i="12"/>
  <c r="N686" i="12"/>
  <c r="L687" i="12"/>
  <c r="M687" i="12"/>
  <c r="N687" i="12"/>
  <c r="L688" i="12"/>
  <c r="M688" i="12"/>
  <c r="N688" i="12"/>
  <c r="L689" i="12"/>
  <c r="M689" i="12"/>
  <c r="N689" i="12"/>
  <c r="L690" i="12"/>
  <c r="M690" i="12"/>
  <c r="N690" i="12"/>
  <c r="L691" i="12"/>
  <c r="M691" i="12"/>
  <c r="N691" i="12"/>
  <c r="L692" i="12"/>
  <c r="M692" i="12"/>
  <c r="N692" i="12"/>
  <c r="L693" i="12"/>
  <c r="M693" i="12"/>
  <c r="N693" i="12"/>
  <c r="L694" i="12"/>
  <c r="M694" i="12"/>
  <c r="N694" i="12"/>
  <c r="L695" i="12"/>
  <c r="M695" i="12"/>
  <c r="N695" i="12"/>
  <c r="L696" i="12"/>
  <c r="M696" i="12"/>
  <c r="N696" i="12"/>
  <c r="L697" i="12"/>
  <c r="M697" i="12"/>
  <c r="N697" i="12"/>
  <c r="L698" i="12"/>
  <c r="M698" i="12"/>
  <c r="N698" i="12"/>
  <c r="L699" i="12"/>
  <c r="M699" i="12"/>
  <c r="N699" i="12"/>
  <c r="L700" i="12"/>
  <c r="M700" i="12"/>
  <c r="N700" i="12"/>
  <c r="L701" i="12"/>
  <c r="M701" i="12"/>
  <c r="N701" i="12"/>
  <c r="L702" i="12"/>
  <c r="M702" i="12"/>
  <c r="N702" i="12"/>
  <c r="L703" i="12"/>
  <c r="M703" i="12"/>
  <c r="N703" i="12"/>
  <c r="L704" i="12"/>
  <c r="M704" i="12"/>
  <c r="N704" i="12"/>
  <c r="L705" i="12"/>
  <c r="M705" i="12"/>
  <c r="N705" i="12"/>
  <c r="L706" i="12"/>
  <c r="M706" i="12"/>
  <c r="N706" i="12"/>
  <c r="L707" i="12"/>
  <c r="M707" i="12"/>
  <c r="N707" i="12"/>
  <c r="L708" i="12"/>
  <c r="M708" i="12"/>
  <c r="N708" i="12"/>
  <c r="L709" i="12"/>
  <c r="M709" i="12"/>
  <c r="N709" i="12"/>
  <c r="L710" i="12"/>
  <c r="M710" i="12"/>
  <c r="N710" i="12"/>
  <c r="L711" i="12"/>
  <c r="M711" i="12"/>
  <c r="N711" i="12"/>
  <c r="L712" i="12"/>
  <c r="M712" i="12"/>
  <c r="N712" i="12"/>
  <c r="L713" i="12"/>
  <c r="M713" i="12"/>
  <c r="N713" i="12"/>
  <c r="L714" i="12"/>
  <c r="M714" i="12"/>
  <c r="N714" i="12"/>
  <c r="L715" i="12"/>
  <c r="M715" i="12"/>
  <c r="N715" i="12"/>
  <c r="L716" i="12"/>
  <c r="M716" i="12"/>
  <c r="N716" i="12"/>
  <c r="L717" i="12"/>
  <c r="M717" i="12"/>
  <c r="N717" i="12"/>
  <c r="L718" i="12"/>
  <c r="M718" i="12"/>
  <c r="N718" i="12"/>
  <c r="L719" i="12"/>
  <c r="M719" i="12"/>
  <c r="N719" i="12"/>
  <c r="L720" i="12"/>
  <c r="M720" i="12"/>
  <c r="N720" i="12"/>
  <c r="L721" i="12"/>
  <c r="M721" i="12"/>
  <c r="N721" i="12"/>
  <c r="L722" i="12"/>
  <c r="M722" i="12"/>
  <c r="N722" i="12"/>
  <c r="L723" i="12"/>
  <c r="M723" i="12"/>
  <c r="N723" i="12"/>
  <c r="L724" i="12"/>
  <c r="M724" i="12"/>
  <c r="N724" i="12"/>
  <c r="L725" i="12"/>
  <c r="M725" i="12"/>
  <c r="N725" i="12"/>
  <c r="L726" i="12"/>
  <c r="M726" i="12"/>
  <c r="N726" i="12"/>
  <c r="L727" i="12"/>
  <c r="M727" i="12"/>
  <c r="N727" i="12"/>
  <c r="L728" i="12"/>
  <c r="M728" i="12"/>
  <c r="N728" i="12"/>
  <c r="L729" i="12"/>
  <c r="M729" i="12"/>
  <c r="N729" i="12"/>
  <c r="L730" i="12"/>
  <c r="M730" i="12"/>
  <c r="N730" i="12"/>
  <c r="L731" i="12"/>
  <c r="M731" i="12"/>
  <c r="N731" i="12"/>
  <c r="L732" i="12"/>
  <c r="M732" i="12"/>
  <c r="N732" i="12"/>
  <c r="L733" i="12"/>
  <c r="M733" i="12"/>
  <c r="N733" i="12"/>
  <c r="L734" i="12"/>
  <c r="M734" i="12"/>
  <c r="N734" i="12"/>
  <c r="L735" i="12"/>
  <c r="M735" i="12"/>
  <c r="N735" i="12"/>
  <c r="L736" i="12"/>
  <c r="M736" i="12"/>
  <c r="N736" i="12"/>
  <c r="L737" i="12"/>
  <c r="M737" i="12"/>
  <c r="N737" i="12"/>
  <c r="L738" i="12"/>
  <c r="M738" i="12"/>
  <c r="N738" i="12"/>
  <c r="L739" i="12"/>
  <c r="M739" i="12"/>
  <c r="N739" i="12"/>
  <c r="L740" i="12"/>
  <c r="M740" i="12"/>
  <c r="N740" i="12"/>
  <c r="L741" i="12"/>
  <c r="M741" i="12"/>
  <c r="N741" i="12"/>
  <c r="L742" i="12"/>
  <c r="M742" i="12"/>
  <c r="N742" i="12"/>
  <c r="L743" i="12"/>
  <c r="M743" i="12"/>
  <c r="N743" i="12"/>
  <c r="L744" i="12"/>
  <c r="M744" i="12"/>
  <c r="N744" i="12"/>
  <c r="L745" i="12"/>
  <c r="M745" i="12"/>
  <c r="N745" i="12"/>
  <c r="L746" i="12"/>
  <c r="M746" i="12"/>
  <c r="N746" i="12"/>
  <c r="L747" i="12"/>
  <c r="M747" i="12"/>
  <c r="N747" i="12"/>
  <c r="L748" i="12"/>
  <c r="M748" i="12"/>
  <c r="N748" i="12"/>
  <c r="L749" i="12"/>
  <c r="M749" i="12"/>
  <c r="N749" i="12"/>
  <c r="N658" i="12"/>
  <c r="M658" i="12"/>
  <c r="L658" i="12"/>
  <c r="L567" i="12"/>
  <c r="M567" i="12"/>
  <c r="N567" i="12"/>
  <c r="L568" i="12"/>
  <c r="M568" i="12"/>
  <c r="N568" i="12"/>
  <c r="L569" i="12"/>
  <c r="M569" i="12"/>
  <c r="N569" i="12"/>
  <c r="L570" i="12"/>
  <c r="M570" i="12"/>
  <c r="N570" i="12"/>
  <c r="L571" i="12"/>
  <c r="M571" i="12"/>
  <c r="N571" i="12"/>
  <c r="L572" i="12"/>
  <c r="M572" i="12"/>
  <c r="N572" i="12"/>
  <c r="L573" i="12"/>
  <c r="M573" i="12"/>
  <c r="N573" i="12"/>
  <c r="L574" i="12"/>
  <c r="M574" i="12"/>
  <c r="N574" i="12"/>
  <c r="L575" i="12"/>
  <c r="M575" i="12"/>
  <c r="N575" i="12"/>
  <c r="L576" i="12"/>
  <c r="M576" i="12"/>
  <c r="N576" i="12"/>
  <c r="L577" i="12"/>
  <c r="M577" i="12"/>
  <c r="N577" i="12"/>
  <c r="L578" i="12"/>
  <c r="M578" i="12"/>
  <c r="N578" i="12"/>
  <c r="L579" i="12"/>
  <c r="M579" i="12"/>
  <c r="N579" i="12"/>
  <c r="L580" i="12"/>
  <c r="M580" i="12"/>
  <c r="N580" i="12"/>
  <c r="L581" i="12"/>
  <c r="M581" i="12"/>
  <c r="N581" i="12"/>
  <c r="L582" i="12"/>
  <c r="M582" i="12"/>
  <c r="N582" i="12"/>
  <c r="L583" i="12"/>
  <c r="M583" i="12"/>
  <c r="N583" i="12"/>
  <c r="L584" i="12"/>
  <c r="M584" i="12"/>
  <c r="N584" i="12"/>
  <c r="L585" i="12"/>
  <c r="M585" i="12"/>
  <c r="N585" i="12"/>
  <c r="L586" i="12"/>
  <c r="M586" i="12"/>
  <c r="N586" i="12"/>
  <c r="L587" i="12"/>
  <c r="M587" i="12"/>
  <c r="N587" i="12"/>
  <c r="L588" i="12"/>
  <c r="M588" i="12"/>
  <c r="N588" i="12"/>
  <c r="L589" i="12"/>
  <c r="M589" i="12"/>
  <c r="N589" i="12"/>
  <c r="L590" i="12"/>
  <c r="M590" i="12"/>
  <c r="N590" i="12"/>
  <c r="L591" i="12"/>
  <c r="M591" i="12"/>
  <c r="N591" i="12"/>
  <c r="L592" i="12"/>
  <c r="M592" i="12"/>
  <c r="N592" i="12"/>
  <c r="L593" i="12"/>
  <c r="M593" i="12"/>
  <c r="N593" i="12"/>
  <c r="L594" i="12"/>
  <c r="M594" i="12"/>
  <c r="N594" i="12"/>
  <c r="L595" i="12"/>
  <c r="M595" i="12"/>
  <c r="N595" i="12"/>
  <c r="L596" i="12"/>
  <c r="M596" i="12"/>
  <c r="N596" i="12"/>
  <c r="L597" i="12"/>
  <c r="M597" i="12"/>
  <c r="N597" i="12"/>
  <c r="L598" i="12"/>
  <c r="M598" i="12"/>
  <c r="N598" i="12"/>
  <c r="L599" i="12"/>
  <c r="M599" i="12"/>
  <c r="N599" i="12"/>
  <c r="L600" i="12"/>
  <c r="M600" i="12"/>
  <c r="N600" i="12"/>
  <c r="L601" i="12"/>
  <c r="M601" i="12"/>
  <c r="N601" i="12"/>
  <c r="L602" i="12"/>
  <c r="M602" i="12"/>
  <c r="N602" i="12"/>
  <c r="L603" i="12"/>
  <c r="M603" i="12"/>
  <c r="N603" i="12"/>
  <c r="L604" i="12"/>
  <c r="M604" i="12"/>
  <c r="N604" i="12"/>
  <c r="L605" i="12"/>
  <c r="M605" i="12"/>
  <c r="N605" i="12"/>
  <c r="L606" i="12"/>
  <c r="M606" i="12"/>
  <c r="N606" i="12"/>
  <c r="L607" i="12"/>
  <c r="M607" i="12"/>
  <c r="N607" i="12"/>
  <c r="L608" i="12"/>
  <c r="M608" i="12"/>
  <c r="N608" i="12"/>
  <c r="L609" i="12"/>
  <c r="M609" i="12"/>
  <c r="N609" i="12"/>
  <c r="L610" i="12"/>
  <c r="M610" i="12"/>
  <c r="N610" i="12"/>
  <c r="L611" i="12"/>
  <c r="M611" i="12"/>
  <c r="N611" i="12"/>
  <c r="L612" i="12"/>
  <c r="M612" i="12"/>
  <c r="N612" i="12"/>
  <c r="L613" i="12"/>
  <c r="M613" i="12"/>
  <c r="N613" i="12"/>
  <c r="L614" i="12"/>
  <c r="M614" i="12"/>
  <c r="N614" i="12"/>
  <c r="L615" i="12"/>
  <c r="M615" i="12"/>
  <c r="N615" i="12"/>
  <c r="L616" i="12"/>
  <c r="M616" i="12"/>
  <c r="N616" i="12"/>
  <c r="L617" i="12"/>
  <c r="M617" i="12"/>
  <c r="N617" i="12"/>
  <c r="L618" i="12"/>
  <c r="M618" i="12"/>
  <c r="N618" i="12"/>
  <c r="L619" i="12"/>
  <c r="M619" i="12"/>
  <c r="N619" i="12"/>
  <c r="L620" i="12"/>
  <c r="M620" i="12"/>
  <c r="N620" i="12"/>
  <c r="L621" i="12"/>
  <c r="M621" i="12"/>
  <c r="N621" i="12"/>
  <c r="L622" i="12"/>
  <c r="M622" i="12"/>
  <c r="N622" i="12"/>
  <c r="L623" i="12"/>
  <c r="M623" i="12"/>
  <c r="N623" i="12"/>
  <c r="L624" i="12"/>
  <c r="M624" i="12"/>
  <c r="N624" i="12"/>
  <c r="L625" i="12"/>
  <c r="M625" i="12"/>
  <c r="N625" i="12"/>
  <c r="L626" i="12"/>
  <c r="M626" i="12"/>
  <c r="N626" i="12"/>
  <c r="L627" i="12"/>
  <c r="M627" i="12"/>
  <c r="N627" i="12"/>
  <c r="L628" i="12"/>
  <c r="M628" i="12"/>
  <c r="N628" i="12"/>
  <c r="L629" i="12"/>
  <c r="M629" i="12"/>
  <c r="N629" i="12"/>
  <c r="L630" i="12"/>
  <c r="M630" i="12"/>
  <c r="N630" i="12"/>
  <c r="L631" i="12"/>
  <c r="M631" i="12"/>
  <c r="N631" i="12"/>
  <c r="L632" i="12"/>
  <c r="M632" i="12"/>
  <c r="N632" i="12"/>
  <c r="L633" i="12"/>
  <c r="M633" i="12"/>
  <c r="N633" i="12"/>
  <c r="L634" i="12"/>
  <c r="M634" i="12"/>
  <c r="N634" i="12"/>
  <c r="L635" i="12"/>
  <c r="M635" i="12"/>
  <c r="N635" i="12"/>
  <c r="L636" i="12"/>
  <c r="M636" i="12"/>
  <c r="N636" i="12"/>
  <c r="L637" i="12"/>
  <c r="M637" i="12"/>
  <c r="N637" i="12"/>
  <c r="L638" i="12"/>
  <c r="M638" i="12"/>
  <c r="N638" i="12"/>
  <c r="L639" i="12"/>
  <c r="M639" i="12"/>
  <c r="N639" i="12"/>
  <c r="L640" i="12"/>
  <c r="M640" i="12"/>
  <c r="N640" i="12"/>
  <c r="L641" i="12"/>
  <c r="M641" i="12"/>
  <c r="N641" i="12"/>
  <c r="L642" i="12"/>
  <c r="M642" i="12"/>
  <c r="N642" i="12"/>
  <c r="L643" i="12"/>
  <c r="M643" i="12"/>
  <c r="N643" i="12"/>
  <c r="L644" i="12"/>
  <c r="M644" i="12"/>
  <c r="N644" i="12"/>
  <c r="L645" i="12"/>
  <c r="M645" i="12"/>
  <c r="N645" i="12"/>
  <c r="L646" i="12"/>
  <c r="M646" i="12"/>
  <c r="N646" i="12"/>
  <c r="L647" i="12"/>
  <c r="M647" i="12"/>
  <c r="N647" i="12"/>
  <c r="L648" i="12"/>
  <c r="M648" i="12"/>
  <c r="N648" i="12"/>
  <c r="L649" i="12"/>
  <c r="M649" i="12"/>
  <c r="N649" i="12"/>
  <c r="L650" i="12"/>
  <c r="M650" i="12"/>
  <c r="N650" i="12"/>
  <c r="L651" i="12"/>
  <c r="M651" i="12"/>
  <c r="N651" i="12"/>
  <c r="L652" i="12"/>
  <c r="M652" i="12"/>
  <c r="N652" i="12"/>
  <c r="L653" i="12"/>
  <c r="M653" i="12"/>
  <c r="N653" i="12"/>
  <c r="L654" i="12"/>
  <c r="M654" i="12"/>
  <c r="N654" i="12"/>
  <c r="L655" i="12"/>
  <c r="M655" i="12"/>
  <c r="N655" i="12"/>
  <c r="L656" i="12"/>
  <c r="M656" i="12"/>
  <c r="N656" i="12"/>
  <c r="L657" i="12"/>
  <c r="M657" i="12"/>
  <c r="N657" i="12"/>
  <c r="N566" i="12"/>
  <c r="M566" i="12"/>
  <c r="L566" i="12"/>
  <c r="L483" i="12"/>
  <c r="M483" i="12"/>
  <c r="N483" i="12"/>
  <c r="L484" i="12"/>
  <c r="M484" i="12"/>
  <c r="N484" i="12"/>
  <c r="L485" i="12"/>
  <c r="M485" i="12"/>
  <c r="N485" i="12"/>
  <c r="L486" i="12"/>
  <c r="M486" i="12"/>
  <c r="N486" i="12"/>
  <c r="L4" i="12"/>
  <c r="M4" i="12"/>
  <c r="N4" i="12"/>
  <c r="L5" i="12"/>
  <c r="M5" i="12"/>
  <c r="N5" i="12"/>
  <c r="L6" i="12"/>
  <c r="M6" i="12"/>
  <c r="N6" i="12"/>
  <c r="L7" i="12"/>
  <c r="M7" i="12"/>
  <c r="N7" i="12"/>
  <c r="L487" i="12"/>
  <c r="M487" i="12"/>
  <c r="N487" i="12"/>
  <c r="L488" i="12"/>
  <c r="M488" i="12"/>
  <c r="N488" i="12"/>
  <c r="L489" i="12"/>
  <c r="M489" i="12"/>
  <c r="N489" i="12"/>
  <c r="L490" i="12"/>
  <c r="M490" i="12"/>
  <c r="N490" i="12"/>
  <c r="L491" i="12"/>
  <c r="M491" i="12"/>
  <c r="N491" i="12"/>
  <c r="L492" i="12"/>
  <c r="M492" i="12"/>
  <c r="N492" i="12"/>
  <c r="L493" i="12"/>
  <c r="M493" i="12"/>
  <c r="N493" i="12"/>
  <c r="L494" i="12"/>
  <c r="M494" i="12"/>
  <c r="N494" i="12"/>
  <c r="L495" i="12"/>
  <c r="M495" i="12"/>
  <c r="N495" i="12"/>
  <c r="L496" i="12"/>
  <c r="M496" i="12"/>
  <c r="N496" i="12"/>
  <c r="L497" i="12"/>
  <c r="M497" i="12"/>
  <c r="N497" i="12"/>
  <c r="L498" i="12"/>
  <c r="M498" i="12"/>
  <c r="N498" i="12"/>
  <c r="L499" i="12"/>
  <c r="M499" i="12"/>
  <c r="N499" i="12"/>
  <c r="L500" i="12"/>
  <c r="M500" i="12"/>
  <c r="N500" i="12"/>
  <c r="L501" i="12"/>
  <c r="M501" i="12"/>
  <c r="N501" i="12"/>
  <c r="L502" i="12"/>
  <c r="M502" i="12"/>
  <c r="N502" i="12"/>
  <c r="L503" i="12"/>
  <c r="M503" i="12"/>
  <c r="N503" i="12"/>
  <c r="L504" i="12"/>
  <c r="M504" i="12"/>
  <c r="N504" i="12"/>
  <c r="L505" i="12"/>
  <c r="M505" i="12"/>
  <c r="N505" i="12"/>
  <c r="L506" i="12"/>
  <c r="M506" i="12"/>
  <c r="N506" i="12"/>
  <c r="L507" i="12"/>
  <c r="M507" i="12"/>
  <c r="N507" i="12"/>
  <c r="L508" i="12"/>
  <c r="M508" i="12"/>
  <c r="N508" i="12"/>
  <c r="L509" i="12"/>
  <c r="M509" i="12"/>
  <c r="N509" i="12"/>
  <c r="L510" i="12"/>
  <c r="M510" i="12"/>
  <c r="N510" i="12"/>
  <c r="L511" i="12"/>
  <c r="M511" i="12"/>
  <c r="N511" i="12"/>
  <c r="L512" i="12"/>
  <c r="M512" i="12"/>
  <c r="N512" i="12"/>
  <c r="L513" i="12"/>
  <c r="M513" i="12"/>
  <c r="N513" i="12"/>
  <c r="L514" i="12"/>
  <c r="M514" i="12"/>
  <c r="N514" i="12"/>
  <c r="L515" i="12"/>
  <c r="M515" i="12"/>
  <c r="N515" i="12"/>
  <c r="L516" i="12"/>
  <c r="M516" i="12"/>
  <c r="N516" i="12"/>
  <c r="L517" i="12"/>
  <c r="M517" i="12"/>
  <c r="N517" i="12"/>
  <c r="L518" i="12"/>
  <c r="M518" i="12"/>
  <c r="N518" i="12"/>
  <c r="L519" i="12"/>
  <c r="M519" i="12"/>
  <c r="N519" i="12"/>
  <c r="L520" i="12"/>
  <c r="M520" i="12"/>
  <c r="N520" i="12"/>
  <c r="L521" i="12"/>
  <c r="M521" i="12"/>
  <c r="N521" i="12"/>
  <c r="L522" i="12"/>
  <c r="M522" i="12"/>
  <c r="N522" i="12"/>
  <c r="L523" i="12"/>
  <c r="M523" i="12"/>
  <c r="N523" i="12"/>
  <c r="L524" i="12"/>
  <c r="M524" i="12"/>
  <c r="N524" i="12"/>
  <c r="L525" i="12"/>
  <c r="M525" i="12"/>
  <c r="N525" i="12"/>
  <c r="L526" i="12"/>
  <c r="M526" i="12"/>
  <c r="N526" i="12"/>
  <c r="L527" i="12"/>
  <c r="M527" i="12"/>
  <c r="N527" i="12"/>
  <c r="L528" i="12"/>
  <c r="M528" i="12"/>
  <c r="N528" i="12"/>
  <c r="L8" i="12"/>
  <c r="M8" i="12"/>
  <c r="N8" i="12"/>
  <c r="L9" i="12"/>
  <c r="M9" i="12"/>
  <c r="N9" i="12"/>
  <c r="L529" i="12"/>
  <c r="M529" i="12"/>
  <c r="N529" i="12"/>
  <c r="L530" i="12"/>
  <c r="M530" i="12"/>
  <c r="N530" i="12"/>
  <c r="L531" i="12"/>
  <c r="M531" i="12"/>
  <c r="N531" i="12"/>
  <c r="L532" i="12"/>
  <c r="M532" i="12"/>
  <c r="N532" i="12"/>
  <c r="L533" i="12"/>
  <c r="M533" i="12"/>
  <c r="N533" i="12"/>
  <c r="L534" i="12"/>
  <c r="M534" i="12"/>
  <c r="N534" i="12"/>
  <c r="L535" i="12"/>
  <c r="M535" i="12"/>
  <c r="N535" i="12"/>
  <c r="L536" i="12"/>
  <c r="M536" i="12"/>
  <c r="N536" i="12"/>
  <c r="L537" i="12"/>
  <c r="M537" i="12"/>
  <c r="N537" i="12"/>
  <c r="L538" i="12"/>
  <c r="M538" i="12"/>
  <c r="N538" i="12"/>
  <c r="L539" i="12"/>
  <c r="M539" i="12"/>
  <c r="N539" i="12"/>
  <c r="L540" i="12"/>
  <c r="M540" i="12"/>
  <c r="N540" i="12"/>
  <c r="L541" i="12"/>
  <c r="M541" i="12"/>
  <c r="N541" i="12"/>
  <c r="L542" i="12"/>
  <c r="M542" i="12"/>
  <c r="N542" i="12"/>
  <c r="L543" i="12"/>
  <c r="M543" i="12"/>
  <c r="N543" i="12"/>
  <c r="L544" i="12"/>
  <c r="M544" i="12"/>
  <c r="N544" i="12"/>
  <c r="L545" i="12"/>
  <c r="M545" i="12"/>
  <c r="N545" i="12"/>
  <c r="L546" i="12"/>
  <c r="M546" i="12"/>
  <c r="N546" i="12"/>
  <c r="L547" i="12"/>
  <c r="M547" i="12"/>
  <c r="N547" i="12"/>
  <c r="L548" i="12"/>
  <c r="M548" i="12"/>
  <c r="N548" i="12"/>
  <c r="L549" i="12"/>
  <c r="M549" i="12"/>
  <c r="N549" i="12"/>
  <c r="L550" i="12"/>
  <c r="M550" i="12"/>
  <c r="N550" i="12"/>
  <c r="L551" i="12"/>
  <c r="M551" i="12"/>
  <c r="N551" i="12"/>
  <c r="L552" i="12"/>
  <c r="M552" i="12"/>
  <c r="N552" i="12"/>
  <c r="L553" i="12"/>
  <c r="M553" i="12"/>
  <c r="N553" i="12"/>
  <c r="L554" i="12"/>
  <c r="M554" i="12"/>
  <c r="N554" i="12"/>
  <c r="L555" i="12"/>
  <c r="M555" i="12"/>
  <c r="N555" i="12"/>
  <c r="L556" i="12"/>
  <c r="M556" i="12"/>
  <c r="N556" i="12"/>
  <c r="L557" i="12"/>
  <c r="M557" i="12"/>
  <c r="N557" i="12"/>
  <c r="L558" i="12"/>
  <c r="M558" i="12"/>
  <c r="N558" i="12"/>
  <c r="L559" i="12"/>
  <c r="M559" i="12"/>
  <c r="N559" i="12"/>
  <c r="L560" i="12"/>
  <c r="M560" i="12"/>
  <c r="N560" i="12"/>
  <c r="L10" i="12"/>
  <c r="M10" i="12"/>
  <c r="N10" i="12"/>
  <c r="L11" i="12"/>
  <c r="M11" i="12"/>
  <c r="N11" i="12"/>
  <c r="L561" i="12"/>
  <c r="M561" i="12"/>
  <c r="N561" i="12"/>
  <c r="L562" i="12"/>
  <c r="M562" i="12"/>
  <c r="N562" i="12"/>
  <c r="L563" i="12"/>
  <c r="M563" i="12"/>
  <c r="N563" i="12"/>
  <c r="L564" i="12"/>
  <c r="M564" i="12"/>
  <c r="N564" i="12"/>
  <c r="L565" i="12"/>
  <c r="M565" i="12"/>
  <c r="N565" i="12"/>
  <c r="N482" i="12"/>
  <c r="M482" i="12"/>
  <c r="L482" i="12"/>
  <c r="L13" i="12"/>
  <c r="M13" i="12"/>
  <c r="N13" i="12"/>
  <c r="L14" i="12"/>
  <c r="M14" i="12"/>
  <c r="N14" i="12"/>
  <c r="L15" i="12"/>
  <c r="M15" i="12"/>
  <c r="N15" i="12"/>
  <c r="L16" i="12"/>
  <c r="M16" i="12"/>
  <c r="N16" i="12"/>
  <c r="L17" i="12"/>
  <c r="M17" i="12"/>
  <c r="N17" i="12"/>
  <c r="L18" i="12"/>
  <c r="M18" i="12"/>
  <c r="N18" i="12"/>
  <c r="L19" i="12"/>
  <c r="M19" i="12"/>
  <c r="N19" i="12"/>
  <c r="L20" i="12"/>
  <c r="M20" i="12"/>
  <c r="N20" i="12"/>
  <c r="L21" i="12"/>
  <c r="M21" i="12"/>
  <c r="N21" i="12"/>
  <c r="L22" i="12"/>
  <c r="M22" i="12"/>
  <c r="N22" i="12"/>
  <c r="L23" i="12"/>
  <c r="M23" i="12"/>
  <c r="N23" i="12"/>
  <c r="L24" i="12"/>
  <c r="M24" i="12"/>
  <c r="N24" i="12"/>
  <c r="L25" i="12"/>
  <c r="M25" i="12"/>
  <c r="N25" i="12"/>
  <c r="L26" i="12"/>
  <c r="M26" i="12"/>
  <c r="N26" i="12"/>
  <c r="L27" i="12"/>
  <c r="M27" i="12"/>
  <c r="N27" i="12"/>
  <c r="L28" i="12"/>
  <c r="M28" i="12"/>
  <c r="N28" i="12"/>
  <c r="L29" i="12"/>
  <c r="M29" i="12"/>
  <c r="N29" i="12"/>
  <c r="L30" i="12"/>
  <c r="M30" i="12"/>
  <c r="N30" i="12"/>
  <c r="L31" i="12"/>
  <c r="M31" i="12"/>
  <c r="N31" i="12"/>
  <c r="L32" i="12"/>
  <c r="M32" i="12"/>
  <c r="N32" i="12"/>
  <c r="L33" i="12"/>
  <c r="M33" i="12"/>
  <c r="N33" i="12"/>
  <c r="L34" i="12"/>
  <c r="M34" i="12"/>
  <c r="N34" i="12"/>
  <c r="L35" i="12"/>
  <c r="M35" i="12"/>
  <c r="N35" i="12"/>
  <c r="L36" i="12"/>
  <c r="M36" i="12"/>
  <c r="N36" i="12"/>
  <c r="L37" i="12"/>
  <c r="M37" i="12"/>
  <c r="N37" i="12"/>
  <c r="L38" i="12"/>
  <c r="M38" i="12"/>
  <c r="N38" i="12"/>
  <c r="L39" i="12"/>
  <c r="M39" i="12"/>
  <c r="N39" i="12"/>
  <c r="L437" i="12"/>
  <c r="M437" i="12"/>
  <c r="N437" i="12"/>
  <c r="L438" i="12"/>
  <c r="M438" i="12"/>
  <c r="N438" i="12"/>
  <c r="L439" i="12"/>
  <c r="M439" i="12"/>
  <c r="N439" i="12"/>
  <c r="L440" i="12"/>
  <c r="M440" i="12"/>
  <c r="N440" i="12"/>
  <c r="L441" i="12"/>
  <c r="M441" i="12"/>
  <c r="N441" i="12"/>
  <c r="L442" i="12"/>
  <c r="M442" i="12"/>
  <c r="N442" i="12"/>
  <c r="L443" i="12"/>
  <c r="M443" i="12"/>
  <c r="N443" i="12"/>
  <c r="L444" i="12"/>
  <c r="M444" i="12"/>
  <c r="N444" i="12"/>
  <c r="L40" i="12"/>
  <c r="M40" i="12"/>
  <c r="N40" i="12"/>
  <c r="L41" i="12"/>
  <c r="M41" i="12"/>
  <c r="N41" i="12"/>
  <c r="L445" i="12"/>
  <c r="M445" i="12"/>
  <c r="N445" i="12"/>
  <c r="L446" i="12"/>
  <c r="M446" i="12"/>
  <c r="N446" i="12"/>
  <c r="L447" i="12"/>
  <c r="M447" i="12"/>
  <c r="N447" i="12"/>
  <c r="L448" i="12"/>
  <c r="M448" i="12"/>
  <c r="N448" i="12"/>
  <c r="L449" i="12"/>
  <c r="M449" i="12"/>
  <c r="N449" i="12"/>
  <c r="L450" i="12"/>
  <c r="M450" i="12"/>
  <c r="N450" i="12"/>
  <c r="L451" i="12"/>
  <c r="M451" i="12"/>
  <c r="N451" i="12"/>
  <c r="L452" i="12"/>
  <c r="M452" i="12"/>
  <c r="N452" i="12"/>
  <c r="L453" i="12"/>
  <c r="M453" i="12"/>
  <c r="N453" i="12"/>
  <c r="L454" i="12"/>
  <c r="M454" i="12"/>
  <c r="N454" i="12"/>
  <c r="L455" i="12"/>
  <c r="M455" i="12"/>
  <c r="N455" i="12"/>
  <c r="L42" i="12"/>
  <c r="M42" i="12"/>
  <c r="N42" i="12"/>
  <c r="L43" i="12"/>
  <c r="M43" i="12"/>
  <c r="N43" i="12"/>
  <c r="L456" i="12"/>
  <c r="M456" i="12"/>
  <c r="N456" i="12"/>
  <c r="L457" i="12"/>
  <c r="M457" i="12"/>
  <c r="N457" i="12"/>
  <c r="L44" i="12"/>
  <c r="M44" i="12"/>
  <c r="N44" i="12"/>
  <c r="L45" i="12"/>
  <c r="M45" i="12"/>
  <c r="N45" i="12"/>
  <c r="L458" i="12"/>
  <c r="M458" i="12"/>
  <c r="N458" i="12"/>
  <c r="L459" i="12"/>
  <c r="M459" i="12"/>
  <c r="N459" i="12"/>
  <c r="L460" i="12"/>
  <c r="M460" i="12"/>
  <c r="N460" i="12"/>
  <c r="L461" i="12"/>
  <c r="M461" i="12"/>
  <c r="N461" i="12"/>
  <c r="L462" i="12"/>
  <c r="M462" i="12"/>
  <c r="N462" i="12"/>
  <c r="L463" i="12"/>
  <c r="M463" i="12"/>
  <c r="N463" i="12"/>
  <c r="L464" i="12"/>
  <c r="M464" i="12"/>
  <c r="N464" i="12"/>
  <c r="L465" i="12"/>
  <c r="M465" i="12"/>
  <c r="N465" i="12"/>
  <c r="L466" i="12"/>
  <c r="M466" i="12"/>
  <c r="N466" i="12"/>
  <c r="L467" i="12"/>
  <c r="M467" i="12"/>
  <c r="N467" i="12"/>
  <c r="L468" i="12"/>
  <c r="M468" i="12"/>
  <c r="N468" i="12"/>
  <c r="L46" i="12"/>
  <c r="M46" i="12"/>
  <c r="N46" i="12"/>
  <c r="L47" i="12"/>
  <c r="M47" i="12"/>
  <c r="N47" i="12"/>
  <c r="L48" i="12"/>
  <c r="M48" i="12"/>
  <c r="N48" i="12"/>
  <c r="L49" i="12"/>
  <c r="M49" i="12"/>
  <c r="N49" i="12"/>
  <c r="L50" i="12"/>
  <c r="M50" i="12"/>
  <c r="N50" i="12"/>
  <c r="L51" i="12"/>
  <c r="M51" i="12"/>
  <c r="N51" i="12"/>
  <c r="L52" i="12"/>
  <c r="M52" i="12"/>
  <c r="N52" i="12"/>
  <c r="L53" i="12"/>
  <c r="M53" i="12"/>
  <c r="N53" i="12"/>
  <c r="L54" i="12"/>
  <c r="M54" i="12"/>
  <c r="N54" i="12"/>
  <c r="L55" i="12"/>
  <c r="M55" i="12"/>
  <c r="N55" i="12"/>
  <c r="L56" i="12"/>
  <c r="M56" i="12"/>
  <c r="N56" i="12"/>
  <c r="L57" i="12"/>
  <c r="M57" i="12"/>
  <c r="N57" i="12"/>
  <c r="L58" i="12"/>
  <c r="M58" i="12"/>
  <c r="N58" i="12"/>
  <c r="L469" i="12"/>
  <c r="M469" i="12"/>
  <c r="N469" i="12"/>
  <c r="L470" i="12"/>
  <c r="M470" i="12"/>
  <c r="N470" i="12"/>
  <c r="L471" i="12"/>
  <c r="M471" i="12"/>
  <c r="N471" i="12"/>
  <c r="L472" i="12"/>
  <c r="M472" i="12"/>
  <c r="N472" i="12"/>
  <c r="L473" i="12"/>
  <c r="M473" i="12"/>
  <c r="N473" i="12"/>
  <c r="L474" i="12"/>
  <c r="M474" i="12"/>
  <c r="N474" i="12"/>
  <c r="L475" i="12"/>
  <c r="M475" i="12"/>
  <c r="N475" i="12"/>
  <c r="L476" i="12"/>
  <c r="M476" i="12"/>
  <c r="N476" i="12"/>
  <c r="L477" i="12"/>
  <c r="M477" i="12"/>
  <c r="N477" i="12"/>
  <c r="L478" i="12"/>
  <c r="M478" i="12"/>
  <c r="N478" i="12"/>
  <c r="L479" i="12"/>
  <c r="M479" i="12"/>
  <c r="N479" i="12"/>
  <c r="L480" i="12"/>
  <c r="M480" i="12"/>
  <c r="N480" i="12"/>
  <c r="L481" i="12"/>
  <c r="M481" i="12"/>
  <c r="N481" i="12"/>
  <c r="N12" i="12"/>
  <c r="M12" i="12"/>
  <c r="L12" i="12"/>
  <c r="L346" i="12"/>
  <c r="M346" i="12"/>
  <c r="N346" i="12"/>
  <c r="L347" i="12"/>
  <c r="M347" i="12"/>
  <c r="N347" i="12"/>
  <c r="L348" i="12"/>
  <c r="M348" i="12"/>
  <c r="N348" i="12"/>
  <c r="L349" i="12"/>
  <c r="M349" i="12"/>
  <c r="N349" i="12"/>
  <c r="L350" i="12"/>
  <c r="M350" i="12"/>
  <c r="N350" i="12"/>
  <c r="L351" i="12"/>
  <c r="M351" i="12"/>
  <c r="N351" i="12"/>
  <c r="L352" i="12"/>
  <c r="M352" i="12"/>
  <c r="N352" i="12"/>
  <c r="L353" i="12"/>
  <c r="M353" i="12"/>
  <c r="N353" i="12"/>
  <c r="L354" i="12"/>
  <c r="M354" i="12"/>
  <c r="N354" i="12"/>
  <c r="L355" i="12"/>
  <c r="M355" i="12"/>
  <c r="N355" i="12"/>
  <c r="L356" i="12"/>
  <c r="M356" i="12"/>
  <c r="N356" i="12"/>
  <c r="L357" i="12"/>
  <c r="M357" i="12"/>
  <c r="N357" i="12"/>
  <c r="L358" i="12"/>
  <c r="M358" i="12"/>
  <c r="N358" i="12"/>
  <c r="L359" i="12"/>
  <c r="M359" i="12"/>
  <c r="N359" i="12"/>
  <c r="L360" i="12"/>
  <c r="M360" i="12"/>
  <c r="N360" i="12"/>
  <c r="L361" i="12"/>
  <c r="M361" i="12"/>
  <c r="N361" i="12"/>
  <c r="L362" i="12"/>
  <c r="M362" i="12"/>
  <c r="N362" i="12"/>
  <c r="L363" i="12"/>
  <c r="M363" i="12"/>
  <c r="N363" i="12"/>
  <c r="L364" i="12"/>
  <c r="M364" i="12"/>
  <c r="N364" i="12"/>
  <c r="L365" i="12"/>
  <c r="M365" i="12"/>
  <c r="N365" i="12"/>
  <c r="L366" i="12"/>
  <c r="M366" i="12"/>
  <c r="N366" i="12"/>
  <c r="L367" i="12"/>
  <c r="M367" i="12"/>
  <c r="N367" i="12"/>
  <c r="L368" i="12"/>
  <c r="M368" i="12"/>
  <c r="N368" i="12"/>
  <c r="L369" i="12"/>
  <c r="M369" i="12"/>
  <c r="N369" i="12"/>
  <c r="L370" i="12"/>
  <c r="M370" i="12"/>
  <c r="N370" i="12"/>
  <c r="L371" i="12"/>
  <c r="M371" i="12"/>
  <c r="N371" i="12"/>
  <c r="L372" i="12"/>
  <c r="M372" i="12"/>
  <c r="N372" i="12"/>
  <c r="L373" i="12"/>
  <c r="M373" i="12"/>
  <c r="N373" i="12"/>
  <c r="L374" i="12"/>
  <c r="M374" i="12"/>
  <c r="N374" i="12"/>
  <c r="L375" i="12"/>
  <c r="M375" i="12"/>
  <c r="N375" i="12"/>
  <c r="L376" i="12"/>
  <c r="M376" i="12"/>
  <c r="N376" i="12"/>
  <c r="L377" i="12"/>
  <c r="M377" i="12"/>
  <c r="N377" i="12"/>
  <c r="L378" i="12"/>
  <c r="M378" i="12"/>
  <c r="N378" i="12"/>
  <c r="L379" i="12"/>
  <c r="M379" i="12"/>
  <c r="N379" i="12"/>
  <c r="L380" i="12"/>
  <c r="M380" i="12"/>
  <c r="N380" i="12"/>
  <c r="L381" i="12"/>
  <c r="M381" i="12"/>
  <c r="N381" i="12"/>
  <c r="L382" i="12"/>
  <c r="M382" i="12"/>
  <c r="N382" i="12"/>
  <c r="L383" i="12"/>
  <c r="M383" i="12"/>
  <c r="N383" i="12"/>
  <c r="L384" i="12"/>
  <c r="M384" i="12"/>
  <c r="N384" i="12"/>
  <c r="L385" i="12"/>
  <c r="M385" i="12"/>
  <c r="N385" i="12"/>
  <c r="L386" i="12"/>
  <c r="M386" i="12"/>
  <c r="N386" i="12"/>
  <c r="L387" i="12"/>
  <c r="M387" i="12"/>
  <c r="N387" i="12"/>
  <c r="L388" i="12"/>
  <c r="M388" i="12"/>
  <c r="N388" i="12"/>
  <c r="L389" i="12"/>
  <c r="M389" i="12"/>
  <c r="N389" i="12"/>
  <c r="L390" i="12"/>
  <c r="M390" i="12"/>
  <c r="N390" i="12"/>
  <c r="L391" i="12"/>
  <c r="M391" i="12"/>
  <c r="N391" i="12"/>
  <c r="L392" i="12"/>
  <c r="M392" i="12"/>
  <c r="N392" i="12"/>
  <c r="L393" i="12"/>
  <c r="M393" i="12"/>
  <c r="N393" i="12"/>
  <c r="L394" i="12"/>
  <c r="M394" i="12"/>
  <c r="N394" i="12"/>
  <c r="L395" i="12"/>
  <c r="M395" i="12"/>
  <c r="N395" i="12"/>
  <c r="L396" i="12"/>
  <c r="M396" i="12"/>
  <c r="N396" i="12"/>
  <c r="L397" i="12"/>
  <c r="M397" i="12"/>
  <c r="N397" i="12"/>
  <c r="L398" i="12"/>
  <c r="M398" i="12"/>
  <c r="N398" i="12"/>
  <c r="L399" i="12"/>
  <c r="M399" i="12"/>
  <c r="N399" i="12"/>
  <c r="L400" i="12"/>
  <c r="M400" i="12"/>
  <c r="N400" i="12"/>
  <c r="L401" i="12"/>
  <c r="M401" i="12"/>
  <c r="N401" i="12"/>
  <c r="L402" i="12"/>
  <c r="M402" i="12"/>
  <c r="N402" i="12"/>
  <c r="L403" i="12"/>
  <c r="M403" i="12"/>
  <c r="N403" i="12"/>
  <c r="L404" i="12"/>
  <c r="M404" i="12"/>
  <c r="N404" i="12"/>
  <c r="L405" i="12"/>
  <c r="M405" i="12"/>
  <c r="N405" i="12"/>
  <c r="L406" i="12"/>
  <c r="M406" i="12"/>
  <c r="N406" i="12"/>
  <c r="L407" i="12"/>
  <c r="M407" i="12"/>
  <c r="N407" i="12"/>
  <c r="L408" i="12"/>
  <c r="M408" i="12"/>
  <c r="N408" i="12"/>
  <c r="L409" i="12"/>
  <c r="M409" i="12"/>
  <c r="N409" i="12"/>
  <c r="L410" i="12"/>
  <c r="M410" i="12"/>
  <c r="N410" i="12"/>
  <c r="L411" i="12"/>
  <c r="M411" i="12"/>
  <c r="N411" i="12"/>
  <c r="L412" i="12"/>
  <c r="M412" i="12"/>
  <c r="N412" i="12"/>
  <c r="L413" i="12"/>
  <c r="M413" i="12"/>
  <c r="N413" i="12"/>
  <c r="L414" i="12"/>
  <c r="M414" i="12"/>
  <c r="N414" i="12"/>
  <c r="L415" i="12"/>
  <c r="M415" i="12"/>
  <c r="N415" i="12"/>
  <c r="L416" i="12"/>
  <c r="M416" i="12"/>
  <c r="N416" i="12"/>
  <c r="L417" i="12"/>
  <c r="M417" i="12"/>
  <c r="N417" i="12"/>
  <c r="L418" i="12"/>
  <c r="M418" i="12"/>
  <c r="N418" i="12"/>
  <c r="L419" i="12"/>
  <c r="M419" i="12"/>
  <c r="N419" i="12"/>
  <c r="L420" i="12"/>
  <c r="M420" i="12"/>
  <c r="N420" i="12"/>
  <c r="L421" i="12"/>
  <c r="M421" i="12"/>
  <c r="N421" i="12"/>
  <c r="L422" i="12"/>
  <c r="M422" i="12"/>
  <c r="N422" i="12"/>
  <c r="L423" i="12"/>
  <c r="M423" i="12"/>
  <c r="N423" i="12"/>
  <c r="L424" i="12"/>
  <c r="M424" i="12"/>
  <c r="N424" i="12"/>
  <c r="L425" i="12"/>
  <c r="M425" i="12"/>
  <c r="N425" i="12"/>
  <c r="L426" i="12"/>
  <c r="M426" i="12"/>
  <c r="N426" i="12"/>
  <c r="L427" i="12"/>
  <c r="M427" i="12"/>
  <c r="N427" i="12"/>
  <c r="L428" i="12"/>
  <c r="M428" i="12"/>
  <c r="N428" i="12"/>
  <c r="L429" i="12"/>
  <c r="M429" i="12"/>
  <c r="N429" i="12"/>
  <c r="L430" i="12"/>
  <c r="M430" i="12"/>
  <c r="N430" i="12"/>
  <c r="L431" i="12"/>
  <c r="M431" i="12"/>
  <c r="N431" i="12"/>
  <c r="L432" i="12"/>
  <c r="M432" i="12"/>
  <c r="N432" i="12"/>
  <c r="L433" i="12"/>
  <c r="M433" i="12"/>
  <c r="N433" i="12"/>
  <c r="L434" i="12"/>
  <c r="M434" i="12"/>
  <c r="N434" i="12"/>
  <c r="L435" i="12"/>
  <c r="M435" i="12"/>
  <c r="N435" i="12"/>
  <c r="L436" i="12"/>
  <c r="M436" i="12"/>
  <c r="N436" i="12"/>
  <c r="N345" i="12"/>
  <c r="M345" i="12"/>
  <c r="L345" i="12"/>
  <c r="L256" i="12"/>
  <c r="M256" i="12"/>
  <c r="N256" i="12"/>
  <c r="L257" i="12"/>
  <c r="M257" i="12"/>
  <c r="N257" i="12"/>
  <c r="L2" i="12"/>
  <c r="M2" i="12"/>
  <c r="N2" i="12"/>
  <c r="L3" i="12"/>
  <c r="M3" i="12"/>
  <c r="N3" i="12"/>
  <c r="L258" i="12"/>
  <c r="M258" i="12"/>
  <c r="N258" i="12"/>
  <c r="L259" i="12"/>
  <c r="M259" i="12"/>
  <c r="N259" i="12"/>
  <c r="L260" i="12"/>
  <c r="M260" i="12"/>
  <c r="N260" i="12"/>
  <c r="L261" i="12"/>
  <c r="M261" i="12"/>
  <c r="N261" i="12"/>
  <c r="L262" i="12"/>
  <c r="M262" i="12"/>
  <c r="N262" i="12"/>
  <c r="L263" i="12"/>
  <c r="M263" i="12"/>
  <c r="N263" i="12"/>
  <c r="L264" i="12"/>
  <c r="M264" i="12"/>
  <c r="N264" i="12"/>
  <c r="L265" i="12"/>
  <c r="M265" i="12"/>
  <c r="N265" i="12"/>
  <c r="L266" i="12"/>
  <c r="M266" i="12"/>
  <c r="N266" i="12"/>
  <c r="L267" i="12"/>
  <c r="M267" i="12"/>
  <c r="N267" i="12"/>
  <c r="L268" i="12"/>
  <c r="M268" i="12"/>
  <c r="N268" i="12"/>
  <c r="L269" i="12"/>
  <c r="M269" i="12"/>
  <c r="N269" i="12"/>
  <c r="L270" i="12"/>
  <c r="M270" i="12"/>
  <c r="N270" i="12"/>
  <c r="L271" i="12"/>
  <c r="M271" i="12"/>
  <c r="N271" i="12"/>
  <c r="L272" i="12"/>
  <c r="M272" i="12"/>
  <c r="N272" i="12"/>
  <c r="L273" i="12"/>
  <c r="M273" i="12"/>
  <c r="N273" i="12"/>
  <c r="L274" i="12"/>
  <c r="M274" i="12"/>
  <c r="N274" i="12"/>
  <c r="L275" i="12"/>
  <c r="M275" i="12"/>
  <c r="N275" i="12"/>
  <c r="L276" i="12"/>
  <c r="M276" i="12"/>
  <c r="N276" i="12"/>
  <c r="L277" i="12"/>
  <c r="M277" i="12"/>
  <c r="N277" i="12"/>
  <c r="L278" i="12"/>
  <c r="M278" i="12"/>
  <c r="N278" i="12"/>
  <c r="L279" i="12"/>
  <c r="M279" i="12"/>
  <c r="N279" i="12"/>
  <c r="L280" i="12"/>
  <c r="M280" i="12"/>
  <c r="N280" i="12"/>
  <c r="L281" i="12"/>
  <c r="M281" i="12"/>
  <c r="N281" i="12"/>
  <c r="L282" i="12"/>
  <c r="M282" i="12"/>
  <c r="N282" i="12"/>
  <c r="L283" i="12"/>
  <c r="M283" i="12"/>
  <c r="N283" i="12"/>
  <c r="L284" i="12"/>
  <c r="M284" i="12"/>
  <c r="N284" i="12"/>
  <c r="L285" i="12"/>
  <c r="M285" i="12"/>
  <c r="N285" i="12"/>
  <c r="L286" i="12"/>
  <c r="M286" i="12"/>
  <c r="N286" i="12"/>
  <c r="L287" i="12"/>
  <c r="M287" i="12"/>
  <c r="N287" i="12"/>
  <c r="L288" i="12"/>
  <c r="M288" i="12"/>
  <c r="N288" i="12"/>
  <c r="L289" i="12"/>
  <c r="M289" i="12"/>
  <c r="N289" i="12"/>
  <c r="L290" i="12"/>
  <c r="M290" i="12"/>
  <c r="N290" i="12"/>
  <c r="L291" i="12"/>
  <c r="M291" i="12"/>
  <c r="N291" i="12"/>
  <c r="L292" i="12"/>
  <c r="M292" i="12"/>
  <c r="N292" i="12"/>
  <c r="L293" i="12"/>
  <c r="M293" i="12"/>
  <c r="N293" i="12"/>
  <c r="L294" i="12"/>
  <c r="M294" i="12"/>
  <c r="N294" i="12"/>
  <c r="L295" i="12"/>
  <c r="M295" i="12"/>
  <c r="N295" i="12"/>
  <c r="L296" i="12"/>
  <c r="M296" i="12"/>
  <c r="N296" i="12"/>
  <c r="L297" i="12"/>
  <c r="M297" i="12"/>
  <c r="N297" i="12"/>
  <c r="L298" i="12"/>
  <c r="M298" i="12"/>
  <c r="N298" i="12"/>
  <c r="L299" i="12"/>
  <c r="M299" i="12"/>
  <c r="N299" i="12"/>
  <c r="L300" i="12"/>
  <c r="M300" i="12"/>
  <c r="N300" i="12"/>
  <c r="L301" i="12"/>
  <c r="M301" i="12"/>
  <c r="N301" i="12"/>
  <c r="L302" i="12"/>
  <c r="M302" i="12"/>
  <c r="N302" i="12"/>
  <c r="L303" i="12"/>
  <c r="M303" i="12"/>
  <c r="N303" i="12"/>
  <c r="L304" i="12"/>
  <c r="M304" i="12"/>
  <c r="N304" i="12"/>
  <c r="L305" i="12"/>
  <c r="M305" i="12"/>
  <c r="N305" i="12"/>
  <c r="L306" i="12"/>
  <c r="M306" i="12"/>
  <c r="N306" i="12"/>
  <c r="L307" i="12"/>
  <c r="M307" i="12"/>
  <c r="N307" i="12"/>
  <c r="L308" i="12"/>
  <c r="M308" i="12"/>
  <c r="N308" i="12"/>
  <c r="L309" i="12"/>
  <c r="M309" i="12"/>
  <c r="N309" i="12"/>
  <c r="L310" i="12"/>
  <c r="M310" i="12"/>
  <c r="N310" i="12"/>
  <c r="L311" i="12"/>
  <c r="M311" i="12"/>
  <c r="N311" i="12"/>
  <c r="L312" i="12"/>
  <c r="M312" i="12"/>
  <c r="N312" i="12"/>
  <c r="L313" i="12"/>
  <c r="M313" i="12"/>
  <c r="N313" i="12"/>
  <c r="L314" i="12"/>
  <c r="M314" i="12"/>
  <c r="N314" i="12"/>
  <c r="L315" i="12"/>
  <c r="M315" i="12"/>
  <c r="N315" i="12"/>
  <c r="L316" i="12"/>
  <c r="M316" i="12"/>
  <c r="N316" i="12"/>
  <c r="L317" i="12"/>
  <c r="M317" i="12"/>
  <c r="N317" i="12"/>
  <c r="L318" i="12"/>
  <c r="M318" i="12"/>
  <c r="N318" i="12"/>
  <c r="L319" i="12"/>
  <c r="M319" i="12"/>
  <c r="N319" i="12"/>
  <c r="L320" i="12"/>
  <c r="M320" i="12"/>
  <c r="N320" i="12"/>
  <c r="L321" i="12"/>
  <c r="M321" i="12"/>
  <c r="N321" i="12"/>
  <c r="L322" i="12"/>
  <c r="M322" i="12"/>
  <c r="N322" i="12"/>
  <c r="L323" i="12"/>
  <c r="M323" i="12"/>
  <c r="N323" i="12"/>
  <c r="L324" i="12"/>
  <c r="M324" i="12"/>
  <c r="N324" i="12"/>
  <c r="L325" i="12"/>
  <c r="M325" i="12"/>
  <c r="N325" i="12"/>
  <c r="L326" i="12"/>
  <c r="M326" i="12"/>
  <c r="N326" i="12"/>
  <c r="L327" i="12"/>
  <c r="M327" i="12"/>
  <c r="N327" i="12"/>
  <c r="L328" i="12"/>
  <c r="M328" i="12"/>
  <c r="N328" i="12"/>
  <c r="L329" i="12"/>
  <c r="M329" i="12"/>
  <c r="N329" i="12"/>
  <c r="L330" i="12"/>
  <c r="M330" i="12"/>
  <c r="N330" i="12"/>
  <c r="L331" i="12"/>
  <c r="M331" i="12"/>
  <c r="N331" i="12"/>
  <c r="L332" i="12"/>
  <c r="M332" i="12"/>
  <c r="N332" i="12"/>
  <c r="L333" i="12"/>
  <c r="M333" i="12"/>
  <c r="N333" i="12"/>
  <c r="L334" i="12"/>
  <c r="M334" i="12"/>
  <c r="N334" i="12"/>
  <c r="L335" i="12"/>
  <c r="M335" i="12"/>
  <c r="N335" i="12"/>
  <c r="L336" i="12"/>
  <c r="M336" i="12"/>
  <c r="N336" i="12"/>
  <c r="L337" i="12"/>
  <c r="M337" i="12"/>
  <c r="N337" i="12"/>
  <c r="L338" i="12"/>
  <c r="M338" i="12"/>
  <c r="N338" i="12"/>
  <c r="L339" i="12"/>
  <c r="M339" i="12"/>
  <c r="N339" i="12"/>
  <c r="L340" i="12"/>
  <c r="M340" i="12"/>
  <c r="N340" i="12"/>
  <c r="L341" i="12"/>
  <c r="M341" i="12"/>
  <c r="N341" i="12"/>
  <c r="L342" i="12"/>
  <c r="M342" i="12"/>
  <c r="N342" i="12"/>
  <c r="L343" i="12"/>
  <c r="M343" i="12"/>
  <c r="N343" i="12"/>
  <c r="L344" i="12"/>
  <c r="M344" i="12"/>
  <c r="N344" i="12"/>
  <c r="N255" i="12"/>
  <c r="L255" i="12"/>
  <c r="M255" i="12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33" i="2"/>
  <c r="K33" i="2"/>
  <c r="O33" i="2"/>
  <c r="G23" i="2"/>
  <c r="K23" i="2"/>
  <c r="O23" i="2"/>
  <c r="G24" i="2"/>
  <c r="K24" i="2"/>
  <c r="G28" i="2"/>
  <c r="K28" i="2"/>
  <c r="N28" i="2"/>
  <c r="O28" i="2"/>
  <c r="G25" i="2"/>
  <c r="K25" i="2"/>
  <c r="N25" i="2"/>
  <c r="O25" i="2"/>
  <c r="G34" i="2"/>
  <c r="K34" i="2"/>
  <c r="G9" i="2"/>
  <c r="K9" i="2"/>
  <c r="O9" i="2"/>
  <c r="S9" i="2"/>
  <c r="T9" i="2"/>
  <c r="G10" i="2"/>
  <c r="K10" i="2"/>
  <c r="O10" i="2"/>
  <c r="S10" i="2"/>
  <c r="G11" i="2"/>
  <c r="K11" i="2"/>
  <c r="N11" i="2"/>
  <c r="O11" i="2"/>
  <c r="S11" i="2"/>
  <c r="G21" i="2"/>
  <c r="K21" i="2"/>
  <c r="N21" i="2"/>
  <c r="O21" i="2"/>
  <c r="G12" i="2"/>
  <c r="K12" i="2"/>
  <c r="S12" i="2"/>
  <c r="G13" i="2"/>
  <c r="K13" i="2"/>
  <c r="O13" i="2"/>
  <c r="S13" i="2"/>
  <c r="G7" i="2"/>
  <c r="K7" i="2"/>
  <c r="S7" i="2"/>
  <c r="G16" i="2"/>
  <c r="K16" i="2"/>
  <c r="G17" i="2"/>
  <c r="K17" i="2"/>
  <c r="O17" i="2"/>
  <c r="G19" i="2"/>
  <c r="K19" i="2"/>
  <c r="S19" i="2"/>
  <c r="G18" i="2"/>
  <c r="K18" i="2"/>
  <c r="O18" i="2"/>
  <c r="G29" i="2"/>
  <c r="K29" i="2"/>
  <c r="G30" i="2"/>
  <c r="K30" i="2"/>
  <c r="O30" i="2"/>
  <c r="G22" i="2"/>
  <c r="K22" i="2"/>
  <c r="S22" i="2"/>
  <c r="G14" i="2"/>
  <c r="G31" i="2"/>
  <c r="K31" i="2"/>
  <c r="N31" i="2"/>
  <c r="O31" i="2"/>
  <c r="G15" i="2"/>
  <c r="K15" i="2"/>
  <c r="N15" i="2"/>
  <c r="O15" i="2"/>
  <c r="T15" i="2"/>
  <c r="G32" i="2"/>
  <c r="G38" i="2"/>
  <c r="K38" i="2"/>
  <c r="G6" i="2"/>
  <c r="K6" i="2"/>
  <c r="N6" i="2"/>
  <c r="O6" i="2"/>
  <c r="G4" i="2"/>
  <c r="G5" i="2"/>
  <c r="H5" i="2"/>
  <c r="K5" i="2"/>
  <c r="S5" i="2"/>
  <c r="W5" i="2"/>
  <c r="G2" i="2"/>
  <c r="G3" i="2"/>
  <c r="G39" i="2"/>
  <c r="G37" i="2"/>
  <c r="H37" i="2"/>
  <c r="K37" i="2"/>
  <c r="G27" i="2"/>
  <c r="K27" i="2"/>
  <c r="O27" i="2"/>
  <c r="T27" i="2"/>
  <c r="G35" i="2"/>
  <c r="G26" i="2"/>
  <c r="K26" i="2"/>
  <c r="O26" i="2"/>
  <c r="G8" i="2"/>
  <c r="H8" i="2"/>
  <c r="K8" i="2"/>
  <c r="O8" i="2"/>
  <c r="K20" i="2"/>
  <c r="G20" i="2"/>
  <c r="AO30" i="5"/>
  <c r="AP30" i="5"/>
  <c r="AQ30" i="5"/>
  <c r="AR30" i="5"/>
  <c r="AS30" i="5"/>
  <c r="AT30" i="5"/>
  <c r="AU30" i="5"/>
  <c r="AV30" i="5"/>
  <c r="AO32" i="5"/>
  <c r="AQ32" i="5"/>
  <c r="AS32" i="5"/>
  <c r="AT32" i="5"/>
  <c r="AU32" i="5"/>
  <c r="AV32" i="5"/>
  <c r="AO283" i="5"/>
  <c r="AP283" i="5"/>
  <c r="AQ283" i="5"/>
  <c r="AR283" i="5"/>
  <c r="AS283" i="5"/>
  <c r="AT283" i="5"/>
  <c r="AU283" i="5"/>
  <c r="AV283" i="5"/>
  <c r="AO33" i="5"/>
  <c r="AQ33" i="5"/>
  <c r="AS33" i="5"/>
  <c r="AT33" i="5"/>
  <c r="AU33" i="5"/>
  <c r="AV33" i="5"/>
  <c r="AO31" i="5"/>
  <c r="AQ31" i="5"/>
  <c r="AS31" i="5"/>
  <c r="AT31" i="5"/>
  <c r="AU31" i="5"/>
  <c r="AV31" i="5"/>
  <c r="AO326" i="5"/>
  <c r="AP326" i="5"/>
  <c r="AQ326" i="5"/>
  <c r="AR326" i="5"/>
  <c r="AS326" i="5"/>
  <c r="AT326" i="5"/>
  <c r="AU326" i="5"/>
  <c r="AV326" i="5"/>
  <c r="AO330" i="5"/>
  <c r="AP330" i="5"/>
  <c r="AQ330" i="5"/>
  <c r="AR330" i="5"/>
  <c r="AS330" i="5"/>
  <c r="AT330" i="5"/>
  <c r="AU330" i="5"/>
  <c r="AV330" i="5"/>
  <c r="AO355" i="5"/>
  <c r="AP355" i="5"/>
  <c r="AQ355" i="5"/>
  <c r="AR355" i="5"/>
  <c r="AS355" i="5"/>
  <c r="AT355" i="5"/>
  <c r="AU355" i="5"/>
  <c r="AV355" i="5"/>
  <c r="AO250" i="5"/>
  <c r="AP250" i="5"/>
  <c r="AQ250" i="5"/>
  <c r="AR250" i="5"/>
  <c r="AS250" i="5"/>
  <c r="AT250" i="5"/>
  <c r="AU250" i="5"/>
  <c r="AV250" i="5"/>
  <c r="AO254" i="5"/>
  <c r="AP254" i="5"/>
  <c r="AQ254" i="5"/>
  <c r="AS254" i="5"/>
  <c r="AT254" i="5"/>
  <c r="AU254" i="5"/>
  <c r="AV254" i="5"/>
  <c r="AO104" i="5"/>
  <c r="AQ104" i="5"/>
  <c r="AS104" i="5"/>
  <c r="AT104" i="5"/>
  <c r="AU104" i="5"/>
  <c r="AV104" i="5"/>
  <c r="AO249" i="5"/>
  <c r="AP249" i="5"/>
  <c r="AQ249" i="5"/>
  <c r="AS249" i="5"/>
  <c r="AT249" i="5"/>
  <c r="AU249" i="5"/>
  <c r="AV249" i="5"/>
  <c r="AO255" i="5"/>
  <c r="AP255" i="5"/>
  <c r="AQ255" i="5"/>
  <c r="AS255" i="5"/>
  <c r="AT255" i="5"/>
  <c r="AU255" i="5"/>
  <c r="AV255" i="5"/>
  <c r="AO164" i="5"/>
  <c r="AP164" i="5"/>
  <c r="AQ164" i="5"/>
  <c r="AS164" i="5"/>
  <c r="AT164" i="5"/>
  <c r="AU164" i="5"/>
  <c r="AV164" i="5"/>
  <c r="AO277" i="5"/>
  <c r="AQ277" i="5"/>
  <c r="AS277" i="5"/>
  <c r="AT277" i="5"/>
  <c r="AU277" i="5"/>
  <c r="AV277" i="5"/>
  <c r="AO391" i="5"/>
  <c r="AP391" i="5"/>
  <c r="AQ391" i="5"/>
  <c r="AS391" i="5"/>
  <c r="AT391" i="5"/>
  <c r="AU391" i="5"/>
  <c r="AV391" i="5"/>
  <c r="AO109" i="5"/>
  <c r="AP109" i="5"/>
  <c r="AQ109" i="5"/>
  <c r="AR109" i="5"/>
  <c r="AS109" i="5"/>
  <c r="AT109" i="5"/>
  <c r="AU109" i="5"/>
  <c r="AV109" i="5"/>
  <c r="AO361" i="5"/>
  <c r="AQ361" i="5"/>
  <c r="AS361" i="5"/>
  <c r="AT361" i="5"/>
  <c r="AU361" i="5"/>
  <c r="AV361" i="5"/>
  <c r="AO68" i="5"/>
  <c r="AP68" i="5"/>
  <c r="AQ68" i="5"/>
  <c r="AR68" i="5"/>
  <c r="AS68" i="5"/>
  <c r="AT68" i="5"/>
  <c r="AU68" i="5"/>
  <c r="AV68" i="5"/>
  <c r="AO251" i="5"/>
  <c r="AQ251" i="5"/>
  <c r="AS251" i="5"/>
  <c r="AT251" i="5"/>
  <c r="AU251" i="5"/>
  <c r="AV251" i="5"/>
  <c r="AO385" i="5"/>
  <c r="AP385" i="5"/>
  <c r="AQ385" i="5"/>
  <c r="AS385" i="5"/>
  <c r="AT385" i="5"/>
  <c r="AU385" i="5"/>
  <c r="AV385" i="5"/>
  <c r="AO35" i="5"/>
  <c r="AQ35" i="5"/>
  <c r="AS35" i="5"/>
  <c r="AT35" i="5"/>
  <c r="AU35" i="5"/>
  <c r="AV35" i="5"/>
  <c r="AO242" i="5"/>
  <c r="AP242" i="5"/>
  <c r="AQ242" i="5"/>
  <c r="AS242" i="5"/>
  <c r="AT242" i="5"/>
  <c r="AU242" i="5"/>
  <c r="AV242" i="5"/>
  <c r="AO327" i="5"/>
  <c r="AP327" i="5"/>
  <c r="AQ327" i="5"/>
  <c r="AR327" i="5"/>
  <c r="AS327" i="5"/>
  <c r="AT327" i="5"/>
  <c r="AU327" i="5"/>
  <c r="AV327" i="5"/>
  <c r="AO368" i="5"/>
  <c r="AP368" i="5"/>
  <c r="AQ368" i="5"/>
  <c r="AR368" i="5"/>
  <c r="AS368" i="5"/>
  <c r="AT368" i="5"/>
  <c r="AU368" i="5"/>
  <c r="AV368" i="5"/>
  <c r="AO69" i="5"/>
  <c r="AP69" i="5"/>
  <c r="AQ69" i="5"/>
  <c r="AR69" i="5"/>
  <c r="AS69" i="5"/>
  <c r="AT69" i="5"/>
  <c r="AU69" i="5"/>
  <c r="AV69" i="5"/>
  <c r="AO370" i="5"/>
  <c r="AP370" i="5"/>
  <c r="AQ370" i="5"/>
  <c r="AS370" i="5"/>
  <c r="AT370" i="5"/>
  <c r="AU370" i="5"/>
  <c r="AV370" i="5"/>
  <c r="AO371" i="5"/>
  <c r="AP371" i="5"/>
  <c r="AQ371" i="5"/>
  <c r="AS371" i="5"/>
  <c r="AT371" i="5"/>
  <c r="AU371" i="5"/>
  <c r="AV371" i="5"/>
  <c r="AO38" i="5"/>
  <c r="AQ38" i="5"/>
  <c r="AS38" i="5"/>
  <c r="AT38" i="5"/>
  <c r="AU38" i="5"/>
  <c r="AV38" i="5"/>
  <c r="AO91" i="5"/>
  <c r="AQ91" i="5"/>
  <c r="AR91" i="5"/>
  <c r="AS91" i="5"/>
  <c r="AT91" i="5"/>
  <c r="AU91" i="5"/>
  <c r="AV91" i="5"/>
  <c r="AO97" i="5"/>
  <c r="AP97" i="5"/>
  <c r="AQ97" i="5"/>
  <c r="AS97" i="5"/>
  <c r="AT97" i="5"/>
  <c r="AU97" i="5"/>
  <c r="AV97" i="5"/>
  <c r="AO96" i="5"/>
  <c r="AP96" i="5"/>
  <c r="AQ96" i="5"/>
  <c r="AS96" i="5"/>
  <c r="AT96" i="5"/>
  <c r="AU96" i="5"/>
  <c r="AV96" i="5"/>
  <c r="AO232" i="5"/>
  <c r="AP232" i="5"/>
  <c r="AQ232" i="5"/>
  <c r="AR232" i="5"/>
  <c r="AS232" i="5"/>
  <c r="AT232" i="5"/>
  <c r="AU232" i="5"/>
  <c r="AV232" i="5"/>
  <c r="AO225" i="5"/>
  <c r="AP225" i="5"/>
  <c r="AQ225" i="5"/>
  <c r="AR225" i="5"/>
  <c r="AS225" i="5"/>
  <c r="AT225" i="5"/>
  <c r="AU225" i="5"/>
  <c r="AV225" i="5"/>
  <c r="AO90" i="5"/>
  <c r="AQ90" i="5"/>
  <c r="AS90" i="5"/>
  <c r="AT90" i="5"/>
  <c r="AU90" i="5"/>
  <c r="AV90" i="5"/>
  <c r="AO98" i="5"/>
  <c r="AP98" i="5"/>
  <c r="AQ98" i="5"/>
  <c r="AS98" i="5"/>
  <c r="AT98" i="5"/>
  <c r="AU98" i="5"/>
  <c r="AV98" i="5"/>
  <c r="AO102" i="5"/>
  <c r="AP102" i="5"/>
  <c r="AQ102" i="5"/>
  <c r="AS102" i="5"/>
  <c r="AT102" i="5"/>
  <c r="AU102" i="5"/>
  <c r="AV102" i="5"/>
  <c r="AO29" i="5"/>
  <c r="AQ29" i="5"/>
  <c r="AR29" i="5"/>
  <c r="AS29" i="5"/>
  <c r="AT29" i="5"/>
  <c r="AU29" i="5"/>
  <c r="AV29" i="5"/>
  <c r="AO329" i="5"/>
  <c r="AP329" i="5"/>
  <c r="AQ329" i="5"/>
  <c r="AR329" i="5"/>
  <c r="AS329" i="5"/>
  <c r="AT329" i="5"/>
  <c r="AU329" i="5"/>
  <c r="AV329" i="5"/>
  <c r="AO66" i="5"/>
  <c r="AQ66" i="5"/>
  <c r="AR66" i="5"/>
  <c r="AS66" i="5"/>
  <c r="AT66" i="5"/>
  <c r="AU66" i="5"/>
  <c r="AV66" i="5"/>
  <c r="AY66" i="5"/>
  <c r="AO51" i="5"/>
  <c r="AQ51" i="5"/>
  <c r="AS51" i="5"/>
  <c r="AT51" i="5"/>
  <c r="AU51" i="5"/>
  <c r="AV51" i="5"/>
  <c r="AO387" i="5"/>
  <c r="AQ387" i="5"/>
  <c r="AT387" i="5"/>
  <c r="AO36" i="5"/>
  <c r="AQ36" i="5"/>
  <c r="AS36" i="5"/>
  <c r="AT36" i="5"/>
  <c r="AU36" i="5"/>
  <c r="AV36" i="5"/>
  <c r="AO119" i="5"/>
  <c r="AQ119" i="5"/>
  <c r="AR119" i="5"/>
  <c r="AS119" i="5"/>
  <c r="AT119" i="5"/>
  <c r="AU119" i="5"/>
  <c r="AV119" i="5"/>
  <c r="AO374" i="5"/>
  <c r="AP374" i="5"/>
  <c r="AQ374" i="5"/>
  <c r="AS374" i="5"/>
  <c r="AT374" i="5"/>
  <c r="AU374" i="5"/>
  <c r="AV374" i="5"/>
  <c r="AO222" i="5"/>
  <c r="AP222" i="5"/>
  <c r="AQ222" i="5"/>
  <c r="AS222" i="5"/>
  <c r="AT222" i="5"/>
  <c r="AU222" i="5"/>
  <c r="AV222" i="5"/>
  <c r="AO366" i="5"/>
  <c r="AP366" i="5"/>
  <c r="AQ366" i="5"/>
  <c r="AR366" i="5"/>
  <c r="AS366" i="5"/>
  <c r="AT366" i="5"/>
  <c r="AU366" i="5"/>
  <c r="AV366" i="5"/>
  <c r="AO375" i="5"/>
  <c r="AP375" i="5"/>
  <c r="AQ375" i="5"/>
  <c r="AS375" i="5"/>
  <c r="AT375" i="5"/>
  <c r="AU375" i="5"/>
  <c r="AV375" i="5"/>
  <c r="AO328" i="5"/>
  <c r="AP328" i="5"/>
  <c r="AQ328" i="5"/>
  <c r="AR328" i="5"/>
  <c r="AS328" i="5"/>
  <c r="AT328" i="5"/>
  <c r="AU328" i="5"/>
  <c r="AV328" i="5"/>
  <c r="AO287" i="5"/>
  <c r="AQ287" i="5"/>
  <c r="AS287" i="5"/>
  <c r="AT287" i="5"/>
  <c r="AU287" i="5"/>
  <c r="AV287" i="5"/>
  <c r="AO280" i="5"/>
  <c r="AQ280" i="5"/>
  <c r="AR280" i="5"/>
  <c r="AS280" i="5"/>
  <c r="AT280" i="5"/>
  <c r="AU280" i="5"/>
  <c r="AV280" i="5"/>
  <c r="AO286" i="5"/>
  <c r="AQ286" i="5"/>
  <c r="AS286" i="5"/>
  <c r="AT286" i="5"/>
  <c r="AU286" i="5"/>
  <c r="AV286" i="5"/>
  <c r="AO284" i="5"/>
  <c r="AQ284" i="5"/>
  <c r="AS284" i="5"/>
  <c r="AT284" i="5"/>
  <c r="AU284" i="5"/>
  <c r="AV284" i="5"/>
  <c r="AO285" i="5"/>
  <c r="AQ285" i="5"/>
  <c r="AS285" i="5"/>
  <c r="AT285" i="5"/>
  <c r="AU285" i="5"/>
  <c r="AV285" i="5"/>
  <c r="AO406" i="5"/>
  <c r="AQ406" i="5"/>
  <c r="AR406" i="5"/>
  <c r="AS406" i="5"/>
  <c r="AT406" i="5"/>
  <c r="AU406" i="5"/>
  <c r="AV406" i="5"/>
  <c r="AO378" i="5"/>
  <c r="AQ378" i="5"/>
  <c r="AR378" i="5"/>
  <c r="AT378" i="5"/>
  <c r="AO263" i="5"/>
  <c r="AP263" i="5"/>
  <c r="AQ263" i="5"/>
  <c r="AS263" i="5"/>
  <c r="AT263" i="5"/>
  <c r="AU263" i="5"/>
  <c r="AV263" i="5"/>
  <c r="AO319" i="5"/>
  <c r="AP319" i="5"/>
  <c r="AQ319" i="5"/>
  <c r="AS319" i="5"/>
  <c r="AT319" i="5"/>
  <c r="AU319" i="5"/>
  <c r="AV319" i="5"/>
  <c r="AO93" i="5"/>
  <c r="AQ93" i="5"/>
  <c r="AS93" i="5"/>
  <c r="AT93" i="5"/>
  <c r="AU93" i="5"/>
  <c r="AV93" i="5"/>
  <c r="AO86" i="5"/>
  <c r="AP86" i="5"/>
  <c r="AQ86" i="5"/>
  <c r="AR86" i="5"/>
  <c r="AS86" i="5"/>
  <c r="AT86" i="5"/>
  <c r="AU86" i="5"/>
  <c r="AV86" i="5"/>
  <c r="AO94" i="5"/>
  <c r="AQ94" i="5"/>
  <c r="AS94" i="5"/>
  <c r="AT94" i="5"/>
  <c r="AU94" i="5"/>
  <c r="AV94" i="5"/>
  <c r="AO264" i="5"/>
  <c r="AQ264" i="5"/>
  <c r="AS264" i="5"/>
  <c r="AT264" i="5"/>
  <c r="AU264" i="5"/>
  <c r="AV264" i="5"/>
  <c r="AO270" i="5"/>
  <c r="AQ270" i="5"/>
  <c r="AS270" i="5"/>
  <c r="AT270" i="5"/>
  <c r="AU270" i="5"/>
  <c r="AV270" i="5"/>
  <c r="AO37" i="5"/>
  <c r="AQ37" i="5"/>
  <c r="AS37" i="5"/>
  <c r="AT37" i="5"/>
  <c r="AU37" i="5"/>
  <c r="AV37" i="5"/>
  <c r="AO110" i="5"/>
  <c r="AQ110" i="5"/>
  <c r="AR110" i="5"/>
  <c r="AS110" i="5"/>
  <c r="AT110" i="5"/>
  <c r="AU110" i="5"/>
  <c r="AV110" i="5"/>
  <c r="AO115" i="5"/>
  <c r="AQ115" i="5"/>
  <c r="AR115" i="5"/>
  <c r="AS115" i="5"/>
  <c r="AT115" i="5"/>
  <c r="AU115" i="5"/>
  <c r="AV115" i="5"/>
  <c r="AO116" i="5"/>
  <c r="AQ116" i="5"/>
  <c r="AS116" i="5"/>
  <c r="AT116" i="5"/>
  <c r="AU116" i="5"/>
  <c r="AV116" i="5"/>
  <c r="AO111" i="5"/>
  <c r="AQ111" i="5"/>
  <c r="AS111" i="5"/>
  <c r="AT111" i="5"/>
  <c r="AU111" i="5"/>
  <c r="AV111" i="5"/>
  <c r="AO117" i="5"/>
  <c r="AQ117" i="5"/>
  <c r="AS117" i="5"/>
  <c r="AT117" i="5"/>
  <c r="AU117" i="5"/>
  <c r="AV117" i="5"/>
  <c r="AO113" i="5"/>
  <c r="AQ113" i="5"/>
  <c r="AS113" i="5"/>
  <c r="AT113" i="5"/>
  <c r="AU113" i="5"/>
  <c r="AV113" i="5"/>
  <c r="AO107" i="5"/>
  <c r="AQ107" i="5"/>
  <c r="AS107" i="5"/>
  <c r="AT107" i="5"/>
  <c r="AU107" i="5"/>
  <c r="AV107" i="5"/>
  <c r="AO105" i="5"/>
  <c r="AQ105" i="5"/>
  <c r="AS105" i="5"/>
  <c r="AT105" i="5"/>
  <c r="AU105" i="5"/>
  <c r="AV105" i="5"/>
  <c r="AO118" i="5"/>
  <c r="AQ118" i="5"/>
  <c r="AS118" i="5"/>
  <c r="AT118" i="5"/>
  <c r="AU118" i="5"/>
  <c r="AV118" i="5"/>
  <c r="AO106" i="5"/>
  <c r="AQ106" i="5"/>
  <c r="AS106" i="5"/>
  <c r="AT106" i="5"/>
  <c r="AU106" i="5"/>
  <c r="AV106" i="5"/>
  <c r="AO122" i="5"/>
  <c r="AQ122" i="5"/>
  <c r="AR122" i="5"/>
  <c r="AS122" i="5"/>
  <c r="AT122" i="5"/>
  <c r="AU122" i="5"/>
  <c r="AV122" i="5"/>
  <c r="AO114" i="5"/>
  <c r="AQ114" i="5"/>
  <c r="AS114" i="5"/>
  <c r="AT114" i="5"/>
  <c r="AU114" i="5"/>
  <c r="AV114" i="5"/>
  <c r="AO108" i="5"/>
  <c r="AQ108" i="5"/>
  <c r="AS108" i="5"/>
  <c r="AT108" i="5"/>
  <c r="AU108" i="5"/>
  <c r="AV108" i="5"/>
  <c r="AO161" i="5"/>
  <c r="AQ161" i="5"/>
  <c r="AS161" i="5"/>
  <c r="AT161" i="5"/>
  <c r="AU161" i="5"/>
  <c r="AV161" i="5"/>
  <c r="AO165" i="5"/>
  <c r="AQ165" i="5"/>
  <c r="AS165" i="5"/>
  <c r="AT165" i="5"/>
  <c r="AU165" i="5"/>
  <c r="AV165" i="5"/>
  <c r="AO120" i="5"/>
  <c r="AQ120" i="5"/>
  <c r="AS120" i="5"/>
  <c r="AT120" i="5"/>
  <c r="AU120" i="5"/>
  <c r="AV120" i="5"/>
  <c r="AO184" i="5"/>
  <c r="AP184" i="5"/>
  <c r="AQ184" i="5"/>
  <c r="AS184" i="5"/>
  <c r="AT184" i="5"/>
  <c r="AU184" i="5"/>
  <c r="AV184" i="5"/>
  <c r="AO185" i="5"/>
  <c r="AP185" i="5"/>
  <c r="AQ185" i="5"/>
  <c r="AS185" i="5"/>
  <c r="AT185" i="5"/>
  <c r="AU185" i="5"/>
  <c r="AV185" i="5"/>
  <c r="AO166" i="5"/>
  <c r="AP166" i="5"/>
  <c r="AQ166" i="5"/>
  <c r="AS166" i="5"/>
  <c r="AT166" i="5"/>
  <c r="AU166" i="5"/>
  <c r="AV166" i="5"/>
  <c r="AO167" i="5"/>
  <c r="AP167" i="5"/>
  <c r="AQ167" i="5"/>
  <c r="AS167" i="5"/>
  <c r="AT167" i="5"/>
  <c r="AU167" i="5"/>
  <c r="AV167" i="5"/>
  <c r="AO168" i="5"/>
  <c r="AP168" i="5"/>
  <c r="AQ168" i="5"/>
  <c r="AS168" i="5"/>
  <c r="AT168" i="5"/>
  <c r="AU168" i="5"/>
  <c r="AV168" i="5"/>
  <c r="AO337" i="5"/>
  <c r="AP337" i="5"/>
  <c r="AQ337" i="5"/>
  <c r="AS337" i="5"/>
  <c r="AT337" i="5"/>
  <c r="AU337" i="5"/>
  <c r="AV337" i="5"/>
  <c r="AO332" i="5"/>
  <c r="AP332" i="5"/>
  <c r="AQ332" i="5"/>
  <c r="AS332" i="5"/>
  <c r="AT332" i="5"/>
  <c r="AU332" i="5"/>
  <c r="AV332" i="5"/>
  <c r="AO351" i="5"/>
  <c r="AP351" i="5"/>
  <c r="AQ351" i="5"/>
  <c r="AS351" i="5"/>
  <c r="AT351" i="5"/>
  <c r="AU351" i="5"/>
  <c r="AV351" i="5"/>
  <c r="AO360" i="5"/>
  <c r="AP360" i="5"/>
  <c r="AQ360" i="5"/>
  <c r="AS360" i="5"/>
  <c r="AT360" i="5"/>
  <c r="AU360" i="5"/>
  <c r="AV360" i="5"/>
  <c r="AO342" i="5"/>
  <c r="AP342" i="5"/>
  <c r="AQ342" i="5"/>
  <c r="AS342" i="5"/>
  <c r="AT342" i="5"/>
  <c r="AU342" i="5"/>
  <c r="AV342" i="5"/>
  <c r="AO343" i="5"/>
  <c r="AP343" i="5"/>
  <c r="AQ343" i="5"/>
  <c r="AS343" i="5"/>
  <c r="AT343" i="5"/>
  <c r="AU343" i="5"/>
  <c r="AV343" i="5"/>
  <c r="AO65" i="5"/>
  <c r="AQ65" i="5"/>
  <c r="AS65" i="5"/>
  <c r="AT65" i="5"/>
  <c r="AU65" i="5"/>
  <c r="AV65" i="5"/>
  <c r="AO345" i="5"/>
  <c r="AQ345" i="5"/>
  <c r="AS345" i="5"/>
  <c r="AT345" i="5"/>
  <c r="AU345" i="5"/>
  <c r="AV345" i="5"/>
  <c r="AO268" i="5"/>
  <c r="AQ268" i="5"/>
  <c r="AS268" i="5"/>
  <c r="AT268" i="5"/>
  <c r="AU268" i="5"/>
  <c r="AV268" i="5"/>
  <c r="AO323" i="5"/>
  <c r="AQ323" i="5"/>
  <c r="AS323" i="5"/>
  <c r="AT323" i="5"/>
  <c r="AU323" i="5"/>
  <c r="AV323" i="5"/>
  <c r="AO274" i="5"/>
  <c r="AQ274" i="5"/>
  <c r="AS274" i="5"/>
  <c r="AT274" i="5"/>
  <c r="AU274" i="5"/>
  <c r="AV274" i="5"/>
  <c r="AO247" i="5"/>
  <c r="AQ247" i="5"/>
  <c r="AS247" i="5"/>
  <c r="AT247" i="5"/>
  <c r="AU247" i="5"/>
  <c r="AV247" i="5"/>
  <c r="AO292" i="5"/>
  <c r="AQ292" i="5"/>
  <c r="AS292" i="5"/>
  <c r="AT292" i="5"/>
  <c r="AU292" i="5"/>
  <c r="AV292" i="5"/>
  <c r="AO103" i="5"/>
  <c r="AP103" i="5"/>
  <c r="AQ103" i="5"/>
  <c r="AS103" i="5"/>
  <c r="AT103" i="5"/>
  <c r="AU103" i="5"/>
  <c r="AV103" i="5"/>
  <c r="AO244" i="5"/>
  <c r="AQ244" i="5"/>
  <c r="AS244" i="5"/>
  <c r="AT244" i="5"/>
  <c r="AU244" i="5"/>
  <c r="AV244" i="5"/>
  <c r="AO245" i="5"/>
  <c r="AQ245" i="5"/>
  <c r="AR245" i="5"/>
  <c r="AS245" i="5"/>
  <c r="AT245" i="5"/>
  <c r="AU245" i="5"/>
  <c r="AV245" i="5"/>
  <c r="AO252" i="5"/>
  <c r="AQ252" i="5"/>
  <c r="AS252" i="5"/>
  <c r="AT252" i="5"/>
  <c r="AU252" i="5"/>
  <c r="AV252" i="5"/>
  <c r="AO257" i="5"/>
  <c r="AQ257" i="5"/>
  <c r="AS257" i="5"/>
  <c r="AT257" i="5"/>
  <c r="AU257" i="5"/>
  <c r="AV257" i="5"/>
  <c r="AO258" i="5"/>
  <c r="AQ258" i="5"/>
  <c r="AR258" i="5"/>
  <c r="AS258" i="5"/>
  <c r="AT258" i="5"/>
  <c r="AU258" i="5"/>
  <c r="AV258" i="5"/>
  <c r="AO269" i="5"/>
  <c r="AQ269" i="5"/>
  <c r="AS269" i="5"/>
  <c r="AT269" i="5"/>
  <c r="AU269" i="5"/>
  <c r="AV269" i="5"/>
  <c r="AO339" i="5"/>
  <c r="AP339" i="5"/>
  <c r="AQ339" i="5"/>
  <c r="AS339" i="5"/>
  <c r="AT339" i="5"/>
  <c r="AU339" i="5"/>
  <c r="AV339" i="5"/>
  <c r="AO333" i="5"/>
  <c r="AP333" i="5"/>
  <c r="AQ333" i="5"/>
  <c r="AS333" i="5"/>
  <c r="AT333" i="5"/>
  <c r="AU333" i="5"/>
  <c r="AV333" i="5"/>
  <c r="AO334" i="5"/>
  <c r="AP334" i="5"/>
  <c r="AQ334" i="5"/>
  <c r="AS334" i="5"/>
  <c r="AT334" i="5"/>
  <c r="AU334" i="5"/>
  <c r="AV334" i="5"/>
  <c r="AO369" i="5"/>
  <c r="AQ369" i="5"/>
  <c r="AS369" i="5"/>
  <c r="AT369" i="5"/>
  <c r="AU369" i="5"/>
  <c r="AV369" i="5"/>
  <c r="AO349" i="5"/>
  <c r="AP349" i="5"/>
  <c r="AQ349" i="5"/>
  <c r="AS349" i="5"/>
  <c r="AT349" i="5"/>
  <c r="AU349" i="5"/>
  <c r="AV349" i="5"/>
  <c r="AO364" i="5"/>
  <c r="AP364" i="5"/>
  <c r="AQ364" i="5"/>
  <c r="AS364" i="5"/>
  <c r="AT364" i="5"/>
  <c r="AU364" i="5"/>
  <c r="AV364" i="5"/>
  <c r="AO259" i="5"/>
  <c r="AQ259" i="5"/>
  <c r="AS259" i="5"/>
  <c r="AT259" i="5"/>
  <c r="AU259" i="5"/>
  <c r="AV259" i="5"/>
  <c r="AO262" i="5"/>
  <c r="AQ262" i="5"/>
  <c r="AS262" i="5"/>
  <c r="AT262" i="5"/>
  <c r="AU262" i="5"/>
  <c r="AV262" i="5"/>
  <c r="AO246" i="5"/>
  <c r="AQ246" i="5"/>
  <c r="AS246" i="5"/>
  <c r="AT246" i="5"/>
  <c r="AU246" i="5"/>
  <c r="AV246" i="5"/>
  <c r="AO7" i="5"/>
  <c r="AQ7" i="5"/>
  <c r="AS7" i="5"/>
  <c r="AT7" i="5"/>
  <c r="AU7" i="5"/>
  <c r="AV7" i="5"/>
  <c r="AO10" i="5"/>
  <c r="AQ10" i="5"/>
  <c r="AS10" i="5"/>
  <c r="AT10" i="5"/>
  <c r="AU10" i="5"/>
  <c r="AV10" i="5"/>
  <c r="AO123" i="5"/>
  <c r="AQ123" i="5"/>
  <c r="AS123" i="5"/>
  <c r="AT123" i="5"/>
  <c r="AU123" i="5"/>
  <c r="AV123" i="5"/>
  <c r="AO112" i="5"/>
  <c r="AQ112" i="5"/>
  <c r="AS112" i="5"/>
  <c r="AT112" i="5"/>
  <c r="AU112" i="5"/>
  <c r="AV112" i="5"/>
  <c r="AO121" i="5"/>
  <c r="AQ121" i="5"/>
  <c r="AS121" i="5"/>
  <c r="AT121" i="5"/>
  <c r="AU121" i="5"/>
  <c r="AV121" i="5"/>
  <c r="AO346" i="5"/>
  <c r="AP346" i="5"/>
  <c r="AQ346" i="5"/>
  <c r="AS346" i="5"/>
  <c r="AT346" i="5"/>
  <c r="AU346" i="5"/>
  <c r="AV346" i="5"/>
  <c r="AO162" i="5"/>
  <c r="AQ162" i="5"/>
  <c r="AS162" i="5"/>
  <c r="AT162" i="5"/>
  <c r="AU162" i="5"/>
  <c r="AV162" i="5"/>
  <c r="AO179" i="5"/>
  <c r="AQ179" i="5"/>
  <c r="AR179" i="5"/>
  <c r="AS179" i="5"/>
  <c r="AT179" i="5"/>
  <c r="AU179" i="5"/>
  <c r="AV179" i="5"/>
  <c r="AO265" i="5"/>
  <c r="AQ265" i="5"/>
  <c r="AS265" i="5"/>
  <c r="AT265" i="5"/>
  <c r="AU265" i="5"/>
  <c r="AV265" i="5"/>
  <c r="AO178" i="5"/>
  <c r="AQ178" i="5"/>
  <c r="AS178" i="5"/>
  <c r="AT178" i="5"/>
  <c r="AU178" i="5"/>
  <c r="AV178" i="5"/>
  <c r="AO353" i="5"/>
  <c r="AP353" i="5"/>
  <c r="AQ353" i="5"/>
  <c r="AS353" i="5"/>
  <c r="AT353" i="5"/>
  <c r="AU353" i="5"/>
  <c r="AV353" i="5"/>
  <c r="AO373" i="5"/>
  <c r="AP373" i="5"/>
  <c r="AQ373" i="5"/>
  <c r="AS373" i="5"/>
  <c r="AT373" i="5"/>
  <c r="AU373" i="5"/>
  <c r="AV373" i="5"/>
  <c r="AO363" i="5"/>
  <c r="AP363" i="5"/>
  <c r="AQ363" i="5"/>
  <c r="AR363" i="5"/>
  <c r="AS363" i="5"/>
  <c r="AT363" i="5"/>
  <c r="AU363" i="5"/>
  <c r="AV363" i="5"/>
  <c r="AO359" i="5"/>
  <c r="AP359" i="5"/>
  <c r="AQ359" i="5"/>
  <c r="AR359" i="5"/>
  <c r="AS359" i="5"/>
  <c r="AT359" i="5"/>
  <c r="AU359" i="5"/>
  <c r="AV359" i="5"/>
  <c r="AO365" i="5"/>
  <c r="AP365" i="5"/>
  <c r="AQ365" i="5"/>
  <c r="AR365" i="5"/>
  <c r="AS365" i="5"/>
  <c r="AT365" i="5"/>
  <c r="AU365" i="5"/>
  <c r="AV365" i="5"/>
  <c r="AO388" i="5"/>
  <c r="AQ388" i="5"/>
  <c r="AT388" i="5"/>
  <c r="AO389" i="5"/>
  <c r="AQ389" i="5"/>
  <c r="AT389" i="5"/>
  <c r="AO101" i="5"/>
  <c r="AQ101" i="5"/>
  <c r="AS101" i="5"/>
  <c r="AT101" i="5"/>
  <c r="AU101" i="5"/>
  <c r="AV101" i="5"/>
  <c r="AO92" i="5"/>
  <c r="AP92" i="5"/>
  <c r="AQ92" i="5"/>
  <c r="AS92" i="5"/>
  <c r="AT92" i="5"/>
  <c r="AU92" i="5"/>
  <c r="AV92" i="5"/>
  <c r="AO180" i="5"/>
  <c r="AQ180" i="5"/>
  <c r="AS180" i="5"/>
  <c r="AT180" i="5"/>
  <c r="AU180" i="5"/>
  <c r="AV180" i="5"/>
  <c r="AO239" i="5"/>
  <c r="AQ239" i="5"/>
  <c r="AS239" i="5"/>
  <c r="AT239" i="5"/>
  <c r="AU239" i="5"/>
  <c r="AV239" i="5"/>
  <c r="AO350" i="5"/>
  <c r="AP350" i="5"/>
  <c r="AQ350" i="5"/>
  <c r="AS350" i="5"/>
  <c r="AT350" i="5"/>
  <c r="AU350" i="5"/>
  <c r="AV350" i="5"/>
  <c r="AO347" i="5"/>
  <c r="AP347" i="5"/>
  <c r="AQ347" i="5"/>
  <c r="AS347" i="5"/>
  <c r="AT347" i="5"/>
  <c r="AU347" i="5"/>
  <c r="AV347" i="5"/>
  <c r="AO367" i="5"/>
  <c r="AQ367" i="5"/>
  <c r="AR367" i="5"/>
  <c r="AS367" i="5"/>
  <c r="AT367" i="5"/>
  <c r="AU367" i="5"/>
  <c r="AV367" i="5"/>
  <c r="AO354" i="5"/>
  <c r="AQ354" i="5"/>
  <c r="AS354" i="5"/>
  <c r="AT354" i="5"/>
  <c r="AU354" i="5"/>
  <c r="AV354" i="5"/>
  <c r="AO358" i="5"/>
  <c r="AP358" i="5"/>
  <c r="AQ358" i="5"/>
  <c r="AS358" i="5"/>
  <c r="AT358" i="5"/>
  <c r="AU358" i="5"/>
  <c r="AV358" i="5"/>
  <c r="AO376" i="5"/>
  <c r="AP376" i="5"/>
  <c r="AQ376" i="5"/>
  <c r="AR376" i="5"/>
  <c r="AS376" i="5"/>
  <c r="AT376" i="5"/>
  <c r="AU376" i="5"/>
  <c r="AV376" i="5"/>
  <c r="AO243" i="5"/>
  <c r="AP243" i="5"/>
  <c r="AQ243" i="5"/>
  <c r="AS243" i="5"/>
  <c r="AT243" i="5"/>
  <c r="AU243" i="5"/>
  <c r="AV243" i="5"/>
  <c r="AO335" i="5"/>
  <c r="AQ335" i="5"/>
  <c r="AS335" i="5"/>
  <c r="AT335" i="5"/>
  <c r="AU335" i="5"/>
  <c r="AV335" i="5"/>
  <c r="AO352" i="5"/>
  <c r="AQ352" i="5"/>
  <c r="AS352" i="5"/>
  <c r="AT352" i="5"/>
  <c r="AU352" i="5"/>
  <c r="AV352" i="5"/>
  <c r="AO233" i="5"/>
  <c r="AQ233" i="5"/>
  <c r="AS233" i="5"/>
  <c r="AT233" i="5"/>
  <c r="AU233" i="5"/>
  <c r="AV233" i="5"/>
  <c r="AO318" i="5"/>
  <c r="AQ318" i="5"/>
  <c r="AS318" i="5"/>
  <c r="AT318" i="5"/>
  <c r="AU318" i="5"/>
  <c r="AV318" i="5"/>
  <c r="AO311" i="5"/>
  <c r="AQ311" i="5"/>
  <c r="AS311" i="5"/>
  <c r="AT311" i="5"/>
  <c r="AU311" i="5"/>
  <c r="AV311" i="5"/>
  <c r="AO279" i="5"/>
  <c r="AQ279" i="5"/>
  <c r="AS279" i="5"/>
  <c r="AT279" i="5"/>
  <c r="AU279" i="5"/>
  <c r="AV279" i="5"/>
  <c r="AO281" i="5"/>
  <c r="AQ281" i="5"/>
  <c r="AS281" i="5"/>
  <c r="AT281" i="5"/>
  <c r="AU281" i="5"/>
  <c r="AV281" i="5"/>
  <c r="AO338" i="5"/>
  <c r="AP338" i="5"/>
  <c r="AQ338" i="5"/>
  <c r="AS338" i="5"/>
  <c r="AT338" i="5"/>
  <c r="AU338" i="5"/>
  <c r="AV338" i="5"/>
  <c r="AO341" i="5"/>
  <c r="AP341" i="5"/>
  <c r="AQ341" i="5"/>
  <c r="AS341" i="5"/>
  <c r="AT341" i="5"/>
  <c r="AU341" i="5"/>
  <c r="AV341" i="5"/>
  <c r="AO372" i="5"/>
  <c r="AQ372" i="5"/>
  <c r="AS372" i="5"/>
  <c r="AT372" i="5"/>
  <c r="AU372" i="5"/>
  <c r="AV372" i="5"/>
  <c r="AO348" i="5"/>
  <c r="AP348" i="5"/>
  <c r="AQ348" i="5"/>
  <c r="AS348" i="5"/>
  <c r="AT348" i="5"/>
  <c r="AU348" i="5"/>
  <c r="AV348" i="5"/>
  <c r="AO88" i="5"/>
  <c r="AQ88" i="5"/>
  <c r="AS88" i="5"/>
  <c r="AT88" i="5"/>
  <c r="AU88" i="5"/>
  <c r="AV88" i="5"/>
  <c r="AO336" i="5"/>
  <c r="AP336" i="5"/>
  <c r="AQ336" i="5"/>
  <c r="AS336" i="5"/>
  <c r="AT336" i="5"/>
  <c r="AU336" i="5"/>
  <c r="AV336" i="5"/>
  <c r="AO181" i="5"/>
  <c r="AQ181" i="5"/>
  <c r="AS181" i="5"/>
  <c r="AT181" i="5"/>
  <c r="AU181" i="5"/>
  <c r="AV181" i="5"/>
  <c r="AO266" i="5"/>
  <c r="AQ266" i="5"/>
  <c r="AS266" i="5"/>
  <c r="AT266" i="5"/>
  <c r="AU266" i="5"/>
  <c r="AV266" i="5"/>
  <c r="AO99" i="5"/>
  <c r="AP99" i="5"/>
  <c r="AQ99" i="5"/>
  <c r="AS99" i="5"/>
  <c r="AT99" i="5"/>
  <c r="AU99" i="5"/>
  <c r="AV99" i="5"/>
  <c r="AO377" i="5"/>
  <c r="AQ377" i="5"/>
  <c r="AR377" i="5"/>
  <c r="AS377" i="5"/>
  <c r="AT377" i="5"/>
  <c r="AU377" i="5"/>
  <c r="AV377" i="5"/>
  <c r="AO169" i="5"/>
  <c r="AQ169" i="5"/>
  <c r="AR169" i="5"/>
  <c r="AS169" i="5"/>
  <c r="AT169" i="5"/>
  <c r="AU169" i="5"/>
  <c r="AV169" i="5"/>
  <c r="AO163" i="5"/>
  <c r="AQ163" i="5"/>
  <c r="AS163" i="5"/>
  <c r="AT163" i="5"/>
  <c r="AU163" i="5"/>
  <c r="AV163" i="5"/>
  <c r="AO64" i="5"/>
  <c r="AQ64" i="5"/>
  <c r="AS64" i="5"/>
  <c r="AT64" i="5"/>
  <c r="AU64" i="5"/>
  <c r="AV64" i="5"/>
  <c r="AO322" i="5"/>
  <c r="AQ322" i="5"/>
  <c r="AS322" i="5"/>
  <c r="AT322" i="5"/>
  <c r="AU322" i="5"/>
  <c r="AV322" i="5"/>
  <c r="AO301" i="5"/>
  <c r="AQ301" i="5"/>
  <c r="AS301" i="5"/>
  <c r="AT301" i="5"/>
  <c r="AU301" i="5"/>
  <c r="AV301" i="5"/>
  <c r="AO238" i="5"/>
  <c r="AQ238" i="5"/>
  <c r="AS238" i="5"/>
  <c r="AT238" i="5"/>
  <c r="AU238" i="5"/>
  <c r="AV238" i="5"/>
  <c r="AO313" i="5"/>
  <c r="AQ313" i="5"/>
  <c r="AS313" i="5"/>
  <c r="AT313" i="5"/>
  <c r="AU313" i="5"/>
  <c r="AV313" i="5"/>
  <c r="AO299" i="5"/>
  <c r="AQ299" i="5"/>
  <c r="AS299" i="5"/>
  <c r="AT299" i="5"/>
  <c r="AU299" i="5"/>
  <c r="AV299" i="5"/>
  <c r="AO303" i="5"/>
  <c r="AQ303" i="5"/>
  <c r="AS303" i="5"/>
  <c r="AT303" i="5"/>
  <c r="AU303" i="5"/>
  <c r="AV303" i="5"/>
  <c r="AO307" i="5"/>
  <c r="AQ307" i="5"/>
  <c r="AS307" i="5"/>
  <c r="AT307" i="5"/>
  <c r="AU307" i="5"/>
  <c r="AV307" i="5"/>
  <c r="AO273" i="5"/>
  <c r="AQ273" i="5"/>
  <c r="AS273" i="5"/>
  <c r="AT273" i="5"/>
  <c r="AU273" i="5"/>
  <c r="AV273" i="5"/>
  <c r="AO100" i="5"/>
  <c r="AP100" i="5"/>
  <c r="AQ100" i="5"/>
  <c r="AS100" i="5"/>
  <c r="AT100" i="5"/>
  <c r="AU100" i="5"/>
  <c r="AV100" i="5"/>
  <c r="AO267" i="5"/>
  <c r="AP267" i="5"/>
  <c r="AQ267" i="5"/>
  <c r="AR267" i="5"/>
  <c r="AS267" i="5"/>
  <c r="AT267" i="5"/>
  <c r="AU267" i="5"/>
  <c r="AV267" i="5"/>
  <c r="AO305" i="5"/>
  <c r="AQ305" i="5"/>
  <c r="AS305" i="5"/>
  <c r="AT305" i="5"/>
  <c r="AU305" i="5"/>
  <c r="AV305" i="5"/>
  <c r="AO302" i="5"/>
  <c r="AQ302" i="5"/>
  <c r="AS302" i="5"/>
  <c r="AT302" i="5"/>
  <c r="AU302" i="5"/>
  <c r="AV302" i="5"/>
  <c r="AO229" i="5"/>
  <c r="AQ229" i="5"/>
  <c r="AS229" i="5"/>
  <c r="AT229" i="5"/>
  <c r="AU229" i="5"/>
  <c r="AV229" i="5"/>
  <c r="AO230" i="5"/>
  <c r="AQ230" i="5"/>
  <c r="AS230" i="5"/>
  <c r="AT230" i="5"/>
  <c r="AU230" i="5"/>
  <c r="AV230" i="5"/>
  <c r="AO231" i="5"/>
  <c r="AQ231" i="5"/>
  <c r="AS231" i="5"/>
  <c r="AT231" i="5"/>
  <c r="AU231" i="5"/>
  <c r="AV231" i="5"/>
  <c r="AO296" i="5"/>
  <c r="AQ296" i="5"/>
  <c r="AS296" i="5"/>
  <c r="AT296" i="5"/>
  <c r="AU296" i="5"/>
  <c r="AV296" i="5"/>
  <c r="AO340" i="5"/>
  <c r="AP340" i="5"/>
  <c r="AQ340" i="5"/>
  <c r="AS340" i="5"/>
  <c r="AT340" i="5"/>
  <c r="AU340" i="5"/>
  <c r="AV340" i="5"/>
  <c r="AO344" i="5"/>
  <c r="AQ344" i="5"/>
  <c r="AS344" i="5"/>
  <c r="AT344" i="5"/>
  <c r="AU344" i="5"/>
  <c r="AV344" i="5"/>
  <c r="AO304" i="5"/>
  <c r="AQ304" i="5"/>
  <c r="AS304" i="5"/>
  <c r="AT304" i="5"/>
  <c r="AU304" i="5"/>
  <c r="AV304" i="5"/>
  <c r="AO95" i="5"/>
  <c r="AQ95" i="5"/>
  <c r="AS95" i="5"/>
  <c r="AT95" i="5"/>
  <c r="AU95" i="5"/>
  <c r="AV95" i="5"/>
  <c r="AO309" i="5"/>
  <c r="AQ309" i="5"/>
  <c r="AS309" i="5"/>
  <c r="AT309" i="5"/>
  <c r="AU309" i="5"/>
  <c r="AV309" i="5"/>
  <c r="AO290" i="5"/>
  <c r="AQ290" i="5"/>
  <c r="AR290" i="5"/>
  <c r="AS290" i="5"/>
  <c r="AT290" i="5"/>
  <c r="AU290" i="5"/>
  <c r="AV290" i="5"/>
  <c r="AO362" i="5"/>
  <c r="AQ362" i="5"/>
  <c r="AS362" i="5"/>
  <c r="AT362" i="5"/>
  <c r="AU362" i="5"/>
  <c r="AV362" i="5"/>
  <c r="AO89" i="5"/>
  <c r="AQ89" i="5"/>
  <c r="AS89" i="5"/>
  <c r="AT89" i="5"/>
  <c r="AU89" i="5"/>
  <c r="AV89" i="5"/>
  <c r="AO228" i="5"/>
  <c r="AQ228" i="5"/>
  <c r="AS228" i="5"/>
  <c r="AT228" i="5"/>
  <c r="AU228" i="5"/>
  <c r="AV228" i="5"/>
  <c r="AO183" i="5"/>
  <c r="AQ183" i="5"/>
  <c r="AS183" i="5"/>
  <c r="AT183" i="5"/>
  <c r="AU183" i="5"/>
  <c r="AV183" i="5"/>
  <c r="AO182" i="5"/>
  <c r="AQ182" i="5"/>
  <c r="AS182" i="5"/>
  <c r="AT182" i="5"/>
  <c r="AU182" i="5"/>
  <c r="AV182" i="5"/>
  <c r="AO310" i="5"/>
  <c r="AQ310" i="5"/>
  <c r="AS310" i="5"/>
  <c r="AT310" i="5"/>
  <c r="AU310" i="5"/>
  <c r="AV310" i="5"/>
  <c r="AO383" i="5"/>
  <c r="AQ383" i="5"/>
  <c r="AR383" i="5"/>
  <c r="AT383" i="5"/>
  <c r="AO248" i="5"/>
  <c r="AP248" i="5"/>
  <c r="AQ248" i="5"/>
  <c r="AS248" i="5"/>
  <c r="AT248" i="5"/>
  <c r="AU248" i="5"/>
  <c r="AV248" i="5"/>
  <c r="AO289" i="5"/>
  <c r="AQ289" i="5"/>
  <c r="AS289" i="5"/>
  <c r="AT289" i="5"/>
  <c r="AU289" i="5"/>
  <c r="AV289" i="5"/>
  <c r="AO13" i="5"/>
  <c r="AQ13" i="5"/>
  <c r="AS13" i="5"/>
  <c r="AT13" i="5"/>
  <c r="AU13" i="5"/>
  <c r="AV13" i="5"/>
  <c r="AO227" i="5"/>
  <c r="AQ227" i="5"/>
  <c r="AR227" i="5"/>
  <c r="AS227" i="5"/>
  <c r="AT227" i="5"/>
  <c r="AU227" i="5"/>
  <c r="AV227" i="5"/>
  <c r="AN154" i="5"/>
  <c r="AN155" i="5"/>
  <c r="AN156" i="5"/>
  <c r="AN157" i="5"/>
  <c r="AN194" i="5"/>
  <c r="AN191" i="5"/>
  <c r="AN189" i="5"/>
  <c r="AN193" i="5"/>
  <c r="AN197" i="5"/>
  <c r="AN192" i="5"/>
  <c r="AN195" i="5"/>
  <c r="AN196" i="5"/>
  <c r="AN198" i="5"/>
  <c r="AN188" i="5"/>
  <c r="AN190" i="5"/>
  <c r="AN186" i="5"/>
  <c r="AN147" i="5"/>
  <c r="AN126" i="5"/>
  <c r="AN127" i="5"/>
  <c r="AN124" i="5"/>
  <c r="AN125" i="5"/>
  <c r="AN129" i="5"/>
  <c r="AN146" i="5"/>
  <c r="AN149" i="5"/>
  <c r="AN140" i="5"/>
  <c r="AN152" i="5"/>
  <c r="AN145" i="5"/>
  <c r="AN132" i="5"/>
  <c r="AN143" i="5"/>
  <c r="AN141" i="5"/>
  <c r="AN144" i="5"/>
  <c r="AN150" i="5"/>
  <c r="AN153" i="5"/>
  <c r="AN142" i="5"/>
  <c r="AN137" i="5"/>
  <c r="AN128" i="5"/>
  <c r="AN134" i="5"/>
  <c r="AN135" i="5"/>
  <c r="AN133" i="5"/>
  <c r="AN148" i="5"/>
  <c r="AN151" i="5"/>
  <c r="AN187" i="5"/>
  <c r="AN139" i="5"/>
  <c r="AN130" i="5"/>
  <c r="AN131" i="5"/>
  <c r="AN138" i="5"/>
  <c r="AN158" i="5"/>
  <c r="AN136" i="5"/>
  <c r="AN205" i="5"/>
  <c r="AN213" i="5"/>
  <c r="AN209" i="5"/>
  <c r="AN210" i="5"/>
  <c r="AN204" i="5"/>
  <c r="AN220" i="5"/>
  <c r="AN219" i="5"/>
  <c r="AN215" i="5"/>
  <c r="AN218" i="5"/>
  <c r="AN216" i="5"/>
  <c r="AN214" i="5"/>
  <c r="AN217" i="5"/>
  <c r="AN207" i="5"/>
  <c r="AN208" i="5"/>
  <c r="AN206" i="5"/>
  <c r="AN203" i="5"/>
  <c r="AN221" i="5"/>
  <c r="AN199" i="5"/>
  <c r="AN212" i="5"/>
  <c r="AN211" i="5"/>
  <c r="AN200" i="5"/>
  <c r="AN201" i="5"/>
  <c r="AN393" i="5"/>
  <c r="AN400" i="5"/>
  <c r="AN396" i="5"/>
  <c r="AN402" i="5"/>
  <c r="AN401" i="5"/>
  <c r="AN397" i="5"/>
  <c r="AN403" i="5"/>
  <c r="AN395" i="5"/>
  <c r="AN399" i="5"/>
  <c r="AN394" i="5"/>
  <c r="AN398" i="5"/>
  <c r="AN357" i="5"/>
  <c r="AN70" i="5"/>
  <c r="AN202" i="5"/>
  <c r="AN159" i="5"/>
  <c r="AN160" i="5"/>
  <c r="AO380" i="5"/>
  <c r="AP380" i="5"/>
  <c r="AQ380" i="5"/>
  <c r="AT380" i="5"/>
  <c r="AO381" i="5"/>
  <c r="AQ381" i="5"/>
  <c r="AT381" i="5"/>
  <c r="AO384" i="5"/>
  <c r="AQ384" i="5"/>
  <c r="AR384" i="5"/>
  <c r="AT384" i="5"/>
  <c r="AO261" i="5"/>
  <c r="AQ261" i="5"/>
  <c r="AS261" i="5"/>
  <c r="AT261" i="5"/>
  <c r="AU261" i="5"/>
  <c r="AV261" i="5"/>
  <c r="AO26" i="5"/>
  <c r="AQ26" i="5"/>
  <c r="AS26" i="5"/>
  <c r="AT26" i="5"/>
  <c r="AU26" i="5"/>
  <c r="AV26" i="5"/>
  <c r="AO382" i="5"/>
  <c r="AQ382" i="5"/>
  <c r="AR382" i="5"/>
  <c r="AT382" i="5"/>
  <c r="AO386" i="5"/>
  <c r="AQ386" i="5"/>
  <c r="AT386" i="5"/>
  <c r="AO11" i="5"/>
  <c r="AQ11" i="5"/>
  <c r="AS11" i="5"/>
  <c r="AT11" i="5"/>
  <c r="AU11" i="5"/>
  <c r="AV11" i="5"/>
  <c r="AO14" i="5"/>
  <c r="AQ14" i="5"/>
  <c r="AS14" i="5"/>
  <c r="AT14" i="5"/>
  <c r="AU14" i="5"/>
  <c r="AV14" i="5"/>
  <c r="AO12" i="5"/>
  <c r="AQ12" i="5"/>
  <c r="AS12" i="5"/>
  <c r="AT12" i="5"/>
  <c r="AU12" i="5"/>
  <c r="AV12" i="5"/>
  <c r="AO379" i="5"/>
  <c r="AP379" i="5"/>
  <c r="AQ379" i="5"/>
  <c r="AR379" i="5"/>
  <c r="AS379" i="5"/>
  <c r="AT379" i="5"/>
  <c r="AU379" i="5"/>
  <c r="AV379" i="5"/>
  <c r="AO27" i="5"/>
  <c r="AQ27" i="5"/>
  <c r="AS27" i="5"/>
  <c r="AT27" i="5"/>
  <c r="AU27" i="5"/>
  <c r="AV27" i="5"/>
  <c r="AO62" i="5"/>
  <c r="AQ62" i="5"/>
  <c r="AS62" i="5"/>
  <c r="AT62" i="5"/>
  <c r="AU62" i="5"/>
  <c r="AV62" i="5"/>
  <c r="AO278" i="5"/>
  <c r="AQ278" i="5"/>
  <c r="AS278" i="5"/>
  <c r="AT278" i="5"/>
  <c r="AU278" i="5"/>
  <c r="AV278" i="5"/>
  <c r="AO288" i="5"/>
  <c r="AQ288" i="5"/>
  <c r="AR288" i="5"/>
  <c r="AS288" i="5"/>
  <c r="AT288" i="5"/>
  <c r="AU288" i="5"/>
  <c r="AV288" i="5"/>
  <c r="AO312" i="5"/>
  <c r="AQ312" i="5"/>
  <c r="AS312" i="5"/>
  <c r="AT312" i="5"/>
  <c r="AU312" i="5"/>
  <c r="AV312" i="5"/>
  <c r="AO41" i="5"/>
  <c r="AQ41" i="5"/>
  <c r="AR41" i="5"/>
  <c r="AS41" i="5"/>
  <c r="AT41" i="5"/>
  <c r="AU41" i="5"/>
  <c r="AV41" i="5"/>
  <c r="AO272" i="5"/>
  <c r="AQ272" i="5"/>
  <c r="AS272" i="5"/>
  <c r="AT272" i="5"/>
  <c r="AU272" i="5"/>
  <c r="AV272" i="5"/>
  <c r="AO175" i="5"/>
  <c r="AP175" i="5"/>
  <c r="AQ175" i="5"/>
  <c r="AR175" i="5"/>
  <c r="AS175" i="5"/>
  <c r="AT175" i="5"/>
  <c r="AU175" i="5"/>
  <c r="AV175" i="5"/>
  <c r="AO2" i="5"/>
  <c r="AQ2" i="5"/>
  <c r="AS2" i="5"/>
  <c r="AT2" i="5"/>
  <c r="AU2" i="5"/>
  <c r="AV2" i="5"/>
  <c r="AO294" i="5"/>
  <c r="AQ294" i="5"/>
  <c r="AS294" i="5"/>
  <c r="AT294" i="5"/>
  <c r="AU294" i="5"/>
  <c r="AV294" i="5"/>
  <c r="AO390" i="5"/>
  <c r="AQ390" i="5"/>
  <c r="AT390" i="5"/>
  <c r="AO321" i="5"/>
  <c r="AQ321" i="5"/>
  <c r="AR321" i="5"/>
  <c r="AS321" i="5"/>
  <c r="AT321" i="5"/>
  <c r="AU321" i="5"/>
  <c r="AV321" i="5"/>
  <c r="AO291" i="5"/>
  <c r="AP291" i="5"/>
  <c r="AQ291" i="5"/>
  <c r="AR291" i="5"/>
  <c r="AS291" i="5"/>
  <c r="AT291" i="5"/>
  <c r="AU291" i="5"/>
  <c r="AV291" i="5"/>
  <c r="AO325" i="5"/>
  <c r="AQ325" i="5"/>
  <c r="AR325" i="5"/>
  <c r="AS325" i="5"/>
  <c r="AT325" i="5"/>
  <c r="AU325" i="5"/>
  <c r="AV325" i="5"/>
  <c r="AO317" i="5"/>
  <c r="AQ317" i="5"/>
  <c r="AR317" i="5"/>
  <c r="AS317" i="5"/>
  <c r="AT317" i="5"/>
  <c r="AU317" i="5"/>
  <c r="AV317" i="5"/>
  <c r="AO177" i="5"/>
  <c r="AP177" i="5"/>
  <c r="AQ177" i="5"/>
  <c r="AR177" i="5"/>
  <c r="AS177" i="5"/>
  <c r="AT177" i="5"/>
  <c r="AU177" i="5"/>
  <c r="AV177" i="5"/>
  <c r="AO59" i="5"/>
  <c r="AQ59" i="5"/>
  <c r="AS59" i="5"/>
  <c r="AT59" i="5"/>
  <c r="AU59" i="5"/>
  <c r="AV59" i="5"/>
  <c r="AO237" i="5"/>
  <c r="AP237" i="5"/>
  <c r="AQ237" i="5"/>
  <c r="AR237" i="5"/>
  <c r="AS237" i="5"/>
  <c r="AT237" i="5"/>
  <c r="AU237" i="5"/>
  <c r="AV237" i="5"/>
  <c r="AO315" i="5"/>
  <c r="AP315" i="5"/>
  <c r="AQ315" i="5"/>
  <c r="AS315" i="5"/>
  <c r="AT315" i="5"/>
  <c r="AU315" i="5"/>
  <c r="AV315" i="5"/>
  <c r="AO320" i="5"/>
  <c r="AP320" i="5"/>
  <c r="AQ320" i="5"/>
  <c r="AR320" i="5"/>
  <c r="AS320" i="5"/>
  <c r="AT320" i="5"/>
  <c r="AU320" i="5"/>
  <c r="AV320" i="5"/>
  <c r="AO87" i="5"/>
  <c r="AQ87" i="5"/>
  <c r="AS87" i="5"/>
  <c r="AT87" i="5"/>
  <c r="AU87" i="5"/>
  <c r="AV87" i="5"/>
  <c r="AO5" i="5"/>
  <c r="AQ5" i="5"/>
  <c r="AS5" i="5"/>
  <c r="AT5" i="5"/>
  <c r="AU5" i="5"/>
  <c r="AV5" i="5"/>
  <c r="AO236" i="5"/>
  <c r="AQ236" i="5"/>
  <c r="AS236" i="5"/>
  <c r="AT236" i="5"/>
  <c r="AU236" i="5"/>
  <c r="AV236" i="5"/>
  <c r="AO235" i="5"/>
  <c r="AQ235" i="5"/>
  <c r="AS235" i="5"/>
  <c r="AT235" i="5"/>
  <c r="AU235" i="5"/>
  <c r="AV235" i="5"/>
  <c r="AO241" i="5"/>
  <c r="AQ241" i="5"/>
  <c r="AR241" i="5"/>
  <c r="AS241" i="5"/>
  <c r="AT241" i="5"/>
  <c r="AU241" i="5"/>
  <c r="AV241" i="5"/>
  <c r="AO271" i="5"/>
  <c r="AQ271" i="5"/>
  <c r="AS271" i="5"/>
  <c r="AT271" i="5"/>
  <c r="AU271" i="5"/>
  <c r="AV271" i="5"/>
  <c r="AO53" i="5"/>
  <c r="AQ53" i="5"/>
  <c r="AS53" i="5"/>
  <c r="AT53" i="5"/>
  <c r="AU53" i="5"/>
  <c r="AV53" i="5"/>
  <c r="AO324" i="5"/>
  <c r="AQ324" i="5"/>
  <c r="AS324" i="5"/>
  <c r="AT324" i="5"/>
  <c r="AU324" i="5"/>
  <c r="AV324" i="5"/>
  <c r="AO226" i="5"/>
  <c r="AQ226" i="5"/>
  <c r="AR226" i="5"/>
  <c r="AS226" i="5"/>
  <c r="AT226" i="5"/>
  <c r="AU226" i="5"/>
  <c r="AV226" i="5"/>
  <c r="AO61" i="5"/>
  <c r="AQ61" i="5"/>
  <c r="AS61" i="5"/>
  <c r="AT61" i="5"/>
  <c r="AU61" i="5"/>
  <c r="AV61" i="5"/>
  <c r="AO298" i="5"/>
  <c r="AQ298" i="5"/>
  <c r="AR298" i="5"/>
  <c r="AS298" i="5"/>
  <c r="AT298" i="5"/>
  <c r="AU298" i="5"/>
  <c r="AV298" i="5"/>
  <c r="AO67" i="5"/>
  <c r="AQ67" i="5"/>
  <c r="AS67" i="5"/>
  <c r="AT67" i="5"/>
  <c r="AU67" i="5"/>
  <c r="AV67" i="5"/>
  <c r="AY67" i="5"/>
  <c r="AO234" i="5"/>
  <c r="AQ234" i="5"/>
  <c r="AR234" i="5"/>
  <c r="AS234" i="5"/>
  <c r="AT234" i="5"/>
  <c r="AU234" i="5"/>
  <c r="AV234" i="5"/>
  <c r="AO170" i="5"/>
  <c r="AP170" i="5"/>
  <c r="AQ170" i="5"/>
  <c r="AS170" i="5"/>
  <c r="AT170" i="5"/>
  <c r="AU170" i="5"/>
  <c r="AV170" i="5"/>
  <c r="AO253" i="5"/>
  <c r="AP253" i="5"/>
  <c r="AQ253" i="5"/>
  <c r="AS253" i="5"/>
  <c r="AT253" i="5"/>
  <c r="AU253" i="5"/>
  <c r="AV253" i="5"/>
  <c r="AO58" i="5"/>
  <c r="AQ58" i="5"/>
  <c r="AS58" i="5"/>
  <c r="AT58" i="5"/>
  <c r="AU58" i="5"/>
  <c r="AV58" i="5"/>
  <c r="AO295" i="5"/>
  <c r="AQ295" i="5"/>
  <c r="AS295" i="5"/>
  <c r="AT295" i="5"/>
  <c r="AU295" i="5"/>
  <c r="AV295" i="5"/>
  <c r="AO63" i="5"/>
  <c r="AQ63" i="5"/>
  <c r="AS63" i="5"/>
  <c r="AT63" i="5"/>
  <c r="AU63" i="5"/>
  <c r="AV63" i="5"/>
  <c r="AO276" i="5"/>
  <c r="AQ276" i="5"/>
  <c r="AS276" i="5"/>
  <c r="AT276" i="5"/>
  <c r="AU276" i="5"/>
  <c r="AV276" i="5"/>
  <c r="AO260" i="5"/>
  <c r="AQ260" i="5"/>
  <c r="AS260" i="5"/>
  <c r="AT260" i="5"/>
  <c r="AU260" i="5"/>
  <c r="AV260" i="5"/>
  <c r="AO18" i="5"/>
  <c r="AQ18" i="5"/>
  <c r="AS18" i="5"/>
  <c r="AT18" i="5"/>
  <c r="AU18" i="5"/>
  <c r="AV18" i="5"/>
  <c r="AO55" i="5"/>
  <c r="AQ55" i="5"/>
  <c r="AR55" i="5"/>
  <c r="AS55" i="5"/>
  <c r="AT55" i="5"/>
  <c r="AU55" i="5"/>
  <c r="AV55" i="5"/>
  <c r="AO9" i="5"/>
  <c r="AQ9" i="5"/>
  <c r="AS9" i="5"/>
  <c r="AT9" i="5"/>
  <c r="AU9" i="5"/>
  <c r="AV9" i="5"/>
  <c r="AO306" i="5"/>
  <c r="AQ306" i="5"/>
  <c r="AS306" i="5"/>
  <c r="AT306" i="5"/>
  <c r="AU306" i="5"/>
  <c r="AV306" i="5"/>
  <c r="AO23" i="5"/>
  <c r="AQ23" i="5"/>
  <c r="AS23" i="5"/>
  <c r="AT23" i="5"/>
  <c r="AU23" i="5"/>
  <c r="AV23" i="5"/>
  <c r="AO293" i="5"/>
  <c r="AQ293" i="5"/>
  <c r="AS293" i="5"/>
  <c r="AT293" i="5"/>
  <c r="AU293" i="5"/>
  <c r="AV293" i="5"/>
  <c r="AO275" i="5"/>
  <c r="AQ275" i="5"/>
  <c r="AS275" i="5"/>
  <c r="AT275" i="5"/>
  <c r="AU275" i="5"/>
  <c r="AV275" i="5"/>
  <c r="AO4" i="5"/>
  <c r="AQ4" i="5"/>
  <c r="AS4" i="5"/>
  <c r="AT4" i="5"/>
  <c r="AU4" i="5"/>
  <c r="AV4" i="5"/>
  <c r="AO19" i="5"/>
  <c r="AQ19" i="5"/>
  <c r="AS19" i="5"/>
  <c r="AT19" i="5"/>
  <c r="AU19" i="5"/>
  <c r="AV19" i="5"/>
  <c r="AO56" i="5"/>
  <c r="AQ56" i="5"/>
  <c r="AS56" i="5"/>
  <c r="AT56" i="5"/>
  <c r="AU56" i="5"/>
  <c r="AV56" i="5"/>
  <c r="AO57" i="5"/>
  <c r="AQ57" i="5"/>
  <c r="AS57" i="5"/>
  <c r="AT57" i="5"/>
  <c r="AU57" i="5"/>
  <c r="AV57" i="5"/>
  <c r="AO50" i="5"/>
  <c r="AQ50" i="5"/>
  <c r="AS50" i="5"/>
  <c r="AT50" i="5"/>
  <c r="AU50" i="5"/>
  <c r="AV50" i="5"/>
  <c r="AO356" i="5"/>
  <c r="AP356" i="5"/>
  <c r="AQ356" i="5"/>
  <c r="AR356" i="5"/>
  <c r="AS356" i="5"/>
  <c r="AT356" i="5"/>
  <c r="AU356" i="5"/>
  <c r="AV356" i="5"/>
  <c r="AO25" i="5"/>
  <c r="AQ25" i="5"/>
  <c r="AS25" i="5"/>
  <c r="AT25" i="5"/>
  <c r="AU25" i="5"/>
  <c r="AV25" i="5"/>
  <c r="AO52" i="5"/>
  <c r="AQ52" i="5"/>
  <c r="AS52" i="5"/>
  <c r="AT52" i="5"/>
  <c r="AU52" i="5"/>
  <c r="AV52" i="5"/>
  <c r="AO240" i="5"/>
  <c r="AP240" i="5"/>
  <c r="AQ240" i="5"/>
  <c r="AS240" i="5"/>
  <c r="AT240" i="5"/>
  <c r="AU240" i="5"/>
  <c r="AV240" i="5"/>
  <c r="AO223" i="5"/>
  <c r="AQ223" i="5"/>
  <c r="AR223" i="5"/>
  <c r="AS223" i="5"/>
  <c r="AT223" i="5"/>
  <c r="AU223" i="5"/>
  <c r="AV223" i="5"/>
  <c r="AO34" i="5"/>
  <c r="AQ34" i="5"/>
  <c r="AS34" i="5"/>
  <c r="AT34" i="5"/>
  <c r="AU34" i="5"/>
  <c r="AV34" i="5"/>
  <c r="AO297" i="5"/>
  <c r="AQ297" i="5"/>
  <c r="AR297" i="5"/>
  <c r="AS297" i="5"/>
  <c r="AT297" i="5"/>
  <c r="AU297" i="5"/>
  <c r="AV297" i="5"/>
  <c r="AO54" i="5"/>
  <c r="AQ54" i="5"/>
  <c r="AS54" i="5"/>
  <c r="AT54" i="5"/>
  <c r="AU54" i="5"/>
  <c r="AV54" i="5"/>
  <c r="AO15" i="5"/>
  <c r="AQ15" i="5"/>
  <c r="AS15" i="5"/>
  <c r="AT15" i="5"/>
  <c r="AU15" i="5"/>
  <c r="AV15" i="5"/>
  <c r="AO24" i="5"/>
  <c r="AQ24" i="5"/>
  <c r="AS24" i="5"/>
  <c r="AT24" i="5"/>
  <c r="AU24" i="5"/>
  <c r="AV24" i="5"/>
  <c r="AO28" i="5"/>
  <c r="AQ28" i="5"/>
  <c r="AR28" i="5"/>
  <c r="AS28" i="5"/>
  <c r="AT28" i="5"/>
  <c r="AU28" i="5"/>
  <c r="AV28" i="5"/>
  <c r="AO8" i="5"/>
  <c r="AQ8" i="5"/>
  <c r="AS8" i="5"/>
  <c r="AT8" i="5"/>
  <c r="AU8" i="5"/>
  <c r="AV8" i="5"/>
  <c r="AO316" i="5"/>
  <c r="AQ316" i="5"/>
  <c r="AS316" i="5"/>
  <c r="AT316" i="5"/>
  <c r="AU316" i="5"/>
  <c r="AV316" i="5"/>
  <c r="AO20" i="5"/>
  <c r="AQ20" i="5"/>
  <c r="AS20" i="5"/>
  <c r="AT20" i="5"/>
  <c r="AU20" i="5"/>
  <c r="AV20" i="5"/>
  <c r="AO21" i="5"/>
  <c r="AQ21" i="5"/>
  <c r="AS21" i="5"/>
  <c r="AT21" i="5"/>
  <c r="AU21" i="5"/>
  <c r="AV21" i="5"/>
  <c r="AO308" i="5"/>
  <c r="AQ308" i="5"/>
  <c r="AS308" i="5"/>
  <c r="AT308" i="5"/>
  <c r="AU308" i="5"/>
  <c r="AV308" i="5"/>
  <c r="AO404" i="5"/>
  <c r="AP404" i="5"/>
  <c r="AQ404" i="5"/>
  <c r="AS404" i="5"/>
  <c r="AT404" i="5"/>
  <c r="AU404" i="5"/>
  <c r="AV404" i="5"/>
  <c r="AO48" i="5"/>
  <c r="AQ48" i="5"/>
  <c r="AS48" i="5"/>
  <c r="AT48" i="5"/>
  <c r="AU48" i="5"/>
  <c r="AV48" i="5"/>
  <c r="AO171" i="5"/>
  <c r="AQ171" i="5"/>
  <c r="AR171" i="5"/>
  <c r="AS171" i="5"/>
  <c r="AT171" i="5"/>
  <c r="AU171" i="5"/>
  <c r="AV171" i="5"/>
  <c r="AO174" i="5"/>
  <c r="AQ174" i="5"/>
  <c r="AS174" i="5"/>
  <c r="AT174" i="5"/>
  <c r="AU174" i="5"/>
  <c r="AV174" i="5"/>
  <c r="AO17" i="5"/>
  <c r="AQ17" i="5"/>
  <c r="AS17" i="5"/>
  <c r="AT17" i="5"/>
  <c r="AU17" i="5"/>
  <c r="AV17" i="5"/>
  <c r="AO39" i="5"/>
  <c r="AQ39" i="5"/>
  <c r="AS39" i="5"/>
  <c r="AT39" i="5"/>
  <c r="AU39" i="5"/>
  <c r="AV39" i="5"/>
  <c r="AO314" i="5"/>
  <c r="AQ314" i="5"/>
  <c r="AS314" i="5"/>
  <c r="AT314" i="5"/>
  <c r="AU314" i="5"/>
  <c r="AV314" i="5"/>
  <c r="AO6" i="5"/>
  <c r="AQ6" i="5"/>
  <c r="AS6" i="5"/>
  <c r="AT6" i="5"/>
  <c r="AU6" i="5"/>
  <c r="AV6" i="5"/>
  <c r="AO40" i="5"/>
  <c r="AQ40" i="5"/>
  <c r="AS40" i="5"/>
  <c r="AT40" i="5"/>
  <c r="AU40" i="5"/>
  <c r="AV40" i="5"/>
  <c r="AO16" i="5"/>
  <c r="AQ16" i="5"/>
  <c r="AS16" i="5"/>
  <c r="AT16" i="5"/>
  <c r="AU16" i="5"/>
  <c r="AV16" i="5"/>
  <c r="AO173" i="5"/>
  <c r="AQ173" i="5"/>
  <c r="AS173" i="5"/>
  <c r="AT173" i="5"/>
  <c r="AU173" i="5"/>
  <c r="AV173" i="5"/>
  <c r="AO176" i="5"/>
  <c r="AQ176" i="5"/>
  <c r="AS176" i="5"/>
  <c r="AT176" i="5"/>
  <c r="AU176" i="5"/>
  <c r="AV176" i="5"/>
  <c r="AO43" i="5"/>
  <c r="AQ43" i="5"/>
  <c r="AS43" i="5"/>
  <c r="AT43" i="5"/>
  <c r="AU43" i="5"/>
  <c r="AV43" i="5"/>
  <c r="AO172" i="5"/>
  <c r="AQ172" i="5"/>
  <c r="AS172" i="5"/>
  <c r="AT172" i="5"/>
  <c r="AU172" i="5"/>
  <c r="AV172" i="5"/>
  <c r="AO49" i="5"/>
  <c r="AQ49" i="5"/>
  <c r="AS49" i="5"/>
  <c r="AT49" i="5"/>
  <c r="AU49" i="5"/>
  <c r="AV49" i="5"/>
  <c r="AO60" i="5"/>
  <c r="AQ60" i="5"/>
  <c r="AS60" i="5"/>
  <c r="AT60" i="5"/>
  <c r="AU60" i="5"/>
  <c r="AV60" i="5"/>
  <c r="AO224" i="5"/>
  <c r="AQ224" i="5"/>
  <c r="AS224" i="5"/>
  <c r="AT224" i="5"/>
  <c r="AU224" i="5"/>
  <c r="AV224" i="5"/>
  <c r="AO47" i="5"/>
  <c r="AQ47" i="5"/>
  <c r="AS47" i="5"/>
  <c r="AT47" i="5"/>
  <c r="AU47" i="5"/>
  <c r="AV47" i="5"/>
  <c r="AO45" i="5"/>
  <c r="AQ45" i="5"/>
  <c r="AS45" i="5"/>
  <c r="AT45" i="5"/>
  <c r="AU45" i="5"/>
  <c r="AV45" i="5"/>
  <c r="AO46" i="5"/>
  <c r="AQ46" i="5"/>
  <c r="AR46" i="5"/>
  <c r="AS46" i="5"/>
  <c r="AT46" i="5"/>
  <c r="AU46" i="5"/>
  <c r="AV46" i="5"/>
  <c r="AO154" i="5"/>
  <c r="AQ154" i="5"/>
  <c r="AR154" i="5"/>
  <c r="AS154" i="5"/>
  <c r="AT154" i="5"/>
  <c r="AU154" i="5"/>
  <c r="AV154" i="5"/>
  <c r="AW154" i="5"/>
  <c r="AX154" i="5"/>
  <c r="AY154" i="5"/>
  <c r="AO155" i="5"/>
  <c r="AQ155" i="5"/>
  <c r="AR155" i="5"/>
  <c r="AS155" i="5"/>
  <c r="AT155" i="5"/>
  <c r="AU155" i="5"/>
  <c r="AV155" i="5"/>
  <c r="AW155" i="5"/>
  <c r="AX155" i="5"/>
  <c r="AY155" i="5"/>
  <c r="AO156" i="5"/>
  <c r="AQ156" i="5"/>
  <c r="AR156" i="5"/>
  <c r="AS156" i="5"/>
  <c r="AT156" i="5"/>
  <c r="AU156" i="5"/>
  <c r="AV156" i="5"/>
  <c r="AW156" i="5"/>
  <c r="AX156" i="5"/>
  <c r="AY156" i="5"/>
  <c r="AO157" i="5"/>
  <c r="AQ157" i="5"/>
  <c r="AR157" i="5"/>
  <c r="AS157" i="5"/>
  <c r="AT157" i="5"/>
  <c r="AU157" i="5"/>
  <c r="AV157" i="5"/>
  <c r="AW157" i="5"/>
  <c r="AX157" i="5"/>
  <c r="AY157" i="5"/>
  <c r="AO194" i="5"/>
  <c r="AQ194" i="5"/>
  <c r="AR194" i="5"/>
  <c r="AS194" i="5"/>
  <c r="AT194" i="5"/>
  <c r="AU194" i="5"/>
  <c r="AV194" i="5"/>
  <c r="AW194" i="5"/>
  <c r="AX194" i="5"/>
  <c r="AY194" i="5"/>
  <c r="AO191" i="5"/>
  <c r="AQ191" i="5"/>
  <c r="AR191" i="5"/>
  <c r="AS191" i="5"/>
  <c r="AT191" i="5"/>
  <c r="AU191" i="5"/>
  <c r="AV191" i="5"/>
  <c r="AW191" i="5"/>
  <c r="AX191" i="5"/>
  <c r="AY191" i="5"/>
  <c r="AO189" i="5"/>
  <c r="AQ189" i="5"/>
  <c r="AR189" i="5"/>
  <c r="AS189" i="5"/>
  <c r="AT189" i="5"/>
  <c r="AU189" i="5"/>
  <c r="AV189" i="5"/>
  <c r="AW189" i="5"/>
  <c r="AX189" i="5"/>
  <c r="AY189" i="5"/>
  <c r="AO193" i="5"/>
  <c r="AQ193" i="5"/>
  <c r="AR193" i="5"/>
  <c r="AS193" i="5"/>
  <c r="AT193" i="5"/>
  <c r="AU193" i="5"/>
  <c r="AV193" i="5"/>
  <c r="AW193" i="5"/>
  <c r="AX193" i="5"/>
  <c r="AY193" i="5"/>
  <c r="AO197" i="5"/>
  <c r="AQ197" i="5"/>
  <c r="AR197" i="5"/>
  <c r="AS197" i="5"/>
  <c r="AT197" i="5"/>
  <c r="AU197" i="5"/>
  <c r="AV197" i="5"/>
  <c r="AW197" i="5"/>
  <c r="AX197" i="5"/>
  <c r="AY197" i="5"/>
  <c r="AO192" i="5"/>
  <c r="AQ192" i="5"/>
  <c r="AR192" i="5"/>
  <c r="AS192" i="5"/>
  <c r="AT192" i="5"/>
  <c r="AU192" i="5"/>
  <c r="AV192" i="5"/>
  <c r="AW192" i="5"/>
  <c r="AX192" i="5"/>
  <c r="AY192" i="5"/>
  <c r="AO195" i="5"/>
  <c r="AQ195" i="5"/>
  <c r="AR195" i="5"/>
  <c r="AS195" i="5"/>
  <c r="AT195" i="5"/>
  <c r="AU195" i="5"/>
  <c r="AV195" i="5"/>
  <c r="AW195" i="5"/>
  <c r="AX195" i="5"/>
  <c r="AY195" i="5"/>
  <c r="AO196" i="5"/>
  <c r="AQ196" i="5"/>
  <c r="AR196" i="5"/>
  <c r="AS196" i="5"/>
  <c r="AT196" i="5"/>
  <c r="AU196" i="5"/>
  <c r="AV196" i="5"/>
  <c r="AW196" i="5"/>
  <c r="AX196" i="5"/>
  <c r="AY196" i="5"/>
  <c r="AO198" i="5"/>
  <c r="AQ198" i="5"/>
  <c r="AR198" i="5"/>
  <c r="AS198" i="5"/>
  <c r="AT198" i="5"/>
  <c r="AU198" i="5"/>
  <c r="AV198" i="5"/>
  <c r="AW198" i="5"/>
  <c r="AX198" i="5"/>
  <c r="AY198" i="5"/>
  <c r="AO188" i="5"/>
  <c r="AQ188" i="5"/>
  <c r="AR188" i="5"/>
  <c r="AS188" i="5"/>
  <c r="AT188" i="5"/>
  <c r="AU188" i="5"/>
  <c r="AV188" i="5"/>
  <c r="AW188" i="5"/>
  <c r="AX188" i="5"/>
  <c r="AY188" i="5"/>
  <c r="AO190" i="5"/>
  <c r="AQ190" i="5"/>
  <c r="AR190" i="5"/>
  <c r="AS190" i="5"/>
  <c r="AT190" i="5"/>
  <c r="AU190" i="5"/>
  <c r="AV190" i="5"/>
  <c r="AW190" i="5"/>
  <c r="AX190" i="5"/>
  <c r="AY190" i="5"/>
  <c r="AO186" i="5"/>
  <c r="AQ186" i="5"/>
  <c r="AR186" i="5"/>
  <c r="AS186" i="5"/>
  <c r="AT186" i="5"/>
  <c r="AU186" i="5"/>
  <c r="AV186" i="5"/>
  <c r="AW186" i="5"/>
  <c r="AX186" i="5"/>
  <c r="AY186" i="5"/>
  <c r="AO147" i="5"/>
  <c r="AQ147" i="5"/>
  <c r="AR147" i="5"/>
  <c r="AS147" i="5"/>
  <c r="AT147" i="5"/>
  <c r="AU147" i="5"/>
  <c r="AV147" i="5"/>
  <c r="AW147" i="5"/>
  <c r="AX147" i="5"/>
  <c r="AY147" i="5"/>
  <c r="AO126" i="5"/>
  <c r="AQ126" i="5"/>
  <c r="AR126" i="5"/>
  <c r="AS126" i="5"/>
  <c r="AT126" i="5"/>
  <c r="AU126" i="5"/>
  <c r="AV126" i="5"/>
  <c r="AW126" i="5"/>
  <c r="AX126" i="5"/>
  <c r="AY126" i="5"/>
  <c r="AO127" i="5"/>
  <c r="AQ127" i="5"/>
  <c r="AR127" i="5"/>
  <c r="AS127" i="5"/>
  <c r="AT127" i="5"/>
  <c r="AU127" i="5"/>
  <c r="AV127" i="5"/>
  <c r="AW127" i="5"/>
  <c r="AX127" i="5"/>
  <c r="AY127" i="5"/>
  <c r="AO124" i="5"/>
  <c r="AQ124" i="5"/>
  <c r="AR124" i="5"/>
  <c r="AS124" i="5"/>
  <c r="AT124" i="5"/>
  <c r="AU124" i="5"/>
  <c r="AV124" i="5"/>
  <c r="AW124" i="5"/>
  <c r="AX124" i="5"/>
  <c r="AY124" i="5"/>
  <c r="AO125" i="5"/>
  <c r="AQ125" i="5"/>
  <c r="AR125" i="5"/>
  <c r="AS125" i="5"/>
  <c r="AT125" i="5"/>
  <c r="AU125" i="5"/>
  <c r="AV125" i="5"/>
  <c r="AW125" i="5"/>
  <c r="AX125" i="5"/>
  <c r="AY125" i="5"/>
  <c r="AO129" i="5"/>
  <c r="AQ129" i="5"/>
  <c r="AR129" i="5"/>
  <c r="AS129" i="5"/>
  <c r="AT129" i="5"/>
  <c r="AU129" i="5"/>
  <c r="AV129" i="5"/>
  <c r="AW129" i="5"/>
  <c r="AX129" i="5"/>
  <c r="AY129" i="5"/>
  <c r="AO146" i="5"/>
  <c r="AQ146" i="5"/>
  <c r="AR146" i="5"/>
  <c r="AS146" i="5"/>
  <c r="AT146" i="5"/>
  <c r="AU146" i="5"/>
  <c r="AV146" i="5"/>
  <c r="AW146" i="5"/>
  <c r="AX146" i="5"/>
  <c r="AY146" i="5"/>
  <c r="AO149" i="5"/>
  <c r="AQ149" i="5"/>
  <c r="AR149" i="5"/>
  <c r="AS149" i="5"/>
  <c r="AT149" i="5"/>
  <c r="AU149" i="5"/>
  <c r="AV149" i="5"/>
  <c r="AW149" i="5"/>
  <c r="AX149" i="5"/>
  <c r="AY149" i="5"/>
  <c r="AO140" i="5"/>
  <c r="AQ140" i="5"/>
  <c r="AR140" i="5"/>
  <c r="AS140" i="5"/>
  <c r="AT140" i="5"/>
  <c r="AU140" i="5"/>
  <c r="AV140" i="5"/>
  <c r="AW140" i="5"/>
  <c r="AX140" i="5"/>
  <c r="AY140" i="5"/>
  <c r="AO152" i="5"/>
  <c r="AQ152" i="5"/>
  <c r="AR152" i="5"/>
  <c r="AS152" i="5"/>
  <c r="AT152" i="5"/>
  <c r="AU152" i="5"/>
  <c r="AV152" i="5"/>
  <c r="AW152" i="5"/>
  <c r="AX152" i="5"/>
  <c r="AY152" i="5"/>
  <c r="AO145" i="5"/>
  <c r="AQ145" i="5"/>
  <c r="AR145" i="5"/>
  <c r="AS145" i="5"/>
  <c r="AT145" i="5"/>
  <c r="AU145" i="5"/>
  <c r="AV145" i="5"/>
  <c r="AW145" i="5"/>
  <c r="AX145" i="5"/>
  <c r="AY145" i="5"/>
  <c r="AO132" i="5"/>
  <c r="AQ132" i="5"/>
  <c r="AR132" i="5"/>
  <c r="AS132" i="5"/>
  <c r="AT132" i="5"/>
  <c r="AU132" i="5"/>
  <c r="AV132" i="5"/>
  <c r="AW132" i="5"/>
  <c r="AX132" i="5"/>
  <c r="AY132" i="5"/>
  <c r="AO143" i="5"/>
  <c r="AQ143" i="5"/>
  <c r="AR143" i="5"/>
  <c r="AS143" i="5"/>
  <c r="AT143" i="5"/>
  <c r="AU143" i="5"/>
  <c r="AV143" i="5"/>
  <c r="AW143" i="5"/>
  <c r="AX143" i="5"/>
  <c r="AY143" i="5"/>
  <c r="AO141" i="5"/>
  <c r="AQ141" i="5"/>
  <c r="AR141" i="5"/>
  <c r="AS141" i="5"/>
  <c r="AT141" i="5"/>
  <c r="AU141" i="5"/>
  <c r="AV141" i="5"/>
  <c r="AW141" i="5"/>
  <c r="AX141" i="5"/>
  <c r="AY141" i="5"/>
  <c r="AO144" i="5"/>
  <c r="AQ144" i="5"/>
  <c r="AR144" i="5"/>
  <c r="AS144" i="5"/>
  <c r="AT144" i="5"/>
  <c r="AU144" i="5"/>
  <c r="AV144" i="5"/>
  <c r="AW144" i="5"/>
  <c r="AX144" i="5"/>
  <c r="AY144" i="5"/>
  <c r="AO150" i="5"/>
  <c r="AQ150" i="5"/>
  <c r="AR150" i="5"/>
  <c r="AS150" i="5"/>
  <c r="AT150" i="5"/>
  <c r="AU150" i="5"/>
  <c r="AV150" i="5"/>
  <c r="AW150" i="5"/>
  <c r="AX150" i="5"/>
  <c r="AY150" i="5"/>
  <c r="AO153" i="5"/>
  <c r="AQ153" i="5"/>
  <c r="AR153" i="5"/>
  <c r="AS153" i="5"/>
  <c r="AT153" i="5"/>
  <c r="AU153" i="5"/>
  <c r="AV153" i="5"/>
  <c r="AW153" i="5"/>
  <c r="AX153" i="5"/>
  <c r="AY153" i="5"/>
  <c r="AO142" i="5"/>
  <c r="AQ142" i="5"/>
  <c r="AR142" i="5"/>
  <c r="AS142" i="5"/>
  <c r="AT142" i="5"/>
  <c r="AU142" i="5"/>
  <c r="AV142" i="5"/>
  <c r="AW142" i="5"/>
  <c r="AX142" i="5"/>
  <c r="AY142" i="5"/>
  <c r="AO137" i="5"/>
  <c r="AQ137" i="5"/>
  <c r="AR137" i="5"/>
  <c r="AS137" i="5"/>
  <c r="AT137" i="5"/>
  <c r="AU137" i="5"/>
  <c r="AV137" i="5"/>
  <c r="AW137" i="5"/>
  <c r="AX137" i="5"/>
  <c r="AY137" i="5"/>
  <c r="AO128" i="5"/>
  <c r="AQ128" i="5"/>
  <c r="AR128" i="5"/>
  <c r="AS128" i="5"/>
  <c r="AT128" i="5"/>
  <c r="AU128" i="5"/>
  <c r="AV128" i="5"/>
  <c r="AW128" i="5"/>
  <c r="AX128" i="5"/>
  <c r="AY128" i="5"/>
  <c r="AO134" i="5"/>
  <c r="AQ134" i="5"/>
  <c r="AR134" i="5"/>
  <c r="AS134" i="5"/>
  <c r="AT134" i="5"/>
  <c r="AU134" i="5"/>
  <c r="AV134" i="5"/>
  <c r="AW134" i="5"/>
  <c r="AX134" i="5"/>
  <c r="AY134" i="5"/>
  <c r="AO135" i="5"/>
  <c r="AQ135" i="5"/>
  <c r="AR135" i="5"/>
  <c r="AS135" i="5"/>
  <c r="AT135" i="5"/>
  <c r="AU135" i="5"/>
  <c r="AV135" i="5"/>
  <c r="AW135" i="5"/>
  <c r="AX135" i="5"/>
  <c r="AY135" i="5"/>
  <c r="AO133" i="5"/>
  <c r="AQ133" i="5"/>
  <c r="AR133" i="5"/>
  <c r="AS133" i="5"/>
  <c r="AT133" i="5"/>
  <c r="AU133" i="5"/>
  <c r="AV133" i="5"/>
  <c r="AW133" i="5"/>
  <c r="AX133" i="5"/>
  <c r="AY133" i="5"/>
  <c r="AO148" i="5"/>
  <c r="AQ148" i="5"/>
  <c r="AR148" i="5"/>
  <c r="AS148" i="5"/>
  <c r="AT148" i="5"/>
  <c r="AU148" i="5"/>
  <c r="AV148" i="5"/>
  <c r="AW148" i="5"/>
  <c r="AX148" i="5"/>
  <c r="AY148" i="5"/>
  <c r="AO151" i="5"/>
  <c r="AQ151" i="5"/>
  <c r="AR151" i="5"/>
  <c r="AS151" i="5"/>
  <c r="AT151" i="5"/>
  <c r="AU151" i="5"/>
  <c r="AV151" i="5"/>
  <c r="AW151" i="5"/>
  <c r="AX151" i="5"/>
  <c r="AY151" i="5"/>
  <c r="AO187" i="5"/>
  <c r="AQ187" i="5"/>
  <c r="AR187" i="5"/>
  <c r="AS187" i="5"/>
  <c r="AT187" i="5"/>
  <c r="AU187" i="5"/>
  <c r="AV187" i="5"/>
  <c r="AW187" i="5"/>
  <c r="AX187" i="5"/>
  <c r="AY187" i="5"/>
  <c r="AO139" i="5"/>
  <c r="AQ139" i="5"/>
  <c r="AR139" i="5"/>
  <c r="AS139" i="5"/>
  <c r="AT139" i="5"/>
  <c r="AU139" i="5"/>
  <c r="AV139" i="5"/>
  <c r="AW139" i="5"/>
  <c r="AX139" i="5"/>
  <c r="AY139" i="5"/>
  <c r="AO130" i="5"/>
  <c r="AQ130" i="5"/>
  <c r="AR130" i="5"/>
  <c r="AS130" i="5"/>
  <c r="AT130" i="5"/>
  <c r="AU130" i="5"/>
  <c r="AV130" i="5"/>
  <c r="AW130" i="5"/>
  <c r="AX130" i="5"/>
  <c r="AY130" i="5"/>
  <c r="AO131" i="5"/>
  <c r="AQ131" i="5"/>
  <c r="AR131" i="5"/>
  <c r="AS131" i="5"/>
  <c r="AT131" i="5"/>
  <c r="AU131" i="5"/>
  <c r="AV131" i="5"/>
  <c r="AW131" i="5"/>
  <c r="AX131" i="5"/>
  <c r="AY131" i="5"/>
  <c r="AO138" i="5"/>
  <c r="AQ138" i="5"/>
  <c r="AR138" i="5"/>
  <c r="AS138" i="5"/>
  <c r="AT138" i="5"/>
  <c r="AU138" i="5"/>
  <c r="AV138" i="5"/>
  <c r="AW138" i="5"/>
  <c r="AX138" i="5"/>
  <c r="AY138" i="5"/>
  <c r="AO158" i="5"/>
  <c r="AQ158" i="5"/>
  <c r="AR158" i="5"/>
  <c r="AS158" i="5"/>
  <c r="AT158" i="5"/>
  <c r="AU158" i="5"/>
  <c r="AV158" i="5"/>
  <c r="AW158" i="5"/>
  <c r="AX158" i="5"/>
  <c r="AY158" i="5"/>
  <c r="AO136" i="5"/>
  <c r="AQ136" i="5"/>
  <c r="AR136" i="5"/>
  <c r="AS136" i="5"/>
  <c r="AT136" i="5"/>
  <c r="AU136" i="5"/>
  <c r="AV136" i="5"/>
  <c r="AW136" i="5"/>
  <c r="AX136" i="5"/>
  <c r="AY136" i="5"/>
  <c r="AO205" i="5"/>
  <c r="AQ205" i="5"/>
  <c r="AR205" i="5"/>
  <c r="AS205" i="5"/>
  <c r="AT205" i="5"/>
  <c r="AU205" i="5"/>
  <c r="AV205" i="5"/>
  <c r="AW205" i="5"/>
  <c r="AX205" i="5"/>
  <c r="AY205" i="5"/>
  <c r="AO213" i="5"/>
  <c r="AQ213" i="5"/>
  <c r="AR213" i="5"/>
  <c r="AS213" i="5"/>
  <c r="AT213" i="5"/>
  <c r="AU213" i="5"/>
  <c r="AV213" i="5"/>
  <c r="AW213" i="5"/>
  <c r="AX213" i="5"/>
  <c r="AY213" i="5"/>
  <c r="AO209" i="5"/>
  <c r="AQ209" i="5"/>
  <c r="AR209" i="5"/>
  <c r="AS209" i="5"/>
  <c r="AT209" i="5"/>
  <c r="AU209" i="5"/>
  <c r="AV209" i="5"/>
  <c r="AW209" i="5"/>
  <c r="AX209" i="5"/>
  <c r="AY209" i="5"/>
  <c r="AO210" i="5"/>
  <c r="AQ210" i="5"/>
  <c r="AR210" i="5"/>
  <c r="AS210" i="5"/>
  <c r="AT210" i="5"/>
  <c r="AU210" i="5"/>
  <c r="AV210" i="5"/>
  <c r="AW210" i="5"/>
  <c r="AX210" i="5"/>
  <c r="AY210" i="5"/>
  <c r="AO204" i="5"/>
  <c r="AQ204" i="5"/>
  <c r="AR204" i="5"/>
  <c r="AS204" i="5"/>
  <c r="AT204" i="5"/>
  <c r="AU204" i="5"/>
  <c r="AV204" i="5"/>
  <c r="AW204" i="5"/>
  <c r="AX204" i="5"/>
  <c r="AY204" i="5"/>
  <c r="AO220" i="5"/>
  <c r="AQ220" i="5"/>
  <c r="AR220" i="5"/>
  <c r="AS220" i="5"/>
  <c r="AT220" i="5"/>
  <c r="AU220" i="5"/>
  <c r="AV220" i="5"/>
  <c r="AW220" i="5"/>
  <c r="AX220" i="5"/>
  <c r="AY220" i="5"/>
  <c r="AO219" i="5"/>
  <c r="AQ219" i="5"/>
  <c r="AR219" i="5"/>
  <c r="AS219" i="5"/>
  <c r="AT219" i="5"/>
  <c r="AU219" i="5"/>
  <c r="AV219" i="5"/>
  <c r="AW219" i="5"/>
  <c r="AX219" i="5"/>
  <c r="AY219" i="5"/>
  <c r="AO215" i="5"/>
  <c r="AQ215" i="5"/>
  <c r="AR215" i="5"/>
  <c r="AS215" i="5"/>
  <c r="AT215" i="5"/>
  <c r="AU215" i="5"/>
  <c r="AV215" i="5"/>
  <c r="AW215" i="5"/>
  <c r="AX215" i="5"/>
  <c r="AY215" i="5"/>
  <c r="AO218" i="5"/>
  <c r="AQ218" i="5"/>
  <c r="AR218" i="5"/>
  <c r="AS218" i="5"/>
  <c r="AT218" i="5"/>
  <c r="AU218" i="5"/>
  <c r="AV218" i="5"/>
  <c r="AW218" i="5"/>
  <c r="AX218" i="5"/>
  <c r="AY218" i="5"/>
  <c r="AO216" i="5"/>
  <c r="AQ216" i="5"/>
  <c r="AR216" i="5"/>
  <c r="AS216" i="5"/>
  <c r="AT216" i="5"/>
  <c r="AU216" i="5"/>
  <c r="AV216" i="5"/>
  <c r="AW216" i="5"/>
  <c r="AX216" i="5"/>
  <c r="AY216" i="5"/>
  <c r="AO214" i="5"/>
  <c r="AQ214" i="5"/>
  <c r="AR214" i="5"/>
  <c r="AS214" i="5"/>
  <c r="AT214" i="5"/>
  <c r="AU214" i="5"/>
  <c r="AV214" i="5"/>
  <c r="AW214" i="5"/>
  <c r="AX214" i="5"/>
  <c r="AY214" i="5"/>
  <c r="AO217" i="5"/>
  <c r="AQ217" i="5"/>
  <c r="AR217" i="5"/>
  <c r="AS217" i="5"/>
  <c r="AT217" i="5"/>
  <c r="AU217" i="5"/>
  <c r="AV217" i="5"/>
  <c r="AW217" i="5"/>
  <c r="AX217" i="5"/>
  <c r="AY217" i="5"/>
  <c r="AO207" i="5"/>
  <c r="AQ207" i="5"/>
  <c r="AR207" i="5"/>
  <c r="AS207" i="5"/>
  <c r="AT207" i="5"/>
  <c r="AU207" i="5"/>
  <c r="AV207" i="5"/>
  <c r="AW207" i="5"/>
  <c r="AX207" i="5"/>
  <c r="AY207" i="5"/>
  <c r="AO208" i="5"/>
  <c r="AQ208" i="5"/>
  <c r="AR208" i="5"/>
  <c r="AS208" i="5"/>
  <c r="AT208" i="5"/>
  <c r="AU208" i="5"/>
  <c r="AV208" i="5"/>
  <c r="AW208" i="5"/>
  <c r="AX208" i="5"/>
  <c r="AY208" i="5"/>
  <c r="AO206" i="5"/>
  <c r="AQ206" i="5"/>
  <c r="AR206" i="5"/>
  <c r="AS206" i="5"/>
  <c r="AT206" i="5"/>
  <c r="AU206" i="5"/>
  <c r="AV206" i="5"/>
  <c r="AW206" i="5"/>
  <c r="AX206" i="5"/>
  <c r="AY206" i="5"/>
  <c r="AO203" i="5"/>
  <c r="AQ203" i="5"/>
  <c r="AR203" i="5"/>
  <c r="AS203" i="5"/>
  <c r="AT203" i="5"/>
  <c r="AU203" i="5"/>
  <c r="AV203" i="5"/>
  <c r="AW203" i="5"/>
  <c r="AX203" i="5"/>
  <c r="AY203" i="5"/>
  <c r="AO221" i="5"/>
  <c r="AQ221" i="5"/>
  <c r="AR221" i="5"/>
  <c r="AS221" i="5"/>
  <c r="AT221" i="5"/>
  <c r="AU221" i="5"/>
  <c r="AV221" i="5"/>
  <c r="AW221" i="5"/>
  <c r="AX221" i="5"/>
  <c r="AY221" i="5"/>
  <c r="AO199" i="5"/>
  <c r="AQ199" i="5"/>
  <c r="AR199" i="5"/>
  <c r="AS199" i="5"/>
  <c r="AT199" i="5"/>
  <c r="AU199" i="5"/>
  <c r="AV199" i="5"/>
  <c r="AW199" i="5"/>
  <c r="AX199" i="5"/>
  <c r="AY199" i="5"/>
  <c r="AO212" i="5"/>
  <c r="AQ212" i="5"/>
  <c r="AR212" i="5"/>
  <c r="AS212" i="5"/>
  <c r="AT212" i="5"/>
  <c r="AU212" i="5"/>
  <c r="AV212" i="5"/>
  <c r="AW212" i="5"/>
  <c r="AX212" i="5"/>
  <c r="AY212" i="5"/>
  <c r="AO211" i="5"/>
  <c r="AQ211" i="5"/>
  <c r="AR211" i="5"/>
  <c r="AS211" i="5"/>
  <c r="AT211" i="5"/>
  <c r="AU211" i="5"/>
  <c r="AV211" i="5"/>
  <c r="AW211" i="5"/>
  <c r="AX211" i="5"/>
  <c r="AY211" i="5"/>
  <c r="AO200" i="5"/>
  <c r="AQ200" i="5"/>
  <c r="AR200" i="5"/>
  <c r="AS200" i="5"/>
  <c r="AT200" i="5"/>
  <c r="AU200" i="5"/>
  <c r="AV200" i="5"/>
  <c r="AW200" i="5"/>
  <c r="AX200" i="5"/>
  <c r="AY200" i="5"/>
  <c r="AO201" i="5"/>
  <c r="AQ201" i="5"/>
  <c r="AR201" i="5"/>
  <c r="AS201" i="5"/>
  <c r="AT201" i="5"/>
  <c r="AU201" i="5"/>
  <c r="AV201" i="5"/>
  <c r="AW201" i="5"/>
  <c r="AX201" i="5"/>
  <c r="AY201" i="5"/>
  <c r="AO393" i="5"/>
  <c r="AQ393" i="5"/>
  <c r="AR393" i="5"/>
  <c r="AS393" i="5"/>
  <c r="AT393" i="5"/>
  <c r="AU393" i="5"/>
  <c r="AV393" i="5"/>
  <c r="AW393" i="5"/>
  <c r="AX393" i="5"/>
  <c r="AY393" i="5"/>
  <c r="AO400" i="5"/>
  <c r="AQ400" i="5"/>
  <c r="AR400" i="5"/>
  <c r="AS400" i="5"/>
  <c r="AT400" i="5"/>
  <c r="AU400" i="5"/>
  <c r="AV400" i="5"/>
  <c r="AW400" i="5"/>
  <c r="AX400" i="5"/>
  <c r="AY400" i="5"/>
  <c r="AO396" i="5"/>
  <c r="AQ396" i="5"/>
  <c r="AR396" i="5"/>
  <c r="AS396" i="5"/>
  <c r="AT396" i="5"/>
  <c r="AU396" i="5"/>
  <c r="AV396" i="5"/>
  <c r="AW396" i="5"/>
  <c r="AX396" i="5"/>
  <c r="AY396" i="5"/>
  <c r="AO402" i="5"/>
  <c r="AQ402" i="5"/>
  <c r="AR402" i="5"/>
  <c r="AS402" i="5"/>
  <c r="AT402" i="5"/>
  <c r="AU402" i="5"/>
  <c r="AV402" i="5"/>
  <c r="AW402" i="5"/>
  <c r="AX402" i="5"/>
  <c r="AY402" i="5"/>
  <c r="AO401" i="5"/>
  <c r="AQ401" i="5"/>
  <c r="AR401" i="5"/>
  <c r="AS401" i="5"/>
  <c r="AT401" i="5"/>
  <c r="AU401" i="5"/>
  <c r="AV401" i="5"/>
  <c r="AW401" i="5"/>
  <c r="AX401" i="5"/>
  <c r="AY401" i="5"/>
  <c r="AO397" i="5"/>
  <c r="AQ397" i="5"/>
  <c r="AR397" i="5"/>
  <c r="AS397" i="5"/>
  <c r="AT397" i="5"/>
  <c r="AU397" i="5"/>
  <c r="AV397" i="5"/>
  <c r="AW397" i="5"/>
  <c r="AX397" i="5"/>
  <c r="AY397" i="5"/>
  <c r="AO403" i="5"/>
  <c r="AQ403" i="5"/>
  <c r="AR403" i="5"/>
  <c r="AS403" i="5"/>
  <c r="AT403" i="5"/>
  <c r="AU403" i="5"/>
  <c r="AV403" i="5"/>
  <c r="AW403" i="5"/>
  <c r="AX403" i="5"/>
  <c r="AY403" i="5"/>
  <c r="AO395" i="5"/>
  <c r="AQ395" i="5"/>
  <c r="AR395" i="5"/>
  <c r="AS395" i="5"/>
  <c r="AT395" i="5"/>
  <c r="AU395" i="5"/>
  <c r="AV395" i="5"/>
  <c r="AW395" i="5"/>
  <c r="AX395" i="5"/>
  <c r="AY395" i="5"/>
  <c r="AO399" i="5"/>
  <c r="AQ399" i="5"/>
  <c r="AR399" i="5"/>
  <c r="AS399" i="5"/>
  <c r="AT399" i="5"/>
  <c r="AU399" i="5"/>
  <c r="AV399" i="5"/>
  <c r="AW399" i="5"/>
  <c r="AX399" i="5"/>
  <c r="AY399" i="5"/>
  <c r="AO394" i="5"/>
  <c r="AQ394" i="5"/>
  <c r="AR394" i="5"/>
  <c r="AS394" i="5"/>
  <c r="AT394" i="5"/>
  <c r="AU394" i="5"/>
  <c r="AV394" i="5"/>
  <c r="AW394" i="5"/>
  <c r="AX394" i="5"/>
  <c r="AY394" i="5"/>
  <c r="AO398" i="5"/>
  <c r="AQ398" i="5"/>
  <c r="AR398" i="5"/>
  <c r="AS398" i="5"/>
  <c r="AT398" i="5"/>
  <c r="AU398" i="5"/>
  <c r="AV398" i="5"/>
  <c r="AW398" i="5"/>
  <c r="AX398" i="5"/>
  <c r="AY398" i="5"/>
  <c r="AO357" i="5"/>
  <c r="AP357" i="5"/>
  <c r="AQ357" i="5"/>
  <c r="AR357" i="5"/>
  <c r="AS357" i="5"/>
  <c r="AT357" i="5"/>
  <c r="AU357" i="5"/>
  <c r="AV357" i="5"/>
  <c r="AW357" i="5"/>
  <c r="AX357" i="5"/>
  <c r="AY357" i="5"/>
  <c r="AO70" i="5"/>
  <c r="AP70" i="5"/>
  <c r="AQ70" i="5"/>
  <c r="AR70" i="5"/>
  <c r="AS70" i="5"/>
  <c r="AT70" i="5"/>
  <c r="AU70" i="5"/>
  <c r="AV70" i="5"/>
  <c r="AW70" i="5"/>
  <c r="AX70" i="5"/>
  <c r="AY70" i="5"/>
  <c r="AO202" i="5"/>
  <c r="AP202" i="5"/>
  <c r="AQ202" i="5"/>
  <c r="AR202" i="5"/>
  <c r="AS202" i="5"/>
  <c r="AT202" i="5"/>
  <c r="AU202" i="5"/>
  <c r="AV202" i="5"/>
  <c r="AW202" i="5"/>
  <c r="AX202" i="5"/>
  <c r="AY202" i="5"/>
  <c r="AO159" i="5"/>
  <c r="AP159" i="5"/>
  <c r="AQ159" i="5"/>
  <c r="AR159" i="5"/>
  <c r="AS159" i="5"/>
  <c r="AT159" i="5"/>
  <c r="AU159" i="5"/>
  <c r="AV159" i="5"/>
  <c r="AW159" i="5"/>
  <c r="AX159" i="5"/>
  <c r="AY159" i="5"/>
  <c r="AO160" i="5"/>
  <c r="AP160" i="5"/>
  <c r="AQ160" i="5"/>
  <c r="AR160" i="5"/>
  <c r="AS160" i="5"/>
  <c r="AT160" i="5"/>
  <c r="AU160" i="5"/>
  <c r="AV160" i="5"/>
  <c r="AW160" i="5"/>
  <c r="AX160" i="5"/>
  <c r="AY160" i="5"/>
  <c r="AQ300" i="5"/>
  <c r="AR300" i="5"/>
  <c r="AS300" i="5"/>
  <c r="AT300" i="5"/>
  <c r="AU300" i="5"/>
  <c r="AV300" i="5"/>
  <c r="AW300" i="5"/>
  <c r="AX300" i="5"/>
  <c r="AQ331" i="5"/>
  <c r="AR331" i="5"/>
  <c r="AS331" i="5"/>
  <c r="AT331" i="5"/>
  <c r="AU331" i="5"/>
  <c r="AV331" i="5"/>
  <c r="AW331" i="5"/>
  <c r="AX331" i="5"/>
  <c r="AQ392" i="5"/>
  <c r="AR392" i="5"/>
  <c r="AS392" i="5"/>
  <c r="AT392" i="5"/>
  <c r="AU392" i="5"/>
  <c r="AV392" i="5"/>
  <c r="AW392" i="5"/>
  <c r="AX392" i="5"/>
  <c r="AQ22" i="5"/>
  <c r="AR22" i="5"/>
  <c r="AS22" i="5"/>
  <c r="AT22" i="5"/>
  <c r="AU22" i="5"/>
  <c r="AV22" i="5"/>
  <c r="AW22" i="5"/>
  <c r="AX22" i="5"/>
  <c r="AQ71" i="5"/>
  <c r="AR71" i="5"/>
  <c r="AS71" i="5"/>
  <c r="AT71" i="5"/>
  <c r="AU71" i="5"/>
  <c r="AV71" i="5"/>
  <c r="AW71" i="5"/>
  <c r="AX71" i="5"/>
  <c r="AQ72" i="5"/>
  <c r="AR72" i="5"/>
  <c r="AS72" i="5"/>
  <c r="AT72" i="5"/>
  <c r="AU72" i="5"/>
  <c r="AV72" i="5"/>
  <c r="AW72" i="5"/>
  <c r="AX72" i="5"/>
  <c r="AQ73" i="5"/>
  <c r="AR73" i="5"/>
  <c r="AS73" i="5"/>
  <c r="AT73" i="5"/>
  <c r="AU73" i="5"/>
  <c r="AV73" i="5"/>
  <c r="AW73" i="5"/>
  <c r="AX73" i="5"/>
  <c r="AQ74" i="5"/>
  <c r="AR74" i="5"/>
  <c r="AS74" i="5"/>
  <c r="AT74" i="5"/>
  <c r="AU74" i="5"/>
  <c r="AV74" i="5"/>
  <c r="AW74" i="5"/>
  <c r="AX74" i="5"/>
  <c r="AQ75" i="5"/>
  <c r="AR75" i="5"/>
  <c r="AS75" i="5"/>
  <c r="AT75" i="5"/>
  <c r="AU75" i="5"/>
  <c r="AV75" i="5"/>
  <c r="AW75" i="5"/>
  <c r="AX75" i="5"/>
  <c r="AQ44" i="5"/>
  <c r="AR44" i="5"/>
  <c r="AS44" i="5"/>
  <c r="AT44" i="5"/>
  <c r="AU44" i="5"/>
  <c r="AV44" i="5"/>
  <c r="AW44" i="5"/>
  <c r="AX44" i="5"/>
  <c r="AQ256" i="5"/>
  <c r="AR256" i="5"/>
  <c r="AS256" i="5"/>
  <c r="AT256" i="5"/>
  <c r="AU256" i="5"/>
  <c r="AV256" i="5"/>
  <c r="AW256" i="5"/>
  <c r="AX256" i="5"/>
  <c r="AQ76" i="5"/>
  <c r="AR76" i="5"/>
  <c r="AS76" i="5"/>
  <c r="AT76" i="5"/>
  <c r="AU76" i="5"/>
  <c r="AV76" i="5"/>
  <c r="AW76" i="5"/>
  <c r="AX76" i="5"/>
  <c r="AQ77" i="5"/>
  <c r="AR77" i="5"/>
  <c r="AS77" i="5"/>
  <c r="AT77" i="5"/>
  <c r="AU77" i="5"/>
  <c r="AV77" i="5"/>
  <c r="AW77" i="5"/>
  <c r="AX77" i="5"/>
  <c r="AQ78" i="5"/>
  <c r="AR78" i="5"/>
  <c r="AS78" i="5"/>
  <c r="AT78" i="5"/>
  <c r="AU78" i="5"/>
  <c r="AV78" i="5"/>
  <c r="AW78" i="5"/>
  <c r="AX78" i="5"/>
  <c r="AQ80" i="5"/>
  <c r="AR80" i="5"/>
  <c r="AS80" i="5"/>
  <c r="AT80" i="5"/>
  <c r="AU80" i="5"/>
  <c r="AV80" i="5"/>
  <c r="AW80" i="5"/>
  <c r="AX80" i="5"/>
  <c r="AQ81" i="5"/>
  <c r="AR81" i="5"/>
  <c r="AS81" i="5"/>
  <c r="AT81" i="5"/>
  <c r="AU81" i="5"/>
  <c r="AV81" i="5"/>
  <c r="AW81" i="5"/>
  <c r="AX81" i="5"/>
  <c r="AQ3" i="5"/>
  <c r="AR3" i="5"/>
  <c r="AS3" i="5"/>
  <c r="AT3" i="5"/>
  <c r="AU3" i="5"/>
  <c r="AV3" i="5"/>
  <c r="AW3" i="5"/>
  <c r="AX3" i="5"/>
  <c r="AQ282" i="5"/>
  <c r="AR282" i="5"/>
  <c r="AS282" i="5"/>
  <c r="AT282" i="5"/>
  <c r="AU282" i="5"/>
  <c r="AV282" i="5"/>
  <c r="AW282" i="5"/>
  <c r="AX282" i="5"/>
  <c r="AQ82" i="5"/>
  <c r="AR82" i="5"/>
  <c r="AS82" i="5"/>
  <c r="AT82" i="5"/>
  <c r="AU82" i="5"/>
  <c r="AV82" i="5"/>
  <c r="AW82" i="5"/>
  <c r="AX82" i="5"/>
  <c r="AQ42" i="5"/>
  <c r="AR42" i="5"/>
  <c r="AS42" i="5"/>
  <c r="AT42" i="5"/>
  <c r="AU42" i="5"/>
  <c r="AV42" i="5"/>
  <c r="AW42" i="5"/>
  <c r="AX42" i="5"/>
  <c r="AQ405" i="5"/>
  <c r="AR405" i="5"/>
  <c r="AS405" i="5"/>
  <c r="AT405" i="5"/>
  <c r="AU405" i="5"/>
  <c r="AV405" i="5"/>
  <c r="AW405" i="5"/>
  <c r="AX405" i="5"/>
  <c r="AQ83" i="5"/>
  <c r="AR83" i="5"/>
  <c r="AS83" i="5"/>
  <c r="AT83" i="5"/>
  <c r="AU83" i="5"/>
  <c r="AV83" i="5"/>
  <c r="AW83" i="5"/>
  <c r="AX83" i="5"/>
  <c r="AQ84" i="5"/>
  <c r="AR84" i="5"/>
  <c r="AS84" i="5"/>
  <c r="AT84" i="5"/>
  <c r="AU84" i="5"/>
  <c r="AV84" i="5"/>
  <c r="AW84" i="5"/>
  <c r="AX84" i="5"/>
  <c r="AQ85" i="5"/>
  <c r="AR85" i="5"/>
  <c r="AS85" i="5"/>
  <c r="AT85" i="5"/>
  <c r="AU85" i="5"/>
  <c r="AV85" i="5"/>
  <c r="AW85" i="5"/>
  <c r="AX85" i="5"/>
  <c r="AQ79" i="5"/>
  <c r="AR79" i="5"/>
  <c r="AS79" i="5"/>
  <c r="AT79" i="5"/>
  <c r="AU79" i="5"/>
  <c r="AV79" i="5"/>
  <c r="AW79" i="5"/>
  <c r="AX79" i="5"/>
  <c r="AJ8" i="2"/>
  <c r="AJ26" i="2"/>
  <c r="AJ35" i="2"/>
  <c r="AJ27" i="2"/>
  <c r="AJ37" i="2"/>
  <c r="AJ33" i="2"/>
  <c r="AJ23" i="2"/>
  <c r="AJ24" i="2"/>
  <c r="AJ28" i="2"/>
  <c r="AJ25" i="2"/>
  <c r="AJ34" i="2"/>
  <c r="AJ9" i="2"/>
  <c r="AJ10" i="2"/>
  <c r="AJ11" i="2"/>
  <c r="AJ21" i="2"/>
  <c r="AJ12" i="2"/>
  <c r="AJ13" i="2"/>
  <c r="AJ7" i="2"/>
  <c r="AJ16" i="2"/>
  <c r="AJ17" i="2"/>
  <c r="AJ19" i="2"/>
  <c r="AJ18" i="2"/>
  <c r="AJ29" i="2"/>
  <c r="AJ30" i="2"/>
  <c r="AJ22" i="2"/>
  <c r="AJ14" i="2"/>
  <c r="AJ31" i="2"/>
  <c r="AJ15" i="2"/>
  <c r="AJ32" i="2"/>
  <c r="AJ38" i="2"/>
  <c r="AJ6" i="2"/>
  <c r="AJ4" i="2"/>
  <c r="AJ5" i="2"/>
  <c r="AJ2" i="2"/>
  <c r="AJ3" i="2"/>
  <c r="AJ39" i="2"/>
  <c r="AI20" i="2"/>
  <c r="AB8" i="2"/>
  <c r="AB26" i="2"/>
  <c r="AB35" i="2"/>
  <c r="AB27" i="2"/>
  <c r="AB37" i="2"/>
  <c r="AB33" i="2"/>
  <c r="AB23" i="2"/>
  <c r="AB24" i="2"/>
  <c r="AB28" i="2"/>
  <c r="AB25" i="2"/>
  <c r="AB34" i="2"/>
  <c r="AB9" i="2"/>
  <c r="AB10" i="2"/>
  <c r="AB11" i="2"/>
  <c r="AB21" i="2"/>
  <c r="AB12" i="2"/>
  <c r="AB13" i="2"/>
  <c r="AB7" i="2"/>
  <c r="AB16" i="2"/>
  <c r="AB17" i="2"/>
  <c r="AB19" i="2"/>
  <c r="AB18" i="2"/>
  <c r="AB29" i="2"/>
  <c r="AB30" i="2"/>
  <c r="AB22" i="2"/>
  <c r="AB14" i="2"/>
  <c r="AB31" i="2"/>
  <c r="AB15" i="2"/>
  <c r="AB32" i="2"/>
  <c r="AB38" i="2"/>
  <c r="AB6" i="2"/>
  <c r="AB4" i="2"/>
  <c r="AB5" i="2"/>
  <c r="AB2" i="2"/>
  <c r="AB3" i="2"/>
  <c r="AB39" i="2"/>
  <c r="AB20" i="2"/>
  <c r="AC20" i="2"/>
  <c r="AC8" i="2"/>
  <c r="AC26" i="2"/>
  <c r="AC35" i="2"/>
  <c r="AC27" i="2"/>
  <c r="AC37" i="2"/>
  <c r="AC33" i="2"/>
  <c r="AC23" i="2"/>
  <c r="AC24" i="2"/>
  <c r="AC28" i="2"/>
  <c r="AC25" i="2"/>
  <c r="AC34" i="2"/>
  <c r="AC9" i="2"/>
  <c r="AC10" i="2"/>
  <c r="AC11" i="2"/>
  <c r="AC21" i="2"/>
  <c r="AC12" i="2"/>
  <c r="AC13" i="2"/>
  <c r="AC7" i="2"/>
  <c r="AC16" i="2"/>
  <c r="AC17" i="2"/>
  <c r="AC19" i="2"/>
  <c r="AC18" i="2"/>
  <c r="AC29" i="2"/>
  <c r="AC30" i="2"/>
  <c r="AC22" i="2"/>
  <c r="AC14" i="2"/>
  <c r="AC31" i="2"/>
  <c r="AC15" i="2"/>
  <c r="AC32" i="2"/>
  <c r="AC38" i="2"/>
  <c r="AC6" i="2"/>
  <c r="AC4" i="2"/>
  <c r="AC5" i="2"/>
  <c r="AC2" i="2"/>
  <c r="AC3" i="2"/>
  <c r="AC39" i="2"/>
  <c r="AD20" i="2"/>
  <c r="CO3" i="1"/>
  <c r="CO4" i="1"/>
  <c r="CO5" i="1"/>
  <c r="CO7" i="1"/>
  <c r="CO8" i="1"/>
  <c r="CO9" i="1"/>
  <c r="CO10" i="1"/>
  <c r="CO11" i="1"/>
  <c r="CO12" i="1"/>
  <c r="CO13" i="1"/>
  <c r="CO14" i="1"/>
  <c r="CO15" i="1"/>
  <c r="CO16" i="1"/>
  <c r="CO17" i="1"/>
  <c r="CO18" i="1"/>
  <c r="CO21" i="1"/>
  <c r="CO22" i="1"/>
  <c r="CO23" i="1"/>
  <c r="CO24" i="1"/>
  <c r="CO25" i="1"/>
  <c r="CO26" i="1"/>
  <c r="CO27" i="1"/>
  <c r="CO28" i="1"/>
  <c r="CO29" i="1"/>
  <c r="CO30" i="1"/>
  <c r="CO31" i="1"/>
  <c r="CO32" i="1"/>
  <c r="CO33" i="1"/>
  <c r="CO34" i="1"/>
  <c r="CO35" i="1"/>
  <c r="CO36" i="1"/>
  <c r="CO37" i="1"/>
  <c r="CO38" i="1"/>
  <c r="CO39" i="1"/>
  <c r="CO40" i="1"/>
  <c r="CO41" i="1"/>
  <c r="CO42" i="1"/>
  <c r="CO43" i="1"/>
  <c r="CO44" i="1"/>
  <c r="CO45" i="1"/>
  <c r="CO46" i="1"/>
  <c r="CO47" i="1"/>
  <c r="CO48" i="1"/>
  <c r="CO49" i="1"/>
  <c r="CO50" i="1"/>
  <c r="CO51" i="1"/>
  <c r="CO52" i="1"/>
  <c r="CO53" i="1"/>
  <c r="CO54" i="1"/>
  <c r="CO55" i="1"/>
  <c r="CO56" i="1"/>
  <c r="CO57" i="1"/>
  <c r="CO58" i="1"/>
  <c r="CO59" i="1"/>
  <c r="CO60" i="1"/>
  <c r="CO61" i="1"/>
  <c r="CO62" i="1"/>
  <c r="CO63" i="1"/>
  <c r="CO64" i="1"/>
  <c r="CO65" i="1"/>
  <c r="CO66" i="1"/>
  <c r="CO67" i="1"/>
  <c r="CO68" i="1"/>
  <c r="CO69" i="1"/>
  <c r="CO70" i="1"/>
  <c r="CO71" i="1"/>
  <c r="CO72" i="1"/>
  <c r="CO73" i="1"/>
  <c r="CO74" i="1"/>
  <c r="CO75" i="1"/>
  <c r="CO76" i="1"/>
  <c r="CO77" i="1"/>
  <c r="CO78" i="1"/>
  <c r="CO79" i="1"/>
  <c r="CO80" i="1"/>
  <c r="CO81" i="1"/>
  <c r="CO82" i="1"/>
  <c r="CO83" i="1"/>
  <c r="CO84" i="1"/>
  <c r="CO85" i="1"/>
  <c r="CO86" i="1"/>
  <c r="CO87" i="1"/>
  <c r="CO88" i="1"/>
  <c r="CO89" i="1"/>
  <c r="CO90" i="1"/>
  <c r="CO91" i="1"/>
  <c r="CO92" i="1"/>
  <c r="CO93" i="1"/>
  <c r="CO94" i="1"/>
  <c r="CO95" i="1"/>
  <c r="CO96" i="1"/>
  <c r="CO97" i="1"/>
  <c r="CO98" i="1"/>
  <c r="CO99" i="1"/>
  <c r="CO100" i="1"/>
  <c r="CO101" i="1"/>
  <c r="CO102" i="1"/>
  <c r="CO106" i="1"/>
  <c r="CO107" i="1"/>
  <c r="CO108" i="1"/>
  <c r="CO109" i="1"/>
  <c r="CO110" i="1"/>
  <c r="CO111" i="1"/>
  <c r="CO112" i="1"/>
  <c r="CO113" i="1"/>
  <c r="CO114" i="1"/>
  <c r="CO115" i="1"/>
  <c r="CO116" i="1"/>
  <c r="CO117" i="1"/>
  <c r="CO118" i="1"/>
  <c r="CO119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2" i="1"/>
  <c r="AB5" i="4"/>
  <c r="AB3" i="4"/>
  <c r="AB186" i="4"/>
  <c r="AB187" i="4"/>
  <c r="AB106" i="4"/>
  <c r="AB188" i="4"/>
  <c r="AB9" i="4"/>
  <c r="AB11" i="4"/>
  <c r="AB12" i="4"/>
  <c r="AB104" i="4"/>
  <c r="AB208" i="4"/>
  <c r="AB92" i="4"/>
  <c r="AB94" i="4"/>
  <c r="AB183" i="4"/>
  <c r="AB199" i="4"/>
  <c r="AB160" i="4"/>
  <c r="AB169" i="4"/>
  <c r="AB16" i="4"/>
  <c r="AB18" i="4"/>
  <c r="AB21" i="4"/>
  <c r="AB48" i="4"/>
  <c r="AB23" i="4"/>
  <c r="AB49" i="4"/>
  <c r="AB25" i="4"/>
  <c r="AB26" i="4"/>
  <c r="AB27" i="4"/>
  <c r="AB29" i="4"/>
  <c r="AB30" i="4"/>
  <c r="AB31" i="4"/>
  <c r="AB32" i="4"/>
  <c r="AB33" i="4"/>
  <c r="AB50" i="4"/>
  <c r="AB34" i="4"/>
  <c r="AB224" i="4"/>
  <c r="AB90" i="4"/>
  <c r="AB45" i="4"/>
  <c r="AB46" i="4"/>
  <c r="AB20" i="4"/>
  <c r="AB22" i="4"/>
  <c r="AB24" i="4"/>
  <c r="AB231" i="4"/>
  <c r="AB200" i="4"/>
  <c r="AB245" i="4"/>
  <c r="AB235" i="4"/>
  <c r="AB239" i="4"/>
  <c r="AB201" i="4"/>
  <c r="AB52" i="4"/>
  <c r="AB89" i="4"/>
  <c r="AB91" i="4"/>
  <c r="AB40" i="4"/>
  <c r="AB278" i="4"/>
  <c r="AB172" i="4"/>
  <c r="AB173" i="4"/>
  <c r="AB174" i="4"/>
  <c r="AB95" i="4"/>
  <c r="AB68" i="4"/>
  <c r="AB96" i="4"/>
  <c r="AB42" i="4"/>
  <c r="AB70" i="4"/>
  <c r="AB54" i="4"/>
  <c r="AB125" i="4"/>
  <c r="AB126" i="4"/>
  <c r="AB127" i="4"/>
  <c r="AB128" i="4"/>
  <c r="AB129" i="4"/>
  <c r="AB130" i="4"/>
  <c r="AB131" i="4"/>
  <c r="AB132" i="4"/>
  <c r="AB98" i="4"/>
  <c r="AB262" i="4"/>
  <c r="AB198" i="4"/>
  <c r="AB84" i="4"/>
  <c r="AB133" i="4"/>
  <c r="AB134" i="4"/>
  <c r="AB206" i="4"/>
  <c r="AB135" i="4"/>
  <c r="AB136" i="4"/>
  <c r="AB159" i="4"/>
  <c r="AB137" i="4"/>
  <c r="AB117" i="4"/>
  <c r="AB100" i="4"/>
  <c r="AB118" i="4"/>
  <c r="AB280" i="4"/>
  <c r="AB270" i="4"/>
  <c r="AB268" i="4"/>
  <c r="AB273" i="4"/>
  <c r="AB275" i="4"/>
  <c r="AB228" i="4"/>
  <c r="AB247" i="4"/>
  <c r="AB17" i="4"/>
  <c r="AB284" i="4"/>
  <c r="AB288" i="4"/>
  <c r="AB294" i="4"/>
  <c r="AB295" i="4"/>
  <c r="AB290" i="4"/>
  <c r="AB293" i="4"/>
  <c r="AB256" i="4"/>
  <c r="AB259" i="4"/>
  <c r="AB263" i="4"/>
  <c r="AB285" i="4"/>
  <c r="AB287" i="4"/>
  <c r="AB283" i="4"/>
  <c r="AB266" i="4"/>
  <c r="AB251" i="4"/>
  <c r="AB241" i="4"/>
  <c r="AB257" i="4"/>
  <c r="AB85" i="4"/>
  <c r="AB86" i="4"/>
  <c r="AB109" i="4"/>
  <c r="AB119" i="4"/>
  <c r="AB102" i="4"/>
  <c r="AB184" i="4"/>
  <c r="AB47" i="4"/>
  <c r="AB19" i="4"/>
  <c r="AB2" i="4"/>
  <c r="AB269" i="4"/>
  <c r="AB79" i="4"/>
  <c r="AB103" i="4"/>
  <c r="AB28" i="4"/>
  <c r="AB286" i="4"/>
  <c r="AB148" i="4"/>
  <c r="AB149" i="4"/>
  <c r="AB55" i="4"/>
  <c r="AB61" i="4"/>
  <c r="AB51" i="4"/>
  <c r="AB35" i="4"/>
  <c r="AB36" i="4"/>
  <c r="AB37" i="4"/>
  <c r="AB110" i="4"/>
  <c r="AB138" i="4"/>
  <c r="AB152" i="4"/>
  <c r="AB276" i="4"/>
  <c r="AB153" i="4"/>
  <c r="AB291" i="4"/>
  <c r="AB209" i="4"/>
  <c r="AB63" i="4"/>
  <c r="AB120" i="4"/>
  <c r="AB88" i="4"/>
  <c r="AB249" i="4"/>
  <c r="AB81" i="4"/>
  <c r="AB38" i="4"/>
  <c r="AB121" i="4"/>
  <c r="AB39" i="4"/>
  <c r="AB105" i="4"/>
  <c r="AB64" i="4"/>
  <c r="AB170" i="4"/>
  <c r="AB217" i="4"/>
  <c r="AB267" i="4"/>
  <c r="AB56" i="4"/>
  <c r="AB232" i="4"/>
  <c r="AB93" i="4"/>
  <c r="AB41" i="4"/>
  <c r="AB122" i="4"/>
  <c r="AB150" i="4"/>
  <c r="AB65" i="4"/>
  <c r="AB53" i="4"/>
  <c r="AB237" i="4"/>
  <c r="AB220" i="4"/>
  <c r="AB238" i="4"/>
  <c r="AB234" i="4"/>
  <c r="AB171" i="4"/>
  <c r="AB264" i="4"/>
  <c r="AB107" i="4"/>
  <c r="AB189" i="4"/>
  <c r="AB82" i="4"/>
  <c r="AB66" i="4"/>
  <c r="AB67" i="4"/>
  <c r="AB292" i="4"/>
  <c r="AB161" i="4"/>
  <c r="AB282" i="4"/>
  <c r="AB203" i="4"/>
  <c r="AB7" i="4"/>
  <c r="AB124" i="4"/>
  <c r="AB190" i="4"/>
  <c r="AB8" i="4"/>
  <c r="AB43" i="4"/>
  <c r="AB10" i="4"/>
  <c r="AB154" i="4"/>
  <c r="AB155" i="4"/>
  <c r="AB156" i="4"/>
  <c r="AB139" i="4"/>
  <c r="AB162" i="4"/>
  <c r="AB177" i="4"/>
  <c r="AB163" i="4"/>
  <c r="AB192" i="4"/>
  <c r="AB193" i="4"/>
  <c r="AB197" i="4"/>
  <c r="AB223" i="4"/>
  <c r="AB165" i="4"/>
  <c r="AB140" i="4"/>
  <c r="AB157" i="4"/>
  <c r="AB281" i="4"/>
  <c r="AB166" i="4"/>
  <c r="AB71" i="4"/>
  <c r="AB178" i="4"/>
  <c r="AB211" i="4"/>
  <c r="AB179" i="4"/>
  <c r="AB141" i="4"/>
  <c r="AB142" i="4"/>
  <c r="AB143" i="4"/>
  <c r="AB144" i="4"/>
  <c r="AB145" i="4"/>
  <c r="AB252" i="4"/>
  <c r="AB248" i="4"/>
  <c r="AB72" i="4"/>
  <c r="AB73" i="4"/>
  <c r="AB242" i="4"/>
  <c r="AB74" i="4"/>
  <c r="AB111" i="4"/>
  <c r="AB97" i="4"/>
  <c r="AB112" i="4"/>
  <c r="AB83" i="4"/>
  <c r="AB75" i="4"/>
  <c r="AB113" i="4"/>
  <c r="AB114" i="4"/>
  <c r="AB115" i="4"/>
  <c r="AB76" i="4"/>
  <c r="AB99" i="4"/>
  <c r="AB13" i="4"/>
  <c r="AB14" i="4"/>
  <c r="AB44" i="4"/>
  <c r="AB254" i="4"/>
  <c r="AB77" i="4"/>
  <c r="AB108" i="4"/>
  <c r="AB204" i="4"/>
  <c r="AB205" i="4"/>
  <c r="AB60" i="4"/>
  <c r="AB213" i="4"/>
  <c r="AB181" i="4"/>
  <c r="AB207" i="4"/>
  <c r="AB182" i="4"/>
  <c r="AB214" i="4"/>
  <c r="AB215" i="4"/>
  <c r="AB216" i="4"/>
  <c r="AB243" i="4"/>
  <c r="AB244" i="4"/>
  <c r="AB250" i="4"/>
  <c r="AB227" i="4"/>
  <c r="AB258" i="4"/>
  <c r="AB271" i="4"/>
  <c r="AB265" i="4"/>
  <c r="AB253" i="4"/>
  <c r="AB255" i="4"/>
  <c r="AB279" i="4"/>
  <c r="AB289" i="4"/>
  <c r="AB87" i="4"/>
  <c r="AB80" i="4"/>
  <c r="AB219" i="4"/>
  <c r="AB277" i="4"/>
  <c r="AB222" i="4"/>
  <c r="AB6" i="4"/>
  <c r="AB226" i="4"/>
  <c r="AB164" i="4"/>
  <c r="AB212" i="4"/>
  <c r="AB180" i="4"/>
  <c r="AB218" i="4"/>
  <c r="AB195" i="4"/>
  <c r="AB221" i="4"/>
  <c r="AB246" i="4"/>
  <c r="AB229" i="4"/>
  <c r="AB236" i="4"/>
  <c r="AB260" i="4"/>
  <c r="AB167" i="4"/>
  <c r="AB168" i="4"/>
  <c r="AB240" i="4"/>
  <c r="AB210" i="4"/>
  <c r="AB233" i="4"/>
  <c r="AB261" i="4"/>
  <c r="AB272" i="4"/>
  <c r="AB123" i="4"/>
  <c r="AB230" i="4"/>
  <c r="AB158" i="4"/>
  <c r="AB116" i="4"/>
  <c r="AB15" i="4"/>
  <c r="AB151" i="4"/>
  <c r="AB175" i="4"/>
  <c r="AB194" i="4"/>
  <c r="AB101" i="4"/>
  <c r="AB196" i="4"/>
  <c r="AB176" i="4"/>
  <c r="AB191" i="4"/>
  <c r="AB225" i="4"/>
  <c r="AB62" i="4"/>
  <c r="AB57" i="4"/>
  <c r="AB58" i="4"/>
  <c r="AB59" i="4"/>
  <c r="AB69" i="4"/>
  <c r="AB146" i="4"/>
  <c r="AB147" i="4"/>
  <c r="AB78" i="4"/>
  <c r="AB185" i="4"/>
  <c r="AB202" i="4"/>
  <c r="AB274" i="4"/>
  <c r="AB299" i="4"/>
  <c r="AB298" i="4"/>
  <c r="AB296" i="4"/>
  <c r="AB297" i="4"/>
  <c r="AB304" i="4"/>
  <c r="AB305" i="4"/>
  <c r="AB306" i="4"/>
  <c r="AB307" i="4"/>
  <c r="AB308" i="4"/>
  <c r="AB300" i="4"/>
  <c r="AB301" i="4"/>
  <c r="AB302" i="4"/>
  <c r="AB303" i="4"/>
  <c r="AB310" i="4"/>
  <c r="AB309" i="4"/>
  <c r="AB339" i="4"/>
  <c r="AB340" i="4"/>
  <c r="AB323" i="4"/>
  <c r="AB338" i="4"/>
  <c r="AB324" i="4"/>
  <c r="AB325" i="4"/>
  <c r="AB326" i="4"/>
  <c r="AB327" i="4"/>
  <c r="AB331" i="4"/>
  <c r="AB332" i="4"/>
  <c r="AB333" i="4"/>
  <c r="AB334" i="4"/>
  <c r="AB318" i="4"/>
  <c r="AB313" i="4"/>
  <c r="AB314" i="4"/>
  <c r="AB312" i="4"/>
  <c r="AB342" i="4"/>
  <c r="AB343" i="4"/>
  <c r="AB341" i="4"/>
  <c r="AB311" i="4"/>
  <c r="AB320" i="4"/>
  <c r="AB336" i="4"/>
  <c r="AB317" i="4"/>
  <c r="AB335" i="4"/>
  <c r="AB322" i="4"/>
  <c r="AB316" i="4"/>
  <c r="AB315" i="4"/>
  <c r="AB329" i="4"/>
  <c r="AB328" i="4"/>
  <c r="AB337" i="4"/>
  <c r="AB319" i="4"/>
  <c r="AB330" i="4"/>
  <c r="AB321" i="4"/>
  <c r="AB345" i="4"/>
  <c r="AB346" i="4"/>
  <c r="AB347" i="4"/>
  <c r="AB362" i="4"/>
  <c r="AB363" i="4"/>
  <c r="AB364" i="4"/>
  <c r="AB344" i="4"/>
  <c r="AB348" i="4"/>
  <c r="AB349" i="4"/>
  <c r="AB350" i="4"/>
  <c r="AB351" i="4"/>
  <c r="AB352" i="4"/>
  <c r="AB353" i="4"/>
  <c r="AB354" i="4"/>
  <c r="AB355" i="4"/>
  <c r="AB365" i="4"/>
  <c r="AB356" i="4"/>
  <c r="AB357" i="4"/>
  <c r="AB358" i="4"/>
  <c r="AB361" i="4"/>
  <c r="AB359" i="4"/>
  <c r="AB360" i="4"/>
  <c r="AB371" i="4"/>
  <c r="AB367" i="4"/>
  <c r="AB374" i="4"/>
  <c r="AB366" i="4"/>
  <c r="AB368" i="4"/>
  <c r="AB370" i="4"/>
  <c r="AB373" i="4"/>
  <c r="AB376" i="4"/>
  <c r="AB369" i="4"/>
  <c r="AB372" i="4"/>
  <c r="AB375" i="4"/>
  <c r="AB380" i="4"/>
  <c r="AB379" i="4"/>
  <c r="AB378" i="4"/>
  <c r="AB377" i="4"/>
  <c r="AB381" i="4"/>
  <c r="AB382" i="4"/>
  <c r="AB399" i="4"/>
  <c r="AB402" i="4"/>
  <c r="AB386" i="4"/>
  <c r="AB387" i="4"/>
  <c r="AB388" i="4"/>
  <c r="AB389" i="4"/>
  <c r="AB395" i="4"/>
  <c r="AB406" i="4"/>
  <c r="AB396" i="4"/>
  <c r="AB397" i="4"/>
  <c r="AB401" i="4"/>
  <c r="AB384" i="4"/>
  <c r="AB385" i="4"/>
  <c r="AB383" i="4"/>
  <c r="AB391" i="4"/>
  <c r="AB392" i="4"/>
  <c r="AB393" i="4"/>
  <c r="AB394" i="4"/>
  <c r="AB398" i="4"/>
  <c r="AB400" i="4"/>
  <c r="AB403" i="4"/>
  <c r="AB404" i="4"/>
  <c r="AB405" i="4"/>
  <c r="AB390" i="4"/>
  <c r="AB4" i="4"/>
  <c r="AC4" i="4"/>
  <c r="BC239" i="5"/>
  <c r="BC238" i="5"/>
  <c r="BC236" i="5"/>
  <c r="BC281" i="5"/>
  <c r="BC33" i="5"/>
  <c r="BC32" i="5"/>
  <c r="BC31" i="5"/>
  <c r="BC277" i="5"/>
  <c r="BC104" i="5"/>
  <c r="BC299" i="5"/>
  <c r="BC361" i="5"/>
  <c r="BC254" i="5"/>
  <c r="BC255" i="5"/>
  <c r="BC391" i="5"/>
  <c r="BC249" i="5"/>
  <c r="BC164" i="5"/>
  <c r="BC326" i="5"/>
  <c r="BC109" i="5"/>
  <c r="BC30" i="5"/>
  <c r="BC283" i="5"/>
  <c r="BC330" i="5"/>
  <c r="BC355" i="5"/>
  <c r="BC250" i="5"/>
  <c r="BC147" i="5"/>
  <c r="BC160" i="5"/>
  <c r="BC159" i="5"/>
  <c r="BC357" i="5"/>
  <c r="BC71" i="5"/>
  <c r="BC42" i="5"/>
  <c r="BC405" i="5"/>
  <c r="BC22" i="5"/>
  <c r="BC37" i="5"/>
  <c r="BC35" i="5"/>
  <c r="BC324" i="5"/>
  <c r="BC36" i="5"/>
  <c r="BC38" i="5"/>
  <c r="BC176" i="5"/>
  <c r="BC50" i="5"/>
  <c r="BC354" i="5"/>
  <c r="BC48" i="5"/>
  <c r="BC352" i="5"/>
  <c r="BC65" i="5"/>
  <c r="BC27" i="5"/>
  <c r="BC345" i="5"/>
  <c r="BC20" i="5"/>
  <c r="BC26" i="5"/>
  <c r="BC21" i="5"/>
  <c r="BC43" i="5"/>
  <c r="BC62" i="5"/>
  <c r="BC40" i="5"/>
  <c r="BC265" i="5"/>
  <c r="BC276" i="5"/>
  <c r="BC63" i="5"/>
  <c r="BC19" i="5"/>
  <c r="BC344" i="5"/>
  <c r="BC18" i="5"/>
  <c r="BC224" i="5"/>
  <c r="BC64" i="5"/>
  <c r="BC323" i="5"/>
  <c r="BC101" i="5"/>
  <c r="BC174" i="5"/>
  <c r="BC121" i="5"/>
  <c r="BC231" i="5"/>
  <c r="BC47" i="5"/>
  <c r="BC120" i="5"/>
  <c r="BC123" i="5"/>
  <c r="BC13" i="5"/>
  <c r="BC14" i="5"/>
  <c r="BC60" i="5"/>
  <c r="BC362" i="5"/>
  <c r="BC230" i="5"/>
  <c r="BC49" i="5"/>
  <c r="BC322" i="5"/>
  <c r="BC11" i="5"/>
  <c r="BC12" i="5"/>
  <c r="BC387" i="5"/>
  <c r="BC16" i="5"/>
  <c r="BC67" i="5"/>
  <c r="BC296" i="5"/>
  <c r="BC275" i="5"/>
  <c r="BC116" i="5"/>
  <c r="BC117" i="5"/>
  <c r="BC173" i="5"/>
  <c r="BC61" i="5"/>
  <c r="BC39" i="5"/>
  <c r="BC287" i="5"/>
  <c r="BC10" i="5"/>
  <c r="BC172" i="5"/>
  <c r="BC288" i="5"/>
  <c r="BC118" i="5"/>
  <c r="BC390" i="5"/>
  <c r="BC17" i="5"/>
  <c r="BC274" i="5"/>
  <c r="BC56" i="5"/>
  <c r="BC280" i="5"/>
  <c r="BC286" i="5"/>
  <c r="BC95" i="5"/>
  <c r="BC165" i="5"/>
  <c r="BC15" i="5"/>
  <c r="BC113" i="5"/>
  <c r="BC114" i="5"/>
  <c r="BC295" i="5"/>
  <c r="BC388" i="5"/>
  <c r="BC335" i="5"/>
  <c r="BC93" i="5"/>
  <c r="BC228" i="5"/>
  <c r="BC264" i="5"/>
  <c r="BC183" i="5"/>
  <c r="BC318" i="5"/>
  <c r="BC313" i="5"/>
  <c r="BC9" i="5"/>
  <c r="BC55" i="5"/>
  <c r="BC316" i="5"/>
  <c r="BC311" i="5"/>
  <c r="BC314" i="5"/>
  <c r="BC279" i="5"/>
  <c r="BC294" i="5"/>
  <c r="BC112" i="5"/>
  <c r="BC261" i="5"/>
  <c r="BC272" i="5"/>
  <c r="BC262" i="5"/>
  <c r="BC182" i="5"/>
  <c r="BC310" i="5"/>
  <c r="BC7" i="5"/>
  <c r="BC273" i="5"/>
  <c r="BC386" i="5"/>
  <c r="BC247" i="5"/>
  <c r="BC57" i="5"/>
  <c r="BC312" i="5"/>
  <c r="BC389" i="5"/>
  <c r="BC107" i="5"/>
  <c r="BC293" i="5"/>
  <c r="BC246" i="5"/>
  <c r="BC309" i="5"/>
  <c r="BC106" i="5"/>
  <c r="BC108" i="5"/>
  <c r="BC229" i="5"/>
  <c r="BC244" i="5"/>
  <c r="BC245" i="5"/>
  <c r="BC8" i="5"/>
  <c r="BC292" i="5"/>
  <c r="BC162" i="5"/>
  <c r="BC260" i="5"/>
  <c r="BC269" i="5"/>
  <c r="BC270" i="5"/>
  <c r="BC6" i="5"/>
  <c r="BC161" i="5"/>
  <c r="BC285" i="5"/>
  <c r="BC284" i="5"/>
  <c r="BC90" i="5"/>
  <c r="BC25" i="5"/>
  <c r="BC307" i="5"/>
  <c r="BC308" i="5"/>
  <c r="BC306" i="5"/>
  <c r="BC24" i="5"/>
  <c r="BC88" i="5"/>
  <c r="BC105" i="5"/>
  <c r="BC259" i="5"/>
  <c r="BC54" i="5"/>
  <c r="BC89" i="5"/>
  <c r="BC252" i="5"/>
  <c r="BC304" i="5"/>
  <c r="BC303" i="5"/>
  <c r="BC235" i="5"/>
  <c r="BC234" i="5"/>
  <c r="BC305" i="5"/>
  <c r="BC46" i="5"/>
  <c r="BC258" i="5"/>
  <c r="BC45" i="5"/>
  <c r="BC257" i="5"/>
  <c r="BC278" i="5"/>
  <c r="BC302" i="5"/>
  <c r="BC381" i="5"/>
  <c r="BC23" i="5"/>
  <c r="BC372" i="5"/>
  <c r="BC181" i="5"/>
  <c r="BC5" i="5"/>
  <c r="BC4" i="5"/>
  <c r="BC301" i="5"/>
  <c r="BC251" i="5"/>
  <c r="BC52" i="5"/>
  <c r="BC180" i="5"/>
  <c r="BC369" i="5"/>
  <c r="BC289" i="5"/>
  <c r="BC178" i="5"/>
  <c r="BC51" i="5"/>
  <c r="BC28" i="5"/>
  <c r="BC377" i="5"/>
  <c r="BC297" i="5"/>
  <c r="BC378" i="5"/>
  <c r="BC122" i="5"/>
  <c r="BC169" i="5"/>
  <c r="BC406" i="5"/>
  <c r="BC29" i="5"/>
  <c r="BC119" i="5"/>
  <c r="BC382" i="5"/>
  <c r="BC384" i="5"/>
  <c r="BC115" i="5"/>
  <c r="BC91" i="5"/>
  <c r="BC171" i="5"/>
  <c r="BC383" i="5"/>
  <c r="BC110" i="5"/>
  <c r="BC367" i="5"/>
  <c r="BC290" i="5"/>
  <c r="BC179" i="5"/>
  <c r="BC66" i="5"/>
  <c r="BC59" i="5"/>
  <c r="BC58" i="5"/>
  <c r="BC271" i="5"/>
  <c r="BC53" i="5"/>
  <c r="BC94" i="5"/>
  <c r="BC111" i="5"/>
  <c r="BC2" i="5"/>
  <c r="BC163" i="5"/>
  <c r="BC87" i="5"/>
  <c r="BC298" i="5"/>
  <c r="BC41" i="5"/>
  <c r="BC321" i="5"/>
  <c r="BC227" i="5"/>
  <c r="BC317" i="5"/>
  <c r="BC223" i="5"/>
  <c r="BC226" i="5"/>
  <c r="BC325" i="5"/>
  <c r="BC34" i="5"/>
  <c r="BC268" i="5"/>
  <c r="BC241" i="5"/>
  <c r="BC266" i="5"/>
  <c r="BC342" i="5"/>
  <c r="BC243" i="5"/>
  <c r="BC350" i="5"/>
  <c r="BC347" i="5"/>
  <c r="BC348" i="5"/>
  <c r="BC242" i="5"/>
  <c r="BC341" i="5"/>
  <c r="BC253" i="5"/>
  <c r="BC319" i="5"/>
  <c r="BC380" i="5"/>
  <c r="BC315" i="5"/>
  <c r="BC184" i="5"/>
  <c r="BC185" i="5"/>
  <c r="BC349" i="5"/>
  <c r="BC374" i="5"/>
  <c r="BC375" i="5"/>
  <c r="BC353" i="5"/>
  <c r="BC364" i="5"/>
  <c r="BC351" i="5"/>
  <c r="BC103" i="5"/>
  <c r="BC346" i="5"/>
  <c r="BC373" i="5"/>
  <c r="BC166" i="5"/>
  <c r="BC167" i="5"/>
  <c r="BC168" i="5"/>
  <c r="BC343" i="5"/>
  <c r="BC102" i="5"/>
  <c r="BC222" i="5"/>
  <c r="BC100" i="5"/>
  <c r="BC334" i="5"/>
  <c r="BC99" i="5"/>
  <c r="BC248" i="5"/>
  <c r="BC339" i="5"/>
  <c r="BC340" i="5"/>
  <c r="BC263" i="5"/>
  <c r="BC240" i="5"/>
  <c r="BC338" i="5"/>
  <c r="BC97" i="5"/>
  <c r="BC98" i="5"/>
  <c r="BC336" i="5"/>
  <c r="BC96" i="5"/>
  <c r="BC360" i="5"/>
  <c r="BC170" i="5"/>
  <c r="BC337" i="5"/>
  <c r="BC92" i="5"/>
  <c r="BC333" i="5"/>
  <c r="BC358" i="5"/>
  <c r="BC385" i="5"/>
  <c r="BC332" i="5"/>
  <c r="BC371" i="5"/>
  <c r="BC370" i="5"/>
  <c r="BC404" i="5"/>
  <c r="BC232" i="5"/>
  <c r="BC359" i="5"/>
  <c r="BC379" i="5"/>
  <c r="BC267" i="5"/>
  <c r="BC291" i="5"/>
  <c r="BC225" i="5"/>
  <c r="BC366" i="5"/>
  <c r="BC237" i="5"/>
  <c r="BC376" i="5"/>
  <c r="BC177" i="5"/>
  <c r="BC86" i="5"/>
  <c r="BC327" i="5"/>
  <c r="BC328" i="5"/>
  <c r="BC368" i="5"/>
  <c r="BC329" i="5"/>
  <c r="BC68" i="5"/>
  <c r="BC69" i="5"/>
  <c r="BC363" i="5"/>
  <c r="BC365" i="5"/>
  <c r="BC320" i="5"/>
  <c r="BC356" i="5"/>
  <c r="BC175" i="5"/>
  <c r="BC157" i="5"/>
  <c r="BC198" i="5"/>
  <c r="BC197" i="5"/>
  <c r="BC194" i="5"/>
  <c r="BC155" i="5"/>
  <c r="BC193" i="5"/>
  <c r="BC195" i="5"/>
  <c r="BC196" i="5"/>
  <c r="BC191" i="5"/>
  <c r="BC190" i="5"/>
  <c r="BC156" i="5"/>
  <c r="BC192" i="5"/>
  <c r="BC189" i="5"/>
  <c r="BC154" i="5"/>
  <c r="BC188" i="5"/>
  <c r="BC153" i="5"/>
  <c r="BC150" i="5"/>
  <c r="BC144" i="5"/>
  <c r="BC134" i="5"/>
  <c r="BC133" i="5"/>
  <c r="BC127" i="5"/>
  <c r="BC126" i="5"/>
  <c r="BC186" i="5"/>
  <c r="BC132" i="5"/>
  <c r="BC128" i="5"/>
  <c r="BC143" i="5"/>
  <c r="BC158" i="5"/>
  <c r="BC136" i="5"/>
  <c r="BC138" i="5"/>
  <c r="BC130" i="5"/>
  <c r="BC131" i="5"/>
  <c r="BC139" i="5"/>
  <c r="BC141" i="5"/>
  <c r="BC142" i="5"/>
  <c r="BC146" i="5"/>
  <c r="BC137" i="5"/>
  <c r="BC149" i="5"/>
  <c r="BC140" i="5"/>
  <c r="BC151" i="5"/>
  <c r="BC125" i="5"/>
  <c r="BC152" i="5"/>
  <c r="BC145" i="5"/>
  <c r="BC135" i="5"/>
  <c r="BC148" i="5"/>
  <c r="BC129" i="5"/>
  <c r="BC187" i="5"/>
  <c r="BC124" i="5"/>
  <c r="BC199" i="5"/>
  <c r="BC210" i="5"/>
  <c r="BC209" i="5"/>
  <c r="BC221" i="5"/>
  <c r="BC208" i="5"/>
  <c r="BC207" i="5"/>
  <c r="BC220" i="5"/>
  <c r="BC206" i="5"/>
  <c r="BC219" i="5"/>
  <c r="BC218" i="5"/>
  <c r="BC217" i="5"/>
  <c r="BC216" i="5"/>
  <c r="BC215" i="5"/>
  <c r="BC214" i="5"/>
  <c r="BC203" i="5"/>
  <c r="BC204" i="5"/>
  <c r="BC213" i="5"/>
  <c r="BC205" i="5"/>
  <c r="BC200" i="5"/>
  <c r="BC201" i="5"/>
  <c r="BC211" i="5"/>
  <c r="BC212" i="5"/>
  <c r="BC403" i="5"/>
  <c r="BC402" i="5"/>
  <c r="BC401" i="5"/>
  <c r="BC400" i="5"/>
  <c r="BC398" i="5"/>
  <c r="BC399" i="5"/>
  <c r="BC397" i="5"/>
  <c r="BC396" i="5"/>
  <c r="BC395" i="5"/>
  <c r="BC394" i="5"/>
  <c r="BC393" i="5"/>
  <c r="BC70" i="5"/>
  <c r="BC202" i="5"/>
  <c r="BC392" i="5"/>
  <c r="BC331" i="5"/>
  <c r="BC72" i="5"/>
  <c r="BC73" i="5"/>
  <c r="BC74" i="5"/>
  <c r="BC76" i="5"/>
  <c r="BC77" i="5"/>
  <c r="BC78" i="5"/>
  <c r="BC79" i="5"/>
  <c r="BC80" i="5"/>
  <c r="BC81" i="5"/>
  <c r="BC282" i="5"/>
  <c r="BC82" i="5"/>
  <c r="BC83" i="5"/>
  <c r="BC84" i="5"/>
  <c r="BC85" i="5"/>
  <c r="BC300" i="5"/>
  <c r="BC75" i="5"/>
  <c r="BC3" i="5"/>
  <c r="BC256" i="5"/>
  <c r="BC44" i="5"/>
  <c r="BC233" i="5"/>
  <c r="AH35" i="2"/>
  <c r="AH8" i="2"/>
  <c r="AH20" i="2"/>
  <c r="AH21" i="2"/>
  <c r="AH23" i="2"/>
  <c r="AH25" i="2"/>
  <c r="AH24" i="2"/>
  <c r="AH26" i="2"/>
  <c r="AH27" i="2"/>
  <c r="AH13" i="2"/>
  <c r="AH12" i="2"/>
  <c r="AH11" i="2"/>
  <c r="AH7" i="2"/>
  <c r="AH14" i="2"/>
  <c r="AH10" i="2"/>
  <c r="AH9" i="2"/>
  <c r="AH16" i="2"/>
  <c r="AH17" i="2"/>
  <c r="AH19" i="2"/>
  <c r="AH30" i="2"/>
  <c r="AH29" i="2"/>
  <c r="AH38" i="2"/>
  <c r="AH6" i="2"/>
  <c r="AH28" i="2"/>
  <c r="AH34" i="2"/>
  <c r="AH18" i="2"/>
  <c r="AH22" i="2"/>
  <c r="AH31" i="2"/>
  <c r="AH15" i="2"/>
  <c r="AH37" i="2"/>
  <c r="AH32" i="2"/>
  <c r="AH4" i="2"/>
  <c r="AH5" i="2"/>
  <c r="AH2" i="2"/>
  <c r="AH3" i="2"/>
  <c r="AH39" i="2"/>
  <c r="AH33" i="2"/>
  <c r="AG33" i="2"/>
  <c r="AI33" i="2"/>
  <c r="AI35" i="2"/>
  <c r="AI8" i="2"/>
  <c r="AI21" i="2"/>
  <c r="AI23" i="2"/>
  <c r="AI25" i="2"/>
  <c r="AI24" i="2"/>
  <c r="AI26" i="2"/>
  <c r="AI27" i="2"/>
  <c r="AI13" i="2"/>
  <c r="AI12" i="2"/>
  <c r="AI11" i="2"/>
  <c r="AI7" i="2"/>
  <c r="AI14" i="2"/>
  <c r="AI10" i="2"/>
  <c r="AI9" i="2"/>
  <c r="AI16" i="2"/>
  <c r="AI17" i="2"/>
  <c r="AI19" i="2"/>
  <c r="AI30" i="2"/>
  <c r="AI29" i="2"/>
  <c r="AI38" i="2"/>
  <c r="AI6" i="2"/>
  <c r="AI28" i="2"/>
  <c r="AI34" i="2"/>
  <c r="AI18" i="2"/>
  <c r="AI22" i="2"/>
  <c r="AI31" i="2"/>
  <c r="AI15" i="2"/>
  <c r="AI37" i="2"/>
  <c r="AI32" i="2"/>
  <c r="AI4" i="2"/>
  <c r="AI5" i="2"/>
  <c r="AI2" i="2"/>
  <c r="AI3" i="2"/>
  <c r="AI39" i="2"/>
  <c r="AF33" i="2"/>
  <c r="AF35" i="2"/>
  <c r="AF37" i="2"/>
  <c r="AF8" i="2"/>
  <c r="AF20" i="2"/>
  <c r="AF23" i="2"/>
  <c r="AF25" i="2"/>
  <c r="AF24" i="2"/>
  <c r="AF26" i="2"/>
  <c r="AF27" i="2"/>
  <c r="AF38" i="2"/>
  <c r="AF6" i="2"/>
  <c r="AF28" i="2"/>
  <c r="AF34" i="2"/>
  <c r="AF32" i="2"/>
  <c r="AF13" i="2"/>
  <c r="AF12" i="2"/>
  <c r="AF11" i="2"/>
  <c r="AF7" i="2"/>
  <c r="AF14" i="2"/>
  <c r="AF10" i="2"/>
  <c r="AF9" i="2"/>
  <c r="AF16" i="2"/>
  <c r="AF17" i="2"/>
  <c r="AF19" i="2"/>
  <c r="AF30" i="2"/>
  <c r="AF29" i="2"/>
  <c r="AF18" i="2"/>
  <c r="AF22" i="2"/>
  <c r="AF15" i="2"/>
  <c r="AF31" i="2"/>
  <c r="AF4" i="2"/>
  <c r="AF5" i="2"/>
  <c r="AF2" i="2"/>
  <c r="AF3" i="2"/>
  <c r="AF39" i="2"/>
  <c r="AF21" i="2"/>
  <c r="AE21" i="2"/>
  <c r="AE33" i="2"/>
  <c r="AE35" i="2"/>
  <c r="AE37" i="2"/>
  <c r="AE8" i="2"/>
  <c r="AE20" i="2"/>
  <c r="AE23" i="2"/>
  <c r="AE25" i="2"/>
  <c r="AE24" i="2"/>
  <c r="AE26" i="2"/>
  <c r="AE27" i="2"/>
  <c r="AE38" i="2"/>
  <c r="AE6" i="2"/>
  <c r="AE28" i="2"/>
  <c r="AE34" i="2"/>
  <c r="AE32" i="2"/>
  <c r="AE13" i="2"/>
  <c r="AE12" i="2"/>
  <c r="AE11" i="2"/>
  <c r="AE7" i="2"/>
  <c r="AE14" i="2"/>
  <c r="AE10" i="2"/>
  <c r="AE9" i="2"/>
  <c r="AE16" i="2"/>
  <c r="AE17" i="2"/>
  <c r="AE19" i="2"/>
  <c r="AE30" i="2"/>
  <c r="AE29" i="2"/>
  <c r="AE18" i="2"/>
  <c r="AE22" i="2"/>
  <c r="AE15" i="2"/>
  <c r="AE31" i="2"/>
  <c r="AE4" i="2"/>
  <c r="AE5" i="2"/>
  <c r="AE2" i="2"/>
  <c r="AE3" i="2"/>
  <c r="AE39" i="2"/>
  <c r="AD21" i="2"/>
  <c r="AC5" i="4"/>
  <c r="AC3" i="4"/>
  <c r="AC186" i="4"/>
  <c r="AC187" i="4"/>
  <c r="AC106" i="4"/>
  <c r="AC188" i="4"/>
  <c r="AC9" i="4"/>
  <c r="AC11" i="4"/>
  <c r="AC12" i="4"/>
  <c r="AC104" i="4"/>
  <c r="AC208" i="4"/>
  <c r="AC92" i="4"/>
  <c r="AC94" i="4"/>
  <c r="AC183" i="4"/>
  <c r="AC199" i="4"/>
  <c r="AC160" i="4"/>
  <c r="AC169" i="4"/>
  <c r="AC16" i="4"/>
  <c r="AC18" i="4"/>
  <c r="AC21" i="4"/>
  <c r="AC48" i="4"/>
  <c r="AC23" i="4"/>
  <c r="AC49" i="4"/>
  <c r="AC25" i="4"/>
  <c r="AC26" i="4"/>
  <c r="AC27" i="4"/>
  <c r="AC29" i="4"/>
  <c r="AC30" i="4"/>
  <c r="AC31" i="4"/>
  <c r="AC32" i="4"/>
  <c r="AC33" i="4"/>
  <c r="AC50" i="4"/>
  <c r="AC34" i="4"/>
  <c r="AC224" i="4"/>
  <c r="AC90" i="4"/>
  <c r="AC45" i="4"/>
  <c r="AC46" i="4"/>
  <c r="AC20" i="4"/>
  <c r="AC22" i="4"/>
  <c r="AC24" i="4"/>
  <c r="AC231" i="4"/>
  <c r="AC200" i="4"/>
  <c r="AC245" i="4"/>
  <c r="AC235" i="4"/>
  <c r="AC239" i="4"/>
  <c r="AC201" i="4"/>
  <c r="AC52" i="4"/>
  <c r="AC89" i="4"/>
  <c r="AC91" i="4"/>
  <c r="AC40" i="4"/>
  <c r="AC278" i="4"/>
  <c r="AC172" i="4"/>
  <c r="AC173" i="4"/>
  <c r="AC174" i="4"/>
  <c r="AC95" i="4"/>
  <c r="AC68" i="4"/>
  <c r="AC96" i="4"/>
  <c r="AC42" i="4"/>
  <c r="AC70" i="4"/>
  <c r="AC54" i="4"/>
  <c r="AC125" i="4"/>
  <c r="AC126" i="4"/>
  <c r="AC127" i="4"/>
  <c r="AC128" i="4"/>
  <c r="AC129" i="4"/>
  <c r="AC130" i="4"/>
  <c r="AC131" i="4"/>
  <c r="AC132" i="4"/>
  <c r="AC98" i="4"/>
  <c r="AC262" i="4"/>
  <c r="AC198" i="4"/>
  <c r="AC84" i="4"/>
  <c r="AC133" i="4"/>
  <c r="AC134" i="4"/>
  <c r="AC206" i="4"/>
  <c r="AC135" i="4"/>
  <c r="AC136" i="4"/>
  <c r="AC159" i="4"/>
  <c r="AC137" i="4"/>
  <c r="AC117" i="4"/>
  <c r="AC100" i="4"/>
  <c r="AC118" i="4"/>
  <c r="AC280" i="4"/>
  <c r="AC270" i="4"/>
  <c r="AC268" i="4"/>
  <c r="AC273" i="4"/>
  <c r="AC275" i="4"/>
  <c r="AC228" i="4"/>
  <c r="AC247" i="4"/>
  <c r="AC17" i="4"/>
  <c r="AC284" i="4"/>
  <c r="AC288" i="4"/>
  <c r="AC294" i="4"/>
  <c r="AC295" i="4"/>
  <c r="AC290" i="4"/>
  <c r="AC293" i="4"/>
  <c r="AC256" i="4"/>
  <c r="AC259" i="4"/>
  <c r="AC263" i="4"/>
  <c r="AC285" i="4"/>
  <c r="AC287" i="4"/>
  <c r="AC283" i="4"/>
  <c r="AC266" i="4"/>
  <c r="AC251" i="4"/>
  <c r="AC241" i="4"/>
  <c r="AC257" i="4"/>
  <c r="AC85" i="4"/>
  <c r="AC86" i="4"/>
  <c r="AC109" i="4"/>
  <c r="AC119" i="4"/>
  <c r="AC102" i="4"/>
  <c r="AC184" i="4"/>
  <c r="AC47" i="4"/>
  <c r="AC19" i="4"/>
  <c r="AC2" i="4"/>
  <c r="AC269" i="4"/>
  <c r="AC79" i="4"/>
  <c r="AC103" i="4"/>
  <c r="AC28" i="4"/>
  <c r="AC286" i="4"/>
  <c r="AC148" i="4"/>
  <c r="AC149" i="4"/>
  <c r="AC55" i="4"/>
  <c r="AC61" i="4"/>
  <c r="AC51" i="4"/>
  <c r="AC35" i="4"/>
  <c r="AC36" i="4"/>
  <c r="AC37" i="4"/>
  <c r="AC110" i="4"/>
  <c r="AC138" i="4"/>
  <c r="AC152" i="4"/>
  <c r="AC276" i="4"/>
  <c r="AC153" i="4"/>
  <c r="AC291" i="4"/>
  <c r="AC209" i="4"/>
  <c r="AC63" i="4"/>
  <c r="AC120" i="4"/>
  <c r="AC88" i="4"/>
  <c r="AC249" i="4"/>
  <c r="AC81" i="4"/>
  <c r="AC38" i="4"/>
  <c r="AC121" i="4"/>
  <c r="AC39" i="4"/>
  <c r="AC105" i="4"/>
  <c r="AC64" i="4"/>
  <c r="AC170" i="4"/>
  <c r="AC217" i="4"/>
  <c r="AC267" i="4"/>
  <c r="AC56" i="4"/>
  <c r="AC232" i="4"/>
  <c r="AC93" i="4"/>
  <c r="AC41" i="4"/>
  <c r="AC122" i="4"/>
  <c r="AC150" i="4"/>
  <c r="AC65" i="4"/>
  <c r="AC53" i="4"/>
  <c r="AC237" i="4"/>
  <c r="AC220" i="4"/>
  <c r="AC238" i="4"/>
  <c r="AC234" i="4"/>
  <c r="AC171" i="4"/>
  <c r="AC264" i="4"/>
  <c r="AC107" i="4"/>
  <c r="AC189" i="4"/>
  <c r="AC82" i="4"/>
  <c r="AC66" i="4"/>
  <c r="AC67" i="4"/>
  <c r="AC292" i="4"/>
  <c r="AC161" i="4"/>
  <c r="AC282" i="4"/>
  <c r="AC203" i="4"/>
  <c r="AC7" i="4"/>
  <c r="AC124" i="4"/>
  <c r="AC190" i="4"/>
  <c r="AC8" i="4"/>
  <c r="AC43" i="4"/>
  <c r="AC10" i="4"/>
  <c r="AC154" i="4"/>
  <c r="AC155" i="4"/>
  <c r="AC156" i="4"/>
  <c r="AC139" i="4"/>
  <c r="AC162" i="4"/>
  <c r="AC177" i="4"/>
  <c r="AC163" i="4"/>
  <c r="AC192" i="4"/>
  <c r="AC193" i="4"/>
  <c r="AC197" i="4"/>
  <c r="AC223" i="4"/>
  <c r="AC165" i="4"/>
  <c r="AC140" i="4"/>
  <c r="AC157" i="4"/>
  <c r="AC281" i="4"/>
  <c r="AC166" i="4"/>
  <c r="AC71" i="4"/>
  <c r="AC178" i="4"/>
  <c r="AC211" i="4"/>
  <c r="AC179" i="4"/>
  <c r="AC141" i="4"/>
  <c r="AC142" i="4"/>
  <c r="AC143" i="4"/>
  <c r="AC144" i="4"/>
  <c r="AC145" i="4"/>
  <c r="AC252" i="4"/>
  <c r="AC248" i="4"/>
  <c r="AC72" i="4"/>
  <c r="AC73" i="4"/>
  <c r="AC242" i="4"/>
  <c r="AC74" i="4"/>
  <c r="AC111" i="4"/>
  <c r="AC97" i="4"/>
  <c r="AC112" i="4"/>
  <c r="AC83" i="4"/>
  <c r="AC75" i="4"/>
  <c r="AC113" i="4"/>
  <c r="AC114" i="4"/>
  <c r="AC115" i="4"/>
  <c r="AC76" i="4"/>
  <c r="AC99" i="4"/>
  <c r="AC13" i="4"/>
  <c r="AC14" i="4"/>
  <c r="AC44" i="4"/>
  <c r="AC254" i="4"/>
  <c r="AC77" i="4"/>
  <c r="AC108" i="4"/>
  <c r="AC204" i="4"/>
  <c r="AC205" i="4"/>
  <c r="AC60" i="4"/>
  <c r="AC213" i="4"/>
  <c r="AC181" i="4"/>
  <c r="AC207" i="4"/>
  <c r="AC182" i="4"/>
  <c r="AC214" i="4"/>
  <c r="AC215" i="4"/>
  <c r="AC216" i="4"/>
  <c r="AC243" i="4"/>
  <c r="AC244" i="4"/>
  <c r="AC250" i="4"/>
  <c r="AC227" i="4"/>
  <c r="AC258" i="4"/>
  <c r="AC271" i="4"/>
  <c r="AC265" i="4"/>
  <c r="AC253" i="4"/>
  <c r="AC255" i="4"/>
  <c r="AC279" i="4"/>
  <c r="AC289" i="4"/>
  <c r="AC87" i="4"/>
  <c r="AC80" i="4"/>
  <c r="AC219" i="4"/>
  <c r="AC277" i="4"/>
  <c r="AC222" i="4"/>
  <c r="AC6" i="4"/>
  <c r="AC226" i="4"/>
  <c r="AC164" i="4"/>
  <c r="AC212" i="4"/>
  <c r="AC180" i="4"/>
  <c r="AC218" i="4"/>
  <c r="AC195" i="4"/>
  <c r="AC221" i="4"/>
  <c r="AC246" i="4"/>
  <c r="AC229" i="4"/>
  <c r="AC236" i="4"/>
  <c r="AC260" i="4"/>
  <c r="AC167" i="4"/>
  <c r="AC168" i="4"/>
  <c r="AC240" i="4"/>
  <c r="AC210" i="4"/>
  <c r="AC233" i="4"/>
  <c r="AC261" i="4"/>
  <c r="AC272" i="4"/>
  <c r="AC123" i="4"/>
  <c r="AC230" i="4"/>
  <c r="AC158" i="4"/>
  <c r="AC116" i="4"/>
  <c r="AC15" i="4"/>
  <c r="AC151" i="4"/>
  <c r="AC175" i="4"/>
  <c r="AC194" i="4"/>
  <c r="AC101" i="4"/>
  <c r="AC196" i="4"/>
  <c r="AC176" i="4"/>
  <c r="AC191" i="4"/>
  <c r="AC225" i="4"/>
  <c r="AC62" i="4"/>
  <c r="AC57" i="4"/>
  <c r="AC58" i="4"/>
  <c r="AC59" i="4"/>
  <c r="AC69" i="4"/>
  <c r="AC146" i="4"/>
  <c r="AC147" i="4"/>
  <c r="AC78" i="4"/>
  <c r="AC185" i="4"/>
  <c r="AC202" i="4"/>
  <c r="AC274" i="4"/>
  <c r="AC299" i="4"/>
  <c r="AC298" i="4"/>
  <c r="AC296" i="4"/>
  <c r="AC297" i="4"/>
  <c r="AC304" i="4"/>
  <c r="AC305" i="4"/>
  <c r="AC306" i="4"/>
  <c r="AC307" i="4"/>
  <c r="AC308" i="4"/>
  <c r="AC300" i="4"/>
  <c r="AC301" i="4"/>
  <c r="AC302" i="4"/>
  <c r="AC303" i="4"/>
  <c r="AC310" i="4"/>
  <c r="AC309" i="4"/>
  <c r="AC339" i="4"/>
  <c r="AC340" i="4"/>
  <c r="AC323" i="4"/>
  <c r="AC338" i="4"/>
  <c r="AC324" i="4"/>
  <c r="AC325" i="4"/>
  <c r="AC326" i="4"/>
  <c r="AC327" i="4"/>
  <c r="AC331" i="4"/>
  <c r="AC332" i="4"/>
  <c r="AC333" i="4"/>
  <c r="AC334" i="4"/>
  <c r="AC318" i="4"/>
  <c r="AC313" i="4"/>
  <c r="AC314" i="4"/>
  <c r="AC312" i="4"/>
  <c r="AC342" i="4"/>
  <c r="AC343" i="4"/>
  <c r="AC341" i="4"/>
  <c r="AC311" i="4"/>
  <c r="AC320" i="4"/>
  <c r="AC336" i="4"/>
  <c r="AC317" i="4"/>
  <c r="AC335" i="4"/>
  <c r="AC322" i="4"/>
  <c r="AC316" i="4"/>
  <c r="AC315" i="4"/>
  <c r="AC329" i="4"/>
  <c r="AC328" i="4"/>
  <c r="AC337" i="4"/>
  <c r="AC319" i="4"/>
  <c r="AC330" i="4"/>
  <c r="AC321" i="4"/>
  <c r="AC345" i="4"/>
  <c r="AC346" i="4"/>
  <c r="AC347" i="4"/>
  <c r="AC362" i="4"/>
  <c r="AC363" i="4"/>
  <c r="AC364" i="4"/>
  <c r="AC344" i="4"/>
  <c r="AC348" i="4"/>
  <c r="AC349" i="4"/>
  <c r="AC350" i="4"/>
  <c r="AC351" i="4"/>
  <c r="AC352" i="4"/>
  <c r="AC353" i="4"/>
  <c r="AC354" i="4"/>
  <c r="AC355" i="4"/>
  <c r="AC365" i="4"/>
  <c r="AC356" i="4"/>
  <c r="AC357" i="4"/>
  <c r="AC358" i="4"/>
  <c r="AC361" i="4"/>
  <c r="AC359" i="4"/>
  <c r="AC360" i="4"/>
  <c r="AC371" i="4"/>
  <c r="AC367" i="4"/>
  <c r="AC374" i="4"/>
  <c r="AC366" i="4"/>
  <c r="AC368" i="4"/>
  <c r="AC370" i="4"/>
  <c r="AC373" i="4"/>
  <c r="AC376" i="4"/>
  <c r="AC369" i="4"/>
  <c r="AC372" i="4"/>
  <c r="AC375" i="4"/>
  <c r="AC380" i="4"/>
  <c r="AC379" i="4"/>
  <c r="AC378" i="4"/>
  <c r="AC377" i="4"/>
  <c r="AC381" i="4"/>
  <c r="AC382" i="4"/>
  <c r="AC399" i="4"/>
  <c r="AC402" i="4"/>
  <c r="AC386" i="4"/>
  <c r="AC387" i="4"/>
  <c r="AC388" i="4"/>
  <c r="AC389" i="4"/>
  <c r="AC395" i="4"/>
  <c r="AC406" i="4"/>
  <c r="AC396" i="4"/>
  <c r="AC397" i="4"/>
  <c r="AC401" i="4"/>
  <c r="AC384" i="4"/>
  <c r="AC385" i="4"/>
  <c r="AC383" i="4"/>
  <c r="AC391" i="4"/>
  <c r="AC392" i="4"/>
  <c r="AC393" i="4"/>
  <c r="AC394" i="4"/>
  <c r="AC398" i="4"/>
  <c r="AC400" i="4"/>
  <c r="AC403" i="4"/>
  <c r="AC404" i="4"/>
  <c r="AC405" i="4"/>
  <c r="AC390" i="4"/>
  <c r="AD13" i="2"/>
  <c r="AD12" i="2"/>
  <c r="AD11" i="2"/>
  <c r="AD7" i="2"/>
  <c r="AD14" i="2"/>
  <c r="AD10" i="2"/>
  <c r="AD9" i="2"/>
  <c r="AD8" i="2"/>
  <c r="AD18" i="2"/>
  <c r="AD16" i="2"/>
  <c r="AD15" i="2"/>
  <c r="AD17" i="2"/>
  <c r="AD19" i="2"/>
  <c r="AD23" i="2"/>
  <c r="AD25" i="2"/>
  <c r="AD24" i="2"/>
  <c r="AD22" i="2"/>
  <c r="AD26" i="2"/>
  <c r="AD27" i="2"/>
  <c r="AD28" i="2"/>
  <c r="AD30" i="2"/>
  <c r="AD29" i="2"/>
  <c r="AD31" i="2"/>
  <c r="AD34" i="2"/>
  <c r="AD32" i="2"/>
  <c r="AD33" i="2"/>
  <c r="AD35" i="2"/>
  <c r="AD37" i="2"/>
  <c r="AD38" i="2"/>
  <c r="AD4" i="2"/>
  <c r="AD5" i="2"/>
  <c r="AD2" i="2"/>
  <c r="AD3" i="2"/>
  <c r="AD39" i="2"/>
  <c r="AD6" i="2"/>
  <c r="AG6" i="2"/>
  <c r="AD233" i="4"/>
  <c r="AD186" i="4"/>
  <c r="AD187" i="4"/>
  <c r="AD188" i="4"/>
  <c r="AD7" i="4"/>
  <c r="AD61" i="4"/>
  <c r="AD51" i="4"/>
  <c r="AD53" i="4"/>
  <c r="AD264" i="4"/>
  <c r="AD230" i="4"/>
  <c r="AD247" i="4"/>
  <c r="AD169" i="4"/>
  <c r="AD285" i="4"/>
  <c r="AD55" i="4"/>
  <c r="AD274" i="4"/>
  <c r="AD240" i="4"/>
  <c r="AD261" i="4"/>
  <c r="AD217" i="4"/>
  <c r="AD220" i="4"/>
  <c r="AD202" i="4"/>
  <c r="AD6" i="4"/>
  <c r="AD8" i="4"/>
  <c r="AD43" i="4"/>
  <c r="AD5" i="4"/>
  <c r="AD135" i="4"/>
  <c r="AD137" i="4"/>
  <c r="AD273" i="4"/>
  <c r="AD228" i="4"/>
  <c r="AD253" i="4"/>
  <c r="AD284" i="4"/>
  <c r="AD288" i="4"/>
  <c r="AD294" i="4"/>
  <c r="AD295" i="4"/>
  <c r="AD290" i="4"/>
  <c r="AD293" i="4"/>
  <c r="AD266" i="4"/>
  <c r="AD251" i="4"/>
  <c r="AD241" i="4"/>
  <c r="AD286" i="4"/>
  <c r="AD195" i="4"/>
  <c r="AD232" i="4"/>
  <c r="AD234" i="4"/>
  <c r="AD171" i="4"/>
  <c r="AD292" i="4"/>
  <c r="AD172" i="4"/>
  <c r="AD194" i="4"/>
  <c r="AD146" i="4"/>
  <c r="AD147" i="4"/>
  <c r="AD213" i="4"/>
  <c r="AD181" i="4"/>
  <c r="AD207" i="4"/>
  <c r="AD182" i="4"/>
  <c r="AD214" i="4"/>
  <c r="AD215" i="4"/>
  <c r="AD216" i="4"/>
  <c r="AD279" i="4"/>
  <c r="AD289" i="4"/>
  <c r="AD275" i="4"/>
  <c r="AD183" i="4"/>
  <c r="AD256" i="4"/>
  <c r="AD259" i="4"/>
  <c r="AD263" i="4"/>
  <c r="AD257" i="4"/>
  <c r="AD231" i="4"/>
  <c r="AD200" i="4"/>
  <c r="AD62" i="4"/>
  <c r="AD209" i="4"/>
  <c r="AD249" i="4"/>
  <c r="AD219" i="4"/>
  <c r="AD210" i="4"/>
  <c r="AD91" i="4"/>
  <c r="AD170" i="4"/>
  <c r="AD267" i="4"/>
  <c r="AD272" i="4"/>
  <c r="AD41" i="4"/>
  <c r="AD246" i="4"/>
  <c r="AD222" i="4"/>
  <c r="AD161" i="4"/>
  <c r="AD282" i="4"/>
  <c r="AD57" i="4"/>
  <c r="AD58" i="4"/>
  <c r="AD59" i="4"/>
  <c r="AD173" i="4"/>
  <c r="AD174" i="4"/>
  <c r="AD69" i="4"/>
  <c r="AD178" i="4"/>
  <c r="AD211" i="4"/>
  <c r="AD179" i="4"/>
  <c r="AD141" i="4"/>
  <c r="AD142" i="4"/>
  <c r="AD143" i="4"/>
  <c r="AD212" i="4"/>
  <c r="AD144" i="4"/>
  <c r="AD145" i="4"/>
  <c r="AD242" i="4"/>
  <c r="AD262" i="4"/>
  <c r="AD243" i="4"/>
  <c r="AD78" i="4"/>
  <c r="AD227" i="4"/>
  <c r="AD280" i="4"/>
  <c r="AD270" i="4"/>
  <c r="AD268" i="4"/>
  <c r="AD199" i="4"/>
  <c r="AD287" i="4"/>
  <c r="AD283" i="4"/>
  <c r="AD291" i="4"/>
  <c r="AD277" i="4"/>
  <c r="AD278" i="4"/>
  <c r="AD124" i="4"/>
  <c r="AD190" i="4"/>
  <c r="AD54" i="4"/>
  <c r="AD116" i="4"/>
  <c r="AD198" i="4"/>
  <c r="AD84" i="4"/>
  <c r="AD133" i="4"/>
  <c r="AD206" i="4"/>
  <c r="AD271" i="4"/>
  <c r="AD160" i="4"/>
  <c r="AD28" i="4"/>
  <c r="AD110" i="4"/>
  <c r="AD138" i="4"/>
  <c r="AD152" i="4"/>
  <c r="AD201" i="4"/>
  <c r="AD185" i="4"/>
  <c r="AD120" i="4"/>
  <c r="AD208" i="4"/>
  <c r="AD92" i="4"/>
  <c r="AD9" i="4"/>
  <c r="AD10" i="4"/>
  <c r="AD11" i="4"/>
  <c r="AD12" i="4"/>
  <c r="AD125" i="4"/>
  <c r="AD126" i="4"/>
  <c r="AD223" i="4"/>
  <c r="AD129" i="4"/>
  <c r="AD130" i="4"/>
  <c r="AD131" i="4"/>
  <c r="AD132" i="4"/>
  <c r="AD83" i="4"/>
  <c r="AD134" i="4"/>
  <c r="AD136" i="4"/>
  <c r="AD159" i="4"/>
  <c r="AD117" i="4"/>
  <c r="AD258" i="4"/>
  <c r="AD265" i="4"/>
  <c r="AD255" i="4"/>
  <c r="AD101" i="4"/>
  <c r="AD269" i="4"/>
  <c r="AD34" i="4"/>
  <c r="AD149" i="4"/>
  <c r="AD239" i="4"/>
  <c r="AD276" i="4"/>
  <c r="AD87" i="4"/>
  <c r="AD80" i="4"/>
  <c r="AD218" i="4"/>
  <c r="AD150" i="4"/>
  <c r="AD237" i="4"/>
  <c r="AD238" i="4"/>
  <c r="AD196" i="4"/>
  <c r="AD175" i="4"/>
  <c r="AD176" i="4"/>
  <c r="AD191" i="4"/>
  <c r="AD154" i="4"/>
  <c r="AD155" i="4"/>
  <c r="AD156" i="4"/>
  <c r="AD139" i="4"/>
  <c r="AD162" i="4"/>
  <c r="AD177" i="4"/>
  <c r="AD163" i="4"/>
  <c r="AD165" i="4"/>
  <c r="AD140" i="4"/>
  <c r="AD157" i="4"/>
  <c r="AD281" i="4"/>
  <c r="AD127" i="4"/>
  <c r="AD128" i="4"/>
  <c r="AD254" i="4"/>
  <c r="AD180" i="4"/>
  <c r="AD118" i="4"/>
  <c r="AD244" i="4"/>
  <c r="AD250" i="4"/>
  <c r="AD99" i="4"/>
  <c r="AD13" i="4"/>
  <c r="AD14" i="4"/>
  <c r="AD47" i="4"/>
  <c r="AD19" i="4"/>
  <c r="AD2" i="4"/>
  <c r="AD103" i="4"/>
  <c r="AD52" i="4"/>
  <c r="AD88" i="4"/>
  <c r="AD39" i="4"/>
  <c r="AD189" i="4"/>
  <c r="AD82" i="4"/>
  <c r="AD192" i="4"/>
  <c r="AD71" i="4"/>
  <c r="AD225" i="4"/>
  <c r="AD44" i="4"/>
  <c r="AD167" i="4"/>
  <c r="AD168" i="4"/>
  <c r="AD76" i="4"/>
  <c r="AD184" i="4"/>
  <c r="AD245" i="4"/>
  <c r="AD106" i="4"/>
  <c r="AD226" i="4"/>
  <c r="AD164" i="4"/>
  <c r="AD193" i="4"/>
  <c r="AD197" i="4"/>
  <c r="AD204" i="4"/>
  <c r="AD35" i="4"/>
  <c r="AD153" i="4"/>
  <c r="AD93" i="4"/>
  <c r="AD40" i="4"/>
  <c r="AD123" i="4"/>
  <c r="AD203" i="4"/>
  <c r="AD252" i="4"/>
  <c r="AD248" i="4"/>
  <c r="AD72" i="4"/>
  <c r="AD109" i="4"/>
  <c r="AD36" i="4"/>
  <c r="AD37" i="4"/>
  <c r="AD105" i="4"/>
  <c r="AD122" i="4"/>
  <c r="AD221" i="4"/>
  <c r="AD229" i="4"/>
  <c r="AD236" i="4"/>
  <c r="AD260" i="4"/>
  <c r="AD73" i="4"/>
  <c r="AD111" i="4"/>
  <c r="AD97" i="4"/>
  <c r="AD108" i="4"/>
  <c r="AD16" i="4"/>
  <c r="AD85" i="4"/>
  <c r="AD86" i="4"/>
  <c r="AD119" i="4"/>
  <c r="AD102" i="4"/>
  <c r="AD4" i="4"/>
  <c r="AD79" i="4"/>
  <c r="AD29" i="4"/>
  <c r="AD81" i="4"/>
  <c r="AD89" i="4"/>
  <c r="AD38" i="4"/>
  <c r="AD64" i="4"/>
  <c r="AD65" i="4"/>
  <c r="AD94" i="4"/>
  <c r="AD107" i="4"/>
  <c r="AD95" i="4"/>
  <c r="AD96" i="4"/>
  <c r="AD112" i="4"/>
  <c r="AD98" i="4"/>
  <c r="AD113" i="4"/>
  <c r="AD114" i="4"/>
  <c r="AD115" i="4"/>
  <c r="AD46" i="4"/>
  <c r="AD20" i="4"/>
  <c r="AD48" i="4"/>
  <c r="AD22" i="4"/>
  <c r="AD23" i="4"/>
  <c r="AD49" i="4"/>
  <c r="AD24" i="4"/>
  <c r="AD26" i="4"/>
  <c r="AD17" i="4"/>
  <c r="AD18" i="4"/>
  <c r="AD30" i="4"/>
  <c r="AD31" i="4"/>
  <c r="AD32" i="4"/>
  <c r="AD33" i="4"/>
  <c r="AD50" i="4"/>
  <c r="AD235" i="4"/>
  <c r="AD151" i="4"/>
  <c r="AD148" i="4"/>
  <c r="AD104" i="4"/>
  <c r="AD56" i="4"/>
  <c r="AD66" i="4"/>
  <c r="AD67" i="4"/>
  <c r="AD68" i="4"/>
  <c r="AD205" i="4"/>
  <c r="AD60" i="4"/>
  <c r="AD100" i="4"/>
  <c r="AD15" i="4"/>
  <c r="AD45" i="4"/>
  <c r="AD21" i="4"/>
  <c r="AD25" i="4"/>
  <c r="AD27" i="4"/>
  <c r="AD3" i="4"/>
  <c r="AD121" i="4"/>
  <c r="AD42" i="4"/>
  <c r="AD70" i="4"/>
  <c r="AD74" i="4"/>
  <c r="AD158" i="4"/>
  <c r="AD77" i="4"/>
  <c r="AD90" i="4"/>
  <c r="AD63" i="4"/>
  <c r="AD75" i="4"/>
  <c r="AD166" i="4"/>
  <c r="AD306" i="4"/>
  <c r="AD304" i="4"/>
  <c r="AD305" i="4"/>
  <c r="AD307" i="4"/>
  <c r="AD308" i="4"/>
  <c r="AD296" i="4"/>
  <c r="AD297" i="4"/>
  <c r="AD298" i="4"/>
  <c r="AD299" i="4"/>
  <c r="AD310" i="4"/>
  <c r="AD300" i="4"/>
  <c r="AD301" i="4"/>
  <c r="AD302" i="4"/>
  <c r="AD303" i="4"/>
  <c r="AD309" i="4"/>
  <c r="AD338" i="4"/>
  <c r="AD336" i="4"/>
  <c r="AD323" i="4"/>
  <c r="AD324" i="4"/>
  <c r="AD325" i="4"/>
  <c r="AD326" i="4"/>
  <c r="AD320" i="4"/>
  <c r="AD317" i="4"/>
  <c r="AD315" i="4"/>
  <c r="AD331" i="4"/>
  <c r="AD332" i="4"/>
  <c r="AD333" i="4"/>
  <c r="AD334" i="4"/>
  <c r="AD335" i="4"/>
  <c r="AD313" i="4"/>
  <c r="AD314" i="4"/>
  <c r="AD312" i="4"/>
  <c r="AD322" i="4"/>
  <c r="AD316" i="4"/>
  <c r="AD339" i="4"/>
  <c r="AD340" i="4"/>
  <c r="AD328" i="4"/>
  <c r="AD337" i="4"/>
  <c r="AD329" i="4"/>
  <c r="AD319" i="4"/>
  <c r="AD330" i="4"/>
  <c r="AD318" i="4"/>
  <c r="AD311" i="4"/>
  <c r="AD342" i="4"/>
  <c r="AD343" i="4"/>
  <c r="AD341" i="4"/>
  <c r="AD321" i="4"/>
  <c r="AD327" i="4"/>
  <c r="AD348" i="4"/>
  <c r="AD352" i="4"/>
  <c r="AD345" i="4"/>
  <c r="AD344" i="4"/>
  <c r="AD356" i="4"/>
  <c r="AD357" i="4"/>
  <c r="AD358" i="4"/>
  <c r="AD361" i="4"/>
  <c r="AD365" i="4"/>
  <c r="AD359" i="4"/>
  <c r="AD360" i="4"/>
  <c r="AD349" i="4"/>
  <c r="AD350" i="4"/>
  <c r="AD346" i="4"/>
  <c r="AD347" i="4"/>
  <c r="AD363" i="4"/>
  <c r="AD362" i="4"/>
  <c r="AD364" i="4"/>
  <c r="AD351" i="4"/>
  <c r="AD353" i="4"/>
  <c r="AD354" i="4"/>
  <c r="AD355" i="4"/>
  <c r="AD370" i="4"/>
  <c r="AD371" i="4"/>
  <c r="AD375" i="4"/>
  <c r="AD368" i="4"/>
  <c r="AD369" i="4"/>
  <c r="AD372" i="4"/>
  <c r="AD373" i="4"/>
  <c r="AD367" i="4"/>
  <c r="AD374" i="4"/>
  <c r="AD366" i="4"/>
  <c r="AD376" i="4"/>
  <c r="AD381" i="4"/>
  <c r="AD380" i="4"/>
  <c r="AD377" i="4"/>
  <c r="AD379" i="4"/>
  <c r="AD378" i="4"/>
  <c r="AD406" i="4"/>
  <c r="AD385" i="4"/>
  <c r="AD383" i="4"/>
  <c r="AD382" i="4"/>
  <c r="AD391" i="4"/>
  <c r="AD392" i="4"/>
  <c r="AD393" i="4"/>
  <c r="AD398" i="4"/>
  <c r="AD399" i="4"/>
  <c r="AD384" i="4"/>
  <c r="AD386" i="4"/>
  <c r="AD387" i="4"/>
  <c r="AD388" i="4"/>
  <c r="AD389" i="4"/>
  <c r="AD390" i="4"/>
  <c r="AD394" i="4"/>
  <c r="AD395" i="4"/>
  <c r="AD396" i="4"/>
  <c r="AD397" i="4"/>
  <c r="AD400" i="4"/>
  <c r="AD401" i="4"/>
  <c r="AD402" i="4"/>
  <c r="AD403" i="4"/>
  <c r="AD404" i="4"/>
  <c r="AD405" i="4"/>
  <c r="AD224" i="4"/>
  <c r="AG13" i="2"/>
  <c r="AG12" i="2"/>
  <c r="AG11" i="2"/>
  <c r="AG7" i="2"/>
  <c r="AG14" i="2"/>
  <c r="AG10" i="2"/>
  <c r="AG9" i="2"/>
  <c r="AG8" i="2"/>
  <c r="AG18" i="2"/>
  <c r="AG16" i="2"/>
  <c r="AG15" i="2"/>
  <c r="AG17" i="2"/>
  <c r="AG19" i="2"/>
  <c r="AG21" i="2"/>
  <c r="AG20" i="2"/>
  <c r="AG23" i="2"/>
  <c r="AG25" i="2"/>
  <c r="AG24" i="2"/>
  <c r="AG22" i="2"/>
  <c r="AG26" i="2"/>
  <c r="AG27" i="2"/>
  <c r="AG28" i="2"/>
  <c r="AG30" i="2"/>
  <c r="AG29" i="2"/>
  <c r="AG31" i="2"/>
  <c r="AG34" i="2"/>
  <c r="AG32" i="2"/>
  <c r="AG35" i="2"/>
  <c r="AG37" i="2"/>
  <c r="AG38" i="2"/>
  <c r="AG4" i="2"/>
  <c r="AG5" i="2"/>
  <c r="AG2" i="2"/>
  <c r="AG3" i="2"/>
  <c r="AG39" i="2"/>
  <c r="AE379" i="4"/>
  <c r="AE378" i="4"/>
  <c r="AE381" i="4"/>
  <c r="AE377" i="4"/>
  <c r="AE380" i="4"/>
  <c r="AE384" i="4"/>
  <c r="AE385" i="4"/>
  <c r="AE383" i="4"/>
  <c r="AE382" i="4"/>
  <c r="AE386" i="4"/>
  <c r="AE387" i="4"/>
  <c r="AE388" i="4"/>
  <c r="AE389" i="4"/>
  <c r="AE390" i="4"/>
  <c r="AE391" i="4"/>
  <c r="AE392" i="4"/>
  <c r="AE393" i="4"/>
  <c r="AE394" i="4"/>
  <c r="AE395" i="4"/>
  <c r="AE406" i="4"/>
  <c r="AE396" i="4"/>
  <c r="AE397" i="4"/>
  <c r="AE398" i="4"/>
  <c r="AE399" i="4"/>
  <c r="AE400" i="4"/>
  <c r="AE401" i="4"/>
  <c r="AE402" i="4"/>
  <c r="AE403" i="4"/>
  <c r="AE404" i="4"/>
  <c r="AE405" i="4"/>
  <c r="AG296" i="4"/>
  <c r="AG297" i="4"/>
  <c r="AG298" i="4"/>
  <c r="AG299" i="4"/>
  <c r="AG304" i="4"/>
  <c r="AG300" i="4"/>
  <c r="AG301" i="4"/>
  <c r="AG302" i="4"/>
  <c r="AG303" i="4"/>
  <c r="AG305" i="4"/>
  <c r="AG309" i="4"/>
  <c r="AG310" i="4"/>
  <c r="AG306" i="4"/>
  <c r="AG307" i="4"/>
  <c r="AG308" i="4"/>
  <c r="AG342" i="4"/>
  <c r="AG343" i="4"/>
  <c r="AG341" i="4"/>
  <c r="AG339" i="4"/>
  <c r="AG340" i="4"/>
  <c r="AG323" i="4"/>
  <c r="AG338" i="4"/>
  <c r="AG324" i="4"/>
  <c r="AG325" i="4"/>
  <c r="AG326" i="4"/>
  <c r="AG327" i="4"/>
  <c r="AG328" i="4"/>
  <c r="AG337" i="4"/>
  <c r="AG329" i="4"/>
  <c r="AG319" i="4"/>
  <c r="AG330" i="4"/>
  <c r="AG311" i="4"/>
  <c r="AG320" i="4"/>
  <c r="AG336" i="4"/>
  <c r="AG317" i="4"/>
  <c r="AG321" i="4"/>
  <c r="AG331" i="4"/>
  <c r="AG332" i="4"/>
  <c r="AG333" i="4"/>
  <c r="AG334" i="4"/>
  <c r="AG318" i="4"/>
  <c r="AG313" i="4"/>
  <c r="AG314" i="4"/>
  <c r="AG312" i="4"/>
  <c r="AG322" i="4"/>
  <c r="AG316" i="4"/>
  <c r="AG315" i="4"/>
  <c r="AG335" i="4"/>
  <c r="AG345" i="4"/>
  <c r="AG359" i="4"/>
  <c r="AG360" i="4"/>
  <c r="AG361" i="4"/>
  <c r="AG346" i="4"/>
  <c r="AG347" i="4"/>
  <c r="AG362" i="4"/>
  <c r="AG363" i="4"/>
  <c r="AG364" i="4"/>
  <c r="AG344" i="4"/>
  <c r="AG348" i="4"/>
  <c r="AG349" i="4"/>
  <c r="AG350" i="4"/>
  <c r="AG351" i="4"/>
  <c r="AG352" i="4"/>
  <c r="AG353" i="4"/>
  <c r="AG354" i="4"/>
  <c r="AG355" i="4"/>
  <c r="AG365" i="4"/>
  <c r="AG356" i="4"/>
  <c r="AG357" i="4"/>
  <c r="AG358" i="4"/>
  <c r="AG366" i="4"/>
  <c r="AG367" i="4"/>
  <c r="AG368" i="4"/>
  <c r="AG369" i="4"/>
  <c r="AG370" i="4"/>
  <c r="AG371" i="4"/>
  <c r="AG372" i="4"/>
  <c r="AG373" i="4"/>
  <c r="AG375" i="4"/>
  <c r="AG374" i="4"/>
  <c r="AG376" i="4"/>
  <c r="AG379" i="4"/>
  <c r="AG378" i="4"/>
  <c r="AG381" i="4"/>
  <c r="AG377" i="4"/>
  <c r="AG380" i="4"/>
  <c r="AG384" i="4"/>
  <c r="AG385" i="4"/>
  <c r="AG383" i="4"/>
  <c r="AG382" i="4"/>
  <c r="AG386" i="4"/>
  <c r="AG387" i="4"/>
  <c r="AG388" i="4"/>
  <c r="AG389" i="4"/>
  <c r="AG390" i="4"/>
  <c r="AG391" i="4"/>
  <c r="AG392" i="4"/>
  <c r="AG393" i="4"/>
  <c r="AG394" i="4"/>
  <c r="AG395" i="4"/>
  <c r="AG406" i="4"/>
  <c r="AG396" i="4"/>
  <c r="AG397" i="4"/>
  <c r="AG398" i="4"/>
  <c r="AG399" i="4"/>
  <c r="AG400" i="4"/>
  <c r="AG401" i="4"/>
  <c r="AG402" i="4"/>
  <c r="AG403" i="4"/>
  <c r="AG404" i="4"/>
  <c r="AG405" i="4"/>
  <c r="AE228" i="4"/>
  <c r="AE259" i="4"/>
  <c r="AE263" i="4"/>
  <c r="AE266" i="4"/>
  <c r="AE251" i="4"/>
  <c r="AE241" i="4"/>
  <c r="AE257" i="4"/>
  <c r="AE245" i="4"/>
  <c r="AE235" i="4"/>
  <c r="AE209" i="4"/>
  <c r="AE237" i="4"/>
  <c r="AE161" i="4"/>
  <c r="AE146" i="4"/>
  <c r="AE147" i="4"/>
  <c r="AE213" i="4"/>
  <c r="AE284" i="4"/>
  <c r="AE288" i="4"/>
  <c r="AE290" i="4"/>
  <c r="AE292" i="4"/>
  <c r="AE249" i="4"/>
  <c r="AE267" i="4"/>
  <c r="AE240" i="4"/>
  <c r="AE195" i="4"/>
  <c r="AE231" i="4"/>
  <c r="AE200" i="4"/>
  <c r="AE208" i="4"/>
  <c r="AE187" i="4"/>
  <c r="AE172" i="4"/>
  <c r="AE173" i="4"/>
  <c r="AE174" i="4"/>
  <c r="AE294" i="4"/>
  <c r="AE295" i="4"/>
  <c r="AE293" i="4"/>
  <c r="AE282" i="4"/>
  <c r="AE278" i="4"/>
  <c r="AE279" i="4"/>
  <c r="AE287" i="4"/>
  <c r="AE283" i="4"/>
  <c r="AE286" i="4"/>
  <c r="AE289" i="4"/>
  <c r="AE232" i="4"/>
  <c r="AE246" i="4"/>
  <c r="AE233" i="4"/>
  <c r="AE238" i="4"/>
  <c r="AE202" i="4"/>
  <c r="AE179" i="4"/>
  <c r="AE141" i="4"/>
  <c r="AE143" i="4"/>
  <c r="AE212" i="4"/>
  <c r="AE144" i="4"/>
  <c r="AE145" i="4"/>
  <c r="AE178" i="4"/>
  <c r="AE211" i="4"/>
  <c r="AE142" i="4"/>
  <c r="AE280" i="4"/>
  <c r="AE270" i="4"/>
  <c r="AE268" i="4"/>
  <c r="AE273" i="4"/>
  <c r="AE275" i="4"/>
  <c r="AE253" i="4"/>
  <c r="AE247" i="4"/>
  <c r="AE255" i="4"/>
  <c r="AE256" i="4"/>
  <c r="AE285" i="4"/>
  <c r="AE224" i="4"/>
  <c r="AE261" i="4"/>
  <c r="AE116" i="4"/>
  <c r="AE181" i="4"/>
  <c r="AE207" i="4"/>
  <c r="AE182" i="4"/>
  <c r="AE214" i="4"/>
  <c r="AE215" i="4"/>
  <c r="AE216" i="4"/>
  <c r="AE186" i="4"/>
  <c r="AE188" i="4"/>
  <c r="AE198" i="4"/>
  <c r="AE84" i="4"/>
  <c r="AE133" i="4"/>
  <c r="AE134" i="4"/>
  <c r="AE206" i="4"/>
  <c r="AE101" i="4"/>
  <c r="AE196" i="4"/>
  <c r="AE175" i="4"/>
  <c r="AE191" i="4"/>
  <c r="AE183" i="4"/>
  <c r="AE199" i="4"/>
  <c r="AE160" i="4"/>
  <c r="AE169" i="4"/>
  <c r="AE62" i="4"/>
  <c r="AE58" i="4"/>
  <c r="AE69" i="4"/>
  <c r="AE176" i="4"/>
  <c r="AE158" i="4"/>
  <c r="AE78" i="4"/>
  <c r="AE258" i="4"/>
  <c r="AE271" i="4"/>
  <c r="AE265" i="4"/>
  <c r="AE219" i="4"/>
  <c r="AE272" i="4"/>
  <c r="AE222" i="4"/>
  <c r="AE59" i="4"/>
  <c r="AE138" i="4"/>
  <c r="AE152" i="4"/>
  <c r="AE52" i="4"/>
  <c r="AE104" i="4"/>
  <c r="AE203" i="4"/>
  <c r="AE124" i="4"/>
  <c r="AE125" i="4"/>
  <c r="AE132" i="4"/>
  <c r="AE159" i="4"/>
  <c r="AE117" i="4"/>
  <c r="AE243" i="4"/>
  <c r="AE118" i="4"/>
  <c r="AE227" i="4"/>
  <c r="AE151" i="4"/>
  <c r="AE148" i="4"/>
  <c r="AE239" i="4"/>
  <c r="AE110" i="4"/>
  <c r="AE87" i="4"/>
  <c r="AE40" i="4"/>
  <c r="AE42" i="4"/>
  <c r="AE6" i="4"/>
  <c r="AE9" i="4"/>
  <c r="AE11" i="4"/>
  <c r="AE12" i="4"/>
  <c r="AE155" i="4"/>
  <c r="AE129" i="4"/>
  <c r="AE72" i="4"/>
  <c r="AE47" i="4"/>
  <c r="AE201" i="4"/>
  <c r="AE130" i="4"/>
  <c r="AE131" i="4"/>
  <c r="AE135" i="4"/>
  <c r="AE136" i="4"/>
  <c r="AE244" i="4"/>
  <c r="AE250" i="4"/>
  <c r="AE190" i="4"/>
  <c r="AE126" i="4"/>
  <c r="AE127" i="4"/>
  <c r="AE128" i="4"/>
  <c r="AE44" i="4"/>
  <c r="AE262" i="4"/>
  <c r="AE137" i="4"/>
  <c r="AE61" i="4"/>
  <c r="AE51" i="4"/>
  <c r="AE121" i="4"/>
  <c r="AE92" i="4"/>
  <c r="AE106" i="4"/>
  <c r="AE53" i="4"/>
  <c r="AE94" i="4"/>
  <c r="AE95" i="4"/>
  <c r="AE68" i="4"/>
  <c r="AE96" i="4"/>
  <c r="AE8" i="4"/>
  <c r="AE83" i="4"/>
  <c r="AE76" i="4"/>
  <c r="AE99" i="4"/>
  <c r="AE13" i="4"/>
  <c r="AE14" i="4"/>
  <c r="AE184" i="4"/>
  <c r="AE269" i="4"/>
  <c r="AE149" i="4"/>
  <c r="AE276" i="4"/>
  <c r="AE185" i="4"/>
  <c r="AE218" i="4"/>
  <c r="AE210" i="4"/>
  <c r="AE170" i="4"/>
  <c r="AE217" i="4"/>
  <c r="AE150" i="4"/>
  <c r="AE220" i="4"/>
  <c r="AE234" i="4"/>
  <c r="AE171" i="4"/>
  <c r="AE264" i="4"/>
  <c r="AE189" i="4"/>
  <c r="AE156" i="4"/>
  <c r="AE139" i="4"/>
  <c r="AE162" i="4"/>
  <c r="AE177" i="4"/>
  <c r="AE163" i="4"/>
  <c r="AE192" i="4"/>
  <c r="AE193" i="4"/>
  <c r="AE197" i="4"/>
  <c r="AE223" i="4"/>
  <c r="AE165" i="4"/>
  <c r="AE140" i="4"/>
  <c r="AE157" i="4"/>
  <c r="AE281" i="4"/>
  <c r="AE166" i="4"/>
  <c r="AE252" i="4"/>
  <c r="AE248" i="4"/>
  <c r="AE242" i="4"/>
  <c r="AE167" i="4"/>
  <c r="AE168" i="4"/>
  <c r="AE180" i="4"/>
  <c r="AE204" i="4"/>
  <c r="AE153" i="4"/>
  <c r="AE120" i="4"/>
  <c r="AE88" i="4"/>
  <c r="AE221" i="4"/>
  <c r="AE154" i="4"/>
  <c r="AE226" i="4"/>
  <c r="AE164" i="4"/>
  <c r="AE229" i="4"/>
  <c r="AE236" i="4"/>
  <c r="AE260" i="4"/>
  <c r="AE225" i="4"/>
  <c r="AE230" i="4"/>
  <c r="AE90" i="4"/>
  <c r="AE81" i="4"/>
  <c r="AE122" i="4"/>
  <c r="AE123" i="4"/>
  <c r="AE107" i="4"/>
  <c r="AE113" i="4"/>
  <c r="AE114" i="4"/>
  <c r="AE115" i="4"/>
  <c r="AE254" i="4"/>
  <c r="AE108" i="4"/>
  <c r="AE15" i="4"/>
  <c r="AE3" i="4"/>
  <c r="AE16" i="4"/>
  <c r="AE18" i="4"/>
  <c r="AE20" i="4"/>
  <c r="AE21" i="4"/>
  <c r="AE48" i="4"/>
  <c r="AE22" i="4"/>
  <c r="AE23" i="4"/>
  <c r="AE49" i="4"/>
  <c r="AE24" i="4"/>
  <c r="AE25" i="4"/>
  <c r="AE26" i="4"/>
  <c r="AE27" i="4"/>
  <c r="AE4" i="4"/>
  <c r="AE29" i="4"/>
  <c r="AE30" i="4"/>
  <c r="AE31" i="4"/>
  <c r="AE34" i="4"/>
  <c r="AE291" i="4"/>
  <c r="AE80" i="4"/>
  <c r="AE46" i="4"/>
  <c r="AE17" i="4"/>
  <c r="AE85" i="4"/>
  <c r="AE86" i="4"/>
  <c r="AE109" i="4"/>
  <c r="AE119" i="4"/>
  <c r="AE102" i="4"/>
  <c r="AE19" i="4"/>
  <c r="AE28" i="4"/>
  <c r="AE38" i="4"/>
  <c r="AE39" i="4"/>
  <c r="AE105" i="4"/>
  <c r="AE56" i="4"/>
  <c r="AE41" i="4"/>
  <c r="AE57" i="4"/>
  <c r="AE54" i="4"/>
  <c r="AE5" i="4"/>
  <c r="AE10" i="4"/>
  <c r="AE71" i="4"/>
  <c r="AE205" i="4"/>
  <c r="AE60" i="4"/>
  <c r="AE2" i="4"/>
  <c r="AE32" i="4"/>
  <c r="AE33" i="4"/>
  <c r="AE50" i="4"/>
  <c r="AE35" i="4"/>
  <c r="AE36" i="4"/>
  <c r="AE37" i="4"/>
  <c r="AE70" i="4"/>
  <c r="AE274" i="4"/>
  <c r="AE277" i="4"/>
  <c r="AE45" i="4"/>
  <c r="AE79" i="4"/>
  <c r="AE103" i="4"/>
  <c r="AE63" i="4"/>
  <c r="AE89" i="4"/>
  <c r="AE64" i="4"/>
  <c r="AE91" i="4"/>
  <c r="AE93" i="4"/>
  <c r="AE65" i="4"/>
  <c r="AE82" i="4"/>
  <c r="AE66" i="4"/>
  <c r="AE67" i="4"/>
  <c r="AE7" i="4"/>
  <c r="AE43" i="4"/>
  <c r="AE73" i="4"/>
  <c r="AE74" i="4"/>
  <c r="AE111" i="4"/>
  <c r="AE97" i="4"/>
  <c r="AE112" i="4"/>
  <c r="AE98" i="4"/>
  <c r="AE75" i="4"/>
  <c r="AE194" i="4"/>
  <c r="AE77" i="4"/>
  <c r="AE100" i="4"/>
  <c r="AE296" i="4"/>
  <c r="AE297" i="4"/>
  <c r="AE298" i="4"/>
  <c r="AE299" i="4"/>
  <c r="AE304" i="4"/>
  <c r="AE300" i="4"/>
  <c r="AE301" i="4"/>
  <c r="AE302" i="4"/>
  <c r="AE303" i="4"/>
  <c r="AE305" i="4"/>
  <c r="AE309" i="4"/>
  <c r="AE310" i="4"/>
  <c r="AE306" i="4"/>
  <c r="AE307" i="4"/>
  <c r="AE308" i="4"/>
  <c r="AE342" i="4"/>
  <c r="AE343" i="4"/>
  <c r="AE341" i="4"/>
  <c r="AE339" i="4"/>
  <c r="AE340" i="4"/>
  <c r="AE323" i="4"/>
  <c r="AE338" i="4"/>
  <c r="AE324" i="4"/>
  <c r="AE325" i="4"/>
  <c r="AE326" i="4"/>
  <c r="AE327" i="4"/>
  <c r="AE328" i="4"/>
  <c r="AE337" i="4"/>
  <c r="AE329" i="4"/>
  <c r="AE319" i="4"/>
  <c r="AE330" i="4"/>
  <c r="AE311" i="4"/>
  <c r="AE320" i="4"/>
  <c r="AE336" i="4"/>
  <c r="AE317" i="4"/>
  <c r="AE321" i="4"/>
  <c r="AE331" i="4"/>
  <c r="AE332" i="4"/>
  <c r="AE333" i="4"/>
  <c r="AE334" i="4"/>
  <c r="AE318" i="4"/>
  <c r="AE313" i="4"/>
  <c r="AE314" i="4"/>
  <c r="AE312" i="4"/>
  <c r="AE322" i="4"/>
  <c r="AE316" i="4"/>
  <c r="AE315" i="4"/>
  <c r="AE335" i="4"/>
  <c r="AE345" i="4"/>
  <c r="AE359" i="4"/>
  <c r="AE360" i="4"/>
  <c r="AE361" i="4"/>
  <c r="AE346" i="4"/>
  <c r="AE347" i="4"/>
  <c r="AE362" i="4"/>
  <c r="AE363" i="4"/>
  <c r="AE364" i="4"/>
  <c r="AE344" i="4"/>
  <c r="AE348" i="4"/>
  <c r="AE349" i="4"/>
  <c r="AE350" i="4"/>
  <c r="AE351" i="4"/>
  <c r="AE352" i="4"/>
  <c r="AE353" i="4"/>
  <c r="AE354" i="4"/>
  <c r="AE355" i="4"/>
  <c r="AE365" i="4"/>
  <c r="AE356" i="4"/>
  <c r="AE357" i="4"/>
  <c r="AE358" i="4"/>
  <c r="AE366" i="4"/>
  <c r="AE367" i="4"/>
  <c r="AE368" i="4"/>
  <c r="AE369" i="4"/>
  <c r="AE370" i="4"/>
  <c r="AE371" i="4"/>
  <c r="AE372" i="4"/>
  <c r="AE373" i="4"/>
  <c r="AE375" i="4"/>
  <c r="AE374" i="4"/>
  <c r="AE376" i="4"/>
  <c r="AE55" i="4"/>
  <c r="B406" i="5"/>
  <c r="AM406" i="5"/>
  <c r="AP406" i="5"/>
  <c r="B245" i="5"/>
  <c r="AM245" i="5"/>
  <c r="AP245" i="5"/>
  <c r="B258" i="5"/>
  <c r="AM258" i="5"/>
  <c r="AP258" i="5"/>
  <c r="B234" i="5"/>
  <c r="AM234" i="5"/>
  <c r="AP234" i="5"/>
  <c r="B288" i="5"/>
  <c r="AM288" i="5"/>
  <c r="AP288" i="5"/>
  <c r="B280" i="5"/>
  <c r="AM280" i="5"/>
  <c r="AP280" i="5"/>
  <c r="B55" i="5"/>
  <c r="AM55" i="5"/>
  <c r="AP55" i="5"/>
  <c r="AK5" i="2"/>
  <c r="AK4" i="2"/>
  <c r="AK2" i="2"/>
  <c r="AK3" i="2"/>
  <c r="AK39" i="2"/>
  <c r="AN43" i="2"/>
  <c r="AN42" i="2"/>
  <c r="AN44" i="2"/>
  <c r="AN49" i="2"/>
  <c r="AN46" i="2"/>
  <c r="AN45" i="2"/>
  <c r="AN47" i="2"/>
  <c r="AN48" i="2"/>
  <c r="AN50" i="2"/>
  <c r="AN52" i="2"/>
  <c r="AN51" i="2"/>
  <c r="AN53" i="2"/>
  <c r="AN54" i="2"/>
  <c r="AO43" i="2"/>
  <c r="AO42" i="2"/>
  <c r="AO44" i="2"/>
  <c r="AO49" i="2"/>
  <c r="AO46" i="2"/>
  <c r="AO45" i="2"/>
  <c r="AO47" i="2"/>
  <c r="AO48" i="2"/>
  <c r="AO50" i="2"/>
  <c r="AO52" i="2"/>
  <c r="AO51" i="2"/>
  <c r="AO53" i="2"/>
  <c r="AO54" i="2"/>
  <c r="AP43" i="2"/>
  <c r="AP42" i="2"/>
  <c r="AP44" i="2"/>
  <c r="AP49" i="2"/>
  <c r="AP46" i="2"/>
  <c r="AP45" i="2"/>
  <c r="AP47" i="2"/>
  <c r="AP48" i="2"/>
  <c r="AP50" i="2"/>
  <c r="AP52" i="2"/>
  <c r="AP51" i="2"/>
  <c r="AP53" i="2"/>
  <c r="AP54" i="2"/>
  <c r="AQ43" i="2"/>
  <c r="AQ42" i="2"/>
  <c r="AQ44" i="2"/>
  <c r="AQ49" i="2"/>
  <c r="AQ46" i="2"/>
  <c r="AQ45" i="2"/>
  <c r="AQ47" i="2"/>
  <c r="AQ48" i="2"/>
  <c r="AQ50" i="2"/>
  <c r="AQ52" i="2"/>
  <c r="AQ51" i="2"/>
  <c r="AQ53" i="2"/>
  <c r="AQ54" i="2"/>
  <c r="AR43" i="2"/>
  <c r="AR42" i="2"/>
  <c r="AR44" i="2"/>
  <c r="AR49" i="2"/>
  <c r="AR46" i="2"/>
  <c r="AR45" i="2"/>
  <c r="AR47" i="2"/>
  <c r="AR48" i="2"/>
  <c r="AR50" i="2"/>
  <c r="AR52" i="2"/>
  <c r="AR51" i="2"/>
  <c r="AR53" i="2"/>
  <c r="AR54" i="2"/>
  <c r="AS43" i="2"/>
  <c r="AS42" i="2"/>
  <c r="AS44" i="2"/>
  <c r="AS49" i="2"/>
  <c r="AS46" i="2"/>
  <c r="AS45" i="2"/>
  <c r="AS47" i="2"/>
  <c r="AS48" i="2"/>
  <c r="AS50" i="2"/>
  <c r="AS52" i="2"/>
  <c r="AS51" i="2"/>
  <c r="AS53" i="2"/>
  <c r="AS54" i="2"/>
  <c r="AT43" i="2"/>
  <c r="AT42" i="2"/>
  <c r="AT44" i="2"/>
  <c r="AT49" i="2"/>
  <c r="AT46" i="2"/>
  <c r="AT45" i="2"/>
  <c r="AT47" i="2"/>
  <c r="AT48" i="2"/>
  <c r="AT50" i="2"/>
  <c r="AT52" i="2"/>
  <c r="AT51" i="2"/>
  <c r="AT53" i="2"/>
  <c r="AT54" i="2"/>
  <c r="AU43" i="2"/>
  <c r="AU42" i="2"/>
  <c r="AU44" i="2"/>
  <c r="AU49" i="2"/>
  <c r="AU46" i="2"/>
  <c r="AU45" i="2"/>
  <c r="AU47" i="2"/>
  <c r="AU48" i="2"/>
  <c r="AU50" i="2"/>
  <c r="AU52" i="2"/>
  <c r="AU51" i="2"/>
  <c r="AU53" i="2"/>
  <c r="AU54" i="2"/>
  <c r="AV43" i="2"/>
  <c r="AV42" i="2"/>
  <c r="AV44" i="2"/>
  <c r="AV49" i="2"/>
  <c r="AV46" i="2"/>
  <c r="AV45" i="2"/>
  <c r="AV47" i="2"/>
  <c r="AV48" i="2"/>
  <c r="AV50" i="2"/>
  <c r="AV52" i="2"/>
  <c r="AV51" i="2"/>
  <c r="AV53" i="2"/>
  <c r="AV54" i="2"/>
  <c r="AW43" i="2"/>
  <c r="AW42" i="2"/>
  <c r="AW44" i="2"/>
  <c r="AW49" i="2"/>
  <c r="AW46" i="2"/>
  <c r="AW45" i="2"/>
  <c r="AW47" i="2"/>
  <c r="AW48" i="2"/>
  <c r="AW50" i="2"/>
  <c r="AW52" i="2"/>
  <c r="AW51" i="2"/>
  <c r="AW53" i="2"/>
  <c r="AW54" i="2"/>
  <c r="AX43" i="2"/>
  <c r="AX42" i="2"/>
  <c r="AX44" i="2"/>
  <c r="AX49" i="2"/>
  <c r="AX46" i="2"/>
  <c r="AX45" i="2"/>
  <c r="AX47" i="2"/>
  <c r="AX48" i="2"/>
  <c r="AX50" i="2"/>
  <c r="AX52" i="2"/>
  <c r="AX51" i="2"/>
  <c r="AX53" i="2"/>
  <c r="AX54" i="2"/>
  <c r="AY43" i="2"/>
  <c r="AY42" i="2"/>
  <c r="AY44" i="2"/>
  <c r="AY49" i="2"/>
  <c r="AY46" i="2"/>
  <c r="AY45" i="2"/>
  <c r="AY47" i="2"/>
  <c r="AY48" i="2"/>
  <c r="AY50" i="2"/>
  <c r="AY52" i="2"/>
  <c r="AY51" i="2"/>
  <c r="AY53" i="2"/>
  <c r="AY54" i="2"/>
  <c r="AZ43" i="2"/>
  <c r="AZ42" i="2"/>
  <c r="AZ44" i="2"/>
  <c r="AZ49" i="2"/>
  <c r="AZ46" i="2"/>
  <c r="AZ45" i="2"/>
  <c r="AZ47" i="2"/>
  <c r="AZ48" i="2"/>
  <c r="AZ50" i="2"/>
  <c r="AZ52" i="2"/>
  <c r="AZ51" i="2"/>
  <c r="AZ53" i="2"/>
  <c r="AZ54" i="2"/>
  <c r="BA43" i="2"/>
  <c r="BA42" i="2"/>
  <c r="BA44" i="2"/>
  <c r="BA49" i="2"/>
  <c r="BA46" i="2"/>
  <c r="BA45" i="2"/>
  <c r="BA47" i="2"/>
  <c r="BA48" i="2"/>
  <c r="BA50" i="2"/>
  <c r="BA52" i="2"/>
  <c r="BA51" i="2"/>
  <c r="BA53" i="2"/>
  <c r="BA54" i="2"/>
  <c r="BB43" i="2"/>
  <c r="BB42" i="2"/>
  <c r="BB44" i="2"/>
  <c r="BB49" i="2"/>
  <c r="BB46" i="2"/>
  <c r="BB45" i="2"/>
  <c r="BB47" i="2"/>
  <c r="BB48" i="2"/>
  <c r="BB50" i="2"/>
  <c r="BB52" i="2"/>
  <c r="BB51" i="2"/>
  <c r="BB53" i="2"/>
  <c r="BB54" i="2"/>
  <c r="BC49" i="2"/>
  <c r="BC46" i="2"/>
  <c r="BC45" i="2"/>
  <c r="BC47" i="2"/>
  <c r="BC48" i="2"/>
  <c r="BC50" i="2"/>
  <c r="BC52" i="2"/>
  <c r="BC51" i="2"/>
  <c r="BC53" i="2"/>
  <c r="BD49" i="2"/>
  <c r="BD46" i="2"/>
  <c r="BD45" i="2"/>
  <c r="BD47" i="2"/>
  <c r="BD48" i="2"/>
  <c r="BD50" i="2"/>
  <c r="BD52" i="2"/>
  <c r="BD51" i="2"/>
  <c r="BD53" i="2"/>
  <c r="U31" i="2"/>
  <c r="U37" i="2"/>
  <c r="U38" i="2"/>
  <c r="BE49" i="2"/>
  <c r="U15" i="2"/>
  <c r="U18" i="2"/>
  <c r="U35" i="2"/>
  <c r="U36" i="2"/>
  <c r="BE46" i="2"/>
  <c r="BE45" i="2"/>
  <c r="BE47" i="2"/>
  <c r="BE48" i="2"/>
  <c r="BE50" i="2"/>
  <c r="BE52" i="2"/>
  <c r="BE51" i="2"/>
  <c r="BE53" i="2"/>
  <c r="V31" i="2"/>
  <c r="V37" i="2"/>
  <c r="V38" i="2"/>
  <c r="BF49" i="2"/>
  <c r="V15" i="2"/>
  <c r="V18" i="2"/>
  <c r="V35" i="2"/>
  <c r="V36" i="2"/>
  <c r="BF46" i="2"/>
  <c r="BF45" i="2"/>
  <c r="BF47" i="2"/>
  <c r="BF48" i="2"/>
  <c r="BF50" i="2"/>
  <c r="BF52" i="2"/>
  <c r="BF51" i="2"/>
  <c r="BF53" i="2"/>
  <c r="W31" i="2"/>
  <c r="W37" i="2"/>
  <c r="W38" i="2"/>
  <c r="BG49" i="2"/>
  <c r="W15" i="2"/>
  <c r="W18" i="2"/>
  <c r="W35" i="2"/>
  <c r="W36" i="2"/>
  <c r="BG46" i="2"/>
  <c r="BG45" i="2"/>
  <c r="BG47" i="2"/>
  <c r="BG48" i="2"/>
  <c r="BG50" i="2"/>
  <c r="BG52" i="2"/>
  <c r="BG51" i="2"/>
  <c r="BG53" i="2"/>
  <c r="X31" i="2"/>
  <c r="BH49" i="2"/>
  <c r="X15" i="2"/>
  <c r="X18" i="2"/>
  <c r="X36" i="2"/>
  <c r="BH46" i="2"/>
  <c r="BH45" i="2"/>
  <c r="BH47" i="2"/>
  <c r="BH48" i="2"/>
  <c r="BH50" i="2"/>
  <c r="BH52" i="2"/>
  <c r="BH51" i="2"/>
  <c r="BH53" i="2"/>
  <c r="BI49" i="2"/>
  <c r="BI46" i="2"/>
  <c r="BI45" i="2"/>
  <c r="BI47" i="2"/>
  <c r="BI48" i="2"/>
  <c r="BI50" i="2"/>
  <c r="BI52" i="2"/>
  <c r="BI51" i="2"/>
  <c r="BI53" i="2"/>
  <c r="Z31" i="2"/>
  <c r="Z37" i="2"/>
  <c r="Z38" i="2"/>
  <c r="BJ49" i="2"/>
  <c r="Z15" i="2"/>
  <c r="Z18" i="2"/>
  <c r="Z35" i="2"/>
  <c r="Z36" i="2"/>
  <c r="BJ46" i="2"/>
  <c r="BJ45" i="2"/>
  <c r="BJ47" i="2"/>
  <c r="BJ48" i="2"/>
  <c r="BJ50" i="2"/>
  <c r="BJ52" i="2"/>
  <c r="BJ51" i="2"/>
  <c r="BJ53" i="2"/>
  <c r="AM43" i="2"/>
  <c r="AM42" i="2"/>
  <c r="AM44" i="2"/>
  <c r="AM49" i="2"/>
  <c r="AM46" i="2"/>
  <c r="AM45" i="2"/>
  <c r="AM47" i="2"/>
  <c r="AM48" i="2"/>
  <c r="AM50" i="2"/>
  <c r="AM52" i="2"/>
  <c r="AM51" i="2"/>
  <c r="AM53" i="2"/>
  <c r="AM54" i="2"/>
  <c r="B46" i="5"/>
  <c r="AM46" i="5"/>
  <c r="AP46" i="5"/>
  <c r="B222" i="5"/>
  <c r="B295" i="5"/>
  <c r="B322" i="5"/>
  <c r="B261" i="5"/>
  <c r="B223" i="5"/>
  <c r="B66" i="5"/>
  <c r="B51" i="5"/>
  <c r="B387" i="5"/>
  <c r="B388" i="5"/>
  <c r="B386" i="5"/>
  <c r="B364" i="5"/>
  <c r="B232" i="5"/>
  <c r="B325" i="5"/>
  <c r="B176" i="5"/>
  <c r="B350" i="5"/>
  <c r="B341" i="5"/>
  <c r="B172" i="5"/>
  <c r="B114" i="5"/>
  <c r="B169" i="5"/>
  <c r="B170" i="5"/>
  <c r="B108" i="5"/>
  <c r="B6" i="5"/>
  <c r="B267" i="5"/>
  <c r="B349" i="5"/>
  <c r="B296" i="5"/>
  <c r="B275" i="5"/>
  <c r="B287" i="5"/>
  <c r="B286" i="5"/>
  <c r="B319" i="5"/>
  <c r="B313" i="5"/>
  <c r="B94" i="5"/>
  <c r="B311" i="5"/>
  <c r="B314" i="5"/>
  <c r="B310" i="5"/>
  <c r="B92" i="5"/>
  <c r="B294" i="5"/>
  <c r="B312" i="5"/>
  <c r="B293" i="5"/>
  <c r="B315" i="5"/>
  <c r="B270" i="5"/>
  <c r="B292" i="5"/>
  <c r="B260" i="5"/>
  <c r="B285" i="5"/>
  <c r="B284" i="5"/>
  <c r="B306" i="5"/>
  <c r="B307" i="5"/>
  <c r="B304" i="5"/>
  <c r="B303" i="5"/>
  <c r="B305" i="5"/>
  <c r="B302" i="5"/>
  <c r="B372" i="5"/>
  <c r="B301" i="5"/>
  <c r="B290" i="5"/>
  <c r="B289" i="5"/>
  <c r="B231" i="5"/>
  <c r="B230" i="5"/>
  <c r="B229" i="5"/>
  <c r="B68" i="5"/>
  <c r="B277" i="5"/>
  <c r="B353" i="5"/>
  <c r="B104" i="5"/>
  <c r="B175" i="5"/>
  <c r="B356" i="5"/>
  <c r="B297" i="5"/>
  <c r="B347" i="5"/>
  <c r="B330" i="5"/>
  <c r="B355" i="5"/>
  <c r="B250" i="5"/>
  <c r="B255" i="5"/>
  <c r="B58" i="5"/>
  <c r="B328" i="5"/>
  <c r="B102" i="5"/>
  <c r="B69" i="5"/>
  <c r="B249" i="5"/>
  <c r="B326" i="5"/>
  <c r="B391" i="5"/>
  <c r="B164" i="5"/>
  <c r="B361" i="5"/>
  <c r="B241" i="5"/>
  <c r="B34" i="5"/>
  <c r="B233" i="5"/>
  <c r="B336" i="5"/>
  <c r="B96" i="5"/>
  <c r="B53" i="5"/>
  <c r="B254" i="5"/>
  <c r="B360" i="5"/>
  <c r="B239" i="5"/>
  <c r="B329" i="5"/>
  <c r="B359" i="5"/>
  <c r="B238" i="5"/>
  <c r="B2" i="5"/>
  <c r="B358" i="5"/>
  <c r="B89" i="5"/>
  <c r="B236" i="5"/>
  <c r="B327" i="5"/>
  <c r="B33" i="5"/>
  <c r="B32" i="5"/>
  <c r="B31" i="5"/>
  <c r="B86" i="5"/>
  <c r="B30" i="5"/>
  <c r="B283" i="5"/>
  <c r="B404" i="5"/>
  <c r="B389" i="5"/>
  <c r="B227" i="5"/>
  <c r="B228" i="5"/>
  <c r="B226" i="5"/>
  <c r="B37" i="5"/>
  <c r="B35" i="5"/>
  <c r="B379" i="5"/>
  <c r="B184" i="5"/>
  <c r="B36" i="5"/>
  <c r="B185" i="5"/>
  <c r="B38" i="5"/>
  <c r="B324" i="5"/>
  <c r="B354" i="5"/>
  <c r="B366" i="5"/>
  <c r="B374" i="5"/>
  <c r="B375" i="5"/>
  <c r="B352" i="5"/>
  <c r="B377" i="5"/>
  <c r="B50" i="5"/>
  <c r="B351" i="5"/>
  <c r="B65" i="5"/>
  <c r="B27" i="5"/>
  <c r="B59" i="5"/>
  <c r="B103" i="5"/>
  <c r="B365" i="5"/>
  <c r="B345" i="5"/>
  <c r="B376" i="5"/>
  <c r="B20" i="5"/>
  <c r="B266" i="5"/>
  <c r="B348" i="5"/>
  <c r="B26" i="5"/>
  <c r="B43" i="5"/>
  <c r="B62" i="5"/>
  <c r="B346" i="5"/>
  <c r="B373" i="5"/>
  <c r="B368" i="5"/>
  <c r="B363" i="5"/>
  <c r="B40" i="5"/>
  <c r="B166" i="5"/>
  <c r="B167" i="5"/>
  <c r="B168" i="5"/>
  <c r="B265" i="5"/>
  <c r="B276" i="5"/>
  <c r="B63" i="5"/>
  <c r="B19" i="5"/>
  <c r="B18" i="5"/>
  <c r="B224" i="5"/>
  <c r="B64" i="5"/>
  <c r="B342" i="5"/>
  <c r="B343" i="5"/>
  <c r="B101" i="5"/>
  <c r="B121" i="5"/>
  <c r="B323" i="5"/>
  <c r="B100" i="5"/>
  <c r="B123" i="5"/>
  <c r="B122" i="5"/>
  <c r="B334" i="5"/>
  <c r="B47" i="5"/>
  <c r="B13" i="5"/>
  <c r="B14" i="5"/>
  <c r="B60" i="5"/>
  <c r="B242" i="5"/>
  <c r="B362" i="5"/>
  <c r="B11" i="5"/>
  <c r="B12" i="5"/>
  <c r="B49" i="5"/>
  <c r="B320" i="5"/>
  <c r="B16" i="5"/>
  <c r="B67" i="5"/>
  <c r="B99" i="5"/>
  <c r="B116" i="5"/>
  <c r="B117" i="5"/>
  <c r="B118" i="5"/>
  <c r="B248" i="5"/>
  <c r="B339" i="5"/>
  <c r="B340" i="5"/>
  <c r="B10" i="5"/>
  <c r="B173" i="5"/>
  <c r="B240" i="5"/>
  <c r="B237" i="5"/>
  <c r="B263" i="5"/>
  <c r="B338" i="5"/>
  <c r="B243" i="5"/>
  <c r="B17" i="5"/>
  <c r="B97" i="5"/>
  <c r="B165" i="5"/>
  <c r="B56" i="5"/>
  <c r="B95" i="5"/>
  <c r="B98" i="5"/>
  <c r="B113" i="5"/>
  <c r="B253" i="5"/>
  <c r="B335" i="5"/>
  <c r="B93" i="5"/>
  <c r="B264" i="5"/>
  <c r="B271" i="5"/>
  <c r="B112" i="5"/>
  <c r="B183" i="5"/>
  <c r="B318" i="5"/>
  <c r="B9" i="5"/>
  <c r="B29" i="5"/>
  <c r="B262" i="5"/>
  <c r="B272" i="5"/>
  <c r="B7" i="5"/>
  <c r="B273" i="5"/>
  <c r="B110" i="5"/>
  <c r="B57" i="5"/>
  <c r="B246" i="5"/>
  <c r="B244" i="5"/>
  <c r="B8" i="5"/>
  <c r="B162" i="5"/>
  <c r="B269" i="5"/>
  <c r="B367" i="5"/>
  <c r="B161" i="5"/>
  <c r="B333" i="5"/>
  <c r="B163" i="5"/>
  <c r="B90" i="5"/>
  <c r="B24" i="5"/>
  <c r="B385" i="5"/>
  <c r="B88" i="5"/>
  <c r="B259" i="5"/>
  <c r="B54" i="5"/>
  <c r="B252" i="5"/>
  <c r="B332" i="5"/>
  <c r="B45" i="5"/>
  <c r="B235" i="5"/>
  <c r="B257" i="5"/>
  <c r="B23" i="5"/>
  <c r="B371" i="5"/>
  <c r="B4" i="5"/>
  <c r="B181" i="5"/>
  <c r="B251" i="5"/>
  <c r="B370" i="5"/>
  <c r="B52" i="5"/>
  <c r="B180" i="5"/>
  <c r="B369" i="5"/>
  <c r="B268" i="5"/>
  <c r="B378" i="5"/>
  <c r="B380" i="5"/>
  <c r="B382" i="5"/>
  <c r="B384" i="5"/>
  <c r="B383" i="5"/>
  <c r="B381" i="5"/>
  <c r="B298" i="5"/>
  <c r="B48" i="5"/>
  <c r="B28" i="5"/>
  <c r="B21" i="5"/>
  <c r="B344" i="5"/>
  <c r="B321" i="5"/>
  <c r="B119" i="5"/>
  <c r="B174" i="5"/>
  <c r="B39" i="5"/>
  <c r="B15" i="5"/>
  <c r="B316" i="5"/>
  <c r="B317" i="5"/>
  <c r="B182" i="5"/>
  <c r="B309" i="5"/>
  <c r="B25" i="5"/>
  <c r="B308" i="5"/>
  <c r="B179" i="5"/>
  <c r="B178" i="5"/>
  <c r="B120" i="5"/>
  <c r="B107" i="5"/>
  <c r="B106" i="5"/>
  <c r="B105" i="5"/>
  <c r="B109" i="5"/>
  <c r="B299" i="5"/>
  <c r="B61" i="5"/>
  <c r="B87" i="5"/>
  <c r="B91" i="5"/>
  <c r="B111" i="5"/>
  <c r="B115" i="5"/>
  <c r="B5" i="5"/>
  <c r="B177" i="5"/>
  <c r="B225" i="5"/>
  <c r="B41" i="5"/>
  <c r="B247" i="5"/>
  <c r="B274" i="5"/>
  <c r="B279" i="5"/>
  <c r="B291" i="5"/>
  <c r="B337" i="5"/>
  <c r="B171" i="5"/>
  <c r="B154" i="5"/>
  <c r="B155" i="5"/>
  <c r="B156" i="5"/>
  <c r="B157" i="5"/>
  <c r="B197" i="5"/>
  <c r="B194" i="5"/>
  <c r="B191" i="5"/>
  <c r="B189" i="5"/>
  <c r="B193" i="5"/>
  <c r="B192" i="5"/>
  <c r="B188" i="5"/>
  <c r="B190" i="5"/>
  <c r="B195" i="5"/>
  <c r="B196" i="5"/>
  <c r="B198" i="5"/>
  <c r="B147" i="5"/>
  <c r="B158" i="5"/>
  <c r="B136" i="5"/>
  <c r="B138" i="5"/>
  <c r="B130" i="5"/>
  <c r="B131" i="5"/>
  <c r="B143" i="5"/>
  <c r="B139" i="5"/>
  <c r="B141" i="5"/>
  <c r="B144" i="5"/>
  <c r="B150" i="5"/>
  <c r="B153" i="5"/>
  <c r="B142" i="5"/>
  <c r="B146" i="5"/>
  <c r="B137" i="5"/>
  <c r="B149" i="5"/>
  <c r="B128" i="5"/>
  <c r="B140" i="5"/>
  <c r="B151" i="5"/>
  <c r="B125" i="5"/>
  <c r="B152" i="5"/>
  <c r="B145" i="5"/>
  <c r="B134" i="5"/>
  <c r="B135" i="5"/>
  <c r="B133" i="5"/>
  <c r="B148" i="5"/>
  <c r="B129" i="5"/>
  <c r="B187" i="5"/>
  <c r="B126" i="5"/>
  <c r="B127" i="5"/>
  <c r="B186" i="5"/>
  <c r="B132" i="5"/>
  <c r="B124" i="5"/>
  <c r="B213" i="5"/>
  <c r="B203" i="5"/>
  <c r="B221" i="5"/>
  <c r="B199" i="5"/>
  <c r="B209" i="5"/>
  <c r="B210" i="5"/>
  <c r="B212" i="5"/>
  <c r="B211" i="5"/>
  <c r="B200" i="5"/>
  <c r="B205" i="5"/>
  <c r="B204" i="5"/>
  <c r="B220" i="5"/>
  <c r="B219" i="5"/>
  <c r="B215" i="5"/>
  <c r="B218" i="5"/>
  <c r="B216" i="5"/>
  <c r="B214" i="5"/>
  <c r="B217" i="5"/>
  <c r="B201" i="5"/>
  <c r="B207" i="5"/>
  <c r="B208" i="5"/>
  <c r="B206" i="5"/>
  <c r="B401" i="5"/>
  <c r="B393" i="5"/>
  <c r="B400" i="5"/>
  <c r="B396" i="5"/>
  <c r="B402" i="5"/>
  <c r="B397" i="5"/>
  <c r="B403" i="5"/>
  <c r="B395" i="5"/>
  <c r="B394" i="5"/>
  <c r="B399" i="5"/>
  <c r="B398" i="5"/>
  <c r="B159" i="5"/>
  <c r="B357" i="5"/>
  <c r="B160" i="5"/>
  <c r="B70" i="5"/>
  <c r="B202" i="5"/>
  <c r="B300" i="5"/>
  <c r="B282" i="5"/>
  <c r="B405" i="5"/>
  <c r="B392" i="5"/>
  <c r="B71" i="5"/>
  <c r="B72" i="5"/>
  <c r="B73" i="5"/>
  <c r="B74" i="5"/>
  <c r="B78" i="5"/>
  <c r="B79" i="5"/>
  <c r="B80" i="5"/>
  <c r="B81" i="5"/>
  <c r="B42" i="5"/>
  <c r="B22" i="5"/>
  <c r="B331" i="5"/>
  <c r="B76" i="5"/>
  <c r="B77" i="5"/>
  <c r="B82" i="5"/>
  <c r="B83" i="5"/>
  <c r="B84" i="5"/>
  <c r="B85" i="5"/>
  <c r="B75" i="5"/>
  <c r="B3" i="5"/>
  <c r="B256" i="5"/>
  <c r="B44" i="5"/>
  <c r="B390" i="5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T125" i="1"/>
  <c r="BS125" i="1"/>
  <c r="BR125" i="1"/>
  <c r="BQ125" i="1"/>
  <c r="BD125" i="1"/>
  <c r="BC125" i="1"/>
  <c r="AZ125" i="1"/>
  <c r="BR65" i="1"/>
  <c r="BR66" i="1"/>
  <c r="BR67" i="1"/>
  <c r="BR68" i="1"/>
  <c r="BR69" i="1"/>
  <c r="BR70" i="1"/>
  <c r="BR71" i="1"/>
  <c r="AA270" i="4"/>
  <c r="AA268" i="4"/>
  <c r="AA228" i="4"/>
  <c r="AA273" i="4"/>
  <c r="AA275" i="4"/>
  <c r="AA258" i="4"/>
  <c r="AA253" i="4"/>
  <c r="AA271" i="4"/>
  <c r="AA265" i="4"/>
  <c r="AA247" i="4"/>
  <c r="AA255" i="4"/>
  <c r="AA183" i="4"/>
  <c r="AA199" i="4"/>
  <c r="AA160" i="4"/>
  <c r="AA169" i="4"/>
  <c r="AA3" i="4"/>
  <c r="AA16" i="4"/>
  <c r="AA17" i="4"/>
  <c r="AA18" i="4"/>
  <c r="AA284" i="4"/>
  <c r="AA288" i="4"/>
  <c r="AA294" i="4"/>
  <c r="AA295" i="4"/>
  <c r="AA290" i="4"/>
  <c r="AA293" i="4"/>
  <c r="AA101" i="4"/>
  <c r="AA256" i="4"/>
  <c r="AA259" i="4"/>
  <c r="AA263" i="4"/>
  <c r="AA285" i="4"/>
  <c r="AA287" i="4"/>
  <c r="AA283" i="4"/>
  <c r="AA266" i="4"/>
  <c r="AA251" i="4"/>
  <c r="AA241" i="4"/>
  <c r="AA257" i="4"/>
  <c r="AA85" i="4"/>
  <c r="AA86" i="4"/>
  <c r="AA109" i="4"/>
  <c r="AA119" i="4"/>
  <c r="AA102" i="4"/>
  <c r="AA184" i="4"/>
  <c r="AA47" i="4"/>
  <c r="AA19" i="4"/>
  <c r="AA2" i="4"/>
  <c r="AA269" i="4"/>
  <c r="AA20" i="4"/>
  <c r="AA21" i="4"/>
  <c r="AA48" i="4"/>
  <c r="AA22" i="4"/>
  <c r="AA23" i="4"/>
  <c r="AA49" i="4"/>
  <c r="AA24" i="4"/>
  <c r="AA25" i="4"/>
  <c r="AA26" i="4"/>
  <c r="AA27" i="4"/>
  <c r="AA4" i="4"/>
  <c r="AA79" i="4"/>
  <c r="AA103" i="4"/>
  <c r="AA28" i="4"/>
  <c r="AA231" i="4"/>
  <c r="AA200" i="4"/>
  <c r="AA29" i="4"/>
  <c r="AA30" i="4"/>
  <c r="AA31" i="4"/>
  <c r="AA32" i="4"/>
  <c r="AA33" i="4"/>
  <c r="AA50" i="4"/>
  <c r="AA34" i="4"/>
  <c r="AA245" i="4"/>
  <c r="AA286" i="4"/>
  <c r="AA279" i="4"/>
  <c r="AA289" i="4"/>
  <c r="AA235" i="4"/>
  <c r="AA151" i="4"/>
  <c r="AA148" i="4"/>
  <c r="AA149" i="4"/>
  <c r="AA55" i="4"/>
  <c r="AA61" i="4"/>
  <c r="AA51" i="4"/>
  <c r="AA239" i="4"/>
  <c r="AA35" i="4"/>
  <c r="AA36" i="4"/>
  <c r="AA37" i="4"/>
  <c r="AA62" i="4"/>
  <c r="AA110" i="4"/>
  <c r="AA138" i="4"/>
  <c r="AA152" i="4"/>
  <c r="AA276" i="4"/>
  <c r="AA153" i="4"/>
  <c r="AA201" i="4"/>
  <c r="AA291" i="4"/>
  <c r="AA209" i="4"/>
  <c r="AA63" i="4"/>
  <c r="AA185" i="4"/>
  <c r="AA87" i="4"/>
  <c r="AA52" i="4"/>
  <c r="AA80" i="4"/>
  <c r="AA104" i="4"/>
  <c r="AA224" i="4"/>
  <c r="AA274" i="4"/>
  <c r="AA218" i="4"/>
  <c r="AA120" i="4"/>
  <c r="AA88" i="4"/>
  <c r="AA240" i="4"/>
  <c r="AA249" i="4"/>
  <c r="AA261" i="4"/>
  <c r="AA195" i="4"/>
  <c r="AA81" i="4"/>
  <c r="AA219" i="4"/>
  <c r="AA89" i="4"/>
  <c r="AA210" i="4"/>
  <c r="AA38" i="4"/>
  <c r="AA121" i="4"/>
  <c r="AA208" i="4"/>
  <c r="AA90" i="4"/>
  <c r="AA39" i="4"/>
  <c r="AA186" i="4"/>
  <c r="AA105" i="4"/>
  <c r="AA64" i="4"/>
  <c r="AA91" i="4"/>
  <c r="AA170" i="4"/>
  <c r="AA92" i="4"/>
  <c r="AA217" i="4"/>
  <c r="AA267" i="4"/>
  <c r="AA56" i="4"/>
  <c r="AA232" i="4"/>
  <c r="AA272" i="4"/>
  <c r="AA187" i="4"/>
  <c r="AA93" i="4"/>
  <c r="AA40" i="4"/>
  <c r="AA41" i="4"/>
  <c r="AA122" i="4"/>
  <c r="AA106" i="4"/>
  <c r="AA150" i="4"/>
  <c r="AA221" i="4"/>
  <c r="AA65" i="4"/>
  <c r="AA53" i="4"/>
  <c r="AA237" i="4"/>
  <c r="AA220" i="4"/>
  <c r="AA94" i="4"/>
  <c r="AA188" i="4"/>
  <c r="AA246" i="4"/>
  <c r="AA233" i="4"/>
  <c r="AA238" i="4"/>
  <c r="AA277" i="4"/>
  <c r="AA234" i="4"/>
  <c r="AA123" i="4"/>
  <c r="AA171" i="4"/>
  <c r="AA264" i="4"/>
  <c r="AA222" i="4"/>
  <c r="AA107" i="4"/>
  <c r="AA202" i="4"/>
  <c r="AA189" i="4"/>
  <c r="AA82" i="4"/>
  <c r="AA66" i="4"/>
  <c r="AA67" i="4"/>
  <c r="AA292" i="4"/>
  <c r="AA161" i="4"/>
  <c r="AA282" i="4"/>
  <c r="AA278" i="4"/>
  <c r="AA203" i="4"/>
  <c r="AA57" i="4"/>
  <c r="AA58" i="4"/>
  <c r="AA59" i="4"/>
  <c r="AA172" i="4"/>
  <c r="AA173" i="4"/>
  <c r="AA174" i="4"/>
  <c r="AA95" i="4"/>
  <c r="AA68" i="4"/>
  <c r="AA96" i="4"/>
  <c r="AA69" i="4"/>
  <c r="AA42" i="4"/>
  <c r="AA70" i="4"/>
  <c r="AA6" i="4"/>
  <c r="AA7" i="4"/>
  <c r="AA196" i="4"/>
  <c r="AA175" i="4"/>
  <c r="AA176" i="4"/>
  <c r="AA124" i="4"/>
  <c r="AA190" i="4"/>
  <c r="AA54" i="4"/>
  <c r="AA8" i="4"/>
  <c r="AA43" i="4"/>
  <c r="AA5" i="4"/>
  <c r="AA9" i="4"/>
  <c r="AA10" i="4"/>
  <c r="AA11" i="4"/>
  <c r="AA12" i="4"/>
  <c r="AA191" i="4"/>
  <c r="AA154" i="4"/>
  <c r="AA155" i="4"/>
  <c r="AA156" i="4"/>
  <c r="AA139" i="4"/>
  <c r="AA162" i="4"/>
  <c r="AA177" i="4"/>
  <c r="AA163" i="4"/>
  <c r="AA192" i="4"/>
  <c r="AA226" i="4"/>
  <c r="AA164" i="4"/>
  <c r="AA125" i="4"/>
  <c r="AA126" i="4"/>
  <c r="AA193" i="4"/>
  <c r="AA197" i="4"/>
  <c r="AA223" i="4"/>
  <c r="AA165" i="4"/>
  <c r="AA140" i="4"/>
  <c r="AA157" i="4"/>
  <c r="AA281" i="4"/>
  <c r="AA166" i="4"/>
  <c r="AA229" i="4"/>
  <c r="AA236" i="4"/>
  <c r="AA260" i="4"/>
  <c r="AA71" i="4"/>
  <c r="AA178" i="4"/>
  <c r="AA211" i="4"/>
  <c r="AA179" i="4"/>
  <c r="AA127" i="4"/>
  <c r="AA128" i="4"/>
  <c r="AA129" i="4"/>
  <c r="AA130" i="4"/>
  <c r="AA131" i="4"/>
  <c r="AA132" i="4"/>
  <c r="AA141" i="4"/>
  <c r="AA142" i="4"/>
  <c r="AA143" i="4"/>
  <c r="AA212" i="4"/>
  <c r="AA144" i="4"/>
  <c r="AA145" i="4"/>
  <c r="AA252" i="4"/>
  <c r="AA248" i="4"/>
  <c r="AA72" i="4"/>
  <c r="AA73" i="4"/>
  <c r="AA242" i="4"/>
  <c r="AA74" i="4"/>
  <c r="AA111" i="4"/>
  <c r="AA97" i="4"/>
  <c r="AA112" i="4"/>
  <c r="AA83" i="4"/>
  <c r="AA115" i="4"/>
  <c r="AA76" i="4"/>
  <c r="AA99" i="4"/>
  <c r="AA13" i="4"/>
  <c r="AA14" i="4"/>
  <c r="AA225" i="4"/>
  <c r="AA44" i="4"/>
  <c r="AA262" i="4"/>
  <c r="AA230" i="4"/>
  <c r="AA98" i="4"/>
  <c r="AA158" i="4"/>
  <c r="AA254" i="4"/>
  <c r="AA116" i="4"/>
  <c r="AA194" i="4"/>
  <c r="AA167" i="4"/>
  <c r="AA168" i="4"/>
  <c r="AA180" i="4"/>
  <c r="AA146" i="4"/>
  <c r="AA108" i="4"/>
  <c r="AA204" i="4"/>
  <c r="AA205" i="4"/>
  <c r="AA60" i="4"/>
  <c r="AA75" i="4"/>
  <c r="AA147" i="4"/>
  <c r="AA198" i="4"/>
  <c r="AA84" i="4"/>
  <c r="AA133" i="4"/>
  <c r="AA134" i="4"/>
  <c r="AA206" i="4"/>
  <c r="AA135" i="4"/>
  <c r="AA136" i="4"/>
  <c r="AA159" i="4"/>
  <c r="AA137" i="4"/>
  <c r="AA113" i="4"/>
  <c r="AA114" i="4"/>
  <c r="AA117" i="4"/>
  <c r="AA100" i="4"/>
  <c r="AA15" i="4"/>
  <c r="AA213" i="4"/>
  <c r="AA77" i="4"/>
  <c r="AA181" i="4"/>
  <c r="AA207" i="4"/>
  <c r="AA182" i="4"/>
  <c r="AA214" i="4"/>
  <c r="AA215" i="4"/>
  <c r="AA216" i="4"/>
  <c r="AA243" i="4"/>
  <c r="AA78" i="4"/>
  <c r="AA118" i="4"/>
  <c r="AA45" i="4"/>
  <c r="AA244" i="4"/>
  <c r="AA250" i="4"/>
  <c r="AA227" i="4"/>
  <c r="AA46" i="4"/>
  <c r="AA296" i="4"/>
  <c r="AA297" i="4"/>
  <c r="AA298" i="4"/>
  <c r="AA299" i="4"/>
  <c r="AA304" i="4"/>
  <c r="AA300" i="4"/>
  <c r="AA301" i="4"/>
  <c r="AA302" i="4"/>
  <c r="AA303" i="4"/>
  <c r="AA305" i="4"/>
  <c r="AA309" i="4"/>
  <c r="AA310" i="4"/>
  <c r="AA306" i="4"/>
  <c r="AA307" i="4"/>
  <c r="AA308" i="4"/>
  <c r="AA342" i="4"/>
  <c r="AA343" i="4"/>
  <c r="AA341" i="4"/>
  <c r="AA339" i="4"/>
  <c r="AA340" i="4"/>
  <c r="AA323" i="4"/>
  <c r="AA338" i="4"/>
  <c r="AA324" i="4"/>
  <c r="AA325" i="4"/>
  <c r="AA326" i="4"/>
  <c r="AA327" i="4"/>
  <c r="AA328" i="4"/>
  <c r="AA337" i="4"/>
  <c r="AA329" i="4"/>
  <c r="AA319" i="4"/>
  <c r="AA330" i="4"/>
  <c r="AA311" i="4"/>
  <c r="AA320" i="4"/>
  <c r="AA336" i="4"/>
  <c r="AA317" i="4"/>
  <c r="AA315" i="4"/>
  <c r="AA321" i="4"/>
  <c r="AA331" i="4"/>
  <c r="AA332" i="4"/>
  <c r="AA333" i="4"/>
  <c r="AA334" i="4"/>
  <c r="AA318" i="4"/>
  <c r="AA335" i="4"/>
  <c r="AA313" i="4"/>
  <c r="AA314" i="4"/>
  <c r="AA312" i="4"/>
  <c r="AA322" i="4"/>
  <c r="AA316" i="4"/>
  <c r="AA345" i="4"/>
  <c r="AA359" i="4"/>
  <c r="AA365" i="4"/>
  <c r="AA360" i="4"/>
  <c r="AA361" i="4"/>
  <c r="AA346" i="4"/>
  <c r="AA347" i="4"/>
  <c r="AA362" i="4"/>
  <c r="AA363" i="4"/>
  <c r="AA364" i="4"/>
  <c r="AA344" i="4"/>
  <c r="AA348" i="4"/>
  <c r="AA349" i="4"/>
  <c r="AA350" i="4"/>
  <c r="AA351" i="4"/>
  <c r="AA352" i="4"/>
  <c r="AA353" i="4"/>
  <c r="AA354" i="4"/>
  <c r="AA356" i="4"/>
  <c r="AA357" i="4"/>
  <c r="AA355" i="4"/>
  <c r="AA358" i="4"/>
  <c r="AA366" i="4"/>
  <c r="AA367" i="4"/>
  <c r="AA368" i="4"/>
  <c r="AA369" i="4"/>
  <c r="AA370" i="4"/>
  <c r="AA371" i="4"/>
  <c r="AA372" i="4"/>
  <c r="AA373" i="4"/>
  <c r="AA375" i="4"/>
  <c r="AA374" i="4"/>
  <c r="AA376" i="4"/>
  <c r="AA381" i="4"/>
  <c r="AA377" i="4"/>
  <c r="AA378" i="4"/>
  <c r="AA379" i="4"/>
  <c r="AA380" i="4"/>
  <c r="AA384" i="4"/>
  <c r="AA385" i="4"/>
  <c r="AA383" i="4"/>
  <c r="AA382" i="4"/>
  <c r="AA386" i="4"/>
  <c r="AA387" i="4"/>
  <c r="AA388" i="4"/>
  <c r="AA389" i="4"/>
  <c r="AA390" i="4"/>
  <c r="AA391" i="4"/>
  <c r="AA392" i="4"/>
  <c r="AA393" i="4"/>
  <c r="AA394" i="4"/>
  <c r="AA395" i="4"/>
  <c r="AA406" i="4"/>
  <c r="AA396" i="4"/>
  <c r="AA397" i="4"/>
  <c r="AA398" i="4"/>
  <c r="AA399" i="4"/>
  <c r="AA400" i="4"/>
  <c r="AA401" i="4"/>
  <c r="AA402" i="4"/>
  <c r="AA403" i="4"/>
  <c r="AA404" i="4"/>
  <c r="AA405" i="4"/>
  <c r="AA280" i="4"/>
  <c r="AM2" i="5"/>
  <c r="C39" i="8"/>
  <c r="BB2" i="1"/>
  <c r="BB5" i="1"/>
  <c r="BB21" i="1"/>
  <c r="BB23" i="1"/>
  <c r="BB27" i="1"/>
  <c r="BB30" i="1"/>
  <c r="BB32" i="1"/>
  <c r="BB46" i="1"/>
  <c r="BB56" i="1"/>
  <c r="BB59" i="1"/>
  <c r="BB61" i="1"/>
  <c r="BB65" i="1"/>
  <c r="BB67" i="1"/>
  <c r="BB69" i="1"/>
  <c r="BB75" i="1"/>
  <c r="BB78" i="1"/>
  <c r="BB80" i="1"/>
  <c r="BB82" i="1"/>
  <c r="BB84" i="1"/>
  <c r="BB87" i="1"/>
  <c r="BB89" i="1"/>
  <c r="BB94" i="1"/>
  <c r="BB96" i="1"/>
  <c r="BB98" i="1"/>
  <c r="BB101" i="1"/>
  <c r="BB106" i="1"/>
  <c r="BB113" i="1"/>
  <c r="BB71" i="1"/>
  <c r="BB115" i="1"/>
  <c r="BB119" i="1"/>
  <c r="BB124" i="1"/>
  <c r="BB128" i="1"/>
  <c r="BB130" i="1"/>
  <c r="BB109" i="1"/>
  <c r="BB134" i="1"/>
  <c r="BB117" i="1"/>
  <c r="BB90" i="1"/>
  <c r="BB9" i="1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D36" i="10"/>
  <c r="C36" i="10"/>
  <c r="E36" i="10"/>
  <c r="D123" i="10"/>
  <c r="C123" i="10"/>
  <c r="E123" i="10"/>
  <c r="D240" i="10"/>
  <c r="D152" i="10"/>
  <c r="C224" i="10"/>
  <c r="D224" i="10"/>
  <c r="E224" i="10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345" i="10"/>
  <c r="D345" i="10"/>
  <c r="E345" i="10"/>
  <c r="C284" i="10"/>
  <c r="D284" i="10"/>
  <c r="E284" i="10"/>
  <c r="C372" i="10"/>
  <c r="D372" i="10"/>
  <c r="E372" i="10"/>
  <c r="C220" i="10"/>
  <c r="D220" i="10"/>
  <c r="E220" i="10"/>
  <c r="C261" i="10"/>
  <c r="D261" i="10"/>
  <c r="E261" i="10"/>
  <c r="C102" i="10"/>
  <c r="D102" i="10"/>
  <c r="E102" i="10"/>
  <c r="C252" i="10"/>
  <c r="D252" i="10"/>
  <c r="E252" i="10"/>
  <c r="C358" i="10"/>
  <c r="D358" i="10"/>
  <c r="E358" i="10"/>
  <c r="C88" i="10"/>
  <c r="D88" i="10"/>
  <c r="E88" i="10"/>
  <c r="C371" i="10"/>
  <c r="D371" i="10"/>
  <c r="E371" i="10"/>
  <c r="C251" i="10"/>
  <c r="D251" i="10"/>
  <c r="E251" i="10"/>
  <c r="C11" i="10"/>
  <c r="D11" i="10"/>
  <c r="E11" i="10"/>
  <c r="C70" i="10"/>
  <c r="D70" i="10"/>
  <c r="E70" i="10"/>
  <c r="C225" i="10"/>
  <c r="D225" i="10"/>
  <c r="E225" i="10"/>
  <c r="C317" i="10"/>
  <c r="D317" i="10"/>
  <c r="E317" i="10"/>
  <c r="C178" i="10"/>
  <c r="D178" i="10"/>
  <c r="E178" i="10"/>
  <c r="C174" i="10"/>
  <c r="D174" i="10"/>
  <c r="E174" i="10"/>
  <c r="C365" i="10"/>
  <c r="D365" i="10"/>
  <c r="E365" i="10"/>
  <c r="C249" i="10"/>
  <c r="D249" i="10"/>
  <c r="E249" i="10"/>
  <c r="C379" i="10"/>
  <c r="D379" i="10"/>
  <c r="E379" i="10"/>
  <c r="C362" i="10"/>
  <c r="D362" i="10"/>
  <c r="E362" i="10"/>
  <c r="C94" i="10"/>
  <c r="D94" i="10"/>
  <c r="E94" i="10"/>
  <c r="C205" i="10"/>
  <c r="D205" i="10"/>
  <c r="E205" i="10"/>
  <c r="C385" i="10"/>
  <c r="D385" i="10"/>
  <c r="E385" i="10"/>
  <c r="C265" i="10"/>
  <c r="D265" i="10"/>
  <c r="E265" i="10"/>
  <c r="C300" i="10"/>
  <c r="D300" i="10"/>
  <c r="E300" i="10"/>
  <c r="C31" i="10"/>
  <c r="D31" i="10"/>
  <c r="E31" i="10"/>
  <c r="C280" i="10"/>
  <c r="D280" i="10"/>
  <c r="E280" i="10"/>
  <c r="C122" i="10"/>
  <c r="D122" i="10"/>
  <c r="E122" i="10"/>
  <c r="C194" i="10"/>
  <c r="D194" i="10"/>
  <c r="E194" i="10"/>
  <c r="C380" i="10"/>
  <c r="D380" i="10"/>
  <c r="E380" i="10"/>
  <c r="C85" i="10"/>
  <c r="D85" i="10"/>
  <c r="E85" i="10"/>
  <c r="C167" i="10"/>
  <c r="D167" i="10"/>
  <c r="E167" i="10"/>
  <c r="C216" i="10"/>
  <c r="D216" i="10"/>
  <c r="E216" i="10"/>
  <c r="C43" i="10"/>
  <c r="D43" i="10"/>
  <c r="E43" i="10"/>
  <c r="C152" i="10"/>
  <c r="E152" i="10"/>
  <c r="C383" i="10"/>
  <c r="D383" i="10"/>
  <c r="E383" i="10"/>
  <c r="C335" i="10"/>
  <c r="D335" i="10"/>
  <c r="E335" i="10"/>
  <c r="C274" i="10"/>
  <c r="D274" i="10"/>
  <c r="E274" i="10"/>
  <c r="C181" i="10"/>
  <c r="D181" i="10"/>
  <c r="E181" i="10"/>
  <c r="C218" i="10"/>
  <c r="D218" i="10"/>
  <c r="E218" i="10"/>
  <c r="C347" i="10"/>
  <c r="D347" i="10"/>
  <c r="E347" i="10"/>
  <c r="C228" i="10"/>
  <c r="D228" i="10"/>
  <c r="E228" i="10"/>
  <c r="C405" i="10"/>
  <c r="D405" i="10"/>
  <c r="E405" i="10"/>
  <c r="C21" i="10"/>
  <c r="D21" i="10"/>
  <c r="E21" i="10"/>
  <c r="C103" i="10"/>
  <c r="D103" i="10"/>
  <c r="E103" i="10"/>
  <c r="C147" i="10"/>
  <c r="D147" i="10"/>
  <c r="E147" i="10"/>
  <c r="C375" i="10"/>
  <c r="D375" i="10"/>
  <c r="E375" i="10"/>
  <c r="C96" i="10"/>
  <c r="D96" i="10"/>
  <c r="E96" i="10"/>
  <c r="C6" i="10"/>
  <c r="D6" i="10"/>
  <c r="E6" i="10"/>
  <c r="C349" i="10"/>
  <c r="D349" i="10"/>
  <c r="E349" i="10"/>
  <c r="C104" i="10"/>
  <c r="D104" i="10"/>
  <c r="E104" i="10"/>
  <c r="C165" i="10"/>
  <c r="D165" i="10"/>
  <c r="E165" i="10"/>
  <c r="C158" i="10"/>
  <c r="D158" i="10"/>
  <c r="E158" i="10"/>
  <c r="C398" i="10"/>
  <c r="D398" i="10"/>
  <c r="E398" i="10"/>
  <c r="C359" i="10"/>
  <c r="D359" i="10"/>
  <c r="E359" i="10"/>
  <c r="C341" i="10"/>
  <c r="D341" i="10"/>
  <c r="E341" i="10"/>
  <c r="C80" i="10"/>
  <c r="D80" i="10"/>
  <c r="E80" i="10"/>
  <c r="C38" i="10"/>
  <c r="D38" i="10"/>
  <c r="E38" i="10"/>
  <c r="C8" i="10"/>
  <c r="D8" i="10"/>
  <c r="E8" i="10"/>
  <c r="C106" i="10"/>
  <c r="D106" i="10"/>
  <c r="E106" i="10"/>
  <c r="C364" i="10"/>
  <c r="D364" i="10"/>
  <c r="E364" i="10"/>
  <c r="C151" i="10"/>
  <c r="D151" i="10"/>
  <c r="E151" i="10"/>
  <c r="C342" i="10"/>
  <c r="D342" i="10"/>
  <c r="E342" i="10"/>
  <c r="C101" i="10"/>
  <c r="D101" i="10"/>
  <c r="E101" i="10"/>
  <c r="C316" i="10"/>
  <c r="D316" i="10"/>
  <c r="E316" i="10"/>
  <c r="C184" i="10"/>
  <c r="D184" i="10"/>
  <c r="E184" i="10"/>
  <c r="C282" i="10"/>
  <c r="D282" i="10"/>
  <c r="E282" i="10"/>
  <c r="C142" i="10"/>
  <c r="D142" i="10"/>
  <c r="E142" i="10"/>
  <c r="C188" i="10"/>
  <c r="D188" i="10"/>
  <c r="E188" i="10"/>
  <c r="C81" i="10"/>
  <c r="D81" i="10"/>
  <c r="E81" i="10"/>
  <c r="C396" i="10"/>
  <c r="D396" i="10"/>
  <c r="E396" i="10"/>
  <c r="C392" i="10"/>
  <c r="D392" i="10"/>
  <c r="E392" i="10"/>
  <c r="C219" i="10"/>
  <c r="D219" i="10"/>
  <c r="E219" i="10"/>
  <c r="C72" i="10"/>
  <c r="D72" i="10"/>
  <c r="E72" i="10"/>
  <c r="C260" i="10"/>
  <c r="D260" i="10"/>
  <c r="E260" i="10"/>
  <c r="C100" i="10"/>
  <c r="D100" i="10"/>
  <c r="E100" i="10"/>
  <c r="C242" i="10"/>
  <c r="D242" i="10"/>
  <c r="E242" i="10"/>
  <c r="C76" i="10"/>
  <c r="D76" i="10"/>
  <c r="E76" i="10"/>
  <c r="C295" i="10"/>
  <c r="D295" i="10"/>
  <c r="E295" i="10"/>
  <c r="C215" i="10"/>
  <c r="D215" i="10"/>
  <c r="E215" i="10"/>
  <c r="C217" i="10"/>
  <c r="D217" i="10"/>
  <c r="E217" i="10"/>
  <c r="C168" i="10"/>
  <c r="D168" i="10"/>
  <c r="E168" i="10"/>
  <c r="C258" i="10"/>
  <c r="D258" i="10"/>
  <c r="E258" i="10"/>
  <c r="C65" i="10"/>
  <c r="D65" i="10"/>
  <c r="E65" i="10"/>
  <c r="C253" i="10"/>
  <c r="D253" i="10"/>
  <c r="E253" i="10"/>
  <c r="C14" i="10"/>
  <c r="D14" i="10"/>
  <c r="E14" i="10"/>
  <c r="C77" i="10"/>
  <c r="D77" i="10"/>
  <c r="E77" i="10"/>
  <c r="C366" i="10"/>
  <c r="D366" i="10"/>
  <c r="E366" i="10"/>
  <c r="C303" i="10"/>
  <c r="D303" i="10"/>
  <c r="E303" i="10"/>
  <c r="C232" i="10"/>
  <c r="D232" i="10"/>
  <c r="E232" i="10"/>
  <c r="C402" i="10"/>
  <c r="D402" i="10"/>
  <c r="E402" i="10"/>
  <c r="C22" i="10"/>
  <c r="D22" i="10"/>
  <c r="E22" i="10"/>
  <c r="C140" i="10"/>
  <c r="D140" i="10"/>
  <c r="E140" i="10"/>
  <c r="C238" i="10"/>
  <c r="D238" i="10"/>
  <c r="E238" i="10"/>
  <c r="C57" i="10"/>
  <c r="D57" i="10"/>
  <c r="E57" i="10"/>
  <c r="C133" i="10"/>
  <c r="D133" i="10"/>
  <c r="E133" i="10"/>
  <c r="C155" i="10"/>
  <c r="D155" i="10"/>
  <c r="E155" i="10"/>
  <c r="C18" i="10"/>
  <c r="D18" i="10"/>
  <c r="E18" i="10"/>
  <c r="C388" i="10"/>
  <c r="D388" i="10"/>
  <c r="E388" i="10"/>
  <c r="C164" i="10"/>
  <c r="D164" i="10"/>
  <c r="E164" i="10"/>
  <c r="C112" i="10"/>
  <c r="D112" i="10"/>
  <c r="E112" i="10"/>
  <c r="C277" i="10"/>
  <c r="D277" i="10"/>
  <c r="E277" i="10"/>
  <c r="C52" i="10"/>
  <c r="D52" i="10"/>
  <c r="E52" i="10"/>
  <c r="C337" i="10"/>
  <c r="D337" i="10"/>
  <c r="E337" i="10"/>
  <c r="C302" i="10"/>
  <c r="D302" i="10"/>
  <c r="E302" i="10"/>
  <c r="C208" i="10"/>
  <c r="D208" i="10"/>
  <c r="E208" i="10"/>
  <c r="C179" i="10"/>
  <c r="D179" i="10"/>
  <c r="E179" i="10"/>
  <c r="C275" i="10"/>
  <c r="D275" i="10"/>
  <c r="E275" i="10"/>
  <c r="C243" i="10"/>
  <c r="D243" i="10"/>
  <c r="E243" i="10"/>
  <c r="C109" i="10"/>
  <c r="D109" i="10"/>
  <c r="E109" i="10"/>
  <c r="C377" i="10"/>
  <c r="D377" i="10"/>
  <c r="E377" i="10"/>
  <c r="C74" i="10"/>
  <c r="D74" i="10"/>
  <c r="E74" i="10"/>
  <c r="C23" i="10"/>
  <c r="D23" i="10"/>
  <c r="E23" i="10"/>
  <c r="C233" i="10"/>
  <c r="D233" i="10"/>
  <c r="E233" i="10"/>
  <c r="C51" i="10"/>
  <c r="D51" i="10"/>
  <c r="E51" i="10"/>
  <c r="C273" i="10"/>
  <c r="D273" i="10"/>
  <c r="E273" i="10"/>
  <c r="C286" i="10"/>
  <c r="D286" i="10"/>
  <c r="E286" i="10"/>
  <c r="C24" i="10"/>
  <c r="D24" i="10"/>
  <c r="E24" i="10"/>
  <c r="C47" i="10"/>
  <c r="D47" i="10"/>
  <c r="E47" i="10"/>
  <c r="C115" i="10"/>
  <c r="D115" i="10"/>
  <c r="E115" i="10"/>
  <c r="C66" i="10"/>
  <c r="D66" i="10"/>
  <c r="E66" i="10"/>
  <c r="C10" i="10"/>
  <c r="D10" i="10"/>
  <c r="E10" i="10"/>
  <c r="C163" i="10"/>
  <c r="D163" i="10"/>
  <c r="E163" i="10"/>
  <c r="C111" i="10"/>
  <c r="D111" i="10"/>
  <c r="E111" i="10"/>
  <c r="C41" i="10"/>
  <c r="D41" i="10"/>
  <c r="E41" i="10"/>
  <c r="C256" i="10"/>
  <c r="D256" i="10"/>
  <c r="E256" i="10"/>
  <c r="C169" i="10"/>
  <c r="D169" i="10"/>
  <c r="E169" i="10"/>
  <c r="C201" i="10"/>
  <c r="D201" i="10"/>
  <c r="E201" i="10"/>
  <c r="C237" i="10"/>
  <c r="D237" i="10"/>
  <c r="E237" i="10"/>
  <c r="C351" i="10"/>
  <c r="D351" i="10"/>
  <c r="E351" i="10"/>
  <c r="C391" i="10"/>
  <c r="D391" i="10"/>
  <c r="E391" i="10"/>
  <c r="C127" i="10"/>
  <c r="D127" i="10"/>
  <c r="E127" i="10"/>
  <c r="C361" i="10"/>
  <c r="D361" i="10"/>
  <c r="E361" i="10"/>
  <c r="C304" i="10"/>
  <c r="D304" i="10"/>
  <c r="E304" i="10"/>
  <c r="C113" i="10"/>
  <c r="D113" i="10"/>
  <c r="E113" i="10"/>
  <c r="C87" i="10"/>
  <c r="D87" i="10"/>
  <c r="E87" i="10"/>
  <c r="C90" i="10"/>
  <c r="D90" i="10"/>
  <c r="E90" i="10"/>
  <c r="C117" i="10"/>
  <c r="D117" i="10"/>
  <c r="E117" i="10"/>
  <c r="C150" i="10"/>
  <c r="D150" i="10"/>
  <c r="E150" i="10"/>
  <c r="C172" i="10"/>
  <c r="D172" i="10"/>
  <c r="E172" i="10"/>
  <c r="C267" i="10"/>
  <c r="D267" i="10"/>
  <c r="E267" i="10"/>
  <c r="C71" i="10"/>
  <c r="D71" i="10"/>
  <c r="E71" i="10"/>
  <c r="C3" i="10"/>
  <c r="D3" i="10"/>
  <c r="E3" i="10"/>
  <c r="C45" i="10"/>
  <c r="D45" i="10"/>
  <c r="E45" i="10"/>
  <c r="C105" i="10"/>
  <c r="D105" i="10"/>
  <c r="E105" i="10"/>
  <c r="C191" i="10"/>
  <c r="D191" i="10"/>
  <c r="E191" i="10"/>
  <c r="C141" i="10"/>
  <c r="D141" i="10"/>
  <c r="E141" i="10"/>
  <c r="C214" i="10"/>
  <c r="D214" i="10"/>
  <c r="E214" i="10"/>
  <c r="C373" i="10"/>
  <c r="D373" i="10"/>
  <c r="E373" i="10"/>
  <c r="C17" i="10"/>
  <c r="D17" i="10"/>
  <c r="E17" i="10"/>
  <c r="C297" i="10"/>
  <c r="D297" i="10"/>
  <c r="E297" i="10"/>
  <c r="C393" i="10"/>
  <c r="D393" i="10"/>
  <c r="E393" i="10"/>
  <c r="C139" i="10"/>
  <c r="D139" i="10"/>
  <c r="E139" i="10"/>
  <c r="C160" i="10"/>
  <c r="D160" i="10"/>
  <c r="E160" i="10"/>
  <c r="C170" i="10"/>
  <c r="D170" i="10"/>
  <c r="E170" i="10"/>
  <c r="C20" i="10"/>
  <c r="D20" i="10"/>
  <c r="E20" i="10"/>
  <c r="C82" i="10"/>
  <c r="D82" i="10"/>
  <c r="E82" i="10"/>
  <c r="C239" i="10"/>
  <c r="D239" i="10"/>
  <c r="E239" i="10"/>
  <c r="C248" i="10"/>
  <c r="D248" i="10"/>
  <c r="E248" i="10"/>
  <c r="C62" i="10"/>
  <c r="D62" i="10"/>
  <c r="E62" i="10"/>
  <c r="C352" i="10"/>
  <c r="D352" i="10"/>
  <c r="E352" i="10"/>
  <c r="C166" i="10"/>
  <c r="D166" i="10"/>
  <c r="E166" i="10"/>
  <c r="C28" i="10"/>
  <c r="D28" i="10"/>
  <c r="E28" i="10"/>
  <c r="C148" i="10"/>
  <c r="D148" i="10"/>
  <c r="E148" i="10"/>
  <c r="C270" i="10"/>
  <c r="D270" i="10"/>
  <c r="E270" i="10"/>
  <c r="C44" i="10"/>
  <c r="D44" i="10"/>
  <c r="E44" i="10"/>
  <c r="C60" i="10"/>
  <c r="D60" i="10"/>
  <c r="E60" i="10"/>
  <c r="C7" i="10"/>
  <c r="D7" i="10"/>
  <c r="E7" i="10"/>
  <c r="C326" i="10"/>
  <c r="D326" i="10"/>
  <c r="E326" i="10"/>
  <c r="C192" i="10"/>
  <c r="D192" i="10"/>
  <c r="E192" i="10"/>
  <c r="C222" i="10"/>
  <c r="D222" i="10"/>
  <c r="E222" i="10"/>
  <c r="C325" i="10"/>
  <c r="D325" i="10"/>
  <c r="E325" i="10"/>
  <c r="C227" i="10"/>
  <c r="D227" i="10"/>
  <c r="E227" i="10"/>
  <c r="C203" i="10"/>
  <c r="D203" i="10"/>
  <c r="E203" i="10"/>
  <c r="C296" i="10"/>
  <c r="D296" i="10"/>
  <c r="E296" i="10"/>
  <c r="C406" i="10"/>
  <c r="D406" i="10"/>
  <c r="E406" i="10"/>
  <c r="C338" i="10"/>
  <c r="D338" i="10"/>
  <c r="E338" i="10"/>
  <c r="C315" i="10"/>
  <c r="D315" i="10"/>
  <c r="E315" i="10"/>
  <c r="C226" i="10"/>
  <c r="D226" i="10"/>
  <c r="E226" i="10"/>
  <c r="C15" i="10"/>
  <c r="D15" i="10"/>
  <c r="E15" i="10"/>
  <c r="C311" i="10"/>
  <c r="D311" i="10"/>
  <c r="E311" i="10"/>
  <c r="C97" i="10"/>
  <c r="D97" i="10"/>
  <c r="E97" i="10"/>
  <c r="C121" i="10"/>
  <c r="D121" i="10"/>
  <c r="E121" i="10"/>
  <c r="C283" i="10"/>
  <c r="D283" i="10"/>
  <c r="E283" i="10"/>
  <c r="C126" i="10"/>
  <c r="D126" i="10"/>
  <c r="E126" i="10"/>
  <c r="C268" i="10"/>
  <c r="D268" i="10"/>
  <c r="E268" i="10"/>
  <c r="C305" i="10"/>
  <c r="D305" i="10"/>
  <c r="E305" i="10"/>
  <c r="C212" i="10"/>
  <c r="D212" i="10"/>
  <c r="E212" i="10"/>
  <c r="C213" i="10"/>
  <c r="D213" i="10"/>
  <c r="E213" i="10"/>
  <c r="C235" i="10"/>
  <c r="D235" i="10"/>
  <c r="E235" i="10"/>
  <c r="C301" i="10"/>
  <c r="D301" i="10"/>
  <c r="E301" i="10"/>
  <c r="C128" i="10"/>
  <c r="D128" i="10"/>
  <c r="E128" i="10"/>
  <c r="C343" i="10"/>
  <c r="D343" i="10"/>
  <c r="E343" i="10"/>
  <c r="C120" i="10"/>
  <c r="D120" i="10"/>
  <c r="E120" i="10"/>
  <c r="C328" i="10"/>
  <c r="D328" i="10"/>
  <c r="E328" i="10"/>
  <c r="C108" i="10"/>
  <c r="D108" i="10"/>
  <c r="E108" i="10"/>
  <c r="C339" i="10"/>
  <c r="D339" i="10"/>
  <c r="E339" i="10"/>
  <c r="C196" i="10"/>
  <c r="D196" i="10"/>
  <c r="E196" i="10"/>
  <c r="C318" i="10"/>
  <c r="D318" i="10"/>
  <c r="E318" i="10"/>
  <c r="C39" i="10"/>
  <c r="D39" i="10"/>
  <c r="E39" i="10"/>
  <c r="C278" i="10"/>
  <c r="D278" i="10"/>
  <c r="E278" i="10"/>
  <c r="C307" i="10"/>
  <c r="D307" i="10"/>
  <c r="E307" i="10"/>
  <c r="C332" i="10"/>
  <c r="D332" i="10"/>
  <c r="E332" i="10"/>
  <c r="C403" i="10"/>
  <c r="D403" i="10"/>
  <c r="E403" i="10"/>
  <c r="C53" i="10"/>
  <c r="D53" i="10"/>
  <c r="E53" i="10"/>
  <c r="C264" i="10"/>
  <c r="D264" i="10"/>
  <c r="E264" i="10"/>
  <c r="C2" i="10"/>
  <c r="D2" i="10"/>
  <c r="E2" i="10"/>
  <c r="C177" i="10"/>
  <c r="D177" i="10"/>
  <c r="E177" i="10"/>
  <c r="C32" i="10"/>
  <c r="D32" i="10"/>
  <c r="E32" i="10"/>
  <c r="C173" i="10"/>
  <c r="D173" i="10"/>
  <c r="E173" i="10"/>
  <c r="C199" i="10"/>
  <c r="D199" i="10"/>
  <c r="E199" i="10"/>
  <c r="C124" i="10"/>
  <c r="D124" i="10"/>
  <c r="E124" i="10"/>
  <c r="C146" i="10"/>
  <c r="D146" i="10"/>
  <c r="E146" i="10"/>
  <c r="C64" i="10"/>
  <c r="D64" i="10"/>
  <c r="E64" i="10"/>
  <c r="C91" i="10"/>
  <c r="D91" i="10"/>
  <c r="E91" i="10"/>
  <c r="C58" i="10"/>
  <c r="D58" i="10"/>
  <c r="E58" i="10"/>
  <c r="C384" i="10"/>
  <c r="D384" i="10"/>
  <c r="E384" i="10"/>
  <c r="C336" i="10"/>
  <c r="D336" i="10"/>
  <c r="E336" i="10"/>
  <c r="C381" i="10"/>
  <c r="D381" i="10"/>
  <c r="E381" i="10"/>
  <c r="C306" i="10"/>
  <c r="D306" i="10"/>
  <c r="E306" i="10"/>
  <c r="C42" i="10"/>
  <c r="D42" i="10"/>
  <c r="E42" i="10"/>
  <c r="C110" i="10"/>
  <c r="D110" i="10"/>
  <c r="E110" i="10"/>
  <c r="C221" i="10"/>
  <c r="D221" i="10"/>
  <c r="E221" i="10"/>
  <c r="C353" i="10"/>
  <c r="D353" i="10"/>
  <c r="E353" i="10"/>
  <c r="C33" i="10"/>
  <c r="D33" i="10"/>
  <c r="E33" i="10"/>
  <c r="C257" i="10"/>
  <c r="D257" i="10"/>
  <c r="E257" i="10"/>
  <c r="C346" i="10"/>
  <c r="D346" i="10"/>
  <c r="E346" i="10"/>
  <c r="C229" i="10"/>
  <c r="D229" i="10"/>
  <c r="E229" i="10"/>
  <c r="C327" i="10"/>
  <c r="D327" i="10"/>
  <c r="E327" i="10"/>
  <c r="C320" i="10"/>
  <c r="D320" i="10"/>
  <c r="E320" i="10"/>
  <c r="C207" i="10"/>
  <c r="D207" i="10"/>
  <c r="E207" i="10"/>
  <c r="C367" i="10"/>
  <c r="D367" i="10"/>
  <c r="E367" i="10"/>
  <c r="C56" i="10"/>
  <c r="D56" i="10"/>
  <c r="E56" i="10"/>
  <c r="C116" i="10"/>
  <c r="D116" i="10"/>
  <c r="E116" i="10"/>
  <c r="C107" i="10"/>
  <c r="D107" i="10"/>
  <c r="E107" i="10"/>
  <c r="C330" i="10"/>
  <c r="D330" i="10"/>
  <c r="E330" i="10"/>
  <c r="C9" i="10"/>
  <c r="D9" i="10"/>
  <c r="E9" i="10"/>
  <c r="C73" i="10"/>
  <c r="D73" i="10"/>
  <c r="E73" i="10"/>
  <c r="C288" i="10"/>
  <c r="D288" i="10"/>
  <c r="E288" i="10"/>
  <c r="C310" i="10"/>
  <c r="D310" i="10"/>
  <c r="E310" i="10"/>
  <c r="C35" i="10"/>
  <c r="D35" i="10"/>
  <c r="E35" i="10"/>
  <c r="C156" i="10"/>
  <c r="D156" i="10"/>
  <c r="E156" i="10"/>
  <c r="C262" i="10"/>
  <c r="D262" i="10"/>
  <c r="E262" i="10"/>
  <c r="C154" i="10"/>
  <c r="D154" i="10"/>
  <c r="E154" i="10"/>
  <c r="C143" i="10"/>
  <c r="D143" i="10"/>
  <c r="E143" i="10"/>
  <c r="C287" i="10"/>
  <c r="D287" i="10"/>
  <c r="E287" i="10"/>
  <c r="C176" i="10"/>
  <c r="D176" i="10"/>
  <c r="E176" i="10"/>
  <c r="C322" i="10"/>
  <c r="D322" i="10"/>
  <c r="E322" i="10"/>
  <c r="C144" i="10"/>
  <c r="D144" i="10"/>
  <c r="E144" i="10"/>
  <c r="C171" i="10"/>
  <c r="D171" i="10"/>
  <c r="E171" i="10"/>
  <c r="C355" i="10"/>
  <c r="D355" i="10"/>
  <c r="E355" i="10"/>
  <c r="C255" i="10"/>
  <c r="D255" i="10"/>
  <c r="E255" i="10"/>
  <c r="C334" i="10"/>
  <c r="D334" i="10"/>
  <c r="E334" i="10"/>
  <c r="C25" i="10"/>
  <c r="D25" i="10"/>
  <c r="E25" i="10"/>
  <c r="C59" i="10"/>
  <c r="D59" i="10"/>
  <c r="E59" i="10"/>
  <c r="C67" i="10"/>
  <c r="D67" i="10"/>
  <c r="E67" i="10"/>
  <c r="C356" i="10"/>
  <c r="D356" i="10"/>
  <c r="E356" i="10"/>
  <c r="C314" i="10"/>
  <c r="D314" i="10"/>
  <c r="E314" i="10"/>
  <c r="C291" i="10"/>
  <c r="D291" i="10"/>
  <c r="E291" i="10"/>
  <c r="C84" i="10"/>
  <c r="D84" i="10"/>
  <c r="E84" i="10"/>
  <c r="C387" i="10"/>
  <c r="D387" i="10"/>
  <c r="E387" i="10"/>
  <c r="C48" i="10"/>
  <c r="D48" i="10"/>
  <c r="E48" i="10"/>
  <c r="C49" i="10"/>
  <c r="D49" i="10"/>
  <c r="E49" i="10"/>
  <c r="C69" i="10"/>
  <c r="D69" i="10"/>
  <c r="E69" i="10"/>
  <c r="C153" i="10"/>
  <c r="D153" i="10"/>
  <c r="E153" i="10"/>
  <c r="C241" i="10"/>
  <c r="D241" i="10"/>
  <c r="E241" i="10"/>
  <c r="C5" i="10"/>
  <c r="D5" i="10"/>
  <c r="E5" i="10"/>
  <c r="C99" i="10"/>
  <c r="D99" i="10"/>
  <c r="E99" i="10"/>
  <c r="C246" i="10"/>
  <c r="D246" i="10"/>
  <c r="E246" i="10"/>
  <c r="C271" i="10"/>
  <c r="D271" i="10"/>
  <c r="E271" i="10"/>
  <c r="C374" i="10"/>
  <c r="D374" i="10"/>
  <c r="E374" i="10"/>
  <c r="C370" i="10"/>
  <c r="D370" i="10"/>
  <c r="E370" i="10"/>
  <c r="C12" i="10"/>
  <c r="D12" i="10"/>
  <c r="E12" i="10"/>
  <c r="C368" i="10"/>
  <c r="D368" i="10"/>
  <c r="E368" i="10"/>
  <c r="C79" i="10"/>
  <c r="D79" i="10"/>
  <c r="E79" i="10"/>
  <c r="C272" i="10"/>
  <c r="D272" i="10"/>
  <c r="E272" i="10"/>
  <c r="C16" i="10"/>
  <c r="D16" i="10"/>
  <c r="E16" i="10"/>
  <c r="C182" i="10"/>
  <c r="D182" i="10"/>
  <c r="E182" i="10"/>
  <c r="C389" i="10"/>
  <c r="D389" i="10"/>
  <c r="E389" i="10"/>
  <c r="C161" i="10"/>
  <c r="D161" i="10"/>
  <c r="E161" i="10"/>
  <c r="C247" i="10"/>
  <c r="D247" i="10"/>
  <c r="E247" i="10"/>
  <c r="C4" i="10"/>
  <c r="D4" i="10"/>
  <c r="E4" i="10"/>
  <c r="C149" i="10"/>
  <c r="D149" i="10"/>
  <c r="E149" i="10"/>
  <c r="C382" i="10"/>
  <c r="D382" i="10"/>
  <c r="E382" i="10"/>
  <c r="C211" i="10"/>
  <c r="D211" i="10"/>
  <c r="E211" i="10"/>
  <c r="C40" i="10"/>
  <c r="D40" i="10"/>
  <c r="E40" i="10"/>
  <c r="C299" i="10"/>
  <c r="D299" i="10"/>
  <c r="E299" i="10"/>
  <c r="C397" i="10"/>
  <c r="D397" i="10"/>
  <c r="E397" i="10"/>
  <c r="C323" i="10"/>
  <c r="D323" i="10"/>
  <c r="E323" i="10"/>
  <c r="C319" i="10"/>
  <c r="D319" i="10"/>
  <c r="E319" i="10"/>
  <c r="C29" i="10"/>
  <c r="D29" i="10"/>
  <c r="E29" i="10"/>
  <c r="C50" i="10"/>
  <c r="D50" i="10"/>
  <c r="E50" i="10"/>
  <c r="C145" i="10"/>
  <c r="D145" i="10"/>
  <c r="E145" i="10"/>
  <c r="C308" i="10"/>
  <c r="D308" i="10"/>
  <c r="E308" i="10"/>
  <c r="C129" i="10"/>
  <c r="D129" i="10"/>
  <c r="E129" i="10"/>
  <c r="C55" i="10"/>
  <c r="D55" i="10"/>
  <c r="E55" i="10"/>
  <c r="C231" i="10"/>
  <c r="D231" i="10"/>
  <c r="E231" i="10"/>
  <c r="C175" i="10"/>
  <c r="D175" i="10"/>
  <c r="E175" i="10"/>
  <c r="C46" i="10"/>
  <c r="D46" i="10"/>
  <c r="E46" i="10"/>
  <c r="C354" i="10"/>
  <c r="D354" i="10"/>
  <c r="E354" i="10"/>
  <c r="C209" i="10"/>
  <c r="D209" i="10"/>
  <c r="E209" i="10"/>
  <c r="C331" i="10"/>
  <c r="D331" i="10"/>
  <c r="E331" i="10"/>
  <c r="C159" i="10"/>
  <c r="D159" i="10"/>
  <c r="E159" i="10"/>
  <c r="C321" i="10"/>
  <c r="D321" i="10"/>
  <c r="E321" i="10"/>
  <c r="C19" i="10"/>
  <c r="D19" i="10"/>
  <c r="E19" i="10"/>
  <c r="C357" i="10"/>
  <c r="D357" i="10"/>
  <c r="E357" i="10"/>
  <c r="C135" i="10"/>
  <c r="D135" i="10"/>
  <c r="E135" i="10"/>
  <c r="C263" i="10"/>
  <c r="D263" i="10"/>
  <c r="E263" i="10"/>
  <c r="C250" i="10"/>
  <c r="D250" i="10"/>
  <c r="E250" i="10"/>
  <c r="C394" i="10"/>
  <c r="D394" i="10"/>
  <c r="E394" i="10"/>
  <c r="C369" i="10"/>
  <c r="D369" i="10"/>
  <c r="E369" i="10"/>
  <c r="C83" i="10"/>
  <c r="D83" i="10"/>
  <c r="E83" i="10"/>
  <c r="C119" i="10"/>
  <c r="D119" i="10"/>
  <c r="E119" i="10"/>
  <c r="C180" i="10"/>
  <c r="D180" i="10"/>
  <c r="E180" i="10"/>
  <c r="C189" i="10"/>
  <c r="D189" i="10"/>
  <c r="E189" i="10"/>
  <c r="C350" i="10"/>
  <c r="D350" i="10"/>
  <c r="E350" i="10"/>
  <c r="C13" i="10"/>
  <c r="D13" i="10"/>
  <c r="E13" i="10"/>
  <c r="C324" i="10"/>
  <c r="D324" i="10"/>
  <c r="E324" i="10"/>
  <c r="C313" i="10"/>
  <c r="D313" i="10"/>
  <c r="E313" i="10"/>
  <c r="C202" i="10"/>
  <c r="D202" i="10"/>
  <c r="E202" i="10"/>
  <c r="C134" i="10"/>
  <c r="D134" i="10"/>
  <c r="E134" i="10"/>
  <c r="C183" i="10"/>
  <c r="D183" i="10"/>
  <c r="E183" i="10"/>
  <c r="C360" i="10"/>
  <c r="D360" i="10"/>
  <c r="E360" i="10"/>
  <c r="C404" i="10"/>
  <c r="D404" i="10"/>
  <c r="E404" i="10"/>
  <c r="C254" i="10"/>
  <c r="D254" i="10"/>
  <c r="E254" i="10"/>
  <c r="C279" i="10"/>
  <c r="D279" i="10"/>
  <c r="E279" i="10"/>
  <c r="C259" i="10"/>
  <c r="D259" i="10"/>
  <c r="E259" i="10"/>
  <c r="C136" i="10"/>
  <c r="D136" i="10"/>
  <c r="E136" i="10"/>
  <c r="C157" i="10"/>
  <c r="D157" i="10"/>
  <c r="E157" i="10"/>
  <c r="C376" i="10"/>
  <c r="D376" i="10"/>
  <c r="E376" i="10"/>
  <c r="C114" i="10"/>
  <c r="D114" i="10"/>
  <c r="E114" i="10"/>
  <c r="C197" i="10"/>
  <c r="D197" i="10"/>
  <c r="E197" i="10"/>
  <c r="C363" i="10"/>
  <c r="D363" i="10"/>
  <c r="E363" i="10"/>
  <c r="C312" i="10"/>
  <c r="D312" i="10"/>
  <c r="E312" i="10"/>
  <c r="C298" i="10"/>
  <c r="D298" i="10"/>
  <c r="E298" i="10"/>
  <c r="C130" i="10"/>
  <c r="D130" i="10"/>
  <c r="E130" i="10"/>
  <c r="C193" i="10"/>
  <c r="D193" i="10"/>
  <c r="E193" i="10"/>
  <c r="C378" i="10"/>
  <c r="D378" i="10"/>
  <c r="E378" i="10"/>
  <c r="C200" i="10"/>
  <c r="D200" i="10"/>
  <c r="E200" i="10"/>
  <c r="C95" i="10"/>
  <c r="D95" i="10"/>
  <c r="E95" i="10"/>
  <c r="C137" i="10"/>
  <c r="D137" i="10"/>
  <c r="E137" i="10"/>
  <c r="C186" i="10"/>
  <c r="D186" i="10"/>
  <c r="E186" i="10"/>
  <c r="C236" i="10"/>
  <c r="D236" i="10"/>
  <c r="E236" i="10"/>
  <c r="C244" i="10"/>
  <c r="D244" i="10"/>
  <c r="E244" i="10"/>
  <c r="C289" i="10"/>
  <c r="D289" i="10"/>
  <c r="E289" i="10"/>
  <c r="C294" i="10"/>
  <c r="D294" i="10"/>
  <c r="E294" i="10"/>
  <c r="C340" i="10"/>
  <c r="D340" i="10"/>
  <c r="E340" i="10"/>
  <c r="C210" i="10"/>
  <c r="D210" i="10"/>
  <c r="E210" i="10"/>
  <c r="C386" i="10"/>
  <c r="D386" i="10"/>
  <c r="E386" i="10"/>
  <c r="C131" i="10"/>
  <c r="D131" i="10"/>
  <c r="E131" i="10"/>
  <c r="C98" i="10"/>
  <c r="D98" i="10"/>
  <c r="E98" i="10"/>
  <c r="C198" i="10"/>
  <c r="D198" i="10"/>
  <c r="E198" i="10"/>
  <c r="C390" i="10"/>
  <c r="D390" i="10"/>
  <c r="E390" i="10"/>
  <c r="C138" i="10"/>
  <c r="D138" i="10"/>
  <c r="E138" i="10"/>
  <c r="C204" i="10"/>
  <c r="D204" i="10"/>
  <c r="E204" i="10"/>
  <c r="C240" i="10"/>
  <c r="E240" i="10"/>
  <c r="C61" i="10"/>
  <c r="D61" i="10"/>
  <c r="E61" i="10"/>
  <c r="C92" i="10"/>
  <c r="D92" i="10"/>
  <c r="E92" i="10"/>
  <c r="C93" i="10"/>
  <c r="D93" i="10"/>
  <c r="E93" i="10"/>
  <c r="C162" i="10"/>
  <c r="D162" i="10"/>
  <c r="E162" i="10"/>
  <c r="C187" i="10"/>
  <c r="D187" i="10"/>
  <c r="E187" i="10"/>
  <c r="C132" i="10"/>
  <c r="D132" i="10"/>
  <c r="E132" i="10"/>
  <c r="C206" i="10"/>
  <c r="D206" i="10"/>
  <c r="E206" i="10"/>
  <c r="C125" i="10"/>
  <c r="D125" i="10"/>
  <c r="E125" i="10"/>
  <c r="C281" i="10"/>
  <c r="D281" i="10"/>
  <c r="E281" i="10"/>
  <c r="C400" i="10"/>
  <c r="D400" i="10"/>
  <c r="E400" i="10"/>
  <c r="C245" i="10"/>
  <c r="D245" i="10"/>
  <c r="E245" i="10"/>
  <c r="C333" i="10"/>
  <c r="D333" i="10"/>
  <c r="E333" i="10"/>
  <c r="C86" i="10"/>
  <c r="D86" i="10"/>
  <c r="E86" i="10"/>
  <c r="C276" i="10"/>
  <c r="D276" i="10"/>
  <c r="E276" i="10"/>
  <c r="C395" i="10"/>
  <c r="D395" i="10"/>
  <c r="E395" i="10"/>
  <c r="C293" i="10"/>
  <c r="D293" i="10"/>
  <c r="E293" i="10"/>
  <c r="C292" i="10"/>
  <c r="D292" i="10"/>
  <c r="E292" i="10"/>
  <c r="C401" i="10"/>
  <c r="D401" i="10"/>
  <c r="E401" i="10"/>
  <c r="C329" i="10"/>
  <c r="D329" i="10"/>
  <c r="E329" i="10"/>
  <c r="C399" i="10"/>
  <c r="D399" i="10"/>
  <c r="E399" i="10"/>
  <c r="C26" i="10"/>
  <c r="D26" i="10"/>
  <c r="E26" i="10"/>
  <c r="C68" i="10"/>
  <c r="D68" i="10"/>
  <c r="E68" i="10"/>
  <c r="C54" i="10"/>
  <c r="D54" i="10"/>
  <c r="E54" i="10"/>
  <c r="C118" i="10"/>
  <c r="D118" i="10"/>
  <c r="E118" i="10"/>
  <c r="C30" i="10"/>
  <c r="D30" i="10"/>
  <c r="E30" i="10"/>
  <c r="C195" i="10"/>
  <c r="D195" i="10"/>
  <c r="E195" i="10"/>
  <c r="C185" i="10"/>
  <c r="D185" i="10"/>
  <c r="E185" i="10"/>
  <c r="C78" i="10"/>
  <c r="D78" i="10"/>
  <c r="E78" i="10"/>
  <c r="C285" i="10"/>
  <c r="D285" i="10"/>
  <c r="E285" i="10"/>
  <c r="C34" i="10"/>
  <c r="D34" i="10"/>
  <c r="E34" i="10"/>
  <c r="C223" i="10"/>
  <c r="D223" i="10"/>
  <c r="E223" i="10"/>
  <c r="C290" i="10"/>
  <c r="D290" i="10"/>
  <c r="E290" i="10"/>
  <c r="C266" i="10"/>
  <c r="D266" i="10"/>
  <c r="E266" i="10"/>
  <c r="C269" i="10"/>
  <c r="D269" i="10"/>
  <c r="E269" i="10"/>
  <c r="C230" i="10"/>
  <c r="D230" i="10"/>
  <c r="E230" i="10"/>
  <c r="C37" i="10"/>
  <c r="D37" i="10"/>
  <c r="E37" i="10"/>
  <c r="C234" i="10"/>
  <c r="D234" i="10"/>
  <c r="E234" i="10"/>
  <c r="C75" i="10"/>
  <c r="D75" i="10"/>
  <c r="E75" i="10"/>
  <c r="C27" i="10"/>
  <c r="D27" i="10"/>
  <c r="E27" i="10"/>
  <c r="C309" i="10"/>
  <c r="D309" i="10"/>
  <c r="E309" i="10"/>
  <c r="C348" i="10"/>
  <c r="D348" i="10"/>
  <c r="E348" i="10"/>
  <c r="C89" i="10"/>
  <c r="D89" i="10"/>
  <c r="E89" i="10"/>
  <c r="C344" i="10"/>
  <c r="D344" i="10"/>
  <c r="E344" i="10"/>
  <c r="C190" i="10"/>
  <c r="D190" i="10"/>
  <c r="E190" i="10"/>
  <c r="C63" i="10"/>
  <c r="D63" i="10"/>
  <c r="E63" i="10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9" i="3"/>
  <c r="B20" i="3"/>
  <c r="B21" i="3"/>
  <c r="B32" i="3"/>
  <c r="B22" i="3"/>
  <c r="B23" i="3"/>
  <c r="B33" i="3"/>
  <c r="B34" i="3"/>
  <c r="B35" i="3"/>
  <c r="B24" i="3"/>
  <c r="B25" i="3"/>
  <c r="B26" i="3"/>
  <c r="B27" i="3"/>
  <c r="B28" i="3"/>
  <c r="B29" i="3"/>
  <c r="B30" i="3"/>
  <c r="B31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9" i="3"/>
  <c r="C20" i="3"/>
  <c r="C21" i="3"/>
  <c r="C32" i="3"/>
  <c r="C22" i="3"/>
  <c r="C23" i="3"/>
  <c r="C33" i="3"/>
  <c r="C34" i="3"/>
  <c r="C35" i="3"/>
  <c r="C24" i="3"/>
  <c r="C25" i="3"/>
  <c r="C26" i="3"/>
  <c r="C27" i="3"/>
  <c r="C28" i="3"/>
  <c r="C29" i="3"/>
  <c r="C30" i="3"/>
  <c r="C31" i="3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99" i="9"/>
  <c r="C100" i="9"/>
  <c r="C44" i="9"/>
  <c r="C45" i="9"/>
  <c r="C33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3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4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5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34" i="9"/>
  <c r="C35" i="9"/>
  <c r="C36" i="9"/>
  <c r="C37" i="9"/>
  <c r="C38" i="9"/>
  <c r="C39" i="9"/>
  <c r="C40" i="9"/>
  <c r="C41" i="9"/>
  <c r="C42" i="9"/>
  <c r="C43" i="9"/>
  <c r="C27" i="9"/>
  <c r="C28" i="9"/>
  <c r="C29" i="9"/>
  <c r="C30" i="9"/>
  <c r="C31" i="9"/>
  <c r="C32" i="9"/>
  <c r="C114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99" i="9"/>
  <c r="D100" i="9"/>
  <c r="D44" i="9"/>
  <c r="D45" i="9"/>
  <c r="D33" i="9"/>
  <c r="D117" i="9"/>
  <c r="D114" i="9"/>
  <c r="D118" i="9"/>
  <c r="D115" i="9"/>
  <c r="D116" i="9"/>
  <c r="D120" i="9"/>
  <c r="D119" i="9"/>
  <c r="D121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3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4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5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34" i="9"/>
  <c r="D35" i="9"/>
  <c r="D36" i="9"/>
  <c r="D37" i="9"/>
  <c r="D38" i="9"/>
  <c r="D39" i="9"/>
  <c r="D40" i="9"/>
  <c r="D41" i="9"/>
  <c r="D42" i="9"/>
  <c r="D43" i="9"/>
  <c r="D27" i="9"/>
  <c r="D28" i="9"/>
  <c r="D29" i="9"/>
  <c r="D30" i="9"/>
  <c r="D31" i="9"/>
  <c r="D32" i="9"/>
  <c r="D122" i="9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BQ2" i="1"/>
  <c r="BR2" i="1"/>
  <c r="BS2" i="1"/>
  <c r="BT2" i="1"/>
  <c r="BU2" i="1"/>
  <c r="BV2" i="1"/>
  <c r="BW2" i="1"/>
  <c r="BX2" i="1"/>
  <c r="BY2" i="1"/>
  <c r="BZ2" i="1"/>
  <c r="CA2" i="1"/>
  <c r="CB2" i="1"/>
  <c r="BQ3" i="1"/>
  <c r="BR3" i="1"/>
  <c r="BS3" i="1"/>
  <c r="BT3" i="1"/>
  <c r="BU3" i="1"/>
  <c r="BV3" i="1"/>
  <c r="BW3" i="1"/>
  <c r="BX3" i="1"/>
  <c r="BY3" i="1"/>
  <c r="BZ3" i="1"/>
  <c r="CA3" i="1"/>
  <c r="CB3" i="1"/>
  <c r="BQ4" i="1"/>
  <c r="BR4" i="1"/>
  <c r="BS4" i="1"/>
  <c r="BT4" i="1"/>
  <c r="BU4" i="1"/>
  <c r="BV4" i="1"/>
  <c r="BW4" i="1"/>
  <c r="BX4" i="1"/>
  <c r="BY4" i="1"/>
  <c r="BZ4" i="1"/>
  <c r="CA4" i="1"/>
  <c r="CB4" i="1"/>
  <c r="BQ5" i="1"/>
  <c r="BR5" i="1"/>
  <c r="BS5" i="1"/>
  <c r="BT5" i="1"/>
  <c r="BU5" i="1"/>
  <c r="BV5" i="1"/>
  <c r="BW5" i="1"/>
  <c r="BX5" i="1"/>
  <c r="BY5" i="1"/>
  <c r="BZ5" i="1"/>
  <c r="CA5" i="1"/>
  <c r="CB5" i="1"/>
  <c r="BQ7" i="1"/>
  <c r="BR7" i="1"/>
  <c r="BS7" i="1"/>
  <c r="BT7" i="1"/>
  <c r="BU7" i="1"/>
  <c r="BV7" i="1"/>
  <c r="BW7" i="1"/>
  <c r="BX7" i="1"/>
  <c r="BY7" i="1"/>
  <c r="BZ7" i="1"/>
  <c r="CA7" i="1"/>
  <c r="CB7" i="1"/>
  <c r="BQ8" i="1"/>
  <c r="BR8" i="1"/>
  <c r="BS8" i="1"/>
  <c r="BT8" i="1"/>
  <c r="BU8" i="1"/>
  <c r="BV8" i="1"/>
  <c r="BW8" i="1"/>
  <c r="BX8" i="1"/>
  <c r="BY8" i="1"/>
  <c r="BZ8" i="1"/>
  <c r="CA8" i="1"/>
  <c r="CB8" i="1"/>
  <c r="BQ9" i="1"/>
  <c r="BR9" i="1"/>
  <c r="BS9" i="1"/>
  <c r="BT9" i="1"/>
  <c r="BU9" i="1"/>
  <c r="BV9" i="1"/>
  <c r="BW9" i="1"/>
  <c r="BX9" i="1"/>
  <c r="BY9" i="1"/>
  <c r="BZ9" i="1"/>
  <c r="CA9" i="1"/>
  <c r="CB9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BQ65" i="1"/>
  <c r="BS65" i="1"/>
  <c r="BT65" i="1"/>
  <c r="BU65" i="1"/>
  <c r="BV65" i="1"/>
  <c r="BW65" i="1"/>
  <c r="BX65" i="1"/>
  <c r="BY65" i="1"/>
  <c r="BZ65" i="1"/>
  <c r="CA65" i="1"/>
  <c r="CB65" i="1"/>
  <c r="BQ66" i="1"/>
  <c r="BS66" i="1"/>
  <c r="BT66" i="1"/>
  <c r="BU66" i="1"/>
  <c r="BV66" i="1"/>
  <c r="BW66" i="1"/>
  <c r="BX66" i="1"/>
  <c r="BY66" i="1"/>
  <c r="BZ66" i="1"/>
  <c r="CA66" i="1"/>
  <c r="CB66" i="1"/>
  <c r="BQ67" i="1"/>
  <c r="BS67" i="1"/>
  <c r="BT67" i="1"/>
  <c r="BU67" i="1"/>
  <c r="BV67" i="1"/>
  <c r="BW67" i="1"/>
  <c r="BX67" i="1"/>
  <c r="BY67" i="1"/>
  <c r="BZ67" i="1"/>
  <c r="CA67" i="1"/>
  <c r="CB67" i="1"/>
  <c r="BQ68" i="1"/>
  <c r="BS68" i="1"/>
  <c r="BT68" i="1"/>
  <c r="BU68" i="1"/>
  <c r="BV68" i="1"/>
  <c r="BW68" i="1"/>
  <c r="BX68" i="1"/>
  <c r="BY68" i="1"/>
  <c r="BZ68" i="1"/>
  <c r="CA68" i="1"/>
  <c r="CB68" i="1"/>
  <c r="BQ69" i="1"/>
  <c r="BS69" i="1"/>
  <c r="BT69" i="1"/>
  <c r="BU69" i="1"/>
  <c r="BV69" i="1"/>
  <c r="BW69" i="1"/>
  <c r="BX69" i="1"/>
  <c r="BY69" i="1"/>
  <c r="BZ69" i="1"/>
  <c r="CA69" i="1"/>
  <c r="CB69" i="1"/>
  <c r="BQ70" i="1"/>
  <c r="BS70" i="1"/>
  <c r="BT70" i="1"/>
  <c r="BU70" i="1"/>
  <c r="BV70" i="1"/>
  <c r="BW70" i="1"/>
  <c r="BX70" i="1"/>
  <c r="BY70" i="1"/>
  <c r="BZ70" i="1"/>
  <c r="CA70" i="1"/>
  <c r="CB70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B71" i="1"/>
  <c r="CA71" i="1"/>
  <c r="BZ71" i="1"/>
  <c r="BY71" i="1"/>
  <c r="BX71" i="1"/>
  <c r="BW71" i="1"/>
  <c r="BV71" i="1"/>
  <c r="BU71" i="1"/>
  <c r="BT71" i="1"/>
  <c r="BS71" i="1"/>
  <c r="BQ71" i="1"/>
  <c r="BD2" i="1"/>
  <c r="BD5" i="1"/>
  <c r="AA17" i="2"/>
  <c r="BD74" i="1"/>
  <c r="BD75" i="1"/>
  <c r="BD76" i="1"/>
  <c r="BD77" i="1"/>
  <c r="CC3" i="1"/>
  <c r="CD3" i="1"/>
  <c r="CE3" i="1"/>
  <c r="CF3" i="1"/>
  <c r="CG3" i="1"/>
  <c r="CH3" i="1"/>
  <c r="CI3" i="1"/>
  <c r="CJ3" i="1"/>
  <c r="CK3" i="1"/>
  <c r="CL3" i="1"/>
  <c r="CM3" i="1"/>
  <c r="CN3" i="1"/>
  <c r="BC3" i="1"/>
  <c r="CC4" i="1"/>
  <c r="CD4" i="1"/>
  <c r="CE4" i="1"/>
  <c r="CF4" i="1"/>
  <c r="CG4" i="1"/>
  <c r="CH4" i="1"/>
  <c r="CI4" i="1"/>
  <c r="CJ4" i="1"/>
  <c r="CK4" i="1"/>
  <c r="CL4" i="1"/>
  <c r="CM4" i="1"/>
  <c r="CN4" i="1"/>
  <c r="BC4" i="1"/>
  <c r="CC5" i="1"/>
  <c r="CD5" i="1"/>
  <c r="CE5" i="1"/>
  <c r="CF5" i="1"/>
  <c r="CG5" i="1"/>
  <c r="CH5" i="1"/>
  <c r="CI5" i="1"/>
  <c r="CJ5" i="1"/>
  <c r="CK5" i="1"/>
  <c r="CL5" i="1"/>
  <c r="CM5" i="1"/>
  <c r="CN5" i="1"/>
  <c r="BC5" i="1"/>
  <c r="CC7" i="1"/>
  <c r="CD7" i="1"/>
  <c r="CE7" i="1"/>
  <c r="CF7" i="1"/>
  <c r="CG7" i="1"/>
  <c r="CH7" i="1"/>
  <c r="CI7" i="1"/>
  <c r="CJ7" i="1"/>
  <c r="CK7" i="1"/>
  <c r="CL7" i="1"/>
  <c r="CM7" i="1"/>
  <c r="CN7" i="1"/>
  <c r="BC7" i="1"/>
  <c r="CC8" i="1"/>
  <c r="CD8" i="1"/>
  <c r="CE8" i="1"/>
  <c r="CF8" i="1"/>
  <c r="CG8" i="1"/>
  <c r="CH8" i="1"/>
  <c r="CI8" i="1"/>
  <c r="CJ8" i="1"/>
  <c r="CK8" i="1"/>
  <c r="CL8" i="1"/>
  <c r="CM8" i="1"/>
  <c r="CN8" i="1"/>
  <c r="BC8" i="1"/>
  <c r="CC9" i="1"/>
  <c r="CD9" i="1"/>
  <c r="CE9" i="1"/>
  <c r="CF9" i="1"/>
  <c r="CG9" i="1"/>
  <c r="CH9" i="1"/>
  <c r="CI9" i="1"/>
  <c r="CJ9" i="1"/>
  <c r="CK9" i="1"/>
  <c r="CL9" i="1"/>
  <c r="CM9" i="1"/>
  <c r="CN9" i="1"/>
  <c r="BC9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BC10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BC11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BC12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BC13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BC14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BC15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BC16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BC17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BC18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BC21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BC22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BC23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BC24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BC25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BC26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BC27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BC28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BC29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BC30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BC31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BC32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BC33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BC34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BC35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BC36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BC37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BC38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BC39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BC40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BC41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BC42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BC43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BC44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BC45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BC46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BC47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BC48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BC49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BC50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BC51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BC52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BC53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BC54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BC55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BC56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BC57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BC58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BC59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BC60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BC61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BC62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BC63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BC64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BC65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BC66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BC67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BC68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BC69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BC70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BC71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BC72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BC73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BC74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BC75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BC76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BC77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BC78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BC79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BC80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BC81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BC82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BC83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BC84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BC85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BC86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BC87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BC88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BC89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BC90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BC91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BC92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BC93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BC94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BC95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BC96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BC97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BC98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BC99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BC100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BC101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BC102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BC106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BC107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BC108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BC109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BC110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BC111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BC112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BC113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BC114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BC115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BC116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BC117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BC118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BC119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BC120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BC122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BC121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BC123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BC124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BC126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BC127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BC128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BC129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BC130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BC131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BC132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BC133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BC134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BC135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BC136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BC137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BC138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BC139" i="1"/>
  <c r="CC2" i="1"/>
  <c r="CD2" i="1"/>
  <c r="CE2" i="1"/>
  <c r="CF2" i="1"/>
  <c r="CG2" i="1"/>
  <c r="CH2" i="1"/>
  <c r="CI2" i="1"/>
  <c r="CJ2" i="1"/>
  <c r="CK2" i="1"/>
  <c r="CL2" i="1"/>
  <c r="CM2" i="1"/>
  <c r="CN2" i="1"/>
  <c r="BC2" i="1"/>
  <c r="AZ139" i="1"/>
  <c r="BD139" i="1"/>
  <c r="AZ138" i="1"/>
  <c r="BD138" i="1"/>
  <c r="AZ137" i="1"/>
  <c r="BD137" i="1"/>
  <c r="AZ136" i="1"/>
  <c r="BD136" i="1"/>
  <c r="AZ135" i="1"/>
  <c r="BD135" i="1"/>
  <c r="AZ134" i="1"/>
  <c r="BD134" i="1"/>
  <c r="AZ133" i="1"/>
  <c r="BD133" i="1"/>
  <c r="AZ132" i="1"/>
  <c r="BD132" i="1"/>
  <c r="AZ131" i="1"/>
  <c r="BD131" i="1"/>
  <c r="AZ130" i="1"/>
  <c r="BD130" i="1"/>
  <c r="AZ129" i="1"/>
  <c r="BD129" i="1"/>
  <c r="AZ128" i="1"/>
  <c r="BD128" i="1"/>
  <c r="AZ127" i="1"/>
  <c r="BD127" i="1"/>
  <c r="AZ126" i="1"/>
  <c r="BD126" i="1"/>
  <c r="AZ124" i="1"/>
  <c r="BD124" i="1"/>
  <c r="AZ123" i="1"/>
  <c r="BD123" i="1"/>
  <c r="AZ121" i="1"/>
  <c r="BD121" i="1"/>
  <c r="AZ122" i="1"/>
  <c r="BD122" i="1"/>
  <c r="AZ120" i="1"/>
  <c r="BD120" i="1"/>
  <c r="AZ119" i="1"/>
  <c r="BD119" i="1"/>
  <c r="AZ118" i="1"/>
  <c r="BD118" i="1"/>
  <c r="AZ117" i="1"/>
  <c r="BD117" i="1"/>
  <c r="AZ116" i="1"/>
  <c r="BD116" i="1"/>
  <c r="AZ115" i="1"/>
  <c r="BD115" i="1"/>
  <c r="AZ114" i="1"/>
  <c r="BD114" i="1"/>
  <c r="AZ113" i="1"/>
  <c r="BD113" i="1"/>
  <c r="AZ112" i="1"/>
  <c r="BD112" i="1"/>
  <c r="AZ111" i="1"/>
  <c r="BD111" i="1"/>
  <c r="AZ110" i="1"/>
  <c r="BD110" i="1"/>
  <c r="AZ109" i="1"/>
  <c r="BD109" i="1"/>
  <c r="AZ108" i="1"/>
  <c r="BD108" i="1"/>
  <c r="AZ107" i="1"/>
  <c r="BD107" i="1"/>
  <c r="AZ106" i="1"/>
  <c r="BD106" i="1"/>
  <c r="BD102" i="1"/>
  <c r="BD101" i="1"/>
  <c r="AZ100" i="1"/>
  <c r="BD100" i="1"/>
  <c r="AZ99" i="1"/>
  <c r="BD99" i="1"/>
  <c r="AZ98" i="1"/>
  <c r="BD98" i="1"/>
  <c r="AZ97" i="1"/>
  <c r="BD97" i="1"/>
  <c r="AZ96" i="1"/>
  <c r="BD96" i="1"/>
  <c r="AZ95" i="1"/>
  <c r="BD95" i="1"/>
  <c r="AZ94" i="1"/>
  <c r="BD94" i="1"/>
  <c r="AZ93" i="1"/>
  <c r="BD93" i="1"/>
  <c r="AZ92" i="1"/>
  <c r="BD92" i="1"/>
  <c r="AZ91" i="1"/>
  <c r="BD91" i="1"/>
  <c r="AZ90" i="1"/>
  <c r="BD90" i="1"/>
  <c r="AZ89" i="1"/>
  <c r="BD89" i="1"/>
  <c r="AZ88" i="1"/>
  <c r="BD88" i="1"/>
  <c r="AZ87" i="1"/>
  <c r="BD87" i="1"/>
  <c r="AZ86" i="1"/>
  <c r="BD86" i="1"/>
  <c r="AZ85" i="1"/>
  <c r="BD85" i="1"/>
  <c r="AZ84" i="1"/>
  <c r="BD84" i="1"/>
  <c r="AZ83" i="1"/>
  <c r="BD83" i="1"/>
  <c r="AZ82" i="1"/>
  <c r="BD82" i="1"/>
  <c r="AZ81" i="1"/>
  <c r="BD81" i="1"/>
  <c r="AZ80" i="1"/>
  <c r="BD80" i="1"/>
  <c r="AZ79" i="1"/>
  <c r="BD79" i="1"/>
  <c r="AZ78" i="1"/>
  <c r="BD78" i="1"/>
  <c r="AZ77" i="1"/>
  <c r="AZ76" i="1"/>
  <c r="AZ75" i="1"/>
  <c r="AZ74" i="1"/>
  <c r="AZ73" i="1"/>
  <c r="BD73" i="1"/>
  <c r="AZ72" i="1"/>
  <c r="BD72" i="1"/>
  <c r="AZ71" i="1"/>
  <c r="BD71" i="1"/>
  <c r="AZ70" i="1"/>
  <c r="BD70" i="1"/>
  <c r="AZ69" i="1"/>
  <c r="BD69" i="1"/>
  <c r="AZ68" i="1"/>
  <c r="BD68" i="1"/>
  <c r="AZ67" i="1"/>
  <c r="BD67" i="1"/>
  <c r="AZ66" i="1"/>
  <c r="BD66" i="1"/>
  <c r="AZ65" i="1"/>
  <c r="BD65" i="1"/>
  <c r="AZ64" i="1"/>
  <c r="BD64" i="1"/>
  <c r="AZ63" i="1"/>
  <c r="BD63" i="1"/>
  <c r="AZ62" i="1"/>
  <c r="BD62" i="1"/>
  <c r="AZ61" i="1"/>
  <c r="BD61" i="1"/>
  <c r="AZ60" i="1"/>
  <c r="BD60" i="1"/>
  <c r="AZ59" i="1"/>
  <c r="BD59" i="1"/>
  <c r="AZ58" i="1"/>
  <c r="BD58" i="1"/>
  <c r="AZ57" i="1"/>
  <c r="BD57" i="1"/>
  <c r="AZ56" i="1"/>
  <c r="BD56" i="1"/>
  <c r="AZ55" i="1"/>
  <c r="BD55" i="1"/>
  <c r="AZ54" i="1"/>
  <c r="BD54" i="1"/>
  <c r="AZ53" i="1"/>
  <c r="BD53" i="1"/>
  <c r="AZ52" i="1"/>
  <c r="BD52" i="1"/>
  <c r="AZ51" i="1"/>
  <c r="BD51" i="1"/>
  <c r="AZ50" i="1"/>
  <c r="BD50" i="1"/>
  <c r="AZ49" i="1"/>
  <c r="BD49" i="1"/>
  <c r="AZ48" i="1"/>
  <c r="BD48" i="1"/>
  <c r="AZ47" i="1"/>
  <c r="BD47" i="1"/>
  <c r="AZ46" i="1"/>
  <c r="BD46" i="1"/>
  <c r="AZ45" i="1"/>
  <c r="BD45" i="1"/>
  <c r="AZ44" i="1"/>
  <c r="BD44" i="1"/>
  <c r="AZ43" i="1"/>
  <c r="BD43" i="1"/>
  <c r="AZ42" i="1"/>
  <c r="BD42" i="1"/>
  <c r="AZ41" i="1"/>
  <c r="BD41" i="1"/>
  <c r="AZ40" i="1"/>
  <c r="BD40" i="1"/>
  <c r="AZ39" i="1"/>
  <c r="BD39" i="1"/>
  <c r="AZ38" i="1"/>
  <c r="BD38" i="1"/>
  <c r="AZ37" i="1"/>
  <c r="BD37" i="1"/>
  <c r="AZ36" i="1"/>
  <c r="BD36" i="1"/>
  <c r="AZ35" i="1"/>
  <c r="BD35" i="1"/>
  <c r="AZ34" i="1"/>
  <c r="BD34" i="1"/>
  <c r="AZ33" i="1"/>
  <c r="BD33" i="1"/>
  <c r="AZ32" i="1"/>
  <c r="BD32" i="1"/>
  <c r="AZ31" i="1"/>
  <c r="BD31" i="1"/>
  <c r="AZ30" i="1"/>
  <c r="BD30" i="1"/>
  <c r="AZ29" i="1"/>
  <c r="BD29" i="1"/>
  <c r="AZ28" i="1"/>
  <c r="BD28" i="1"/>
  <c r="AZ27" i="1"/>
  <c r="BD27" i="1"/>
  <c r="AZ26" i="1"/>
  <c r="BD26" i="1"/>
  <c r="AZ25" i="1"/>
  <c r="BD25" i="1"/>
  <c r="AZ24" i="1"/>
  <c r="BD24" i="1"/>
  <c r="AZ23" i="1"/>
  <c r="BD23" i="1"/>
  <c r="AZ22" i="1"/>
  <c r="BD22" i="1"/>
  <c r="AZ21" i="1"/>
  <c r="BD21" i="1"/>
  <c r="AZ18" i="1"/>
  <c r="BD18" i="1"/>
  <c r="AZ17" i="1"/>
  <c r="BD17" i="1"/>
  <c r="AZ16" i="1"/>
  <c r="BD16" i="1"/>
  <c r="AZ15" i="1"/>
  <c r="BD15" i="1"/>
  <c r="AZ14" i="1"/>
  <c r="BD14" i="1"/>
  <c r="AZ13" i="1"/>
  <c r="BD13" i="1"/>
  <c r="AZ12" i="1"/>
  <c r="BD12" i="1"/>
  <c r="AZ11" i="1"/>
  <c r="BD11" i="1"/>
  <c r="AZ10" i="1"/>
  <c r="BD10" i="1"/>
  <c r="AZ9" i="1"/>
  <c r="BD9" i="1"/>
  <c r="AZ8" i="1"/>
  <c r="BD8" i="1"/>
  <c r="AZ7" i="1"/>
  <c r="BD7" i="1"/>
  <c r="AZ5" i="1"/>
  <c r="AZ4" i="1"/>
  <c r="BD4" i="1"/>
  <c r="AZ3" i="1"/>
  <c r="BD3" i="1"/>
  <c r="AZ2" i="1"/>
  <c r="AM110" i="5"/>
  <c r="AM378" i="5"/>
  <c r="AM16" i="5"/>
  <c r="AM176" i="5"/>
  <c r="AM6" i="5"/>
  <c r="AM143" i="5"/>
  <c r="AM139" i="5"/>
  <c r="AM147" i="5"/>
  <c r="AM151" i="5"/>
  <c r="AM152" i="5"/>
  <c r="AM148" i="5"/>
  <c r="AM164" i="5"/>
  <c r="AM126" i="5"/>
  <c r="AM127" i="5"/>
  <c r="AM186" i="5"/>
  <c r="AM336" i="5"/>
  <c r="AM96" i="5"/>
  <c r="AM114" i="5"/>
  <c r="AM108" i="5"/>
  <c r="AM58" i="5"/>
  <c r="AM172" i="5"/>
  <c r="AM53" i="5"/>
  <c r="AM185" i="5"/>
  <c r="AM32" i="5"/>
  <c r="AM401" i="5"/>
  <c r="AM159" i="5"/>
  <c r="AM266" i="5"/>
  <c r="AM261" i="5"/>
  <c r="AM357" i="5"/>
  <c r="AM232" i="5"/>
  <c r="AM277" i="5"/>
  <c r="AM267" i="5"/>
  <c r="AM222" i="5"/>
  <c r="AM319" i="5"/>
  <c r="AM199" i="5"/>
  <c r="AM209" i="5"/>
  <c r="AM225" i="5"/>
  <c r="AM350" i="5"/>
  <c r="AM41" i="5"/>
  <c r="AM212" i="5"/>
  <c r="AM89" i="5"/>
  <c r="AM380" i="5"/>
  <c r="AM99" i="5"/>
  <c r="AM347" i="5"/>
  <c r="AM367" i="5"/>
  <c r="AM223" i="5"/>
  <c r="AM325" i="5"/>
  <c r="AM28" i="5"/>
  <c r="AM228" i="5"/>
  <c r="AM254" i="5"/>
  <c r="AM102" i="5"/>
  <c r="AM61" i="5"/>
  <c r="AM381" i="5"/>
  <c r="AM170" i="5"/>
  <c r="AM177" i="5"/>
  <c r="AM5" i="5"/>
  <c r="AM171" i="5"/>
  <c r="AM298" i="5"/>
  <c r="AM297" i="5"/>
  <c r="AM353" i="5"/>
  <c r="AM86" i="5"/>
  <c r="AM30" i="5"/>
  <c r="AM283" i="5"/>
  <c r="AM33" i="5"/>
  <c r="AM326" i="5"/>
  <c r="AM327" i="5"/>
  <c r="AM328" i="5"/>
  <c r="AM368" i="5"/>
  <c r="AM329" i="5"/>
  <c r="AM68" i="5"/>
  <c r="AM330" i="5"/>
  <c r="AM69" i="5"/>
  <c r="AM355" i="5"/>
  <c r="AM250" i="5"/>
  <c r="AM236" i="5"/>
  <c r="AM238" i="5"/>
  <c r="AM235" i="5"/>
  <c r="AM240" i="5"/>
  <c r="AM295" i="5"/>
  <c r="AM341" i="5"/>
  <c r="AM34" i="5"/>
  <c r="AM361" i="5"/>
  <c r="AM175" i="5"/>
  <c r="AM331" i="5"/>
  <c r="AM300" i="5"/>
  <c r="AM71" i="5"/>
  <c r="AM72" i="5"/>
  <c r="AM73" i="5"/>
  <c r="AM74" i="5"/>
  <c r="AM75" i="5"/>
  <c r="AM256" i="5"/>
  <c r="AM76" i="5"/>
  <c r="AM77" i="5"/>
  <c r="AM78" i="5"/>
  <c r="AM79" i="5"/>
  <c r="AM80" i="5"/>
  <c r="AM81" i="5"/>
  <c r="AM3" i="5"/>
  <c r="AM391" i="5"/>
  <c r="AM82" i="5"/>
  <c r="AM42" i="5"/>
  <c r="AM83" i="5"/>
  <c r="AM84" i="5"/>
  <c r="AM85" i="5"/>
  <c r="AM31" i="5"/>
  <c r="AM260" i="5"/>
  <c r="AM275" i="5"/>
  <c r="AM271" i="5"/>
  <c r="AM17" i="5"/>
  <c r="AM8" i="5"/>
  <c r="AM15" i="5"/>
  <c r="AM20" i="5"/>
  <c r="AM21" i="5"/>
  <c r="AM23" i="5"/>
  <c r="AM24" i="5"/>
  <c r="AM25" i="5"/>
  <c r="AM59" i="5"/>
  <c r="AM9" i="5"/>
  <c r="AM63" i="5"/>
  <c r="AM4" i="5"/>
  <c r="AM36" i="5"/>
  <c r="AM37" i="5"/>
  <c r="AM35" i="5"/>
  <c r="AM38" i="5"/>
  <c r="AM91" i="5"/>
  <c r="AM115" i="5"/>
  <c r="AM40" i="5"/>
  <c r="AM43" i="5"/>
  <c r="AM45" i="5"/>
  <c r="AM49" i="5"/>
  <c r="AM47" i="5"/>
  <c r="AM19" i="5"/>
  <c r="AM57" i="5"/>
  <c r="AM52" i="5"/>
  <c r="AM54" i="5"/>
  <c r="AM67" i="5"/>
  <c r="AM56" i="5"/>
  <c r="AM158" i="5"/>
  <c r="AM136" i="5"/>
  <c r="AM138" i="5"/>
  <c r="AM130" i="5"/>
  <c r="AM131" i="5"/>
  <c r="AM141" i="5"/>
  <c r="AM144" i="5"/>
  <c r="AM150" i="5"/>
  <c r="AM153" i="5"/>
  <c r="AM142" i="5"/>
  <c r="AM146" i="5"/>
  <c r="AM137" i="5"/>
  <c r="AM149" i="5"/>
  <c r="AM128" i="5"/>
  <c r="AM140" i="5"/>
  <c r="AM125" i="5"/>
  <c r="AM145" i="5"/>
  <c r="AM134" i="5"/>
  <c r="AM135" i="5"/>
  <c r="AM133" i="5"/>
  <c r="AM101" i="5"/>
  <c r="AM92" i="5"/>
  <c r="AM100" i="5"/>
  <c r="AM129" i="5"/>
  <c r="AM95" i="5"/>
  <c r="AM88" i="5"/>
  <c r="AM309" i="5"/>
  <c r="AM255" i="5"/>
  <c r="AM97" i="5"/>
  <c r="AM154" i="5"/>
  <c r="AM155" i="5"/>
  <c r="AM213" i="5"/>
  <c r="AM316" i="5"/>
  <c r="AM116" i="5"/>
  <c r="AM111" i="5"/>
  <c r="AM112" i="5"/>
  <c r="AM117" i="5"/>
  <c r="AM113" i="5"/>
  <c r="AM121" i="5"/>
  <c r="AM107" i="5"/>
  <c r="AM105" i="5"/>
  <c r="AM118" i="5"/>
  <c r="AM106" i="5"/>
  <c r="AM119" i="5"/>
  <c r="AM187" i="5"/>
  <c r="AM346" i="5"/>
  <c r="AM226" i="5"/>
  <c r="AM227" i="5"/>
  <c r="AM156" i="5"/>
  <c r="AM157" i="5"/>
  <c r="AM122" i="5"/>
  <c r="AM161" i="5"/>
  <c r="AM165" i="5"/>
  <c r="AM162" i="5"/>
  <c r="AM120" i="5"/>
  <c r="AM173" i="5"/>
  <c r="AM174" i="5"/>
  <c r="AM181" i="5"/>
  <c r="AM180" i="5"/>
  <c r="AM179" i="5"/>
  <c r="AM184" i="5"/>
  <c r="AM374" i="5"/>
  <c r="AM253" i="5"/>
  <c r="AM166" i="5"/>
  <c r="AM167" i="5"/>
  <c r="AM168" i="5"/>
  <c r="AM393" i="5"/>
  <c r="AM400" i="5"/>
  <c r="AM396" i="5"/>
  <c r="AM402" i="5"/>
  <c r="AM397" i="5"/>
  <c r="AM403" i="5"/>
  <c r="AM395" i="5"/>
  <c r="AM394" i="5"/>
  <c r="AM399" i="5"/>
  <c r="AM203" i="5"/>
  <c r="AM221" i="5"/>
  <c r="AM263" i="5"/>
  <c r="AM265" i="5"/>
  <c r="AM308" i="5"/>
  <c r="AM197" i="5"/>
  <c r="AM239" i="5"/>
  <c r="AM194" i="5"/>
  <c r="AM191" i="5"/>
  <c r="AM189" i="5"/>
  <c r="AM193" i="5"/>
  <c r="AM60" i="5"/>
  <c r="AM379" i="5"/>
  <c r="AM132" i="5"/>
  <c r="AM337" i="5"/>
  <c r="AM290" i="5"/>
  <c r="AM70" i="5"/>
  <c r="AM404" i="5"/>
  <c r="AM291" i="5"/>
  <c r="AM242" i="5"/>
  <c r="AM324" i="5"/>
  <c r="AM202" i="5"/>
  <c r="AM18" i="5"/>
  <c r="AM50" i="5"/>
  <c r="AM366" i="5"/>
  <c r="AM26" i="5"/>
  <c r="AM294" i="5"/>
  <c r="AM210" i="5"/>
  <c r="AM90" i="5"/>
  <c r="AM362" i="5"/>
  <c r="AM211" i="5"/>
  <c r="AM200" i="5"/>
  <c r="AM205" i="5"/>
  <c r="AM98" i="5"/>
  <c r="AM332" i="5"/>
  <c r="AM305" i="5"/>
  <c r="AM321" i="5"/>
  <c r="AM93" i="5"/>
  <c r="AM354" i="5"/>
  <c r="AM358" i="5"/>
  <c r="AM377" i="5"/>
  <c r="AM178" i="5"/>
  <c r="AM237" i="5"/>
  <c r="AM351" i="5"/>
  <c r="AM375" i="5"/>
  <c r="AM317" i="5"/>
  <c r="AM376" i="5"/>
  <c r="AM243" i="5"/>
  <c r="AM302" i="5"/>
  <c r="AM27" i="5"/>
  <c r="AM360" i="5"/>
  <c r="AM169" i="5"/>
  <c r="AM124" i="5"/>
  <c r="AM204" i="5"/>
  <c r="AM220" i="5"/>
  <c r="AM219" i="5"/>
  <c r="AM215" i="5"/>
  <c r="AM218" i="5"/>
  <c r="AM216" i="5"/>
  <c r="AM214" i="5"/>
  <c r="AM217" i="5"/>
  <c r="AM183" i="5"/>
  <c r="AM342" i="5"/>
  <c r="AM343" i="5"/>
  <c r="AM224" i="5"/>
  <c r="AM65" i="5"/>
  <c r="AM39" i="5"/>
  <c r="AM48" i="5"/>
  <c r="AM272" i="5"/>
  <c r="AM229" i="5"/>
  <c r="AM230" i="5"/>
  <c r="AM231" i="5"/>
  <c r="AM335" i="5"/>
  <c r="AM345" i="5"/>
  <c r="AM352" i="5"/>
  <c r="AM104" i="5"/>
  <c r="AM163" i="5"/>
  <c r="AM382" i="5"/>
  <c r="AM383" i="5"/>
  <c r="AM29" i="5"/>
  <c r="AM268" i="5"/>
  <c r="AM248" i="5"/>
  <c r="AM384" i="5"/>
  <c r="AM233" i="5"/>
  <c r="AM64" i="5"/>
  <c r="AM318" i="5"/>
  <c r="AM323" i="5"/>
  <c r="AM322" i="5"/>
  <c r="AM296" i="5"/>
  <c r="AM301" i="5"/>
  <c r="AM182" i="5"/>
  <c r="AM274" i="5"/>
  <c r="AM247" i="5"/>
  <c r="AM310" i="5"/>
  <c r="AM289" i="5"/>
  <c r="AM315" i="5"/>
  <c r="AM313" i="5"/>
  <c r="AM292" i="5"/>
  <c r="AM311" i="5"/>
  <c r="AM314" i="5"/>
  <c r="AM103" i="5"/>
  <c r="AM279" i="5"/>
  <c r="AM278" i="5"/>
  <c r="AM281" i="5"/>
  <c r="AM244" i="5"/>
  <c r="AM252" i="5"/>
  <c r="AM257" i="5"/>
  <c r="AM269" i="5"/>
  <c r="AM287" i="5"/>
  <c r="AM286" i="5"/>
  <c r="AM284" i="5"/>
  <c r="AM285" i="5"/>
  <c r="AM293" i="5"/>
  <c r="AM306" i="5"/>
  <c r="AM251" i="5"/>
  <c r="AM339" i="5"/>
  <c r="AM333" i="5"/>
  <c r="AM340" i="5"/>
  <c r="AM338" i="5"/>
  <c r="AM344" i="5"/>
  <c r="AM373" i="5"/>
  <c r="AM334" i="5"/>
  <c r="AM363" i="5"/>
  <c r="AM359" i="5"/>
  <c r="AM365" i="5"/>
  <c r="AM192" i="5"/>
  <c r="AM369" i="5"/>
  <c r="AM372" i="5"/>
  <c r="AM370" i="5"/>
  <c r="AM371" i="5"/>
  <c r="AM320" i="5"/>
  <c r="AM249" i="5"/>
  <c r="AM241" i="5"/>
  <c r="AM385" i="5"/>
  <c r="AM356" i="5"/>
  <c r="AM303" i="5"/>
  <c r="AM307" i="5"/>
  <c r="AM304" i="5"/>
  <c r="AM349" i="5"/>
  <c r="AM364" i="5"/>
  <c r="AM188" i="5"/>
  <c r="AM190" i="5"/>
  <c r="AM312" i="5"/>
  <c r="AM201" i="5"/>
  <c r="AM87" i="5"/>
  <c r="AM94" i="5"/>
  <c r="AM66" i="5"/>
  <c r="AM51" i="5"/>
  <c r="AM386" i="5"/>
  <c r="AM387" i="5"/>
  <c r="AM388" i="5"/>
  <c r="AM389" i="5"/>
  <c r="AM390" i="5"/>
  <c r="AM195" i="5"/>
  <c r="AM398" i="5"/>
  <c r="AM259" i="5"/>
  <c r="AM262" i="5"/>
  <c r="AM273" i="5"/>
  <c r="AM246" i="5"/>
  <c r="AM264" i="5"/>
  <c r="AM348" i="5"/>
  <c r="AM392" i="5"/>
  <c r="AM22" i="5"/>
  <c r="AM44" i="5"/>
  <c r="AM282" i="5"/>
  <c r="AM405" i="5"/>
  <c r="AM62" i="5"/>
  <c r="AM7" i="5"/>
  <c r="AM13" i="5"/>
  <c r="AM10" i="5"/>
  <c r="AM11" i="5"/>
  <c r="AM14" i="5"/>
  <c r="AM12" i="5"/>
  <c r="AM160" i="5"/>
  <c r="AM276" i="5"/>
  <c r="AM207" i="5"/>
  <c r="AM208" i="5"/>
  <c r="AM206" i="5"/>
  <c r="AM270" i="5"/>
  <c r="AM196" i="5"/>
  <c r="AM198" i="5"/>
  <c r="AM123" i="5"/>
  <c r="AA13" i="2"/>
  <c r="AA12" i="2"/>
  <c r="AA7" i="2"/>
  <c r="AA11" i="2"/>
  <c r="AA6" i="2"/>
  <c r="AA27" i="2"/>
  <c r="AA25" i="2"/>
  <c r="AA35" i="2"/>
  <c r="AA18" i="2"/>
  <c r="AA5" i="2"/>
  <c r="AA2" i="2"/>
  <c r="AA3" i="2"/>
  <c r="AA14" i="2"/>
  <c r="AA8" i="2"/>
  <c r="AA31" i="2"/>
  <c r="AA26" i="2"/>
  <c r="AA24" i="2"/>
  <c r="AA23" i="2"/>
  <c r="AA19" i="2"/>
  <c r="AA16" i="2"/>
  <c r="AA15" i="2"/>
  <c r="AA30" i="2"/>
  <c r="AA29" i="2"/>
  <c r="AA38" i="2"/>
  <c r="AA28" i="2"/>
  <c r="AA9" i="2"/>
  <c r="AA10" i="2"/>
  <c r="AA20" i="2"/>
  <c r="AA39" i="2"/>
  <c r="AA37" i="2"/>
  <c r="AA22" i="2"/>
  <c r="AA21" i="2"/>
  <c r="AA34" i="2"/>
  <c r="AA33" i="2"/>
  <c r="AA4" i="2"/>
  <c r="A287" i="12"/>
  <c r="A379" i="12"/>
  <c r="A443" i="12"/>
  <c r="A512" i="12"/>
  <c r="D255" i="12"/>
  <c r="E255" i="12"/>
  <c r="F255" i="12"/>
  <c r="J255" i="12"/>
  <c r="K255" i="12"/>
  <c r="O255" i="12"/>
  <c r="D345" i="12"/>
  <c r="E345" i="12"/>
  <c r="F345" i="12"/>
  <c r="J345" i="12"/>
  <c r="K345" i="12"/>
  <c r="O345" i="12"/>
  <c r="D12" i="12"/>
  <c r="E12" i="12"/>
  <c r="F12" i="12"/>
  <c r="J12" i="12"/>
  <c r="K12" i="12"/>
  <c r="O12" i="12"/>
  <c r="D482" i="12"/>
  <c r="E482" i="12"/>
  <c r="F482" i="12"/>
  <c r="J482" i="12"/>
  <c r="K482" i="12"/>
  <c r="O482" i="12"/>
  <c r="D566" i="12"/>
  <c r="E566" i="12"/>
  <c r="F566" i="12"/>
  <c r="J566" i="12"/>
  <c r="K566" i="12"/>
  <c r="O566" i="12"/>
  <c r="D658" i="12"/>
  <c r="E658" i="12"/>
  <c r="F658" i="12"/>
  <c r="J658" i="12"/>
  <c r="K658" i="12"/>
  <c r="O658" i="12"/>
  <c r="D750" i="12"/>
  <c r="E750" i="12"/>
  <c r="F750" i="12"/>
  <c r="J750" i="12"/>
  <c r="K750" i="12"/>
  <c r="O750" i="12"/>
  <c r="D810" i="12"/>
  <c r="E810" i="12"/>
  <c r="F810" i="12"/>
  <c r="J810" i="12"/>
  <c r="K810" i="12"/>
  <c r="O810" i="12"/>
  <c r="D161" i="12"/>
  <c r="E161" i="12"/>
  <c r="F161" i="12"/>
  <c r="J161" i="12"/>
  <c r="K161" i="12"/>
  <c r="O161" i="12"/>
  <c r="D924" i="12"/>
  <c r="E924" i="12"/>
  <c r="F924" i="12"/>
  <c r="J924" i="12"/>
  <c r="K924" i="12"/>
  <c r="D71" i="12"/>
  <c r="E71" i="12"/>
  <c r="F71" i="12"/>
  <c r="J71" i="12"/>
  <c r="K71" i="12"/>
  <c r="D1014" i="12"/>
  <c r="E1014" i="12"/>
  <c r="F1014" i="12"/>
  <c r="J1014" i="12"/>
  <c r="K1014" i="12"/>
  <c r="D256" i="12"/>
  <c r="E256" i="12"/>
  <c r="F256" i="12"/>
  <c r="J256" i="12"/>
  <c r="K256" i="12"/>
  <c r="O256" i="12"/>
  <c r="D346" i="12"/>
  <c r="E346" i="12"/>
  <c r="F346" i="12"/>
  <c r="J346" i="12"/>
  <c r="K346" i="12"/>
  <c r="O346" i="12"/>
  <c r="D13" i="12"/>
  <c r="E13" i="12"/>
  <c r="F13" i="12"/>
  <c r="J13" i="12"/>
  <c r="K13" i="12"/>
  <c r="O13" i="12"/>
  <c r="D483" i="12"/>
  <c r="E483" i="12"/>
  <c r="F483" i="12"/>
  <c r="J483" i="12"/>
  <c r="K483" i="12"/>
  <c r="O483" i="12"/>
  <c r="D567" i="12"/>
  <c r="E567" i="12"/>
  <c r="F567" i="12"/>
  <c r="J567" i="12"/>
  <c r="K567" i="12"/>
  <c r="O567" i="12"/>
  <c r="D659" i="12"/>
  <c r="E659" i="12"/>
  <c r="F659" i="12"/>
  <c r="J659" i="12"/>
  <c r="K659" i="12"/>
  <c r="O659" i="12"/>
  <c r="D751" i="12"/>
  <c r="E751" i="12"/>
  <c r="F751" i="12"/>
  <c r="J751" i="12"/>
  <c r="K751" i="12"/>
  <c r="O751" i="12"/>
  <c r="D811" i="12"/>
  <c r="E811" i="12"/>
  <c r="F811" i="12"/>
  <c r="J811" i="12"/>
  <c r="K811" i="12"/>
  <c r="O811" i="12"/>
  <c r="D162" i="12"/>
  <c r="E162" i="12"/>
  <c r="F162" i="12"/>
  <c r="J162" i="12"/>
  <c r="K162" i="12"/>
  <c r="O162" i="12"/>
  <c r="D925" i="12"/>
  <c r="E925" i="12"/>
  <c r="F925" i="12"/>
  <c r="J925" i="12"/>
  <c r="K925" i="12"/>
  <c r="D72" i="12"/>
  <c r="E72" i="12"/>
  <c r="F72" i="12"/>
  <c r="J72" i="12"/>
  <c r="K72" i="12"/>
  <c r="D1015" i="12"/>
  <c r="E1015" i="12"/>
  <c r="F1015" i="12"/>
  <c r="J1015" i="12"/>
  <c r="K1015" i="12"/>
  <c r="D257" i="12"/>
  <c r="E257" i="12"/>
  <c r="F257" i="12"/>
  <c r="J257" i="12"/>
  <c r="K257" i="12"/>
  <c r="O257" i="12"/>
  <c r="D347" i="12"/>
  <c r="E347" i="12"/>
  <c r="F347" i="12"/>
  <c r="J347" i="12"/>
  <c r="K347" i="12"/>
  <c r="O347" i="12"/>
  <c r="D14" i="12"/>
  <c r="E14" i="12"/>
  <c r="F14" i="12"/>
  <c r="J14" i="12"/>
  <c r="K14" i="12"/>
  <c r="O14" i="12"/>
  <c r="D484" i="12"/>
  <c r="E484" i="12"/>
  <c r="F484" i="12"/>
  <c r="J484" i="12"/>
  <c r="K484" i="12"/>
  <c r="O484" i="12"/>
  <c r="D568" i="12"/>
  <c r="E568" i="12"/>
  <c r="F568" i="12"/>
  <c r="J568" i="12"/>
  <c r="K568" i="12"/>
  <c r="O568" i="12"/>
  <c r="D660" i="12"/>
  <c r="E660" i="12"/>
  <c r="F660" i="12"/>
  <c r="J660" i="12"/>
  <c r="K660" i="12"/>
  <c r="O660" i="12"/>
  <c r="D752" i="12"/>
  <c r="E752" i="12"/>
  <c r="F752" i="12"/>
  <c r="J752" i="12"/>
  <c r="K752" i="12"/>
  <c r="O752" i="12"/>
  <c r="D812" i="12"/>
  <c r="E812" i="12"/>
  <c r="F812" i="12"/>
  <c r="J812" i="12"/>
  <c r="K812" i="12"/>
  <c r="O812" i="12"/>
  <c r="D163" i="12"/>
  <c r="E163" i="12"/>
  <c r="F163" i="12"/>
  <c r="J163" i="12"/>
  <c r="K163" i="12"/>
  <c r="O163" i="12"/>
  <c r="D926" i="12"/>
  <c r="E926" i="12"/>
  <c r="F926" i="12"/>
  <c r="J926" i="12"/>
  <c r="K926" i="12"/>
  <c r="D73" i="12"/>
  <c r="E73" i="12"/>
  <c r="F73" i="12"/>
  <c r="J73" i="12"/>
  <c r="K73" i="12"/>
  <c r="D1016" i="12"/>
  <c r="E1016" i="12"/>
  <c r="F1016" i="12"/>
  <c r="J1016" i="12"/>
  <c r="K1016" i="12"/>
  <c r="D2" i="12"/>
  <c r="E2" i="12"/>
  <c r="F2" i="12"/>
  <c r="J2" i="12"/>
  <c r="K2" i="12"/>
  <c r="O2" i="12"/>
  <c r="D348" i="12"/>
  <c r="E348" i="12"/>
  <c r="F348" i="12"/>
  <c r="J348" i="12"/>
  <c r="K348" i="12"/>
  <c r="O348" i="12"/>
  <c r="D15" i="12"/>
  <c r="E15" i="12"/>
  <c r="F15" i="12"/>
  <c r="J15" i="12"/>
  <c r="K15" i="12"/>
  <c r="O15" i="12"/>
  <c r="D485" i="12"/>
  <c r="E485" i="12"/>
  <c r="F485" i="12"/>
  <c r="J485" i="12"/>
  <c r="K485" i="12"/>
  <c r="O485" i="12"/>
  <c r="D569" i="12"/>
  <c r="E569" i="12"/>
  <c r="F569" i="12"/>
  <c r="J569" i="12"/>
  <c r="K569" i="12"/>
  <c r="O569" i="12"/>
  <c r="D661" i="12"/>
  <c r="E661" i="12"/>
  <c r="F661" i="12"/>
  <c r="J661" i="12"/>
  <c r="K661" i="12"/>
  <c r="O661" i="12"/>
  <c r="D229" i="12"/>
  <c r="E229" i="12"/>
  <c r="F229" i="12"/>
  <c r="J229" i="12"/>
  <c r="K229" i="12"/>
  <c r="O229" i="12"/>
  <c r="D813" i="12"/>
  <c r="E813" i="12"/>
  <c r="F813" i="12"/>
  <c r="J813" i="12"/>
  <c r="K813" i="12"/>
  <c r="O813" i="12"/>
  <c r="D164" i="12"/>
  <c r="E164" i="12"/>
  <c r="F164" i="12"/>
  <c r="J164" i="12"/>
  <c r="K164" i="12"/>
  <c r="O164" i="12"/>
  <c r="D927" i="12"/>
  <c r="E927" i="12"/>
  <c r="F927" i="12"/>
  <c r="J927" i="12"/>
  <c r="K927" i="12"/>
  <c r="D74" i="12"/>
  <c r="E74" i="12"/>
  <c r="F74" i="12"/>
  <c r="J74" i="12"/>
  <c r="K74" i="12"/>
  <c r="D1017" i="12"/>
  <c r="E1017" i="12"/>
  <c r="F1017" i="12"/>
  <c r="J1017" i="12"/>
  <c r="K1017" i="12"/>
  <c r="D3" i="12"/>
  <c r="E3" i="12"/>
  <c r="F3" i="12"/>
  <c r="J3" i="12"/>
  <c r="K3" i="12"/>
  <c r="O3" i="12"/>
  <c r="D349" i="12"/>
  <c r="E349" i="12"/>
  <c r="F349" i="12"/>
  <c r="J349" i="12"/>
  <c r="K349" i="12"/>
  <c r="O349" i="12"/>
  <c r="D16" i="12"/>
  <c r="E16" i="12"/>
  <c r="F16" i="12"/>
  <c r="J16" i="12"/>
  <c r="K16" i="12"/>
  <c r="O16" i="12"/>
  <c r="D486" i="12"/>
  <c r="E486" i="12"/>
  <c r="F486" i="12"/>
  <c r="J486" i="12"/>
  <c r="K486" i="12"/>
  <c r="O486" i="12"/>
  <c r="D570" i="12"/>
  <c r="E570" i="12"/>
  <c r="F570" i="12"/>
  <c r="J570" i="12"/>
  <c r="K570" i="12"/>
  <c r="O570" i="12"/>
  <c r="D662" i="12"/>
  <c r="E662" i="12"/>
  <c r="F662" i="12"/>
  <c r="J662" i="12"/>
  <c r="K662" i="12"/>
  <c r="O662" i="12"/>
  <c r="D230" i="12"/>
  <c r="E230" i="12"/>
  <c r="F230" i="12"/>
  <c r="J230" i="12"/>
  <c r="K230" i="12"/>
  <c r="O230" i="12"/>
  <c r="D814" i="12"/>
  <c r="E814" i="12"/>
  <c r="F814" i="12"/>
  <c r="J814" i="12"/>
  <c r="K814" i="12"/>
  <c r="O814" i="12"/>
  <c r="D165" i="12"/>
  <c r="E165" i="12"/>
  <c r="F165" i="12"/>
  <c r="J165" i="12"/>
  <c r="K165" i="12"/>
  <c r="O165" i="12"/>
  <c r="D928" i="12"/>
  <c r="E928" i="12"/>
  <c r="F928" i="12"/>
  <c r="J928" i="12"/>
  <c r="K928" i="12"/>
  <c r="D75" i="12"/>
  <c r="E75" i="12"/>
  <c r="F75" i="12"/>
  <c r="J75" i="12"/>
  <c r="K75" i="12"/>
  <c r="D1018" i="12"/>
  <c r="E1018" i="12"/>
  <c r="F1018" i="12"/>
  <c r="J1018" i="12"/>
  <c r="K1018" i="12"/>
  <c r="D258" i="12"/>
  <c r="E258" i="12"/>
  <c r="F258" i="12"/>
  <c r="J258" i="12"/>
  <c r="K258" i="12"/>
  <c r="O258" i="12"/>
  <c r="D350" i="12"/>
  <c r="E350" i="12"/>
  <c r="F350" i="12"/>
  <c r="J350" i="12"/>
  <c r="K350" i="12"/>
  <c r="O350" i="12"/>
  <c r="D17" i="12"/>
  <c r="E17" i="12"/>
  <c r="F17" i="12"/>
  <c r="J17" i="12"/>
  <c r="K17" i="12"/>
  <c r="O17" i="12"/>
  <c r="D4" i="12"/>
  <c r="E4" i="12"/>
  <c r="F4" i="12"/>
  <c r="J4" i="12"/>
  <c r="K4" i="12"/>
  <c r="O4" i="12"/>
  <c r="D571" i="12"/>
  <c r="E571" i="12"/>
  <c r="F571" i="12"/>
  <c r="J571" i="12"/>
  <c r="K571" i="12"/>
  <c r="O571" i="12"/>
  <c r="D663" i="12"/>
  <c r="E663" i="12"/>
  <c r="F663" i="12"/>
  <c r="J663" i="12"/>
  <c r="K663" i="12"/>
  <c r="O663" i="12"/>
  <c r="D753" i="12"/>
  <c r="E753" i="12"/>
  <c r="F753" i="12"/>
  <c r="J753" i="12"/>
  <c r="K753" i="12"/>
  <c r="O753" i="12"/>
  <c r="D815" i="12"/>
  <c r="E815" i="12"/>
  <c r="F815" i="12"/>
  <c r="J815" i="12"/>
  <c r="K815" i="12"/>
  <c r="O815" i="12"/>
  <c r="D61" i="12"/>
  <c r="E61" i="12"/>
  <c r="F61" i="12"/>
  <c r="J61" i="12"/>
  <c r="K61" i="12"/>
  <c r="O61" i="12"/>
  <c r="D929" i="12"/>
  <c r="E929" i="12"/>
  <c r="F929" i="12"/>
  <c r="J929" i="12"/>
  <c r="K929" i="12"/>
  <c r="D76" i="12"/>
  <c r="E76" i="12"/>
  <c r="F76" i="12"/>
  <c r="J76" i="12"/>
  <c r="K76" i="12"/>
  <c r="D1019" i="12"/>
  <c r="E1019" i="12"/>
  <c r="F1019" i="12"/>
  <c r="J1019" i="12"/>
  <c r="K1019" i="12"/>
  <c r="D259" i="12"/>
  <c r="E259" i="12"/>
  <c r="F259" i="12"/>
  <c r="J259" i="12"/>
  <c r="K259" i="12"/>
  <c r="O259" i="12"/>
  <c r="D351" i="12"/>
  <c r="E351" i="12"/>
  <c r="F351" i="12"/>
  <c r="J351" i="12"/>
  <c r="K351" i="12"/>
  <c r="O351" i="12"/>
  <c r="D18" i="12"/>
  <c r="E18" i="12"/>
  <c r="F18" i="12"/>
  <c r="J18" i="12"/>
  <c r="K18" i="12"/>
  <c r="O18" i="12"/>
  <c r="D5" i="12"/>
  <c r="E5" i="12"/>
  <c r="F5" i="12"/>
  <c r="J5" i="12"/>
  <c r="K5" i="12"/>
  <c r="O5" i="12"/>
  <c r="D572" i="12"/>
  <c r="E572" i="12"/>
  <c r="F572" i="12"/>
  <c r="J572" i="12"/>
  <c r="K572" i="12"/>
  <c r="O572" i="12"/>
  <c r="D664" i="12"/>
  <c r="E664" i="12"/>
  <c r="F664" i="12"/>
  <c r="J664" i="12"/>
  <c r="K664" i="12"/>
  <c r="O664" i="12"/>
  <c r="D754" i="12"/>
  <c r="E754" i="12"/>
  <c r="F754" i="12"/>
  <c r="J754" i="12"/>
  <c r="K754" i="12"/>
  <c r="O754" i="12"/>
  <c r="D816" i="12"/>
  <c r="E816" i="12"/>
  <c r="F816" i="12"/>
  <c r="J816" i="12"/>
  <c r="K816" i="12"/>
  <c r="O816" i="12"/>
  <c r="D62" i="12"/>
  <c r="E62" i="12"/>
  <c r="F62" i="12"/>
  <c r="J62" i="12"/>
  <c r="K62" i="12"/>
  <c r="O62" i="12"/>
  <c r="D930" i="12"/>
  <c r="E930" i="12"/>
  <c r="F930" i="12"/>
  <c r="J930" i="12"/>
  <c r="K930" i="12"/>
  <c r="D77" i="12"/>
  <c r="E77" i="12"/>
  <c r="F77" i="12"/>
  <c r="J77" i="12"/>
  <c r="K77" i="12"/>
  <c r="D1020" i="12"/>
  <c r="E1020" i="12"/>
  <c r="F1020" i="12"/>
  <c r="J1020" i="12"/>
  <c r="K1020" i="12"/>
  <c r="D260" i="12"/>
  <c r="E260" i="12"/>
  <c r="F260" i="12"/>
  <c r="J260" i="12"/>
  <c r="K260" i="12"/>
  <c r="O260" i="12"/>
  <c r="D352" i="12"/>
  <c r="E352" i="12"/>
  <c r="F352" i="12"/>
  <c r="J352" i="12"/>
  <c r="K352" i="12"/>
  <c r="O352" i="12"/>
  <c r="D19" i="12"/>
  <c r="E19" i="12"/>
  <c r="F19" i="12"/>
  <c r="J19" i="12"/>
  <c r="K19" i="12"/>
  <c r="O19" i="12"/>
  <c r="D6" i="12"/>
  <c r="E6" i="12"/>
  <c r="F6" i="12"/>
  <c r="J6" i="12"/>
  <c r="K6" i="12"/>
  <c r="O6" i="12"/>
  <c r="D573" i="12"/>
  <c r="E573" i="12"/>
  <c r="F573" i="12"/>
  <c r="J573" i="12"/>
  <c r="K573" i="12"/>
  <c r="O573" i="12"/>
  <c r="D665" i="12"/>
  <c r="E665" i="12"/>
  <c r="F665" i="12"/>
  <c r="J665" i="12"/>
  <c r="K665" i="12"/>
  <c r="O665" i="12"/>
  <c r="D755" i="12"/>
  <c r="E755" i="12"/>
  <c r="F755" i="12"/>
  <c r="J755" i="12"/>
  <c r="K755" i="12"/>
  <c r="O755" i="12"/>
  <c r="D817" i="12"/>
  <c r="E817" i="12"/>
  <c r="F817" i="12"/>
  <c r="J817" i="12"/>
  <c r="K817" i="12"/>
  <c r="O817" i="12"/>
  <c r="D63" i="12"/>
  <c r="E63" i="12"/>
  <c r="F63" i="12"/>
  <c r="J63" i="12"/>
  <c r="K63" i="12"/>
  <c r="O63" i="12"/>
  <c r="D931" i="12"/>
  <c r="E931" i="12"/>
  <c r="F931" i="12"/>
  <c r="J931" i="12"/>
  <c r="K931" i="12"/>
  <c r="D78" i="12"/>
  <c r="E78" i="12"/>
  <c r="F78" i="12"/>
  <c r="J78" i="12"/>
  <c r="K78" i="12"/>
  <c r="D1021" i="12"/>
  <c r="E1021" i="12"/>
  <c r="F1021" i="12"/>
  <c r="J1021" i="12"/>
  <c r="K1021" i="12"/>
  <c r="D261" i="12"/>
  <c r="E261" i="12"/>
  <c r="F261" i="12"/>
  <c r="J261" i="12"/>
  <c r="K261" i="12"/>
  <c r="O261" i="12"/>
  <c r="D353" i="12"/>
  <c r="E353" i="12"/>
  <c r="F353" i="12"/>
  <c r="J353" i="12"/>
  <c r="K353" i="12"/>
  <c r="O353" i="12"/>
  <c r="D20" i="12"/>
  <c r="E20" i="12"/>
  <c r="F20" i="12"/>
  <c r="J20" i="12"/>
  <c r="K20" i="12"/>
  <c r="O20" i="12"/>
  <c r="D7" i="12"/>
  <c r="E7" i="12"/>
  <c r="F7" i="12"/>
  <c r="J7" i="12"/>
  <c r="K7" i="12"/>
  <c r="O7" i="12"/>
  <c r="D574" i="12"/>
  <c r="E574" i="12"/>
  <c r="F574" i="12"/>
  <c r="J574" i="12"/>
  <c r="K574" i="12"/>
  <c r="O574" i="12"/>
  <c r="D666" i="12"/>
  <c r="E666" i="12"/>
  <c r="F666" i="12"/>
  <c r="J666" i="12"/>
  <c r="K666" i="12"/>
  <c r="O666" i="12"/>
  <c r="D756" i="12"/>
  <c r="E756" i="12"/>
  <c r="F756" i="12"/>
  <c r="J756" i="12"/>
  <c r="K756" i="12"/>
  <c r="O756" i="12"/>
  <c r="D818" i="12"/>
  <c r="E818" i="12"/>
  <c r="F818" i="12"/>
  <c r="J818" i="12"/>
  <c r="K818" i="12"/>
  <c r="O818" i="12"/>
  <c r="D64" i="12"/>
  <c r="E64" i="12"/>
  <c r="F64" i="12"/>
  <c r="J64" i="12"/>
  <c r="K64" i="12"/>
  <c r="O64" i="12"/>
  <c r="D932" i="12"/>
  <c r="E932" i="12"/>
  <c r="F932" i="12"/>
  <c r="J932" i="12"/>
  <c r="K932" i="12"/>
  <c r="D79" i="12"/>
  <c r="E79" i="12"/>
  <c r="F79" i="12"/>
  <c r="J79" i="12"/>
  <c r="K79" i="12"/>
  <c r="D1022" i="12"/>
  <c r="E1022" i="12"/>
  <c r="F1022" i="12"/>
  <c r="J1022" i="12"/>
  <c r="K1022" i="12"/>
  <c r="D262" i="12"/>
  <c r="E262" i="12"/>
  <c r="F262" i="12"/>
  <c r="J262" i="12"/>
  <c r="K262" i="12"/>
  <c r="O262" i="12"/>
  <c r="D354" i="12"/>
  <c r="E354" i="12"/>
  <c r="F354" i="12"/>
  <c r="J354" i="12"/>
  <c r="K354" i="12"/>
  <c r="O354" i="12"/>
  <c r="D21" i="12"/>
  <c r="E21" i="12"/>
  <c r="F21" i="12"/>
  <c r="J21" i="12"/>
  <c r="K21" i="12"/>
  <c r="O21" i="12"/>
  <c r="D487" i="12"/>
  <c r="E487" i="12"/>
  <c r="F487" i="12"/>
  <c r="J487" i="12"/>
  <c r="K487" i="12"/>
  <c r="O487" i="12"/>
  <c r="D575" i="12"/>
  <c r="E575" i="12"/>
  <c r="F575" i="12"/>
  <c r="J575" i="12"/>
  <c r="K575" i="12"/>
  <c r="O575" i="12"/>
  <c r="D667" i="12"/>
  <c r="E667" i="12"/>
  <c r="F667" i="12"/>
  <c r="J667" i="12"/>
  <c r="K667" i="12"/>
  <c r="O667" i="12"/>
  <c r="D757" i="12"/>
  <c r="E757" i="12"/>
  <c r="F757" i="12"/>
  <c r="J757" i="12"/>
  <c r="K757" i="12"/>
  <c r="O757" i="12"/>
  <c r="D819" i="12"/>
  <c r="E819" i="12"/>
  <c r="F819" i="12"/>
  <c r="J819" i="12"/>
  <c r="K819" i="12"/>
  <c r="O819" i="12"/>
  <c r="D166" i="12"/>
  <c r="E166" i="12"/>
  <c r="F166" i="12"/>
  <c r="J166" i="12"/>
  <c r="K166" i="12"/>
  <c r="O166" i="12"/>
  <c r="D933" i="12"/>
  <c r="E933" i="12"/>
  <c r="F933" i="12"/>
  <c r="J933" i="12"/>
  <c r="K933" i="12"/>
  <c r="D80" i="12"/>
  <c r="E80" i="12"/>
  <c r="F80" i="12"/>
  <c r="J80" i="12"/>
  <c r="K80" i="12"/>
  <c r="D1023" i="12"/>
  <c r="E1023" i="12"/>
  <c r="F1023" i="12"/>
  <c r="J1023" i="12"/>
  <c r="K1023" i="12"/>
  <c r="D263" i="12"/>
  <c r="E263" i="12"/>
  <c r="F263" i="12"/>
  <c r="J263" i="12"/>
  <c r="K263" i="12"/>
  <c r="O263" i="12"/>
  <c r="D355" i="12"/>
  <c r="E355" i="12"/>
  <c r="F355" i="12"/>
  <c r="J355" i="12"/>
  <c r="K355" i="12"/>
  <c r="O355" i="12"/>
  <c r="D22" i="12"/>
  <c r="E22" i="12"/>
  <c r="F22" i="12"/>
  <c r="J22" i="12"/>
  <c r="K22" i="12"/>
  <c r="O22" i="12"/>
  <c r="D488" i="12"/>
  <c r="E488" i="12"/>
  <c r="F488" i="12"/>
  <c r="J488" i="12"/>
  <c r="K488" i="12"/>
  <c r="O488" i="12"/>
  <c r="D576" i="12"/>
  <c r="E576" i="12"/>
  <c r="F576" i="12"/>
  <c r="J576" i="12"/>
  <c r="K576" i="12"/>
  <c r="O576" i="12"/>
  <c r="D668" i="12"/>
  <c r="E668" i="12"/>
  <c r="F668" i="12"/>
  <c r="J668" i="12"/>
  <c r="K668" i="12"/>
  <c r="O668" i="12"/>
  <c r="D758" i="12"/>
  <c r="E758" i="12"/>
  <c r="F758" i="12"/>
  <c r="J758" i="12"/>
  <c r="K758" i="12"/>
  <c r="O758" i="12"/>
  <c r="D820" i="12"/>
  <c r="E820" i="12"/>
  <c r="F820" i="12"/>
  <c r="J820" i="12"/>
  <c r="K820" i="12"/>
  <c r="O820" i="12"/>
  <c r="D167" i="12"/>
  <c r="E167" i="12"/>
  <c r="F167" i="12"/>
  <c r="J167" i="12"/>
  <c r="K167" i="12"/>
  <c r="O167" i="12"/>
  <c r="D934" i="12"/>
  <c r="E934" i="12"/>
  <c r="F934" i="12"/>
  <c r="J934" i="12"/>
  <c r="K934" i="12"/>
  <c r="D81" i="12"/>
  <c r="E81" i="12"/>
  <c r="F81" i="12"/>
  <c r="J81" i="12"/>
  <c r="K81" i="12"/>
  <c r="D1024" i="12"/>
  <c r="E1024" i="12"/>
  <c r="F1024" i="12"/>
  <c r="J1024" i="12"/>
  <c r="K1024" i="12"/>
  <c r="D264" i="12"/>
  <c r="E264" i="12"/>
  <c r="F264" i="12"/>
  <c r="J264" i="12"/>
  <c r="K264" i="12"/>
  <c r="O264" i="12"/>
  <c r="D356" i="12"/>
  <c r="E356" i="12"/>
  <c r="F356" i="12"/>
  <c r="J356" i="12"/>
  <c r="K356" i="12"/>
  <c r="O356" i="12"/>
  <c r="D23" i="12"/>
  <c r="E23" i="12"/>
  <c r="F23" i="12"/>
  <c r="J23" i="12"/>
  <c r="K23" i="12"/>
  <c r="O23" i="12"/>
  <c r="D489" i="12"/>
  <c r="E489" i="12"/>
  <c r="F489" i="12"/>
  <c r="J489" i="12"/>
  <c r="K489" i="12"/>
  <c r="O489" i="12"/>
  <c r="D577" i="12"/>
  <c r="E577" i="12"/>
  <c r="F577" i="12"/>
  <c r="J577" i="12"/>
  <c r="K577" i="12"/>
  <c r="O577" i="12"/>
  <c r="D669" i="12"/>
  <c r="E669" i="12"/>
  <c r="F669" i="12"/>
  <c r="J669" i="12"/>
  <c r="K669" i="12"/>
  <c r="O669" i="12"/>
  <c r="D759" i="12"/>
  <c r="E759" i="12"/>
  <c r="F759" i="12"/>
  <c r="J759" i="12"/>
  <c r="K759" i="12"/>
  <c r="O759" i="12"/>
  <c r="D821" i="12"/>
  <c r="E821" i="12"/>
  <c r="F821" i="12"/>
  <c r="J821" i="12"/>
  <c r="K821" i="12"/>
  <c r="O821" i="12"/>
  <c r="D168" i="12"/>
  <c r="E168" i="12"/>
  <c r="F168" i="12"/>
  <c r="J168" i="12"/>
  <c r="K168" i="12"/>
  <c r="O168" i="12"/>
  <c r="D935" i="12"/>
  <c r="E935" i="12"/>
  <c r="F935" i="12"/>
  <c r="J935" i="12"/>
  <c r="K935" i="12"/>
  <c r="D82" i="12"/>
  <c r="E82" i="12"/>
  <c r="F82" i="12"/>
  <c r="J82" i="12"/>
  <c r="K82" i="12"/>
  <c r="D1025" i="12"/>
  <c r="E1025" i="12"/>
  <c r="F1025" i="12"/>
  <c r="J1025" i="12"/>
  <c r="K1025" i="12"/>
  <c r="D265" i="12"/>
  <c r="E265" i="12"/>
  <c r="F265" i="12"/>
  <c r="J265" i="12"/>
  <c r="K265" i="12"/>
  <c r="O265" i="12"/>
  <c r="D357" i="12"/>
  <c r="E357" i="12"/>
  <c r="F357" i="12"/>
  <c r="J357" i="12"/>
  <c r="K357" i="12"/>
  <c r="O357" i="12"/>
  <c r="D24" i="12"/>
  <c r="E24" i="12"/>
  <c r="F24" i="12"/>
  <c r="J24" i="12"/>
  <c r="K24" i="12"/>
  <c r="O24" i="12"/>
  <c r="D490" i="12"/>
  <c r="E490" i="12"/>
  <c r="F490" i="12"/>
  <c r="J490" i="12"/>
  <c r="K490" i="12"/>
  <c r="O490" i="12"/>
  <c r="D578" i="12"/>
  <c r="E578" i="12"/>
  <c r="F578" i="12"/>
  <c r="J578" i="12"/>
  <c r="K578" i="12"/>
  <c r="O578" i="12"/>
  <c r="D670" i="12"/>
  <c r="E670" i="12"/>
  <c r="F670" i="12"/>
  <c r="J670" i="12"/>
  <c r="K670" i="12"/>
  <c r="O670" i="12"/>
  <c r="D760" i="12"/>
  <c r="E760" i="12"/>
  <c r="F760" i="12"/>
  <c r="J760" i="12"/>
  <c r="K760" i="12"/>
  <c r="O760" i="12"/>
  <c r="D822" i="12"/>
  <c r="E822" i="12"/>
  <c r="F822" i="12"/>
  <c r="J822" i="12"/>
  <c r="K822" i="12"/>
  <c r="O822" i="12"/>
  <c r="D169" i="12"/>
  <c r="E169" i="12"/>
  <c r="F169" i="12"/>
  <c r="J169" i="12"/>
  <c r="K169" i="12"/>
  <c r="O169" i="12"/>
  <c r="D936" i="12"/>
  <c r="E936" i="12"/>
  <c r="F936" i="12"/>
  <c r="J936" i="12"/>
  <c r="K936" i="12"/>
  <c r="D83" i="12"/>
  <c r="E83" i="12"/>
  <c r="F83" i="12"/>
  <c r="J83" i="12"/>
  <c r="K83" i="12"/>
  <c r="D1026" i="12"/>
  <c r="E1026" i="12"/>
  <c r="F1026" i="12"/>
  <c r="J1026" i="12"/>
  <c r="K1026" i="12"/>
  <c r="D266" i="12"/>
  <c r="E266" i="12"/>
  <c r="F266" i="12"/>
  <c r="J266" i="12"/>
  <c r="K266" i="12"/>
  <c r="O266" i="12"/>
  <c r="D358" i="12"/>
  <c r="E358" i="12"/>
  <c r="F358" i="12"/>
  <c r="J358" i="12"/>
  <c r="K358" i="12"/>
  <c r="O358" i="12"/>
  <c r="D25" i="12"/>
  <c r="E25" i="12"/>
  <c r="F25" i="12"/>
  <c r="J25" i="12"/>
  <c r="K25" i="12"/>
  <c r="O25" i="12"/>
  <c r="D491" i="12"/>
  <c r="E491" i="12"/>
  <c r="F491" i="12"/>
  <c r="J491" i="12"/>
  <c r="K491" i="12"/>
  <c r="O491" i="12"/>
  <c r="D579" i="12"/>
  <c r="E579" i="12"/>
  <c r="F579" i="12"/>
  <c r="J579" i="12"/>
  <c r="K579" i="12"/>
  <c r="O579" i="12"/>
  <c r="D671" i="12"/>
  <c r="E671" i="12"/>
  <c r="F671" i="12"/>
  <c r="J671" i="12"/>
  <c r="K671" i="12"/>
  <c r="O671" i="12"/>
  <c r="D761" i="12"/>
  <c r="E761" i="12"/>
  <c r="F761" i="12"/>
  <c r="J761" i="12"/>
  <c r="K761" i="12"/>
  <c r="O761" i="12"/>
  <c r="D823" i="12"/>
  <c r="E823" i="12"/>
  <c r="F823" i="12"/>
  <c r="J823" i="12"/>
  <c r="K823" i="12"/>
  <c r="O823" i="12"/>
  <c r="D170" i="12"/>
  <c r="E170" i="12"/>
  <c r="F170" i="12"/>
  <c r="J170" i="12"/>
  <c r="K170" i="12"/>
  <c r="O170" i="12"/>
  <c r="D937" i="12"/>
  <c r="E937" i="12"/>
  <c r="F937" i="12"/>
  <c r="J937" i="12"/>
  <c r="K937" i="12"/>
  <c r="D84" i="12"/>
  <c r="E84" i="12"/>
  <c r="F84" i="12"/>
  <c r="J84" i="12"/>
  <c r="K84" i="12"/>
  <c r="D1027" i="12"/>
  <c r="E1027" i="12"/>
  <c r="F1027" i="12"/>
  <c r="J1027" i="12"/>
  <c r="K1027" i="12"/>
  <c r="D267" i="12"/>
  <c r="E267" i="12"/>
  <c r="F267" i="12"/>
  <c r="J267" i="12"/>
  <c r="K267" i="12"/>
  <c r="O267" i="12"/>
  <c r="D359" i="12"/>
  <c r="E359" i="12"/>
  <c r="F359" i="12"/>
  <c r="J359" i="12"/>
  <c r="K359" i="12"/>
  <c r="O359" i="12"/>
  <c r="D26" i="12"/>
  <c r="E26" i="12"/>
  <c r="F26" i="12"/>
  <c r="J26" i="12"/>
  <c r="K26" i="12"/>
  <c r="O26" i="12"/>
  <c r="D492" i="12"/>
  <c r="E492" i="12"/>
  <c r="F492" i="12"/>
  <c r="J492" i="12"/>
  <c r="K492" i="12"/>
  <c r="O492" i="12"/>
  <c r="D580" i="12"/>
  <c r="E580" i="12"/>
  <c r="F580" i="12"/>
  <c r="J580" i="12"/>
  <c r="K580" i="12"/>
  <c r="O580" i="12"/>
  <c r="D672" i="12"/>
  <c r="E672" i="12"/>
  <c r="F672" i="12"/>
  <c r="J672" i="12"/>
  <c r="K672" i="12"/>
  <c r="O672" i="12"/>
  <c r="D762" i="12"/>
  <c r="E762" i="12"/>
  <c r="F762" i="12"/>
  <c r="J762" i="12"/>
  <c r="K762" i="12"/>
  <c r="O762" i="12"/>
  <c r="D824" i="12"/>
  <c r="E824" i="12"/>
  <c r="F824" i="12"/>
  <c r="J824" i="12"/>
  <c r="K824" i="12"/>
  <c r="O824" i="12"/>
  <c r="D171" i="12"/>
  <c r="E171" i="12"/>
  <c r="F171" i="12"/>
  <c r="J171" i="12"/>
  <c r="K171" i="12"/>
  <c r="O171" i="12"/>
  <c r="D938" i="12"/>
  <c r="E938" i="12"/>
  <c r="F938" i="12"/>
  <c r="J938" i="12"/>
  <c r="K938" i="12"/>
  <c r="D85" i="12"/>
  <c r="E85" i="12"/>
  <c r="F85" i="12"/>
  <c r="J85" i="12"/>
  <c r="K85" i="12"/>
  <c r="D1028" i="12"/>
  <c r="E1028" i="12"/>
  <c r="F1028" i="12"/>
  <c r="J1028" i="12"/>
  <c r="K1028" i="12"/>
  <c r="D268" i="12"/>
  <c r="E268" i="12"/>
  <c r="F268" i="12"/>
  <c r="J268" i="12"/>
  <c r="K268" i="12"/>
  <c r="O268" i="12"/>
  <c r="D360" i="12"/>
  <c r="E360" i="12"/>
  <c r="F360" i="12"/>
  <c r="J360" i="12"/>
  <c r="K360" i="12"/>
  <c r="O360" i="12"/>
  <c r="D27" i="12"/>
  <c r="E27" i="12"/>
  <c r="F27" i="12"/>
  <c r="J27" i="12"/>
  <c r="K27" i="12"/>
  <c r="O27" i="12"/>
  <c r="D493" i="12"/>
  <c r="E493" i="12"/>
  <c r="F493" i="12"/>
  <c r="J493" i="12"/>
  <c r="K493" i="12"/>
  <c r="O493" i="12"/>
  <c r="D581" i="12"/>
  <c r="E581" i="12"/>
  <c r="F581" i="12"/>
  <c r="J581" i="12"/>
  <c r="K581" i="12"/>
  <c r="O581" i="12"/>
  <c r="D673" i="12"/>
  <c r="E673" i="12"/>
  <c r="F673" i="12"/>
  <c r="J673" i="12"/>
  <c r="K673" i="12"/>
  <c r="O673" i="12"/>
  <c r="D763" i="12"/>
  <c r="E763" i="12"/>
  <c r="F763" i="12"/>
  <c r="J763" i="12"/>
  <c r="K763" i="12"/>
  <c r="O763" i="12"/>
  <c r="D825" i="12"/>
  <c r="E825" i="12"/>
  <c r="F825" i="12"/>
  <c r="J825" i="12"/>
  <c r="K825" i="12"/>
  <c r="O825" i="12"/>
  <c r="D172" i="12"/>
  <c r="E172" i="12"/>
  <c r="F172" i="12"/>
  <c r="J172" i="12"/>
  <c r="K172" i="12"/>
  <c r="O172" i="12"/>
  <c r="D939" i="12"/>
  <c r="E939" i="12"/>
  <c r="F939" i="12"/>
  <c r="J939" i="12"/>
  <c r="K939" i="12"/>
  <c r="D86" i="12"/>
  <c r="E86" i="12"/>
  <c r="F86" i="12"/>
  <c r="J86" i="12"/>
  <c r="K86" i="12"/>
  <c r="D1029" i="12"/>
  <c r="E1029" i="12"/>
  <c r="F1029" i="12"/>
  <c r="J1029" i="12"/>
  <c r="K1029" i="12"/>
  <c r="D269" i="12"/>
  <c r="E269" i="12"/>
  <c r="F269" i="12"/>
  <c r="J269" i="12"/>
  <c r="K269" i="12"/>
  <c r="O269" i="12"/>
  <c r="D361" i="12"/>
  <c r="E361" i="12"/>
  <c r="F361" i="12"/>
  <c r="J361" i="12"/>
  <c r="K361" i="12"/>
  <c r="O361" i="12"/>
  <c r="D28" i="12"/>
  <c r="E28" i="12"/>
  <c r="F28" i="12"/>
  <c r="J28" i="12"/>
  <c r="K28" i="12"/>
  <c r="O28" i="12"/>
  <c r="D494" i="12"/>
  <c r="E494" i="12"/>
  <c r="F494" i="12"/>
  <c r="J494" i="12"/>
  <c r="K494" i="12"/>
  <c r="O494" i="12"/>
  <c r="D582" i="12"/>
  <c r="E582" i="12"/>
  <c r="F582" i="12"/>
  <c r="J582" i="12"/>
  <c r="K582" i="12"/>
  <c r="O582" i="12"/>
  <c r="D674" i="12"/>
  <c r="E674" i="12"/>
  <c r="F674" i="12"/>
  <c r="J674" i="12"/>
  <c r="K674" i="12"/>
  <c r="O674" i="12"/>
  <c r="D764" i="12"/>
  <c r="E764" i="12"/>
  <c r="F764" i="12"/>
  <c r="J764" i="12"/>
  <c r="K764" i="12"/>
  <c r="O764" i="12"/>
  <c r="D826" i="12"/>
  <c r="E826" i="12"/>
  <c r="F826" i="12"/>
  <c r="J826" i="12"/>
  <c r="K826" i="12"/>
  <c r="O826" i="12"/>
  <c r="D173" i="12"/>
  <c r="E173" i="12"/>
  <c r="F173" i="12"/>
  <c r="J173" i="12"/>
  <c r="K173" i="12"/>
  <c r="O173" i="12"/>
  <c r="D940" i="12"/>
  <c r="E940" i="12"/>
  <c r="F940" i="12"/>
  <c r="J940" i="12"/>
  <c r="K940" i="12"/>
  <c r="D87" i="12"/>
  <c r="E87" i="12"/>
  <c r="F87" i="12"/>
  <c r="J87" i="12"/>
  <c r="K87" i="12"/>
  <c r="D1030" i="12"/>
  <c r="E1030" i="12"/>
  <c r="F1030" i="12"/>
  <c r="J1030" i="12"/>
  <c r="K1030" i="12"/>
  <c r="D270" i="12"/>
  <c r="E270" i="12"/>
  <c r="F270" i="12"/>
  <c r="J270" i="12"/>
  <c r="K270" i="12"/>
  <c r="O270" i="12"/>
  <c r="D362" i="12"/>
  <c r="E362" i="12"/>
  <c r="F362" i="12"/>
  <c r="J362" i="12"/>
  <c r="K362" i="12"/>
  <c r="O362" i="12"/>
  <c r="D29" i="12"/>
  <c r="E29" i="12"/>
  <c r="F29" i="12"/>
  <c r="J29" i="12"/>
  <c r="K29" i="12"/>
  <c r="O29" i="12"/>
  <c r="D495" i="12"/>
  <c r="E495" i="12"/>
  <c r="F495" i="12"/>
  <c r="J495" i="12"/>
  <c r="K495" i="12"/>
  <c r="O495" i="12"/>
  <c r="D583" i="12"/>
  <c r="E583" i="12"/>
  <c r="F583" i="12"/>
  <c r="J583" i="12"/>
  <c r="K583" i="12"/>
  <c r="O583" i="12"/>
  <c r="D675" i="12"/>
  <c r="E675" i="12"/>
  <c r="F675" i="12"/>
  <c r="J675" i="12"/>
  <c r="K675" i="12"/>
  <c r="O675" i="12"/>
  <c r="D765" i="12"/>
  <c r="E765" i="12"/>
  <c r="F765" i="12"/>
  <c r="J765" i="12"/>
  <c r="K765" i="12"/>
  <c r="O765" i="12"/>
  <c r="D827" i="12"/>
  <c r="E827" i="12"/>
  <c r="F827" i="12"/>
  <c r="J827" i="12"/>
  <c r="K827" i="12"/>
  <c r="O827" i="12"/>
  <c r="D174" i="12"/>
  <c r="E174" i="12"/>
  <c r="F174" i="12"/>
  <c r="J174" i="12"/>
  <c r="K174" i="12"/>
  <c r="O174" i="12"/>
  <c r="D941" i="12"/>
  <c r="E941" i="12"/>
  <c r="F941" i="12"/>
  <c r="J941" i="12"/>
  <c r="K941" i="12"/>
  <c r="D88" i="12"/>
  <c r="E88" i="12"/>
  <c r="F88" i="12"/>
  <c r="J88" i="12"/>
  <c r="K88" i="12"/>
  <c r="D1031" i="12"/>
  <c r="E1031" i="12"/>
  <c r="F1031" i="12"/>
  <c r="J1031" i="12"/>
  <c r="K1031" i="12"/>
  <c r="D271" i="12"/>
  <c r="E271" i="12"/>
  <c r="F271" i="12"/>
  <c r="J271" i="12"/>
  <c r="O271" i="12"/>
  <c r="D363" i="12"/>
  <c r="E363" i="12"/>
  <c r="F363" i="12"/>
  <c r="J363" i="12"/>
  <c r="K363" i="12"/>
  <c r="O363" i="12"/>
  <c r="D30" i="12"/>
  <c r="E30" i="12"/>
  <c r="F30" i="12"/>
  <c r="J30" i="12"/>
  <c r="K30" i="12"/>
  <c r="O30" i="12"/>
  <c r="D496" i="12"/>
  <c r="E496" i="12"/>
  <c r="F496" i="12"/>
  <c r="J496" i="12"/>
  <c r="K496" i="12"/>
  <c r="O496" i="12"/>
  <c r="D584" i="12"/>
  <c r="E584" i="12"/>
  <c r="F584" i="12"/>
  <c r="J584" i="12"/>
  <c r="K584" i="12"/>
  <c r="O584" i="12"/>
  <c r="D676" i="12"/>
  <c r="E676" i="12"/>
  <c r="F676" i="12"/>
  <c r="J676" i="12"/>
  <c r="K676" i="12"/>
  <c r="O676" i="12"/>
  <c r="D766" i="12"/>
  <c r="E766" i="12"/>
  <c r="F766" i="12"/>
  <c r="J766" i="12"/>
  <c r="K766" i="12"/>
  <c r="O766" i="12"/>
  <c r="D828" i="12"/>
  <c r="E828" i="12"/>
  <c r="F828" i="12"/>
  <c r="J828" i="12"/>
  <c r="K828" i="12"/>
  <c r="O828" i="12"/>
  <c r="D175" i="12"/>
  <c r="E175" i="12"/>
  <c r="F175" i="12"/>
  <c r="J175" i="12"/>
  <c r="K175" i="12"/>
  <c r="O175" i="12"/>
  <c r="D942" i="12"/>
  <c r="E942" i="12"/>
  <c r="F942" i="12"/>
  <c r="J942" i="12"/>
  <c r="K942" i="12"/>
  <c r="D89" i="12"/>
  <c r="E89" i="12"/>
  <c r="F89" i="12"/>
  <c r="J89" i="12"/>
  <c r="K89" i="12"/>
  <c r="D1032" i="12"/>
  <c r="E1032" i="12"/>
  <c r="F1032" i="12"/>
  <c r="J1032" i="12"/>
  <c r="K1032" i="12"/>
  <c r="D272" i="12"/>
  <c r="E272" i="12"/>
  <c r="F272" i="12"/>
  <c r="J272" i="12"/>
  <c r="K272" i="12"/>
  <c r="O272" i="12"/>
  <c r="D364" i="12"/>
  <c r="E364" i="12"/>
  <c r="F364" i="12"/>
  <c r="J364" i="12"/>
  <c r="K364" i="12"/>
  <c r="O364" i="12"/>
  <c r="D31" i="12"/>
  <c r="E31" i="12"/>
  <c r="F31" i="12"/>
  <c r="J31" i="12"/>
  <c r="K31" i="12"/>
  <c r="O31" i="12"/>
  <c r="D497" i="12"/>
  <c r="E497" i="12"/>
  <c r="F497" i="12"/>
  <c r="J497" i="12"/>
  <c r="K497" i="12"/>
  <c r="O497" i="12"/>
  <c r="D585" i="12"/>
  <c r="E585" i="12"/>
  <c r="F585" i="12"/>
  <c r="J585" i="12"/>
  <c r="K585" i="12"/>
  <c r="O585" i="12"/>
  <c r="D677" i="12"/>
  <c r="E677" i="12"/>
  <c r="F677" i="12"/>
  <c r="J677" i="12"/>
  <c r="K677" i="12"/>
  <c r="O677" i="12"/>
  <c r="D767" i="12"/>
  <c r="E767" i="12"/>
  <c r="F767" i="12"/>
  <c r="J767" i="12"/>
  <c r="K767" i="12"/>
  <c r="O767" i="12"/>
  <c r="D829" i="12"/>
  <c r="E829" i="12"/>
  <c r="F829" i="12"/>
  <c r="J829" i="12"/>
  <c r="K829" i="12"/>
  <c r="O829" i="12"/>
  <c r="D176" i="12"/>
  <c r="E176" i="12"/>
  <c r="F176" i="12"/>
  <c r="J176" i="12"/>
  <c r="K176" i="12"/>
  <c r="O176" i="12"/>
  <c r="D943" i="12"/>
  <c r="E943" i="12"/>
  <c r="F943" i="12"/>
  <c r="J943" i="12"/>
  <c r="K943" i="12"/>
  <c r="D90" i="12"/>
  <c r="E90" i="12"/>
  <c r="F90" i="12"/>
  <c r="J90" i="12"/>
  <c r="K90" i="12"/>
  <c r="D1033" i="12"/>
  <c r="E1033" i="12"/>
  <c r="F1033" i="12"/>
  <c r="J1033" i="12"/>
  <c r="K1033" i="12"/>
  <c r="D273" i="12"/>
  <c r="E273" i="12"/>
  <c r="F273" i="12"/>
  <c r="J273" i="12"/>
  <c r="K273" i="12"/>
  <c r="O273" i="12"/>
  <c r="D365" i="12"/>
  <c r="E365" i="12"/>
  <c r="F365" i="12"/>
  <c r="J365" i="12"/>
  <c r="K365" i="12"/>
  <c r="O365" i="12"/>
  <c r="D32" i="12"/>
  <c r="E32" i="12"/>
  <c r="F32" i="12"/>
  <c r="J32" i="12"/>
  <c r="K32" i="12"/>
  <c r="O32" i="12"/>
  <c r="D498" i="12"/>
  <c r="E498" i="12"/>
  <c r="F498" i="12"/>
  <c r="J498" i="12"/>
  <c r="K498" i="12"/>
  <c r="O498" i="12"/>
  <c r="D586" i="12"/>
  <c r="E586" i="12"/>
  <c r="F586" i="12"/>
  <c r="J586" i="12"/>
  <c r="K586" i="12"/>
  <c r="O586" i="12"/>
  <c r="D678" i="12"/>
  <c r="E678" i="12"/>
  <c r="F678" i="12"/>
  <c r="J678" i="12"/>
  <c r="K678" i="12"/>
  <c r="O678" i="12"/>
  <c r="D768" i="12"/>
  <c r="E768" i="12"/>
  <c r="F768" i="12"/>
  <c r="J768" i="12"/>
  <c r="K768" i="12"/>
  <c r="O768" i="12"/>
  <c r="D830" i="12"/>
  <c r="E830" i="12"/>
  <c r="F830" i="12"/>
  <c r="J830" i="12"/>
  <c r="K830" i="12"/>
  <c r="O830" i="12"/>
  <c r="D177" i="12"/>
  <c r="E177" i="12"/>
  <c r="F177" i="12"/>
  <c r="J177" i="12"/>
  <c r="K177" i="12"/>
  <c r="O177" i="12"/>
  <c r="D944" i="12"/>
  <c r="E944" i="12"/>
  <c r="F944" i="12"/>
  <c r="J944" i="12"/>
  <c r="K944" i="12"/>
  <c r="D91" i="12"/>
  <c r="E91" i="12"/>
  <c r="F91" i="12"/>
  <c r="J91" i="12"/>
  <c r="K91" i="12"/>
  <c r="D1034" i="12"/>
  <c r="E1034" i="12"/>
  <c r="F1034" i="12"/>
  <c r="J1034" i="12"/>
  <c r="K1034" i="12"/>
  <c r="D274" i="12"/>
  <c r="E274" i="12"/>
  <c r="F274" i="12"/>
  <c r="J274" i="12"/>
  <c r="K274" i="12"/>
  <c r="O274" i="12"/>
  <c r="D366" i="12"/>
  <c r="E366" i="12"/>
  <c r="F366" i="12"/>
  <c r="J366" i="12"/>
  <c r="K366" i="12"/>
  <c r="O366" i="12"/>
  <c r="D33" i="12"/>
  <c r="E33" i="12"/>
  <c r="F33" i="12"/>
  <c r="J33" i="12"/>
  <c r="K33" i="12"/>
  <c r="O33" i="12"/>
  <c r="D499" i="12"/>
  <c r="E499" i="12"/>
  <c r="F499" i="12"/>
  <c r="J499" i="12"/>
  <c r="K499" i="12"/>
  <c r="O499" i="12"/>
  <c r="D587" i="12"/>
  <c r="E587" i="12"/>
  <c r="F587" i="12"/>
  <c r="J587" i="12"/>
  <c r="K587" i="12"/>
  <c r="O587" i="12"/>
  <c r="D679" i="12"/>
  <c r="E679" i="12"/>
  <c r="F679" i="12"/>
  <c r="J679" i="12"/>
  <c r="K679" i="12"/>
  <c r="O679" i="12"/>
  <c r="D769" i="12"/>
  <c r="E769" i="12"/>
  <c r="F769" i="12"/>
  <c r="J769" i="12"/>
  <c r="K769" i="12"/>
  <c r="O769" i="12"/>
  <c r="D831" i="12"/>
  <c r="E831" i="12"/>
  <c r="F831" i="12"/>
  <c r="J831" i="12"/>
  <c r="K831" i="12"/>
  <c r="O831" i="12"/>
  <c r="D178" i="12"/>
  <c r="E178" i="12"/>
  <c r="F178" i="12"/>
  <c r="J178" i="12"/>
  <c r="K178" i="12"/>
  <c r="O178" i="12"/>
  <c r="D945" i="12"/>
  <c r="E945" i="12"/>
  <c r="F945" i="12"/>
  <c r="J945" i="12"/>
  <c r="K945" i="12"/>
  <c r="D92" i="12"/>
  <c r="E92" i="12"/>
  <c r="F92" i="12"/>
  <c r="J92" i="12"/>
  <c r="K92" i="12"/>
  <c r="D1035" i="12"/>
  <c r="E1035" i="12"/>
  <c r="F1035" i="12"/>
  <c r="J1035" i="12"/>
  <c r="K1035" i="12"/>
  <c r="D275" i="12"/>
  <c r="E275" i="12"/>
  <c r="F275" i="12"/>
  <c r="J275" i="12"/>
  <c r="K275" i="12"/>
  <c r="O275" i="12"/>
  <c r="D367" i="12"/>
  <c r="E367" i="12"/>
  <c r="F367" i="12"/>
  <c r="J367" i="12"/>
  <c r="K367" i="12"/>
  <c r="O367" i="12"/>
  <c r="D34" i="12"/>
  <c r="E34" i="12"/>
  <c r="F34" i="12"/>
  <c r="J34" i="12"/>
  <c r="K34" i="12"/>
  <c r="O34" i="12"/>
  <c r="D500" i="12"/>
  <c r="E500" i="12"/>
  <c r="F500" i="12"/>
  <c r="J500" i="12"/>
  <c r="K500" i="12"/>
  <c r="O500" i="12"/>
  <c r="D588" i="12"/>
  <c r="E588" i="12"/>
  <c r="F588" i="12"/>
  <c r="J588" i="12"/>
  <c r="K588" i="12"/>
  <c r="O588" i="12"/>
  <c r="D680" i="12"/>
  <c r="E680" i="12"/>
  <c r="F680" i="12"/>
  <c r="J680" i="12"/>
  <c r="K680" i="12"/>
  <c r="O680" i="12"/>
  <c r="D770" i="12"/>
  <c r="E770" i="12"/>
  <c r="F770" i="12"/>
  <c r="J770" i="12"/>
  <c r="K770" i="12"/>
  <c r="O770" i="12"/>
  <c r="D832" i="12"/>
  <c r="E832" i="12"/>
  <c r="F832" i="12"/>
  <c r="J832" i="12"/>
  <c r="K832" i="12"/>
  <c r="O832" i="12"/>
  <c r="D179" i="12"/>
  <c r="E179" i="12"/>
  <c r="F179" i="12"/>
  <c r="J179" i="12"/>
  <c r="K179" i="12"/>
  <c r="O179" i="12"/>
  <c r="D946" i="12"/>
  <c r="E946" i="12"/>
  <c r="F946" i="12"/>
  <c r="J946" i="12"/>
  <c r="K946" i="12"/>
  <c r="D93" i="12"/>
  <c r="E93" i="12"/>
  <c r="F93" i="12"/>
  <c r="J93" i="12"/>
  <c r="K93" i="12"/>
  <c r="D1036" i="12"/>
  <c r="E1036" i="12"/>
  <c r="F1036" i="12"/>
  <c r="J1036" i="12"/>
  <c r="K1036" i="12"/>
  <c r="O1036" i="12"/>
  <c r="D276" i="12"/>
  <c r="E276" i="12"/>
  <c r="F276" i="12"/>
  <c r="J276" i="12"/>
  <c r="K276" i="12"/>
  <c r="O276" i="12"/>
  <c r="D368" i="12"/>
  <c r="E368" i="12"/>
  <c r="F368" i="12"/>
  <c r="J368" i="12"/>
  <c r="K368" i="12"/>
  <c r="O368" i="12"/>
  <c r="D35" i="12"/>
  <c r="E35" i="12"/>
  <c r="F35" i="12"/>
  <c r="J35" i="12"/>
  <c r="K35" i="12"/>
  <c r="O35" i="12"/>
  <c r="D501" i="12"/>
  <c r="E501" i="12"/>
  <c r="F501" i="12"/>
  <c r="J501" i="12"/>
  <c r="K501" i="12"/>
  <c r="O501" i="12"/>
  <c r="D589" i="12"/>
  <c r="E589" i="12"/>
  <c r="F589" i="12"/>
  <c r="J589" i="12"/>
  <c r="K589" i="12"/>
  <c r="O589" i="12"/>
  <c r="D681" i="12"/>
  <c r="E681" i="12"/>
  <c r="F681" i="12"/>
  <c r="J681" i="12"/>
  <c r="K681" i="12"/>
  <c r="D771" i="12"/>
  <c r="E771" i="12"/>
  <c r="F771" i="12"/>
  <c r="J771" i="12"/>
  <c r="K771" i="12"/>
  <c r="O771" i="12"/>
  <c r="D833" i="12"/>
  <c r="E833" i="12"/>
  <c r="F833" i="12"/>
  <c r="J833" i="12"/>
  <c r="K833" i="12"/>
  <c r="O833" i="12"/>
  <c r="D180" i="12"/>
  <c r="E180" i="12"/>
  <c r="F180" i="12"/>
  <c r="J180" i="12"/>
  <c r="K180" i="12"/>
  <c r="O180" i="12"/>
  <c r="D947" i="12"/>
  <c r="E947" i="12"/>
  <c r="F947" i="12"/>
  <c r="J947" i="12"/>
  <c r="K947" i="12"/>
  <c r="D94" i="12"/>
  <c r="E94" i="12"/>
  <c r="F94" i="12"/>
  <c r="J94" i="12"/>
  <c r="K94" i="12"/>
  <c r="D1037" i="12"/>
  <c r="E1037" i="12"/>
  <c r="F1037" i="12"/>
  <c r="J1037" i="12"/>
  <c r="K1037" i="12"/>
  <c r="O1037" i="12"/>
  <c r="D277" i="12"/>
  <c r="E277" i="12"/>
  <c r="F277" i="12"/>
  <c r="J277" i="12"/>
  <c r="K277" i="12"/>
  <c r="O277" i="12"/>
  <c r="D369" i="12"/>
  <c r="E369" i="12"/>
  <c r="F369" i="12"/>
  <c r="J369" i="12"/>
  <c r="K369" i="12"/>
  <c r="O369" i="12"/>
  <c r="D36" i="12"/>
  <c r="E36" i="12"/>
  <c r="F36" i="12"/>
  <c r="J36" i="12"/>
  <c r="K36" i="12"/>
  <c r="O36" i="12"/>
  <c r="D502" i="12"/>
  <c r="E502" i="12"/>
  <c r="F502" i="12"/>
  <c r="J502" i="12"/>
  <c r="K502" i="12"/>
  <c r="O502" i="12"/>
  <c r="D590" i="12"/>
  <c r="E590" i="12"/>
  <c r="F590" i="12"/>
  <c r="J590" i="12"/>
  <c r="K590" i="12"/>
  <c r="O590" i="12"/>
  <c r="D682" i="12"/>
  <c r="E682" i="12"/>
  <c r="F682" i="12"/>
  <c r="J682" i="12"/>
  <c r="K682" i="12"/>
  <c r="O682" i="12"/>
  <c r="D772" i="12"/>
  <c r="E772" i="12"/>
  <c r="F772" i="12"/>
  <c r="J772" i="12"/>
  <c r="K772" i="12"/>
  <c r="O772" i="12"/>
  <c r="D834" i="12"/>
  <c r="E834" i="12"/>
  <c r="F834" i="12"/>
  <c r="J834" i="12"/>
  <c r="K834" i="12"/>
  <c r="O834" i="12"/>
  <c r="D181" i="12"/>
  <c r="E181" i="12"/>
  <c r="F181" i="12"/>
  <c r="J181" i="12"/>
  <c r="K181" i="12"/>
  <c r="O181" i="12"/>
  <c r="D948" i="12"/>
  <c r="E948" i="12"/>
  <c r="F948" i="12"/>
  <c r="J948" i="12"/>
  <c r="K948" i="12"/>
  <c r="D95" i="12"/>
  <c r="E95" i="12"/>
  <c r="F95" i="12"/>
  <c r="J95" i="12"/>
  <c r="K95" i="12"/>
  <c r="D1038" i="12"/>
  <c r="E1038" i="12"/>
  <c r="F1038" i="12"/>
  <c r="J1038" i="12"/>
  <c r="K1038" i="12"/>
  <c r="O1038" i="12"/>
  <c r="D278" i="12"/>
  <c r="E278" i="12"/>
  <c r="F278" i="12"/>
  <c r="J278" i="12"/>
  <c r="K278" i="12"/>
  <c r="O278" i="12"/>
  <c r="D370" i="12"/>
  <c r="E370" i="12"/>
  <c r="F370" i="12"/>
  <c r="J370" i="12"/>
  <c r="K370" i="12"/>
  <c r="O370" i="12"/>
  <c r="D37" i="12"/>
  <c r="E37" i="12"/>
  <c r="F37" i="12"/>
  <c r="J37" i="12"/>
  <c r="K37" i="12"/>
  <c r="O37" i="12"/>
  <c r="D503" i="12"/>
  <c r="E503" i="12"/>
  <c r="F503" i="12"/>
  <c r="J503" i="12"/>
  <c r="K503" i="12"/>
  <c r="O503" i="12"/>
  <c r="D591" i="12"/>
  <c r="E591" i="12"/>
  <c r="F591" i="12"/>
  <c r="J591" i="12"/>
  <c r="K591" i="12"/>
  <c r="O591" i="12"/>
  <c r="D683" i="12"/>
  <c r="E683" i="12"/>
  <c r="F683" i="12"/>
  <c r="J683" i="12"/>
  <c r="K683" i="12"/>
  <c r="O683" i="12"/>
  <c r="D773" i="12"/>
  <c r="E773" i="12"/>
  <c r="F773" i="12"/>
  <c r="J773" i="12"/>
  <c r="K773" i="12"/>
  <c r="O773" i="12"/>
  <c r="D835" i="12"/>
  <c r="E835" i="12"/>
  <c r="F835" i="12"/>
  <c r="J835" i="12"/>
  <c r="K835" i="12"/>
  <c r="O835" i="12"/>
  <c r="D182" i="12"/>
  <c r="E182" i="12"/>
  <c r="F182" i="12"/>
  <c r="J182" i="12"/>
  <c r="K182" i="12"/>
  <c r="O182" i="12"/>
  <c r="D949" i="12"/>
  <c r="E949" i="12"/>
  <c r="F949" i="12"/>
  <c r="J949" i="12"/>
  <c r="K949" i="12"/>
  <c r="D96" i="12"/>
  <c r="E96" i="12"/>
  <c r="F96" i="12"/>
  <c r="J96" i="12"/>
  <c r="K96" i="12"/>
  <c r="D1039" i="12"/>
  <c r="E1039" i="12"/>
  <c r="F1039" i="12"/>
  <c r="J1039" i="12"/>
  <c r="K1039" i="12"/>
  <c r="O1039" i="12"/>
  <c r="D279" i="12"/>
  <c r="E279" i="12"/>
  <c r="F279" i="12"/>
  <c r="J279" i="12"/>
  <c r="K279" i="12"/>
  <c r="O279" i="12"/>
  <c r="D371" i="12"/>
  <c r="E371" i="12"/>
  <c r="F371" i="12"/>
  <c r="J371" i="12"/>
  <c r="K371" i="12"/>
  <c r="O371" i="12"/>
  <c r="D38" i="12"/>
  <c r="E38" i="12"/>
  <c r="F38" i="12"/>
  <c r="J38" i="12"/>
  <c r="K38" i="12"/>
  <c r="O38" i="12"/>
  <c r="D504" i="12"/>
  <c r="E504" i="12"/>
  <c r="F504" i="12"/>
  <c r="J504" i="12"/>
  <c r="K504" i="12"/>
  <c r="O504" i="12"/>
  <c r="D592" i="12"/>
  <c r="E592" i="12"/>
  <c r="F592" i="12"/>
  <c r="J592" i="12"/>
  <c r="K592" i="12"/>
  <c r="O592" i="12"/>
  <c r="D684" i="12"/>
  <c r="E684" i="12"/>
  <c r="F684" i="12"/>
  <c r="J684" i="12"/>
  <c r="K684" i="12"/>
  <c r="O684" i="12"/>
  <c r="D774" i="12"/>
  <c r="E774" i="12"/>
  <c r="F774" i="12"/>
  <c r="J774" i="12"/>
  <c r="K774" i="12"/>
  <c r="O774" i="12"/>
  <c r="D836" i="12"/>
  <c r="E836" i="12"/>
  <c r="F836" i="12"/>
  <c r="J836" i="12"/>
  <c r="K836" i="12"/>
  <c r="O836" i="12"/>
  <c r="D183" i="12"/>
  <c r="E183" i="12"/>
  <c r="F183" i="12"/>
  <c r="J183" i="12"/>
  <c r="K183" i="12"/>
  <c r="O183" i="12"/>
  <c r="D950" i="12"/>
  <c r="E950" i="12"/>
  <c r="F950" i="12"/>
  <c r="J950" i="12"/>
  <c r="K950" i="12"/>
  <c r="D97" i="12"/>
  <c r="E97" i="12"/>
  <c r="F97" i="12"/>
  <c r="J97" i="12"/>
  <c r="K97" i="12"/>
  <c r="D1040" i="12"/>
  <c r="E1040" i="12"/>
  <c r="F1040" i="12"/>
  <c r="J1040" i="12"/>
  <c r="K1040" i="12"/>
  <c r="O1040" i="12"/>
  <c r="D280" i="12"/>
  <c r="E280" i="12"/>
  <c r="F280" i="12"/>
  <c r="J280" i="12"/>
  <c r="K280" i="12"/>
  <c r="O280" i="12"/>
  <c r="D372" i="12"/>
  <c r="E372" i="12"/>
  <c r="F372" i="12"/>
  <c r="J372" i="12"/>
  <c r="K372" i="12"/>
  <c r="O372" i="12"/>
  <c r="D39" i="12"/>
  <c r="E39" i="12"/>
  <c r="F39" i="12"/>
  <c r="J39" i="12"/>
  <c r="K39" i="12"/>
  <c r="O39" i="12"/>
  <c r="D505" i="12"/>
  <c r="E505" i="12"/>
  <c r="F505" i="12"/>
  <c r="J505" i="12"/>
  <c r="K505" i="12"/>
  <c r="O505" i="12"/>
  <c r="D593" i="12"/>
  <c r="E593" i="12"/>
  <c r="F593" i="12"/>
  <c r="J593" i="12"/>
  <c r="K593" i="12"/>
  <c r="O593" i="12"/>
  <c r="D685" i="12"/>
  <c r="E685" i="12"/>
  <c r="F685" i="12"/>
  <c r="J685" i="12"/>
  <c r="K685" i="12"/>
  <c r="O685" i="12"/>
  <c r="D775" i="12"/>
  <c r="E775" i="12"/>
  <c r="F775" i="12"/>
  <c r="J775" i="12"/>
  <c r="K775" i="12"/>
  <c r="O775" i="12"/>
  <c r="D837" i="12"/>
  <c r="E837" i="12"/>
  <c r="F837" i="12"/>
  <c r="J837" i="12"/>
  <c r="K837" i="12"/>
  <c r="O837" i="12"/>
  <c r="D184" i="12"/>
  <c r="E184" i="12"/>
  <c r="F184" i="12"/>
  <c r="J184" i="12"/>
  <c r="K184" i="12"/>
  <c r="O184" i="12"/>
  <c r="D951" i="12"/>
  <c r="E951" i="12"/>
  <c r="F951" i="12"/>
  <c r="J951" i="12"/>
  <c r="K951" i="12"/>
  <c r="D98" i="12"/>
  <c r="E98" i="12"/>
  <c r="F98" i="12"/>
  <c r="J98" i="12"/>
  <c r="K98" i="12"/>
  <c r="D1041" i="12"/>
  <c r="E1041" i="12"/>
  <c r="F1041" i="12"/>
  <c r="J1041" i="12"/>
  <c r="K1041" i="12"/>
  <c r="O1041" i="12"/>
  <c r="D281" i="12"/>
  <c r="E281" i="12"/>
  <c r="F281" i="12"/>
  <c r="J281" i="12"/>
  <c r="K281" i="12"/>
  <c r="O281" i="12"/>
  <c r="D373" i="12"/>
  <c r="E373" i="12"/>
  <c r="F373" i="12"/>
  <c r="J373" i="12"/>
  <c r="K373" i="12"/>
  <c r="O373" i="12"/>
  <c r="D437" i="12"/>
  <c r="E437" i="12"/>
  <c r="F437" i="12"/>
  <c r="J437" i="12"/>
  <c r="K437" i="12"/>
  <c r="O437" i="12"/>
  <c r="D506" i="12"/>
  <c r="E506" i="12"/>
  <c r="F506" i="12"/>
  <c r="J506" i="12"/>
  <c r="K506" i="12"/>
  <c r="O506" i="12"/>
  <c r="D594" i="12"/>
  <c r="E594" i="12"/>
  <c r="F594" i="12"/>
  <c r="J594" i="12"/>
  <c r="K594" i="12"/>
  <c r="O594" i="12"/>
  <c r="D686" i="12"/>
  <c r="E686" i="12"/>
  <c r="F686" i="12"/>
  <c r="J686" i="12"/>
  <c r="K686" i="12"/>
  <c r="O686" i="12"/>
  <c r="D227" i="12"/>
  <c r="E227" i="12"/>
  <c r="F227" i="12"/>
  <c r="J227" i="12"/>
  <c r="K227" i="12"/>
  <c r="O227" i="12"/>
  <c r="D838" i="12"/>
  <c r="E838" i="12"/>
  <c r="F838" i="12"/>
  <c r="J838" i="12"/>
  <c r="K838" i="12"/>
  <c r="O838" i="12"/>
  <c r="D185" i="12"/>
  <c r="E185" i="12"/>
  <c r="F185" i="12"/>
  <c r="J185" i="12"/>
  <c r="K185" i="12"/>
  <c r="O185" i="12"/>
  <c r="D952" i="12"/>
  <c r="E952" i="12"/>
  <c r="F952" i="12"/>
  <c r="J952" i="12"/>
  <c r="K952" i="12"/>
  <c r="D99" i="12"/>
  <c r="E99" i="12"/>
  <c r="F99" i="12"/>
  <c r="J99" i="12"/>
  <c r="K99" i="12"/>
  <c r="D1042" i="12"/>
  <c r="E1042" i="12"/>
  <c r="F1042" i="12"/>
  <c r="J1042" i="12"/>
  <c r="K1042" i="12"/>
  <c r="D282" i="12"/>
  <c r="E282" i="12"/>
  <c r="F282" i="12"/>
  <c r="J282" i="12"/>
  <c r="K282" i="12"/>
  <c r="O282" i="12"/>
  <c r="D374" i="12"/>
  <c r="E374" i="12"/>
  <c r="F374" i="12"/>
  <c r="J374" i="12"/>
  <c r="K374" i="12"/>
  <c r="O374" i="12"/>
  <c r="D438" i="12"/>
  <c r="E438" i="12"/>
  <c r="F438" i="12"/>
  <c r="J438" i="12"/>
  <c r="K438" i="12"/>
  <c r="O438" i="12"/>
  <c r="D507" i="12"/>
  <c r="E507" i="12"/>
  <c r="F507" i="12"/>
  <c r="J507" i="12"/>
  <c r="K507" i="12"/>
  <c r="O507" i="12"/>
  <c r="D595" i="12"/>
  <c r="E595" i="12"/>
  <c r="F595" i="12"/>
  <c r="J595" i="12"/>
  <c r="K595" i="12"/>
  <c r="O595" i="12"/>
  <c r="D687" i="12"/>
  <c r="E687" i="12"/>
  <c r="F687" i="12"/>
  <c r="J687" i="12"/>
  <c r="K687" i="12"/>
  <c r="O687" i="12"/>
  <c r="D228" i="12"/>
  <c r="E228" i="12"/>
  <c r="F228" i="12"/>
  <c r="J228" i="12"/>
  <c r="K228" i="12"/>
  <c r="O228" i="12"/>
  <c r="D839" i="12"/>
  <c r="E839" i="12"/>
  <c r="F839" i="12"/>
  <c r="J839" i="12"/>
  <c r="K839" i="12"/>
  <c r="O839" i="12"/>
  <c r="D186" i="12"/>
  <c r="E186" i="12"/>
  <c r="F186" i="12"/>
  <c r="J186" i="12"/>
  <c r="K186" i="12"/>
  <c r="O186" i="12"/>
  <c r="D953" i="12"/>
  <c r="E953" i="12"/>
  <c r="F953" i="12"/>
  <c r="J953" i="12"/>
  <c r="K953" i="12"/>
  <c r="D100" i="12"/>
  <c r="E100" i="12"/>
  <c r="F100" i="12"/>
  <c r="J100" i="12"/>
  <c r="K100" i="12"/>
  <c r="D1043" i="12"/>
  <c r="E1043" i="12"/>
  <c r="F1043" i="12"/>
  <c r="J1043" i="12"/>
  <c r="K1043" i="12"/>
  <c r="D283" i="12"/>
  <c r="E283" i="12"/>
  <c r="F283" i="12"/>
  <c r="J283" i="12"/>
  <c r="K283" i="12"/>
  <c r="O283" i="12"/>
  <c r="D375" i="12"/>
  <c r="E375" i="12"/>
  <c r="F375" i="12"/>
  <c r="J375" i="12"/>
  <c r="K375" i="12"/>
  <c r="O375" i="12"/>
  <c r="D439" i="12"/>
  <c r="E439" i="12"/>
  <c r="F439" i="12"/>
  <c r="J439" i="12"/>
  <c r="K439" i="12"/>
  <c r="O439" i="12"/>
  <c r="D508" i="12"/>
  <c r="E508" i="12"/>
  <c r="F508" i="12"/>
  <c r="J508" i="12"/>
  <c r="K508" i="12"/>
  <c r="O508" i="12"/>
  <c r="D596" i="12"/>
  <c r="E596" i="12"/>
  <c r="F596" i="12"/>
  <c r="J596" i="12"/>
  <c r="K596" i="12"/>
  <c r="O596" i="12"/>
  <c r="D688" i="12"/>
  <c r="E688" i="12"/>
  <c r="F688" i="12"/>
  <c r="J688" i="12"/>
  <c r="K688" i="12"/>
  <c r="O688" i="12"/>
  <c r="D231" i="12"/>
  <c r="E231" i="12"/>
  <c r="F231" i="12"/>
  <c r="J231" i="12"/>
  <c r="K231" i="12"/>
  <c r="O231" i="12"/>
  <c r="D840" i="12"/>
  <c r="E840" i="12"/>
  <c r="F840" i="12"/>
  <c r="J840" i="12"/>
  <c r="K840" i="12"/>
  <c r="O840" i="12"/>
  <c r="D187" i="12"/>
  <c r="E187" i="12"/>
  <c r="F187" i="12"/>
  <c r="J187" i="12"/>
  <c r="K187" i="12"/>
  <c r="O187" i="12"/>
  <c r="D954" i="12"/>
  <c r="E954" i="12"/>
  <c r="F954" i="12"/>
  <c r="J954" i="12"/>
  <c r="K954" i="12"/>
  <c r="D101" i="12"/>
  <c r="E101" i="12"/>
  <c r="F101" i="12"/>
  <c r="J101" i="12"/>
  <c r="K101" i="12"/>
  <c r="D1044" i="12"/>
  <c r="E1044" i="12"/>
  <c r="F1044" i="12"/>
  <c r="J1044" i="12"/>
  <c r="K1044" i="12"/>
  <c r="D284" i="12"/>
  <c r="E284" i="12"/>
  <c r="F284" i="12"/>
  <c r="J284" i="12"/>
  <c r="K284" i="12"/>
  <c r="O284" i="12"/>
  <c r="D376" i="12"/>
  <c r="E376" i="12"/>
  <c r="F376" i="12"/>
  <c r="J376" i="12"/>
  <c r="K376" i="12"/>
  <c r="O376" i="12"/>
  <c r="D440" i="12"/>
  <c r="E440" i="12"/>
  <c r="F440" i="12"/>
  <c r="J440" i="12"/>
  <c r="K440" i="12"/>
  <c r="O440" i="12"/>
  <c r="D509" i="12"/>
  <c r="E509" i="12"/>
  <c r="F509" i="12"/>
  <c r="J509" i="12"/>
  <c r="K509" i="12"/>
  <c r="O509" i="12"/>
  <c r="D597" i="12"/>
  <c r="E597" i="12"/>
  <c r="F597" i="12"/>
  <c r="J597" i="12"/>
  <c r="K597" i="12"/>
  <c r="O597" i="12"/>
  <c r="D689" i="12"/>
  <c r="E689" i="12"/>
  <c r="F689" i="12"/>
  <c r="J689" i="12"/>
  <c r="K689" i="12"/>
  <c r="O689" i="12"/>
  <c r="D232" i="12"/>
  <c r="E232" i="12"/>
  <c r="F232" i="12"/>
  <c r="J232" i="12"/>
  <c r="K232" i="12"/>
  <c r="O232" i="12"/>
  <c r="D841" i="12"/>
  <c r="E841" i="12"/>
  <c r="F841" i="12"/>
  <c r="J841" i="12"/>
  <c r="K841" i="12"/>
  <c r="O841" i="12"/>
  <c r="D188" i="12"/>
  <c r="E188" i="12"/>
  <c r="F188" i="12"/>
  <c r="J188" i="12"/>
  <c r="K188" i="12"/>
  <c r="O188" i="12"/>
  <c r="D955" i="12"/>
  <c r="E955" i="12"/>
  <c r="F955" i="12"/>
  <c r="J955" i="12"/>
  <c r="K955" i="12"/>
  <c r="D102" i="12"/>
  <c r="E102" i="12"/>
  <c r="F102" i="12"/>
  <c r="J102" i="12"/>
  <c r="K102" i="12"/>
  <c r="D1045" i="12"/>
  <c r="E1045" i="12"/>
  <c r="F1045" i="12"/>
  <c r="J1045" i="12"/>
  <c r="K1045" i="12"/>
  <c r="D285" i="12"/>
  <c r="E285" i="12"/>
  <c r="F285" i="12"/>
  <c r="J285" i="12"/>
  <c r="K285" i="12"/>
  <c r="O285" i="12"/>
  <c r="D377" i="12"/>
  <c r="E377" i="12"/>
  <c r="F377" i="12"/>
  <c r="J377" i="12"/>
  <c r="K377" i="12"/>
  <c r="O377" i="12"/>
  <c r="D441" i="12"/>
  <c r="E441" i="12"/>
  <c r="F441" i="12"/>
  <c r="J441" i="12"/>
  <c r="K441" i="12"/>
  <c r="O441" i="12"/>
  <c r="D510" i="12"/>
  <c r="E510" i="12"/>
  <c r="F510" i="12"/>
  <c r="J510" i="12"/>
  <c r="K510" i="12"/>
  <c r="O510" i="12"/>
  <c r="D598" i="12"/>
  <c r="E598" i="12"/>
  <c r="F598" i="12"/>
  <c r="J598" i="12"/>
  <c r="K598" i="12"/>
  <c r="O598" i="12"/>
  <c r="D690" i="12"/>
  <c r="E690" i="12"/>
  <c r="F690" i="12"/>
  <c r="J690" i="12"/>
  <c r="K690" i="12"/>
  <c r="O690" i="12"/>
  <c r="D59" i="12"/>
  <c r="E59" i="12"/>
  <c r="F59" i="12"/>
  <c r="J59" i="12"/>
  <c r="K59" i="12"/>
  <c r="O59" i="12"/>
  <c r="D842" i="12"/>
  <c r="E842" i="12"/>
  <c r="F842" i="12"/>
  <c r="J842" i="12"/>
  <c r="K842" i="12"/>
  <c r="O842" i="12"/>
  <c r="D902" i="12"/>
  <c r="E902" i="12"/>
  <c r="F902" i="12"/>
  <c r="J902" i="12"/>
  <c r="K902" i="12"/>
  <c r="O902" i="12"/>
  <c r="D956" i="12"/>
  <c r="E956" i="12"/>
  <c r="F956" i="12"/>
  <c r="J956" i="12"/>
  <c r="K956" i="12"/>
  <c r="O956" i="12"/>
  <c r="D103" i="12"/>
  <c r="E103" i="12"/>
  <c r="F103" i="12"/>
  <c r="J103" i="12"/>
  <c r="K103" i="12"/>
  <c r="O103" i="12"/>
  <c r="D1046" i="12"/>
  <c r="E1046" i="12"/>
  <c r="F1046" i="12"/>
  <c r="J1046" i="12"/>
  <c r="K1046" i="12"/>
  <c r="O1046" i="12"/>
  <c r="D286" i="12"/>
  <c r="E286" i="12"/>
  <c r="F286" i="12"/>
  <c r="J286" i="12"/>
  <c r="K286" i="12"/>
  <c r="O286" i="12"/>
  <c r="D378" i="12"/>
  <c r="E378" i="12"/>
  <c r="F378" i="12"/>
  <c r="J378" i="12"/>
  <c r="K378" i="12"/>
  <c r="O378" i="12"/>
  <c r="D442" i="12"/>
  <c r="E442" i="12"/>
  <c r="F442" i="12"/>
  <c r="J442" i="12"/>
  <c r="K442" i="12"/>
  <c r="O442" i="12"/>
  <c r="D511" i="12"/>
  <c r="E511" i="12"/>
  <c r="F511" i="12"/>
  <c r="J511" i="12"/>
  <c r="K511" i="12"/>
  <c r="O511" i="12"/>
  <c r="D599" i="12"/>
  <c r="E599" i="12"/>
  <c r="F599" i="12"/>
  <c r="J599" i="12"/>
  <c r="K599" i="12"/>
  <c r="O599" i="12"/>
  <c r="D691" i="12"/>
  <c r="E691" i="12"/>
  <c r="F691" i="12"/>
  <c r="J691" i="12"/>
  <c r="K691" i="12"/>
  <c r="O691" i="12"/>
  <c r="D60" i="12"/>
  <c r="E60" i="12"/>
  <c r="F60" i="12"/>
  <c r="J60" i="12"/>
  <c r="K60" i="12"/>
  <c r="O60" i="12"/>
  <c r="D843" i="12"/>
  <c r="E843" i="12"/>
  <c r="F843" i="12"/>
  <c r="J843" i="12"/>
  <c r="K843" i="12"/>
  <c r="O843" i="12"/>
  <c r="D903" i="12"/>
  <c r="E903" i="12"/>
  <c r="F903" i="12"/>
  <c r="J903" i="12"/>
  <c r="K903" i="12"/>
  <c r="O903" i="12"/>
  <c r="D957" i="12"/>
  <c r="E957" i="12"/>
  <c r="F957" i="12"/>
  <c r="J957" i="12"/>
  <c r="K957" i="12"/>
  <c r="O957" i="12"/>
  <c r="D104" i="12"/>
  <c r="E104" i="12"/>
  <c r="F104" i="12"/>
  <c r="J104" i="12"/>
  <c r="K104" i="12"/>
  <c r="O104" i="12"/>
  <c r="D1047" i="12"/>
  <c r="E1047" i="12"/>
  <c r="F1047" i="12"/>
  <c r="J1047" i="12"/>
  <c r="K1047" i="12"/>
  <c r="O1047" i="12"/>
  <c r="D287" i="12"/>
  <c r="E287" i="12"/>
  <c r="F287" i="12"/>
  <c r="J287" i="12"/>
  <c r="K287" i="12"/>
  <c r="O287" i="12"/>
  <c r="D379" i="12"/>
  <c r="E379" i="12"/>
  <c r="F379" i="12"/>
  <c r="J379" i="12"/>
  <c r="K379" i="12"/>
  <c r="O379" i="12"/>
  <c r="D443" i="12"/>
  <c r="E443" i="12"/>
  <c r="F443" i="12"/>
  <c r="J443" i="12"/>
  <c r="K443" i="12"/>
  <c r="O443" i="12"/>
  <c r="D512" i="12"/>
  <c r="E512" i="12"/>
  <c r="F512" i="12"/>
  <c r="J512" i="12"/>
  <c r="K512" i="12"/>
  <c r="O512" i="12"/>
  <c r="A600" i="12"/>
  <c r="D600" i="12"/>
  <c r="E600" i="12"/>
  <c r="F600" i="12"/>
  <c r="J600" i="12"/>
  <c r="K600" i="12"/>
  <c r="O600" i="12"/>
  <c r="A692" i="12"/>
  <c r="D692" i="12"/>
  <c r="E692" i="12"/>
  <c r="F692" i="12"/>
  <c r="J692" i="12"/>
  <c r="K692" i="12"/>
  <c r="O692" i="12"/>
  <c r="A233" i="12"/>
  <c r="D233" i="12"/>
  <c r="E233" i="12"/>
  <c r="F233" i="12"/>
  <c r="J233" i="12"/>
  <c r="K233" i="12"/>
  <c r="O233" i="12"/>
  <c r="A844" i="12"/>
  <c r="D844" i="12"/>
  <c r="E844" i="12"/>
  <c r="F844" i="12"/>
  <c r="J844" i="12"/>
  <c r="K844" i="12"/>
  <c r="O844" i="12"/>
  <c r="A189" i="12"/>
  <c r="D189" i="12"/>
  <c r="E189" i="12"/>
  <c r="F189" i="12"/>
  <c r="J189" i="12"/>
  <c r="K189" i="12"/>
  <c r="O189" i="12"/>
  <c r="A958" i="12"/>
  <c r="D958" i="12"/>
  <c r="E958" i="12"/>
  <c r="F958" i="12"/>
  <c r="J958" i="12"/>
  <c r="K958" i="12"/>
  <c r="A105" i="12"/>
  <c r="D105" i="12"/>
  <c r="E105" i="12"/>
  <c r="F105" i="12"/>
  <c r="J105" i="12"/>
  <c r="K105" i="12"/>
  <c r="A1048" i="12"/>
  <c r="D1048" i="12"/>
  <c r="E1048" i="12"/>
  <c r="F1048" i="12"/>
  <c r="J1048" i="12"/>
  <c r="K1048" i="12"/>
  <c r="A288" i="12"/>
  <c r="D288" i="12"/>
  <c r="E288" i="12"/>
  <c r="F288" i="12"/>
  <c r="J288" i="12"/>
  <c r="K288" i="12"/>
  <c r="O288" i="12"/>
  <c r="A380" i="12"/>
  <c r="D380" i="12"/>
  <c r="E380" i="12"/>
  <c r="F380" i="12"/>
  <c r="J380" i="12"/>
  <c r="K380" i="12"/>
  <c r="O380" i="12"/>
  <c r="A444" i="12"/>
  <c r="D444" i="12"/>
  <c r="E444" i="12"/>
  <c r="F444" i="12"/>
  <c r="J444" i="12"/>
  <c r="K444" i="12"/>
  <c r="O444" i="12"/>
  <c r="A513" i="12"/>
  <c r="D513" i="12"/>
  <c r="E513" i="12"/>
  <c r="F513" i="12"/>
  <c r="J513" i="12"/>
  <c r="K513" i="12"/>
  <c r="O513" i="12"/>
  <c r="A601" i="12"/>
  <c r="D601" i="12"/>
  <c r="E601" i="12"/>
  <c r="F601" i="12"/>
  <c r="J601" i="12"/>
  <c r="K601" i="12"/>
  <c r="O601" i="12"/>
  <c r="A693" i="12"/>
  <c r="D693" i="12"/>
  <c r="E693" i="12"/>
  <c r="F693" i="12"/>
  <c r="J693" i="12"/>
  <c r="K693" i="12"/>
  <c r="O693" i="12"/>
  <c r="A234" i="12"/>
  <c r="D234" i="12"/>
  <c r="E234" i="12"/>
  <c r="F234" i="12"/>
  <c r="J234" i="12"/>
  <c r="K234" i="12"/>
  <c r="O234" i="12"/>
  <c r="A845" i="12"/>
  <c r="D845" i="12"/>
  <c r="E845" i="12"/>
  <c r="F845" i="12"/>
  <c r="J845" i="12"/>
  <c r="K845" i="12"/>
  <c r="O845" i="12"/>
  <c r="A190" i="12"/>
  <c r="D190" i="12"/>
  <c r="E190" i="12"/>
  <c r="F190" i="12"/>
  <c r="J190" i="12"/>
  <c r="K190" i="12"/>
  <c r="O190" i="12"/>
  <c r="A959" i="12"/>
  <c r="D959" i="12"/>
  <c r="E959" i="12"/>
  <c r="F959" i="12"/>
  <c r="J959" i="12"/>
  <c r="K959" i="12"/>
  <c r="A106" i="12"/>
  <c r="D106" i="12"/>
  <c r="E106" i="12"/>
  <c r="F106" i="12"/>
  <c r="J106" i="12"/>
  <c r="K106" i="12"/>
  <c r="A1049" i="12"/>
  <c r="D1049" i="12"/>
  <c r="E1049" i="12"/>
  <c r="F1049" i="12"/>
  <c r="J1049" i="12"/>
  <c r="K1049" i="12"/>
  <c r="D289" i="12"/>
  <c r="E289" i="12"/>
  <c r="F289" i="12"/>
  <c r="J289" i="12"/>
  <c r="K289" i="12"/>
  <c r="O289" i="12"/>
  <c r="D381" i="12"/>
  <c r="E381" i="12"/>
  <c r="F381" i="12"/>
  <c r="J381" i="12"/>
  <c r="K381" i="12"/>
  <c r="O381" i="12"/>
  <c r="D40" i="12"/>
  <c r="E40" i="12"/>
  <c r="F40" i="12"/>
  <c r="J40" i="12"/>
  <c r="K40" i="12"/>
  <c r="O40" i="12"/>
  <c r="D514" i="12"/>
  <c r="E514" i="12"/>
  <c r="F514" i="12"/>
  <c r="J514" i="12"/>
  <c r="K514" i="12"/>
  <c r="O514" i="12"/>
  <c r="D602" i="12"/>
  <c r="E602" i="12"/>
  <c r="F602" i="12"/>
  <c r="J602" i="12"/>
  <c r="K602" i="12"/>
  <c r="O602" i="12"/>
  <c r="D694" i="12"/>
  <c r="E694" i="12"/>
  <c r="F694" i="12"/>
  <c r="J694" i="12"/>
  <c r="K694" i="12"/>
  <c r="O694" i="12"/>
  <c r="D235" i="12"/>
  <c r="E235" i="12"/>
  <c r="F235" i="12"/>
  <c r="J235" i="12"/>
  <c r="K235" i="12"/>
  <c r="O235" i="12"/>
  <c r="D846" i="12"/>
  <c r="E846" i="12"/>
  <c r="F846" i="12"/>
  <c r="J846" i="12"/>
  <c r="K846" i="12"/>
  <c r="O846" i="12"/>
  <c r="D191" i="12"/>
  <c r="E191" i="12"/>
  <c r="F191" i="12"/>
  <c r="J191" i="12"/>
  <c r="K191" i="12"/>
  <c r="O191" i="12"/>
  <c r="D960" i="12"/>
  <c r="E960" i="12"/>
  <c r="F960" i="12"/>
  <c r="J960" i="12"/>
  <c r="K960" i="12"/>
  <c r="D107" i="12"/>
  <c r="E107" i="12"/>
  <c r="F107" i="12"/>
  <c r="J107" i="12"/>
  <c r="K107" i="12"/>
  <c r="D1050" i="12"/>
  <c r="E1050" i="12"/>
  <c r="F1050" i="12"/>
  <c r="J1050" i="12"/>
  <c r="K1050" i="12"/>
  <c r="D290" i="12"/>
  <c r="E290" i="12"/>
  <c r="F290" i="12"/>
  <c r="J290" i="12"/>
  <c r="K290" i="12"/>
  <c r="O290" i="12"/>
  <c r="D382" i="12"/>
  <c r="E382" i="12"/>
  <c r="F382" i="12"/>
  <c r="J382" i="12"/>
  <c r="K382" i="12"/>
  <c r="O382" i="12"/>
  <c r="D41" i="12"/>
  <c r="E41" i="12"/>
  <c r="F41" i="12"/>
  <c r="J41" i="12"/>
  <c r="K41" i="12"/>
  <c r="O41" i="12"/>
  <c r="D515" i="12"/>
  <c r="E515" i="12"/>
  <c r="F515" i="12"/>
  <c r="J515" i="12"/>
  <c r="K515" i="12"/>
  <c r="O515" i="12"/>
  <c r="D603" i="12"/>
  <c r="E603" i="12"/>
  <c r="F603" i="12"/>
  <c r="J603" i="12"/>
  <c r="K603" i="12"/>
  <c r="O603" i="12"/>
  <c r="D695" i="12"/>
  <c r="E695" i="12"/>
  <c r="F695" i="12"/>
  <c r="J695" i="12"/>
  <c r="K695" i="12"/>
  <c r="O695" i="12"/>
  <c r="D236" i="12"/>
  <c r="E236" i="12"/>
  <c r="F236" i="12"/>
  <c r="J236" i="12"/>
  <c r="K236" i="12"/>
  <c r="O236" i="12"/>
  <c r="D847" i="12"/>
  <c r="E847" i="12"/>
  <c r="F847" i="12"/>
  <c r="J847" i="12"/>
  <c r="K847" i="12"/>
  <c r="O847" i="12"/>
  <c r="D192" i="12"/>
  <c r="E192" i="12"/>
  <c r="F192" i="12"/>
  <c r="J192" i="12"/>
  <c r="K192" i="12"/>
  <c r="O192" i="12"/>
  <c r="D961" i="12"/>
  <c r="E961" i="12"/>
  <c r="F961" i="12"/>
  <c r="J961" i="12"/>
  <c r="K961" i="12"/>
  <c r="D108" i="12"/>
  <c r="E108" i="12"/>
  <c r="F108" i="12"/>
  <c r="J108" i="12"/>
  <c r="K108" i="12"/>
  <c r="D1051" i="12"/>
  <c r="E1051" i="12"/>
  <c r="F1051" i="12"/>
  <c r="J1051" i="12"/>
  <c r="K1051" i="12"/>
  <c r="D291" i="12"/>
  <c r="E291" i="12"/>
  <c r="F291" i="12"/>
  <c r="J291" i="12"/>
  <c r="K291" i="12"/>
  <c r="O291" i="12"/>
  <c r="D383" i="12"/>
  <c r="E383" i="12"/>
  <c r="F383" i="12"/>
  <c r="J383" i="12"/>
  <c r="K383" i="12"/>
  <c r="O383" i="12"/>
  <c r="D445" i="12"/>
  <c r="E445" i="12"/>
  <c r="F445" i="12"/>
  <c r="J445" i="12"/>
  <c r="K445" i="12"/>
  <c r="O445" i="12"/>
  <c r="D516" i="12"/>
  <c r="E516" i="12"/>
  <c r="F516" i="12"/>
  <c r="J516" i="12"/>
  <c r="K516" i="12"/>
  <c r="O516" i="12"/>
  <c r="D604" i="12"/>
  <c r="E604" i="12"/>
  <c r="F604" i="12"/>
  <c r="J604" i="12"/>
  <c r="K604" i="12"/>
  <c r="O604" i="12"/>
  <c r="D696" i="12"/>
  <c r="E696" i="12"/>
  <c r="F696" i="12"/>
  <c r="J696" i="12"/>
  <c r="K696" i="12"/>
  <c r="O696" i="12"/>
  <c r="D776" i="12"/>
  <c r="E776" i="12"/>
  <c r="F776" i="12"/>
  <c r="J776" i="12"/>
  <c r="K776" i="12"/>
  <c r="O776" i="12"/>
  <c r="D848" i="12"/>
  <c r="E848" i="12"/>
  <c r="F848" i="12"/>
  <c r="J848" i="12"/>
  <c r="K848" i="12"/>
  <c r="O848" i="12"/>
  <c r="D193" i="12"/>
  <c r="E193" i="12"/>
  <c r="F193" i="12"/>
  <c r="J193" i="12"/>
  <c r="K193" i="12"/>
  <c r="O193" i="12"/>
  <c r="D65" i="12"/>
  <c r="E65" i="12"/>
  <c r="F65" i="12"/>
  <c r="J65" i="12"/>
  <c r="K65" i="12"/>
  <c r="D109" i="12"/>
  <c r="E109" i="12"/>
  <c r="F109" i="12"/>
  <c r="J109" i="12"/>
  <c r="K109" i="12"/>
  <c r="D1052" i="12"/>
  <c r="E1052" i="12"/>
  <c r="F1052" i="12"/>
  <c r="J1052" i="12"/>
  <c r="K1052" i="12"/>
  <c r="D292" i="12"/>
  <c r="E292" i="12"/>
  <c r="F292" i="12"/>
  <c r="J292" i="12"/>
  <c r="K292" i="12"/>
  <c r="O292" i="12"/>
  <c r="D384" i="12"/>
  <c r="E384" i="12"/>
  <c r="F384" i="12"/>
  <c r="J384" i="12"/>
  <c r="K384" i="12"/>
  <c r="O384" i="12"/>
  <c r="D446" i="12"/>
  <c r="E446" i="12"/>
  <c r="F446" i="12"/>
  <c r="J446" i="12"/>
  <c r="K446" i="12"/>
  <c r="O446" i="12"/>
  <c r="D517" i="12"/>
  <c r="E517" i="12"/>
  <c r="F517" i="12"/>
  <c r="J517" i="12"/>
  <c r="K517" i="12"/>
  <c r="O517" i="12"/>
  <c r="D605" i="12"/>
  <c r="E605" i="12"/>
  <c r="F605" i="12"/>
  <c r="J605" i="12"/>
  <c r="K605" i="12"/>
  <c r="O605" i="12"/>
  <c r="D697" i="12"/>
  <c r="E697" i="12"/>
  <c r="F697" i="12"/>
  <c r="J697" i="12"/>
  <c r="K697" i="12"/>
  <c r="O697" i="12"/>
  <c r="D777" i="12"/>
  <c r="E777" i="12"/>
  <c r="F777" i="12"/>
  <c r="J777" i="12"/>
  <c r="K777" i="12"/>
  <c r="O777" i="12"/>
  <c r="D849" i="12"/>
  <c r="E849" i="12"/>
  <c r="F849" i="12"/>
  <c r="J849" i="12"/>
  <c r="K849" i="12"/>
  <c r="O849" i="12"/>
  <c r="D194" i="12"/>
  <c r="E194" i="12"/>
  <c r="F194" i="12"/>
  <c r="J194" i="12"/>
  <c r="K194" i="12"/>
  <c r="O194" i="12"/>
  <c r="D66" i="12"/>
  <c r="E66" i="12"/>
  <c r="F66" i="12"/>
  <c r="J66" i="12"/>
  <c r="K66" i="12"/>
  <c r="D110" i="12"/>
  <c r="E110" i="12"/>
  <c r="F110" i="12"/>
  <c r="J110" i="12"/>
  <c r="K110" i="12"/>
  <c r="D1053" i="12"/>
  <c r="E1053" i="12"/>
  <c r="F1053" i="12"/>
  <c r="J1053" i="12"/>
  <c r="K1053" i="12"/>
  <c r="D293" i="12"/>
  <c r="E293" i="12"/>
  <c r="F293" i="12"/>
  <c r="J293" i="12"/>
  <c r="K293" i="12"/>
  <c r="O293" i="12"/>
  <c r="D385" i="12"/>
  <c r="E385" i="12"/>
  <c r="F385" i="12"/>
  <c r="J385" i="12"/>
  <c r="K385" i="12"/>
  <c r="O385" i="12"/>
  <c r="D447" i="12"/>
  <c r="E447" i="12"/>
  <c r="F447" i="12"/>
  <c r="J447" i="12"/>
  <c r="K447" i="12"/>
  <c r="O447" i="12"/>
  <c r="D518" i="12"/>
  <c r="E518" i="12"/>
  <c r="F518" i="12"/>
  <c r="J518" i="12"/>
  <c r="K518" i="12"/>
  <c r="O518" i="12"/>
  <c r="D606" i="12"/>
  <c r="E606" i="12"/>
  <c r="F606" i="12"/>
  <c r="J606" i="12"/>
  <c r="K606" i="12"/>
  <c r="O606" i="12"/>
  <c r="D698" i="12"/>
  <c r="E698" i="12"/>
  <c r="F698" i="12"/>
  <c r="J698" i="12"/>
  <c r="K698" i="12"/>
  <c r="O698" i="12"/>
  <c r="D778" i="12"/>
  <c r="E778" i="12"/>
  <c r="F778" i="12"/>
  <c r="J778" i="12"/>
  <c r="K778" i="12"/>
  <c r="O778" i="12"/>
  <c r="D850" i="12"/>
  <c r="E850" i="12"/>
  <c r="F850" i="12"/>
  <c r="J850" i="12"/>
  <c r="K850" i="12"/>
  <c r="O850" i="12"/>
  <c r="D904" i="12"/>
  <c r="E904" i="12"/>
  <c r="F904" i="12"/>
  <c r="J904" i="12"/>
  <c r="K904" i="12"/>
  <c r="O904" i="12"/>
  <c r="D962" i="12"/>
  <c r="E962" i="12"/>
  <c r="F962" i="12"/>
  <c r="J962" i="12"/>
  <c r="K962" i="12"/>
  <c r="O962" i="12"/>
  <c r="D111" i="12"/>
  <c r="E111" i="12"/>
  <c r="F111" i="12"/>
  <c r="J111" i="12"/>
  <c r="K111" i="12"/>
  <c r="O111" i="12"/>
  <c r="D1054" i="12"/>
  <c r="E1054" i="12"/>
  <c r="F1054" i="12"/>
  <c r="J1054" i="12"/>
  <c r="K1054" i="12"/>
  <c r="O1054" i="12"/>
  <c r="D294" i="12"/>
  <c r="E294" i="12"/>
  <c r="F294" i="12"/>
  <c r="J294" i="12"/>
  <c r="K294" i="12"/>
  <c r="O294" i="12"/>
  <c r="D386" i="12"/>
  <c r="E386" i="12"/>
  <c r="F386" i="12"/>
  <c r="J386" i="12"/>
  <c r="K386" i="12"/>
  <c r="O386" i="12"/>
  <c r="D448" i="12"/>
  <c r="E448" i="12"/>
  <c r="F448" i="12"/>
  <c r="J448" i="12"/>
  <c r="K448" i="12"/>
  <c r="O448" i="12"/>
  <c r="D519" i="12"/>
  <c r="E519" i="12"/>
  <c r="F519" i="12"/>
  <c r="J519" i="12"/>
  <c r="K519" i="12"/>
  <c r="O519" i="12"/>
  <c r="D607" i="12"/>
  <c r="E607" i="12"/>
  <c r="F607" i="12"/>
  <c r="J607" i="12"/>
  <c r="K607" i="12"/>
  <c r="O607" i="12"/>
  <c r="D699" i="12"/>
  <c r="E699" i="12"/>
  <c r="F699" i="12"/>
  <c r="J699" i="12"/>
  <c r="K699" i="12"/>
  <c r="O699" i="12"/>
  <c r="D779" i="12"/>
  <c r="E779" i="12"/>
  <c r="F779" i="12"/>
  <c r="J779" i="12"/>
  <c r="K779" i="12"/>
  <c r="O779" i="12"/>
  <c r="D851" i="12"/>
  <c r="E851" i="12"/>
  <c r="F851" i="12"/>
  <c r="J851" i="12"/>
  <c r="K851" i="12"/>
  <c r="O851" i="12"/>
  <c r="D905" i="12"/>
  <c r="E905" i="12"/>
  <c r="F905" i="12"/>
  <c r="J905" i="12"/>
  <c r="K905" i="12"/>
  <c r="O905" i="12"/>
  <c r="D963" i="12"/>
  <c r="E963" i="12"/>
  <c r="F963" i="12"/>
  <c r="J963" i="12"/>
  <c r="K963" i="12"/>
  <c r="O963" i="12"/>
  <c r="D112" i="12"/>
  <c r="E112" i="12"/>
  <c r="F112" i="12"/>
  <c r="J112" i="12"/>
  <c r="K112" i="12"/>
  <c r="O112" i="12"/>
  <c r="D1055" i="12"/>
  <c r="E1055" i="12"/>
  <c r="F1055" i="12"/>
  <c r="J1055" i="12"/>
  <c r="K1055" i="12"/>
  <c r="O1055" i="12"/>
  <c r="D295" i="12"/>
  <c r="E295" i="12"/>
  <c r="F295" i="12"/>
  <c r="J295" i="12"/>
  <c r="K295" i="12"/>
  <c r="O295" i="12"/>
  <c r="D387" i="12"/>
  <c r="E387" i="12"/>
  <c r="F387" i="12"/>
  <c r="J387" i="12"/>
  <c r="K387" i="12"/>
  <c r="O387" i="12"/>
  <c r="D449" i="12"/>
  <c r="E449" i="12"/>
  <c r="F449" i="12"/>
  <c r="J449" i="12"/>
  <c r="K449" i="12"/>
  <c r="O449" i="12"/>
  <c r="D520" i="12"/>
  <c r="E520" i="12"/>
  <c r="F520" i="12"/>
  <c r="J520" i="12"/>
  <c r="K520" i="12"/>
  <c r="O520" i="12"/>
  <c r="D608" i="12"/>
  <c r="E608" i="12"/>
  <c r="F608" i="12"/>
  <c r="J608" i="12"/>
  <c r="K608" i="12"/>
  <c r="O608" i="12"/>
  <c r="D700" i="12"/>
  <c r="E700" i="12"/>
  <c r="F700" i="12"/>
  <c r="J700" i="12"/>
  <c r="K700" i="12"/>
  <c r="O700" i="12"/>
  <c r="D780" i="12"/>
  <c r="E780" i="12"/>
  <c r="F780" i="12"/>
  <c r="J780" i="12"/>
  <c r="K780" i="12"/>
  <c r="O780" i="12"/>
  <c r="D852" i="12"/>
  <c r="E852" i="12"/>
  <c r="F852" i="12"/>
  <c r="J852" i="12"/>
  <c r="K852" i="12"/>
  <c r="O852" i="12"/>
  <c r="D906" i="12"/>
  <c r="E906" i="12"/>
  <c r="F906" i="12"/>
  <c r="J906" i="12"/>
  <c r="K906" i="12"/>
  <c r="O906" i="12"/>
  <c r="D964" i="12"/>
  <c r="E964" i="12"/>
  <c r="F964" i="12"/>
  <c r="J964" i="12"/>
  <c r="K964" i="12"/>
  <c r="O964" i="12"/>
  <c r="D1010" i="12"/>
  <c r="E1010" i="12"/>
  <c r="F1010" i="12"/>
  <c r="J1010" i="12"/>
  <c r="K1010" i="12"/>
  <c r="O1010" i="12"/>
  <c r="D1056" i="12"/>
  <c r="E1056" i="12"/>
  <c r="F1056" i="12"/>
  <c r="J1056" i="12"/>
  <c r="K1056" i="12"/>
  <c r="O1056" i="12"/>
  <c r="D296" i="12"/>
  <c r="E296" i="12"/>
  <c r="F296" i="12"/>
  <c r="J296" i="12"/>
  <c r="K296" i="12"/>
  <c r="O296" i="12"/>
  <c r="D388" i="12"/>
  <c r="E388" i="12"/>
  <c r="F388" i="12"/>
  <c r="J388" i="12"/>
  <c r="K388" i="12"/>
  <c r="O388" i="12"/>
  <c r="D450" i="12"/>
  <c r="E450" i="12"/>
  <c r="F450" i="12"/>
  <c r="J450" i="12"/>
  <c r="K450" i="12"/>
  <c r="O450" i="12"/>
  <c r="D521" i="12"/>
  <c r="E521" i="12"/>
  <c r="F521" i="12"/>
  <c r="J521" i="12"/>
  <c r="K521" i="12"/>
  <c r="O521" i="12"/>
  <c r="D609" i="12"/>
  <c r="E609" i="12"/>
  <c r="F609" i="12"/>
  <c r="J609" i="12"/>
  <c r="K609" i="12"/>
  <c r="O609" i="12"/>
  <c r="D701" i="12"/>
  <c r="E701" i="12"/>
  <c r="F701" i="12"/>
  <c r="J701" i="12"/>
  <c r="K701" i="12"/>
  <c r="O701" i="12"/>
  <c r="D781" i="12"/>
  <c r="E781" i="12"/>
  <c r="F781" i="12"/>
  <c r="J781" i="12"/>
  <c r="K781" i="12"/>
  <c r="O781" i="12"/>
  <c r="D853" i="12"/>
  <c r="E853" i="12"/>
  <c r="F853" i="12"/>
  <c r="J853" i="12"/>
  <c r="K853" i="12"/>
  <c r="O853" i="12"/>
  <c r="D907" i="12"/>
  <c r="E907" i="12"/>
  <c r="F907" i="12"/>
  <c r="J907" i="12"/>
  <c r="K907" i="12"/>
  <c r="O907" i="12"/>
  <c r="D965" i="12"/>
  <c r="E965" i="12"/>
  <c r="F965" i="12"/>
  <c r="J965" i="12"/>
  <c r="K965" i="12"/>
  <c r="O965" i="12"/>
  <c r="D153" i="12"/>
  <c r="E153" i="12"/>
  <c r="F153" i="12"/>
  <c r="J153" i="12"/>
  <c r="K153" i="12"/>
  <c r="O153" i="12"/>
  <c r="D1057" i="12"/>
  <c r="E1057" i="12"/>
  <c r="F1057" i="12"/>
  <c r="J1057" i="12"/>
  <c r="K1057" i="12"/>
  <c r="O1057" i="12"/>
  <c r="D297" i="12"/>
  <c r="E297" i="12"/>
  <c r="F297" i="12"/>
  <c r="J297" i="12"/>
  <c r="K297" i="12"/>
  <c r="O297" i="12"/>
  <c r="D389" i="12"/>
  <c r="E389" i="12"/>
  <c r="F389" i="12"/>
  <c r="J389" i="12"/>
  <c r="K389" i="12"/>
  <c r="O389" i="12"/>
  <c r="D451" i="12"/>
  <c r="E451" i="12"/>
  <c r="F451" i="12"/>
  <c r="J451" i="12"/>
  <c r="K451" i="12"/>
  <c r="O451" i="12"/>
  <c r="D522" i="12"/>
  <c r="E522" i="12"/>
  <c r="F522" i="12"/>
  <c r="J522" i="12"/>
  <c r="K522" i="12"/>
  <c r="O522" i="12"/>
  <c r="D610" i="12"/>
  <c r="E610" i="12"/>
  <c r="F610" i="12"/>
  <c r="J610" i="12"/>
  <c r="K610" i="12"/>
  <c r="O610" i="12"/>
  <c r="D702" i="12"/>
  <c r="E702" i="12"/>
  <c r="F702" i="12"/>
  <c r="J702" i="12"/>
  <c r="K702" i="12"/>
  <c r="O702" i="12"/>
  <c r="D782" i="12"/>
  <c r="E782" i="12"/>
  <c r="F782" i="12"/>
  <c r="J782" i="12"/>
  <c r="K782" i="12"/>
  <c r="O782" i="12"/>
  <c r="D854" i="12"/>
  <c r="E854" i="12"/>
  <c r="F854" i="12"/>
  <c r="J854" i="12"/>
  <c r="K854" i="12"/>
  <c r="O854" i="12"/>
  <c r="D908" i="12"/>
  <c r="E908" i="12"/>
  <c r="F908" i="12"/>
  <c r="J908" i="12"/>
  <c r="K908" i="12"/>
  <c r="O908" i="12"/>
  <c r="D966" i="12"/>
  <c r="E966" i="12"/>
  <c r="F966" i="12"/>
  <c r="J966" i="12"/>
  <c r="K966" i="12"/>
  <c r="O966" i="12"/>
  <c r="D154" i="12"/>
  <c r="E154" i="12"/>
  <c r="F154" i="12"/>
  <c r="J154" i="12"/>
  <c r="K154" i="12"/>
  <c r="O154" i="12"/>
  <c r="D1058" i="12"/>
  <c r="E1058" i="12"/>
  <c r="F1058" i="12"/>
  <c r="J1058" i="12"/>
  <c r="K1058" i="12"/>
  <c r="O1058" i="12"/>
  <c r="D298" i="12"/>
  <c r="E298" i="12"/>
  <c r="F298" i="12"/>
  <c r="J298" i="12"/>
  <c r="K298" i="12"/>
  <c r="O298" i="12"/>
  <c r="D390" i="12"/>
  <c r="E390" i="12"/>
  <c r="F390" i="12"/>
  <c r="J390" i="12"/>
  <c r="K390" i="12"/>
  <c r="O390" i="12"/>
  <c r="D452" i="12"/>
  <c r="E452" i="12"/>
  <c r="F452" i="12"/>
  <c r="J452" i="12"/>
  <c r="K452" i="12"/>
  <c r="O452" i="12"/>
  <c r="D523" i="12"/>
  <c r="E523" i="12"/>
  <c r="F523" i="12"/>
  <c r="J523" i="12"/>
  <c r="K523" i="12"/>
  <c r="O523" i="12"/>
  <c r="D611" i="12"/>
  <c r="E611" i="12"/>
  <c r="F611" i="12"/>
  <c r="J611" i="12"/>
  <c r="K611" i="12"/>
  <c r="O611" i="12"/>
  <c r="D703" i="12"/>
  <c r="E703" i="12"/>
  <c r="F703" i="12"/>
  <c r="J703" i="12"/>
  <c r="K703" i="12"/>
  <c r="O703" i="12"/>
  <c r="D783" i="12"/>
  <c r="E783" i="12"/>
  <c r="F783" i="12"/>
  <c r="J783" i="12"/>
  <c r="K783" i="12"/>
  <c r="O783" i="12"/>
  <c r="D855" i="12"/>
  <c r="E855" i="12"/>
  <c r="F855" i="12"/>
  <c r="J855" i="12"/>
  <c r="K855" i="12"/>
  <c r="O855" i="12"/>
  <c r="D909" i="12"/>
  <c r="E909" i="12"/>
  <c r="F909" i="12"/>
  <c r="J909" i="12"/>
  <c r="K909" i="12"/>
  <c r="O909" i="12"/>
  <c r="D967" i="12"/>
  <c r="E967" i="12"/>
  <c r="F967" i="12"/>
  <c r="J967" i="12"/>
  <c r="K967" i="12"/>
  <c r="O967" i="12"/>
  <c r="D155" i="12"/>
  <c r="E155" i="12"/>
  <c r="F155" i="12"/>
  <c r="J155" i="12"/>
  <c r="K155" i="12"/>
  <c r="O155" i="12"/>
  <c r="D1059" i="12"/>
  <c r="E1059" i="12"/>
  <c r="F1059" i="12"/>
  <c r="J1059" i="12"/>
  <c r="K1059" i="12"/>
  <c r="O1059" i="12"/>
  <c r="D299" i="12"/>
  <c r="E299" i="12"/>
  <c r="F299" i="12"/>
  <c r="J299" i="12"/>
  <c r="K299" i="12"/>
  <c r="O299" i="12"/>
  <c r="D391" i="12"/>
  <c r="E391" i="12"/>
  <c r="F391" i="12"/>
  <c r="J391" i="12"/>
  <c r="K391" i="12"/>
  <c r="O391" i="12"/>
  <c r="D453" i="12"/>
  <c r="E453" i="12"/>
  <c r="F453" i="12"/>
  <c r="J453" i="12"/>
  <c r="K453" i="12"/>
  <c r="O453" i="12"/>
  <c r="D524" i="12"/>
  <c r="E524" i="12"/>
  <c r="F524" i="12"/>
  <c r="J524" i="12"/>
  <c r="K524" i="12"/>
  <c r="O524" i="12"/>
  <c r="D612" i="12"/>
  <c r="E612" i="12"/>
  <c r="F612" i="12"/>
  <c r="J612" i="12"/>
  <c r="K612" i="12"/>
  <c r="O612" i="12"/>
  <c r="D704" i="12"/>
  <c r="E704" i="12"/>
  <c r="F704" i="12"/>
  <c r="J704" i="12"/>
  <c r="K704" i="12"/>
  <c r="O704" i="12"/>
  <c r="D784" i="12"/>
  <c r="E784" i="12"/>
  <c r="F784" i="12"/>
  <c r="J784" i="12"/>
  <c r="K784" i="12"/>
  <c r="O784" i="12"/>
  <c r="D856" i="12"/>
  <c r="E856" i="12"/>
  <c r="F856" i="12"/>
  <c r="J856" i="12"/>
  <c r="K856" i="12"/>
  <c r="O856" i="12"/>
  <c r="D910" i="12"/>
  <c r="E910" i="12"/>
  <c r="F910" i="12"/>
  <c r="J910" i="12"/>
  <c r="K910" i="12"/>
  <c r="O910" i="12"/>
  <c r="D968" i="12"/>
  <c r="E968" i="12"/>
  <c r="F968" i="12"/>
  <c r="J968" i="12"/>
  <c r="K968" i="12"/>
  <c r="O968" i="12"/>
  <c r="D156" i="12"/>
  <c r="E156" i="12"/>
  <c r="F156" i="12"/>
  <c r="J156" i="12"/>
  <c r="K156" i="12"/>
  <c r="O156" i="12"/>
  <c r="D1060" i="12"/>
  <c r="E1060" i="12"/>
  <c r="F1060" i="12"/>
  <c r="J1060" i="12"/>
  <c r="K1060" i="12"/>
  <c r="O1060" i="12"/>
  <c r="D300" i="12"/>
  <c r="E300" i="12"/>
  <c r="F300" i="12"/>
  <c r="J300" i="12"/>
  <c r="K300" i="12"/>
  <c r="O300" i="12"/>
  <c r="D392" i="12"/>
  <c r="E392" i="12"/>
  <c r="F392" i="12"/>
  <c r="J392" i="12"/>
  <c r="K392" i="12"/>
  <c r="O392" i="12"/>
  <c r="D454" i="12"/>
  <c r="E454" i="12"/>
  <c r="F454" i="12"/>
  <c r="J454" i="12"/>
  <c r="K454" i="12"/>
  <c r="O454" i="12"/>
  <c r="D525" i="12"/>
  <c r="E525" i="12"/>
  <c r="F525" i="12"/>
  <c r="J525" i="12"/>
  <c r="K525" i="12"/>
  <c r="O525" i="12"/>
  <c r="D613" i="12"/>
  <c r="E613" i="12"/>
  <c r="F613" i="12"/>
  <c r="J613" i="12"/>
  <c r="K613" i="12"/>
  <c r="O613" i="12"/>
  <c r="D705" i="12"/>
  <c r="E705" i="12"/>
  <c r="F705" i="12"/>
  <c r="J705" i="12"/>
  <c r="K705" i="12"/>
  <c r="O705" i="12"/>
  <c r="D785" i="12"/>
  <c r="E785" i="12"/>
  <c r="F785" i="12"/>
  <c r="J785" i="12"/>
  <c r="K785" i="12"/>
  <c r="O785" i="12"/>
  <c r="D857" i="12"/>
  <c r="E857" i="12"/>
  <c r="F857" i="12"/>
  <c r="J857" i="12"/>
  <c r="K857" i="12"/>
  <c r="O857" i="12"/>
  <c r="D911" i="12"/>
  <c r="E911" i="12"/>
  <c r="F911" i="12"/>
  <c r="J911" i="12"/>
  <c r="K911" i="12"/>
  <c r="O911" i="12"/>
  <c r="D969" i="12"/>
  <c r="E969" i="12"/>
  <c r="F969" i="12"/>
  <c r="J969" i="12"/>
  <c r="K969" i="12"/>
  <c r="O969" i="12"/>
  <c r="D157" i="12"/>
  <c r="E157" i="12"/>
  <c r="F157" i="12"/>
  <c r="J157" i="12"/>
  <c r="K157" i="12"/>
  <c r="O157" i="12"/>
  <c r="D1061" i="12"/>
  <c r="E1061" i="12"/>
  <c r="F1061" i="12"/>
  <c r="J1061" i="12"/>
  <c r="K1061" i="12"/>
  <c r="O1061" i="12"/>
  <c r="D301" i="12"/>
  <c r="E301" i="12"/>
  <c r="F301" i="12"/>
  <c r="J301" i="12"/>
  <c r="K301" i="12"/>
  <c r="O301" i="12"/>
  <c r="D393" i="12"/>
  <c r="E393" i="12"/>
  <c r="F393" i="12"/>
  <c r="J393" i="12"/>
  <c r="K393" i="12"/>
  <c r="O393" i="12"/>
  <c r="D455" i="12"/>
  <c r="E455" i="12"/>
  <c r="F455" i="12"/>
  <c r="J455" i="12"/>
  <c r="K455" i="12"/>
  <c r="O455" i="12"/>
  <c r="D526" i="12"/>
  <c r="E526" i="12"/>
  <c r="F526" i="12"/>
  <c r="J526" i="12"/>
  <c r="K526" i="12"/>
  <c r="O526" i="12"/>
  <c r="D614" i="12"/>
  <c r="E614" i="12"/>
  <c r="F614" i="12"/>
  <c r="J614" i="12"/>
  <c r="K614" i="12"/>
  <c r="O614" i="12"/>
  <c r="D706" i="12"/>
  <c r="E706" i="12"/>
  <c r="F706" i="12"/>
  <c r="J706" i="12"/>
  <c r="K706" i="12"/>
  <c r="O706" i="12"/>
  <c r="D786" i="12"/>
  <c r="E786" i="12"/>
  <c r="F786" i="12"/>
  <c r="J786" i="12"/>
  <c r="K786" i="12"/>
  <c r="O786" i="12"/>
  <c r="D858" i="12"/>
  <c r="E858" i="12"/>
  <c r="F858" i="12"/>
  <c r="J858" i="12"/>
  <c r="K858" i="12"/>
  <c r="O858" i="12"/>
  <c r="D912" i="12"/>
  <c r="E912" i="12"/>
  <c r="F912" i="12"/>
  <c r="J912" i="12"/>
  <c r="K912" i="12"/>
  <c r="O912" i="12"/>
  <c r="D970" i="12"/>
  <c r="E970" i="12"/>
  <c r="F970" i="12"/>
  <c r="J970" i="12"/>
  <c r="K970" i="12"/>
  <c r="O970" i="12"/>
  <c r="D158" i="12"/>
  <c r="E158" i="12"/>
  <c r="F158" i="12"/>
  <c r="J158" i="12"/>
  <c r="K158" i="12"/>
  <c r="O158" i="12"/>
  <c r="D1062" i="12"/>
  <c r="E1062" i="12"/>
  <c r="F1062" i="12"/>
  <c r="J1062" i="12"/>
  <c r="K1062" i="12"/>
  <c r="O1062" i="12"/>
  <c r="D302" i="12"/>
  <c r="E302" i="12"/>
  <c r="F302" i="12"/>
  <c r="J302" i="12"/>
  <c r="K302" i="12"/>
  <c r="O302" i="12"/>
  <c r="D394" i="12"/>
  <c r="E394" i="12"/>
  <c r="F394" i="12"/>
  <c r="J394" i="12"/>
  <c r="K394" i="12"/>
  <c r="O394" i="12"/>
  <c r="D42" i="12"/>
  <c r="E42" i="12"/>
  <c r="F42" i="12"/>
  <c r="J42" i="12"/>
  <c r="K42" i="12"/>
  <c r="O42" i="12"/>
  <c r="D527" i="12"/>
  <c r="E527" i="12"/>
  <c r="F527" i="12"/>
  <c r="J527" i="12"/>
  <c r="K527" i="12"/>
  <c r="O527" i="12"/>
  <c r="D615" i="12"/>
  <c r="E615" i="12"/>
  <c r="F615" i="12"/>
  <c r="J615" i="12"/>
  <c r="K615" i="12"/>
  <c r="O615" i="12"/>
  <c r="D707" i="12"/>
  <c r="E707" i="12"/>
  <c r="F707" i="12"/>
  <c r="J707" i="12"/>
  <c r="K707" i="12"/>
  <c r="O707" i="12"/>
  <c r="D159" i="12"/>
  <c r="E159" i="12"/>
  <c r="F159" i="12"/>
  <c r="J159" i="12"/>
  <c r="K159" i="12"/>
  <c r="O159" i="12"/>
  <c r="D859" i="12"/>
  <c r="E859" i="12"/>
  <c r="F859" i="12"/>
  <c r="J859" i="12"/>
  <c r="K859" i="12"/>
  <c r="O859" i="12"/>
  <c r="D195" i="12"/>
  <c r="E195" i="12"/>
  <c r="F195" i="12"/>
  <c r="J195" i="12"/>
  <c r="K195" i="12"/>
  <c r="O195" i="12"/>
  <c r="D971" i="12"/>
  <c r="E971" i="12"/>
  <c r="F971" i="12"/>
  <c r="J971" i="12"/>
  <c r="K971" i="12"/>
  <c r="D113" i="12"/>
  <c r="E113" i="12"/>
  <c r="F113" i="12"/>
  <c r="J113" i="12"/>
  <c r="K113" i="12"/>
  <c r="D1063" i="12"/>
  <c r="E1063" i="12"/>
  <c r="F1063" i="12"/>
  <c r="J1063" i="12"/>
  <c r="K1063" i="12"/>
  <c r="D303" i="12"/>
  <c r="E303" i="12"/>
  <c r="F303" i="12"/>
  <c r="J303" i="12"/>
  <c r="K303" i="12"/>
  <c r="O303" i="12"/>
  <c r="D395" i="12"/>
  <c r="E395" i="12"/>
  <c r="F395" i="12"/>
  <c r="J395" i="12"/>
  <c r="K395" i="12"/>
  <c r="O395" i="12"/>
  <c r="D43" i="12"/>
  <c r="E43" i="12"/>
  <c r="F43" i="12"/>
  <c r="J43" i="12"/>
  <c r="K43" i="12"/>
  <c r="O43" i="12"/>
  <c r="D528" i="12"/>
  <c r="E528" i="12"/>
  <c r="F528" i="12"/>
  <c r="J528" i="12"/>
  <c r="K528" i="12"/>
  <c r="O528" i="12"/>
  <c r="D616" i="12"/>
  <c r="E616" i="12"/>
  <c r="F616" i="12"/>
  <c r="J616" i="12"/>
  <c r="K616" i="12"/>
  <c r="O616" i="12"/>
  <c r="D708" i="12"/>
  <c r="E708" i="12"/>
  <c r="F708" i="12"/>
  <c r="J708" i="12"/>
  <c r="K708" i="12"/>
  <c r="O708" i="12"/>
  <c r="D160" i="12"/>
  <c r="E160" i="12"/>
  <c r="F160" i="12"/>
  <c r="J160" i="12"/>
  <c r="K160" i="12"/>
  <c r="O160" i="12"/>
  <c r="D860" i="12"/>
  <c r="E860" i="12"/>
  <c r="F860" i="12"/>
  <c r="J860" i="12"/>
  <c r="K860" i="12"/>
  <c r="O860" i="12"/>
  <c r="D196" i="12"/>
  <c r="E196" i="12"/>
  <c r="F196" i="12"/>
  <c r="J196" i="12"/>
  <c r="K196" i="12"/>
  <c r="O196" i="12"/>
  <c r="D972" i="12"/>
  <c r="E972" i="12"/>
  <c r="F972" i="12"/>
  <c r="J972" i="12"/>
  <c r="K972" i="12"/>
  <c r="D114" i="12"/>
  <c r="E114" i="12"/>
  <c r="F114" i="12"/>
  <c r="J114" i="12"/>
  <c r="K114" i="12"/>
  <c r="D1064" i="12"/>
  <c r="E1064" i="12"/>
  <c r="F1064" i="12"/>
  <c r="J1064" i="12"/>
  <c r="K1064" i="12"/>
  <c r="D304" i="12"/>
  <c r="E304" i="12"/>
  <c r="F304" i="12"/>
  <c r="J304" i="12"/>
  <c r="K304" i="12"/>
  <c r="O304" i="12"/>
  <c r="D396" i="12"/>
  <c r="E396" i="12"/>
  <c r="F396" i="12"/>
  <c r="J396" i="12"/>
  <c r="K396" i="12"/>
  <c r="O396" i="12"/>
  <c r="D456" i="12"/>
  <c r="E456" i="12"/>
  <c r="F456" i="12"/>
  <c r="J456" i="12"/>
  <c r="K456" i="12"/>
  <c r="O456" i="12"/>
  <c r="D8" i="12"/>
  <c r="E8" i="12"/>
  <c r="F8" i="12"/>
  <c r="J8" i="12"/>
  <c r="K8" i="12"/>
  <c r="O8" i="12"/>
  <c r="D617" i="12"/>
  <c r="E617" i="12"/>
  <c r="F617" i="12"/>
  <c r="J617" i="12"/>
  <c r="K617" i="12"/>
  <c r="O617" i="12"/>
  <c r="D709" i="12"/>
  <c r="E709" i="12"/>
  <c r="F709" i="12"/>
  <c r="J709" i="12"/>
  <c r="K709" i="12"/>
  <c r="O709" i="12"/>
  <c r="D787" i="12"/>
  <c r="E787" i="12"/>
  <c r="F787" i="12"/>
  <c r="J787" i="12"/>
  <c r="K787" i="12"/>
  <c r="O787" i="12"/>
  <c r="D861" i="12"/>
  <c r="E861" i="12"/>
  <c r="F861" i="12"/>
  <c r="J861" i="12"/>
  <c r="K861" i="12"/>
  <c r="O861" i="12"/>
  <c r="D913" i="12"/>
  <c r="E913" i="12"/>
  <c r="F913" i="12"/>
  <c r="J913" i="12"/>
  <c r="K913" i="12"/>
  <c r="O913" i="12"/>
  <c r="D973" i="12"/>
  <c r="E973" i="12"/>
  <c r="F973" i="12"/>
  <c r="J973" i="12"/>
  <c r="K973" i="12"/>
  <c r="D115" i="12"/>
  <c r="E115" i="12"/>
  <c r="F115" i="12"/>
  <c r="J115" i="12"/>
  <c r="K115" i="12"/>
  <c r="D1065" i="12"/>
  <c r="E1065" i="12"/>
  <c r="F1065" i="12"/>
  <c r="J1065" i="12"/>
  <c r="K1065" i="12"/>
  <c r="D305" i="12"/>
  <c r="E305" i="12"/>
  <c r="F305" i="12"/>
  <c r="J305" i="12"/>
  <c r="K305" i="12"/>
  <c r="O305" i="12"/>
  <c r="D397" i="12"/>
  <c r="E397" i="12"/>
  <c r="F397" i="12"/>
  <c r="J397" i="12"/>
  <c r="K397" i="12"/>
  <c r="O397" i="12"/>
  <c r="D457" i="12"/>
  <c r="E457" i="12"/>
  <c r="F457" i="12"/>
  <c r="J457" i="12"/>
  <c r="K457" i="12"/>
  <c r="O457" i="12"/>
  <c r="D9" i="12"/>
  <c r="E9" i="12"/>
  <c r="F9" i="12"/>
  <c r="J9" i="12"/>
  <c r="K9" i="12"/>
  <c r="O9" i="12"/>
  <c r="D618" i="12"/>
  <c r="E618" i="12"/>
  <c r="F618" i="12"/>
  <c r="J618" i="12"/>
  <c r="K618" i="12"/>
  <c r="O618" i="12"/>
  <c r="D710" i="12"/>
  <c r="E710" i="12"/>
  <c r="F710" i="12"/>
  <c r="J710" i="12"/>
  <c r="K710" i="12"/>
  <c r="O710" i="12"/>
  <c r="D788" i="12"/>
  <c r="E788" i="12"/>
  <c r="F788" i="12"/>
  <c r="J788" i="12"/>
  <c r="K788" i="12"/>
  <c r="O788" i="12"/>
  <c r="D862" i="12"/>
  <c r="E862" i="12"/>
  <c r="F862" i="12"/>
  <c r="J862" i="12"/>
  <c r="K862" i="12"/>
  <c r="O862" i="12"/>
  <c r="D914" i="12"/>
  <c r="E914" i="12"/>
  <c r="F914" i="12"/>
  <c r="J914" i="12"/>
  <c r="K914" i="12"/>
  <c r="O914" i="12"/>
  <c r="D974" i="12"/>
  <c r="E974" i="12"/>
  <c r="F974" i="12"/>
  <c r="J974" i="12"/>
  <c r="K974" i="12"/>
  <c r="D116" i="12"/>
  <c r="E116" i="12"/>
  <c r="F116" i="12"/>
  <c r="J116" i="12"/>
  <c r="K116" i="12"/>
  <c r="D1066" i="12"/>
  <c r="E1066" i="12"/>
  <c r="F1066" i="12"/>
  <c r="J1066" i="12"/>
  <c r="K1066" i="12"/>
  <c r="D306" i="12"/>
  <c r="E306" i="12"/>
  <c r="F306" i="12"/>
  <c r="J306" i="12"/>
  <c r="K306" i="12"/>
  <c r="O306" i="12"/>
  <c r="D398" i="12"/>
  <c r="E398" i="12"/>
  <c r="F398" i="12"/>
  <c r="J398" i="12"/>
  <c r="K398" i="12"/>
  <c r="O398" i="12"/>
  <c r="D44" i="12"/>
  <c r="E44" i="12"/>
  <c r="F44" i="12"/>
  <c r="J44" i="12"/>
  <c r="K44" i="12"/>
  <c r="O44" i="12"/>
  <c r="D529" i="12"/>
  <c r="E529" i="12"/>
  <c r="F529" i="12"/>
  <c r="J529" i="12"/>
  <c r="K529" i="12"/>
  <c r="O529" i="12"/>
  <c r="D619" i="12"/>
  <c r="E619" i="12"/>
  <c r="F619" i="12"/>
  <c r="J619" i="12"/>
  <c r="K619" i="12"/>
  <c r="O619" i="12"/>
  <c r="D711" i="12"/>
  <c r="E711" i="12"/>
  <c r="F711" i="12"/>
  <c r="J711" i="12"/>
  <c r="K711" i="12"/>
  <c r="O711" i="12"/>
  <c r="D237" i="12"/>
  <c r="E237" i="12"/>
  <c r="F237" i="12"/>
  <c r="J237" i="12"/>
  <c r="K237" i="12"/>
  <c r="O237" i="12"/>
  <c r="D863" i="12"/>
  <c r="E863" i="12"/>
  <c r="F863" i="12"/>
  <c r="J863" i="12"/>
  <c r="K863" i="12"/>
  <c r="O863" i="12"/>
  <c r="D915" i="12"/>
  <c r="E915" i="12"/>
  <c r="F915" i="12"/>
  <c r="J915" i="12"/>
  <c r="K915" i="12"/>
  <c r="O915" i="12"/>
  <c r="D975" i="12"/>
  <c r="E975" i="12"/>
  <c r="F975" i="12"/>
  <c r="J975" i="12"/>
  <c r="K975" i="12"/>
  <c r="D117" i="12"/>
  <c r="E117" i="12"/>
  <c r="F117" i="12"/>
  <c r="J117" i="12"/>
  <c r="K117" i="12"/>
  <c r="D1067" i="12"/>
  <c r="E1067" i="12"/>
  <c r="F1067" i="12"/>
  <c r="J1067" i="12"/>
  <c r="K1067" i="12"/>
  <c r="D307" i="12"/>
  <c r="E307" i="12"/>
  <c r="F307" i="12"/>
  <c r="J307" i="12"/>
  <c r="K307" i="12"/>
  <c r="O307" i="12"/>
  <c r="D399" i="12"/>
  <c r="E399" i="12"/>
  <c r="F399" i="12"/>
  <c r="J399" i="12"/>
  <c r="K399" i="12"/>
  <c r="O399" i="12"/>
  <c r="D45" i="12"/>
  <c r="E45" i="12"/>
  <c r="F45" i="12"/>
  <c r="J45" i="12"/>
  <c r="K45" i="12"/>
  <c r="O45" i="12"/>
  <c r="D530" i="12"/>
  <c r="E530" i="12"/>
  <c r="F530" i="12"/>
  <c r="J530" i="12"/>
  <c r="K530" i="12"/>
  <c r="O530" i="12"/>
  <c r="D620" i="12"/>
  <c r="E620" i="12"/>
  <c r="F620" i="12"/>
  <c r="J620" i="12"/>
  <c r="K620" i="12"/>
  <c r="O620" i="12"/>
  <c r="D712" i="12"/>
  <c r="E712" i="12"/>
  <c r="F712" i="12"/>
  <c r="J712" i="12"/>
  <c r="K712" i="12"/>
  <c r="O712" i="12"/>
  <c r="D238" i="12"/>
  <c r="E238" i="12"/>
  <c r="F238" i="12"/>
  <c r="J238" i="12"/>
  <c r="K238" i="12"/>
  <c r="O238" i="12"/>
  <c r="D864" i="12"/>
  <c r="E864" i="12"/>
  <c r="F864" i="12"/>
  <c r="J864" i="12"/>
  <c r="K864" i="12"/>
  <c r="O864" i="12"/>
  <c r="D916" i="12"/>
  <c r="E916" i="12"/>
  <c r="F916" i="12"/>
  <c r="J916" i="12"/>
  <c r="K916" i="12"/>
  <c r="O916" i="12"/>
  <c r="D976" i="12"/>
  <c r="E976" i="12"/>
  <c r="F976" i="12"/>
  <c r="J976" i="12"/>
  <c r="K976" i="12"/>
  <c r="D118" i="12"/>
  <c r="E118" i="12"/>
  <c r="F118" i="12"/>
  <c r="J118" i="12"/>
  <c r="K118" i="12"/>
  <c r="D1068" i="12"/>
  <c r="E1068" i="12"/>
  <c r="F1068" i="12"/>
  <c r="J1068" i="12"/>
  <c r="K1068" i="12"/>
  <c r="D308" i="12"/>
  <c r="E308" i="12"/>
  <c r="F308" i="12"/>
  <c r="J308" i="12"/>
  <c r="K308" i="12"/>
  <c r="O308" i="12"/>
  <c r="D400" i="12"/>
  <c r="E400" i="12"/>
  <c r="F400" i="12"/>
  <c r="J400" i="12"/>
  <c r="K400" i="12"/>
  <c r="O400" i="12"/>
  <c r="D458" i="12"/>
  <c r="E458" i="12"/>
  <c r="F458" i="12"/>
  <c r="J458" i="12"/>
  <c r="K458" i="12"/>
  <c r="O458" i="12"/>
  <c r="D531" i="12"/>
  <c r="E531" i="12"/>
  <c r="F531" i="12"/>
  <c r="J531" i="12"/>
  <c r="K531" i="12"/>
  <c r="O531" i="12"/>
  <c r="D621" i="12"/>
  <c r="E621" i="12"/>
  <c r="F621" i="12"/>
  <c r="J621" i="12"/>
  <c r="K621" i="12"/>
  <c r="O621" i="12"/>
  <c r="D713" i="12"/>
  <c r="E713" i="12"/>
  <c r="F713" i="12"/>
  <c r="J713" i="12"/>
  <c r="K713" i="12"/>
  <c r="O713" i="12"/>
  <c r="D239" i="12"/>
  <c r="E239" i="12"/>
  <c r="F239" i="12"/>
  <c r="J239" i="12"/>
  <c r="K239" i="12"/>
  <c r="O239" i="12"/>
  <c r="D865" i="12"/>
  <c r="E865" i="12"/>
  <c r="F865" i="12"/>
  <c r="J865" i="12"/>
  <c r="K865" i="12"/>
  <c r="O865" i="12"/>
  <c r="D917" i="12"/>
  <c r="E917" i="12"/>
  <c r="F917" i="12"/>
  <c r="J917" i="12"/>
  <c r="K917" i="12"/>
  <c r="O917" i="12"/>
  <c r="D977" i="12"/>
  <c r="E977" i="12"/>
  <c r="F977" i="12"/>
  <c r="J977" i="12"/>
  <c r="K977" i="12"/>
  <c r="D119" i="12"/>
  <c r="E119" i="12"/>
  <c r="F119" i="12"/>
  <c r="J119" i="12"/>
  <c r="K119" i="12"/>
  <c r="D1069" i="12"/>
  <c r="E1069" i="12"/>
  <c r="F1069" i="12"/>
  <c r="J1069" i="12"/>
  <c r="K1069" i="12"/>
  <c r="D309" i="12"/>
  <c r="E309" i="12"/>
  <c r="F309" i="12"/>
  <c r="J309" i="12"/>
  <c r="K309" i="12"/>
  <c r="O309" i="12"/>
  <c r="D401" i="12"/>
  <c r="E401" i="12"/>
  <c r="F401" i="12"/>
  <c r="J401" i="12"/>
  <c r="K401" i="12"/>
  <c r="O401" i="12"/>
  <c r="D459" i="12"/>
  <c r="E459" i="12"/>
  <c r="F459" i="12"/>
  <c r="J459" i="12"/>
  <c r="K459" i="12"/>
  <c r="O459" i="12"/>
  <c r="D532" i="12"/>
  <c r="E532" i="12"/>
  <c r="F532" i="12"/>
  <c r="J532" i="12"/>
  <c r="K532" i="12"/>
  <c r="O532" i="12"/>
  <c r="D622" i="12"/>
  <c r="E622" i="12"/>
  <c r="F622" i="12"/>
  <c r="J622" i="12"/>
  <c r="K622" i="12"/>
  <c r="O622" i="12"/>
  <c r="D714" i="12"/>
  <c r="E714" i="12"/>
  <c r="F714" i="12"/>
  <c r="J714" i="12"/>
  <c r="K714" i="12"/>
  <c r="O714" i="12"/>
  <c r="D789" i="12"/>
  <c r="E789" i="12"/>
  <c r="F789" i="12"/>
  <c r="J789" i="12"/>
  <c r="K789" i="12"/>
  <c r="O789" i="12"/>
  <c r="D866" i="12"/>
  <c r="E866" i="12"/>
  <c r="F866" i="12"/>
  <c r="J866" i="12"/>
  <c r="K866" i="12"/>
  <c r="O866" i="12"/>
  <c r="D197" i="12"/>
  <c r="E197" i="12"/>
  <c r="F197" i="12"/>
  <c r="J197" i="12"/>
  <c r="K197" i="12"/>
  <c r="O197" i="12"/>
  <c r="D978" i="12"/>
  <c r="E978" i="12"/>
  <c r="F978" i="12"/>
  <c r="J978" i="12"/>
  <c r="K978" i="12"/>
  <c r="D120" i="12"/>
  <c r="E120" i="12"/>
  <c r="F120" i="12"/>
  <c r="J120" i="12"/>
  <c r="K120" i="12"/>
  <c r="D1070" i="12"/>
  <c r="E1070" i="12"/>
  <c r="F1070" i="12"/>
  <c r="J1070" i="12"/>
  <c r="K1070" i="12"/>
  <c r="D310" i="12"/>
  <c r="E310" i="12"/>
  <c r="F310" i="12"/>
  <c r="J310" i="12"/>
  <c r="K310" i="12"/>
  <c r="O310" i="12"/>
  <c r="D402" i="12"/>
  <c r="E402" i="12"/>
  <c r="F402" i="12"/>
  <c r="J402" i="12"/>
  <c r="K402" i="12"/>
  <c r="O402" i="12"/>
  <c r="D460" i="12"/>
  <c r="E460" i="12"/>
  <c r="F460" i="12"/>
  <c r="J460" i="12"/>
  <c r="K460" i="12"/>
  <c r="O460" i="12"/>
  <c r="D533" i="12"/>
  <c r="E533" i="12"/>
  <c r="F533" i="12"/>
  <c r="J533" i="12"/>
  <c r="K533" i="12"/>
  <c r="O533" i="12"/>
  <c r="D623" i="12"/>
  <c r="E623" i="12"/>
  <c r="F623" i="12"/>
  <c r="J623" i="12"/>
  <c r="K623" i="12"/>
  <c r="O623" i="12"/>
  <c r="D715" i="12"/>
  <c r="E715" i="12"/>
  <c r="F715" i="12"/>
  <c r="J715" i="12"/>
  <c r="K715" i="12"/>
  <c r="O715" i="12"/>
  <c r="D790" i="12"/>
  <c r="E790" i="12"/>
  <c r="F790" i="12"/>
  <c r="J790" i="12"/>
  <c r="K790" i="12"/>
  <c r="O790" i="12"/>
  <c r="D867" i="12"/>
  <c r="E867" i="12"/>
  <c r="F867" i="12"/>
  <c r="J867" i="12"/>
  <c r="K867" i="12"/>
  <c r="O867" i="12"/>
  <c r="D198" i="12"/>
  <c r="E198" i="12"/>
  <c r="F198" i="12"/>
  <c r="J198" i="12"/>
  <c r="K198" i="12"/>
  <c r="O198" i="12"/>
  <c r="D979" i="12"/>
  <c r="E979" i="12"/>
  <c r="F979" i="12"/>
  <c r="J979" i="12"/>
  <c r="K979" i="12"/>
  <c r="D121" i="12"/>
  <c r="E121" i="12"/>
  <c r="F121" i="12"/>
  <c r="J121" i="12"/>
  <c r="K121" i="12"/>
  <c r="D1071" i="12"/>
  <c r="E1071" i="12"/>
  <c r="F1071" i="12"/>
  <c r="J1071" i="12"/>
  <c r="K1071" i="12"/>
  <c r="D311" i="12"/>
  <c r="E311" i="12"/>
  <c r="F311" i="12"/>
  <c r="J311" i="12"/>
  <c r="K311" i="12"/>
  <c r="O311" i="12"/>
  <c r="D403" i="12"/>
  <c r="E403" i="12"/>
  <c r="F403" i="12"/>
  <c r="J403" i="12"/>
  <c r="K403" i="12"/>
  <c r="O403" i="12"/>
  <c r="D461" i="12"/>
  <c r="E461" i="12"/>
  <c r="F461" i="12"/>
  <c r="J461" i="12"/>
  <c r="K461" i="12"/>
  <c r="O461" i="12"/>
  <c r="D534" i="12"/>
  <c r="E534" i="12"/>
  <c r="F534" i="12"/>
  <c r="J534" i="12"/>
  <c r="K534" i="12"/>
  <c r="O534" i="12"/>
  <c r="D624" i="12"/>
  <c r="E624" i="12"/>
  <c r="F624" i="12"/>
  <c r="J624" i="12"/>
  <c r="K624" i="12"/>
  <c r="O624" i="12"/>
  <c r="D716" i="12"/>
  <c r="E716" i="12"/>
  <c r="F716" i="12"/>
  <c r="J716" i="12"/>
  <c r="K716" i="12"/>
  <c r="O716" i="12"/>
  <c r="D791" i="12"/>
  <c r="E791" i="12"/>
  <c r="F791" i="12"/>
  <c r="J791" i="12"/>
  <c r="K791" i="12"/>
  <c r="O791" i="12"/>
  <c r="D868" i="12"/>
  <c r="E868" i="12"/>
  <c r="F868" i="12"/>
  <c r="J868" i="12"/>
  <c r="K868" i="12"/>
  <c r="O868" i="12"/>
  <c r="D199" i="12"/>
  <c r="E199" i="12"/>
  <c r="F199" i="12"/>
  <c r="J199" i="12"/>
  <c r="K199" i="12"/>
  <c r="O199" i="12"/>
  <c r="D980" i="12"/>
  <c r="E980" i="12"/>
  <c r="F980" i="12"/>
  <c r="J980" i="12"/>
  <c r="K980" i="12"/>
  <c r="D122" i="12"/>
  <c r="E122" i="12"/>
  <c r="F122" i="12"/>
  <c r="J122" i="12"/>
  <c r="K122" i="12"/>
  <c r="D1072" i="12"/>
  <c r="E1072" i="12"/>
  <c r="F1072" i="12"/>
  <c r="J1072" i="12"/>
  <c r="K1072" i="12"/>
  <c r="D312" i="12"/>
  <c r="E312" i="12"/>
  <c r="F312" i="12"/>
  <c r="J312" i="12"/>
  <c r="K312" i="12"/>
  <c r="O312" i="12"/>
  <c r="D404" i="12"/>
  <c r="E404" i="12"/>
  <c r="F404" i="12"/>
  <c r="J404" i="12"/>
  <c r="K404" i="12"/>
  <c r="O404" i="12"/>
  <c r="D462" i="12"/>
  <c r="E462" i="12"/>
  <c r="F462" i="12"/>
  <c r="J462" i="12"/>
  <c r="K462" i="12"/>
  <c r="O462" i="12"/>
  <c r="D535" i="12"/>
  <c r="E535" i="12"/>
  <c r="F535" i="12"/>
  <c r="J535" i="12"/>
  <c r="K535" i="12"/>
  <c r="O535" i="12"/>
  <c r="D625" i="12"/>
  <c r="E625" i="12"/>
  <c r="F625" i="12"/>
  <c r="J625" i="12"/>
  <c r="K625" i="12"/>
  <c r="O625" i="12"/>
  <c r="D717" i="12"/>
  <c r="E717" i="12"/>
  <c r="F717" i="12"/>
  <c r="J717" i="12"/>
  <c r="K717" i="12"/>
  <c r="O717" i="12"/>
  <c r="D792" i="12"/>
  <c r="E792" i="12"/>
  <c r="F792" i="12"/>
  <c r="J792" i="12"/>
  <c r="K792" i="12"/>
  <c r="O792" i="12"/>
  <c r="D869" i="12"/>
  <c r="E869" i="12"/>
  <c r="F869" i="12"/>
  <c r="J869" i="12"/>
  <c r="K869" i="12"/>
  <c r="O869" i="12"/>
  <c r="D200" i="12"/>
  <c r="E200" i="12"/>
  <c r="F200" i="12"/>
  <c r="J200" i="12"/>
  <c r="K200" i="12"/>
  <c r="O200" i="12"/>
  <c r="D981" i="12"/>
  <c r="E981" i="12"/>
  <c r="F981" i="12"/>
  <c r="J981" i="12"/>
  <c r="K981" i="12"/>
  <c r="D123" i="12"/>
  <c r="E123" i="12"/>
  <c r="F123" i="12"/>
  <c r="J123" i="12"/>
  <c r="K123" i="12"/>
  <c r="D1073" i="12"/>
  <c r="E1073" i="12"/>
  <c r="F1073" i="12"/>
  <c r="J1073" i="12"/>
  <c r="K1073" i="12"/>
  <c r="D313" i="12"/>
  <c r="E313" i="12"/>
  <c r="F313" i="12"/>
  <c r="J313" i="12"/>
  <c r="K313" i="12"/>
  <c r="O313" i="12"/>
  <c r="D405" i="12"/>
  <c r="E405" i="12"/>
  <c r="F405" i="12"/>
  <c r="J405" i="12"/>
  <c r="K405" i="12"/>
  <c r="O405" i="12"/>
  <c r="D463" i="12"/>
  <c r="E463" i="12"/>
  <c r="F463" i="12"/>
  <c r="J463" i="12"/>
  <c r="K463" i="12"/>
  <c r="O463" i="12"/>
  <c r="D536" i="12"/>
  <c r="E536" i="12"/>
  <c r="F536" i="12"/>
  <c r="J536" i="12"/>
  <c r="K536" i="12"/>
  <c r="O536" i="12"/>
  <c r="D626" i="12"/>
  <c r="E626" i="12"/>
  <c r="F626" i="12"/>
  <c r="J626" i="12"/>
  <c r="K626" i="12"/>
  <c r="O626" i="12"/>
  <c r="D718" i="12"/>
  <c r="E718" i="12"/>
  <c r="F718" i="12"/>
  <c r="J718" i="12"/>
  <c r="K718" i="12"/>
  <c r="O718" i="12"/>
  <c r="D793" i="12"/>
  <c r="E793" i="12"/>
  <c r="F793" i="12"/>
  <c r="J793" i="12"/>
  <c r="K793" i="12"/>
  <c r="O793" i="12"/>
  <c r="D870" i="12"/>
  <c r="E870" i="12"/>
  <c r="F870" i="12"/>
  <c r="J870" i="12"/>
  <c r="K870" i="12"/>
  <c r="O870" i="12"/>
  <c r="D201" i="12"/>
  <c r="E201" i="12"/>
  <c r="F201" i="12"/>
  <c r="J201" i="12"/>
  <c r="K201" i="12"/>
  <c r="O201" i="12"/>
  <c r="D982" i="12"/>
  <c r="E982" i="12"/>
  <c r="F982" i="12"/>
  <c r="J982" i="12"/>
  <c r="K982" i="12"/>
  <c r="D124" i="12"/>
  <c r="E124" i="12"/>
  <c r="F124" i="12"/>
  <c r="J124" i="12"/>
  <c r="K124" i="12"/>
  <c r="D1074" i="12"/>
  <c r="E1074" i="12"/>
  <c r="F1074" i="12"/>
  <c r="J1074" i="12"/>
  <c r="K1074" i="12"/>
  <c r="D314" i="12"/>
  <c r="E314" i="12"/>
  <c r="F314" i="12"/>
  <c r="J314" i="12"/>
  <c r="K314" i="12"/>
  <c r="O314" i="12"/>
  <c r="D406" i="12"/>
  <c r="E406" i="12"/>
  <c r="F406" i="12"/>
  <c r="J406" i="12"/>
  <c r="K406" i="12"/>
  <c r="O406" i="12"/>
  <c r="D464" i="12"/>
  <c r="E464" i="12"/>
  <c r="F464" i="12"/>
  <c r="J464" i="12"/>
  <c r="K464" i="12"/>
  <c r="O464" i="12"/>
  <c r="D537" i="12"/>
  <c r="E537" i="12"/>
  <c r="F537" i="12"/>
  <c r="J537" i="12"/>
  <c r="K537" i="12"/>
  <c r="O537" i="12"/>
  <c r="D627" i="12"/>
  <c r="E627" i="12"/>
  <c r="F627" i="12"/>
  <c r="J627" i="12"/>
  <c r="K627" i="12"/>
  <c r="O627" i="12"/>
  <c r="D719" i="12"/>
  <c r="E719" i="12"/>
  <c r="F719" i="12"/>
  <c r="J719" i="12"/>
  <c r="K719" i="12"/>
  <c r="O719" i="12"/>
  <c r="D794" i="12"/>
  <c r="E794" i="12"/>
  <c r="F794" i="12"/>
  <c r="J794" i="12"/>
  <c r="K794" i="12"/>
  <c r="O794" i="12"/>
  <c r="D871" i="12"/>
  <c r="E871" i="12"/>
  <c r="F871" i="12"/>
  <c r="J871" i="12"/>
  <c r="K871" i="12"/>
  <c r="O871" i="12"/>
  <c r="D202" i="12"/>
  <c r="E202" i="12"/>
  <c r="F202" i="12"/>
  <c r="J202" i="12"/>
  <c r="K202" i="12"/>
  <c r="O202" i="12"/>
  <c r="D983" i="12"/>
  <c r="E983" i="12"/>
  <c r="F983" i="12"/>
  <c r="J983" i="12"/>
  <c r="K983" i="12"/>
  <c r="D125" i="12"/>
  <c r="E125" i="12"/>
  <c r="F125" i="12"/>
  <c r="J125" i="12"/>
  <c r="K125" i="12"/>
  <c r="D1075" i="12"/>
  <c r="E1075" i="12"/>
  <c r="F1075" i="12"/>
  <c r="J1075" i="12"/>
  <c r="K1075" i="12"/>
  <c r="D315" i="12"/>
  <c r="E315" i="12"/>
  <c r="F315" i="12"/>
  <c r="J315" i="12"/>
  <c r="K315" i="12"/>
  <c r="O315" i="12"/>
  <c r="D407" i="12"/>
  <c r="E407" i="12"/>
  <c r="F407" i="12"/>
  <c r="J407" i="12"/>
  <c r="K407" i="12"/>
  <c r="O407" i="12"/>
  <c r="D465" i="12"/>
  <c r="E465" i="12"/>
  <c r="F465" i="12"/>
  <c r="J465" i="12"/>
  <c r="K465" i="12"/>
  <c r="O465" i="12"/>
  <c r="D538" i="12"/>
  <c r="E538" i="12"/>
  <c r="F538" i="12"/>
  <c r="J538" i="12"/>
  <c r="K538" i="12"/>
  <c r="O538" i="12"/>
  <c r="D628" i="12"/>
  <c r="E628" i="12"/>
  <c r="F628" i="12"/>
  <c r="J628" i="12"/>
  <c r="K628" i="12"/>
  <c r="O628" i="12"/>
  <c r="D720" i="12"/>
  <c r="E720" i="12"/>
  <c r="F720" i="12"/>
  <c r="J720" i="12"/>
  <c r="K720" i="12"/>
  <c r="O720" i="12"/>
  <c r="D795" i="12"/>
  <c r="E795" i="12"/>
  <c r="F795" i="12"/>
  <c r="J795" i="12"/>
  <c r="K795" i="12"/>
  <c r="O795" i="12"/>
  <c r="D872" i="12"/>
  <c r="E872" i="12"/>
  <c r="F872" i="12"/>
  <c r="J872" i="12"/>
  <c r="K872" i="12"/>
  <c r="O872" i="12"/>
  <c r="D203" i="12"/>
  <c r="E203" i="12"/>
  <c r="F203" i="12"/>
  <c r="J203" i="12"/>
  <c r="K203" i="12"/>
  <c r="O203" i="12"/>
  <c r="D984" i="12"/>
  <c r="E984" i="12"/>
  <c r="F984" i="12"/>
  <c r="J984" i="12"/>
  <c r="K984" i="12"/>
  <c r="D126" i="12"/>
  <c r="E126" i="12"/>
  <c r="F126" i="12"/>
  <c r="J126" i="12"/>
  <c r="K126" i="12"/>
  <c r="D1076" i="12"/>
  <c r="E1076" i="12"/>
  <c r="F1076" i="12"/>
  <c r="J1076" i="12"/>
  <c r="K1076" i="12"/>
  <c r="D316" i="12"/>
  <c r="E316" i="12"/>
  <c r="F316" i="12"/>
  <c r="J316" i="12"/>
  <c r="K316" i="12"/>
  <c r="O316" i="12"/>
  <c r="D408" i="12"/>
  <c r="E408" i="12"/>
  <c r="F408" i="12"/>
  <c r="J408" i="12"/>
  <c r="K408" i="12"/>
  <c r="O408" i="12"/>
  <c r="D466" i="12"/>
  <c r="E466" i="12"/>
  <c r="F466" i="12"/>
  <c r="J466" i="12"/>
  <c r="K466" i="12"/>
  <c r="O466" i="12"/>
  <c r="D539" i="12"/>
  <c r="E539" i="12"/>
  <c r="F539" i="12"/>
  <c r="J539" i="12"/>
  <c r="K539" i="12"/>
  <c r="O539" i="12"/>
  <c r="D629" i="12"/>
  <c r="E629" i="12"/>
  <c r="F629" i="12"/>
  <c r="J629" i="12"/>
  <c r="K629" i="12"/>
  <c r="O629" i="12"/>
  <c r="D721" i="12"/>
  <c r="E721" i="12"/>
  <c r="F721" i="12"/>
  <c r="J721" i="12"/>
  <c r="K721" i="12"/>
  <c r="O721" i="12"/>
  <c r="D796" i="12"/>
  <c r="E796" i="12"/>
  <c r="F796" i="12"/>
  <c r="J796" i="12"/>
  <c r="K796" i="12"/>
  <c r="O796" i="12"/>
  <c r="D873" i="12"/>
  <c r="E873" i="12"/>
  <c r="F873" i="12"/>
  <c r="J873" i="12"/>
  <c r="K873" i="12"/>
  <c r="O873" i="12"/>
  <c r="D204" i="12"/>
  <c r="E204" i="12"/>
  <c r="F204" i="12"/>
  <c r="J204" i="12"/>
  <c r="K204" i="12"/>
  <c r="O204" i="12"/>
  <c r="D985" i="12"/>
  <c r="E985" i="12"/>
  <c r="F985" i="12"/>
  <c r="J985" i="12"/>
  <c r="K985" i="12"/>
  <c r="D127" i="12"/>
  <c r="E127" i="12"/>
  <c r="F127" i="12"/>
  <c r="J127" i="12"/>
  <c r="K127" i="12"/>
  <c r="D1077" i="12"/>
  <c r="E1077" i="12"/>
  <c r="F1077" i="12"/>
  <c r="J1077" i="12"/>
  <c r="K1077" i="12"/>
  <c r="D317" i="12"/>
  <c r="E317" i="12"/>
  <c r="F317" i="12"/>
  <c r="J317" i="12"/>
  <c r="K317" i="12"/>
  <c r="O317" i="12"/>
  <c r="D409" i="12"/>
  <c r="E409" i="12"/>
  <c r="F409" i="12"/>
  <c r="J409" i="12"/>
  <c r="K409" i="12"/>
  <c r="O409" i="12"/>
  <c r="D467" i="12"/>
  <c r="E467" i="12"/>
  <c r="F467" i="12"/>
  <c r="J467" i="12"/>
  <c r="K467" i="12"/>
  <c r="O467" i="12"/>
  <c r="D540" i="12"/>
  <c r="E540" i="12"/>
  <c r="F540" i="12"/>
  <c r="J540" i="12"/>
  <c r="K540" i="12"/>
  <c r="O540" i="12"/>
  <c r="D630" i="12"/>
  <c r="E630" i="12"/>
  <c r="F630" i="12"/>
  <c r="J630" i="12"/>
  <c r="K630" i="12"/>
  <c r="O630" i="12"/>
  <c r="D722" i="12"/>
  <c r="E722" i="12"/>
  <c r="F722" i="12"/>
  <c r="J722" i="12"/>
  <c r="K722" i="12"/>
  <c r="O722" i="12"/>
  <c r="D797" i="12"/>
  <c r="E797" i="12"/>
  <c r="F797" i="12"/>
  <c r="J797" i="12"/>
  <c r="K797" i="12"/>
  <c r="O797" i="12"/>
  <c r="D874" i="12"/>
  <c r="E874" i="12"/>
  <c r="F874" i="12"/>
  <c r="J874" i="12"/>
  <c r="K874" i="12"/>
  <c r="O874" i="12"/>
  <c r="D205" i="12"/>
  <c r="E205" i="12"/>
  <c r="F205" i="12"/>
  <c r="J205" i="12"/>
  <c r="K205" i="12"/>
  <c r="O205" i="12"/>
  <c r="D986" i="12"/>
  <c r="E986" i="12"/>
  <c r="F986" i="12"/>
  <c r="J986" i="12"/>
  <c r="K986" i="12"/>
  <c r="D128" i="12"/>
  <c r="E128" i="12"/>
  <c r="F128" i="12"/>
  <c r="J128" i="12"/>
  <c r="K128" i="12"/>
  <c r="D1078" i="12"/>
  <c r="E1078" i="12"/>
  <c r="F1078" i="12"/>
  <c r="J1078" i="12"/>
  <c r="K1078" i="12"/>
  <c r="D318" i="12"/>
  <c r="E318" i="12"/>
  <c r="F318" i="12"/>
  <c r="J318" i="12"/>
  <c r="K318" i="12"/>
  <c r="O318" i="12"/>
  <c r="D410" i="12"/>
  <c r="E410" i="12"/>
  <c r="F410" i="12"/>
  <c r="J410" i="12"/>
  <c r="K410" i="12"/>
  <c r="O410" i="12"/>
  <c r="D468" i="12"/>
  <c r="E468" i="12"/>
  <c r="F468" i="12"/>
  <c r="J468" i="12"/>
  <c r="K468" i="12"/>
  <c r="O468" i="12"/>
  <c r="D541" i="12"/>
  <c r="E541" i="12"/>
  <c r="F541" i="12"/>
  <c r="J541" i="12"/>
  <c r="K541" i="12"/>
  <c r="O541" i="12"/>
  <c r="D631" i="12"/>
  <c r="E631" i="12"/>
  <c r="F631" i="12"/>
  <c r="J631" i="12"/>
  <c r="K631" i="12"/>
  <c r="O631" i="12"/>
  <c r="D723" i="12"/>
  <c r="E723" i="12"/>
  <c r="F723" i="12"/>
  <c r="J723" i="12"/>
  <c r="K723" i="12"/>
  <c r="O723" i="12"/>
  <c r="D798" i="12"/>
  <c r="E798" i="12"/>
  <c r="F798" i="12"/>
  <c r="J798" i="12"/>
  <c r="K798" i="12"/>
  <c r="O798" i="12"/>
  <c r="D875" i="12"/>
  <c r="E875" i="12"/>
  <c r="F875" i="12"/>
  <c r="J875" i="12"/>
  <c r="K875" i="12"/>
  <c r="O875" i="12"/>
  <c r="D206" i="12"/>
  <c r="E206" i="12"/>
  <c r="F206" i="12"/>
  <c r="J206" i="12"/>
  <c r="K206" i="12"/>
  <c r="O206" i="12"/>
  <c r="D987" i="12"/>
  <c r="E987" i="12"/>
  <c r="F987" i="12"/>
  <c r="J987" i="12"/>
  <c r="K987" i="12"/>
  <c r="D129" i="12"/>
  <c r="E129" i="12"/>
  <c r="F129" i="12"/>
  <c r="J129" i="12"/>
  <c r="K129" i="12"/>
  <c r="D1079" i="12"/>
  <c r="E1079" i="12"/>
  <c r="F1079" i="12"/>
  <c r="J1079" i="12"/>
  <c r="K1079" i="12"/>
  <c r="D321" i="12"/>
  <c r="E321" i="12"/>
  <c r="F321" i="12"/>
  <c r="J321" i="12"/>
  <c r="K321" i="12"/>
  <c r="O321" i="12"/>
  <c r="D413" i="12"/>
  <c r="E413" i="12"/>
  <c r="F413" i="12"/>
  <c r="J413" i="12"/>
  <c r="K413" i="12"/>
  <c r="O413" i="12"/>
  <c r="D48" i="12"/>
  <c r="E48" i="12"/>
  <c r="F48" i="12"/>
  <c r="J48" i="12"/>
  <c r="K48" i="12"/>
  <c r="O48" i="12"/>
  <c r="D544" i="12"/>
  <c r="E544" i="12"/>
  <c r="F544" i="12"/>
  <c r="J544" i="12"/>
  <c r="K544" i="12"/>
  <c r="O544" i="12"/>
  <c r="D634" i="12"/>
  <c r="E634" i="12"/>
  <c r="F634" i="12"/>
  <c r="J634" i="12"/>
  <c r="K634" i="12"/>
  <c r="O634" i="12"/>
  <c r="D726" i="12"/>
  <c r="E726" i="12"/>
  <c r="F726" i="12"/>
  <c r="J726" i="12"/>
  <c r="K726" i="12"/>
  <c r="O726" i="12"/>
  <c r="D801" i="12"/>
  <c r="E801" i="12"/>
  <c r="F801" i="12"/>
  <c r="J801" i="12"/>
  <c r="K801" i="12"/>
  <c r="O801" i="12"/>
  <c r="D878" i="12"/>
  <c r="E878" i="12"/>
  <c r="F878" i="12"/>
  <c r="J878" i="12"/>
  <c r="K878" i="12"/>
  <c r="O878" i="12"/>
  <c r="D209" i="12"/>
  <c r="E209" i="12"/>
  <c r="F209" i="12"/>
  <c r="J209" i="12"/>
  <c r="K209" i="12"/>
  <c r="O209" i="12"/>
  <c r="D990" i="12"/>
  <c r="E990" i="12"/>
  <c r="F990" i="12"/>
  <c r="J990" i="12"/>
  <c r="K990" i="12"/>
  <c r="D132" i="12"/>
  <c r="E132" i="12"/>
  <c r="F132" i="12"/>
  <c r="J132" i="12"/>
  <c r="K132" i="12"/>
  <c r="D1082" i="12"/>
  <c r="E1082" i="12"/>
  <c r="F1082" i="12"/>
  <c r="J1082" i="12"/>
  <c r="K1082" i="12"/>
  <c r="D323" i="12"/>
  <c r="E323" i="12"/>
  <c r="F323" i="12"/>
  <c r="J323" i="12"/>
  <c r="K323" i="12"/>
  <c r="O323" i="12"/>
  <c r="D415" i="12"/>
  <c r="E415" i="12"/>
  <c r="F415" i="12"/>
  <c r="J415" i="12"/>
  <c r="K415" i="12"/>
  <c r="O415" i="12"/>
  <c r="D50" i="12"/>
  <c r="E50" i="12"/>
  <c r="F50" i="12"/>
  <c r="J50" i="12"/>
  <c r="K50" i="12"/>
  <c r="O50" i="12"/>
  <c r="D546" i="12"/>
  <c r="E546" i="12"/>
  <c r="F546" i="12"/>
  <c r="J546" i="12"/>
  <c r="K546" i="12"/>
  <c r="O546" i="12"/>
  <c r="D636" i="12"/>
  <c r="E636" i="12"/>
  <c r="F636" i="12"/>
  <c r="J636" i="12"/>
  <c r="K636" i="12"/>
  <c r="O636" i="12"/>
  <c r="D728" i="12"/>
  <c r="E728" i="12"/>
  <c r="F728" i="12"/>
  <c r="J728" i="12"/>
  <c r="K728" i="12"/>
  <c r="O728" i="12"/>
  <c r="D803" i="12"/>
  <c r="E803" i="12"/>
  <c r="F803" i="12"/>
  <c r="J803" i="12"/>
  <c r="K803" i="12"/>
  <c r="O803" i="12"/>
  <c r="D880" i="12"/>
  <c r="E880" i="12"/>
  <c r="F880" i="12"/>
  <c r="J880" i="12"/>
  <c r="K880" i="12"/>
  <c r="O880" i="12"/>
  <c r="D211" i="12"/>
  <c r="E211" i="12"/>
  <c r="F211" i="12"/>
  <c r="J211" i="12"/>
  <c r="K211" i="12"/>
  <c r="O211" i="12"/>
  <c r="D992" i="12"/>
  <c r="E992" i="12"/>
  <c r="F992" i="12"/>
  <c r="J992" i="12"/>
  <c r="K992" i="12"/>
  <c r="D134" i="12"/>
  <c r="E134" i="12"/>
  <c r="F134" i="12"/>
  <c r="J134" i="12"/>
  <c r="K134" i="12"/>
  <c r="D1084" i="12"/>
  <c r="E1084" i="12"/>
  <c r="F1084" i="12"/>
  <c r="J1084" i="12"/>
  <c r="K1084" i="12"/>
  <c r="D319" i="12"/>
  <c r="E319" i="12"/>
  <c r="F319" i="12"/>
  <c r="J319" i="12"/>
  <c r="K319" i="12"/>
  <c r="O319" i="12"/>
  <c r="D411" i="12"/>
  <c r="E411" i="12"/>
  <c r="F411" i="12"/>
  <c r="J411" i="12"/>
  <c r="K411" i="12"/>
  <c r="O411" i="12"/>
  <c r="D46" i="12"/>
  <c r="E46" i="12"/>
  <c r="F46" i="12"/>
  <c r="J46" i="12"/>
  <c r="K46" i="12"/>
  <c r="O46" i="12"/>
  <c r="D542" i="12"/>
  <c r="E542" i="12"/>
  <c r="F542" i="12"/>
  <c r="J542" i="12"/>
  <c r="K542" i="12"/>
  <c r="O542" i="12"/>
  <c r="D632" i="12"/>
  <c r="E632" i="12"/>
  <c r="F632" i="12"/>
  <c r="J632" i="12"/>
  <c r="K632" i="12"/>
  <c r="O632" i="12"/>
  <c r="D724" i="12"/>
  <c r="E724" i="12"/>
  <c r="F724" i="12"/>
  <c r="J724" i="12"/>
  <c r="K724" i="12"/>
  <c r="O724" i="12"/>
  <c r="D799" i="12"/>
  <c r="E799" i="12"/>
  <c r="F799" i="12"/>
  <c r="J799" i="12"/>
  <c r="K799" i="12"/>
  <c r="O799" i="12"/>
  <c r="D876" i="12"/>
  <c r="E876" i="12"/>
  <c r="F876" i="12"/>
  <c r="J876" i="12"/>
  <c r="K876" i="12"/>
  <c r="O876" i="12"/>
  <c r="D207" i="12"/>
  <c r="E207" i="12"/>
  <c r="F207" i="12"/>
  <c r="J207" i="12"/>
  <c r="K207" i="12"/>
  <c r="O207" i="12"/>
  <c r="D988" i="12"/>
  <c r="E988" i="12"/>
  <c r="F988" i="12"/>
  <c r="J988" i="12"/>
  <c r="K988" i="12"/>
  <c r="D130" i="12"/>
  <c r="E130" i="12"/>
  <c r="F130" i="12"/>
  <c r="J130" i="12"/>
  <c r="K130" i="12"/>
  <c r="D1080" i="12"/>
  <c r="E1080" i="12"/>
  <c r="F1080" i="12"/>
  <c r="J1080" i="12"/>
  <c r="K1080" i="12"/>
  <c r="D320" i="12"/>
  <c r="E320" i="12"/>
  <c r="F320" i="12"/>
  <c r="J320" i="12"/>
  <c r="K320" i="12"/>
  <c r="O320" i="12"/>
  <c r="D412" i="12"/>
  <c r="E412" i="12"/>
  <c r="F412" i="12"/>
  <c r="J412" i="12"/>
  <c r="K412" i="12"/>
  <c r="O412" i="12"/>
  <c r="D47" i="12"/>
  <c r="E47" i="12"/>
  <c r="F47" i="12"/>
  <c r="J47" i="12"/>
  <c r="K47" i="12"/>
  <c r="O47" i="12"/>
  <c r="D543" i="12"/>
  <c r="E543" i="12"/>
  <c r="F543" i="12"/>
  <c r="J543" i="12"/>
  <c r="K543" i="12"/>
  <c r="O543" i="12"/>
  <c r="D633" i="12"/>
  <c r="E633" i="12"/>
  <c r="F633" i="12"/>
  <c r="J633" i="12"/>
  <c r="K633" i="12"/>
  <c r="O633" i="12"/>
  <c r="D725" i="12"/>
  <c r="E725" i="12"/>
  <c r="F725" i="12"/>
  <c r="J725" i="12"/>
  <c r="K725" i="12"/>
  <c r="O725" i="12"/>
  <c r="D800" i="12"/>
  <c r="E800" i="12"/>
  <c r="F800" i="12"/>
  <c r="J800" i="12"/>
  <c r="K800" i="12"/>
  <c r="O800" i="12"/>
  <c r="D877" i="12"/>
  <c r="E877" i="12"/>
  <c r="F877" i="12"/>
  <c r="J877" i="12"/>
  <c r="K877" i="12"/>
  <c r="O877" i="12"/>
  <c r="D208" i="12"/>
  <c r="E208" i="12"/>
  <c r="F208" i="12"/>
  <c r="J208" i="12"/>
  <c r="K208" i="12"/>
  <c r="O208" i="12"/>
  <c r="D989" i="12"/>
  <c r="E989" i="12"/>
  <c r="F989" i="12"/>
  <c r="J989" i="12"/>
  <c r="K989" i="12"/>
  <c r="D131" i="12"/>
  <c r="E131" i="12"/>
  <c r="F131" i="12"/>
  <c r="J131" i="12"/>
  <c r="K131" i="12"/>
  <c r="D1081" i="12"/>
  <c r="E1081" i="12"/>
  <c r="F1081" i="12"/>
  <c r="J1081" i="12"/>
  <c r="K1081" i="12"/>
  <c r="D322" i="12"/>
  <c r="E322" i="12"/>
  <c r="F322" i="12"/>
  <c r="J322" i="12"/>
  <c r="K322" i="12"/>
  <c r="O322" i="12"/>
  <c r="D414" i="12"/>
  <c r="E414" i="12"/>
  <c r="F414" i="12"/>
  <c r="J414" i="12"/>
  <c r="K414" i="12"/>
  <c r="O414" i="12"/>
  <c r="D49" i="12"/>
  <c r="E49" i="12"/>
  <c r="F49" i="12"/>
  <c r="J49" i="12"/>
  <c r="K49" i="12"/>
  <c r="O49" i="12"/>
  <c r="D545" i="12"/>
  <c r="E545" i="12"/>
  <c r="F545" i="12"/>
  <c r="J545" i="12"/>
  <c r="K545" i="12"/>
  <c r="O545" i="12"/>
  <c r="D635" i="12"/>
  <c r="E635" i="12"/>
  <c r="F635" i="12"/>
  <c r="J635" i="12"/>
  <c r="K635" i="12"/>
  <c r="O635" i="12"/>
  <c r="D727" i="12"/>
  <c r="E727" i="12"/>
  <c r="F727" i="12"/>
  <c r="J727" i="12"/>
  <c r="K727" i="12"/>
  <c r="O727" i="12"/>
  <c r="D802" i="12"/>
  <c r="E802" i="12"/>
  <c r="F802" i="12"/>
  <c r="J802" i="12"/>
  <c r="K802" i="12"/>
  <c r="O802" i="12"/>
  <c r="D879" i="12"/>
  <c r="E879" i="12"/>
  <c r="F879" i="12"/>
  <c r="J879" i="12"/>
  <c r="K879" i="12"/>
  <c r="O879" i="12"/>
  <c r="D210" i="12"/>
  <c r="E210" i="12"/>
  <c r="F210" i="12"/>
  <c r="J210" i="12"/>
  <c r="K210" i="12"/>
  <c r="O210" i="12"/>
  <c r="D991" i="12"/>
  <c r="E991" i="12"/>
  <c r="F991" i="12"/>
  <c r="J991" i="12"/>
  <c r="K991" i="12"/>
  <c r="D133" i="12"/>
  <c r="E133" i="12"/>
  <c r="F133" i="12"/>
  <c r="J133" i="12"/>
  <c r="K133" i="12"/>
  <c r="D1083" i="12"/>
  <c r="E1083" i="12"/>
  <c r="F1083" i="12"/>
  <c r="J1083" i="12"/>
  <c r="K1083" i="12"/>
  <c r="D324" i="12"/>
  <c r="E324" i="12"/>
  <c r="F324" i="12"/>
  <c r="J324" i="12"/>
  <c r="K324" i="12"/>
  <c r="O324" i="12"/>
  <c r="D416" i="12"/>
  <c r="E416" i="12"/>
  <c r="F416" i="12"/>
  <c r="J416" i="12"/>
  <c r="K416" i="12"/>
  <c r="O416" i="12"/>
  <c r="D51" i="12"/>
  <c r="E51" i="12"/>
  <c r="F51" i="12"/>
  <c r="J51" i="12"/>
  <c r="K51" i="12"/>
  <c r="O51" i="12"/>
  <c r="D547" i="12"/>
  <c r="E547" i="12"/>
  <c r="F547" i="12"/>
  <c r="J547" i="12"/>
  <c r="K547" i="12"/>
  <c r="O547" i="12"/>
  <c r="D637" i="12"/>
  <c r="E637" i="12"/>
  <c r="F637" i="12"/>
  <c r="J637" i="12"/>
  <c r="K637" i="12"/>
  <c r="O637" i="12"/>
  <c r="D729" i="12"/>
  <c r="E729" i="12"/>
  <c r="F729" i="12"/>
  <c r="J729" i="12"/>
  <c r="K729" i="12"/>
  <c r="O729" i="12"/>
  <c r="D804" i="12"/>
  <c r="E804" i="12"/>
  <c r="F804" i="12"/>
  <c r="J804" i="12"/>
  <c r="K804" i="12"/>
  <c r="O804" i="12"/>
  <c r="D881" i="12"/>
  <c r="E881" i="12"/>
  <c r="F881" i="12"/>
  <c r="J881" i="12"/>
  <c r="K881" i="12"/>
  <c r="O881" i="12"/>
  <c r="D212" i="12"/>
  <c r="E212" i="12"/>
  <c r="F212" i="12"/>
  <c r="J212" i="12"/>
  <c r="K212" i="12"/>
  <c r="O212" i="12"/>
  <c r="D993" i="12"/>
  <c r="E993" i="12"/>
  <c r="F993" i="12"/>
  <c r="J993" i="12"/>
  <c r="K993" i="12"/>
  <c r="D135" i="12"/>
  <c r="E135" i="12"/>
  <c r="F135" i="12"/>
  <c r="J135" i="12"/>
  <c r="K135" i="12"/>
  <c r="D1085" i="12"/>
  <c r="E1085" i="12"/>
  <c r="F1085" i="12"/>
  <c r="J1085" i="12"/>
  <c r="K1085" i="12"/>
  <c r="D325" i="12"/>
  <c r="E325" i="12"/>
  <c r="F325" i="12"/>
  <c r="J325" i="12"/>
  <c r="K325" i="12"/>
  <c r="O325" i="12"/>
  <c r="D417" i="12"/>
  <c r="E417" i="12"/>
  <c r="F417" i="12"/>
  <c r="J417" i="12"/>
  <c r="K417" i="12"/>
  <c r="O417" i="12"/>
  <c r="D52" i="12"/>
  <c r="E52" i="12"/>
  <c r="F52" i="12"/>
  <c r="J52" i="12"/>
  <c r="K52" i="12"/>
  <c r="O52" i="12"/>
  <c r="D548" i="12"/>
  <c r="E548" i="12"/>
  <c r="F548" i="12"/>
  <c r="J548" i="12"/>
  <c r="K548" i="12"/>
  <c r="O548" i="12"/>
  <c r="D638" i="12"/>
  <c r="E638" i="12"/>
  <c r="F638" i="12"/>
  <c r="J638" i="12"/>
  <c r="K638" i="12"/>
  <c r="O638" i="12"/>
  <c r="D730" i="12"/>
  <c r="E730" i="12"/>
  <c r="F730" i="12"/>
  <c r="J730" i="12"/>
  <c r="K730" i="12"/>
  <c r="O730" i="12"/>
  <c r="D251" i="12"/>
  <c r="E251" i="12"/>
  <c r="F251" i="12"/>
  <c r="J251" i="12"/>
  <c r="K251" i="12"/>
  <c r="O251" i="12"/>
  <c r="D882" i="12"/>
  <c r="E882" i="12"/>
  <c r="F882" i="12"/>
  <c r="J882" i="12"/>
  <c r="K882" i="12"/>
  <c r="O882" i="12"/>
  <c r="D213" i="12"/>
  <c r="E213" i="12"/>
  <c r="F213" i="12"/>
  <c r="J213" i="12"/>
  <c r="K213" i="12"/>
  <c r="O213" i="12"/>
  <c r="D994" i="12"/>
  <c r="E994" i="12"/>
  <c r="F994" i="12"/>
  <c r="J994" i="12"/>
  <c r="K994" i="12"/>
  <c r="D136" i="12"/>
  <c r="E136" i="12"/>
  <c r="F136" i="12"/>
  <c r="J136" i="12"/>
  <c r="K136" i="12"/>
  <c r="D1086" i="12"/>
  <c r="E1086" i="12"/>
  <c r="F1086" i="12"/>
  <c r="J1086" i="12"/>
  <c r="K1086" i="12"/>
  <c r="D326" i="12"/>
  <c r="E326" i="12"/>
  <c r="F326" i="12"/>
  <c r="J326" i="12"/>
  <c r="K326" i="12"/>
  <c r="O326" i="12"/>
  <c r="D418" i="12"/>
  <c r="E418" i="12"/>
  <c r="F418" i="12"/>
  <c r="J418" i="12"/>
  <c r="K418" i="12"/>
  <c r="O418" i="12"/>
  <c r="D53" i="12"/>
  <c r="E53" i="12"/>
  <c r="F53" i="12"/>
  <c r="J53" i="12"/>
  <c r="K53" i="12"/>
  <c r="O53" i="12"/>
  <c r="D549" i="12"/>
  <c r="E549" i="12"/>
  <c r="F549" i="12"/>
  <c r="J549" i="12"/>
  <c r="K549" i="12"/>
  <c r="O549" i="12"/>
  <c r="D639" i="12"/>
  <c r="E639" i="12"/>
  <c r="F639" i="12"/>
  <c r="J639" i="12"/>
  <c r="K639" i="12"/>
  <c r="O639" i="12"/>
  <c r="D252" i="12"/>
  <c r="E252" i="12"/>
  <c r="F252" i="12"/>
  <c r="J252" i="12"/>
  <c r="K252" i="12"/>
  <c r="O252" i="12"/>
  <c r="D883" i="12"/>
  <c r="E883" i="12"/>
  <c r="F883" i="12"/>
  <c r="J883" i="12"/>
  <c r="K883" i="12"/>
  <c r="O883" i="12"/>
  <c r="D214" i="12"/>
  <c r="E214" i="12"/>
  <c r="F214" i="12"/>
  <c r="J214" i="12"/>
  <c r="K214" i="12"/>
  <c r="O214" i="12"/>
  <c r="D995" i="12"/>
  <c r="E995" i="12"/>
  <c r="F995" i="12"/>
  <c r="J995" i="12"/>
  <c r="K995" i="12"/>
  <c r="D137" i="12"/>
  <c r="E137" i="12"/>
  <c r="F137" i="12"/>
  <c r="J137" i="12"/>
  <c r="K137" i="12"/>
  <c r="D1087" i="12"/>
  <c r="E1087" i="12"/>
  <c r="F1087" i="12"/>
  <c r="J1087" i="12"/>
  <c r="K1087" i="12"/>
  <c r="D731" i="12"/>
  <c r="E731" i="12"/>
  <c r="F731" i="12"/>
  <c r="J731" i="12"/>
  <c r="K731" i="12"/>
  <c r="O731" i="12"/>
  <c r="D327" i="12"/>
  <c r="E327" i="12"/>
  <c r="F327" i="12"/>
  <c r="J327" i="12"/>
  <c r="K327" i="12"/>
  <c r="O327" i="12"/>
  <c r="D419" i="12"/>
  <c r="E419" i="12"/>
  <c r="F419" i="12"/>
  <c r="J419" i="12"/>
  <c r="K419" i="12"/>
  <c r="O419" i="12"/>
  <c r="D54" i="12"/>
  <c r="E54" i="12"/>
  <c r="F54" i="12"/>
  <c r="J54" i="12"/>
  <c r="K54" i="12"/>
  <c r="O54" i="12"/>
  <c r="D550" i="12"/>
  <c r="E550" i="12"/>
  <c r="F550" i="12"/>
  <c r="J550" i="12"/>
  <c r="K550" i="12"/>
  <c r="O550" i="12"/>
  <c r="D640" i="12"/>
  <c r="E640" i="12"/>
  <c r="F640" i="12"/>
  <c r="J640" i="12"/>
  <c r="K640" i="12"/>
  <c r="O640" i="12"/>
  <c r="D732" i="12"/>
  <c r="E732" i="12"/>
  <c r="F732" i="12"/>
  <c r="J732" i="12"/>
  <c r="K732" i="12"/>
  <c r="O732" i="12"/>
  <c r="D240" i="12"/>
  <c r="E240" i="12"/>
  <c r="F240" i="12"/>
  <c r="J240" i="12"/>
  <c r="K240" i="12"/>
  <c r="O240" i="12"/>
  <c r="D884" i="12"/>
  <c r="E884" i="12"/>
  <c r="F884" i="12"/>
  <c r="J884" i="12"/>
  <c r="K884" i="12"/>
  <c r="O884" i="12"/>
  <c r="D215" i="12"/>
  <c r="E215" i="12"/>
  <c r="F215" i="12"/>
  <c r="J215" i="12"/>
  <c r="K215" i="12"/>
  <c r="O215" i="12"/>
  <c r="D996" i="12"/>
  <c r="E996" i="12"/>
  <c r="F996" i="12"/>
  <c r="J996" i="12"/>
  <c r="K996" i="12"/>
  <c r="D138" i="12"/>
  <c r="E138" i="12"/>
  <c r="F138" i="12"/>
  <c r="J138" i="12"/>
  <c r="K138" i="12"/>
  <c r="D1088" i="12"/>
  <c r="E1088" i="12"/>
  <c r="F1088" i="12"/>
  <c r="J1088" i="12"/>
  <c r="K1088" i="12"/>
  <c r="D328" i="12"/>
  <c r="E328" i="12"/>
  <c r="F328" i="12"/>
  <c r="J328" i="12"/>
  <c r="K328" i="12"/>
  <c r="O328" i="12"/>
  <c r="D420" i="12"/>
  <c r="E420" i="12"/>
  <c r="F420" i="12"/>
  <c r="J420" i="12"/>
  <c r="K420" i="12"/>
  <c r="O420" i="12"/>
  <c r="D55" i="12"/>
  <c r="E55" i="12"/>
  <c r="F55" i="12"/>
  <c r="J55" i="12"/>
  <c r="K55" i="12"/>
  <c r="O55" i="12"/>
  <c r="D551" i="12"/>
  <c r="E551" i="12"/>
  <c r="F551" i="12"/>
  <c r="J551" i="12"/>
  <c r="K551" i="12"/>
  <c r="O551" i="12"/>
  <c r="D641" i="12"/>
  <c r="E641" i="12"/>
  <c r="F641" i="12"/>
  <c r="J641" i="12"/>
  <c r="K641" i="12"/>
  <c r="O641" i="12"/>
  <c r="D733" i="12"/>
  <c r="E733" i="12"/>
  <c r="F733" i="12"/>
  <c r="J733" i="12"/>
  <c r="K733" i="12"/>
  <c r="O733" i="12"/>
  <c r="D241" i="12"/>
  <c r="E241" i="12"/>
  <c r="F241" i="12"/>
  <c r="J241" i="12"/>
  <c r="K241" i="12"/>
  <c r="O241" i="12"/>
  <c r="D885" i="12"/>
  <c r="E885" i="12"/>
  <c r="F885" i="12"/>
  <c r="J885" i="12"/>
  <c r="K885" i="12"/>
  <c r="O885" i="12"/>
  <c r="D216" i="12"/>
  <c r="E216" i="12"/>
  <c r="F216" i="12"/>
  <c r="J216" i="12"/>
  <c r="K216" i="12"/>
  <c r="O216" i="12"/>
  <c r="D997" i="12"/>
  <c r="E997" i="12"/>
  <c r="F997" i="12"/>
  <c r="J997" i="12"/>
  <c r="K997" i="12"/>
  <c r="D139" i="12"/>
  <c r="E139" i="12"/>
  <c r="F139" i="12"/>
  <c r="J139" i="12"/>
  <c r="K139" i="12"/>
  <c r="D1089" i="12"/>
  <c r="E1089" i="12"/>
  <c r="F1089" i="12"/>
  <c r="J1089" i="12"/>
  <c r="K1089" i="12"/>
  <c r="D329" i="12"/>
  <c r="E329" i="12"/>
  <c r="F329" i="12"/>
  <c r="J329" i="12"/>
  <c r="K329" i="12"/>
  <c r="O329" i="12"/>
  <c r="D421" i="12"/>
  <c r="E421" i="12"/>
  <c r="F421" i="12"/>
  <c r="J421" i="12"/>
  <c r="K421" i="12"/>
  <c r="O421" i="12"/>
  <c r="D56" i="12"/>
  <c r="E56" i="12"/>
  <c r="F56" i="12"/>
  <c r="J56" i="12"/>
  <c r="K56" i="12"/>
  <c r="O56" i="12"/>
  <c r="D552" i="12"/>
  <c r="E552" i="12"/>
  <c r="F552" i="12"/>
  <c r="J552" i="12"/>
  <c r="K552" i="12"/>
  <c r="O552" i="12"/>
  <c r="D642" i="12"/>
  <c r="E642" i="12"/>
  <c r="F642" i="12"/>
  <c r="J642" i="12"/>
  <c r="K642" i="12"/>
  <c r="O642" i="12"/>
  <c r="D734" i="12"/>
  <c r="E734" i="12"/>
  <c r="F734" i="12"/>
  <c r="J734" i="12"/>
  <c r="K734" i="12"/>
  <c r="O734" i="12"/>
  <c r="D242" i="12"/>
  <c r="E242" i="12"/>
  <c r="F242" i="12"/>
  <c r="J242" i="12"/>
  <c r="K242" i="12"/>
  <c r="O242" i="12"/>
  <c r="D886" i="12"/>
  <c r="E886" i="12"/>
  <c r="F886" i="12"/>
  <c r="J886" i="12"/>
  <c r="K886" i="12"/>
  <c r="O886" i="12"/>
  <c r="D217" i="12"/>
  <c r="E217" i="12"/>
  <c r="F217" i="12"/>
  <c r="J217" i="12"/>
  <c r="K217" i="12"/>
  <c r="O217" i="12"/>
  <c r="D998" i="12"/>
  <c r="E998" i="12"/>
  <c r="F998" i="12"/>
  <c r="J998" i="12"/>
  <c r="K998" i="12"/>
  <c r="D140" i="12"/>
  <c r="E140" i="12"/>
  <c r="F140" i="12"/>
  <c r="J140" i="12"/>
  <c r="K140" i="12"/>
  <c r="D1090" i="12"/>
  <c r="E1090" i="12"/>
  <c r="F1090" i="12"/>
  <c r="J1090" i="12"/>
  <c r="K1090" i="12"/>
  <c r="D330" i="12"/>
  <c r="E330" i="12"/>
  <c r="F330" i="12"/>
  <c r="J330" i="12"/>
  <c r="K330" i="12"/>
  <c r="O330" i="12"/>
  <c r="D422" i="12"/>
  <c r="E422" i="12"/>
  <c r="F422" i="12"/>
  <c r="J422" i="12"/>
  <c r="K422" i="12"/>
  <c r="O422" i="12"/>
  <c r="D57" i="12"/>
  <c r="E57" i="12"/>
  <c r="F57" i="12"/>
  <c r="J57" i="12"/>
  <c r="K57" i="12"/>
  <c r="O57" i="12"/>
  <c r="D553" i="12"/>
  <c r="E553" i="12"/>
  <c r="F553" i="12"/>
  <c r="J553" i="12"/>
  <c r="K553" i="12"/>
  <c r="O553" i="12"/>
  <c r="D643" i="12"/>
  <c r="E643" i="12"/>
  <c r="F643" i="12"/>
  <c r="J643" i="12"/>
  <c r="K643" i="12"/>
  <c r="O643" i="12"/>
  <c r="D735" i="12"/>
  <c r="E735" i="12"/>
  <c r="F735" i="12"/>
  <c r="J735" i="12"/>
  <c r="K735" i="12"/>
  <c r="O735" i="12"/>
  <c r="D243" i="12"/>
  <c r="E243" i="12"/>
  <c r="F243" i="12"/>
  <c r="J243" i="12"/>
  <c r="K243" i="12"/>
  <c r="O243" i="12"/>
  <c r="D887" i="12"/>
  <c r="E887" i="12"/>
  <c r="F887" i="12"/>
  <c r="J887" i="12"/>
  <c r="K887" i="12"/>
  <c r="O887" i="12"/>
  <c r="D218" i="12"/>
  <c r="E218" i="12"/>
  <c r="F218" i="12"/>
  <c r="J218" i="12"/>
  <c r="K218" i="12"/>
  <c r="O218" i="12"/>
  <c r="D999" i="12"/>
  <c r="E999" i="12"/>
  <c r="F999" i="12"/>
  <c r="J999" i="12"/>
  <c r="K999" i="12"/>
  <c r="D141" i="12"/>
  <c r="E141" i="12"/>
  <c r="F141" i="12"/>
  <c r="J141" i="12"/>
  <c r="K141" i="12"/>
  <c r="D1091" i="12"/>
  <c r="E1091" i="12"/>
  <c r="F1091" i="12"/>
  <c r="J1091" i="12"/>
  <c r="K1091" i="12"/>
  <c r="D331" i="12"/>
  <c r="E331" i="12"/>
  <c r="F331" i="12"/>
  <c r="J331" i="12"/>
  <c r="K331" i="12"/>
  <c r="O331" i="12"/>
  <c r="D423" i="12"/>
  <c r="E423" i="12"/>
  <c r="F423" i="12"/>
  <c r="J423" i="12"/>
  <c r="K423" i="12"/>
  <c r="O423" i="12"/>
  <c r="D58" i="12"/>
  <c r="E58" i="12"/>
  <c r="F58" i="12"/>
  <c r="J58" i="12"/>
  <c r="K58" i="12"/>
  <c r="O58" i="12"/>
  <c r="D554" i="12"/>
  <c r="E554" i="12"/>
  <c r="F554" i="12"/>
  <c r="J554" i="12"/>
  <c r="K554" i="12"/>
  <c r="O554" i="12"/>
  <c r="D644" i="12"/>
  <c r="E644" i="12"/>
  <c r="F644" i="12"/>
  <c r="J644" i="12"/>
  <c r="K644" i="12"/>
  <c r="O644" i="12"/>
  <c r="D736" i="12"/>
  <c r="E736" i="12"/>
  <c r="F736" i="12"/>
  <c r="J736" i="12"/>
  <c r="K736" i="12"/>
  <c r="O736" i="12"/>
  <c r="D244" i="12"/>
  <c r="E244" i="12"/>
  <c r="F244" i="12"/>
  <c r="J244" i="12"/>
  <c r="K244" i="12"/>
  <c r="O244" i="12"/>
  <c r="D888" i="12"/>
  <c r="E888" i="12"/>
  <c r="F888" i="12"/>
  <c r="J888" i="12"/>
  <c r="K888" i="12"/>
  <c r="O888" i="12"/>
  <c r="D219" i="12"/>
  <c r="E219" i="12"/>
  <c r="F219" i="12"/>
  <c r="J219" i="12"/>
  <c r="K219" i="12"/>
  <c r="O219" i="12"/>
  <c r="D1000" i="12"/>
  <c r="E1000" i="12"/>
  <c r="F1000" i="12"/>
  <c r="J1000" i="12"/>
  <c r="K1000" i="12"/>
  <c r="D142" i="12"/>
  <c r="E142" i="12"/>
  <c r="F142" i="12"/>
  <c r="J142" i="12"/>
  <c r="K142" i="12"/>
  <c r="D1092" i="12"/>
  <c r="E1092" i="12"/>
  <c r="F1092" i="12"/>
  <c r="J1092" i="12"/>
  <c r="K1092" i="12"/>
  <c r="D332" i="12"/>
  <c r="E332" i="12"/>
  <c r="F332" i="12"/>
  <c r="J332" i="12"/>
  <c r="K332" i="12"/>
  <c r="O332" i="12"/>
  <c r="D424" i="12"/>
  <c r="E424" i="12"/>
  <c r="F424" i="12"/>
  <c r="J424" i="12"/>
  <c r="K424" i="12"/>
  <c r="O424" i="12"/>
  <c r="D469" i="12"/>
  <c r="E469" i="12"/>
  <c r="F469" i="12"/>
  <c r="J469" i="12"/>
  <c r="K469" i="12"/>
  <c r="O469" i="12"/>
  <c r="D555" i="12"/>
  <c r="E555" i="12"/>
  <c r="F555" i="12"/>
  <c r="J555" i="12"/>
  <c r="K555" i="12"/>
  <c r="O555" i="12"/>
  <c r="D645" i="12"/>
  <c r="E645" i="12"/>
  <c r="F645" i="12"/>
  <c r="J645" i="12"/>
  <c r="K645" i="12"/>
  <c r="O645" i="12"/>
  <c r="D737" i="12"/>
  <c r="E737" i="12"/>
  <c r="F737" i="12"/>
  <c r="J737" i="12"/>
  <c r="K737" i="12"/>
  <c r="O737" i="12"/>
  <c r="D245" i="12"/>
  <c r="E245" i="12"/>
  <c r="F245" i="12"/>
  <c r="J245" i="12"/>
  <c r="K245" i="12"/>
  <c r="O245" i="12"/>
  <c r="D889" i="12"/>
  <c r="E889" i="12"/>
  <c r="F889" i="12"/>
  <c r="J889" i="12"/>
  <c r="K889" i="12"/>
  <c r="O889" i="12"/>
  <c r="D220" i="12"/>
  <c r="E220" i="12"/>
  <c r="F220" i="12"/>
  <c r="J220" i="12"/>
  <c r="K220" i="12"/>
  <c r="O220" i="12"/>
  <c r="D67" i="12"/>
  <c r="E67" i="12"/>
  <c r="F67" i="12"/>
  <c r="J67" i="12"/>
  <c r="K67" i="12"/>
  <c r="D143" i="12"/>
  <c r="E143" i="12"/>
  <c r="F143" i="12"/>
  <c r="J143" i="12"/>
  <c r="K143" i="12"/>
  <c r="D1093" i="12"/>
  <c r="E1093" i="12"/>
  <c r="F1093" i="12"/>
  <c r="J1093" i="12"/>
  <c r="K1093" i="12"/>
  <c r="D333" i="12"/>
  <c r="E333" i="12"/>
  <c r="F333" i="12"/>
  <c r="J333" i="12"/>
  <c r="K333" i="12"/>
  <c r="O333" i="12"/>
  <c r="D425" i="12"/>
  <c r="E425" i="12"/>
  <c r="F425" i="12"/>
  <c r="J425" i="12"/>
  <c r="K425" i="12"/>
  <c r="O425" i="12"/>
  <c r="D470" i="12"/>
  <c r="E470" i="12"/>
  <c r="F470" i="12"/>
  <c r="J470" i="12"/>
  <c r="K470" i="12"/>
  <c r="O470" i="12"/>
  <c r="D556" i="12"/>
  <c r="E556" i="12"/>
  <c r="F556" i="12"/>
  <c r="J556" i="12"/>
  <c r="K556" i="12"/>
  <c r="O556" i="12"/>
  <c r="D646" i="12"/>
  <c r="E646" i="12"/>
  <c r="F646" i="12"/>
  <c r="J646" i="12"/>
  <c r="K646" i="12"/>
  <c r="O646" i="12"/>
  <c r="D738" i="12"/>
  <c r="E738" i="12"/>
  <c r="F738" i="12"/>
  <c r="J738" i="12"/>
  <c r="K738" i="12"/>
  <c r="O738" i="12"/>
  <c r="D246" i="12"/>
  <c r="E246" i="12"/>
  <c r="F246" i="12"/>
  <c r="J246" i="12"/>
  <c r="K246" i="12"/>
  <c r="O246" i="12"/>
  <c r="D890" i="12"/>
  <c r="E890" i="12"/>
  <c r="F890" i="12"/>
  <c r="J890" i="12"/>
  <c r="K890" i="12"/>
  <c r="O890" i="12"/>
  <c r="D221" i="12"/>
  <c r="E221" i="12"/>
  <c r="F221" i="12"/>
  <c r="J221" i="12"/>
  <c r="K221" i="12"/>
  <c r="O221" i="12"/>
  <c r="D68" i="12"/>
  <c r="E68" i="12"/>
  <c r="F68" i="12"/>
  <c r="J68" i="12"/>
  <c r="K68" i="12"/>
  <c r="D144" i="12"/>
  <c r="E144" i="12"/>
  <c r="F144" i="12"/>
  <c r="J144" i="12"/>
  <c r="K144" i="12"/>
  <c r="D1094" i="12"/>
  <c r="E1094" i="12"/>
  <c r="F1094" i="12"/>
  <c r="J1094" i="12"/>
  <c r="K1094" i="12"/>
  <c r="D334" i="12"/>
  <c r="E334" i="12"/>
  <c r="F334" i="12"/>
  <c r="J334" i="12"/>
  <c r="K334" i="12"/>
  <c r="O334" i="12"/>
  <c r="D426" i="12"/>
  <c r="E426" i="12"/>
  <c r="F426" i="12"/>
  <c r="J426" i="12"/>
  <c r="K426" i="12"/>
  <c r="O426" i="12"/>
  <c r="D471" i="12"/>
  <c r="E471" i="12"/>
  <c r="F471" i="12"/>
  <c r="J471" i="12"/>
  <c r="K471" i="12"/>
  <c r="O471" i="12"/>
  <c r="D557" i="12"/>
  <c r="E557" i="12"/>
  <c r="F557" i="12"/>
  <c r="J557" i="12"/>
  <c r="K557" i="12"/>
  <c r="O557" i="12"/>
  <c r="D647" i="12"/>
  <c r="E647" i="12"/>
  <c r="F647" i="12"/>
  <c r="J647" i="12"/>
  <c r="K647" i="12"/>
  <c r="O647" i="12"/>
  <c r="D739" i="12"/>
  <c r="E739" i="12"/>
  <c r="F739" i="12"/>
  <c r="J739" i="12"/>
  <c r="K739" i="12"/>
  <c r="O739" i="12"/>
  <c r="D253" i="12"/>
  <c r="E253" i="12"/>
  <c r="F253" i="12"/>
  <c r="J253" i="12"/>
  <c r="K253" i="12"/>
  <c r="O253" i="12"/>
  <c r="D891" i="12"/>
  <c r="E891" i="12"/>
  <c r="F891" i="12"/>
  <c r="J891" i="12"/>
  <c r="K891" i="12"/>
  <c r="O891" i="12"/>
  <c r="D918" i="12"/>
  <c r="E918" i="12"/>
  <c r="F918" i="12"/>
  <c r="J918" i="12"/>
  <c r="K918" i="12"/>
  <c r="O918" i="12"/>
  <c r="D1001" i="12"/>
  <c r="E1001" i="12"/>
  <c r="F1001" i="12"/>
  <c r="J1001" i="12"/>
  <c r="K1001" i="12"/>
  <c r="D145" i="12"/>
  <c r="E145" i="12"/>
  <c r="F145" i="12"/>
  <c r="J145" i="12"/>
  <c r="K145" i="12"/>
  <c r="D1095" i="12"/>
  <c r="E1095" i="12"/>
  <c r="F1095" i="12"/>
  <c r="J1095" i="12"/>
  <c r="K1095" i="12"/>
  <c r="D335" i="12"/>
  <c r="E335" i="12"/>
  <c r="F335" i="12"/>
  <c r="J335" i="12"/>
  <c r="K335" i="12"/>
  <c r="O335" i="12"/>
  <c r="D427" i="12"/>
  <c r="E427" i="12"/>
  <c r="F427" i="12"/>
  <c r="J427" i="12"/>
  <c r="K427" i="12"/>
  <c r="O427" i="12"/>
  <c r="D472" i="12"/>
  <c r="E472" i="12"/>
  <c r="F472" i="12"/>
  <c r="J472" i="12"/>
  <c r="K472" i="12"/>
  <c r="O472" i="12"/>
  <c r="D558" i="12"/>
  <c r="E558" i="12"/>
  <c r="F558" i="12"/>
  <c r="J558" i="12"/>
  <c r="K558" i="12"/>
  <c r="O558" i="12"/>
  <c r="D648" i="12"/>
  <c r="E648" i="12"/>
  <c r="F648" i="12"/>
  <c r="J648" i="12"/>
  <c r="K648" i="12"/>
  <c r="O648" i="12"/>
  <c r="D740" i="12"/>
  <c r="E740" i="12"/>
  <c r="F740" i="12"/>
  <c r="J740" i="12"/>
  <c r="K740" i="12"/>
  <c r="O740" i="12"/>
  <c r="D254" i="12"/>
  <c r="E254" i="12"/>
  <c r="F254" i="12"/>
  <c r="J254" i="12"/>
  <c r="K254" i="12"/>
  <c r="O254" i="12"/>
  <c r="D892" i="12"/>
  <c r="E892" i="12"/>
  <c r="F892" i="12"/>
  <c r="J892" i="12"/>
  <c r="K892" i="12"/>
  <c r="O892" i="12"/>
  <c r="D919" i="12"/>
  <c r="E919" i="12"/>
  <c r="F919" i="12"/>
  <c r="J919" i="12"/>
  <c r="K919" i="12"/>
  <c r="O919" i="12"/>
  <c r="D1002" i="12"/>
  <c r="E1002" i="12"/>
  <c r="F1002" i="12"/>
  <c r="J1002" i="12"/>
  <c r="K1002" i="12"/>
  <c r="D146" i="12"/>
  <c r="E146" i="12"/>
  <c r="F146" i="12"/>
  <c r="J146" i="12"/>
  <c r="K146" i="12"/>
  <c r="D1096" i="12"/>
  <c r="E1096" i="12"/>
  <c r="F1096" i="12"/>
  <c r="J1096" i="12"/>
  <c r="K1096" i="12"/>
  <c r="D336" i="12"/>
  <c r="E336" i="12"/>
  <c r="F336" i="12"/>
  <c r="J336" i="12"/>
  <c r="K336" i="12"/>
  <c r="O336" i="12"/>
  <c r="D428" i="12"/>
  <c r="E428" i="12"/>
  <c r="F428" i="12"/>
  <c r="J428" i="12"/>
  <c r="K428" i="12"/>
  <c r="O428" i="12"/>
  <c r="D473" i="12"/>
  <c r="E473" i="12"/>
  <c r="F473" i="12"/>
  <c r="J473" i="12"/>
  <c r="K473" i="12"/>
  <c r="O473" i="12"/>
  <c r="D559" i="12"/>
  <c r="E559" i="12"/>
  <c r="F559" i="12"/>
  <c r="J559" i="12"/>
  <c r="K559" i="12"/>
  <c r="O559" i="12"/>
  <c r="D649" i="12"/>
  <c r="E649" i="12"/>
  <c r="F649" i="12"/>
  <c r="J649" i="12"/>
  <c r="K649" i="12"/>
  <c r="O649" i="12"/>
  <c r="D741" i="12"/>
  <c r="E741" i="12"/>
  <c r="F741" i="12"/>
  <c r="J741" i="12"/>
  <c r="K741" i="12"/>
  <c r="O741" i="12"/>
  <c r="D247" i="12"/>
  <c r="E247" i="12"/>
  <c r="F247" i="12"/>
  <c r="J247" i="12"/>
  <c r="K247" i="12"/>
  <c r="O247" i="12"/>
  <c r="D893" i="12"/>
  <c r="E893" i="12"/>
  <c r="F893" i="12"/>
  <c r="J893" i="12"/>
  <c r="K893" i="12"/>
  <c r="O893" i="12"/>
  <c r="D920" i="12"/>
  <c r="E920" i="12"/>
  <c r="F920" i="12"/>
  <c r="J920" i="12"/>
  <c r="K920" i="12"/>
  <c r="O920" i="12"/>
  <c r="D69" i="12"/>
  <c r="E69" i="12"/>
  <c r="F69" i="12"/>
  <c r="J69" i="12"/>
  <c r="K69" i="12"/>
  <c r="D147" i="12"/>
  <c r="E147" i="12"/>
  <c r="F147" i="12"/>
  <c r="J147" i="12"/>
  <c r="K147" i="12"/>
  <c r="D1097" i="12"/>
  <c r="E1097" i="12"/>
  <c r="F1097" i="12"/>
  <c r="J1097" i="12"/>
  <c r="K1097" i="12"/>
  <c r="D337" i="12"/>
  <c r="E337" i="12"/>
  <c r="F337" i="12"/>
  <c r="J337" i="12"/>
  <c r="K337" i="12"/>
  <c r="O337" i="12"/>
  <c r="D429" i="12"/>
  <c r="E429" i="12"/>
  <c r="F429" i="12"/>
  <c r="J429" i="12"/>
  <c r="K429" i="12"/>
  <c r="O429" i="12"/>
  <c r="D474" i="12"/>
  <c r="E474" i="12"/>
  <c r="F474" i="12"/>
  <c r="J474" i="12"/>
  <c r="K474" i="12"/>
  <c r="O474" i="12"/>
  <c r="D560" i="12"/>
  <c r="E560" i="12"/>
  <c r="F560" i="12"/>
  <c r="J560" i="12"/>
  <c r="K560" i="12"/>
  <c r="O560" i="12"/>
  <c r="D650" i="12"/>
  <c r="E650" i="12"/>
  <c r="F650" i="12"/>
  <c r="J650" i="12"/>
  <c r="K650" i="12"/>
  <c r="O650" i="12"/>
  <c r="D742" i="12"/>
  <c r="E742" i="12"/>
  <c r="F742" i="12"/>
  <c r="J742" i="12"/>
  <c r="K742" i="12"/>
  <c r="O742" i="12"/>
  <c r="D248" i="12"/>
  <c r="E248" i="12"/>
  <c r="F248" i="12"/>
  <c r="J248" i="12"/>
  <c r="K248" i="12"/>
  <c r="O248" i="12"/>
  <c r="D894" i="12"/>
  <c r="E894" i="12"/>
  <c r="F894" i="12"/>
  <c r="J894" i="12"/>
  <c r="K894" i="12"/>
  <c r="O894" i="12"/>
  <c r="D921" i="12"/>
  <c r="E921" i="12"/>
  <c r="F921" i="12"/>
  <c r="J921" i="12"/>
  <c r="K921" i="12"/>
  <c r="O921" i="12"/>
  <c r="D70" i="12"/>
  <c r="E70" i="12"/>
  <c r="F70" i="12"/>
  <c r="J70" i="12"/>
  <c r="K70" i="12"/>
  <c r="D148" i="12"/>
  <c r="E148" i="12"/>
  <c r="F148" i="12"/>
  <c r="J148" i="12"/>
  <c r="K148" i="12"/>
  <c r="D1098" i="12"/>
  <c r="E1098" i="12"/>
  <c r="F1098" i="12"/>
  <c r="J1098" i="12"/>
  <c r="K1098" i="12"/>
  <c r="D338" i="12"/>
  <c r="E338" i="12"/>
  <c r="F338" i="12"/>
  <c r="J338" i="12"/>
  <c r="K338" i="12"/>
  <c r="O338" i="12"/>
  <c r="D430" i="12"/>
  <c r="E430" i="12"/>
  <c r="F430" i="12"/>
  <c r="J430" i="12"/>
  <c r="K430" i="12"/>
  <c r="O430" i="12"/>
  <c r="D475" i="12"/>
  <c r="E475" i="12"/>
  <c r="F475" i="12"/>
  <c r="J475" i="12"/>
  <c r="K475" i="12"/>
  <c r="O475" i="12"/>
  <c r="D10" i="12"/>
  <c r="E10" i="12"/>
  <c r="F10" i="12"/>
  <c r="J10" i="12"/>
  <c r="K10" i="12"/>
  <c r="O10" i="12"/>
  <c r="D651" i="12"/>
  <c r="E651" i="12"/>
  <c r="F651" i="12"/>
  <c r="J651" i="12"/>
  <c r="K651" i="12"/>
  <c r="O651" i="12"/>
  <c r="D743" i="12"/>
  <c r="E743" i="12"/>
  <c r="F743" i="12"/>
  <c r="J743" i="12"/>
  <c r="K743" i="12"/>
  <c r="O743" i="12"/>
  <c r="D805" i="12"/>
  <c r="E805" i="12"/>
  <c r="F805" i="12"/>
  <c r="J805" i="12"/>
  <c r="K805" i="12"/>
  <c r="O805" i="12"/>
  <c r="D895" i="12"/>
  <c r="E895" i="12"/>
  <c r="F895" i="12"/>
  <c r="J895" i="12"/>
  <c r="K895" i="12"/>
  <c r="O895" i="12"/>
  <c r="D922" i="12"/>
  <c r="E922" i="12"/>
  <c r="F922" i="12"/>
  <c r="J922" i="12"/>
  <c r="K922" i="12"/>
  <c r="O922" i="12"/>
  <c r="D1003" i="12"/>
  <c r="E1003" i="12"/>
  <c r="F1003" i="12"/>
  <c r="J1003" i="12"/>
  <c r="K1003" i="12"/>
  <c r="D149" i="12"/>
  <c r="E149" i="12"/>
  <c r="F149" i="12"/>
  <c r="J149" i="12"/>
  <c r="K149" i="12"/>
  <c r="D1099" i="12"/>
  <c r="E1099" i="12"/>
  <c r="F1099" i="12"/>
  <c r="J1099" i="12"/>
  <c r="K1099" i="12"/>
  <c r="D339" i="12"/>
  <c r="E339" i="12"/>
  <c r="F339" i="12"/>
  <c r="J339" i="12"/>
  <c r="K339" i="12"/>
  <c r="O339" i="12"/>
  <c r="D431" i="12"/>
  <c r="E431" i="12"/>
  <c r="F431" i="12"/>
  <c r="J431" i="12"/>
  <c r="K431" i="12"/>
  <c r="O431" i="12"/>
  <c r="D476" i="12"/>
  <c r="E476" i="12"/>
  <c r="F476" i="12"/>
  <c r="J476" i="12"/>
  <c r="K476" i="12"/>
  <c r="O476" i="12"/>
  <c r="D11" i="12"/>
  <c r="E11" i="12"/>
  <c r="F11" i="12"/>
  <c r="J11" i="12"/>
  <c r="K11" i="12"/>
  <c r="O11" i="12"/>
  <c r="D652" i="12"/>
  <c r="E652" i="12"/>
  <c r="F652" i="12"/>
  <c r="J652" i="12"/>
  <c r="K652" i="12"/>
  <c r="O652" i="12"/>
  <c r="D744" i="12"/>
  <c r="E744" i="12"/>
  <c r="F744" i="12"/>
  <c r="J744" i="12"/>
  <c r="K744" i="12"/>
  <c r="O744" i="12"/>
  <c r="D806" i="12"/>
  <c r="E806" i="12"/>
  <c r="F806" i="12"/>
  <c r="J806" i="12"/>
  <c r="K806" i="12"/>
  <c r="O806" i="12"/>
  <c r="D896" i="12"/>
  <c r="E896" i="12"/>
  <c r="F896" i="12"/>
  <c r="J896" i="12"/>
  <c r="K896" i="12"/>
  <c r="O896" i="12"/>
  <c r="D923" i="12"/>
  <c r="E923" i="12"/>
  <c r="F923" i="12"/>
  <c r="J923" i="12"/>
  <c r="K923" i="12"/>
  <c r="O923" i="12"/>
  <c r="D1004" i="12"/>
  <c r="E1004" i="12"/>
  <c r="F1004" i="12"/>
  <c r="J1004" i="12"/>
  <c r="K1004" i="12"/>
  <c r="D150" i="12"/>
  <c r="E150" i="12"/>
  <c r="F150" i="12"/>
  <c r="J150" i="12"/>
  <c r="K150" i="12"/>
  <c r="D1100" i="12"/>
  <c r="E1100" i="12"/>
  <c r="F1100" i="12"/>
  <c r="J1100" i="12"/>
  <c r="K1100" i="12"/>
  <c r="D340" i="12"/>
  <c r="E340" i="12"/>
  <c r="F340" i="12"/>
  <c r="J340" i="12"/>
  <c r="K340" i="12"/>
  <c r="O340" i="12"/>
  <c r="D432" i="12"/>
  <c r="E432" i="12"/>
  <c r="F432" i="12"/>
  <c r="J432" i="12"/>
  <c r="K432" i="12"/>
  <c r="O432" i="12"/>
  <c r="D477" i="12"/>
  <c r="E477" i="12"/>
  <c r="F477" i="12"/>
  <c r="J477" i="12"/>
  <c r="K477" i="12"/>
  <c r="O477" i="12"/>
  <c r="D561" i="12"/>
  <c r="E561" i="12"/>
  <c r="F561" i="12"/>
  <c r="J561" i="12"/>
  <c r="K561" i="12"/>
  <c r="O561" i="12"/>
  <c r="D653" i="12"/>
  <c r="E653" i="12"/>
  <c r="F653" i="12"/>
  <c r="J653" i="12"/>
  <c r="K653" i="12"/>
  <c r="O653" i="12"/>
  <c r="D745" i="12"/>
  <c r="E745" i="12"/>
  <c r="F745" i="12"/>
  <c r="J745" i="12"/>
  <c r="K745" i="12"/>
  <c r="O745" i="12"/>
  <c r="D807" i="12"/>
  <c r="E807" i="12"/>
  <c r="F807" i="12"/>
  <c r="J807" i="12"/>
  <c r="K807" i="12"/>
  <c r="O807" i="12"/>
  <c r="D897" i="12"/>
  <c r="E897" i="12"/>
  <c r="F897" i="12"/>
  <c r="J897" i="12"/>
  <c r="K897" i="12"/>
  <c r="O897" i="12"/>
  <c r="D222" i="12"/>
  <c r="E222" i="12"/>
  <c r="F222" i="12"/>
  <c r="J222" i="12"/>
  <c r="K222" i="12"/>
  <c r="O222" i="12"/>
  <c r="D1005" i="12"/>
  <c r="E1005" i="12"/>
  <c r="F1005" i="12"/>
  <c r="J1005" i="12"/>
  <c r="K1005" i="12"/>
  <c r="O1005" i="12"/>
  <c r="D1011" i="12"/>
  <c r="E1011" i="12"/>
  <c r="F1011" i="12"/>
  <c r="J1011" i="12"/>
  <c r="K1011" i="12"/>
  <c r="O1011" i="12"/>
  <c r="D1101" i="12"/>
  <c r="E1101" i="12"/>
  <c r="F1101" i="12"/>
  <c r="J1101" i="12"/>
  <c r="K1101" i="12"/>
  <c r="O1101" i="12"/>
  <c r="D341" i="12"/>
  <c r="E341" i="12"/>
  <c r="F341" i="12"/>
  <c r="J341" i="12"/>
  <c r="K341" i="12"/>
  <c r="O341" i="12"/>
  <c r="D433" i="12"/>
  <c r="E433" i="12"/>
  <c r="F433" i="12"/>
  <c r="J433" i="12"/>
  <c r="K433" i="12"/>
  <c r="O433" i="12"/>
  <c r="D478" i="12"/>
  <c r="E478" i="12"/>
  <c r="F478" i="12"/>
  <c r="J478" i="12"/>
  <c r="K478" i="12"/>
  <c r="O478" i="12"/>
  <c r="D562" i="12"/>
  <c r="E562" i="12"/>
  <c r="F562" i="12"/>
  <c r="J562" i="12"/>
  <c r="K562" i="12"/>
  <c r="O562" i="12"/>
  <c r="D654" i="12"/>
  <c r="E654" i="12"/>
  <c r="F654" i="12"/>
  <c r="J654" i="12"/>
  <c r="K654" i="12"/>
  <c r="O654" i="12"/>
  <c r="D746" i="12"/>
  <c r="E746" i="12"/>
  <c r="F746" i="12"/>
  <c r="J746" i="12"/>
  <c r="K746" i="12"/>
  <c r="O746" i="12"/>
  <c r="D808" i="12"/>
  <c r="E808" i="12"/>
  <c r="F808" i="12"/>
  <c r="J808" i="12"/>
  <c r="K808" i="12"/>
  <c r="O808" i="12"/>
  <c r="D898" i="12"/>
  <c r="E898" i="12"/>
  <c r="F898" i="12"/>
  <c r="J898" i="12"/>
  <c r="K898" i="12"/>
  <c r="O898" i="12"/>
  <c r="D223" i="12"/>
  <c r="E223" i="12"/>
  <c r="F223" i="12"/>
  <c r="J223" i="12"/>
  <c r="K223" i="12"/>
  <c r="O223" i="12"/>
  <c r="D1006" i="12"/>
  <c r="E1006" i="12"/>
  <c r="F1006" i="12"/>
  <c r="J1006" i="12"/>
  <c r="K1006" i="12"/>
  <c r="O1006" i="12"/>
  <c r="D1012" i="12"/>
  <c r="E1012" i="12"/>
  <c r="F1012" i="12"/>
  <c r="J1012" i="12"/>
  <c r="K1012" i="12"/>
  <c r="O1012" i="12"/>
  <c r="D1102" i="12"/>
  <c r="E1102" i="12"/>
  <c r="F1102" i="12"/>
  <c r="J1102" i="12"/>
  <c r="K1102" i="12"/>
  <c r="O1102" i="12"/>
  <c r="D342" i="12"/>
  <c r="E342" i="12"/>
  <c r="F342" i="12"/>
  <c r="J342" i="12"/>
  <c r="K342" i="12"/>
  <c r="O342" i="12"/>
  <c r="D434" i="12"/>
  <c r="E434" i="12"/>
  <c r="F434" i="12"/>
  <c r="J434" i="12"/>
  <c r="K434" i="12"/>
  <c r="O434" i="12"/>
  <c r="D479" i="12"/>
  <c r="E479" i="12"/>
  <c r="F479" i="12"/>
  <c r="J479" i="12"/>
  <c r="K479" i="12"/>
  <c r="O479" i="12"/>
  <c r="D563" i="12"/>
  <c r="E563" i="12"/>
  <c r="F563" i="12"/>
  <c r="J563" i="12"/>
  <c r="K563" i="12"/>
  <c r="O563" i="12"/>
  <c r="D655" i="12"/>
  <c r="E655" i="12"/>
  <c r="F655" i="12"/>
  <c r="J655" i="12"/>
  <c r="K655" i="12"/>
  <c r="O655" i="12"/>
  <c r="D747" i="12"/>
  <c r="E747" i="12"/>
  <c r="F747" i="12"/>
  <c r="J747" i="12"/>
  <c r="K747" i="12"/>
  <c r="O747" i="12"/>
  <c r="D809" i="12"/>
  <c r="E809" i="12"/>
  <c r="F809" i="12"/>
  <c r="J809" i="12"/>
  <c r="K809" i="12"/>
  <c r="O809" i="12"/>
  <c r="D899" i="12"/>
  <c r="E899" i="12"/>
  <c r="F899" i="12"/>
  <c r="J899" i="12"/>
  <c r="K899" i="12"/>
  <c r="O899" i="12"/>
  <c r="D224" i="12"/>
  <c r="E224" i="12"/>
  <c r="F224" i="12"/>
  <c r="J224" i="12"/>
  <c r="K224" i="12"/>
  <c r="O224" i="12"/>
  <c r="D1007" i="12"/>
  <c r="E1007" i="12"/>
  <c r="F1007" i="12"/>
  <c r="J1007" i="12"/>
  <c r="K1007" i="12"/>
  <c r="O1007" i="12"/>
  <c r="D1013" i="12"/>
  <c r="E1013" i="12"/>
  <c r="F1013" i="12"/>
  <c r="J1013" i="12"/>
  <c r="K1013" i="12"/>
  <c r="O1013" i="12"/>
  <c r="D1103" i="12"/>
  <c r="E1103" i="12"/>
  <c r="F1103" i="12"/>
  <c r="J1103" i="12"/>
  <c r="K1103" i="12"/>
  <c r="O1103" i="12"/>
  <c r="D343" i="12"/>
  <c r="E343" i="12"/>
  <c r="F343" i="12"/>
  <c r="J343" i="12"/>
  <c r="K343" i="12"/>
  <c r="O343" i="12"/>
  <c r="D435" i="12"/>
  <c r="E435" i="12"/>
  <c r="F435" i="12"/>
  <c r="J435" i="12"/>
  <c r="K435" i="12"/>
  <c r="O435" i="12"/>
  <c r="D480" i="12"/>
  <c r="E480" i="12"/>
  <c r="F480" i="12"/>
  <c r="J480" i="12"/>
  <c r="K480" i="12"/>
  <c r="O480" i="12"/>
  <c r="D564" i="12"/>
  <c r="E564" i="12"/>
  <c r="F564" i="12"/>
  <c r="J564" i="12"/>
  <c r="K564" i="12"/>
  <c r="O564" i="12"/>
  <c r="D656" i="12"/>
  <c r="E656" i="12"/>
  <c r="F656" i="12"/>
  <c r="J656" i="12"/>
  <c r="K656" i="12"/>
  <c r="O656" i="12"/>
  <c r="D748" i="12"/>
  <c r="E748" i="12"/>
  <c r="F748" i="12"/>
  <c r="J748" i="12"/>
  <c r="K748" i="12"/>
  <c r="O748" i="12"/>
  <c r="D249" i="12"/>
  <c r="E249" i="12"/>
  <c r="F249" i="12"/>
  <c r="J249" i="12"/>
  <c r="K249" i="12"/>
  <c r="O249" i="12"/>
  <c r="D900" i="12"/>
  <c r="E900" i="12"/>
  <c r="F900" i="12"/>
  <c r="J900" i="12"/>
  <c r="K900" i="12"/>
  <c r="O900" i="12"/>
  <c r="D225" i="12"/>
  <c r="E225" i="12"/>
  <c r="F225" i="12"/>
  <c r="J225" i="12"/>
  <c r="K225" i="12"/>
  <c r="O225" i="12"/>
  <c r="D1008" i="12"/>
  <c r="E1008" i="12"/>
  <c r="F1008" i="12"/>
  <c r="J1008" i="12"/>
  <c r="K1008" i="12"/>
  <c r="D151" i="12"/>
  <c r="E151" i="12"/>
  <c r="F151" i="12"/>
  <c r="J151" i="12"/>
  <c r="K151" i="12"/>
  <c r="D1104" i="12"/>
  <c r="E1104" i="12"/>
  <c r="F1104" i="12"/>
  <c r="J1104" i="12"/>
  <c r="K1104" i="12"/>
  <c r="D344" i="12"/>
  <c r="E344" i="12"/>
  <c r="F344" i="12"/>
  <c r="J344" i="12"/>
  <c r="K344" i="12"/>
  <c r="O344" i="12"/>
  <c r="D436" i="12"/>
  <c r="E436" i="12"/>
  <c r="F436" i="12"/>
  <c r="J436" i="12"/>
  <c r="K436" i="12"/>
  <c r="O436" i="12"/>
  <c r="D481" i="12"/>
  <c r="E481" i="12"/>
  <c r="F481" i="12"/>
  <c r="J481" i="12"/>
  <c r="K481" i="12"/>
  <c r="O481" i="12"/>
  <c r="D565" i="12"/>
  <c r="E565" i="12"/>
  <c r="F565" i="12"/>
  <c r="J565" i="12"/>
  <c r="K565" i="12"/>
  <c r="O565" i="12"/>
  <c r="D657" i="12"/>
  <c r="E657" i="12"/>
  <c r="F657" i="12"/>
  <c r="J657" i="12"/>
  <c r="K657" i="12"/>
  <c r="O657" i="12"/>
  <c r="D749" i="12"/>
  <c r="E749" i="12"/>
  <c r="F749" i="12"/>
  <c r="J749" i="12"/>
  <c r="K749" i="12"/>
  <c r="O749" i="12"/>
  <c r="D250" i="12"/>
  <c r="E250" i="12"/>
  <c r="F250" i="12"/>
  <c r="J250" i="12"/>
  <c r="K250" i="12"/>
  <c r="O250" i="12"/>
  <c r="D901" i="12"/>
  <c r="E901" i="12"/>
  <c r="F901" i="12"/>
  <c r="J901" i="12"/>
  <c r="K901" i="12"/>
  <c r="O901" i="12"/>
  <c r="D226" i="12"/>
  <c r="E226" i="12"/>
  <c r="F226" i="12"/>
  <c r="J226" i="12"/>
  <c r="K226" i="12"/>
  <c r="O226" i="12"/>
  <c r="D1009" i="12"/>
  <c r="E1009" i="12"/>
  <c r="F1009" i="12"/>
  <c r="J1009" i="12"/>
  <c r="K1009" i="12"/>
  <c r="D152" i="12"/>
  <c r="E152" i="12"/>
  <c r="F152" i="12"/>
  <c r="J152" i="12"/>
  <c r="K152" i="12"/>
  <c r="D1105" i="12"/>
  <c r="E1105" i="12"/>
  <c r="F1105" i="12"/>
  <c r="J1105" i="12"/>
  <c r="K1105" i="12"/>
  <c r="A291" i="12"/>
  <c r="A383" i="12"/>
  <c r="A445" i="12"/>
  <c r="A516" i="12"/>
  <c r="A604" i="12"/>
  <c r="A696" i="12"/>
  <c r="A776" i="12"/>
  <c r="A848" i="12"/>
  <c r="A193" i="12"/>
  <c r="A65" i="12"/>
  <c r="A109" i="12"/>
  <c r="A1052" i="12"/>
  <c r="A292" i="12"/>
  <c r="A384" i="12"/>
  <c r="A446" i="12"/>
  <c r="A517" i="12"/>
  <c r="A605" i="12"/>
  <c r="A697" i="12"/>
  <c r="A777" i="12"/>
  <c r="A849" i="12"/>
  <c r="A194" i="12"/>
  <c r="A66" i="12"/>
  <c r="A110" i="12"/>
  <c r="A1053" i="12"/>
  <c r="A317" i="12"/>
  <c r="A409" i="12"/>
  <c r="A467" i="12"/>
  <c r="A540" i="12"/>
  <c r="A630" i="12"/>
  <c r="A722" i="12"/>
  <c r="A797" i="12"/>
  <c r="A874" i="12"/>
  <c r="A205" i="12"/>
  <c r="A986" i="12"/>
  <c r="A128" i="12"/>
  <c r="A1078" i="12"/>
  <c r="A318" i="12"/>
  <c r="A410" i="12"/>
  <c r="A468" i="12"/>
  <c r="A541" i="12"/>
  <c r="A631" i="12"/>
  <c r="A723" i="12"/>
  <c r="A798" i="12"/>
  <c r="A875" i="12"/>
  <c r="A206" i="12"/>
  <c r="A987" i="12"/>
  <c r="A129" i="12"/>
  <c r="A1079" i="12"/>
  <c r="A327" i="12"/>
  <c r="A419" i="12"/>
  <c r="A54" i="12"/>
  <c r="A550" i="12"/>
  <c r="A640" i="12"/>
  <c r="A732" i="12"/>
  <c r="A240" i="12"/>
  <c r="A884" i="12"/>
  <c r="A215" i="12"/>
  <c r="A996" i="12"/>
  <c r="A138" i="12"/>
  <c r="A1088" i="12"/>
  <c r="A328" i="12"/>
  <c r="A420" i="12"/>
  <c r="A55" i="12"/>
  <c r="A551" i="12"/>
  <c r="A641" i="12"/>
  <c r="A733" i="12"/>
  <c r="A241" i="12"/>
  <c r="A885" i="12"/>
  <c r="A216" i="12"/>
  <c r="A997" i="12"/>
  <c r="A139" i="12"/>
  <c r="A1089" i="12"/>
  <c r="A329" i="12"/>
  <c r="A421" i="12"/>
  <c r="A56" i="12"/>
  <c r="A552" i="12"/>
  <c r="A642" i="12"/>
  <c r="A734" i="12"/>
  <c r="A242" i="12"/>
  <c r="A886" i="12"/>
  <c r="A217" i="12"/>
  <c r="A998" i="12"/>
  <c r="A140" i="12"/>
  <c r="A1090" i="12"/>
  <c r="A330" i="12"/>
  <c r="A422" i="12"/>
  <c r="A57" i="12"/>
  <c r="A553" i="12"/>
  <c r="A643" i="12"/>
  <c r="A735" i="12"/>
  <c r="A243" i="12"/>
  <c r="A887" i="12"/>
  <c r="A218" i="12"/>
  <c r="A999" i="12"/>
  <c r="A141" i="12"/>
  <c r="A1091" i="12"/>
  <c r="A331" i="12"/>
  <c r="A423" i="12"/>
  <c r="A58" i="12"/>
  <c r="A554" i="12"/>
  <c r="A644" i="12"/>
  <c r="A736" i="12"/>
  <c r="A244" i="12"/>
  <c r="A888" i="12"/>
  <c r="A219" i="12"/>
  <c r="A1000" i="12"/>
  <c r="A142" i="12"/>
  <c r="A1092" i="12"/>
  <c r="B2" i="13"/>
  <c r="A255" i="12"/>
  <c r="A345" i="12"/>
  <c r="A12" i="12"/>
  <c r="A482" i="12"/>
  <c r="A566" i="12"/>
  <c r="A658" i="12"/>
  <c r="A750" i="12"/>
  <c r="A810" i="12"/>
  <c r="A161" i="12"/>
  <c r="A924" i="12"/>
  <c r="A71" i="12"/>
  <c r="A1014" i="12"/>
  <c r="A256" i="12"/>
  <c r="A346" i="12"/>
  <c r="A13" i="12"/>
  <c r="A483" i="12"/>
  <c r="A567" i="12"/>
  <c r="A659" i="12"/>
  <c r="A751" i="12"/>
  <c r="A811" i="12"/>
  <c r="A162" i="12"/>
  <c r="A925" i="12"/>
  <c r="A72" i="12"/>
  <c r="A1015" i="12"/>
  <c r="A257" i="12"/>
  <c r="A347" i="12"/>
  <c r="A14" i="12"/>
  <c r="A484" i="12"/>
  <c r="A568" i="12"/>
  <c r="A660" i="12"/>
  <c r="A752" i="12"/>
  <c r="A812" i="12"/>
  <c r="A163" i="12"/>
  <c r="A926" i="12"/>
  <c r="A73" i="12"/>
  <c r="A1016" i="12"/>
  <c r="A2" i="12"/>
  <c r="A348" i="12"/>
  <c r="A15" i="12"/>
  <c r="A485" i="12"/>
  <c r="A569" i="12"/>
  <c r="A661" i="12"/>
  <c r="A229" i="12"/>
  <c r="A813" i="12"/>
  <c r="A164" i="12"/>
  <c r="A927" i="12"/>
  <c r="A74" i="12"/>
  <c r="A1017" i="12"/>
  <c r="A3" i="12"/>
  <c r="A349" i="12"/>
  <c r="A16" i="12"/>
  <c r="A486" i="12"/>
  <c r="A570" i="12"/>
  <c r="A662" i="12"/>
  <c r="A230" i="12"/>
  <c r="A814" i="12"/>
  <c r="A165" i="12"/>
  <c r="A928" i="12"/>
  <c r="A75" i="12"/>
  <c r="A1018" i="12"/>
  <c r="A258" i="12"/>
  <c r="A350" i="12"/>
  <c r="A17" i="12"/>
  <c r="A4" i="12"/>
  <c r="A571" i="12"/>
  <c r="A663" i="12"/>
  <c r="A753" i="12"/>
  <c r="A815" i="12"/>
  <c r="A61" i="12"/>
  <c r="A929" i="12"/>
  <c r="A76" i="12"/>
  <c r="A1019" i="12"/>
  <c r="A259" i="12"/>
  <c r="A351" i="12"/>
  <c r="A18" i="12"/>
  <c r="A5" i="12"/>
  <c r="A572" i="12"/>
  <c r="A664" i="12"/>
  <c r="A754" i="12"/>
  <c r="A816" i="12"/>
  <c r="A62" i="12"/>
  <c r="A930" i="12"/>
  <c r="A77" i="12"/>
  <c r="A1020" i="12"/>
  <c r="A260" i="12"/>
  <c r="A352" i="12"/>
  <c r="A19" i="12"/>
  <c r="A6" i="12"/>
  <c r="A573" i="12"/>
  <c r="A665" i="12"/>
  <c r="A755" i="12"/>
  <c r="A817" i="12"/>
  <c r="A63" i="12"/>
  <c r="A931" i="12"/>
  <c r="A78" i="12"/>
  <c r="A1021" i="12"/>
  <c r="A261" i="12"/>
  <c r="A353" i="12"/>
  <c r="A20" i="12"/>
  <c r="A7" i="12"/>
  <c r="A574" i="12"/>
  <c r="A666" i="12"/>
  <c r="A756" i="12"/>
  <c r="A818" i="12"/>
  <c r="A64" i="12"/>
  <c r="A932" i="12"/>
  <c r="A79" i="12"/>
  <c r="A1022" i="12"/>
  <c r="A262" i="12"/>
  <c r="A354" i="12"/>
  <c r="A21" i="12"/>
  <c r="A487" i="12"/>
  <c r="A575" i="12"/>
  <c r="A667" i="12"/>
  <c r="A757" i="12"/>
  <c r="A819" i="12"/>
  <c r="A166" i="12"/>
  <c r="A933" i="12"/>
  <c r="A80" i="12"/>
  <c r="A1023" i="12"/>
  <c r="A263" i="12"/>
  <c r="A355" i="12"/>
  <c r="A22" i="12"/>
  <c r="A488" i="12"/>
  <c r="A576" i="12"/>
  <c r="A668" i="12"/>
  <c r="A758" i="12"/>
  <c r="A820" i="12"/>
  <c r="A167" i="12"/>
  <c r="A934" i="12"/>
  <c r="A81" i="12"/>
  <c r="A1024" i="12"/>
  <c r="A264" i="12"/>
  <c r="A356" i="12"/>
  <c r="A23" i="12"/>
  <c r="A489" i="12"/>
  <c r="A577" i="12"/>
  <c r="A669" i="12"/>
  <c r="A759" i="12"/>
  <c r="A821" i="12"/>
  <c r="A168" i="12"/>
  <c r="A935" i="12"/>
  <c r="A82" i="12"/>
  <c r="A1025" i="12"/>
  <c r="A265" i="12"/>
  <c r="A357" i="12"/>
  <c r="A24" i="12"/>
  <c r="A490" i="12"/>
  <c r="A578" i="12"/>
  <c r="A670" i="12"/>
  <c r="A760" i="12"/>
  <c r="A822" i="12"/>
  <c r="A169" i="12"/>
  <c r="A936" i="12"/>
  <c r="A83" i="12"/>
  <c r="A1026" i="12"/>
  <c r="A266" i="12"/>
  <c r="A358" i="12"/>
  <c r="A25" i="12"/>
  <c r="A491" i="12"/>
  <c r="A579" i="12"/>
  <c r="A671" i="12"/>
  <c r="A761" i="12"/>
  <c r="A823" i="12"/>
  <c r="A170" i="12"/>
  <c r="A937" i="12"/>
  <c r="A84" i="12"/>
  <c r="A1027" i="12"/>
  <c r="A267" i="12"/>
  <c r="A359" i="12"/>
  <c r="A26" i="12"/>
  <c r="A492" i="12"/>
  <c r="A580" i="12"/>
  <c r="A672" i="12"/>
  <c r="A762" i="12"/>
  <c r="A824" i="12"/>
  <c r="A171" i="12"/>
  <c r="A938" i="12"/>
  <c r="A85" i="12"/>
  <c r="A1028" i="12"/>
  <c r="A268" i="12"/>
  <c r="A360" i="12"/>
  <c r="A27" i="12"/>
  <c r="A493" i="12"/>
  <c r="A581" i="12"/>
  <c r="A673" i="12"/>
  <c r="A763" i="12"/>
  <c r="A825" i="12"/>
  <c r="A172" i="12"/>
  <c r="A939" i="12"/>
  <c r="A86" i="12"/>
  <c r="A1029" i="12"/>
  <c r="A269" i="12"/>
  <c r="A361" i="12"/>
  <c r="A28" i="12"/>
  <c r="A494" i="12"/>
  <c r="A582" i="12"/>
  <c r="A674" i="12"/>
  <c r="A764" i="12"/>
  <c r="A826" i="12"/>
  <c r="A173" i="12"/>
  <c r="A940" i="12"/>
  <c r="A87" i="12"/>
  <c r="A1030" i="12"/>
  <c r="A270" i="12"/>
  <c r="A362" i="12"/>
  <c r="A29" i="12"/>
  <c r="A495" i="12"/>
  <c r="A583" i="12"/>
  <c r="A675" i="12"/>
  <c r="A765" i="12"/>
  <c r="A827" i="12"/>
  <c r="A174" i="12"/>
  <c r="A941" i="12"/>
  <c r="A88" i="12"/>
  <c r="A1031" i="12"/>
  <c r="A271" i="12"/>
  <c r="A363" i="12"/>
  <c r="A30" i="12"/>
  <c r="A496" i="12"/>
  <c r="A584" i="12"/>
  <c r="A676" i="12"/>
  <c r="A766" i="12"/>
  <c r="A828" i="12"/>
  <c r="A175" i="12"/>
  <c r="A942" i="12"/>
  <c r="A89" i="12"/>
  <c r="A1032" i="12"/>
  <c r="A272" i="12"/>
  <c r="A364" i="12"/>
  <c r="A31" i="12"/>
  <c r="A497" i="12"/>
  <c r="A585" i="12"/>
  <c r="A677" i="12"/>
  <c r="A767" i="12"/>
  <c r="A829" i="12"/>
  <c r="A176" i="12"/>
  <c r="A943" i="12"/>
  <c r="A90" i="12"/>
  <c r="A1033" i="12"/>
  <c r="A273" i="12"/>
  <c r="A365" i="12"/>
  <c r="A32" i="12"/>
  <c r="A498" i="12"/>
  <c r="A586" i="12"/>
  <c r="A678" i="12"/>
  <c r="A768" i="12"/>
  <c r="A830" i="12"/>
  <c r="A177" i="12"/>
  <c r="A944" i="12"/>
  <c r="A91" i="12"/>
  <c r="A1034" i="12"/>
  <c r="A274" i="12"/>
  <c r="A366" i="12"/>
  <c r="A33" i="12"/>
  <c r="A499" i="12"/>
  <c r="A587" i="12"/>
  <c r="A679" i="12"/>
  <c r="A769" i="12"/>
  <c r="A831" i="12"/>
  <c r="A178" i="12"/>
  <c r="A945" i="12"/>
  <c r="A92" i="12"/>
  <c r="A1035" i="12"/>
  <c r="A275" i="12"/>
  <c r="A367" i="12"/>
  <c r="A34" i="12"/>
  <c r="A500" i="12"/>
  <c r="A588" i="12"/>
  <c r="A680" i="12"/>
  <c r="A770" i="12"/>
  <c r="A832" i="12"/>
  <c r="A179" i="12"/>
  <c r="A946" i="12"/>
  <c r="A93" i="12"/>
  <c r="A1036" i="12"/>
  <c r="A276" i="12"/>
  <c r="A368" i="12"/>
  <c r="A35" i="12"/>
  <c r="A501" i="12"/>
  <c r="A589" i="12"/>
  <c r="A681" i="12"/>
  <c r="A771" i="12"/>
  <c r="A833" i="12"/>
  <c r="A180" i="12"/>
  <c r="A947" i="12"/>
  <c r="A94" i="12"/>
  <c r="A1037" i="12"/>
  <c r="A277" i="12"/>
  <c r="A369" i="12"/>
  <c r="A36" i="12"/>
  <c r="A502" i="12"/>
  <c r="A590" i="12"/>
  <c r="A682" i="12"/>
  <c r="A772" i="12"/>
  <c r="A834" i="12"/>
  <c r="A181" i="12"/>
  <c r="A948" i="12"/>
  <c r="A95" i="12"/>
  <c r="A1038" i="12"/>
  <c r="A278" i="12"/>
  <c r="A370" i="12"/>
  <c r="A37" i="12"/>
  <c r="A503" i="12"/>
  <c r="A591" i="12"/>
  <c r="A683" i="12"/>
  <c r="A773" i="12"/>
  <c r="A835" i="12"/>
  <c r="A182" i="12"/>
  <c r="A949" i="12"/>
  <c r="A96" i="12"/>
  <c r="A1039" i="12"/>
  <c r="A279" i="12"/>
  <c r="A371" i="12"/>
  <c r="A38" i="12"/>
  <c r="A504" i="12"/>
  <c r="A592" i="12"/>
  <c r="A684" i="12"/>
  <c r="A774" i="12"/>
  <c r="A836" i="12"/>
  <c r="A183" i="12"/>
  <c r="A950" i="12"/>
  <c r="A97" i="12"/>
  <c r="A1040" i="12"/>
  <c r="A280" i="12"/>
  <c r="A372" i="12"/>
  <c r="A39" i="12"/>
  <c r="A505" i="12"/>
  <c r="A593" i="12"/>
  <c r="A685" i="12"/>
  <c r="A775" i="12"/>
  <c r="A837" i="12"/>
  <c r="A184" i="12"/>
  <c r="A951" i="12"/>
  <c r="A98" i="12"/>
  <c r="A1041" i="12"/>
  <c r="A281" i="12"/>
  <c r="A373" i="12"/>
  <c r="A437" i="12"/>
  <c r="A506" i="12"/>
  <c r="A594" i="12"/>
  <c r="A686" i="12"/>
  <c r="A227" i="12"/>
  <c r="A838" i="12"/>
  <c r="A185" i="12"/>
  <c r="A952" i="12"/>
  <c r="A99" i="12"/>
  <c r="A1042" i="12"/>
  <c r="A282" i="12"/>
  <c r="A374" i="12"/>
  <c r="A438" i="12"/>
  <c r="A507" i="12"/>
  <c r="A595" i="12"/>
  <c r="A687" i="12"/>
  <c r="A228" i="12"/>
  <c r="A839" i="12"/>
  <c r="A186" i="12"/>
  <c r="A953" i="12"/>
  <c r="A100" i="12"/>
  <c r="A1043" i="12"/>
  <c r="A283" i="12"/>
  <c r="A375" i="12"/>
  <c r="A439" i="12"/>
  <c r="A508" i="12"/>
  <c r="A596" i="12"/>
  <c r="A688" i="12"/>
  <c r="A231" i="12"/>
  <c r="A840" i="12"/>
  <c r="A187" i="12"/>
  <c r="A954" i="12"/>
  <c r="A101" i="12"/>
  <c r="A1044" i="12"/>
  <c r="A284" i="12"/>
  <c r="A376" i="12"/>
  <c r="A440" i="12"/>
  <c r="A509" i="12"/>
  <c r="A597" i="12"/>
  <c r="A689" i="12"/>
  <c r="A232" i="12"/>
  <c r="A841" i="12"/>
  <c r="A188" i="12"/>
  <c r="A955" i="12"/>
  <c r="A102" i="12"/>
  <c r="A1045" i="12"/>
  <c r="A285" i="12"/>
  <c r="A377" i="12"/>
  <c r="A441" i="12"/>
  <c r="A510" i="12"/>
  <c r="A598" i="12"/>
  <c r="A690" i="12"/>
  <c r="A59" i="12"/>
  <c r="A842" i="12"/>
  <c r="A902" i="12"/>
  <c r="A956" i="12"/>
  <c r="A103" i="12"/>
  <c r="A1046" i="12"/>
  <c r="A286" i="12"/>
  <c r="A378" i="12"/>
  <c r="A442" i="12"/>
  <c r="A511" i="12"/>
  <c r="A599" i="12"/>
  <c r="A691" i="12"/>
  <c r="A60" i="12"/>
  <c r="A843" i="12"/>
  <c r="A903" i="12"/>
  <c r="A957" i="12"/>
  <c r="A104" i="12"/>
  <c r="A1047" i="12"/>
  <c r="A289" i="12"/>
  <c r="A381" i="12"/>
  <c r="A40" i="12"/>
  <c r="A514" i="12"/>
  <c r="A602" i="12"/>
  <c r="A694" i="12"/>
  <c r="A235" i="12"/>
  <c r="A846" i="12"/>
  <c r="A191" i="12"/>
  <c r="A960" i="12"/>
  <c r="A107" i="12"/>
  <c r="A1050" i="12"/>
  <c r="A290" i="12"/>
  <c r="A382" i="12"/>
  <c r="A41" i="12"/>
  <c r="A515" i="12"/>
  <c r="A603" i="12"/>
  <c r="A695" i="12"/>
  <c r="A236" i="12"/>
  <c r="A847" i="12"/>
  <c r="A192" i="12"/>
  <c r="A961" i="12"/>
  <c r="A108" i="12"/>
  <c r="A1051" i="12"/>
  <c r="A293" i="12"/>
  <c r="A385" i="12"/>
  <c r="A447" i="12"/>
  <c r="A518" i="12"/>
  <c r="A606" i="12"/>
  <c r="A698" i="12"/>
  <c r="A778" i="12"/>
  <c r="A850" i="12"/>
  <c r="A904" i="12"/>
  <c r="A962" i="12"/>
  <c r="A111" i="12"/>
  <c r="A1054" i="12"/>
  <c r="A294" i="12"/>
  <c r="A386" i="12"/>
  <c r="A448" i="12"/>
  <c r="A519" i="12"/>
  <c r="A607" i="12"/>
  <c r="A699" i="12"/>
  <c r="A779" i="12"/>
  <c r="A851" i="12"/>
  <c r="A905" i="12"/>
  <c r="A963" i="12"/>
  <c r="A112" i="12"/>
  <c r="A1055" i="12"/>
  <c r="A295" i="12"/>
  <c r="A387" i="12"/>
  <c r="A449" i="12"/>
  <c r="A520" i="12"/>
  <c r="A608" i="12"/>
  <c r="A700" i="12"/>
  <c r="A780" i="12"/>
  <c r="A852" i="12"/>
  <c r="A906" i="12"/>
  <c r="A964" i="12"/>
  <c r="A1010" i="12"/>
  <c r="A1056" i="12"/>
  <c r="A296" i="12"/>
  <c r="A388" i="12"/>
  <c r="A450" i="12"/>
  <c r="A521" i="12"/>
  <c r="A609" i="12"/>
  <c r="A701" i="12"/>
  <c r="A781" i="12"/>
  <c r="A853" i="12"/>
  <c r="A907" i="12"/>
  <c r="A965" i="12"/>
  <c r="A153" i="12"/>
  <c r="A1057" i="12"/>
  <c r="A297" i="12"/>
  <c r="A389" i="12"/>
  <c r="A451" i="12"/>
  <c r="A522" i="12"/>
  <c r="A610" i="12"/>
  <c r="A702" i="12"/>
  <c r="A782" i="12"/>
  <c r="A854" i="12"/>
  <c r="A908" i="12"/>
  <c r="A966" i="12"/>
  <c r="A154" i="12"/>
  <c r="A1058" i="12"/>
  <c r="A298" i="12"/>
  <c r="A390" i="12"/>
  <c r="A452" i="12"/>
  <c r="A523" i="12"/>
  <c r="A611" i="12"/>
  <c r="A703" i="12"/>
  <c r="A783" i="12"/>
  <c r="A855" i="12"/>
  <c r="A909" i="12"/>
  <c r="A967" i="12"/>
  <c r="A155" i="12"/>
  <c r="A1059" i="12"/>
  <c r="A299" i="12"/>
  <c r="A391" i="12"/>
  <c r="A453" i="12"/>
  <c r="A524" i="12"/>
  <c r="A612" i="12"/>
  <c r="A704" i="12"/>
  <c r="A784" i="12"/>
  <c r="A856" i="12"/>
  <c r="A910" i="12"/>
  <c r="A968" i="12"/>
  <c r="A156" i="12"/>
  <c r="A1060" i="12"/>
  <c r="A300" i="12"/>
  <c r="A392" i="12"/>
  <c r="A454" i="12"/>
  <c r="A525" i="12"/>
  <c r="A613" i="12"/>
  <c r="A705" i="12"/>
  <c r="A785" i="12"/>
  <c r="A857" i="12"/>
  <c r="A911" i="12"/>
  <c r="A969" i="12"/>
  <c r="A157" i="12"/>
  <c r="A1061" i="12"/>
  <c r="A301" i="12"/>
  <c r="A393" i="12"/>
  <c r="A455" i="12"/>
  <c r="A526" i="12"/>
  <c r="A614" i="12"/>
  <c r="A706" i="12"/>
  <c r="A786" i="12"/>
  <c r="A858" i="12"/>
  <c r="A912" i="12"/>
  <c r="A970" i="12"/>
  <c r="A158" i="12"/>
  <c r="A1062" i="12"/>
  <c r="A302" i="12"/>
  <c r="A394" i="12"/>
  <c r="A42" i="12"/>
  <c r="A527" i="12"/>
  <c r="A615" i="12"/>
  <c r="A707" i="12"/>
  <c r="A159" i="12"/>
  <c r="A859" i="12"/>
  <c r="A195" i="12"/>
  <c r="A971" i="12"/>
  <c r="A113" i="12"/>
  <c r="A1063" i="12"/>
  <c r="A303" i="12"/>
  <c r="A395" i="12"/>
  <c r="A43" i="12"/>
  <c r="A528" i="12"/>
  <c r="A616" i="12"/>
  <c r="A708" i="12"/>
  <c r="A160" i="12"/>
  <c r="A860" i="12"/>
  <c r="A196" i="12"/>
  <c r="A972" i="12"/>
  <c r="A114" i="12"/>
  <c r="A1064" i="12"/>
  <c r="A304" i="12"/>
  <c r="A396" i="12"/>
  <c r="A456" i="12"/>
  <c r="A8" i="12"/>
  <c r="A617" i="12"/>
  <c r="A709" i="12"/>
  <c r="A787" i="12"/>
  <c r="A861" i="12"/>
  <c r="A913" i="12"/>
  <c r="A973" i="12"/>
  <c r="A115" i="12"/>
  <c r="A1065" i="12"/>
  <c r="A305" i="12"/>
  <c r="A397" i="12"/>
  <c r="A457" i="12"/>
  <c r="A9" i="12"/>
  <c r="A618" i="12"/>
  <c r="A710" i="12"/>
  <c r="A788" i="12"/>
  <c r="A862" i="12"/>
  <c r="A914" i="12"/>
  <c r="A974" i="12"/>
  <c r="A116" i="12"/>
  <c r="A1066" i="12"/>
  <c r="A306" i="12"/>
  <c r="A398" i="12"/>
  <c r="A44" i="12"/>
  <c r="A529" i="12"/>
  <c r="A619" i="12"/>
  <c r="A711" i="12"/>
  <c r="A237" i="12"/>
  <c r="A863" i="12"/>
  <c r="A915" i="12"/>
  <c r="A975" i="12"/>
  <c r="A117" i="12"/>
  <c r="A1067" i="12"/>
  <c r="A307" i="12"/>
  <c r="A399" i="12"/>
  <c r="A45" i="12"/>
  <c r="A530" i="12"/>
  <c r="A620" i="12"/>
  <c r="A712" i="12"/>
  <c r="A238" i="12"/>
  <c r="A864" i="12"/>
  <c r="A916" i="12"/>
  <c r="A976" i="12"/>
  <c r="A118" i="12"/>
  <c r="A1068" i="12"/>
  <c r="A308" i="12"/>
  <c r="A400" i="12"/>
  <c r="A458" i="12"/>
  <c r="A531" i="12"/>
  <c r="A621" i="12"/>
  <c r="A713" i="12"/>
  <c r="A239" i="12"/>
  <c r="A865" i="12"/>
  <c r="A917" i="12"/>
  <c r="A977" i="12"/>
  <c r="A119" i="12"/>
  <c r="A1069" i="12"/>
  <c r="A309" i="12"/>
  <c r="A401" i="12"/>
  <c r="A459" i="12"/>
  <c r="A532" i="12"/>
  <c r="A622" i="12"/>
  <c r="A714" i="12"/>
  <c r="A789" i="12"/>
  <c r="A866" i="12"/>
  <c r="A197" i="12"/>
  <c r="A978" i="12"/>
  <c r="A120" i="12"/>
  <c r="A1070" i="12"/>
  <c r="A310" i="12"/>
  <c r="A402" i="12"/>
  <c r="A460" i="12"/>
  <c r="A533" i="12"/>
  <c r="A623" i="12"/>
  <c r="A715" i="12"/>
  <c r="A790" i="12"/>
  <c r="A867" i="12"/>
  <c r="A198" i="12"/>
  <c r="A979" i="12"/>
  <c r="A121" i="12"/>
  <c r="A1071" i="12"/>
  <c r="A311" i="12"/>
  <c r="A403" i="12"/>
  <c r="A461" i="12"/>
  <c r="A534" i="12"/>
  <c r="A624" i="12"/>
  <c r="A716" i="12"/>
  <c r="A791" i="12"/>
  <c r="A868" i="12"/>
  <c r="A199" i="12"/>
  <c r="A980" i="12"/>
  <c r="A122" i="12"/>
  <c r="A1072" i="12"/>
  <c r="A312" i="12"/>
  <c r="A404" i="12"/>
  <c r="A462" i="12"/>
  <c r="A535" i="12"/>
  <c r="A625" i="12"/>
  <c r="A717" i="12"/>
  <c r="A792" i="12"/>
  <c r="A869" i="12"/>
  <c r="A200" i="12"/>
  <c r="A981" i="12"/>
  <c r="A123" i="12"/>
  <c r="A1073" i="12"/>
  <c r="A313" i="12"/>
  <c r="A405" i="12"/>
  <c r="A463" i="12"/>
  <c r="A536" i="12"/>
  <c r="A626" i="12"/>
  <c r="A718" i="12"/>
  <c r="A793" i="12"/>
  <c r="A870" i="12"/>
  <c r="A201" i="12"/>
  <c r="A982" i="12"/>
  <c r="A124" i="12"/>
  <c r="A1074" i="12"/>
  <c r="A314" i="12"/>
  <c r="A406" i="12"/>
  <c r="A464" i="12"/>
  <c r="A537" i="12"/>
  <c r="A627" i="12"/>
  <c r="A719" i="12"/>
  <c r="A794" i="12"/>
  <c r="A871" i="12"/>
  <c r="A202" i="12"/>
  <c r="A983" i="12"/>
  <c r="A125" i="12"/>
  <c r="A1075" i="12"/>
  <c r="A315" i="12"/>
  <c r="A407" i="12"/>
  <c r="A465" i="12"/>
  <c r="A538" i="12"/>
  <c r="A628" i="12"/>
  <c r="A720" i="12"/>
  <c r="A795" i="12"/>
  <c r="A872" i="12"/>
  <c r="A203" i="12"/>
  <c r="A984" i="12"/>
  <c r="A126" i="12"/>
  <c r="A1076" i="12"/>
  <c r="A316" i="12"/>
  <c r="A408" i="12"/>
  <c r="A466" i="12"/>
  <c r="A539" i="12"/>
  <c r="A629" i="12"/>
  <c r="A721" i="12"/>
  <c r="A796" i="12"/>
  <c r="A873" i="12"/>
  <c r="A204" i="12"/>
  <c r="A985" i="12"/>
  <c r="A127" i="12"/>
  <c r="A1077" i="12"/>
  <c r="A321" i="12"/>
  <c r="A413" i="12"/>
  <c r="A48" i="12"/>
  <c r="A544" i="12"/>
  <c r="A634" i="12"/>
  <c r="A726" i="12"/>
  <c r="A801" i="12"/>
  <c r="A878" i="12"/>
  <c r="A209" i="12"/>
  <c r="A990" i="12"/>
  <c r="A132" i="12"/>
  <c r="A1082" i="12"/>
  <c r="A323" i="12"/>
  <c r="A415" i="12"/>
  <c r="A50" i="12"/>
  <c r="A546" i="12"/>
  <c r="A636" i="12"/>
  <c r="A728" i="12"/>
  <c r="A803" i="12"/>
  <c r="A880" i="12"/>
  <c r="A211" i="12"/>
  <c r="A992" i="12"/>
  <c r="A134" i="12"/>
  <c r="A1084" i="12"/>
  <c r="A319" i="12"/>
  <c r="A411" i="12"/>
  <c r="A46" i="12"/>
  <c r="A542" i="12"/>
  <c r="A632" i="12"/>
  <c r="A724" i="12"/>
  <c r="A799" i="12"/>
  <c r="A876" i="12"/>
  <c r="A207" i="12"/>
  <c r="A988" i="12"/>
  <c r="A130" i="12"/>
  <c r="A1080" i="12"/>
  <c r="A320" i="12"/>
  <c r="A412" i="12"/>
  <c r="A47" i="12"/>
  <c r="A543" i="12"/>
  <c r="A633" i="12"/>
  <c r="A725" i="12"/>
  <c r="A800" i="12"/>
  <c r="A877" i="12"/>
  <c r="A208" i="12"/>
  <c r="A989" i="12"/>
  <c r="A131" i="12"/>
  <c r="A1081" i="12"/>
  <c r="A322" i="12"/>
  <c r="A414" i="12"/>
  <c r="A49" i="12"/>
  <c r="A545" i="12"/>
  <c r="A635" i="12"/>
  <c r="A727" i="12"/>
  <c r="A802" i="12"/>
  <c r="A879" i="12"/>
  <c r="A210" i="12"/>
  <c r="A991" i="12"/>
  <c r="A133" i="12"/>
  <c r="A1083" i="12"/>
  <c r="A324" i="12"/>
  <c r="A416" i="12"/>
  <c r="A51" i="12"/>
  <c r="A547" i="12"/>
  <c r="A637" i="12"/>
  <c r="A729" i="12"/>
  <c r="A804" i="12"/>
  <c r="A881" i="12"/>
  <c r="A212" i="12"/>
  <c r="A993" i="12"/>
  <c r="A135" i="12"/>
  <c r="A1085" i="12"/>
  <c r="A325" i="12"/>
  <c r="A417" i="12"/>
  <c r="A52" i="12"/>
  <c r="A548" i="12"/>
  <c r="A638" i="12"/>
  <c r="A730" i="12"/>
  <c r="A251" i="12"/>
  <c r="A882" i="12"/>
  <c r="A213" i="12"/>
  <c r="A994" i="12"/>
  <c r="A136" i="12"/>
  <c r="A1086" i="12"/>
  <c r="A326" i="12"/>
  <c r="A418" i="12"/>
  <c r="A53" i="12"/>
  <c r="A549" i="12"/>
  <c r="A639" i="12"/>
  <c r="A252" i="12"/>
  <c r="A883" i="12"/>
  <c r="A214" i="12"/>
  <c r="A995" i="12"/>
  <c r="A137" i="12"/>
  <c r="A1087" i="12"/>
  <c r="A731" i="12"/>
  <c r="A332" i="12"/>
  <c r="A424" i="12"/>
  <c r="A469" i="12"/>
  <c r="A555" i="12"/>
  <c r="A645" i="12"/>
  <c r="A737" i="12"/>
  <c r="A245" i="12"/>
  <c r="A889" i="12"/>
  <c r="A220" i="12"/>
  <c r="A67" i="12"/>
  <c r="A143" i="12"/>
  <c r="A1093" i="12"/>
  <c r="A333" i="12"/>
  <c r="A425" i="12"/>
  <c r="A470" i="12"/>
  <c r="A556" i="12"/>
  <c r="A646" i="12"/>
  <c r="A738" i="12"/>
  <c r="A246" i="12"/>
  <c r="A890" i="12"/>
  <c r="A221" i="12"/>
  <c r="A68" i="12"/>
  <c r="A144" i="12"/>
  <c r="A1094" i="12"/>
  <c r="A334" i="12"/>
  <c r="A426" i="12"/>
  <c r="A471" i="12"/>
  <c r="A557" i="12"/>
  <c r="A647" i="12"/>
  <c r="A739" i="12"/>
  <c r="A253" i="12"/>
  <c r="A891" i="12"/>
  <c r="A918" i="12"/>
  <c r="A1001" i="12"/>
  <c r="A145" i="12"/>
  <c r="A1095" i="12"/>
  <c r="A335" i="12"/>
  <c r="A427" i="12"/>
  <c r="A472" i="12"/>
  <c r="A558" i="12"/>
  <c r="A648" i="12"/>
  <c r="A740" i="12"/>
  <c r="A254" i="12"/>
  <c r="A892" i="12"/>
  <c r="A919" i="12"/>
  <c r="A1002" i="12"/>
  <c r="A146" i="12"/>
  <c r="A1096" i="12"/>
  <c r="A336" i="12"/>
  <c r="A428" i="12"/>
  <c r="A473" i="12"/>
  <c r="A559" i="12"/>
  <c r="A649" i="12"/>
  <c r="A741" i="12"/>
  <c r="A247" i="12"/>
  <c r="A893" i="12"/>
  <c r="A920" i="12"/>
  <c r="A69" i="12"/>
  <c r="A147" i="12"/>
  <c r="A1097" i="12"/>
  <c r="A337" i="12"/>
  <c r="A429" i="12"/>
  <c r="A474" i="12"/>
  <c r="A560" i="12"/>
  <c r="A650" i="12"/>
  <c r="A742" i="12"/>
  <c r="A248" i="12"/>
  <c r="A894" i="12"/>
  <c r="A921" i="12"/>
  <c r="A70" i="12"/>
  <c r="A148" i="12"/>
  <c r="A1098" i="12"/>
  <c r="A338" i="12"/>
  <c r="A430" i="12"/>
  <c r="A475" i="12"/>
  <c r="A10" i="12"/>
  <c r="A651" i="12"/>
  <c r="A743" i="12"/>
  <c r="A805" i="12"/>
  <c r="A895" i="12"/>
  <c r="A922" i="12"/>
  <c r="A1003" i="12"/>
  <c r="A149" i="12"/>
  <c r="A1099" i="12"/>
  <c r="A339" i="12"/>
  <c r="A431" i="12"/>
  <c r="A476" i="12"/>
  <c r="A11" i="12"/>
  <c r="A652" i="12"/>
  <c r="A744" i="12"/>
  <c r="A806" i="12"/>
  <c r="A896" i="12"/>
  <c r="A923" i="12"/>
  <c r="A1004" i="12"/>
  <c r="A150" i="12"/>
  <c r="A1100" i="12"/>
  <c r="A340" i="12"/>
  <c r="A432" i="12"/>
  <c r="A477" i="12"/>
  <c r="A561" i="12"/>
  <c r="A653" i="12"/>
  <c r="A745" i="12"/>
  <c r="A807" i="12"/>
  <c r="A897" i="12"/>
  <c r="A222" i="12"/>
  <c r="A1005" i="12"/>
  <c r="A1011" i="12"/>
  <c r="A1101" i="12"/>
  <c r="A341" i="12"/>
  <c r="A433" i="12"/>
  <c r="A478" i="12"/>
  <c r="A562" i="12"/>
  <c r="A654" i="12"/>
  <c r="A746" i="12"/>
  <c r="A808" i="12"/>
  <c r="A898" i="12"/>
  <c r="A223" i="12"/>
  <c r="A1006" i="12"/>
  <c r="A1012" i="12"/>
  <c r="A1102" i="12"/>
  <c r="A342" i="12"/>
  <c r="A434" i="12"/>
  <c r="A479" i="12"/>
  <c r="A563" i="12"/>
  <c r="A655" i="12"/>
  <c r="A747" i="12"/>
  <c r="A809" i="12"/>
  <c r="A899" i="12"/>
  <c r="A224" i="12"/>
  <c r="A1007" i="12"/>
  <c r="A1013" i="12"/>
  <c r="A1103" i="12"/>
  <c r="A343" i="12"/>
  <c r="A435" i="12"/>
  <c r="A480" i="12"/>
  <c r="A564" i="12"/>
  <c r="A656" i="12"/>
  <c r="A748" i="12"/>
  <c r="A249" i="12"/>
  <c r="A900" i="12"/>
  <c r="A225" i="12"/>
  <c r="A1008" i="12"/>
  <c r="A151" i="12"/>
  <c r="A1104" i="12"/>
  <c r="A344" i="12"/>
  <c r="A436" i="12"/>
  <c r="A481" i="12"/>
  <c r="A565" i="12"/>
  <c r="A657" i="12"/>
  <c r="A749" i="12"/>
  <c r="A250" i="12"/>
  <c r="A901" i="12"/>
  <c r="A226" i="12"/>
  <c r="A1009" i="12"/>
  <c r="A152" i="12"/>
  <c r="A1105" i="12"/>
  <c r="B3" i="13"/>
  <c r="S2" i="13"/>
  <c r="B5" i="13"/>
  <c r="S211" i="12"/>
  <c r="R211" i="12"/>
  <c r="Q211" i="12"/>
  <c r="S880" i="12"/>
  <c r="R880" i="12"/>
  <c r="Q880" i="12"/>
  <c r="S803" i="12"/>
  <c r="R803" i="12"/>
  <c r="Q803" i="12"/>
  <c r="S728" i="12"/>
  <c r="R728" i="12"/>
  <c r="Q728" i="12"/>
  <c r="S636" i="12"/>
  <c r="R636" i="12"/>
  <c r="Q636" i="12"/>
  <c r="S546" i="12"/>
  <c r="R546" i="12"/>
  <c r="Q546" i="12"/>
  <c r="S50" i="12"/>
  <c r="R50" i="12"/>
  <c r="Q50" i="12"/>
  <c r="S415" i="12"/>
  <c r="R415" i="12"/>
  <c r="Q415" i="12"/>
  <c r="S323" i="12"/>
  <c r="R323" i="12"/>
  <c r="Q323" i="12"/>
  <c r="B15" i="13"/>
  <c r="B16" i="13"/>
  <c r="B17" i="13"/>
  <c r="V17" i="13"/>
  <c r="B18" i="13"/>
  <c r="V18" i="13"/>
  <c r="B19" i="13"/>
  <c r="V19" i="13"/>
  <c r="B20" i="13"/>
  <c r="V20" i="13"/>
  <c r="B21" i="13"/>
  <c r="V21" i="13"/>
  <c r="B22" i="13"/>
  <c r="V22" i="13"/>
  <c r="B23" i="13"/>
  <c r="V23" i="13"/>
  <c r="B24" i="13"/>
  <c r="V24" i="13"/>
  <c r="B25" i="13"/>
  <c r="B26" i="13"/>
  <c r="V26" i="13"/>
  <c r="B4" i="13"/>
  <c r="B7" i="13"/>
  <c r="B8" i="13"/>
  <c r="B13" i="13"/>
  <c r="B9" i="13"/>
  <c r="B10" i="13"/>
  <c r="B11" i="13"/>
  <c r="V11" i="13"/>
  <c r="B12" i="13"/>
  <c r="V12" i="13"/>
  <c r="B14" i="13"/>
  <c r="S13" i="13"/>
  <c r="S9" i="13"/>
  <c r="S10" i="13"/>
  <c r="S11" i="13"/>
  <c r="S12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26" i="13"/>
  <c r="S4" i="13"/>
  <c r="S5" i="13"/>
  <c r="S7" i="13"/>
  <c r="S8" i="13"/>
  <c r="S3" i="13"/>
  <c r="U7" i="13"/>
  <c r="U8" i="13"/>
  <c r="U13" i="13"/>
  <c r="U9" i="13"/>
  <c r="J11" i="13"/>
  <c r="J12" i="13"/>
  <c r="J17" i="13"/>
  <c r="J18" i="13"/>
  <c r="J19" i="13"/>
  <c r="J20" i="13"/>
  <c r="J21" i="13"/>
  <c r="J22" i="13"/>
  <c r="J23" i="13"/>
  <c r="J24" i="13"/>
  <c r="J26" i="13"/>
  <c r="W11" i="13"/>
  <c r="W12" i="13"/>
  <c r="W17" i="13"/>
  <c r="W18" i="13"/>
  <c r="W19" i="13"/>
  <c r="W20" i="13"/>
  <c r="W21" i="13"/>
  <c r="W22" i="13"/>
  <c r="W23" i="13"/>
  <c r="W24" i="13"/>
  <c r="W26" i="13"/>
  <c r="U4" i="13"/>
  <c r="U5" i="13"/>
  <c r="U3" i="13"/>
  <c r="U10" i="13"/>
  <c r="U11" i="13"/>
  <c r="U12" i="13"/>
  <c r="U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R3" i="13"/>
  <c r="R8" i="13"/>
  <c r="R9" i="13"/>
  <c r="R10" i="13"/>
  <c r="R11" i="13"/>
  <c r="R12" i="13"/>
  <c r="R14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4" i="13"/>
  <c r="R5" i="13"/>
  <c r="R7" i="13"/>
  <c r="R2" i="13"/>
  <c r="Q810" i="12"/>
  <c r="Q161" i="12"/>
  <c r="Q598" i="12"/>
  <c r="Q599" i="12"/>
  <c r="S1036" i="12"/>
  <c r="R1036" i="12"/>
  <c r="Q1036" i="12"/>
  <c r="S179" i="12"/>
  <c r="R179" i="12"/>
  <c r="Q179" i="12"/>
  <c r="S832" i="12"/>
  <c r="R832" i="12"/>
  <c r="Q832" i="12"/>
  <c r="S770" i="12"/>
  <c r="R770" i="12"/>
  <c r="Q770" i="12"/>
  <c r="S680" i="12"/>
  <c r="R680" i="12"/>
  <c r="Q680" i="12"/>
  <c r="S588" i="12"/>
  <c r="R588" i="12"/>
  <c r="Q588" i="12"/>
  <c r="S500" i="12"/>
  <c r="R500" i="12"/>
  <c r="Q500" i="12"/>
  <c r="S34" i="12"/>
  <c r="R34" i="12"/>
  <c r="Q34" i="12"/>
  <c r="S367" i="12"/>
  <c r="R367" i="12"/>
  <c r="Q367" i="12"/>
  <c r="S275" i="12"/>
  <c r="R275" i="12"/>
  <c r="Q275" i="12"/>
  <c r="U2" i="13"/>
  <c r="S177" i="12"/>
  <c r="R177" i="12"/>
  <c r="Q177" i="12"/>
  <c r="S830" i="12"/>
  <c r="R830" i="12"/>
  <c r="Q830" i="12"/>
  <c r="S768" i="12"/>
  <c r="R768" i="12"/>
  <c r="Q768" i="12"/>
  <c r="S678" i="12"/>
  <c r="R678" i="12"/>
  <c r="Q678" i="12"/>
  <c r="S586" i="12"/>
  <c r="R586" i="12"/>
  <c r="Q586" i="12"/>
  <c r="S498" i="12"/>
  <c r="R498" i="12"/>
  <c r="Q498" i="12"/>
  <c r="S32" i="12"/>
  <c r="R32" i="12"/>
  <c r="Q32" i="12"/>
  <c r="S365" i="12"/>
  <c r="R365" i="12"/>
  <c r="Q365" i="12"/>
  <c r="S273" i="12"/>
  <c r="R273" i="12"/>
  <c r="Q273" i="12"/>
  <c r="S176" i="12"/>
  <c r="R176" i="12"/>
  <c r="Q176" i="12"/>
  <c r="S829" i="12"/>
  <c r="R829" i="12"/>
  <c r="Q829" i="12"/>
  <c r="S767" i="12"/>
  <c r="R767" i="12"/>
  <c r="Q767" i="12"/>
  <c r="S677" i="12"/>
  <c r="R677" i="12"/>
  <c r="Q677" i="12"/>
  <c r="S585" i="12"/>
  <c r="R585" i="12"/>
  <c r="Q585" i="12"/>
  <c r="S497" i="12"/>
  <c r="R497" i="12"/>
  <c r="Q497" i="12"/>
  <c r="S31" i="12"/>
  <c r="R31" i="12"/>
  <c r="Q31" i="12"/>
  <c r="S364" i="12"/>
  <c r="R364" i="12"/>
  <c r="Q364" i="12"/>
  <c r="S272" i="12"/>
  <c r="R272" i="12"/>
  <c r="Q272" i="12"/>
  <c r="K8" i="13"/>
  <c r="L8" i="13"/>
  <c r="M8" i="13"/>
  <c r="K10" i="13"/>
  <c r="L10" i="13"/>
  <c r="M10" i="13"/>
  <c r="K4" i="13"/>
  <c r="K5" i="13"/>
  <c r="K7" i="13"/>
  <c r="K9" i="13"/>
  <c r="K2" i="13"/>
  <c r="L9" i="13"/>
  <c r="L7" i="13"/>
  <c r="L5" i="13"/>
  <c r="L4" i="13"/>
  <c r="L2" i="13"/>
  <c r="M4" i="13"/>
  <c r="M5" i="13"/>
  <c r="M7" i="13"/>
  <c r="M9" i="13"/>
  <c r="K11" i="13"/>
  <c r="M11" i="13"/>
  <c r="K12" i="13"/>
  <c r="M12" i="13"/>
  <c r="K14" i="13"/>
  <c r="M14" i="13"/>
  <c r="K15" i="13"/>
  <c r="M15" i="13"/>
  <c r="K16" i="13"/>
  <c r="M16" i="13"/>
  <c r="K17" i="13"/>
  <c r="M17" i="13"/>
  <c r="K18" i="13"/>
  <c r="M18" i="13"/>
  <c r="K19" i="13"/>
  <c r="M19" i="13"/>
  <c r="K20" i="13"/>
  <c r="M20" i="13"/>
  <c r="K21" i="13"/>
  <c r="M21" i="13"/>
  <c r="K22" i="13"/>
  <c r="M22" i="13"/>
  <c r="K23" i="13"/>
  <c r="M23" i="13"/>
  <c r="K24" i="13"/>
  <c r="M24" i="13"/>
  <c r="K25" i="13"/>
  <c r="M25" i="13"/>
  <c r="K26" i="13"/>
  <c r="M26" i="13"/>
  <c r="M2" i="13"/>
  <c r="S162" i="12"/>
  <c r="R162" i="12"/>
  <c r="Q162" i="12"/>
  <c r="S811" i="12"/>
  <c r="R811" i="12"/>
  <c r="Q811" i="12"/>
  <c r="S751" i="12"/>
  <c r="R751" i="12"/>
  <c r="Q751" i="12"/>
  <c r="S659" i="12"/>
  <c r="R659" i="12"/>
  <c r="Q659" i="12"/>
  <c r="S567" i="12"/>
  <c r="R567" i="12"/>
  <c r="Q567" i="12"/>
  <c r="S483" i="12"/>
  <c r="R483" i="12"/>
  <c r="Q483" i="12"/>
  <c r="S13" i="12"/>
  <c r="R13" i="12"/>
  <c r="Q13" i="12"/>
  <c r="S346" i="12"/>
  <c r="R346" i="12"/>
  <c r="Q346" i="12"/>
  <c r="S256" i="12"/>
  <c r="R256" i="12"/>
  <c r="Q256" i="12"/>
  <c r="Q291" i="12"/>
  <c r="R291" i="12"/>
  <c r="S291" i="12"/>
  <c r="Q259" i="12"/>
  <c r="R259" i="12"/>
  <c r="S259" i="12"/>
  <c r="Q260" i="12"/>
  <c r="R260" i="12"/>
  <c r="S260" i="12"/>
  <c r="Q264" i="12"/>
  <c r="R264" i="12"/>
  <c r="S264" i="12"/>
  <c r="Q266" i="12"/>
  <c r="R266" i="12"/>
  <c r="S266" i="12"/>
  <c r="Q262" i="12"/>
  <c r="R262" i="12"/>
  <c r="S262" i="12"/>
  <c r="Q263" i="12"/>
  <c r="R263" i="12"/>
  <c r="S263" i="12"/>
  <c r="Q334" i="12"/>
  <c r="R334" i="12"/>
  <c r="S334" i="12"/>
  <c r="Q335" i="12"/>
  <c r="R335" i="12"/>
  <c r="S335" i="12"/>
  <c r="Q265" i="12"/>
  <c r="R265" i="12"/>
  <c r="S265" i="12"/>
  <c r="Q302" i="12"/>
  <c r="R302" i="12"/>
  <c r="S302" i="12"/>
  <c r="Q283" i="12"/>
  <c r="R283" i="12"/>
  <c r="S283" i="12"/>
  <c r="Q284" i="12"/>
  <c r="R284" i="12"/>
  <c r="S284" i="12"/>
  <c r="Q343" i="12"/>
  <c r="R343" i="12"/>
  <c r="S343" i="12"/>
  <c r="Q344" i="12"/>
  <c r="R344" i="12"/>
  <c r="S344" i="12"/>
  <c r="Q269" i="12"/>
  <c r="R269" i="12"/>
  <c r="S269" i="12"/>
  <c r="Q270" i="12"/>
  <c r="R270" i="12"/>
  <c r="S270" i="12"/>
  <c r="Q289" i="12"/>
  <c r="R289" i="12"/>
  <c r="S289" i="12"/>
  <c r="Q281" i="12"/>
  <c r="R281" i="12"/>
  <c r="S281" i="12"/>
  <c r="Q282" i="12"/>
  <c r="R282" i="12"/>
  <c r="S282" i="12"/>
  <c r="Q277" i="12"/>
  <c r="R277" i="12"/>
  <c r="S277" i="12"/>
  <c r="Q279" i="12"/>
  <c r="R279" i="12"/>
  <c r="S279" i="12"/>
  <c r="Q280" i="12"/>
  <c r="R280" i="12"/>
  <c r="S280" i="12"/>
  <c r="Q325" i="12"/>
  <c r="R325" i="12"/>
  <c r="S325" i="12"/>
  <c r="Q326" i="12"/>
  <c r="R326" i="12"/>
  <c r="S326" i="12"/>
  <c r="Q276" i="12"/>
  <c r="R276" i="12"/>
  <c r="S276" i="12"/>
  <c r="Q278" i="12"/>
  <c r="R278" i="12"/>
  <c r="S278" i="12"/>
  <c r="Q303" i="12"/>
  <c r="R303" i="12"/>
  <c r="S303" i="12"/>
  <c r="Q322" i="12"/>
  <c r="R322" i="12"/>
  <c r="S322" i="12"/>
  <c r="Q324" i="12"/>
  <c r="R324" i="12"/>
  <c r="S324" i="12"/>
  <c r="Q321" i="12"/>
  <c r="R321" i="12"/>
  <c r="S321" i="12"/>
  <c r="Q319" i="12"/>
  <c r="R319" i="12"/>
  <c r="S319" i="12"/>
  <c r="Q320" i="12"/>
  <c r="R320" i="12"/>
  <c r="S320" i="12"/>
  <c r="Q290" i="12"/>
  <c r="R290" i="12"/>
  <c r="S290" i="12"/>
  <c r="Q383" i="12"/>
  <c r="R383" i="12"/>
  <c r="S383" i="12"/>
  <c r="Q384" i="12"/>
  <c r="R384" i="12"/>
  <c r="S384" i="12"/>
  <c r="Q350" i="12"/>
  <c r="R350" i="12"/>
  <c r="S350" i="12"/>
  <c r="Q351" i="12"/>
  <c r="R351" i="12"/>
  <c r="S351" i="12"/>
  <c r="Q352" i="12"/>
  <c r="R352" i="12"/>
  <c r="S352" i="12"/>
  <c r="Q353" i="12"/>
  <c r="R353" i="12"/>
  <c r="S353" i="12"/>
  <c r="Q287" i="12"/>
  <c r="R287" i="12"/>
  <c r="S287" i="12"/>
  <c r="Q288" i="12"/>
  <c r="R288" i="12"/>
  <c r="S288" i="12"/>
  <c r="Q271" i="12"/>
  <c r="R271" i="12"/>
  <c r="S271" i="12"/>
  <c r="Q274" i="12"/>
  <c r="R274" i="12"/>
  <c r="S274" i="12"/>
  <c r="Q309" i="12"/>
  <c r="R309" i="12"/>
  <c r="S309" i="12"/>
  <c r="Q310" i="12"/>
  <c r="R310" i="12"/>
  <c r="S310" i="12"/>
  <c r="Q445" i="12"/>
  <c r="R445" i="12"/>
  <c r="S445" i="12"/>
  <c r="Q446" i="12"/>
  <c r="R446" i="12"/>
  <c r="S446" i="12"/>
  <c r="Q17" i="12"/>
  <c r="R17" i="12"/>
  <c r="S17" i="12"/>
  <c r="Q18" i="12"/>
  <c r="R18" i="12"/>
  <c r="S18" i="12"/>
  <c r="Q19" i="12"/>
  <c r="R19" i="12"/>
  <c r="S19" i="12"/>
  <c r="Q20" i="12"/>
  <c r="R20" i="12"/>
  <c r="S20" i="12"/>
  <c r="Q311" i="12"/>
  <c r="R311" i="12"/>
  <c r="S311" i="12"/>
  <c r="Q338" i="12"/>
  <c r="R338" i="12"/>
  <c r="S338" i="12"/>
  <c r="Q339" i="12"/>
  <c r="R339" i="12"/>
  <c r="S339" i="12"/>
  <c r="Q327" i="12"/>
  <c r="R327" i="12"/>
  <c r="S327" i="12"/>
  <c r="Q328" i="12"/>
  <c r="R328" i="12"/>
  <c r="S328" i="12"/>
  <c r="Q329" i="12"/>
  <c r="R329" i="12"/>
  <c r="S329" i="12"/>
  <c r="Q255" i="12"/>
  <c r="R255" i="12"/>
  <c r="S255" i="12"/>
  <c r="Q257" i="12"/>
  <c r="R257" i="12"/>
  <c r="S257" i="12"/>
  <c r="Q304" i="12"/>
  <c r="R304" i="12"/>
  <c r="S304" i="12"/>
  <c r="Q305" i="12"/>
  <c r="R305" i="12"/>
  <c r="S305" i="12"/>
  <c r="Q317" i="12"/>
  <c r="R317" i="12"/>
  <c r="S317" i="12"/>
  <c r="Q318" i="12"/>
  <c r="R318" i="12"/>
  <c r="S318" i="12"/>
  <c r="Q332" i="12"/>
  <c r="R332" i="12"/>
  <c r="S332" i="12"/>
  <c r="Q333" i="12"/>
  <c r="R333" i="12"/>
  <c r="S333" i="12"/>
  <c r="Q356" i="12"/>
  <c r="R356" i="12"/>
  <c r="S356" i="12"/>
  <c r="Q357" i="12"/>
  <c r="R357" i="12"/>
  <c r="S357" i="12"/>
  <c r="Q358" i="12"/>
  <c r="R358" i="12"/>
  <c r="S358" i="12"/>
  <c r="Q330" i="12"/>
  <c r="R330" i="12"/>
  <c r="S330" i="12"/>
  <c r="Q331" i="12"/>
  <c r="R331" i="12"/>
  <c r="S331" i="12"/>
  <c r="Q2" i="12"/>
  <c r="R2" i="12"/>
  <c r="S2" i="12"/>
  <c r="Q3" i="12"/>
  <c r="R3" i="12"/>
  <c r="S3" i="12"/>
  <c r="Q354" i="12"/>
  <c r="R354" i="12"/>
  <c r="S354" i="12"/>
  <c r="Q355" i="12"/>
  <c r="R355" i="12"/>
  <c r="S355" i="12"/>
  <c r="Q426" i="12"/>
  <c r="R426" i="12"/>
  <c r="S426" i="12"/>
  <c r="Q427" i="12"/>
  <c r="R427" i="12"/>
  <c r="S427" i="12"/>
  <c r="Q394" i="12"/>
  <c r="R394" i="12"/>
  <c r="S394" i="12"/>
  <c r="Q395" i="12"/>
  <c r="R395" i="12"/>
  <c r="S395" i="12"/>
  <c r="Q312" i="12"/>
  <c r="R312" i="12"/>
  <c r="S312" i="12"/>
  <c r="Q313" i="12"/>
  <c r="R313" i="12"/>
  <c r="S313" i="12"/>
  <c r="Q23" i="12"/>
  <c r="R23" i="12"/>
  <c r="S23" i="12"/>
  <c r="Q24" i="12"/>
  <c r="R24" i="12"/>
  <c r="S24" i="12"/>
  <c r="Q25" i="12"/>
  <c r="R25" i="12"/>
  <c r="S25" i="12"/>
  <c r="Q373" i="12"/>
  <c r="R373" i="12"/>
  <c r="S373" i="12"/>
  <c r="Q374" i="12"/>
  <c r="R374" i="12"/>
  <c r="S374" i="12"/>
  <c r="Q471" i="12"/>
  <c r="R471" i="12"/>
  <c r="S471" i="12"/>
  <c r="Q472" i="12"/>
  <c r="R472" i="12"/>
  <c r="S472" i="12"/>
  <c r="Q381" i="12"/>
  <c r="R381" i="12"/>
  <c r="S381" i="12"/>
  <c r="Q382" i="12"/>
  <c r="R382" i="12"/>
  <c r="S382" i="12"/>
  <c r="Q21" i="12"/>
  <c r="R21" i="12"/>
  <c r="S21" i="12"/>
  <c r="Q22" i="12"/>
  <c r="R22" i="12"/>
  <c r="S22" i="12"/>
  <c r="Q375" i="12"/>
  <c r="R375" i="12"/>
  <c r="S375" i="12"/>
  <c r="Q376" i="12"/>
  <c r="R376" i="12"/>
  <c r="S376" i="12"/>
  <c r="Q306" i="12"/>
  <c r="R306" i="12"/>
  <c r="S306" i="12"/>
  <c r="Q42" i="12"/>
  <c r="R42" i="12"/>
  <c r="S42" i="12"/>
  <c r="Q43" i="12"/>
  <c r="R43" i="12"/>
  <c r="S43" i="12"/>
  <c r="Q307" i="12"/>
  <c r="R307" i="12"/>
  <c r="S307" i="12"/>
  <c r="Q308" i="12"/>
  <c r="R308" i="12"/>
  <c r="S308" i="12"/>
  <c r="Q361" i="12"/>
  <c r="R361" i="12"/>
  <c r="S361" i="12"/>
  <c r="Q362" i="12"/>
  <c r="R362" i="12"/>
  <c r="S362" i="12"/>
  <c r="Q437" i="12"/>
  <c r="R437" i="12"/>
  <c r="S437" i="12"/>
  <c r="Q438" i="12"/>
  <c r="R438" i="12"/>
  <c r="S438" i="12"/>
  <c r="Q368" i="12"/>
  <c r="R368" i="12"/>
  <c r="S368" i="12"/>
  <c r="Q369" i="12"/>
  <c r="R369" i="12"/>
  <c r="S369" i="12"/>
  <c r="Q370" i="12"/>
  <c r="R370" i="12"/>
  <c r="S370" i="12"/>
  <c r="Q371" i="12"/>
  <c r="R371" i="12"/>
  <c r="S371" i="12"/>
  <c r="Q372" i="12"/>
  <c r="R372" i="12"/>
  <c r="S372" i="12"/>
  <c r="Q435" i="12"/>
  <c r="R435" i="12"/>
  <c r="S435" i="12"/>
  <c r="Q436" i="12"/>
  <c r="R436" i="12"/>
  <c r="S436" i="12"/>
  <c r="Q40" i="12"/>
  <c r="R40" i="12"/>
  <c r="S40" i="12"/>
  <c r="Q41" i="12"/>
  <c r="R41" i="12"/>
  <c r="S41" i="12"/>
  <c r="Q417" i="12"/>
  <c r="R417" i="12"/>
  <c r="S417" i="12"/>
  <c r="Q418" i="12"/>
  <c r="R418" i="12"/>
  <c r="S418" i="12"/>
  <c r="Q314" i="12"/>
  <c r="R314" i="12"/>
  <c r="S314" i="12"/>
  <c r="Q267" i="12"/>
  <c r="R267" i="12"/>
  <c r="S267" i="12"/>
  <c r="Q268" i="12"/>
  <c r="R268" i="12"/>
  <c r="S268" i="12"/>
  <c r="Q439" i="12"/>
  <c r="R439" i="12"/>
  <c r="S439" i="12"/>
  <c r="Q440" i="12"/>
  <c r="R440" i="12"/>
  <c r="S440" i="12"/>
  <c r="Q315" i="12"/>
  <c r="R315" i="12"/>
  <c r="S315" i="12"/>
  <c r="Q316" i="12"/>
  <c r="R316" i="12"/>
  <c r="S316" i="12"/>
  <c r="Q28" i="12"/>
  <c r="R28" i="12"/>
  <c r="S28" i="12"/>
  <c r="Q29" i="12"/>
  <c r="R29" i="12"/>
  <c r="S29" i="12"/>
  <c r="Q414" i="12"/>
  <c r="R414" i="12"/>
  <c r="S414" i="12"/>
  <c r="Q416" i="12"/>
  <c r="R416" i="12"/>
  <c r="S416" i="12"/>
  <c r="Q413" i="12"/>
  <c r="R413" i="12"/>
  <c r="S413" i="12"/>
  <c r="Q411" i="12"/>
  <c r="R411" i="12"/>
  <c r="S411" i="12"/>
  <c r="Q412" i="12"/>
  <c r="R412" i="12"/>
  <c r="S412" i="12"/>
  <c r="Q35" i="12"/>
  <c r="R35" i="12"/>
  <c r="S35" i="12"/>
  <c r="Q36" i="12"/>
  <c r="R36" i="12"/>
  <c r="S36" i="12"/>
  <c r="Q37" i="12"/>
  <c r="R37" i="12"/>
  <c r="S37" i="12"/>
  <c r="Q38" i="12"/>
  <c r="R38" i="12"/>
  <c r="S38" i="12"/>
  <c r="Q39" i="12"/>
  <c r="R39" i="12"/>
  <c r="S39" i="12"/>
  <c r="Q480" i="12"/>
  <c r="R480" i="12"/>
  <c r="S480" i="12"/>
  <c r="Q481" i="12"/>
  <c r="R481" i="12"/>
  <c r="S481" i="12"/>
  <c r="Q379" i="12"/>
  <c r="R379" i="12"/>
  <c r="S379" i="12"/>
  <c r="Q380" i="12"/>
  <c r="R380" i="12"/>
  <c r="S380" i="12"/>
  <c r="Q52" i="12"/>
  <c r="R52" i="12"/>
  <c r="S52" i="12"/>
  <c r="Q53" i="12"/>
  <c r="R53" i="12"/>
  <c r="S53" i="12"/>
  <c r="Q4" i="12"/>
  <c r="R4" i="12"/>
  <c r="S4" i="12"/>
  <c r="Q5" i="12"/>
  <c r="R5" i="12"/>
  <c r="S5" i="12"/>
  <c r="Q6" i="12"/>
  <c r="R6" i="12"/>
  <c r="S6" i="12"/>
  <c r="Q7" i="12"/>
  <c r="R7" i="12"/>
  <c r="S7" i="12"/>
  <c r="Q516" i="12"/>
  <c r="R516" i="12"/>
  <c r="S516" i="12"/>
  <c r="Q517" i="12"/>
  <c r="R517" i="12"/>
  <c r="S517" i="12"/>
  <c r="Q363" i="12"/>
  <c r="R363" i="12"/>
  <c r="S363" i="12"/>
  <c r="Q366" i="12"/>
  <c r="R366" i="12"/>
  <c r="S366" i="12"/>
  <c r="Q49" i="12"/>
  <c r="R49" i="12"/>
  <c r="S49" i="12"/>
  <c r="Q51" i="12"/>
  <c r="R51" i="12"/>
  <c r="S51" i="12"/>
  <c r="Q48" i="12"/>
  <c r="R48" i="12"/>
  <c r="S48" i="12"/>
  <c r="Q46" i="12"/>
  <c r="R46" i="12"/>
  <c r="S46" i="12"/>
  <c r="Q47" i="12"/>
  <c r="R47" i="12"/>
  <c r="S47" i="12"/>
  <c r="Q443" i="12"/>
  <c r="R443" i="12"/>
  <c r="S443" i="12"/>
  <c r="Q444" i="12"/>
  <c r="R444" i="12"/>
  <c r="S444" i="12"/>
  <c r="Q571" i="12"/>
  <c r="R571" i="12"/>
  <c r="S571" i="12"/>
  <c r="Q572" i="12"/>
  <c r="R572" i="12"/>
  <c r="S572" i="12"/>
  <c r="Q573" i="12"/>
  <c r="R573" i="12"/>
  <c r="S573" i="12"/>
  <c r="Q574" i="12"/>
  <c r="R574" i="12"/>
  <c r="S574" i="12"/>
  <c r="Q430" i="12"/>
  <c r="R430" i="12"/>
  <c r="S430" i="12"/>
  <c r="Q431" i="12"/>
  <c r="R431" i="12"/>
  <c r="S431" i="12"/>
  <c r="Q30" i="12"/>
  <c r="R30" i="12"/>
  <c r="S30" i="12"/>
  <c r="Q33" i="12"/>
  <c r="R33" i="12"/>
  <c r="S33" i="12"/>
  <c r="Q419" i="12"/>
  <c r="R419" i="12"/>
  <c r="S419" i="12"/>
  <c r="Q420" i="12"/>
  <c r="R420" i="12"/>
  <c r="S420" i="12"/>
  <c r="Q421" i="12"/>
  <c r="R421" i="12"/>
  <c r="S421" i="12"/>
  <c r="Q604" i="12"/>
  <c r="R604" i="12"/>
  <c r="S604" i="12"/>
  <c r="Q605" i="12"/>
  <c r="R605" i="12"/>
  <c r="S605" i="12"/>
  <c r="Q345" i="12"/>
  <c r="R345" i="12"/>
  <c r="S345" i="12"/>
  <c r="Q347" i="12"/>
  <c r="R347" i="12"/>
  <c r="S347" i="12"/>
  <c r="Q396" i="12"/>
  <c r="R396" i="12"/>
  <c r="S396" i="12"/>
  <c r="Q397" i="12"/>
  <c r="R397" i="12"/>
  <c r="S397" i="12"/>
  <c r="Q401" i="12"/>
  <c r="R401" i="12"/>
  <c r="S401" i="12"/>
  <c r="Q402" i="12"/>
  <c r="R402" i="12"/>
  <c r="S402" i="12"/>
  <c r="Q403" i="12"/>
  <c r="R403" i="12"/>
  <c r="S403" i="12"/>
  <c r="Q475" i="12"/>
  <c r="R475" i="12"/>
  <c r="S475" i="12"/>
  <c r="Q476" i="12"/>
  <c r="R476" i="12"/>
  <c r="S476" i="12"/>
  <c r="Q54" i="12"/>
  <c r="R54" i="12"/>
  <c r="S54" i="12"/>
  <c r="Q55" i="12"/>
  <c r="R55" i="12"/>
  <c r="S55" i="12"/>
  <c r="Q56" i="12"/>
  <c r="R56" i="12"/>
  <c r="S56" i="12"/>
  <c r="Q424" i="12"/>
  <c r="R424" i="12"/>
  <c r="S424" i="12"/>
  <c r="Q425" i="12"/>
  <c r="R425" i="12"/>
  <c r="S425" i="12"/>
  <c r="Q409" i="12"/>
  <c r="R409" i="12"/>
  <c r="S409" i="12"/>
  <c r="Q410" i="12"/>
  <c r="R410" i="12"/>
  <c r="S410" i="12"/>
  <c r="Q12" i="12"/>
  <c r="R12" i="12"/>
  <c r="S12" i="12"/>
  <c r="Q14" i="12"/>
  <c r="R14" i="12"/>
  <c r="S14" i="12"/>
  <c r="Q459" i="12"/>
  <c r="R459" i="12"/>
  <c r="S459" i="12"/>
  <c r="Q460" i="12"/>
  <c r="R460" i="12"/>
  <c r="S460" i="12"/>
  <c r="Q461" i="12"/>
  <c r="R461" i="12"/>
  <c r="S461" i="12"/>
  <c r="Q456" i="12"/>
  <c r="R456" i="12"/>
  <c r="S456" i="12"/>
  <c r="Q457" i="12"/>
  <c r="R457" i="12"/>
  <c r="S457" i="12"/>
  <c r="Q348" i="12"/>
  <c r="R348" i="12"/>
  <c r="S348" i="12"/>
  <c r="Q349" i="12"/>
  <c r="R349" i="12"/>
  <c r="S349" i="12"/>
  <c r="Q422" i="12"/>
  <c r="R422" i="12"/>
  <c r="S422" i="12"/>
  <c r="Q423" i="12"/>
  <c r="R423" i="12"/>
  <c r="S423" i="12"/>
  <c r="Q467" i="12"/>
  <c r="R467" i="12"/>
  <c r="S467" i="12"/>
  <c r="Q468" i="12"/>
  <c r="R468" i="12"/>
  <c r="S468" i="12"/>
  <c r="Q469" i="12"/>
  <c r="R469" i="12"/>
  <c r="S469" i="12"/>
  <c r="Q470" i="12"/>
  <c r="R470" i="12"/>
  <c r="S470" i="12"/>
  <c r="Q489" i="12"/>
  <c r="R489" i="12"/>
  <c r="S489" i="12"/>
  <c r="Q490" i="12"/>
  <c r="R490" i="12"/>
  <c r="S490" i="12"/>
  <c r="Q491" i="12"/>
  <c r="R491" i="12"/>
  <c r="S491" i="12"/>
  <c r="Q15" i="12"/>
  <c r="R15" i="12"/>
  <c r="S15" i="12"/>
  <c r="Q16" i="12"/>
  <c r="R16" i="12"/>
  <c r="S16" i="12"/>
  <c r="Q57" i="12"/>
  <c r="R57" i="12"/>
  <c r="S57" i="12"/>
  <c r="Q58" i="12"/>
  <c r="R58" i="12"/>
  <c r="S58" i="12"/>
  <c r="Q404" i="12"/>
  <c r="R404" i="12"/>
  <c r="S404" i="12"/>
  <c r="Q405" i="12"/>
  <c r="R405" i="12"/>
  <c r="S405" i="12"/>
  <c r="Q487" i="12"/>
  <c r="R487" i="12"/>
  <c r="S487" i="12"/>
  <c r="Q488" i="12"/>
  <c r="R488" i="12"/>
  <c r="S488" i="12"/>
  <c r="Q647" i="12"/>
  <c r="R647" i="12"/>
  <c r="S647" i="12"/>
  <c r="Q648" i="12"/>
  <c r="R648" i="12"/>
  <c r="S648" i="12"/>
  <c r="Q527" i="12"/>
  <c r="R527" i="12"/>
  <c r="S527" i="12"/>
  <c r="Q528" i="12"/>
  <c r="R528" i="12"/>
  <c r="S528" i="12"/>
  <c r="Q506" i="12"/>
  <c r="R506" i="12"/>
  <c r="S506" i="12"/>
  <c r="Q507" i="12"/>
  <c r="R507" i="12"/>
  <c r="S507" i="12"/>
  <c r="Q577" i="12"/>
  <c r="R577" i="12"/>
  <c r="S577" i="12"/>
  <c r="Q578" i="12"/>
  <c r="R578" i="12"/>
  <c r="S578" i="12"/>
  <c r="Q579" i="12"/>
  <c r="R579" i="12"/>
  <c r="S579" i="12"/>
  <c r="Q462" i="12"/>
  <c r="R462" i="12"/>
  <c r="S462" i="12"/>
  <c r="Q463" i="12"/>
  <c r="R463" i="12"/>
  <c r="S463" i="12"/>
  <c r="Q508" i="12"/>
  <c r="R508" i="12"/>
  <c r="S508" i="12"/>
  <c r="Q509" i="12"/>
  <c r="R509" i="12"/>
  <c r="S509" i="12"/>
  <c r="Q398" i="12"/>
  <c r="R398" i="12"/>
  <c r="S398" i="12"/>
  <c r="Q399" i="12"/>
  <c r="R399" i="12"/>
  <c r="S399" i="12"/>
  <c r="Q400" i="12"/>
  <c r="R400" i="12"/>
  <c r="S400" i="12"/>
  <c r="Q514" i="12"/>
  <c r="R514" i="12"/>
  <c r="S514" i="12"/>
  <c r="Q515" i="12"/>
  <c r="R515" i="12"/>
  <c r="S515" i="12"/>
  <c r="Q575" i="12"/>
  <c r="R575" i="12"/>
  <c r="S575" i="12"/>
  <c r="Q576" i="12"/>
  <c r="R576" i="12"/>
  <c r="S576" i="12"/>
  <c r="Q494" i="12"/>
  <c r="R494" i="12"/>
  <c r="S494" i="12"/>
  <c r="Q495" i="12"/>
  <c r="R495" i="12"/>
  <c r="S495" i="12"/>
  <c r="Q359" i="12"/>
  <c r="R359" i="12"/>
  <c r="S359" i="12"/>
  <c r="Q360" i="12"/>
  <c r="R360" i="12"/>
  <c r="S360" i="12"/>
  <c r="Q615" i="12"/>
  <c r="R615" i="12"/>
  <c r="S615" i="12"/>
  <c r="Q616" i="12"/>
  <c r="R616" i="12"/>
  <c r="S616" i="12"/>
  <c r="Q44" i="12"/>
  <c r="R44" i="12"/>
  <c r="S44" i="12"/>
  <c r="Q45" i="12"/>
  <c r="R45" i="12"/>
  <c r="S45" i="12"/>
  <c r="Q458" i="12"/>
  <c r="R458" i="12"/>
  <c r="S458" i="12"/>
  <c r="Q501" i="12"/>
  <c r="R501" i="12"/>
  <c r="S501" i="12"/>
  <c r="Q502" i="12"/>
  <c r="R502" i="12"/>
  <c r="S502" i="12"/>
  <c r="Q503" i="12"/>
  <c r="R503" i="12"/>
  <c r="S503" i="12"/>
  <c r="Q504" i="12"/>
  <c r="R504" i="12"/>
  <c r="S504" i="12"/>
  <c r="Q505" i="12"/>
  <c r="R505" i="12"/>
  <c r="S505" i="12"/>
  <c r="Q406" i="12"/>
  <c r="R406" i="12"/>
  <c r="S406" i="12"/>
  <c r="Q407" i="12"/>
  <c r="R407" i="12"/>
  <c r="S407" i="12"/>
  <c r="Q408" i="12"/>
  <c r="R408" i="12"/>
  <c r="S408" i="12"/>
  <c r="Q594" i="12"/>
  <c r="R594" i="12"/>
  <c r="S594" i="12"/>
  <c r="Q595" i="12"/>
  <c r="R595" i="12"/>
  <c r="S595" i="12"/>
  <c r="Q596" i="12"/>
  <c r="R596" i="12"/>
  <c r="S596" i="12"/>
  <c r="Q597" i="12"/>
  <c r="R597" i="12"/>
  <c r="S597" i="12"/>
  <c r="Q336" i="12"/>
  <c r="R336" i="12"/>
  <c r="S336" i="12"/>
  <c r="Q337" i="12"/>
  <c r="R337" i="12"/>
  <c r="S337" i="12"/>
  <c r="Q548" i="12"/>
  <c r="R548" i="12"/>
  <c r="S548" i="12"/>
  <c r="Q549" i="12"/>
  <c r="R549" i="12"/>
  <c r="S549" i="12"/>
  <c r="Q602" i="12"/>
  <c r="R602" i="12"/>
  <c r="S602" i="12"/>
  <c r="Q603" i="12"/>
  <c r="R603" i="12"/>
  <c r="S603" i="12"/>
  <c r="Q26" i="12"/>
  <c r="R26" i="12"/>
  <c r="S26" i="12"/>
  <c r="Q27" i="12"/>
  <c r="R27" i="12"/>
  <c r="S27" i="12"/>
  <c r="Q545" i="12"/>
  <c r="R545" i="12"/>
  <c r="S545" i="12"/>
  <c r="Q547" i="12"/>
  <c r="R547" i="12"/>
  <c r="S547" i="12"/>
  <c r="Q544" i="12"/>
  <c r="R544" i="12"/>
  <c r="S544" i="12"/>
  <c r="Q542" i="12"/>
  <c r="R542" i="12"/>
  <c r="S542" i="12"/>
  <c r="Q543" i="12"/>
  <c r="R543" i="12"/>
  <c r="S543" i="12"/>
  <c r="Q512" i="12"/>
  <c r="R512" i="12"/>
  <c r="S512" i="12"/>
  <c r="Q513" i="12"/>
  <c r="R513" i="12"/>
  <c r="S513" i="12"/>
  <c r="Q582" i="12"/>
  <c r="R582" i="12"/>
  <c r="S582" i="12"/>
  <c r="Q583" i="12"/>
  <c r="R583" i="12"/>
  <c r="S583" i="12"/>
  <c r="Q464" i="12"/>
  <c r="R464" i="12"/>
  <c r="S464" i="12"/>
  <c r="Q465" i="12"/>
  <c r="R465" i="12"/>
  <c r="S465" i="12"/>
  <c r="Q466" i="12"/>
  <c r="R466" i="12"/>
  <c r="S466" i="12"/>
  <c r="Q589" i="12"/>
  <c r="R589" i="12"/>
  <c r="S589" i="12"/>
  <c r="Q590" i="12"/>
  <c r="R590" i="12"/>
  <c r="S590" i="12"/>
  <c r="Q591" i="12"/>
  <c r="R591" i="12"/>
  <c r="S591" i="12"/>
  <c r="Q592" i="12"/>
  <c r="R592" i="12"/>
  <c r="S592" i="12"/>
  <c r="Q593" i="12"/>
  <c r="R593" i="12"/>
  <c r="S593" i="12"/>
  <c r="Q656" i="12"/>
  <c r="R656" i="12"/>
  <c r="S656" i="12"/>
  <c r="Q657" i="12"/>
  <c r="R657" i="12"/>
  <c r="S657" i="12"/>
  <c r="Q638" i="12"/>
  <c r="R638" i="12"/>
  <c r="S638" i="12"/>
  <c r="Q639" i="12"/>
  <c r="R639" i="12"/>
  <c r="S639" i="12"/>
  <c r="Q496" i="12"/>
  <c r="R496" i="12"/>
  <c r="S496" i="12"/>
  <c r="Q499" i="12"/>
  <c r="R499" i="12"/>
  <c r="S499" i="12"/>
  <c r="Q600" i="12"/>
  <c r="R600" i="12"/>
  <c r="S600" i="12"/>
  <c r="Q601" i="12"/>
  <c r="R601" i="12"/>
  <c r="S601" i="12"/>
  <c r="Q10" i="12"/>
  <c r="R10" i="12"/>
  <c r="S10" i="12"/>
  <c r="Q11" i="12"/>
  <c r="R11" i="12"/>
  <c r="S11" i="12"/>
  <c r="Q635" i="12"/>
  <c r="R635" i="12"/>
  <c r="S635" i="12"/>
  <c r="Q637" i="12"/>
  <c r="R637" i="12"/>
  <c r="S637" i="12"/>
  <c r="Q634" i="12"/>
  <c r="R634" i="12"/>
  <c r="S634" i="12"/>
  <c r="Q632" i="12"/>
  <c r="R632" i="12"/>
  <c r="S632" i="12"/>
  <c r="Q633" i="12"/>
  <c r="R633" i="12"/>
  <c r="S633" i="12"/>
  <c r="Q663" i="12"/>
  <c r="R663" i="12"/>
  <c r="S663" i="12"/>
  <c r="Q664" i="12"/>
  <c r="R664" i="12"/>
  <c r="S664" i="12"/>
  <c r="Q665" i="12"/>
  <c r="R665" i="12"/>
  <c r="S665" i="12"/>
  <c r="Q666" i="12"/>
  <c r="R666" i="12"/>
  <c r="S666" i="12"/>
  <c r="Q8" i="12"/>
  <c r="R8" i="12"/>
  <c r="S8" i="12"/>
  <c r="Q9" i="12"/>
  <c r="R9" i="12"/>
  <c r="S9" i="12"/>
  <c r="Q550" i="12"/>
  <c r="R550" i="12"/>
  <c r="S550" i="12"/>
  <c r="Q551" i="12"/>
  <c r="R551" i="12"/>
  <c r="S551" i="12"/>
  <c r="Q552" i="12"/>
  <c r="R552" i="12"/>
  <c r="S552" i="12"/>
  <c r="Q584" i="12"/>
  <c r="R584" i="12"/>
  <c r="S584" i="12"/>
  <c r="Q587" i="12"/>
  <c r="R587" i="12"/>
  <c r="S587" i="12"/>
  <c r="Q696" i="12"/>
  <c r="R696" i="12"/>
  <c r="S696" i="12"/>
  <c r="Q697" i="12"/>
  <c r="R697" i="12"/>
  <c r="S697" i="12"/>
  <c r="Q532" i="12"/>
  <c r="R532" i="12"/>
  <c r="S532" i="12"/>
  <c r="Q533" i="12"/>
  <c r="R533" i="12"/>
  <c r="S533" i="12"/>
  <c r="Q534" i="12"/>
  <c r="R534" i="12"/>
  <c r="S534" i="12"/>
  <c r="Q482" i="12"/>
  <c r="R482" i="12"/>
  <c r="S482" i="12"/>
  <c r="Q484" i="12"/>
  <c r="R484" i="12"/>
  <c r="S484" i="12"/>
  <c r="Q651" i="12"/>
  <c r="R651" i="12"/>
  <c r="S651" i="12"/>
  <c r="Q652" i="12"/>
  <c r="R652" i="12"/>
  <c r="S652" i="12"/>
  <c r="Q540" i="12"/>
  <c r="R540" i="12"/>
  <c r="S540" i="12"/>
  <c r="Q541" i="12"/>
  <c r="R541" i="12"/>
  <c r="S541" i="12"/>
  <c r="Q555" i="12"/>
  <c r="R555" i="12"/>
  <c r="S555" i="12"/>
  <c r="Q556" i="12"/>
  <c r="R556" i="12"/>
  <c r="S556" i="12"/>
  <c r="Q640" i="12"/>
  <c r="R640" i="12"/>
  <c r="S640" i="12"/>
  <c r="Q641" i="12"/>
  <c r="R641" i="12"/>
  <c r="S641" i="12"/>
  <c r="Q642" i="12"/>
  <c r="R642" i="12"/>
  <c r="S642" i="12"/>
  <c r="Q285" i="12"/>
  <c r="R285" i="12"/>
  <c r="S285" i="12"/>
  <c r="Q286" i="12"/>
  <c r="R286" i="12"/>
  <c r="S286" i="12"/>
  <c r="Q617" i="12"/>
  <c r="R617" i="12"/>
  <c r="S617" i="12"/>
  <c r="Q618" i="12"/>
  <c r="R618" i="12"/>
  <c r="S618" i="12"/>
  <c r="Q622" i="12"/>
  <c r="R622" i="12"/>
  <c r="S622" i="12"/>
  <c r="Q623" i="12"/>
  <c r="R623" i="12"/>
  <c r="S623" i="12"/>
  <c r="Q624" i="12"/>
  <c r="R624" i="12"/>
  <c r="S624" i="12"/>
  <c r="Q753" i="12"/>
  <c r="R753" i="12"/>
  <c r="S753" i="12"/>
  <c r="Q754" i="12"/>
  <c r="R754" i="12"/>
  <c r="S754" i="12"/>
  <c r="Q755" i="12"/>
  <c r="R755" i="12"/>
  <c r="S755" i="12"/>
  <c r="Q756" i="12"/>
  <c r="R756" i="12"/>
  <c r="S756" i="12"/>
  <c r="Q553" i="12"/>
  <c r="R553" i="12"/>
  <c r="S553" i="12"/>
  <c r="Q554" i="12"/>
  <c r="R554" i="12"/>
  <c r="S554" i="12"/>
  <c r="Q566" i="12"/>
  <c r="R566" i="12"/>
  <c r="S566" i="12"/>
  <c r="Q568" i="12"/>
  <c r="R568" i="12"/>
  <c r="S568" i="12"/>
  <c r="Q485" i="12"/>
  <c r="R485" i="12"/>
  <c r="S485" i="12"/>
  <c r="Q486" i="12"/>
  <c r="R486" i="12"/>
  <c r="S486" i="12"/>
  <c r="Q630" i="12"/>
  <c r="R630" i="12"/>
  <c r="S630" i="12"/>
  <c r="Q631" i="12"/>
  <c r="R631" i="12"/>
  <c r="S631" i="12"/>
  <c r="Q776" i="12"/>
  <c r="R776" i="12"/>
  <c r="S776" i="12"/>
  <c r="Q645" i="12"/>
  <c r="R645" i="12"/>
  <c r="S645" i="12"/>
  <c r="Q646" i="12"/>
  <c r="R646" i="12"/>
  <c r="S646" i="12"/>
  <c r="Q777" i="12"/>
  <c r="R777" i="12"/>
  <c r="S777" i="12"/>
  <c r="Q535" i="12"/>
  <c r="R535" i="12"/>
  <c r="S535" i="12"/>
  <c r="Q536" i="12"/>
  <c r="R536" i="12"/>
  <c r="S536" i="12"/>
  <c r="Q569" i="12"/>
  <c r="R569" i="12"/>
  <c r="S569" i="12"/>
  <c r="Q570" i="12"/>
  <c r="R570" i="12"/>
  <c r="S570" i="12"/>
  <c r="Q643" i="12"/>
  <c r="R643" i="12"/>
  <c r="S643" i="12"/>
  <c r="Q644" i="12"/>
  <c r="R644" i="12"/>
  <c r="S644" i="12"/>
  <c r="Q293" i="12"/>
  <c r="R293" i="12"/>
  <c r="S293" i="12"/>
  <c r="Q294" i="12"/>
  <c r="R294" i="12"/>
  <c r="S294" i="12"/>
  <c r="Q625" i="12"/>
  <c r="R625" i="12"/>
  <c r="S625" i="12"/>
  <c r="Q626" i="12"/>
  <c r="R626" i="12"/>
  <c r="S626" i="12"/>
  <c r="Q669" i="12"/>
  <c r="R669" i="12"/>
  <c r="S669" i="12"/>
  <c r="Q670" i="12"/>
  <c r="R670" i="12"/>
  <c r="S670" i="12"/>
  <c r="Q671" i="12"/>
  <c r="R671" i="12"/>
  <c r="S671" i="12"/>
  <c r="Q739" i="12"/>
  <c r="R739" i="12"/>
  <c r="S739" i="12"/>
  <c r="Q740" i="12"/>
  <c r="R740" i="12"/>
  <c r="S740" i="12"/>
  <c r="Q667" i="12"/>
  <c r="R667" i="12"/>
  <c r="S667" i="12"/>
  <c r="Q668" i="12"/>
  <c r="R668" i="12"/>
  <c r="S668" i="12"/>
  <c r="Q492" i="12"/>
  <c r="R492" i="12"/>
  <c r="S492" i="12"/>
  <c r="Q493" i="12"/>
  <c r="R493" i="12"/>
  <c r="S493" i="12"/>
  <c r="Q537" i="12"/>
  <c r="R537" i="12"/>
  <c r="S537" i="12"/>
  <c r="Q538" i="12"/>
  <c r="R538" i="12"/>
  <c r="S538" i="12"/>
  <c r="Q539" i="12"/>
  <c r="R539" i="12"/>
  <c r="S539" i="12"/>
  <c r="Q428" i="12"/>
  <c r="R428" i="12"/>
  <c r="S428" i="12"/>
  <c r="Q429" i="12"/>
  <c r="R429" i="12"/>
  <c r="S429" i="12"/>
  <c r="Q707" i="12"/>
  <c r="R707" i="12"/>
  <c r="S707" i="12"/>
  <c r="Q708" i="12"/>
  <c r="R708" i="12"/>
  <c r="S708" i="12"/>
  <c r="Q686" i="12"/>
  <c r="R686" i="12"/>
  <c r="S686" i="12"/>
  <c r="Q687" i="12"/>
  <c r="R687" i="12"/>
  <c r="S687" i="12"/>
  <c r="Q688" i="12"/>
  <c r="R688" i="12"/>
  <c r="S688" i="12"/>
  <c r="Q689" i="12"/>
  <c r="R689" i="12"/>
  <c r="S689" i="12"/>
  <c r="Q529" i="12"/>
  <c r="R529" i="12"/>
  <c r="S529" i="12"/>
  <c r="Q530" i="12"/>
  <c r="R530" i="12"/>
  <c r="S530" i="12"/>
  <c r="Q531" i="12"/>
  <c r="R531" i="12"/>
  <c r="S531" i="12"/>
  <c r="Q253" i="12"/>
  <c r="R253" i="12"/>
  <c r="S253" i="12"/>
  <c r="Q694" i="12"/>
  <c r="R694" i="12"/>
  <c r="S694" i="12"/>
  <c r="Q695" i="12"/>
  <c r="R695" i="12"/>
  <c r="S695" i="12"/>
  <c r="Q473" i="12"/>
  <c r="R473" i="12"/>
  <c r="S473" i="12"/>
  <c r="Q474" i="12"/>
  <c r="R474" i="12"/>
  <c r="S474" i="12"/>
  <c r="Q254" i="12"/>
  <c r="R254" i="12"/>
  <c r="S254" i="12"/>
  <c r="Q748" i="12"/>
  <c r="R748" i="12"/>
  <c r="S748" i="12"/>
  <c r="Q749" i="12"/>
  <c r="R749" i="12"/>
  <c r="S749" i="12"/>
  <c r="Q580" i="12"/>
  <c r="R580" i="12"/>
  <c r="S580" i="12"/>
  <c r="Q581" i="12"/>
  <c r="R581" i="12"/>
  <c r="S581" i="12"/>
  <c r="Q627" i="12"/>
  <c r="R627" i="12"/>
  <c r="S627" i="12"/>
  <c r="Q628" i="12"/>
  <c r="R628" i="12"/>
  <c r="S628" i="12"/>
  <c r="Q629" i="12"/>
  <c r="R629" i="12"/>
  <c r="S629" i="12"/>
  <c r="Q759" i="12"/>
  <c r="R759" i="12"/>
  <c r="S759" i="12"/>
  <c r="Q760" i="12"/>
  <c r="R760" i="12"/>
  <c r="S760" i="12"/>
  <c r="Q761" i="12"/>
  <c r="R761" i="12"/>
  <c r="S761" i="12"/>
  <c r="Q674" i="12"/>
  <c r="R674" i="12"/>
  <c r="S674" i="12"/>
  <c r="Q675" i="12"/>
  <c r="R675" i="12"/>
  <c r="S675" i="12"/>
  <c r="Q295" i="12"/>
  <c r="R295" i="12"/>
  <c r="S295" i="12"/>
  <c r="Q227" i="12"/>
  <c r="R227" i="12"/>
  <c r="S227" i="12"/>
  <c r="Q228" i="12"/>
  <c r="R228" i="12"/>
  <c r="S228" i="12"/>
  <c r="Q681" i="12"/>
  <c r="R681" i="12"/>
  <c r="S681" i="12"/>
  <c r="Q682" i="12"/>
  <c r="R682" i="12"/>
  <c r="S682" i="12"/>
  <c r="Q683" i="12"/>
  <c r="R683" i="12"/>
  <c r="S683" i="12"/>
  <c r="Q684" i="12"/>
  <c r="R684" i="12"/>
  <c r="S684" i="12"/>
  <c r="Q685" i="12"/>
  <c r="R685" i="12"/>
  <c r="S685" i="12"/>
  <c r="Q619" i="12"/>
  <c r="R619" i="12"/>
  <c r="S619" i="12"/>
  <c r="Q620" i="12"/>
  <c r="R620" i="12"/>
  <c r="S620" i="12"/>
  <c r="Q621" i="12"/>
  <c r="R621" i="12"/>
  <c r="S621" i="12"/>
  <c r="Q757" i="12"/>
  <c r="R757" i="12"/>
  <c r="S757" i="12"/>
  <c r="Q758" i="12"/>
  <c r="R758" i="12"/>
  <c r="S758" i="12"/>
  <c r="Q730" i="12"/>
  <c r="R730" i="12"/>
  <c r="S730" i="12"/>
  <c r="Q731" i="12"/>
  <c r="R731" i="12"/>
  <c r="S731" i="12"/>
  <c r="Q231" i="12"/>
  <c r="R231" i="12"/>
  <c r="S231" i="12"/>
  <c r="Q232" i="12"/>
  <c r="R232" i="12"/>
  <c r="S232" i="12"/>
  <c r="Q159" i="12"/>
  <c r="R159" i="12"/>
  <c r="S159" i="12"/>
  <c r="Q160" i="12"/>
  <c r="R160" i="12"/>
  <c r="S160" i="12"/>
  <c r="Q249" i="12"/>
  <c r="R249" i="12"/>
  <c r="S249" i="12"/>
  <c r="Q250" i="12"/>
  <c r="R250" i="12"/>
  <c r="S250" i="12"/>
  <c r="Q692" i="12"/>
  <c r="R692" i="12"/>
  <c r="S692" i="12"/>
  <c r="Q693" i="12"/>
  <c r="R693" i="12"/>
  <c r="S693" i="12"/>
  <c r="Q727" i="12"/>
  <c r="R727" i="12"/>
  <c r="S727" i="12"/>
  <c r="Q729" i="12"/>
  <c r="R729" i="12"/>
  <c r="S729" i="12"/>
  <c r="Q726" i="12"/>
  <c r="R726" i="12"/>
  <c r="S726" i="12"/>
  <c r="Q724" i="12"/>
  <c r="R724" i="12"/>
  <c r="S724" i="12"/>
  <c r="Q725" i="12"/>
  <c r="R725" i="12"/>
  <c r="S725" i="12"/>
  <c r="Q377" i="12"/>
  <c r="R377" i="12"/>
  <c r="S377" i="12"/>
  <c r="Q378" i="12"/>
  <c r="R378" i="12"/>
  <c r="S378" i="12"/>
  <c r="Q764" i="12"/>
  <c r="R764" i="12"/>
  <c r="S764" i="12"/>
  <c r="Q765" i="12"/>
  <c r="R765" i="12"/>
  <c r="S765" i="12"/>
  <c r="Q676" i="12"/>
  <c r="R676" i="12"/>
  <c r="S676" i="12"/>
  <c r="Q679" i="12"/>
  <c r="R679" i="12"/>
  <c r="S679" i="12"/>
  <c r="Q771" i="12"/>
  <c r="R771" i="12"/>
  <c r="S771" i="12"/>
  <c r="Q772" i="12"/>
  <c r="R772" i="12"/>
  <c r="S772" i="12"/>
  <c r="Q773" i="12"/>
  <c r="R773" i="12"/>
  <c r="S773" i="12"/>
  <c r="Q774" i="12"/>
  <c r="R774" i="12"/>
  <c r="S774" i="12"/>
  <c r="Q775" i="12"/>
  <c r="R775" i="12"/>
  <c r="S775" i="12"/>
  <c r="Q235" i="12"/>
  <c r="R235" i="12"/>
  <c r="S235" i="12"/>
  <c r="Q236" i="12"/>
  <c r="R236" i="12"/>
  <c r="S236" i="12"/>
  <c r="Q251" i="12"/>
  <c r="R251" i="12"/>
  <c r="S251" i="12"/>
  <c r="Q252" i="12"/>
  <c r="R252" i="12"/>
  <c r="S252" i="12"/>
  <c r="Q743" i="12"/>
  <c r="R743" i="12"/>
  <c r="S743" i="12"/>
  <c r="Q744" i="12"/>
  <c r="R744" i="12"/>
  <c r="S744" i="12"/>
  <c r="Q441" i="12"/>
  <c r="R441" i="12"/>
  <c r="S441" i="12"/>
  <c r="Q442" i="12"/>
  <c r="R442" i="12"/>
  <c r="S442" i="12"/>
  <c r="Q802" i="12"/>
  <c r="R802" i="12"/>
  <c r="S802" i="12"/>
  <c r="Q804" i="12"/>
  <c r="R804" i="12"/>
  <c r="S804" i="12"/>
  <c r="Q801" i="12"/>
  <c r="R801" i="12"/>
  <c r="S801" i="12"/>
  <c r="Q799" i="12"/>
  <c r="R799" i="12"/>
  <c r="S799" i="12"/>
  <c r="Q800" i="12"/>
  <c r="R800" i="12"/>
  <c r="S800" i="12"/>
  <c r="Q732" i="12"/>
  <c r="R732" i="12"/>
  <c r="S732" i="12"/>
  <c r="Q733" i="12"/>
  <c r="R733" i="12"/>
  <c r="S733" i="12"/>
  <c r="Q734" i="12"/>
  <c r="R734" i="12"/>
  <c r="S734" i="12"/>
  <c r="Q714" i="12"/>
  <c r="R714" i="12"/>
  <c r="S714" i="12"/>
  <c r="Q715" i="12"/>
  <c r="R715" i="12"/>
  <c r="S715" i="12"/>
  <c r="Q716" i="12"/>
  <c r="R716" i="12"/>
  <c r="S716" i="12"/>
  <c r="Q709" i="12"/>
  <c r="R709" i="12"/>
  <c r="S709" i="12"/>
  <c r="Q710" i="12"/>
  <c r="R710" i="12"/>
  <c r="S710" i="12"/>
  <c r="Q233" i="12"/>
  <c r="R233" i="12"/>
  <c r="S233" i="12"/>
  <c r="Q234" i="12"/>
  <c r="R234" i="12"/>
  <c r="S234" i="12"/>
  <c r="Q658" i="12"/>
  <c r="R658" i="12"/>
  <c r="S658" i="12"/>
  <c r="Q660" i="12"/>
  <c r="R660" i="12"/>
  <c r="S660" i="12"/>
  <c r="Q766" i="12"/>
  <c r="R766" i="12"/>
  <c r="S766" i="12"/>
  <c r="Q769" i="12"/>
  <c r="R769" i="12"/>
  <c r="S769" i="12"/>
  <c r="Q722" i="12"/>
  <c r="R722" i="12"/>
  <c r="S722" i="12"/>
  <c r="Q723" i="12"/>
  <c r="R723" i="12"/>
  <c r="S723" i="12"/>
  <c r="Q737" i="12"/>
  <c r="R737" i="12"/>
  <c r="S737" i="12"/>
  <c r="Q738" i="12"/>
  <c r="R738" i="12"/>
  <c r="S738" i="12"/>
  <c r="Q805" i="12"/>
  <c r="R805" i="12"/>
  <c r="S805" i="12"/>
  <c r="Q806" i="12"/>
  <c r="R806" i="12"/>
  <c r="S806" i="12"/>
  <c r="Q787" i="12"/>
  <c r="R787" i="12"/>
  <c r="S787" i="12"/>
  <c r="Q788" i="12"/>
  <c r="R788" i="12"/>
  <c r="S788" i="12"/>
  <c r="Q240" i="12"/>
  <c r="R240" i="12"/>
  <c r="S240" i="12"/>
  <c r="Q241" i="12"/>
  <c r="R241" i="12"/>
  <c r="S241" i="12"/>
  <c r="Q242" i="12"/>
  <c r="R242" i="12"/>
  <c r="S242" i="12"/>
  <c r="Q735" i="12"/>
  <c r="R735" i="12"/>
  <c r="S735" i="12"/>
  <c r="Q736" i="12"/>
  <c r="R736" i="12"/>
  <c r="S736" i="12"/>
  <c r="Q661" i="12"/>
  <c r="R661" i="12"/>
  <c r="S661" i="12"/>
  <c r="Q662" i="12"/>
  <c r="R662" i="12"/>
  <c r="S662" i="12"/>
  <c r="Q245" i="12"/>
  <c r="R245" i="12"/>
  <c r="S245" i="12"/>
  <c r="Q246" i="12"/>
  <c r="R246" i="12"/>
  <c r="S246" i="12"/>
  <c r="Q789" i="12"/>
  <c r="R789" i="12"/>
  <c r="S789" i="12"/>
  <c r="Q790" i="12"/>
  <c r="R790" i="12"/>
  <c r="S790" i="12"/>
  <c r="Q791" i="12"/>
  <c r="R791" i="12"/>
  <c r="S791" i="12"/>
  <c r="Q750" i="12"/>
  <c r="R750" i="12"/>
  <c r="S750" i="12"/>
  <c r="Q752" i="12"/>
  <c r="R752" i="12"/>
  <c r="S752" i="12"/>
  <c r="Q717" i="12"/>
  <c r="R717" i="12"/>
  <c r="S717" i="12"/>
  <c r="Q718" i="12"/>
  <c r="R718" i="12"/>
  <c r="S718" i="12"/>
  <c r="Q797" i="12"/>
  <c r="R797" i="12"/>
  <c r="S797" i="12"/>
  <c r="Q798" i="12"/>
  <c r="R798" i="12"/>
  <c r="S798" i="12"/>
  <c r="Q243" i="12"/>
  <c r="R243" i="12"/>
  <c r="S243" i="12"/>
  <c r="Q244" i="12"/>
  <c r="R244" i="12"/>
  <c r="S244" i="12"/>
  <c r="Q559" i="12"/>
  <c r="R559" i="12"/>
  <c r="S559" i="12"/>
  <c r="Q560" i="12"/>
  <c r="R560" i="12"/>
  <c r="S560" i="12"/>
  <c r="Q815" i="12"/>
  <c r="R815" i="12"/>
  <c r="S815" i="12"/>
  <c r="Q816" i="12"/>
  <c r="R816" i="12"/>
  <c r="S816" i="12"/>
  <c r="Q817" i="12"/>
  <c r="R817" i="12"/>
  <c r="S817" i="12"/>
  <c r="Q818" i="12"/>
  <c r="R818" i="12"/>
  <c r="S818" i="12"/>
  <c r="Q387" i="12"/>
  <c r="R387" i="12"/>
  <c r="S387" i="12"/>
  <c r="Q385" i="12"/>
  <c r="R385" i="12"/>
  <c r="S385" i="12"/>
  <c r="Q386" i="12"/>
  <c r="R386" i="12"/>
  <c r="S386" i="12"/>
  <c r="Q229" i="12"/>
  <c r="R229" i="12"/>
  <c r="S229" i="12"/>
  <c r="Q230" i="12"/>
  <c r="R230" i="12"/>
  <c r="S230" i="12"/>
  <c r="Q792" i="12"/>
  <c r="R792" i="12"/>
  <c r="S792" i="12"/>
  <c r="Q793" i="12"/>
  <c r="R793" i="12"/>
  <c r="S793" i="12"/>
  <c r="Q848" i="12"/>
  <c r="R848" i="12"/>
  <c r="S848" i="12"/>
  <c r="Q849" i="12"/>
  <c r="R849" i="12"/>
  <c r="S849" i="12"/>
  <c r="Q649" i="12"/>
  <c r="R649" i="12"/>
  <c r="S649" i="12"/>
  <c r="Q650" i="12"/>
  <c r="R650" i="12"/>
  <c r="S650" i="12"/>
  <c r="Q449" i="12"/>
  <c r="R449" i="12"/>
  <c r="S449" i="12"/>
  <c r="Q447" i="12"/>
  <c r="R447" i="12"/>
  <c r="S447" i="12"/>
  <c r="Q448" i="12"/>
  <c r="R448" i="12"/>
  <c r="S448" i="12"/>
  <c r="Q672" i="12"/>
  <c r="R672" i="12"/>
  <c r="S672" i="12"/>
  <c r="Q673" i="12"/>
  <c r="R673" i="12"/>
  <c r="S673" i="12"/>
  <c r="Q711" i="12"/>
  <c r="R711" i="12"/>
  <c r="S711" i="12"/>
  <c r="Q712" i="12"/>
  <c r="R712" i="12"/>
  <c r="S712" i="12"/>
  <c r="Q713" i="12"/>
  <c r="R713" i="12"/>
  <c r="S713" i="12"/>
  <c r="Q900" i="12"/>
  <c r="R900" i="12"/>
  <c r="S900" i="12"/>
  <c r="Q901" i="12"/>
  <c r="R901" i="12"/>
  <c r="S901" i="12"/>
  <c r="Q61" i="12"/>
  <c r="R61" i="12"/>
  <c r="S61" i="12"/>
  <c r="Q63" i="12"/>
  <c r="R63" i="12"/>
  <c r="S63" i="12"/>
  <c r="Q62" i="12"/>
  <c r="R62" i="12"/>
  <c r="S62" i="12"/>
  <c r="Q64" i="12"/>
  <c r="R64" i="12"/>
  <c r="S64" i="12"/>
  <c r="Q719" i="12"/>
  <c r="R719" i="12"/>
  <c r="S719" i="12"/>
  <c r="Q720" i="12"/>
  <c r="R720" i="12"/>
  <c r="S720" i="12"/>
  <c r="Q721" i="12"/>
  <c r="R721" i="12"/>
  <c r="S721" i="12"/>
  <c r="Q891" i="12"/>
  <c r="R891" i="12"/>
  <c r="S891" i="12"/>
  <c r="Q892" i="12"/>
  <c r="R892" i="12"/>
  <c r="S892" i="12"/>
  <c r="Q193" i="12"/>
  <c r="R193" i="12"/>
  <c r="S193" i="12"/>
  <c r="Q194" i="12"/>
  <c r="R194" i="12"/>
  <c r="S194" i="12"/>
  <c r="Q821" i="12"/>
  <c r="R821" i="12"/>
  <c r="S821" i="12"/>
  <c r="Q822" i="12"/>
  <c r="R822" i="12"/>
  <c r="S822" i="12"/>
  <c r="Q823" i="12"/>
  <c r="R823" i="12"/>
  <c r="S823" i="12"/>
  <c r="Q819" i="12"/>
  <c r="R819" i="12"/>
  <c r="S819" i="12"/>
  <c r="Q820" i="12"/>
  <c r="R820" i="12"/>
  <c r="S820" i="12"/>
  <c r="Q840" i="12"/>
  <c r="R840" i="12"/>
  <c r="S840" i="12"/>
  <c r="Q841" i="12"/>
  <c r="R841" i="12"/>
  <c r="S841" i="12"/>
  <c r="Q859" i="12"/>
  <c r="R859" i="12"/>
  <c r="S859" i="12"/>
  <c r="Q860" i="12"/>
  <c r="R860" i="12"/>
  <c r="S860" i="12"/>
  <c r="Q838" i="12"/>
  <c r="R838" i="12"/>
  <c r="S838" i="12"/>
  <c r="Q839" i="12"/>
  <c r="R839" i="12"/>
  <c r="S839" i="12"/>
  <c r="Q918" i="12"/>
  <c r="R918" i="12"/>
  <c r="S918" i="12"/>
  <c r="Q919" i="12"/>
  <c r="R919" i="12"/>
  <c r="S919" i="12"/>
  <c r="Q762" i="12"/>
  <c r="R762" i="12"/>
  <c r="S762" i="12"/>
  <c r="Q763" i="12"/>
  <c r="R763" i="12"/>
  <c r="S763" i="12"/>
  <c r="Q846" i="12"/>
  <c r="R846" i="12"/>
  <c r="S846" i="12"/>
  <c r="Q847" i="12"/>
  <c r="R847" i="12"/>
  <c r="S847" i="12"/>
  <c r="Q225" i="12"/>
  <c r="R225" i="12"/>
  <c r="S225" i="12"/>
  <c r="Q226" i="12"/>
  <c r="R226" i="12"/>
  <c r="S226" i="12"/>
  <c r="Q237" i="12"/>
  <c r="R237" i="12"/>
  <c r="S237" i="12"/>
  <c r="Q238" i="12"/>
  <c r="R238" i="12"/>
  <c r="S238" i="12"/>
  <c r="Q794" i="12"/>
  <c r="R794" i="12"/>
  <c r="S794" i="12"/>
  <c r="Q795" i="12"/>
  <c r="R795" i="12"/>
  <c r="S795" i="12"/>
  <c r="Q796" i="12"/>
  <c r="R796" i="12"/>
  <c r="S796" i="12"/>
  <c r="Q168" i="12"/>
  <c r="R168" i="12"/>
  <c r="S168" i="12"/>
  <c r="Q169" i="12"/>
  <c r="R169" i="12"/>
  <c r="S169" i="12"/>
  <c r="Q170" i="12"/>
  <c r="R170" i="12"/>
  <c r="S170" i="12"/>
  <c r="Q826" i="12"/>
  <c r="R826" i="12"/>
  <c r="S826" i="12"/>
  <c r="Q827" i="12"/>
  <c r="R827" i="12"/>
  <c r="S827" i="12"/>
  <c r="Q191" i="12"/>
  <c r="R191" i="12"/>
  <c r="S191" i="12"/>
  <c r="Q166" i="12"/>
  <c r="R166" i="12"/>
  <c r="S166" i="12"/>
  <c r="R598" i="12"/>
  <c r="S598" i="12"/>
  <c r="R599" i="12"/>
  <c r="S599" i="12"/>
  <c r="Q192" i="12"/>
  <c r="R192" i="12"/>
  <c r="S192" i="12"/>
  <c r="Q167" i="12"/>
  <c r="R167" i="12"/>
  <c r="S167" i="12"/>
  <c r="Q239" i="12"/>
  <c r="R239" i="12"/>
  <c r="S239" i="12"/>
  <c r="Q844" i="12"/>
  <c r="R844" i="12"/>
  <c r="S844" i="12"/>
  <c r="Q845" i="12"/>
  <c r="R845" i="12"/>
  <c r="S845" i="12"/>
  <c r="Q882" i="12"/>
  <c r="R882" i="12"/>
  <c r="S882" i="12"/>
  <c r="Q883" i="12"/>
  <c r="R883" i="12"/>
  <c r="S883" i="12"/>
  <c r="Q187" i="12"/>
  <c r="R187" i="12"/>
  <c r="S187" i="12"/>
  <c r="Q188" i="12"/>
  <c r="R188" i="12"/>
  <c r="S188" i="12"/>
  <c r="Q879" i="12"/>
  <c r="R879" i="12"/>
  <c r="S879" i="12"/>
  <c r="Q881" i="12"/>
  <c r="R881" i="12"/>
  <c r="S881" i="12"/>
  <c r="Q878" i="12"/>
  <c r="R878" i="12"/>
  <c r="S878" i="12"/>
  <c r="Q876" i="12"/>
  <c r="R876" i="12"/>
  <c r="S876" i="12"/>
  <c r="Q877" i="12"/>
  <c r="R877" i="12"/>
  <c r="S877" i="12"/>
  <c r="Q195" i="12"/>
  <c r="R195" i="12"/>
  <c r="S195" i="12"/>
  <c r="Q196" i="12"/>
  <c r="R196" i="12"/>
  <c r="S196" i="12"/>
  <c r="Q185" i="12"/>
  <c r="R185" i="12"/>
  <c r="S185" i="12"/>
  <c r="Q186" i="12"/>
  <c r="R186" i="12"/>
  <c r="S186" i="12"/>
  <c r="Q833" i="12"/>
  <c r="R833" i="12"/>
  <c r="S833" i="12"/>
  <c r="Q834" i="12"/>
  <c r="R834" i="12"/>
  <c r="S834" i="12"/>
  <c r="Q835" i="12"/>
  <c r="R835" i="12"/>
  <c r="S835" i="12"/>
  <c r="Q836" i="12"/>
  <c r="R836" i="12"/>
  <c r="S836" i="12"/>
  <c r="Q837" i="12"/>
  <c r="R837" i="12"/>
  <c r="S837" i="12"/>
  <c r="Q173" i="12"/>
  <c r="R173" i="12"/>
  <c r="S173" i="12"/>
  <c r="Q189" i="12"/>
  <c r="R189" i="12"/>
  <c r="S189" i="12"/>
  <c r="Q190" i="12"/>
  <c r="R190" i="12"/>
  <c r="S190" i="12"/>
  <c r="Q174" i="12"/>
  <c r="R174" i="12"/>
  <c r="S174" i="12"/>
  <c r="Q213" i="12"/>
  <c r="R213" i="12"/>
  <c r="S213" i="12"/>
  <c r="Q214" i="12"/>
  <c r="R214" i="12"/>
  <c r="S214" i="12"/>
  <c r="Q181" i="12"/>
  <c r="R181" i="12"/>
  <c r="S181" i="12"/>
  <c r="Q182" i="12"/>
  <c r="R182" i="12"/>
  <c r="S182" i="12"/>
  <c r="Q180" i="12"/>
  <c r="R180" i="12"/>
  <c r="S180" i="12"/>
  <c r="Q183" i="12"/>
  <c r="R183" i="12"/>
  <c r="S183" i="12"/>
  <c r="Q184" i="12"/>
  <c r="R184" i="12"/>
  <c r="S184" i="12"/>
  <c r="Q866" i="12"/>
  <c r="R866" i="12"/>
  <c r="S866" i="12"/>
  <c r="Q867" i="12"/>
  <c r="R867" i="12"/>
  <c r="S867" i="12"/>
  <c r="Q868" i="12"/>
  <c r="R868" i="12"/>
  <c r="S868" i="12"/>
  <c r="R810" i="12"/>
  <c r="S810" i="12"/>
  <c r="Q812" i="12"/>
  <c r="R812" i="12"/>
  <c r="S812" i="12"/>
  <c r="Q828" i="12"/>
  <c r="R828" i="12"/>
  <c r="S828" i="12"/>
  <c r="Q831" i="12"/>
  <c r="R831" i="12"/>
  <c r="S831" i="12"/>
  <c r="Q210" i="12"/>
  <c r="R210" i="12"/>
  <c r="S210" i="12"/>
  <c r="Q212" i="12"/>
  <c r="R212" i="12"/>
  <c r="S212" i="12"/>
  <c r="Q209" i="12"/>
  <c r="R209" i="12"/>
  <c r="S209" i="12"/>
  <c r="Q208" i="12"/>
  <c r="R208" i="12"/>
  <c r="S208" i="12"/>
  <c r="Q922" i="12"/>
  <c r="R922" i="12"/>
  <c r="S922" i="12"/>
  <c r="Q923" i="12"/>
  <c r="R923" i="12"/>
  <c r="S923" i="12"/>
  <c r="Q207" i="12"/>
  <c r="R207" i="12"/>
  <c r="S207" i="12"/>
  <c r="Q874" i="12"/>
  <c r="R874" i="12"/>
  <c r="S874" i="12"/>
  <c r="Q875" i="12"/>
  <c r="R875" i="12"/>
  <c r="S875" i="12"/>
  <c r="Q889" i="12"/>
  <c r="R889" i="12"/>
  <c r="S889" i="12"/>
  <c r="Q890" i="12"/>
  <c r="R890" i="12"/>
  <c r="S890" i="12"/>
  <c r="Q884" i="12"/>
  <c r="R884" i="12"/>
  <c r="S884" i="12"/>
  <c r="Q885" i="12"/>
  <c r="R885" i="12"/>
  <c r="S885" i="12"/>
  <c r="Q886" i="12"/>
  <c r="R886" i="12"/>
  <c r="S886" i="12"/>
  <c r="Q913" i="12"/>
  <c r="R913" i="12"/>
  <c r="S913" i="12"/>
  <c r="Q914" i="12"/>
  <c r="R914" i="12"/>
  <c r="S914" i="12"/>
  <c r="Q175" i="12"/>
  <c r="R175" i="12"/>
  <c r="S175" i="12"/>
  <c r="Q178" i="12"/>
  <c r="R178" i="12"/>
  <c r="S178" i="12"/>
  <c r="R161" i="12"/>
  <c r="S161" i="12"/>
  <c r="Q197" i="12"/>
  <c r="R197" i="12"/>
  <c r="S197" i="12"/>
  <c r="Q198" i="12"/>
  <c r="R198" i="12"/>
  <c r="S198" i="12"/>
  <c r="Q199" i="12"/>
  <c r="R199" i="12"/>
  <c r="S199" i="12"/>
  <c r="Q163" i="12"/>
  <c r="R163" i="12"/>
  <c r="S163" i="12"/>
  <c r="Q741" i="12"/>
  <c r="R741" i="12"/>
  <c r="S741" i="12"/>
  <c r="Q742" i="12"/>
  <c r="R742" i="12"/>
  <c r="S742" i="12"/>
  <c r="Q813" i="12"/>
  <c r="R813" i="12"/>
  <c r="S813" i="12"/>
  <c r="Q814" i="12"/>
  <c r="R814" i="12"/>
  <c r="S814" i="12"/>
  <c r="Q205" i="12"/>
  <c r="R205" i="12"/>
  <c r="S205" i="12"/>
  <c r="Q206" i="12"/>
  <c r="R206" i="12"/>
  <c r="S206" i="12"/>
  <c r="Q215" i="12"/>
  <c r="R215" i="12"/>
  <c r="S215" i="12"/>
  <c r="Q216" i="12"/>
  <c r="R216" i="12"/>
  <c r="S216" i="12"/>
  <c r="Q217" i="12"/>
  <c r="R217" i="12"/>
  <c r="S217" i="12"/>
  <c r="Q869" i="12"/>
  <c r="R869" i="12"/>
  <c r="S869" i="12"/>
  <c r="Q870" i="12"/>
  <c r="R870" i="12"/>
  <c r="S870" i="12"/>
  <c r="Q887" i="12"/>
  <c r="R887" i="12"/>
  <c r="S887" i="12"/>
  <c r="Q888" i="12"/>
  <c r="R888" i="12"/>
  <c r="S888" i="12"/>
  <c r="Q220" i="12"/>
  <c r="R220" i="12"/>
  <c r="S220" i="12"/>
  <c r="Q221" i="12"/>
  <c r="R221" i="12"/>
  <c r="S221" i="12"/>
  <c r="Q164" i="12"/>
  <c r="R164" i="12"/>
  <c r="S164" i="12"/>
  <c r="Q165" i="12"/>
  <c r="R165" i="12"/>
  <c r="S165" i="12"/>
  <c r="Q247" i="12"/>
  <c r="R247" i="12"/>
  <c r="S247" i="12"/>
  <c r="Q248" i="12"/>
  <c r="R248" i="12"/>
  <c r="S248" i="12"/>
  <c r="Q606" i="12"/>
  <c r="R606" i="12"/>
  <c r="S606" i="12"/>
  <c r="Q607" i="12"/>
  <c r="R607" i="12"/>
  <c r="S607" i="12"/>
  <c r="Q218" i="12"/>
  <c r="R218" i="12"/>
  <c r="S218" i="12"/>
  <c r="Q219" i="12"/>
  <c r="R219" i="12"/>
  <c r="S219" i="12"/>
  <c r="Q871" i="12"/>
  <c r="R871" i="12"/>
  <c r="S871" i="12"/>
  <c r="Q872" i="12"/>
  <c r="R872" i="12"/>
  <c r="S872" i="12"/>
  <c r="Q873" i="12"/>
  <c r="R873" i="12"/>
  <c r="S873" i="12"/>
  <c r="Q608" i="12"/>
  <c r="R608" i="12"/>
  <c r="S608" i="12"/>
  <c r="Q200" i="12"/>
  <c r="R200" i="12"/>
  <c r="S200" i="12"/>
  <c r="Q201" i="12"/>
  <c r="R201" i="12"/>
  <c r="S201" i="12"/>
  <c r="Q824" i="12"/>
  <c r="R824" i="12"/>
  <c r="S824" i="12"/>
  <c r="Q825" i="12"/>
  <c r="R825" i="12"/>
  <c r="S825" i="12"/>
  <c r="Q340" i="12"/>
  <c r="R340" i="12"/>
  <c r="S340" i="12"/>
  <c r="Q341" i="12"/>
  <c r="R341" i="12"/>
  <c r="S341" i="12"/>
  <c r="Q342" i="12"/>
  <c r="R342" i="12"/>
  <c r="S342" i="12"/>
  <c r="Q60" i="12"/>
  <c r="R60" i="12"/>
  <c r="S60" i="12"/>
  <c r="Q202" i="12"/>
  <c r="R202" i="12"/>
  <c r="S202" i="12"/>
  <c r="Q204" i="12"/>
  <c r="R204" i="12"/>
  <c r="S204" i="12"/>
  <c r="Q203" i="12"/>
  <c r="R203" i="12"/>
  <c r="S203" i="12"/>
  <c r="Q863" i="12"/>
  <c r="R863" i="12"/>
  <c r="S863" i="12"/>
  <c r="Q864" i="12"/>
  <c r="R864" i="12"/>
  <c r="S864" i="12"/>
  <c r="Q865" i="12"/>
  <c r="R865" i="12"/>
  <c r="S865" i="12"/>
  <c r="Q171" i="12"/>
  <c r="R171" i="12"/>
  <c r="S171" i="12"/>
  <c r="Q172" i="12"/>
  <c r="R172" i="12"/>
  <c r="S172" i="12"/>
  <c r="Q59" i="12"/>
  <c r="R59" i="12"/>
  <c r="S59" i="12"/>
  <c r="Q915" i="12"/>
  <c r="R915" i="12"/>
  <c r="S915" i="12"/>
  <c r="Q916" i="12"/>
  <c r="R916" i="12"/>
  <c r="S916" i="12"/>
  <c r="Q917" i="12"/>
  <c r="R917" i="12"/>
  <c r="S917" i="12"/>
  <c r="Q893" i="12"/>
  <c r="R893" i="12"/>
  <c r="S893" i="12"/>
  <c r="Q894" i="12"/>
  <c r="R894" i="12"/>
  <c r="S894" i="12"/>
  <c r="Q432" i="12"/>
  <c r="R432" i="12"/>
  <c r="S432" i="12"/>
  <c r="Q433" i="12"/>
  <c r="R433" i="12"/>
  <c r="S433" i="12"/>
  <c r="Q434" i="12"/>
  <c r="R434" i="12"/>
  <c r="S434" i="12"/>
  <c r="Q842" i="12"/>
  <c r="R842" i="12"/>
  <c r="S842" i="12"/>
  <c r="Q843" i="12"/>
  <c r="R843" i="12"/>
  <c r="S843" i="12"/>
  <c r="Q477" i="12"/>
  <c r="R477" i="12"/>
  <c r="S477" i="12"/>
  <c r="Q478" i="12"/>
  <c r="R478" i="12"/>
  <c r="S478" i="12"/>
  <c r="Q780" i="12"/>
  <c r="R780" i="12"/>
  <c r="S780" i="12"/>
  <c r="Q479" i="12"/>
  <c r="R479" i="12"/>
  <c r="S479" i="12"/>
  <c r="Q920" i="12"/>
  <c r="R920" i="12"/>
  <c r="S920" i="12"/>
  <c r="Q921" i="12"/>
  <c r="R921" i="12"/>
  <c r="S921" i="12"/>
  <c r="Q778" i="12"/>
  <c r="R778" i="12"/>
  <c r="S778" i="12"/>
  <c r="Q779" i="12"/>
  <c r="R779" i="12"/>
  <c r="S779" i="12"/>
  <c r="Q902" i="12"/>
  <c r="R902" i="12"/>
  <c r="S902" i="12"/>
  <c r="Q903" i="12"/>
  <c r="R903" i="12"/>
  <c r="S903" i="12"/>
  <c r="Q850" i="12"/>
  <c r="R850" i="12"/>
  <c r="S850" i="12"/>
  <c r="Q851" i="12"/>
  <c r="R851" i="12"/>
  <c r="S851" i="12"/>
  <c r="Q852" i="12"/>
  <c r="R852" i="12"/>
  <c r="S852" i="12"/>
  <c r="Q904" i="12"/>
  <c r="R904" i="12"/>
  <c r="S904" i="12"/>
  <c r="Q905" i="12"/>
  <c r="R905" i="12"/>
  <c r="S905" i="12"/>
  <c r="Q956" i="12"/>
  <c r="R956" i="12"/>
  <c r="S956" i="12"/>
  <c r="Q957" i="12"/>
  <c r="R957" i="12"/>
  <c r="S957" i="12"/>
  <c r="Q906" i="12"/>
  <c r="R906" i="12"/>
  <c r="S906" i="12"/>
  <c r="Q653" i="12"/>
  <c r="R653" i="12"/>
  <c r="S653" i="12"/>
  <c r="Q654" i="12"/>
  <c r="R654" i="12"/>
  <c r="S654" i="12"/>
  <c r="Q655" i="12"/>
  <c r="R655" i="12"/>
  <c r="S655" i="12"/>
  <c r="Q1037" i="12"/>
  <c r="R1037" i="12"/>
  <c r="S1037" i="12"/>
  <c r="Q1038" i="12"/>
  <c r="R1038" i="12"/>
  <c r="S1038" i="12"/>
  <c r="Q1039" i="12"/>
  <c r="R1039" i="12"/>
  <c r="S1039" i="12"/>
  <c r="Q1040" i="12"/>
  <c r="R1040" i="12"/>
  <c r="S1040" i="12"/>
  <c r="Q1041" i="12"/>
  <c r="R1041" i="12"/>
  <c r="S1041" i="12"/>
  <c r="Q103" i="12"/>
  <c r="R103" i="12"/>
  <c r="S103" i="12"/>
  <c r="Q104" i="12"/>
  <c r="R104" i="12"/>
  <c r="S104" i="12"/>
  <c r="Q964" i="12"/>
  <c r="R964" i="12"/>
  <c r="S964" i="12"/>
  <c r="Q962" i="12"/>
  <c r="R962" i="12"/>
  <c r="S962" i="12"/>
  <c r="Q963" i="12"/>
  <c r="R963" i="12"/>
  <c r="S963" i="12"/>
  <c r="Q807" i="12"/>
  <c r="R807" i="12"/>
  <c r="S807" i="12"/>
  <c r="Q809" i="12"/>
  <c r="R809" i="12"/>
  <c r="S809" i="12"/>
  <c r="Q808" i="12"/>
  <c r="R808" i="12"/>
  <c r="S808" i="12"/>
  <c r="Q1046" i="12"/>
  <c r="R1046" i="12"/>
  <c r="S1046" i="12"/>
  <c r="Q1047" i="12"/>
  <c r="R1047" i="12"/>
  <c r="S1047" i="12"/>
  <c r="Q111" i="12"/>
  <c r="R111" i="12"/>
  <c r="S111" i="12"/>
  <c r="Q112" i="12"/>
  <c r="R112" i="12"/>
  <c r="S112" i="12"/>
  <c r="Q1010" i="12"/>
  <c r="R1010" i="12"/>
  <c r="S1010" i="12"/>
  <c r="Q897" i="12"/>
  <c r="R897" i="12"/>
  <c r="S897" i="12"/>
  <c r="Q898" i="12"/>
  <c r="R898" i="12"/>
  <c r="S898" i="12"/>
  <c r="Q899" i="12"/>
  <c r="R899" i="12"/>
  <c r="S899" i="12"/>
  <c r="Q222" i="12"/>
  <c r="R222" i="12"/>
  <c r="S222" i="12"/>
  <c r="Q223" i="12"/>
  <c r="R223" i="12"/>
  <c r="S223" i="12"/>
  <c r="Q224" i="12"/>
  <c r="R224" i="12"/>
  <c r="S224" i="12"/>
  <c r="Q1054" i="12"/>
  <c r="R1054" i="12"/>
  <c r="S1054" i="12"/>
  <c r="Q1055" i="12"/>
  <c r="R1055" i="12"/>
  <c r="S1055" i="12"/>
  <c r="Q1056" i="12"/>
  <c r="R1056" i="12"/>
  <c r="S1056" i="12"/>
  <c r="Q1005" i="12"/>
  <c r="R1005" i="12"/>
  <c r="S1005" i="12"/>
  <c r="Q1006" i="12"/>
  <c r="R1006" i="12"/>
  <c r="S1006" i="12"/>
  <c r="Q1007" i="12"/>
  <c r="R1007" i="12"/>
  <c r="S1007" i="12"/>
  <c r="Q1011" i="12"/>
  <c r="R1011" i="12"/>
  <c r="S1011" i="12"/>
  <c r="Q1012" i="12"/>
  <c r="R1012" i="12"/>
  <c r="S1012" i="12"/>
  <c r="Q1013" i="12"/>
  <c r="R1013" i="12"/>
  <c r="S1013" i="12"/>
  <c r="Q1101" i="12"/>
  <c r="R1101" i="12"/>
  <c r="S1101" i="12"/>
  <c r="Q1102" i="12"/>
  <c r="R1102" i="12"/>
  <c r="S1102" i="12"/>
  <c r="Q1103" i="12"/>
  <c r="R1103" i="12"/>
  <c r="S1103" i="12"/>
  <c r="Q298" i="12"/>
  <c r="R298" i="12"/>
  <c r="S298" i="12"/>
  <c r="Q299" i="12"/>
  <c r="R299" i="12"/>
  <c r="S299" i="12"/>
  <c r="Q300" i="12"/>
  <c r="R300" i="12"/>
  <c r="S300" i="12"/>
  <c r="Q301" i="12"/>
  <c r="R301" i="12"/>
  <c r="S301" i="12"/>
  <c r="Q296" i="12"/>
  <c r="R296" i="12"/>
  <c r="S296" i="12"/>
  <c r="Q297" i="12"/>
  <c r="R297" i="12"/>
  <c r="S297" i="12"/>
  <c r="Q390" i="12"/>
  <c r="R390" i="12"/>
  <c r="S390" i="12"/>
  <c r="Q391" i="12"/>
  <c r="R391" i="12"/>
  <c r="S391" i="12"/>
  <c r="Q392" i="12"/>
  <c r="R392" i="12"/>
  <c r="S392" i="12"/>
  <c r="Q393" i="12"/>
  <c r="R393" i="12"/>
  <c r="S393" i="12"/>
  <c r="Q452" i="12"/>
  <c r="R452" i="12"/>
  <c r="S452" i="12"/>
  <c r="Q453" i="12"/>
  <c r="R453" i="12"/>
  <c r="S453" i="12"/>
  <c r="Q454" i="12"/>
  <c r="R454" i="12"/>
  <c r="S454" i="12"/>
  <c r="Q455" i="12"/>
  <c r="R455" i="12"/>
  <c r="S455" i="12"/>
  <c r="Q388" i="12"/>
  <c r="R388" i="12"/>
  <c r="S388" i="12"/>
  <c r="Q389" i="12"/>
  <c r="R389" i="12"/>
  <c r="S389" i="12"/>
  <c r="Q450" i="12"/>
  <c r="R450" i="12"/>
  <c r="S450" i="12"/>
  <c r="Q451" i="12"/>
  <c r="R451" i="12"/>
  <c r="S451" i="12"/>
  <c r="Q612" i="12"/>
  <c r="R612" i="12"/>
  <c r="S612" i="12"/>
  <c r="Q613" i="12"/>
  <c r="R613" i="12"/>
  <c r="S613" i="12"/>
  <c r="Q614" i="12"/>
  <c r="R614" i="12"/>
  <c r="S614" i="12"/>
  <c r="Q611" i="12"/>
  <c r="R611" i="12"/>
  <c r="S611" i="12"/>
  <c r="Q609" i="12"/>
  <c r="R609" i="12"/>
  <c r="S609" i="12"/>
  <c r="Q610" i="12"/>
  <c r="R610" i="12"/>
  <c r="S610" i="12"/>
  <c r="Q783" i="12"/>
  <c r="R783" i="12"/>
  <c r="S783" i="12"/>
  <c r="Q784" i="12"/>
  <c r="R784" i="12"/>
  <c r="S784" i="12"/>
  <c r="Q785" i="12"/>
  <c r="R785" i="12"/>
  <c r="S785" i="12"/>
  <c r="Q786" i="12"/>
  <c r="R786" i="12"/>
  <c r="S786" i="12"/>
  <c r="Q781" i="12"/>
  <c r="R781" i="12"/>
  <c r="S781" i="12"/>
  <c r="Q782" i="12"/>
  <c r="R782" i="12"/>
  <c r="S782" i="12"/>
  <c r="Q855" i="12"/>
  <c r="R855" i="12"/>
  <c r="S855" i="12"/>
  <c r="Q856" i="12"/>
  <c r="R856" i="12"/>
  <c r="S856" i="12"/>
  <c r="Q857" i="12"/>
  <c r="R857" i="12"/>
  <c r="S857" i="12"/>
  <c r="Q858" i="12"/>
  <c r="R858" i="12"/>
  <c r="S858" i="12"/>
  <c r="Q909" i="12"/>
  <c r="R909" i="12"/>
  <c r="S909" i="12"/>
  <c r="Q910" i="12"/>
  <c r="R910" i="12"/>
  <c r="S910" i="12"/>
  <c r="Q911" i="12"/>
  <c r="R911" i="12"/>
  <c r="S911" i="12"/>
  <c r="Q912" i="12"/>
  <c r="R912" i="12"/>
  <c r="S912" i="12"/>
  <c r="Q853" i="12"/>
  <c r="R853" i="12"/>
  <c r="S853" i="12"/>
  <c r="Q854" i="12"/>
  <c r="R854" i="12"/>
  <c r="S854" i="12"/>
  <c r="Q907" i="12"/>
  <c r="R907" i="12"/>
  <c r="S907" i="12"/>
  <c r="Q908" i="12"/>
  <c r="R908" i="12"/>
  <c r="S908" i="12"/>
  <c r="Q967" i="12"/>
  <c r="R967" i="12"/>
  <c r="S967" i="12"/>
  <c r="Q968" i="12"/>
  <c r="R968" i="12"/>
  <c r="S968" i="12"/>
  <c r="Q969" i="12"/>
  <c r="R969" i="12"/>
  <c r="S969" i="12"/>
  <c r="Q970" i="12"/>
  <c r="R970" i="12"/>
  <c r="S970" i="12"/>
  <c r="Q965" i="12"/>
  <c r="R965" i="12"/>
  <c r="S965" i="12"/>
  <c r="Q966" i="12"/>
  <c r="R966" i="12"/>
  <c r="S966" i="12"/>
  <c r="Q155" i="12"/>
  <c r="R155" i="12"/>
  <c r="S155" i="12"/>
  <c r="Q156" i="12"/>
  <c r="R156" i="12"/>
  <c r="S156" i="12"/>
  <c r="Q157" i="12"/>
  <c r="R157" i="12"/>
  <c r="S157" i="12"/>
  <c r="Q158" i="12"/>
  <c r="R158" i="12"/>
  <c r="S158" i="12"/>
  <c r="Q153" i="12"/>
  <c r="R153" i="12"/>
  <c r="S153" i="12"/>
  <c r="Q154" i="12"/>
  <c r="R154" i="12"/>
  <c r="S154" i="12"/>
  <c r="Q1059" i="12"/>
  <c r="R1059" i="12"/>
  <c r="S1059" i="12"/>
  <c r="Q1062" i="12"/>
  <c r="R1062" i="12"/>
  <c r="S1062" i="12"/>
  <c r="Q1057" i="12"/>
  <c r="R1057" i="12"/>
  <c r="S1057" i="12"/>
  <c r="Q701" i="12"/>
  <c r="R701" i="12"/>
  <c r="S701" i="12"/>
  <c r="Q702" i="12"/>
  <c r="R702" i="12"/>
  <c r="S702" i="12"/>
  <c r="Q1058" i="12"/>
  <c r="R1058" i="12"/>
  <c r="S1058" i="12"/>
  <c r="Q521" i="12"/>
  <c r="R521" i="12"/>
  <c r="S521" i="12"/>
  <c r="Q522" i="12"/>
  <c r="R522" i="12"/>
  <c r="S522" i="12"/>
  <c r="Q1060" i="12"/>
  <c r="R1060" i="12"/>
  <c r="S1060" i="12"/>
  <c r="Q1061" i="12"/>
  <c r="R1061" i="12"/>
  <c r="S1061" i="12"/>
  <c r="Q523" i="12"/>
  <c r="R523" i="12"/>
  <c r="S523" i="12"/>
  <c r="Q703" i="12"/>
  <c r="R703" i="12"/>
  <c r="S703" i="12"/>
  <c r="Q524" i="12"/>
  <c r="R524" i="12"/>
  <c r="S524" i="12"/>
  <c r="Q704" i="12"/>
  <c r="R704" i="12"/>
  <c r="S704" i="12"/>
  <c r="Q525" i="12"/>
  <c r="R525" i="12"/>
  <c r="S525" i="12"/>
  <c r="Q705" i="12"/>
  <c r="R705" i="12"/>
  <c r="S705" i="12"/>
  <c r="Q526" i="12"/>
  <c r="R526" i="12"/>
  <c r="S526" i="12"/>
  <c r="Q706" i="12"/>
  <c r="R706" i="12"/>
  <c r="S706" i="12"/>
  <c r="Q861" i="12"/>
  <c r="R861" i="12"/>
  <c r="S861" i="12"/>
  <c r="Q862" i="12"/>
  <c r="R862" i="12"/>
  <c r="S862" i="12"/>
  <c r="Q895" i="12"/>
  <c r="R895" i="12"/>
  <c r="S895" i="12"/>
  <c r="Q896" i="12"/>
  <c r="R896" i="12"/>
  <c r="S896" i="12"/>
  <c r="Q557" i="12"/>
  <c r="R557" i="12"/>
  <c r="S557" i="12"/>
  <c r="Q558" i="12"/>
  <c r="R558" i="12"/>
  <c r="S558" i="12"/>
  <c r="Q510" i="12"/>
  <c r="R510" i="12"/>
  <c r="S510" i="12"/>
  <c r="Q690" i="12"/>
  <c r="R690" i="12"/>
  <c r="S690" i="12"/>
  <c r="Q511" i="12"/>
  <c r="R511" i="12"/>
  <c r="S511" i="12"/>
  <c r="Q691" i="12"/>
  <c r="R691" i="12"/>
  <c r="S691" i="12"/>
  <c r="Q518" i="12"/>
  <c r="R518" i="12"/>
  <c r="S518" i="12"/>
  <c r="Q698" i="12"/>
  <c r="R698" i="12"/>
  <c r="S698" i="12"/>
  <c r="Q519" i="12"/>
  <c r="R519" i="12"/>
  <c r="S519" i="12"/>
  <c r="Q699" i="12"/>
  <c r="R699" i="12"/>
  <c r="S699" i="12"/>
  <c r="Q520" i="12"/>
  <c r="R520" i="12"/>
  <c r="S520" i="12"/>
  <c r="Q700" i="12"/>
  <c r="R700" i="12"/>
  <c r="S700" i="12"/>
  <c r="Q561" i="12"/>
  <c r="R561" i="12"/>
  <c r="S561" i="12"/>
  <c r="Q745" i="12"/>
  <c r="R745" i="12"/>
  <c r="S745" i="12"/>
  <c r="Q562" i="12"/>
  <c r="R562" i="12"/>
  <c r="S562" i="12"/>
  <c r="Q746" i="12"/>
  <c r="R746" i="12"/>
  <c r="S746" i="12"/>
  <c r="Q563" i="12"/>
  <c r="R563" i="12"/>
  <c r="S563" i="12"/>
  <c r="Q747" i="12"/>
  <c r="R747" i="12"/>
  <c r="S747" i="12"/>
  <c r="Q564" i="12"/>
  <c r="R564" i="12"/>
  <c r="S564" i="12"/>
  <c r="Q565" i="12"/>
  <c r="R565" i="12"/>
  <c r="S565" i="12"/>
  <c r="Q261" i="12"/>
  <c r="R261" i="12"/>
  <c r="S261" i="12"/>
  <c r="Q292" i="12"/>
  <c r="R292" i="12"/>
  <c r="S292" i="12"/>
  <c r="S258" i="12"/>
  <c r="Q258" i="12"/>
  <c r="R258" i="12"/>
  <c r="AR96" i="5"/>
  <c r="AP81" i="5"/>
  <c r="AO81" i="5"/>
  <c r="AP80" i="5"/>
  <c r="AO80" i="5"/>
  <c r="AP392" i="5"/>
  <c r="AO392" i="5"/>
  <c r="AP22" i="5"/>
  <c r="AO22" i="5"/>
  <c r="AP398" i="5"/>
  <c r="AP399" i="5"/>
  <c r="AP394" i="5"/>
  <c r="AP395" i="5"/>
  <c r="AP403" i="5"/>
  <c r="AP397" i="5"/>
  <c r="AP402" i="5"/>
  <c r="AP396" i="5"/>
  <c r="AP400" i="5"/>
  <c r="AP393" i="5"/>
  <c r="AP217" i="5"/>
  <c r="AP214" i="5"/>
  <c r="AP216" i="5"/>
  <c r="AP218" i="5"/>
  <c r="AP215" i="5"/>
  <c r="AP219" i="5"/>
  <c r="AP220" i="5"/>
  <c r="AP221" i="5"/>
  <c r="AP213" i="5"/>
  <c r="AP206" i="5"/>
  <c r="AP208" i="5"/>
  <c r="AP207" i="5"/>
  <c r="AP201" i="5"/>
  <c r="AP204" i="5"/>
  <c r="AP205" i="5"/>
  <c r="AP200" i="5"/>
  <c r="AP211" i="5"/>
  <c r="AP212" i="5"/>
  <c r="AP210" i="5"/>
  <c r="AP209" i="5"/>
  <c r="AP199" i="5"/>
  <c r="AP203" i="5"/>
  <c r="AP124" i="5"/>
  <c r="AP132" i="5"/>
  <c r="AP186" i="5"/>
  <c r="AP127" i="5"/>
  <c r="AP126" i="5"/>
  <c r="AP187" i="5"/>
  <c r="AP129" i="5"/>
  <c r="AP148" i="5"/>
  <c r="AP133" i="5"/>
  <c r="AP135" i="5"/>
  <c r="AP134" i="5"/>
  <c r="AP145" i="5"/>
  <c r="AP152" i="5"/>
  <c r="AP125" i="5"/>
  <c r="AP151" i="5"/>
  <c r="AP140" i="5"/>
  <c r="AP128" i="5"/>
  <c r="AP149" i="5"/>
  <c r="AP137" i="5"/>
  <c r="AP146" i="5"/>
  <c r="AP142" i="5"/>
  <c r="AP153" i="5"/>
  <c r="AP150" i="5"/>
  <c r="AP144" i="5"/>
  <c r="AP141" i="5"/>
  <c r="AP139" i="5"/>
  <c r="AP143" i="5"/>
  <c r="AP131" i="5"/>
  <c r="AP130" i="5"/>
  <c r="AP138" i="5"/>
  <c r="AP136" i="5"/>
  <c r="AP158" i="5"/>
  <c r="AP198" i="5"/>
  <c r="AP196" i="5"/>
  <c r="AP195" i="5"/>
  <c r="AP190" i="5"/>
  <c r="AP188" i="5"/>
  <c r="AP192" i="5"/>
  <c r="AP193" i="5"/>
  <c r="AP189" i="5"/>
  <c r="AP191" i="5"/>
  <c r="AP194" i="5"/>
  <c r="AP197" i="5"/>
  <c r="AP157" i="5"/>
  <c r="AP156" i="5"/>
  <c r="AP155" i="5"/>
  <c r="AP154" i="5"/>
  <c r="AR390" i="5"/>
  <c r="AP390" i="5"/>
  <c r="AR389" i="5"/>
  <c r="AP389" i="5"/>
  <c r="AR388" i="5"/>
  <c r="AP388" i="5"/>
  <c r="AR387" i="5"/>
  <c r="AP387" i="5"/>
  <c r="AR386" i="5"/>
  <c r="AP386" i="5"/>
  <c r="AP382" i="5"/>
  <c r="AP226" i="5"/>
  <c r="AR371" i="5"/>
  <c r="AR370" i="5"/>
  <c r="AR372" i="5"/>
  <c r="AP372" i="5"/>
  <c r="AR369" i="5"/>
  <c r="AP369" i="5"/>
  <c r="AR373" i="5"/>
  <c r="AR352" i="5"/>
  <c r="AP352" i="5"/>
  <c r="AR345" i="5"/>
  <c r="AP345" i="5"/>
  <c r="AP367" i="5"/>
  <c r="AR362" i="5"/>
  <c r="AP362" i="5"/>
  <c r="AR374" i="5"/>
  <c r="AR185" i="5"/>
  <c r="AR360" i="5"/>
  <c r="AR358" i="5"/>
  <c r="AR348" i="5"/>
  <c r="AR364" i="5"/>
  <c r="AR349" i="5"/>
  <c r="AR334" i="5"/>
  <c r="AR344" i="5"/>
  <c r="AP344" i="5"/>
  <c r="AR338" i="5"/>
  <c r="AR340" i="5"/>
  <c r="AR333" i="5"/>
  <c r="AR339" i="5"/>
  <c r="AR251" i="5"/>
  <c r="AP251" i="5"/>
  <c r="AR343" i="5"/>
  <c r="AR342" i="5"/>
  <c r="AR351" i="5"/>
  <c r="AP377" i="5"/>
  <c r="AR354" i="5"/>
  <c r="AP354" i="5"/>
  <c r="AR332" i="5"/>
  <c r="AR337" i="5"/>
  <c r="AR346" i="5"/>
  <c r="AR276" i="5"/>
  <c r="AP276" i="5"/>
  <c r="AR312" i="5"/>
  <c r="AP312" i="5"/>
  <c r="AR304" i="5"/>
  <c r="AP304" i="5"/>
  <c r="AR307" i="5"/>
  <c r="AP307" i="5"/>
  <c r="AR303" i="5"/>
  <c r="AP303" i="5"/>
  <c r="AR306" i="5"/>
  <c r="AP306" i="5"/>
  <c r="AR314" i="5"/>
  <c r="AP314" i="5"/>
  <c r="AR311" i="5"/>
  <c r="AP311" i="5"/>
  <c r="AR292" i="5"/>
  <c r="AP292" i="5"/>
  <c r="AR313" i="5"/>
  <c r="AP313" i="5"/>
  <c r="AR315" i="5"/>
  <c r="AR289" i="5"/>
  <c r="AP289" i="5"/>
  <c r="AR310" i="5"/>
  <c r="AP310" i="5"/>
  <c r="AR182" i="5"/>
  <c r="AP182" i="5"/>
  <c r="AR301" i="5"/>
  <c r="AP301" i="5"/>
  <c r="AR296" i="5"/>
  <c r="AP296" i="5"/>
  <c r="AR322" i="5"/>
  <c r="AP322" i="5"/>
  <c r="AR323" i="5"/>
  <c r="AP323" i="5"/>
  <c r="AR183" i="5"/>
  <c r="AP183" i="5"/>
  <c r="AR302" i="5"/>
  <c r="AP302" i="5"/>
  <c r="AP317" i="5"/>
  <c r="AR178" i="5"/>
  <c r="AP178" i="5"/>
  <c r="AP321" i="5"/>
  <c r="AR305" i="5"/>
  <c r="AP305" i="5"/>
  <c r="AR294" i="5"/>
  <c r="AP294" i="5"/>
  <c r="AP290" i="5"/>
  <c r="AR261" i="5"/>
  <c r="AP261" i="5"/>
  <c r="AR308" i="5"/>
  <c r="AP308" i="5"/>
  <c r="AR265" i="5"/>
  <c r="AP265" i="5"/>
  <c r="AR263" i="5"/>
  <c r="AR253" i="5"/>
  <c r="AP179" i="5"/>
  <c r="AR180" i="5"/>
  <c r="AP180" i="5"/>
  <c r="AR181" i="5"/>
  <c r="AP181" i="5"/>
  <c r="AR316" i="5"/>
  <c r="AP316" i="5"/>
  <c r="AR309" i="5"/>
  <c r="AP309" i="5"/>
  <c r="AR293" i="5"/>
  <c r="AP293" i="5"/>
  <c r="AR278" i="5"/>
  <c r="AP278" i="5"/>
  <c r="AR286" i="5"/>
  <c r="AP286" i="5"/>
  <c r="AR285" i="5"/>
  <c r="AP285" i="5"/>
  <c r="AR284" i="5"/>
  <c r="AP284" i="5"/>
  <c r="AR287" i="5"/>
  <c r="AP287" i="5"/>
  <c r="AR279" i="5"/>
  <c r="AP279" i="5"/>
  <c r="AR275" i="5"/>
  <c r="AP275" i="5"/>
  <c r="AR270" i="5"/>
  <c r="AP270" i="5"/>
  <c r="AR246" i="5"/>
  <c r="AP246" i="5"/>
  <c r="AR269" i="5"/>
  <c r="AP269" i="5"/>
  <c r="AR268" i="5"/>
  <c r="AP268" i="5"/>
  <c r="AR272" i="5"/>
  <c r="AP272" i="5"/>
  <c r="AR260" i="5"/>
  <c r="AP260" i="5"/>
  <c r="AR264" i="5"/>
  <c r="AP264" i="5"/>
  <c r="AR273" i="5"/>
  <c r="AP273" i="5"/>
  <c r="AR262" i="5"/>
  <c r="AP262" i="5"/>
  <c r="AR259" i="5"/>
  <c r="AP259" i="5"/>
  <c r="AR257" i="5"/>
  <c r="AP257" i="5"/>
  <c r="AR247" i="5"/>
  <c r="AP247" i="5"/>
  <c r="AR274" i="5"/>
  <c r="AP274" i="5"/>
  <c r="AR252" i="5"/>
  <c r="AP252" i="5"/>
  <c r="AR248" i="5"/>
  <c r="AR244" i="5"/>
  <c r="AP244" i="5"/>
  <c r="AR240" i="5"/>
  <c r="AR235" i="5"/>
  <c r="AP235" i="5"/>
  <c r="AR231" i="5"/>
  <c r="AP231" i="5"/>
  <c r="AR230" i="5"/>
  <c r="AP230" i="5"/>
  <c r="AR229" i="5"/>
  <c r="AP229" i="5"/>
  <c r="AR48" i="5"/>
  <c r="AP48" i="5"/>
  <c r="AR224" i="5"/>
  <c r="AP224" i="5"/>
  <c r="AR375" i="5"/>
  <c r="AR184" i="5"/>
  <c r="AR174" i="5"/>
  <c r="AP174" i="5"/>
  <c r="AR173" i="5"/>
  <c r="AP173" i="5"/>
  <c r="AR163" i="5"/>
  <c r="AP163" i="5"/>
  <c r="AR242" i="5"/>
  <c r="AR168" i="5"/>
  <c r="AR167" i="5"/>
  <c r="AR166" i="5"/>
  <c r="AR162" i="5"/>
  <c r="AP162" i="5"/>
  <c r="AR165" i="5"/>
  <c r="AP165" i="5"/>
  <c r="AR161" i="5"/>
  <c r="AP161" i="5"/>
  <c r="AR106" i="5"/>
  <c r="AP106" i="5"/>
  <c r="AR105" i="5"/>
  <c r="AP105" i="5"/>
  <c r="AR111" i="5"/>
  <c r="AP111" i="5"/>
  <c r="AP115" i="5"/>
  <c r="AR123" i="5"/>
  <c r="AP123" i="5"/>
  <c r="AR120" i="5"/>
  <c r="AP120" i="5"/>
  <c r="AP122" i="5"/>
  <c r="AP119" i="5"/>
  <c r="AR118" i="5"/>
  <c r="AP118" i="5"/>
  <c r="AR107" i="5"/>
  <c r="AP107" i="5"/>
  <c r="AR121" i="5"/>
  <c r="AP121" i="5"/>
  <c r="AR113" i="5"/>
  <c r="AP113" i="5"/>
  <c r="AR117" i="5"/>
  <c r="AP117" i="5"/>
  <c r="AR112" i="5"/>
  <c r="AP112" i="5"/>
  <c r="AR116" i="5"/>
  <c r="AP116" i="5"/>
  <c r="AR94" i="5"/>
  <c r="AP94" i="5"/>
  <c r="AR87" i="5"/>
  <c r="AP87" i="5"/>
  <c r="AR249" i="5"/>
  <c r="AR103" i="5"/>
  <c r="AR104" i="5"/>
  <c r="AP104" i="5"/>
  <c r="AR335" i="5"/>
  <c r="AP335" i="5"/>
  <c r="AR243" i="5"/>
  <c r="AR93" i="5"/>
  <c r="AP93" i="5"/>
  <c r="AR98" i="5"/>
  <c r="AR90" i="5"/>
  <c r="AP90" i="5"/>
  <c r="AR97" i="5"/>
  <c r="AR88" i="5"/>
  <c r="AP88" i="5"/>
  <c r="AR95" i="5"/>
  <c r="AP95" i="5"/>
  <c r="AR100" i="5"/>
  <c r="AR92" i="5"/>
  <c r="AR101" i="5"/>
  <c r="AP101" i="5"/>
  <c r="AP91" i="5"/>
  <c r="AR13" i="5"/>
  <c r="AP13" i="5"/>
  <c r="AP66" i="5"/>
  <c r="AR60" i="5"/>
  <c r="AP60" i="5"/>
  <c r="AR67" i="5"/>
  <c r="AP67" i="5"/>
  <c r="AR62" i="5"/>
  <c r="AP62" i="5"/>
  <c r="AP241" i="5"/>
  <c r="AR404" i="5"/>
  <c r="AP227" i="5"/>
  <c r="AR56" i="5"/>
  <c r="AP56" i="5"/>
  <c r="AR54" i="5"/>
  <c r="AP54" i="5"/>
  <c r="AR52" i="5"/>
  <c r="AP52" i="5"/>
  <c r="AR63" i="5"/>
  <c r="AP63" i="5"/>
  <c r="AR59" i="5"/>
  <c r="AP59" i="5"/>
  <c r="AR50" i="5"/>
  <c r="AP50" i="5"/>
  <c r="AR49" i="5"/>
  <c r="AP49" i="5"/>
  <c r="AR45" i="5"/>
  <c r="AP45" i="5"/>
  <c r="AR43" i="5"/>
  <c r="AP43" i="5"/>
  <c r="AR39" i="5"/>
  <c r="AP39" i="5"/>
  <c r="AR47" i="5"/>
  <c r="AP47" i="5"/>
  <c r="AR40" i="5"/>
  <c r="AP40" i="5"/>
  <c r="AR385" i="5"/>
  <c r="AP29" i="5"/>
  <c r="AP383" i="5"/>
  <c r="AR38" i="5"/>
  <c r="AP38" i="5"/>
  <c r="AR35" i="5"/>
  <c r="AP35" i="5"/>
  <c r="AR37" i="5"/>
  <c r="AP37" i="5"/>
  <c r="AR36" i="5"/>
  <c r="AP36" i="5"/>
  <c r="AR27" i="5"/>
  <c r="AP27" i="5"/>
  <c r="AR25" i="5"/>
  <c r="AP25" i="5"/>
  <c r="AR24" i="5"/>
  <c r="AP24" i="5"/>
  <c r="AR23" i="5"/>
  <c r="AP23" i="5"/>
  <c r="AR12" i="5"/>
  <c r="AP12" i="5"/>
  <c r="AR14" i="5"/>
  <c r="AP14" i="5"/>
  <c r="AR11" i="5"/>
  <c r="AP11" i="5"/>
  <c r="AR7" i="5"/>
  <c r="AP7" i="5"/>
  <c r="AR361" i="5"/>
  <c r="AP361" i="5"/>
  <c r="AP384" i="5"/>
  <c r="AP169" i="5"/>
  <c r="AR18" i="5"/>
  <c r="AP18" i="5"/>
  <c r="AR324" i="5"/>
  <c r="AP324" i="5"/>
  <c r="AR57" i="5"/>
  <c r="AP57" i="5"/>
  <c r="AR19" i="5"/>
  <c r="AP19" i="5"/>
  <c r="AR4" i="5"/>
  <c r="AP4" i="5"/>
  <c r="AR9" i="5"/>
  <c r="AP9" i="5"/>
  <c r="AR21" i="5"/>
  <c r="AP21" i="5"/>
  <c r="AR20" i="5"/>
  <c r="AP20" i="5"/>
  <c r="AR15" i="5"/>
  <c r="AP15" i="5"/>
  <c r="AR8" i="5"/>
  <c r="AP8" i="5"/>
  <c r="AR17" i="5"/>
  <c r="AP17" i="5"/>
  <c r="AP71" i="5"/>
  <c r="AO71" i="5"/>
  <c r="AP85" i="5"/>
  <c r="AO85" i="5"/>
  <c r="AP82" i="5"/>
  <c r="AO82" i="5"/>
  <c r="AP282" i="5"/>
  <c r="AO282" i="5"/>
  <c r="AP3" i="5"/>
  <c r="AO3" i="5"/>
  <c r="AP79" i="5"/>
  <c r="AO79" i="5"/>
  <c r="AP78" i="5"/>
  <c r="AO78" i="5"/>
  <c r="AP76" i="5"/>
  <c r="AO76" i="5"/>
  <c r="AP256" i="5"/>
  <c r="AO256" i="5"/>
  <c r="AP44" i="5"/>
  <c r="AO44" i="5"/>
  <c r="AP74" i="5"/>
  <c r="AO74" i="5"/>
  <c r="AP73" i="5"/>
  <c r="AO73" i="5"/>
  <c r="AP300" i="5"/>
  <c r="AO300" i="5"/>
  <c r="AP75" i="5"/>
  <c r="AO75" i="5"/>
  <c r="AP331" i="5"/>
  <c r="AO331" i="5"/>
  <c r="AP84" i="5"/>
  <c r="AO84" i="5"/>
  <c r="AP83" i="5"/>
  <c r="AO83" i="5"/>
  <c r="AP405" i="5"/>
  <c r="AO405" i="5"/>
  <c r="AP42" i="5"/>
  <c r="AO42" i="5"/>
  <c r="AP77" i="5"/>
  <c r="AO77" i="5"/>
  <c r="AP72" i="5"/>
  <c r="AO72" i="5"/>
  <c r="AP401" i="5"/>
  <c r="AP147" i="5"/>
  <c r="AR381" i="5"/>
  <c r="AP381" i="5"/>
  <c r="AR380" i="5"/>
  <c r="AR341" i="5"/>
  <c r="AR350" i="5"/>
  <c r="AR271" i="5"/>
  <c r="AP271" i="5"/>
  <c r="AR299" i="5"/>
  <c r="AP299" i="5"/>
  <c r="AR295" i="5"/>
  <c r="AP295" i="5"/>
  <c r="AR281" i="5"/>
  <c r="AP281" i="5"/>
  <c r="AR319" i="5"/>
  <c r="AR277" i="5"/>
  <c r="AP277" i="5"/>
  <c r="AR254" i="5"/>
  <c r="AR255" i="5"/>
  <c r="AR238" i="5"/>
  <c r="AP238" i="5"/>
  <c r="AR236" i="5"/>
  <c r="AP236" i="5"/>
  <c r="AR233" i="5"/>
  <c r="AP233" i="5"/>
  <c r="AR239" i="5"/>
  <c r="AP239" i="5"/>
  <c r="AR228" i="5"/>
  <c r="AP228" i="5"/>
  <c r="AP223" i="5"/>
  <c r="AP297" i="5"/>
  <c r="AP298" i="5"/>
  <c r="AP171" i="5"/>
  <c r="AR170" i="5"/>
  <c r="AP325" i="5"/>
  <c r="AR26" i="5"/>
  <c r="AP26" i="5"/>
  <c r="AR172" i="5"/>
  <c r="AP172" i="5"/>
  <c r="AR6" i="5"/>
  <c r="AP6" i="5"/>
  <c r="AR176" i="5"/>
  <c r="AP176" i="5"/>
  <c r="AR16" i="5"/>
  <c r="AP16" i="5"/>
  <c r="AR108" i="5"/>
  <c r="AP108" i="5"/>
  <c r="AR114" i="5"/>
  <c r="AP114" i="5"/>
  <c r="AR164" i="5"/>
  <c r="AP110" i="5"/>
  <c r="AR99" i="5"/>
  <c r="AR89" i="5"/>
  <c r="AP89" i="5"/>
  <c r="AR222" i="5"/>
  <c r="AR61" i="5"/>
  <c r="AP61" i="5"/>
  <c r="AP41" i="5"/>
  <c r="AR10" i="5"/>
  <c r="AP10" i="5"/>
  <c r="AR51" i="5"/>
  <c r="AP51" i="5"/>
  <c r="AR318" i="5"/>
  <c r="AP318" i="5"/>
  <c r="AR64" i="5"/>
  <c r="AP64" i="5"/>
  <c r="AR65" i="5"/>
  <c r="AP65" i="5"/>
  <c r="AR5" i="5"/>
  <c r="AP5" i="5"/>
  <c r="AR53" i="5"/>
  <c r="AP53" i="5"/>
  <c r="AR58" i="5"/>
  <c r="AP58" i="5"/>
  <c r="AR31" i="5"/>
  <c r="AP31" i="5"/>
  <c r="AR391" i="5"/>
  <c r="AR34" i="5"/>
  <c r="AP34" i="5"/>
  <c r="AR33" i="5"/>
  <c r="AP33" i="5"/>
  <c r="AR32" i="5"/>
  <c r="AP32" i="5"/>
  <c r="AP378" i="5"/>
  <c r="AP28" i="5"/>
  <c r="AR2" i="5"/>
  <c r="AP2" i="5"/>
  <c r="AR353" i="5"/>
  <c r="AR347" i="5"/>
  <c r="AR336" i="5"/>
  <c r="AR102" i="5"/>
  <c r="AR266" i="5"/>
  <c r="AP266" i="5"/>
  <c r="AS387" i="5"/>
  <c r="AU387" i="5"/>
  <c r="AS378" i="5"/>
  <c r="AU378" i="5"/>
  <c r="AS388" i="5"/>
  <c r="AU388" i="5"/>
  <c r="AS389" i="5"/>
  <c r="AU389" i="5"/>
  <c r="AS383" i="5"/>
  <c r="AU383" i="5"/>
  <c r="AS380" i="5"/>
  <c r="AU380" i="5"/>
  <c r="AS381" i="5"/>
  <c r="AU381" i="5"/>
  <c r="AS384" i="5"/>
  <c r="AU384" i="5"/>
  <c r="AS382" i="5"/>
  <c r="AU382" i="5"/>
  <c r="AS386" i="5"/>
  <c r="AU386" i="5"/>
  <c r="AS390" i="5"/>
  <c r="AU390" i="5"/>
  <c r="AJ20" i="2"/>
  <c r="BC42" i="2"/>
  <c r="BC43" i="2"/>
  <c r="BC44" i="2"/>
  <c r="BC54" i="2"/>
  <c r="BD42" i="2"/>
  <c r="BD43" i="2"/>
  <c r="BD44" i="2"/>
  <c r="BD54" i="2"/>
  <c r="AV390" i="5"/>
  <c r="AV386" i="5"/>
  <c r="AV382" i="5"/>
  <c r="AV384" i="5"/>
  <c r="AV381" i="5"/>
  <c r="AV380" i="5"/>
  <c r="AV383" i="5"/>
  <c r="AV389" i="5"/>
  <c r="AV388" i="5"/>
  <c r="AV378" i="5"/>
  <c r="AV387" i="5"/>
  <c r="AF387" i="5"/>
  <c r="X84" i="4"/>
  <c r="AI387" i="5"/>
  <c r="Z20" i="2"/>
  <c r="Z84" i="4"/>
  <c r="AL387" i="5"/>
  <c r="AN387" i="5"/>
  <c r="AW387" i="5"/>
  <c r="AF378" i="5"/>
  <c r="X101" i="4"/>
  <c r="AI378" i="5"/>
  <c r="Z101" i="4"/>
  <c r="AL378" i="5"/>
  <c r="AN378" i="5"/>
  <c r="AW378" i="5"/>
  <c r="AF388" i="5"/>
  <c r="X133" i="4"/>
  <c r="AI388" i="5"/>
  <c r="Z133" i="4"/>
  <c r="AL388" i="5"/>
  <c r="AN388" i="5"/>
  <c r="AW388" i="5"/>
  <c r="AF389" i="5"/>
  <c r="X134" i="4"/>
  <c r="AI389" i="5"/>
  <c r="Z134" i="4"/>
  <c r="AL389" i="5"/>
  <c r="AN389" i="5"/>
  <c r="AW389" i="5"/>
  <c r="AF383" i="5"/>
  <c r="X175" i="4"/>
  <c r="AI383" i="5"/>
  <c r="Z175" i="4"/>
  <c r="AL383" i="5"/>
  <c r="AN383" i="5"/>
  <c r="AW383" i="5"/>
  <c r="AF380" i="5"/>
  <c r="X186" i="4"/>
  <c r="AI380" i="5"/>
  <c r="Z186" i="4"/>
  <c r="AL380" i="5"/>
  <c r="AN380" i="5"/>
  <c r="AW380" i="5"/>
  <c r="AF381" i="5"/>
  <c r="X188" i="4"/>
  <c r="AI381" i="5"/>
  <c r="Z188" i="4"/>
  <c r="AL381" i="5"/>
  <c r="AN381" i="5"/>
  <c r="AW381" i="5"/>
  <c r="AF384" i="5"/>
  <c r="X191" i="4"/>
  <c r="AI384" i="5"/>
  <c r="Z191" i="4"/>
  <c r="AL384" i="5"/>
  <c r="AN384" i="5"/>
  <c r="AW384" i="5"/>
  <c r="AF382" i="5"/>
  <c r="X196" i="4"/>
  <c r="AI382" i="5"/>
  <c r="Z196" i="4"/>
  <c r="AL382" i="5"/>
  <c r="AN382" i="5"/>
  <c r="AW382" i="5"/>
  <c r="AF386" i="5"/>
  <c r="X198" i="4"/>
  <c r="AI386" i="5"/>
  <c r="Z198" i="4"/>
  <c r="AL386" i="5"/>
  <c r="AN386" i="5"/>
  <c r="AW386" i="5"/>
  <c r="AF390" i="5"/>
  <c r="X206" i="4"/>
  <c r="AI390" i="5"/>
  <c r="Z206" i="4"/>
  <c r="AL390" i="5"/>
  <c r="AN390" i="5"/>
  <c r="AW390" i="5"/>
  <c r="AY390" i="5"/>
  <c r="AY386" i="5"/>
  <c r="AY382" i="5"/>
  <c r="AY384" i="5"/>
  <c r="AY381" i="5"/>
  <c r="AY380" i="5"/>
  <c r="AY383" i="5"/>
  <c r="AY389" i="5"/>
  <c r="AY388" i="5"/>
  <c r="AY378" i="5"/>
  <c r="AY387" i="5"/>
  <c r="M1029" i="12"/>
  <c r="Z7" i="2"/>
  <c r="Z295" i="4"/>
  <c r="AL46" i="5"/>
  <c r="N1029" i="12"/>
  <c r="S1029" i="12"/>
  <c r="R1029" i="12"/>
  <c r="Q1029" i="12"/>
  <c r="M1028" i="12"/>
  <c r="N1028" i="12"/>
  <c r="S1028" i="12"/>
  <c r="R1028" i="12"/>
  <c r="Q1028" i="12"/>
  <c r="M86" i="12"/>
  <c r="X295" i="4"/>
  <c r="AI46" i="5"/>
  <c r="N86" i="12"/>
  <c r="S86" i="12"/>
  <c r="R86" i="12"/>
  <c r="Q86" i="12"/>
  <c r="M85" i="12"/>
  <c r="N85" i="12"/>
  <c r="S85" i="12"/>
  <c r="R85" i="12"/>
  <c r="Q85" i="12"/>
  <c r="M939" i="12"/>
  <c r="AF46" i="5"/>
  <c r="N939" i="12"/>
  <c r="S939" i="12"/>
  <c r="R939" i="12"/>
  <c r="Q939" i="12"/>
  <c r="M938" i="12"/>
  <c r="N938" i="12"/>
  <c r="S938" i="12"/>
  <c r="R938" i="12"/>
  <c r="Q938" i="12"/>
  <c r="M1064" i="12"/>
  <c r="Z14" i="2"/>
  <c r="Z292" i="4"/>
  <c r="AL224" i="5"/>
  <c r="N1064" i="12"/>
  <c r="S1064" i="12"/>
  <c r="R1064" i="12"/>
  <c r="Q1064" i="12"/>
  <c r="M1063" i="12"/>
  <c r="N1063" i="12"/>
  <c r="S1063" i="12"/>
  <c r="R1063" i="12"/>
  <c r="Q1063" i="12"/>
  <c r="M1031" i="12"/>
  <c r="Z11" i="2"/>
  <c r="Z290" i="4"/>
  <c r="AL49" i="5"/>
  <c r="N1031" i="12"/>
  <c r="S1031" i="12"/>
  <c r="R1031" i="12"/>
  <c r="Q1031" i="12"/>
  <c r="M1030" i="12"/>
  <c r="N1030" i="12"/>
  <c r="S1030" i="12"/>
  <c r="R1030" i="12"/>
  <c r="Q1030" i="12"/>
  <c r="M114" i="12"/>
  <c r="X14" i="2"/>
  <c r="X292" i="4"/>
  <c r="AI224" i="5"/>
  <c r="N114" i="12"/>
  <c r="S114" i="12"/>
  <c r="R114" i="12"/>
  <c r="Q114" i="12"/>
  <c r="M113" i="12"/>
  <c r="N113" i="12"/>
  <c r="S113" i="12"/>
  <c r="R113" i="12"/>
  <c r="Q113" i="12"/>
  <c r="M1027" i="12"/>
  <c r="Z12" i="2"/>
  <c r="Z288" i="4"/>
  <c r="AL43" i="5"/>
  <c r="N1027" i="12"/>
  <c r="S1027" i="12"/>
  <c r="R1027" i="12"/>
  <c r="Q1027" i="12"/>
  <c r="M1026" i="12"/>
  <c r="N1026" i="12"/>
  <c r="S1026" i="12"/>
  <c r="R1026" i="12"/>
  <c r="Q1026" i="12"/>
  <c r="M1025" i="12"/>
  <c r="N1025" i="12"/>
  <c r="S1025" i="12"/>
  <c r="R1025" i="12"/>
  <c r="Q1025" i="12"/>
  <c r="M88" i="12"/>
  <c r="X11" i="2"/>
  <c r="X290" i="4"/>
  <c r="AI49" i="5"/>
  <c r="N88" i="12"/>
  <c r="S88" i="12"/>
  <c r="R88" i="12"/>
  <c r="Q88" i="12"/>
  <c r="M87" i="12"/>
  <c r="N87" i="12"/>
  <c r="S87" i="12"/>
  <c r="R87" i="12"/>
  <c r="Q87" i="12"/>
  <c r="M1024" i="12"/>
  <c r="Z13" i="2"/>
  <c r="Z284" i="4"/>
  <c r="AL40" i="5"/>
  <c r="N1024" i="12"/>
  <c r="S1024" i="12"/>
  <c r="R1024" i="12"/>
  <c r="Q1024" i="12"/>
  <c r="M1023" i="12"/>
  <c r="N1023" i="12"/>
  <c r="S1023" i="12"/>
  <c r="R1023" i="12"/>
  <c r="Q1023" i="12"/>
  <c r="M84" i="12"/>
  <c r="X288" i="4"/>
  <c r="AI43" i="5"/>
  <c r="N84" i="12"/>
  <c r="S84" i="12"/>
  <c r="R84" i="12"/>
  <c r="Q84" i="12"/>
  <c r="M83" i="12"/>
  <c r="N83" i="12"/>
  <c r="S83" i="12"/>
  <c r="R83" i="12"/>
  <c r="Q83" i="12"/>
  <c r="M82" i="12"/>
  <c r="N82" i="12"/>
  <c r="S82" i="12"/>
  <c r="R82" i="12"/>
  <c r="Q82" i="12"/>
  <c r="M972" i="12"/>
  <c r="AF224" i="5"/>
  <c r="N972" i="12"/>
  <c r="S972" i="12"/>
  <c r="R972" i="12"/>
  <c r="Q972" i="12"/>
  <c r="M971" i="12"/>
  <c r="N971" i="12"/>
  <c r="S971" i="12"/>
  <c r="R971" i="12"/>
  <c r="Q971" i="12"/>
  <c r="M81" i="12"/>
  <c r="X13" i="2"/>
  <c r="X284" i="4"/>
  <c r="AI40" i="5"/>
  <c r="N81" i="12"/>
  <c r="S81" i="12"/>
  <c r="R81" i="12"/>
  <c r="Q81" i="12"/>
  <c r="M80" i="12"/>
  <c r="N80" i="12"/>
  <c r="S80" i="12"/>
  <c r="R80" i="12"/>
  <c r="Q80" i="12"/>
  <c r="M941" i="12"/>
  <c r="AF49" i="5"/>
  <c r="N941" i="12"/>
  <c r="S941" i="12"/>
  <c r="R941" i="12"/>
  <c r="Q941" i="12"/>
  <c r="M940" i="12"/>
  <c r="N940" i="12"/>
  <c r="S940" i="12"/>
  <c r="R940" i="12"/>
  <c r="Q940" i="12"/>
  <c r="M1051" i="12"/>
  <c r="Z279" i="4"/>
  <c r="AL174" i="5"/>
  <c r="N1051" i="12"/>
  <c r="S1051" i="12"/>
  <c r="R1051" i="12"/>
  <c r="Q1051" i="12"/>
  <c r="M1050" i="12"/>
  <c r="N1050" i="12"/>
  <c r="S1050" i="12"/>
  <c r="R1050" i="12"/>
  <c r="Q1050" i="12"/>
  <c r="M1018" i="12"/>
  <c r="Z22" i="2"/>
  <c r="Z271" i="4"/>
  <c r="AL24" i="5"/>
  <c r="N1018" i="12"/>
  <c r="S1018" i="12"/>
  <c r="R1018" i="12"/>
  <c r="Q1018" i="12"/>
  <c r="M1017" i="12"/>
  <c r="N1017" i="12"/>
  <c r="S1017" i="12"/>
  <c r="R1017" i="12"/>
  <c r="Q1017" i="12"/>
  <c r="M936" i="12"/>
  <c r="AF43" i="5"/>
  <c r="N936" i="12"/>
  <c r="S936" i="12"/>
  <c r="R936" i="12"/>
  <c r="Q936" i="12"/>
  <c r="M937" i="12"/>
  <c r="N937" i="12"/>
  <c r="S937" i="12"/>
  <c r="R937" i="12"/>
  <c r="Q937" i="12"/>
  <c r="M1098" i="12"/>
  <c r="Z28" i="2"/>
  <c r="Z76" i="4"/>
  <c r="AL369" i="5"/>
  <c r="N1098" i="12"/>
  <c r="S1098" i="12"/>
  <c r="R1098" i="12"/>
  <c r="Q1098" i="12"/>
  <c r="M1097" i="12"/>
  <c r="N1097" i="12"/>
  <c r="S1097" i="12"/>
  <c r="R1097" i="12"/>
  <c r="Q1097" i="12"/>
  <c r="M935" i="12"/>
  <c r="N935" i="12"/>
  <c r="S935" i="12"/>
  <c r="R935" i="12"/>
  <c r="Q935" i="12"/>
  <c r="M1069" i="12"/>
  <c r="Z236" i="4"/>
  <c r="AL234" i="5"/>
  <c r="N1069" i="12"/>
  <c r="S1069" i="12"/>
  <c r="R1069" i="12"/>
  <c r="Q1069" i="12"/>
  <c r="M1068" i="12"/>
  <c r="N1068" i="12"/>
  <c r="S1068" i="12"/>
  <c r="R1068" i="12"/>
  <c r="Q1068" i="12"/>
  <c r="M1067" i="12"/>
  <c r="N1067" i="12"/>
  <c r="S1067" i="12"/>
  <c r="R1067" i="12"/>
  <c r="Q1067" i="12"/>
  <c r="M1016" i="12"/>
  <c r="Z19" i="2"/>
  <c r="Z270" i="4"/>
  <c r="AL8" i="5"/>
  <c r="N1016" i="12"/>
  <c r="S1016" i="12"/>
  <c r="R1016" i="12"/>
  <c r="Q1016" i="12"/>
  <c r="M1014" i="12"/>
  <c r="N1014" i="12"/>
  <c r="S1014" i="12"/>
  <c r="R1014" i="12"/>
  <c r="Q1014" i="12"/>
  <c r="M1092" i="12"/>
  <c r="Z29" i="2"/>
  <c r="Z248" i="4"/>
  <c r="AL306" i="5"/>
  <c r="N1092" i="12"/>
  <c r="S1092" i="12"/>
  <c r="R1092" i="12"/>
  <c r="Q1092" i="12"/>
  <c r="M1091" i="12"/>
  <c r="N1091" i="12"/>
  <c r="S1091" i="12"/>
  <c r="R1091" i="12"/>
  <c r="Q1091" i="12"/>
  <c r="M1090" i="12"/>
  <c r="Z30" i="2"/>
  <c r="Z252" i="4"/>
  <c r="AL293" i="5"/>
  <c r="N1090" i="12"/>
  <c r="S1090" i="12"/>
  <c r="R1090" i="12"/>
  <c r="Q1090" i="12"/>
  <c r="M1089" i="12"/>
  <c r="N1089" i="12"/>
  <c r="S1089" i="12"/>
  <c r="R1089" i="12"/>
  <c r="Q1089" i="12"/>
  <c r="M1088" i="12"/>
  <c r="N1088" i="12"/>
  <c r="S1088" i="12"/>
  <c r="R1088" i="12"/>
  <c r="Q1088" i="12"/>
  <c r="M108" i="12"/>
  <c r="X279" i="4"/>
  <c r="AI174" i="5"/>
  <c r="N108" i="12"/>
  <c r="S108" i="12"/>
  <c r="R108" i="12"/>
  <c r="Q108" i="12"/>
  <c r="M107" i="12"/>
  <c r="N107" i="12"/>
  <c r="S107" i="12"/>
  <c r="R107" i="12"/>
  <c r="Q107" i="12"/>
  <c r="M934" i="12"/>
  <c r="AF40" i="5"/>
  <c r="N934" i="12"/>
  <c r="S934" i="12"/>
  <c r="R934" i="12"/>
  <c r="Q934" i="12"/>
  <c r="M75" i="12"/>
  <c r="X271" i="4"/>
  <c r="AI24" i="5"/>
  <c r="N75" i="12"/>
  <c r="S75" i="12"/>
  <c r="R75" i="12"/>
  <c r="Q75" i="12"/>
  <c r="M74" i="12"/>
  <c r="N74" i="12"/>
  <c r="S74" i="12"/>
  <c r="R74" i="12"/>
  <c r="Q74" i="12"/>
  <c r="M933" i="12"/>
  <c r="N933" i="12"/>
  <c r="S933" i="12"/>
  <c r="R933" i="12"/>
  <c r="Q933" i="12"/>
  <c r="M73" i="12"/>
  <c r="X270" i="4"/>
  <c r="AI8" i="5"/>
  <c r="N73" i="12"/>
  <c r="S73" i="12"/>
  <c r="R73" i="12"/>
  <c r="Q73" i="12"/>
  <c r="M71" i="12"/>
  <c r="N71" i="12"/>
  <c r="S71" i="12"/>
  <c r="R71" i="12"/>
  <c r="Q71" i="12"/>
  <c r="M1035" i="12"/>
  <c r="Z9" i="2"/>
  <c r="Z251" i="4"/>
  <c r="AL55" i="5"/>
  <c r="N1035" i="12"/>
  <c r="S1035" i="12"/>
  <c r="R1035" i="12"/>
  <c r="Q1035" i="12"/>
  <c r="M1032" i="12"/>
  <c r="N1032" i="12"/>
  <c r="S1032" i="12"/>
  <c r="R1032" i="12"/>
  <c r="Q1032" i="12"/>
  <c r="M148" i="12"/>
  <c r="X28" i="2"/>
  <c r="X76" i="4"/>
  <c r="AI369" i="5"/>
  <c r="N148" i="12"/>
  <c r="S148" i="12"/>
  <c r="R148" i="12"/>
  <c r="Q148" i="12"/>
  <c r="M147" i="12"/>
  <c r="N147" i="12"/>
  <c r="S147" i="12"/>
  <c r="R147" i="12"/>
  <c r="Q147" i="12"/>
  <c r="M1077" i="12"/>
  <c r="Z24" i="2"/>
  <c r="Z131" i="4"/>
  <c r="AL258" i="5"/>
  <c r="N1077" i="12"/>
  <c r="S1077" i="12"/>
  <c r="R1077" i="12"/>
  <c r="Q1077" i="12"/>
  <c r="M1076" i="12"/>
  <c r="N1076" i="12"/>
  <c r="S1076" i="12"/>
  <c r="R1076" i="12"/>
  <c r="Q1076" i="12"/>
  <c r="M1075" i="12"/>
  <c r="N1075" i="12"/>
  <c r="S1075" i="12"/>
  <c r="R1075" i="12"/>
  <c r="Q1075" i="12"/>
  <c r="M119" i="12"/>
  <c r="X236" i="4"/>
  <c r="AI234" i="5"/>
  <c r="N119" i="12"/>
  <c r="S119" i="12"/>
  <c r="R119" i="12"/>
  <c r="Q119" i="12"/>
  <c r="M118" i="12"/>
  <c r="N118" i="12"/>
  <c r="S118" i="12"/>
  <c r="R118" i="12"/>
  <c r="Q118" i="12"/>
  <c r="M117" i="12"/>
  <c r="N117" i="12"/>
  <c r="S117" i="12"/>
  <c r="R117" i="12"/>
  <c r="Q117" i="12"/>
  <c r="M142" i="12"/>
  <c r="X248" i="4"/>
  <c r="AI306" i="5"/>
  <c r="N142" i="12"/>
  <c r="S142" i="12"/>
  <c r="R142" i="12"/>
  <c r="Q142" i="12"/>
  <c r="M141" i="12"/>
  <c r="N141" i="12"/>
  <c r="S141" i="12"/>
  <c r="R141" i="12"/>
  <c r="Q141" i="12"/>
  <c r="M1074" i="12"/>
  <c r="Z25" i="2"/>
  <c r="Z129" i="4"/>
  <c r="AL252" i="5"/>
  <c r="N1074" i="12"/>
  <c r="S1074" i="12"/>
  <c r="R1074" i="12"/>
  <c r="Q1074" i="12"/>
  <c r="M1073" i="12"/>
  <c r="N1073" i="12"/>
  <c r="S1073" i="12"/>
  <c r="R1073" i="12"/>
  <c r="Q1073" i="12"/>
  <c r="M140" i="12"/>
  <c r="X30" i="2"/>
  <c r="X252" i="4"/>
  <c r="AI293" i="5"/>
  <c r="N140" i="12"/>
  <c r="S140" i="12"/>
  <c r="R140" i="12"/>
  <c r="Q140" i="12"/>
  <c r="M139" i="12"/>
  <c r="N139" i="12"/>
  <c r="S139" i="12"/>
  <c r="R139" i="12"/>
  <c r="Q139" i="12"/>
  <c r="M138" i="12"/>
  <c r="N138" i="12"/>
  <c r="S138" i="12"/>
  <c r="R138" i="12"/>
  <c r="Q138" i="12"/>
  <c r="M1094" i="12"/>
  <c r="Z74" i="4"/>
  <c r="AL333" i="5"/>
  <c r="N1094" i="12"/>
  <c r="S1094" i="12"/>
  <c r="R1094" i="12"/>
  <c r="Q1094" i="12"/>
  <c r="M1093" i="12"/>
  <c r="N1093" i="12"/>
  <c r="S1093" i="12"/>
  <c r="R1093" i="12"/>
  <c r="Q1093" i="12"/>
  <c r="M1079" i="12"/>
  <c r="Z23" i="2"/>
  <c r="Z132" i="4"/>
  <c r="AL269" i="5"/>
  <c r="N1079" i="12"/>
  <c r="S1079" i="12"/>
  <c r="R1079" i="12"/>
  <c r="Q1079" i="12"/>
  <c r="M1078" i="12"/>
  <c r="N1078" i="12"/>
  <c r="S1078" i="12"/>
  <c r="R1078" i="12"/>
  <c r="Q1078" i="12"/>
  <c r="M1072" i="12"/>
  <c r="Z27" i="2"/>
  <c r="Z128" i="4"/>
  <c r="AL245" i="5"/>
  <c r="N1072" i="12"/>
  <c r="S1072" i="12"/>
  <c r="R1072" i="12"/>
  <c r="Q1072" i="12"/>
  <c r="M1071" i="12"/>
  <c r="Z26" i="2"/>
  <c r="Z127" i="4"/>
  <c r="AL244" i="5"/>
  <c r="N1071" i="12"/>
  <c r="S1071" i="12"/>
  <c r="R1071" i="12"/>
  <c r="Q1071" i="12"/>
  <c r="M1070" i="12"/>
  <c r="N1070" i="12"/>
  <c r="S1070" i="12"/>
  <c r="R1070" i="12"/>
  <c r="Q1070" i="12"/>
  <c r="M92" i="12"/>
  <c r="X9" i="2"/>
  <c r="X251" i="4"/>
  <c r="AI55" i="5"/>
  <c r="N92" i="12"/>
  <c r="S92" i="12"/>
  <c r="R92" i="12"/>
  <c r="Q92" i="12"/>
  <c r="M89" i="12"/>
  <c r="N89" i="12"/>
  <c r="S89" i="12"/>
  <c r="R89" i="12"/>
  <c r="Q89" i="12"/>
  <c r="M961" i="12"/>
  <c r="AF174" i="5"/>
  <c r="N961" i="12"/>
  <c r="S961" i="12"/>
  <c r="R961" i="12"/>
  <c r="Q961" i="12"/>
  <c r="M1087" i="12"/>
  <c r="Z212" i="4"/>
  <c r="AL288" i="5"/>
  <c r="N1087" i="12"/>
  <c r="S1087" i="12"/>
  <c r="R1087" i="12"/>
  <c r="Q1087" i="12"/>
  <c r="M1086" i="12"/>
  <c r="N1086" i="12"/>
  <c r="S1086" i="12"/>
  <c r="R1086" i="12"/>
  <c r="Q1086" i="12"/>
  <c r="M960" i="12"/>
  <c r="N960" i="12"/>
  <c r="S960" i="12"/>
  <c r="R960" i="12"/>
  <c r="Q960" i="12"/>
  <c r="M928" i="12"/>
  <c r="AF24" i="5"/>
  <c r="N928" i="12"/>
  <c r="S928" i="12"/>
  <c r="R928" i="12"/>
  <c r="Q928" i="12"/>
  <c r="M1100" i="12"/>
  <c r="N1100" i="12"/>
  <c r="S1100" i="12"/>
  <c r="R1100" i="12"/>
  <c r="Q1100" i="12"/>
  <c r="M1099" i="12"/>
  <c r="N1099" i="12"/>
  <c r="S1099" i="12"/>
  <c r="R1099" i="12"/>
  <c r="Q1099" i="12"/>
  <c r="M1066" i="12"/>
  <c r="Z8" i="2"/>
  <c r="Z172" i="4"/>
  <c r="AL229" i="5"/>
  <c r="N1066" i="12"/>
  <c r="S1066" i="12"/>
  <c r="R1066" i="12"/>
  <c r="Q1066" i="12"/>
  <c r="M1065" i="12"/>
  <c r="N1065" i="12"/>
  <c r="S1065" i="12"/>
  <c r="R1065" i="12"/>
  <c r="Q1065" i="12"/>
  <c r="M927" i="12"/>
  <c r="N927" i="12"/>
  <c r="S927" i="12"/>
  <c r="R927" i="12"/>
  <c r="Q927" i="12"/>
  <c r="M127" i="12"/>
  <c r="X131" i="4"/>
  <c r="AI258" i="5"/>
  <c r="N127" i="12"/>
  <c r="S127" i="12"/>
  <c r="R127" i="12"/>
  <c r="Q127" i="12"/>
  <c r="M126" i="12"/>
  <c r="N126" i="12"/>
  <c r="S126" i="12"/>
  <c r="R126" i="12"/>
  <c r="Q126" i="12"/>
  <c r="M125" i="12"/>
  <c r="N125" i="12"/>
  <c r="S125" i="12"/>
  <c r="R125" i="12"/>
  <c r="Q125" i="12"/>
  <c r="M1081" i="12"/>
  <c r="Z17" i="2"/>
  <c r="Z142" i="4"/>
  <c r="AL280" i="5"/>
  <c r="N1081" i="12"/>
  <c r="S1081" i="12"/>
  <c r="R1081" i="12"/>
  <c r="Q1081" i="12"/>
  <c r="M1080" i="12"/>
  <c r="N1080" i="12"/>
  <c r="S1080" i="12"/>
  <c r="R1080" i="12"/>
  <c r="Q1080" i="12"/>
  <c r="M1082" i="12"/>
  <c r="Z16" i="2"/>
  <c r="Z143" i="4"/>
  <c r="AL286" i="5"/>
  <c r="N1082" i="12"/>
  <c r="S1082" i="12"/>
  <c r="R1082" i="12"/>
  <c r="Q1082" i="12"/>
  <c r="M1085" i="12"/>
  <c r="N1085" i="12"/>
  <c r="S1085" i="12"/>
  <c r="R1085" i="12"/>
  <c r="Q1085" i="12"/>
  <c r="M1083" i="12"/>
  <c r="N1083" i="12"/>
  <c r="S1083" i="12"/>
  <c r="R1083" i="12"/>
  <c r="Q1083" i="12"/>
  <c r="M926" i="12"/>
  <c r="AF8" i="5"/>
  <c r="N926" i="12"/>
  <c r="S926" i="12"/>
  <c r="R926" i="12"/>
  <c r="Q926" i="12"/>
  <c r="M124" i="12"/>
  <c r="X25" i="2"/>
  <c r="X129" i="4"/>
  <c r="AI252" i="5"/>
  <c r="N124" i="12"/>
  <c r="S124" i="12"/>
  <c r="R124" i="12"/>
  <c r="Q124" i="12"/>
  <c r="M123" i="12"/>
  <c r="N123" i="12"/>
  <c r="S123" i="12"/>
  <c r="R123" i="12"/>
  <c r="Q123" i="12"/>
  <c r="M1049" i="12"/>
  <c r="Z33" i="4"/>
  <c r="AL165" i="5"/>
  <c r="N1049" i="12"/>
  <c r="S1049" i="12"/>
  <c r="R1049" i="12"/>
  <c r="Q1049" i="12"/>
  <c r="M1048" i="12"/>
  <c r="N1048" i="12"/>
  <c r="S1048" i="12"/>
  <c r="R1048" i="12"/>
  <c r="Q1048" i="12"/>
  <c r="M1043" i="12"/>
  <c r="Z34" i="2"/>
  <c r="Z85" i="4"/>
  <c r="AL101" i="5"/>
  <c r="N1043" i="12"/>
  <c r="S1043" i="12"/>
  <c r="R1043" i="12"/>
  <c r="Q1043" i="12"/>
  <c r="M1042" i="12"/>
  <c r="N1042" i="12"/>
  <c r="S1042" i="12"/>
  <c r="R1042" i="12"/>
  <c r="Q1042" i="12"/>
  <c r="M70" i="12"/>
  <c r="AF369" i="5"/>
  <c r="N70" i="12"/>
  <c r="S70" i="12"/>
  <c r="R70" i="12"/>
  <c r="Q70" i="12"/>
  <c r="M69" i="12"/>
  <c r="N69" i="12"/>
  <c r="S69" i="12"/>
  <c r="R69" i="12"/>
  <c r="Q69" i="12"/>
  <c r="M98" i="12"/>
  <c r="N98" i="12"/>
  <c r="S98" i="12"/>
  <c r="R98" i="12"/>
  <c r="Q98" i="12"/>
  <c r="M97" i="12"/>
  <c r="N97" i="12"/>
  <c r="S97" i="12"/>
  <c r="R97" i="12"/>
  <c r="Q97" i="12"/>
  <c r="M96" i="12"/>
  <c r="N96" i="12"/>
  <c r="S96" i="12"/>
  <c r="R96" i="12"/>
  <c r="Q96" i="12"/>
  <c r="M95" i="12"/>
  <c r="N95" i="12"/>
  <c r="S95" i="12"/>
  <c r="R95" i="12"/>
  <c r="Q95" i="12"/>
  <c r="M94" i="12"/>
  <c r="N94" i="12"/>
  <c r="S94" i="12"/>
  <c r="R94" i="12"/>
  <c r="Q94" i="12"/>
  <c r="M1096" i="12"/>
  <c r="Z32" i="2"/>
  <c r="Z113" i="4"/>
  <c r="AL363" i="5"/>
  <c r="N1096" i="12"/>
  <c r="S1096" i="12"/>
  <c r="R1096" i="12"/>
  <c r="Q1096" i="12"/>
  <c r="M1095" i="12"/>
  <c r="N1095" i="12"/>
  <c r="S1095" i="12"/>
  <c r="R1095" i="12"/>
  <c r="Q1095" i="12"/>
  <c r="M924" i="12"/>
  <c r="N924" i="12"/>
  <c r="S924" i="12"/>
  <c r="R924" i="12"/>
  <c r="Q924" i="12"/>
  <c r="M1045" i="12"/>
  <c r="Z33" i="2"/>
  <c r="Z49" i="4"/>
  <c r="AL121" i="5"/>
  <c r="N1045" i="12"/>
  <c r="S1045" i="12"/>
  <c r="R1045" i="12"/>
  <c r="Q1045" i="12"/>
  <c r="M1044" i="12"/>
  <c r="N1044" i="12"/>
  <c r="S1044" i="12"/>
  <c r="R1044" i="12"/>
  <c r="Q1044" i="12"/>
  <c r="M1000" i="12"/>
  <c r="AF306" i="5"/>
  <c r="N1000" i="12"/>
  <c r="S1000" i="12"/>
  <c r="R1000" i="12"/>
  <c r="Q1000" i="12"/>
  <c r="M999" i="12"/>
  <c r="N999" i="12"/>
  <c r="S999" i="12"/>
  <c r="R999" i="12"/>
  <c r="Q999" i="12"/>
  <c r="M977" i="12"/>
  <c r="AF234" i="5"/>
  <c r="N977" i="12"/>
  <c r="S977" i="12"/>
  <c r="R977" i="12"/>
  <c r="Q977" i="12"/>
  <c r="M976" i="12"/>
  <c r="N976" i="12"/>
  <c r="S976" i="12"/>
  <c r="R976" i="12"/>
  <c r="Q976" i="12"/>
  <c r="M975" i="12"/>
  <c r="N975" i="12"/>
  <c r="S975" i="12"/>
  <c r="R975" i="12"/>
  <c r="Q975" i="12"/>
  <c r="M1105" i="12"/>
  <c r="Z45" i="4"/>
  <c r="AL406" i="5"/>
  <c r="N1105" i="12"/>
  <c r="S1105" i="12"/>
  <c r="R1105" i="12"/>
  <c r="Q1105" i="12"/>
  <c r="M1104" i="12"/>
  <c r="N1104" i="12"/>
  <c r="S1104" i="12"/>
  <c r="R1104" i="12"/>
  <c r="Q1104" i="12"/>
  <c r="M144" i="12"/>
  <c r="X74" i="4"/>
  <c r="AI333" i="5"/>
  <c r="N144" i="12"/>
  <c r="S144" i="12"/>
  <c r="R144" i="12"/>
  <c r="Q144" i="12"/>
  <c r="M143" i="12"/>
  <c r="N143" i="12"/>
  <c r="S143" i="12"/>
  <c r="R143" i="12"/>
  <c r="Q143" i="12"/>
  <c r="M137" i="12"/>
  <c r="X212" i="4"/>
  <c r="AI288" i="5"/>
  <c r="N137" i="12"/>
  <c r="S137" i="12"/>
  <c r="R137" i="12"/>
  <c r="Q137" i="12"/>
  <c r="M136" i="12"/>
  <c r="N136" i="12"/>
  <c r="S136" i="12"/>
  <c r="R136" i="12"/>
  <c r="Q136" i="12"/>
  <c r="M129" i="12"/>
  <c r="X23" i="2"/>
  <c r="X132" i="4"/>
  <c r="AI269" i="5"/>
  <c r="N129" i="12"/>
  <c r="S129" i="12"/>
  <c r="R129" i="12"/>
  <c r="Q129" i="12"/>
  <c r="M128" i="12"/>
  <c r="N128" i="12"/>
  <c r="S128" i="12"/>
  <c r="R128" i="12"/>
  <c r="Q128" i="12"/>
  <c r="M122" i="12"/>
  <c r="X27" i="2"/>
  <c r="X128" i="4"/>
  <c r="AI245" i="5"/>
  <c r="N122" i="12"/>
  <c r="S122" i="12"/>
  <c r="R122" i="12"/>
  <c r="Q122" i="12"/>
  <c r="M121" i="12"/>
  <c r="X26" i="2"/>
  <c r="X127" i="4"/>
  <c r="AI244" i="5"/>
  <c r="N121" i="12"/>
  <c r="S121" i="12"/>
  <c r="R121" i="12"/>
  <c r="Q121" i="12"/>
  <c r="M120" i="12"/>
  <c r="N120" i="12"/>
  <c r="S120" i="12"/>
  <c r="R120" i="12"/>
  <c r="Q120" i="12"/>
  <c r="M1021" i="12"/>
  <c r="Z21" i="2"/>
  <c r="Z199" i="4"/>
  <c r="AL37" i="5"/>
  <c r="N1021" i="12"/>
  <c r="S1021" i="12"/>
  <c r="R1021" i="12"/>
  <c r="Q1021" i="12"/>
  <c r="M1022" i="12"/>
  <c r="N1022" i="12"/>
  <c r="S1022" i="12"/>
  <c r="R1022" i="12"/>
  <c r="Q1022" i="12"/>
  <c r="M1020" i="12"/>
  <c r="N1020" i="12"/>
  <c r="S1020" i="12"/>
  <c r="R1020" i="12"/>
  <c r="Q1020" i="12"/>
  <c r="M1019" i="12"/>
  <c r="N1019" i="12"/>
  <c r="S1019" i="12"/>
  <c r="R1019" i="12"/>
  <c r="Q1019" i="12"/>
  <c r="M150" i="12"/>
  <c r="N150" i="12"/>
  <c r="S150" i="12"/>
  <c r="R150" i="12"/>
  <c r="Q150" i="12"/>
  <c r="M149" i="12"/>
  <c r="N149" i="12"/>
  <c r="S149" i="12"/>
  <c r="R149" i="12"/>
  <c r="Q149" i="12"/>
  <c r="M116" i="12"/>
  <c r="X8" i="2"/>
  <c r="X172" i="4"/>
  <c r="AI229" i="5"/>
  <c r="N116" i="12"/>
  <c r="S116" i="12"/>
  <c r="R116" i="12"/>
  <c r="Q116" i="12"/>
  <c r="M115" i="12"/>
  <c r="N115" i="12"/>
  <c r="S115" i="12"/>
  <c r="R115" i="12"/>
  <c r="Q115" i="12"/>
  <c r="M998" i="12"/>
  <c r="AF293" i="5"/>
  <c r="N998" i="12"/>
  <c r="S998" i="12"/>
  <c r="R998" i="12"/>
  <c r="Q998" i="12"/>
  <c r="M997" i="12"/>
  <c r="N997" i="12"/>
  <c r="S997" i="12"/>
  <c r="R997" i="12"/>
  <c r="Q997" i="12"/>
  <c r="M996" i="12"/>
  <c r="N996" i="12"/>
  <c r="S996" i="12"/>
  <c r="R996" i="12"/>
  <c r="Q996" i="12"/>
  <c r="M131" i="12"/>
  <c r="X17" i="2"/>
  <c r="X142" i="4"/>
  <c r="AI280" i="5"/>
  <c r="N131" i="12"/>
  <c r="S131" i="12"/>
  <c r="R131" i="12"/>
  <c r="Q131" i="12"/>
  <c r="M130" i="12"/>
  <c r="N130" i="12"/>
  <c r="S130" i="12"/>
  <c r="R130" i="12"/>
  <c r="Q130" i="12"/>
  <c r="M132" i="12"/>
  <c r="X143" i="4"/>
  <c r="AI286" i="5"/>
  <c r="N132" i="12"/>
  <c r="S132" i="12"/>
  <c r="R132" i="12"/>
  <c r="Q132" i="12"/>
  <c r="M135" i="12"/>
  <c r="N135" i="12"/>
  <c r="S135" i="12"/>
  <c r="R135" i="12"/>
  <c r="Q135" i="12"/>
  <c r="M133" i="12"/>
  <c r="N133" i="12"/>
  <c r="S133" i="12"/>
  <c r="R133" i="12"/>
  <c r="Q133" i="12"/>
  <c r="M1053" i="12"/>
  <c r="Z6" i="2"/>
  <c r="Z55" i="4"/>
  <c r="AL184" i="5"/>
  <c r="N1053" i="12"/>
  <c r="S1053" i="12"/>
  <c r="R1053" i="12"/>
  <c r="Q1053" i="12"/>
  <c r="M1052" i="12"/>
  <c r="N1052" i="12"/>
  <c r="S1052" i="12"/>
  <c r="R1052" i="12"/>
  <c r="Q1052" i="12"/>
  <c r="M945" i="12"/>
  <c r="AF55" i="5"/>
  <c r="N945" i="12"/>
  <c r="S945" i="12"/>
  <c r="R945" i="12"/>
  <c r="Q945" i="12"/>
  <c r="M942" i="12"/>
  <c r="N942" i="12"/>
  <c r="S942" i="12"/>
  <c r="R942" i="12"/>
  <c r="Q942" i="12"/>
  <c r="M106" i="12"/>
  <c r="X33" i="4"/>
  <c r="AI165" i="5"/>
  <c r="N106" i="12"/>
  <c r="S106" i="12"/>
  <c r="R106" i="12"/>
  <c r="Q106" i="12"/>
  <c r="M105" i="12"/>
  <c r="N105" i="12"/>
  <c r="S105" i="12"/>
  <c r="R105" i="12"/>
  <c r="Q105" i="12"/>
  <c r="M100" i="12"/>
  <c r="X85" i="4"/>
  <c r="AI101" i="5"/>
  <c r="N100" i="12"/>
  <c r="S100" i="12"/>
  <c r="R100" i="12"/>
  <c r="Q100" i="12"/>
  <c r="M99" i="12"/>
  <c r="N99" i="12"/>
  <c r="S99" i="12"/>
  <c r="R99" i="12"/>
  <c r="Q99" i="12"/>
  <c r="M984" i="12"/>
  <c r="AF258" i="5"/>
  <c r="N984" i="12"/>
  <c r="S984" i="12"/>
  <c r="R984" i="12"/>
  <c r="Q984" i="12"/>
  <c r="M146" i="12"/>
  <c r="X32" i="2"/>
  <c r="X113" i="4"/>
  <c r="AI363" i="5"/>
  <c r="N146" i="12"/>
  <c r="S146" i="12"/>
  <c r="R146" i="12"/>
  <c r="Q146" i="12"/>
  <c r="M102" i="12"/>
  <c r="X33" i="2"/>
  <c r="X49" i="4"/>
  <c r="AI121" i="5"/>
  <c r="N102" i="12"/>
  <c r="S102" i="12"/>
  <c r="R102" i="12"/>
  <c r="Q102" i="12"/>
  <c r="M101" i="12"/>
  <c r="N101" i="12"/>
  <c r="S101" i="12"/>
  <c r="R101" i="12"/>
  <c r="Q101" i="12"/>
  <c r="M145" i="12"/>
  <c r="N145" i="12"/>
  <c r="S145" i="12"/>
  <c r="R145" i="12"/>
  <c r="Q145" i="12"/>
  <c r="M985" i="12"/>
  <c r="N985" i="12"/>
  <c r="S985" i="12"/>
  <c r="R985" i="12"/>
  <c r="Q985" i="12"/>
  <c r="M983" i="12"/>
  <c r="N983" i="12"/>
  <c r="S983" i="12"/>
  <c r="R983" i="12"/>
  <c r="Q983" i="12"/>
  <c r="M79" i="12"/>
  <c r="X21" i="2"/>
  <c r="X199" i="4"/>
  <c r="AI37" i="5"/>
  <c r="N79" i="12"/>
  <c r="S79" i="12"/>
  <c r="R79" i="12"/>
  <c r="Q79" i="12"/>
  <c r="M78" i="12"/>
  <c r="N78" i="12"/>
  <c r="S78" i="12"/>
  <c r="R78" i="12"/>
  <c r="Q78" i="12"/>
  <c r="M77" i="12"/>
  <c r="N77" i="12"/>
  <c r="S77" i="12"/>
  <c r="R77" i="12"/>
  <c r="Q77" i="12"/>
  <c r="M76" i="12"/>
  <c r="N76" i="12"/>
  <c r="S76" i="12"/>
  <c r="R76" i="12"/>
  <c r="Q76" i="12"/>
  <c r="M947" i="12"/>
  <c r="AF67" i="5"/>
  <c r="N947" i="12"/>
  <c r="S947" i="12"/>
  <c r="R947" i="12"/>
  <c r="Q947" i="12"/>
  <c r="M982" i="12"/>
  <c r="AF252" i="5"/>
  <c r="N982" i="12"/>
  <c r="S982" i="12"/>
  <c r="R982" i="12"/>
  <c r="Q982" i="12"/>
  <c r="M951" i="12"/>
  <c r="N951" i="12"/>
  <c r="S951" i="12"/>
  <c r="R951" i="12"/>
  <c r="Q951" i="12"/>
  <c r="M950" i="12"/>
  <c r="N950" i="12"/>
  <c r="S950" i="12"/>
  <c r="R950" i="12"/>
  <c r="Q950" i="12"/>
  <c r="M948" i="12"/>
  <c r="N948" i="12"/>
  <c r="S948" i="12"/>
  <c r="R948" i="12"/>
  <c r="Q948" i="12"/>
  <c r="M949" i="12"/>
  <c r="N949" i="12"/>
  <c r="S949" i="12"/>
  <c r="R949" i="12"/>
  <c r="Q949" i="12"/>
  <c r="M152" i="12"/>
  <c r="X45" i="4"/>
  <c r="AI406" i="5"/>
  <c r="N152" i="12"/>
  <c r="S152" i="12"/>
  <c r="R152" i="12"/>
  <c r="Q152" i="12"/>
  <c r="M151" i="12"/>
  <c r="N151" i="12"/>
  <c r="S151" i="12"/>
  <c r="R151" i="12"/>
  <c r="Q151" i="12"/>
  <c r="M981" i="12"/>
  <c r="N981" i="12"/>
  <c r="S981" i="12"/>
  <c r="R981" i="12"/>
  <c r="Q981" i="12"/>
  <c r="M980" i="12"/>
  <c r="AF245" i="5"/>
  <c r="N980" i="12"/>
  <c r="S980" i="12"/>
  <c r="R980" i="12"/>
  <c r="Q980" i="12"/>
  <c r="M110" i="12"/>
  <c r="X6" i="2"/>
  <c r="X55" i="4"/>
  <c r="AI184" i="5"/>
  <c r="N110" i="12"/>
  <c r="S110" i="12"/>
  <c r="R110" i="12"/>
  <c r="Q110" i="12"/>
  <c r="M109" i="12"/>
  <c r="N109" i="12"/>
  <c r="S109" i="12"/>
  <c r="R109" i="12"/>
  <c r="Q109" i="12"/>
  <c r="M68" i="12"/>
  <c r="AF333" i="5"/>
  <c r="N68" i="12"/>
  <c r="S68" i="12"/>
  <c r="R68" i="12"/>
  <c r="Q68" i="12"/>
  <c r="M67" i="12"/>
  <c r="N67" i="12"/>
  <c r="S67" i="12"/>
  <c r="R67" i="12"/>
  <c r="Q67" i="12"/>
  <c r="M987" i="12"/>
  <c r="AF269" i="5"/>
  <c r="N987" i="12"/>
  <c r="S987" i="12"/>
  <c r="R987" i="12"/>
  <c r="Q987" i="12"/>
  <c r="M986" i="12"/>
  <c r="N986" i="12"/>
  <c r="S986" i="12"/>
  <c r="R986" i="12"/>
  <c r="Q986" i="12"/>
  <c r="M979" i="12"/>
  <c r="AF244" i="5"/>
  <c r="N979" i="12"/>
  <c r="S979" i="12"/>
  <c r="R979" i="12"/>
  <c r="Q979" i="12"/>
  <c r="M978" i="12"/>
  <c r="N978" i="12"/>
  <c r="S978" i="12"/>
  <c r="R978" i="12"/>
  <c r="Q978" i="12"/>
  <c r="M1004" i="12"/>
  <c r="N1004" i="12"/>
  <c r="S1004" i="12"/>
  <c r="R1004" i="12"/>
  <c r="Q1004" i="12"/>
  <c r="M1003" i="12"/>
  <c r="N1003" i="12"/>
  <c r="S1003" i="12"/>
  <c r="R1003" i="12"/>
  <c r="Q1003" i="12"/>
  <c r="M974" i="12"/>
  <c r="AF229" i="5"/>
  <c r="N974" i="12"/>
  <c r="S974" i="12"/>
  <c r="R974" i="12"/>
  <c r="Q974" i="12"/>
  <c r="M973" i="12"/>
  <c r="N973" i="12"/>
  <c r="S973" i="12"/>
  <c r="R973" i="12"/>
  <c r="Q973" i="12"/>
  <c r="M995" i="12"/>
  <c r="AF288" i="5"/>
  <c r="N995" i="12"/>
  <c r="S995" i="12"/>
  <c r="R995" i="12"/>
  <c r="Q995" i="12"/>
  <c r="M994" i="12"/>
  <c r="N994" i="12"/>
  <c r="S994" i="12"/>
  <c r="R994" i="12"/>
  <c r="Q994" i="12"/>
  <c r="M988" i="12"/>
  <c r="AF280" i="5"/>
  <c r="N988" i="12"/>
  <c r="S988" i="12"/>
  <c r="R988" i="12"/>
  <c r="Q988" i="12"/>
  <c r="M989" i="12"/>
  <c r="N989" i="12"/>
  <c r="S989" i="12"/>
  <c r="R989" i="12"/>
  <c r="Q989" i="12"/>
  <c r="M990" i="12"/>
  <c r="AF286" i="5"/>
  <c r="N990" i="12"/>
  <c r="S990" i="12"/>
  <c r="R990" i="12"/>
  <c r="Q990" i="12"/>
  <c r="M993" i="12"/>
  <c r="N993" i="12"/>
  <c r="S993" i="12"/>
  <c r="R993" i="12"/>
  <c r="Q993" i="12"/>
  <c r="M991" i="12"/>
  <c r="N991" i="12"/>
  <c r="S991" i="12"/>
  <c r="R991" i="12"/>
  <c r="Q991" i="12"/>
  <c r="M1002" i="12"/>
  <c r="AF363" i="5"/>
  <c r="N1002" i="12"/>
  <c r="S1002" i="12"/>
  <c r="R1002" i="12"/>
  <c r="Q1002" i="12"/>
  <c r="M953" i="12"/>
  <c r="AF101" i="5"/>
  <c r="N953" i="12"/>
  <c r="S953" i="12"/>
  <c r="R953" i="12"/>
  <c r="Q953" i="12"/>
  <c r="M952" i="12"/>
  <c r="N952" i="12"/>
  <c r="S952" i="12"/>
  <c r="R952" i="12"/>
  <c r="Q952" i="12"/>
  <c r="M959" i="12"/>
  <c r="AF165" i="5"/>
  <c r="N959" i="12"/>
  <c r="S959" i="12"/>
  <c r="R959" i="12"/>
  <c r="Q959" i="12"/>
  <c r="M958" i="12"/>
  <c r="N958" i="12"/>
  <c r="S958" i="12"/>
  <c r="R958" i="12"/>
  <c r="Q958" i="12"/>
  <c r="M1001" i="12"/>
  <c r="N1001" i="12"/>
  <c r="S1001" i="12"/>
  <c r="R1001" i="12"/>
  <c r="Q1001" i="12"/>
  <c r="M955" i="12"/>
  <c r="AF121" i="5"/>
  <c r="N955" i="12"/>
  <c r="S955" i="12"/>
  <c r="R955" i="12"/>
  <c r="Q955" i="12"/>
  <c r="M954" i="12"/>
  <c r="N954" i="12"/>
  <c r="S954" i="12"/>
  <c r="R954" i="12"/>
  <c r="Q954" i="12"/>
  <c r="M1009" i="12"/>
  <c r="AF406" i="5"/>
  <c r="N1009" i="12"/>
  <c r="S1009" i="12"/>
  <c r="R1009" i="12"/>
  <c r="Q1009" i="12"/>
  <c r="M1008" i="12"/>
  <c r="N1008" i="12"/>
  <c r="S1008" i="12"/>
  <c r="R1008" i="12"/>
  <c r="Q1008" i="12"/>
  <c r="M932" i="12"/>
  <c r="AF37" i="5"/>
  <c r="N932" i="12"/>
  <c r="S932" i="12"/>
  <c r="R932" i="12"/>
  <c r="Q932" i="12"/>
  <c r="M930" i="12"/>
  <c r="N930" i="12"/>
  <c r="S930" i="12"/>
  <c r="R930" i="12"/>
  <c r="Q930" i="12"/>
  <c r="M931" i="12"/>
  <c r="N931" i="12"/>
  <c r="S931" i="12"/>
  <c r="R931" i="12"/>
  <c r="Q931" i="12"/>
  <c r="M929" i="12"/>
  <c r="N929" i="12"/>
  <c r="S929" i="12"/>
  <c r="R929" i="12"/>
  <c r="Q929" i="12"/>
  <c r="M66" i="12"/>
  <c r="AF184" i="5"/>
  <c r="N66" i="12"/>
  <c r="S66" i="12"/>
  <c r="R66" i="12"/>
  <c r="Q66" i="12"/>
  <c r="M65" i="12"/>
  <c r="N65" i="12"/>
  <c r="S65" i="12"/>
  <c r="R65" i="12"/>
  <c r="Q65" i="12"/>
  <c r="M925" i="12"/>
  <c r="Q925" i="12"/>
  <c r="R925" i="12"/>
  <c r="N925" i="12"/>
  <c r="S925" i="12"/>
  <c r="M72" i="12"/>
  <c r="Q72" i="12"/>
  <c r="R72" i="12"/>
  <c r="N72" i="12"/>
  <c r="S72" i="12"/>
  <c r="M1015" i="12"/>
  <c r="Q1015" i="12"/>
  <c r="R1015" i="12"/>
  <c r="N1015" i="12"/>
  <c r="S1015" i="12"/>
  <c r="J2" i="13"/>
  <c r="N2" i="13"/>
  <c r="M946" i="12"/>
  <c r="J9" i="13"/>
  <c r="N9" i="13"/>
  <c r="J7" i="13"/>
  <c r="N7" i="13"/>
  <c r="J5" i="13"/>
  <c r="N5" i="13"/>
  <c r="J4" i="13"/>
  <c r="N4" i="13"/>
  <c r="M944" i="12"/>
  <c r="J10" i="13"/>
  <c r="N10" i="13"/>
  <c r="J8" i="13"/>
  <c r="N8" i="13"/>
  <c r="M943" i="12"/>
  <c r="Q943" i="12"/>
  <c r="R943" i="12"/>
  <c r="N943" i="12"/>
  <c r="S943" i="12"/>
  <c r="M90" i="12"/>
  <c r="Q90" i="12"/>
  <c r="R90" i="12"/>
  <c r="N90" i="12"/>
  <c r="S90" i="12"/>
  <c r="M1033" i="12"/>
  <c r="Q1033" i="12"/>
  <c r="R1033" i="12"/>
  <c r="N1033" i="12"/>
  <c r="S1033" i="12"/>
  <c r="Q944" i="12"/>
  <c r="R944" i="12"/>
  <c r="N944" i="12"/>
  <c r="S944" i="12"/>
  <c r="M91" i="12"/>
  <c r="Q91" i="12"/>
  <c r="R91" i="12"/>
  <c r="N91" i="12"/>
  <c r="S91" i="12"/>
  <c r="M1034" i="12"/>
  <c r="Q1034" i="12"/>
  <c r="R1034" i="12"/>
  <c r="N1034" i="12"/>
  <c r="S1034" i="12"/>
  <c r="Q946" i="12"/>
  <c r="R946" i="12"/>
  <c r="N946" i="12"/>
  <c r="S946" i="12"/>
  <c r="M93" i="12"/>
  <c r="Q93" i="12"/>
  <c r="R93" i="12"/>
  <c r="N93" i="12"/>
  <c r="S93" i="12"/>
  <c r="O1009" i="12"/>
  <c r="W2" i="13"/>
  <c r="O931" i="12"/>
  <c r="W25" i="13"/>
  <c r="O951" i="12"/>
  <c r="W16" i="13"/>
  <c r="O950" i="12"/>
  <c r="W15" i="13"/>
  <c r="O948" i="12"/>
  <c r="W14" i="13"/>
  <c r="O944" i="12"/>
  <c r="W10" i="13"/>
  <c r="O946" i="12"/>
  <c r="W9" i="13"/>
  <c r="O995" i="12"/>
  <c r="W8" i="13"/>
  <c r="O930" i="12"/>
  <c r="W7" i="13"/>
  <c r="O989" i="12"/>
  <c r="W5" i="13"/>
  <c r="O985" i="12"/>
  <c r="W4" i="13"/>
  <c r="O66" i="12"/>
  <c r="W3" i="13"/>
  <c r="J25" i="13"/>
  <c r="J16" i="13"/>
  <c r="J15" i="13"/>
  <c r="J14" i="13"/>
  <c r="J13" i="13"/>
  <c r="J3" i="13"/>
  <c r="V14" i="13"/>
  <c r="V10" i="13"/>
  <c r="V9" i="13"/>
  <c r="V13" i="13"/>
  <c r="V8" i="13"/>
  <c r="V7" i="13"/>
  <c r="V5" i="13"/>
  <c r="V4" i="13"/>
  <c r="V25" i="13"/>
  <c r="V16" i="13"/>
  <c r="V15" i="13"/>
  <c r="M992" i="12"/>
  <c r="Q992" i="12"/>
  <c r="R992" i="12"/>
  <c r="N992" i="12"/>
  <c r="S992" i="12"/>
  <c r="M134" i="12"/>
  <c r="Q134" i="12"/>
  <c r="R134" i="12"/>
  <c r="N134" i="12"/>
  <c r="S134" i="12"/>
  <c r="M1084" i="12"/>
  <c r="Q1084" i="12"/>
  <c r="R1084" i="12"/>
  <c r="N1084" i="12"/>
  <c r="S1084" i="12"/>
  <c r="V2" i="13"/>
  <c r="V3" i="13"/>
  <c r="O1105" i="12"/>
  <c r="O152" i="12"/>
  <c r="O1104" i="12"/>
  <c r="O151" i="12"/>
  <c r="O1008" i="12"/>
  <c r="O1100" i="12"/>
  <c r="O150" i="12"/>
  <c r="O1004" i="12"/>
  <c r="O1099" i="12"/>
  <c r="O149" i="12"/>
  <c r="O1003" i="12"/>
  <c r="O1098" i="12"/>
  <c r="O148" i="12"/>
  <c r="O70" i="12"/>
  <c r="O1097" i="12"/>
  <c r="O147" i="12"/>
  <c r="O69" i="12"/>
  <c r="O1096" i="12"/>
  <c r="O146" i="12"/>
  <c r="O1002" i="12"/>
  <c r="O1095" i="12"/>
  <c r="O145" i="12"/>
  <c r="O1001" i="12"/>
  <c r="O1094" i="12"/>
  <c r="O144" i="12"/>
  <c r="O68" i="12"/>
  <c r="O1093" i="12"/>
  <c r="O143" i="12"/>
  <c r="O67" i="12"/>
  <c r="O1092" i="12"/>
  <c r="O142" i="12"/>
  <c r="O1000" i="12"/>
  <c r="O1091" i="12"/>
  <c r="O141" i="12"/>
  <c r="O999" i="12"/>
  <c r="O1090" i="12"/>
  <c r="O140" i="12"/>
  <c r="O998" i="12"/>
  <c r="O1089" i="12"/>
  <c r="O139" i="12"/>
  <c r="O997" i="12"/>
  <c r="O1088" i="12"/>
  <c r="O138" i="12"/>
  <c r="O996" i="12"/>
  <c r="O1087" i="12"/>
  <c r="O137" i="12"/>
  <c r="O1086" i="12"/>
  <c r="O136" i="12"/>
  <c r="O994" i="12"/>
  <c r="O1085" i="12"/>
  <c r="O135" i="12"/>
  <c r="O993" i="12"/>
  <c r="O1083" i="12"/>
  <c r="O133" i="12"/>
  <c r="O991" i="12"/>
  <c r="O1081" i="12"/>
  <c r="O131" i="12"/>
  <c r="O1080" i="12"/>
  <c r="O130" i="12"/>
  <c r="O988" i="12"/>
  <c r="O1084" i="12"/>
  <c r="O134" i="12"/>
  <c r="O992" i="12"/>
  <c r="O1082" i="12"/>
  <c r="O132" i="12"/>
  <c r="O990" i="12"/>
  <c r="O1079" i="12"/>
  <c r="O129" i="12"/>
  <c r="O987" i="12"/>
  <c r="O1078" i="12"/>
  <c r="O128" i="12"/>
  <c r="O986" i="12"/>
  <c r="O1077" i="12"/>
  <c r="O127" i="12"/>
  <c r="O1076" i="12"/>
  <c r="O126" i="12"/>
  <c r="O984" i="12"/>
  <c r="O1075" i="12"/>
  <c r="O125" i="12"/>
  <c r="O983" i="12"/>
  <c r="O1074" i="12"/>
  <c r="O124" i="12"/>
  <c r="O982" i="12"/>
  <c r="O1073" i="12"/>
  <c r="O123" i="12"/>
  <c r="O981" i="12"/>
  <c r="O1072" i="12"/>
  <c r="O122" i="12"/>
  <c r="O980" i="12"/>
  <c r="O1071" i="12"/>
  <c r="O121" i="12"/>
  <c r="O979" i="12"/>
  <c r="O1070" i="12"/>
  <c r="O120" i="12"/>
  <c r="O978" i="12"/>
  <c r="O1069" i="12"/>
  <c r="O119" i="12"/>
  <c r="O977" i="12"/>
  <c r="O1068" i="12"/>
  <c r="O118" i="12"/>
  <c r="O976" i="12"/>
  <c r="O1067" i="12"/>
  <c r="O117" i="12"/>
  <c r="O975" i="12"/>
  <c r="O1066" i="12"/>
  <c r="O116" i="12"/>
  <c r="O974" i="12"/>
  <c r="O1065" i="12"/>
  <c r="O115" i="12"/>
  <c r="O973" i="12"/>
  <c r="O1064" i="12"/>
  <c r="O114" i="12"/>
  <c r="O972" i="12"/>
  <c r="O1063" i="12"/>
  <c r="O113" i="12"/>
  <c r="O971" i="12"/>
  <c r="O1053" i="12"/>
  <c r="O110" i="12"/>
  <c r="O1052" i="12"/>
  <c r="O109" i="12"/>
  <c r="O65" i="12"/>
  <c r="O1051" i="12"/>
  <c r="O108" i="12"/>
  <c r="O961" i="12"/>
  <c r="O1050" i="12"/>
  <c r="O107" i="12"/>
  <c r="O960" i="12"/>
  <c r="O1049" i="12"/>
  <c r="O106" i="12"/>
  <c r="O959" i="12"/>
  <c r="O1048" i="12"/>
  <c r="O105" i="12"/>
  <c r="O958" i="12"/>
  <c r="O1045" i="12"/>
  <c r="O102" i="12"/>
  <c r="O955" i="12"/>
  <c r="O1044" i="12"/>
  <c r="O101" i="12"/>
  <c r="O954" i="12"/>
  <c r="O1043" i="12"/>
  <c r="O100" i="12"/>
  <c r="O953" i="12"/>
  <c r="O1042" i="12"/>
  <c r="O99" i="12"/>
  <c r="O952" i="12"/>
  <c r="O98" i="12"/>
  <c r="O97" i="12"/>
  <c r="O96" i="12"/>
  <c r="O949" i="12"/>
  <c r="O95" i="12"/>
  <c r="O94" i="12"/>
  <c r="O947" i="12"/>
  <c r="O93" i="12"/>
  <c r="O1035" i="12"/>
  <c r="O92" i="12"/>
  <c r="O945" i="12"/>
  <c r="O1034" i="12"/>
  <c r="O91" i="12"/>
  <c r="O1033" i="12"/>
  <c r="O90" i="12"/>
  <c r="O943" i="12"/>
  <c r="O1032" i="12"/>
  <c r="O89" i="12"/>
  <c r="O942" i="12"/>
  <c r="O1031" i="12"/>
  <c r="O88" i="12"/>
  <c r="O941" i="12"/>
  <c r="O1030" i="12"/>
  <c r="O87" i="12"/>
  <c r="O940" i="12"/>
  <c r="O1029" i="12"/>
  <c r="O86" i="12"/>
  <c r="O939" i="12"/>
  <c r="O1028" i="12"/>
  <c r="O85" i="12"/>
  <c r="O938" i="12"/>
  <c r="O1027" i="12"/>
  <c r="O84" i="12"/>
  <c r="O937" i="12"/>
  <c r="O1026" i="12"/>
  <c r="O83" i="12"/>
  <c r="O936" i="12"/>
  <c r="O1025" i="12"/>
  <c r="O82" i="12"/>
  <c r="O935" i="12"/>
  <c r="O1024" i="12"/>
  <c r="O81" i="12"/>
  <c r="O934" i="12"/>
  <c r="O1023" i="12"/>
  <c r="O80" i="12"/>
  <c r="O933" i="12"/>
  <c r="O1022" i="12"/>
  <c r="O79" i="12"/>
  <c r="O932" i="12"/>
  <c r="O1021" i="12"/>
  <c r="O78" i="12"/>
  <c r="O1020" i="12"/>
  <c r="O77" i="12"/>
  <c r="O1019" i="12"/>
  <c r="O76" i="12"/>
  <c r="O929" i="12"/>
  <c r="O1018" i="12"/>
  <c r="O75" i="12"/>
  <c r="O928" i="12"/>
  <c r="O1017" i="12"/>
  <c r="O74" i="12"/>
  <c r="O927" i="12"/>
  <c r="O1016" i="12"/>
  <c r="O73" i="12"/>
  <c r="O926" i="12"/>
  <c r="O1015" i="12"/>
  <c r="O72" i="12"/>
  <c r="O925" i="12"/>
  <c r="O1014" i="12"/>
  <c r="O71" i="12"/>
  <c r="O924" i="12"/>
  <c r="AM406" i="8"/>
  <c r="AY406" i="8"/>
  <c r="O406" i="8"/>
  <c r="AN406" i="8"/>
  <c r="AZ406" i="8"/>
  <c r="P406" i="8"/>
  <c r="AO406" i="8"/>
  <c r="BA406" i="8"/>
  <c r="Q406" i="8"/>
  <c r="B406" i="8"/>
  <c r="AL405" i="5"/>
  <c r="AO405" i="8"/>
  <c r="BA405" i="8"/>
  <c r="Q405" i="8"/>
  <c r="B405" i="8"/>
  <c r="AF404" i="5"/>
  <c r="AM404" i="8"/>
  <c r="AY404" i="8"/>
  <c r="O404" i="8"/>
  <c r="X274" i="4"/>
  <c r="AI404" i="5"/>
  <c r="AN404" i="8"/>
  <c r="AZ404" i="8"/>
  <c r="P404" i="8"/>
  <c r="Z274" i="4"/>
  <c r="AL404" i="5"/>
  <c r="AO404" i="8"/>
  <c r="BA404" i="8"/>
  <c r="Q404" i="8"/>
  <c r="B404" i="8"/>
  <c r="AL392" i="5"/>
  <c r="AO37" i="8"/>
  <c r="BA37" i="8"/>
  <c r="Q37" i="8"/>
  <c r="B37" i="8"/>
  <c r="AF391" i="5"/>
  <c r="AM393" i="8"/>
  <c r="AY393" i="8"/>
  <c r="O393" i="8"/>
  <c r="X15" i="4"/>
  <c r="AI391" i="5"/>
  <c r="AN393" i="8"/>
  <c r="AZ393" i="8"/>
  <c r="P393" i="8"/>
  <c r="Z15" i="4"/>
  <c r="AL391" i="5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F385" i="5"/>
  <c r="AM387" i="8"/>
  <c r="AY387" i="8"/>
  <c r="O387" i="8"/>
  <c r="X158" i="4"/>
  <c r="AI385" i="5"/>
  <c r="AN387" i="8"/>
  <c r="AZ387" i="8"/>
  <c r="P387" i="8"/>
  <c r="Z158" i="4"/>
  <c r="AL385" i="5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F379" i="5"/>
  <c r="AM384" i="8"/>
  <c r="AY384" i="8"/>
  <c r="O384" i="8"/>
  <c r="AN384" i="8"/>
  <c r="AZ384" i="8"/>
  <c r="P384" i="8"/>
  <c r="Z209" i="4"/>
  <c r="AL379" i="5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F377" i="5"/>
  <c r="AM381" i="8"/>
  <c r="AY381" i="8"/>
  <c r="O381" i="8"/>
  <c r="X106" i="4"/>
  <c r="AI377" i="5"/>
  <c r="AN381" i="8"/>
  <c r="AZ381" i="8"/>
  <c r="P381" i="8"/>
  <c r="Z106" i="4"/>
  <c r="AL377" i="5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F376" i="5"/>
  <c r="AM379" i="8"/>
  <c r="AY379" i="8"/>
  <c r="O379" i="8"/>
  <c r="X94" i="4"/>
  <c r="AI376" i="5"/>
  <c r="AN379" i="8"/>
  <c r="AZ379" i="8"/>
  <c r="P379" i="8"/>
  <c r="Z94" i="4"/>
  <c r="AL376" i="5"/>
  <c r="AO379" i="8"/>
  <c r="BA379" i="8"/>
  <c r="Q379" i="8"/>
  <c r="B379" i="8"/>
  <c r="AF375" i="5"/>
  <c r="AM378" i="8"/>
  <c r="AY378" i="8"/>
  <c r="O378" i="8"/>
  <c r="X53" i="4"/>
  <c r="AI375" i="5"/>
  <c r="AN378" i="8"/>
  <c r="AZ378" i="8"/>
  <c r="P378" i="8"/>
  <c r="Z53" i="4"/>
  <c r="AL375" i="5"/>
  <c r="AO378" i="8"/>
  <c r="BA378" i="8"/>
  <c r="Q378" i="8"/>
  <c r="B378" i="8"/>
  <c r="AF374" i="5"/>
  <c r="AM377" i="8"/>
  <c r="AY377" i="8"/>
  <c r="O377" i="8"/>
  <c r="X51" i="4"/>
  <c r="AI374" i="5"/>
  <c r="AN377" i="8"/>
  <c r="AZ377" i="8"/>
  <c r="P377" i="8"/>
  <c r="Z51" i="4"/>
  <c r="AL374" i="5"/>
  <c r="AO377" i="8"/>
  <c r="BA377" i="8"/>
  <c r="Q377" i="8"/>
  <c r="B377" i="8"/>
  <c r="AF373" i="5"/>
  <c r="AM376" i="8"/>
  <c r="AY376" i="8"/>
  <c r="O376" i="8"/>
  <c r="X83" i="4"/>
  <c r="AI373" i="5"/>
  <c r="AN376" i="8"/>
  <c r="AZ376" i="8"/>
  <c r="P376" i="8"/>
  <c r="Z83" i="4"/>
  <c r="AL373" i="5"/>
  <c r="AO376" i="8"/>
  <c r="BA376" i="8"/>
  <c r="Q376" i="8"/>
  <c r="B376" i="8"/>
  <c r="AF372" i="5"/>
  <c r="AM375" i="8"/>
  <c r="AY375" i="8"/>
  <c r="O375" i="8"/>
  <c r="X99" i="4"/>
  <c r="AI372" i="5"/>
  <c r="AN375" i="8"/>
  <c r="AZ375" i="8"/>
  <c r="P375" i="8"/>
  <c r="Z99" i="4"/>
  <c r="AL372" i="5"/>
  <c r="AO375" i="8"/>
  <c r="BA375" i="8"/>
  <c r="Q375" i="8"/>
  <c r="B375" i="8"/>
  <c r="AF371" i="5"/>
  <c r="AM374" i="8"/>
  <c r="AY374" i="8"/>
  <c r="O374" i="8"/>
  <c r="X14" i="4"/>
  <c r="AI371" i="5"/>
  <c r="AN374" i="8"/>
  <c r="AZ374" i="8"/>
  <c r="P374" i="8"/>
  <c r="Z14" i="4"/>
  <c r="AL371" i="5"/>
  <c r="AO374" i="8"/>
  <c r="BA374" i="8"/>
  <c r="Q374" i="8"/>
  <c r="B374" i="8"/>
  <c r="AF370" i="5"/>
  <c r="AM373" i="8"/>
  <c r="AY373" i="8"/>
  <c r="O373" i="8"/>
  <c r="X13" i="4"/>
  <c r="AI370" i="5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F368" i="5"/>
  <c r="AM371" i="8"/>
  <c r="AY371" i="8"/>
  <c r="O371" i="8"/>
  <c r="X8" i="4"/>
  <c r="AI368" i="5"/>
  <c r="AN371" i="8"/>
  <c r="AZ371" i="8"/>
  <c r="P371" i="8"/>
  <c r="Z8" i="4"/>
  <c r="AL368" i="5"/>
  <c r="AO371" i="8"/>
  <c r="BA371" i="8"/>
  <c r="Q371" i="8"/>
  <c r="B371" i="8"/>
  <c r="AF367" i="5"/>
  <c r="AM35" i="8"/>
  <c r="AY35" i="8"/>
  <c r="O35" i="8"/>
  <c r="X92" i="4"/>
  <c r="AI367" i="5"/>
  <c r="AN35" i="8"/>
  <c r="AZ35" i="8"/>
  <c r="P35" i="8"/>
  <c r="Z92" i="4"/>
  <c r="AL367" i="5"/>
  <c r="AO35" i="8"/>
  <c r="BA35" i="8"/>
  <c r="Q35" i="8"/>
  <c r="B35" i="8"/>
  <c r="AF366" i="5"/>
  <c r="AM370" i="8"/>
  <c r="AY370" i="8"/>
  <c r="O370" i="8"/>
  <c r="X81" i="4"/>
  <c r="AI366" i="5"/>
  <c r="AN370" i="8"/>
  <c r="AZ370" i="8"/>
  <c r="P370" i="8"/>
  <c r="Z81" i="4"/>
  <c r="AL366" i="5"/>
  <c r="AO370" i="8"/>
  <c r="BA370" i="8"/>
  <c r="Q370" i="8"/>
  <c r="B370" i="8"/>
  <c r="AF365" i="5"/>
  <c r="AM369" i="8"/>
  <c r="AY369" i="8"/>
  <c r="O369" i="8"/>
  <c r="X115" i="4"/>
  <c r="AI365" i="5"/>
  <c r="AN369" i="8"/>
  <c r="AZ369" i="8"/>
  <c r="P369" i="8"/>
  <c r="Z115" i="4"/>
  <c r="AL365" i="5"/>
  <c r="AO369" i="8"/>
  <c r="BA369" i="8"/>
  <c r="Q369" i="8"/>
  <c r="B369" i="8"/>
  <c r="AF364" i="5"/>
  <c r="AM368" i="8"/>
  <c r="AY368" i="8"/>
  <c r="O368" i="8"/>
  <c r="X108" i="4"/>
  <c r="AI364" i="5"/>
  <c r="AN368" i="8"/>
  <c r="AZ368" i="8"/>
  <c r="P368" i="8"/>
  <c r="Z108" i="4"/>
  <c r="AL364" i="5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F362" i="5"/>
  <c r="AM367" i="8"/>
  <c r="AY367" i="8"/>
  <c r="O367" i="8"/>
  <c r="X121" i="4"/>
  <c r="AI362" i="5"/>
  <c r="AN367" i="8"/>
  <c r="AZ367" i="8"/>
  <c r="P367" i="8"/>
  <c r="Z121" i="4"/>
  <c r="AL362" i="5"/>
  <c r="AO367" i="8"/>
  <c r="BA367" i="8"/>
  <c r="Q367" i="8"/>
  <c r="B367" i="8"/>
  <c r="AF361" i="5"/>
  <c r="AM366" i="8"/>
  <c r="AY366" i="8"/>
  <c r="O366" i="8"/>
  <c r="X116" i="4"/>
  <c r="AI361" i="5"/>
  <c r="AN366" i="8"/>
  <c r="AZ366" i="8"/>
  <c r="P366" i="8"/>
  <c r="Z116" i="4"/>
  <c r="AL361" i="5"/>
  <c r="AO366" i="8"/>
  <c r="BA366" i="8"/>
  <c r="Q366" i="8"/>
  <c r="B366" i="8"/>
  <c r="AF360" i="5"/>
  <c r="AM365" i="8"/>
  <c r="AY365" i="8"/>
  <c r="O365" i="8"/>
  <c r="X107" i="4"/>
  <c r="AI360" i="5"/>
  <c r="AN365" i="8"/>
  <c r="AZ365" i="8"/>
  <c r="P365" i="8"/>
  <c r="Z107" i="4"/>
  <c r="AL360" i="5"/>
  <c r="AO365" i="8"/>
  <c r="BA365" i="8"/>
  <c r="Q365" i="8"/>
  <c r="B365" i="8"/>
  <c r="AF359" i="5"/>
  <c r="AM364" i="8"/>
  <c r="AY364" i="8"/>
  <c r="O364" i="8"/>
  <c r="X114" i="4"/>
  <c r="AI359" i="5"/>
  <c r="AN364" i="8"/>
  <c r="AZ364" i="8"/>
  <c r="P364" i="8"/>
  <c r="Z114" i="4"/>
  <c r="AL359" i="5"/>
  <c r="AO364" i="8"/>
  <c r="BA364" i="8"/>
  <c r="Q364" i="8"/>
  <c r="B364" i="8"/>
  <c r="AF358" i="5"/>
  <c r="AM363" i="8"/>
  <c r="AY363" i="8"/>
  <c r="O363" i="8"/>
  <c r="X122" i="4"/>
  <c r="AI358" i="5"/>
  <c r="AN363" i="8"/>
  <c r="AZ363" i="8"/>
  <c r="P363" i="8"/>
  <c r="Z122" i="4"/>
  <c r="AL358" i="5"/>
  <c r="AO363" i="8"/>
  <c r="BA363" i="8"/>
  <c r="Q363" i="8"/>
  <c r="B363" i="8"/>
  <c r="AF356" i="5"/>
  <c r="AM361" i="8"/>
  <c r="AY361" i="8"/>
  <c r="O361" i="8"/>
  <c r="X254" i="4"/>
  <c r="AI356" i="5"/>
  <c r="AN361" i="8"/>
  <c r="AZ361" i="8"/>
  <c r="P361" i="8"/>
  <c r="Z254" i="4"/>
  <c r="AL356" i="5"/>
  <c r="AO361" i="8"/>
  <c r="BA361" i="8"/>
  <c r="Q361" i="8"/>
  <c r="B361" i="8"/>
  <c r="AF355" i="5"/>
  <c r="AM33" i="8"/>
  <c r="AY33" i="8"/>
  <c r="O33" i="8"/>
  <c r="X11" i="4"/>
  <c r="AI355" i="5"/>
  <c r="AN33" i="8"/>
  <c r="AZ33" i="8"/>
  <c r="P33" i="8"/>
  <c r="Z11" i="4"/>
  <c r="AL355" i="5"/>
  <c r="AO33" i="8"/>
  <c r="BA33" i="8"/>
  <c r="Q33" i="8"/>
  <c r="B33" i="8"/>
  <c r="AF354" i="5"/>
  <c r="AM360" i="8"/>
  <c r="AY360" i="8"/>
  <c r="O360" i="8"/>
  <c r="X93" i="4"/>
  <c r="AI354" i="5"/>
  <c r="AN360" i="8"/>
  <c r="AZ360" i="8"/>
  <c r="P360" i="8"/>
  <c r="Z93" i="4"/>
  <c r="AL354" i="5"/>
  <c r="AO360" i="8"/>
  <c r="BA360" i="8"/>
  <c r="Q360" i="8"/>
  <c r="B360" i="8"/>
  <c r="AF353" i="5"/>
  <c r="AM359" i="8"/>
  <c r="AY359" i="8"/>
  <c r="O359" i="8"/>
  <c r="X82" i="4"/>
  <c r="AI353" i="5"/>
  <c r="AN359" i="8"/>
  <c r="AZ359" i="8"/>
  <c r="P359" i="8"/>
  <c r="Z82" i="4"/>
  <c r="AL353" i="5"/>
  <c r="AO359" i="8"/>
  <c r="BA359" i="8"/>
  <c r="Q359" i="8"/>
  <c r="B359" i="8"/>
  <c r="AF352" i="5"/>
  <c r="AM358" i="8"/>
  <c r="AY358" i="8"/>
  <c r="O358" i="8"/>
  <c r="X96" i="4"/>
  <c r="AI352" i="5"/>
  <c r="AN358" i="8"/>
  <c r="AZ358" i="8"/>
  <c r="P358" i="8"/>
  <c r="Z96" i="4"/>
  <c r="AL352" i="5"/>
  <c r="AO358" i="8"/>
  <c r="BA358" i="8"/>
  <c r="Q358" i="8"/>
  <c r="B358" i="8"/>
  <c r="AF351" i="5"/>
  <c r="AM357" i="8"/>
  <c r="AY357" i="8"/>
  <c r="O357" i="8"/>
  <c r="X65" i="4"/>
  <c r="AI351" i="5"/>
  <c r="AN357" i="8"/>
  <c r="AZ357" i="8"/>
  <c r="P357" i="8"/>
  <c r="Z65" i="4"/>
  <c r="AL351" i="5"/>
  <c r="AO357" i="8"/>
  <c r="BA357" i="8"/>
  <c r="Q357" i="8"/>
  <c r="B357" i="8"/>
  <c r="AF350" i="5"/>
  <c r="AM356" i="8"/>
  <c r="AY356" i="8"/>
  <c r="O356" i="8"/>
  <c r="X89" i="4"/>
  <c r="AI350" i="5"/>
  <c r="AN356" i="8"/>
  <c r="AZ356" i="8"/>
  <c r="P356" i="8"/>
  <c r="Z89" i="4"/>
  <c r="AL350" i="5"/>
  <c r="AO356" i="8"/>
  <c r="BA356" i="8"/>
  <c r="Q356" i="8"/>
  <c r="B356" i="8"/>
  <c r="AF349" i="5"/>
  <c r="AM355" i="8"/>
  <c r="AY355" i="8"/>
  <c r="O355" i="8"/>
  <c r="X77" i="4"/>
  <c r="AI349" i="5"/>
  <c r="AN355" i="8"/>
  <c r="AZ355" i="8"/>
  <c r="P355" i="8"/>
  <c r="Z77" i="4"/>
  <c r="AL349" i="5"/>
  <c r="AO355" i="8"/>
  <c r="BA355" i="8"/>
  <c r="Q355" i="8"/>
  <c r="B355" i="8"/>
  <c r="AF348" i="5"/>
  <c r="AM354" i="8"/>
  <c r="AY354" i="8"/>
  <c r="O354" i="8"/>
  <c r="X100" i="4"/>
  <c r="AI348" i="5"/>
  <c r="AN354" i="8"/>
  <c r="AZ354" i="8"/>
  <c r="P354" i="8"/>
  <c r="Z100" i="4"/>
  <c r="AL348" i="5"/>
  <c r="AO354" i="8"/>
  <c r="BA354" i="8"/>
  <c r="Q354" i="8"/>
  <c r="B354" i="8"/>
  <c r="AF347" i="5"/>
  <c r="AM353" i="8"/>
  <c r="AY353" i="8"/>
  <c r="O353" i="8"/>
  <c r="X91" i="4"/>
  <c r="AI347" i="5"/>
  <c r="AN353" i="8"/>
  <c r="AZ353" i="8"/>
  <c r="P353" i="8"/>
  <c r="Z91" i="4"/>
  <c r="AL347" i="5"/>
  <c r="AO353" i="8"/>
  <c r="BA353" i="8"/>
  <c r="Q353" i="8"/>
  <c r="B353" i="8"/>
  <c r="AF346" i="5"/>
  <c r="AM352" i="8"/>
  <c r="AY352" i="8"/>
  <c r="O352" i="8"/>
  <c r="X79" i="4"/>
  <c r="AI346" i="5"/>
  <c r="AN352" i="8"/>
  <c r="AZ352" i="8"/>
  <c r="P352" i="8"/>
  <c r="Z79" i="4"/>
  <c r="AL346" i="5"/>
  <c r="AO352" i="8"/>
  <c r="BA352" i="8"/>
  <c r="Q352" i="8"/>
  <c r="B352" i="8"/>
  <c r="AF345" i="5"/>
  <c r="AM351" i="8"/>
  <c r="AY351" i="8"/>
  <c r="O351" i="8"/>
  <c r="X68" i="4"/>
  <c r="AI345" i="5"/>
  <c r="AN351" i="8"/>
  <c r="AZ351" i="8"/>
  <c r="P351" i="8"/>
  <c r="Z68" i="4"/>
  <c r="AL345" i="5"/>
  <c r="AO351" i="8"/>
  <c r="BA351" i="8"/>
  <c r="Q351" i="8"/>
  <c r="B351" i="8"/>
  <c r="AF344" i="5"/>
  <c r="AM32" i="8"/>
  <c r="AY32" i="8"/>
  <c r="O32" i="8"/>
  <c r="X112" i="4"/>
  <c r="AI344" i="5"/>
  <c r="AN32" i="8"/>
  <c r="AZ32" i="8"/>
  <c r="P32" i="8"/>
  <c r="Z112" i="4"/>
  <c r="AL344" i="5"/>
  <c r="AO32" i="8"/>
  <c r="BA32" i="8"/>
  <c r="Q32" i="8"/>
  <c r="B32" i="8"/>
  <c r="AF343" i="5"/>
  <c r="AM350" i="8"/>
  <c r="AY350" i="8"/>
  <c r="O350" i="8"/>
  <c r="X67" i="4"/>
  <c r="AI343" i="5"/>
  <c r="AN350" i="8"/>
  <c r="AZ350" i="8"/>
  <c r="P350" i="8"/>
  <c r="Z67" i="4"/>
  <c r="AL343" i="5"/>
  <c r="AO350" i="8"/>
  <c r="BA350" i="8"/>
  <c r="Q350" i="8"/>
  <c r="B350" i="8"/>
  <c r="AF342" i="5"/>
  <c r="AM349" i="8"/>
  <c r="AY349" i="8"/>
  <c r="O349" i="8"/>
  <c r="X66" i="4"/>
  <c r="AI342" i="5"/>
  <c r="AN349" i="8"/>
  <c r="AZ349" i="8"/>
  <c r="P349" i="8"/>
  <c r="Z66" i="4"/>
  <c r="AL342" i="5"/>
  <c r="AO349" i="8"/>
  <c r="BA349" i="8"/>
  <c r="Q349" i="8"/>
  <c r="B349" i="8"/>
  <c r="AF341" i="5"/>
  <c r="AM348" i="8"/>
  <c r="AY348" i="8"/>
  <c r="O348" i="8"/>
  <c r="X98" i="4"/>
  <c r="AI341" i="5"/>
  <c r="AN348" i="8"/>
  <c r="AZ348" i="8"/>
  <c r="P348" i="8"/>
  <c r="Z98" i="4"/>
  <c r="AL341" i="5"/>
  <c r="AO348" i="8"/>
  <c r="BA348" i="8"/>
  <c r="Q348" i="8"/>
  <c r="B348" i="8"/>
  <c r="AF340" i="5"/>
  <c r="AM347" i="8"/>
  <c r="AY347" i="8"/>
  <c r="O347" i="8"/>
  <c r="X111" i="4"/>
  <c r="AI340" i="5"/>
  <c r="AN347" i="8"/>
  <c r="AZ347" i="8"/>
  <c r="P347" i="8"/>
  <c r="Z111" i="4"/>
  <c r="AL340" i="5"/>
  <c r="AO347" i="8"/>
  <c r="BA347" i="8"/>
  <c r="Q347" i="8"/>
  <c r="B347" i="8"/>
  <c r="AF339" i="5"/>
  <c r="AM346" i="8"/>
  <c r="AY346" i="8"/>
  <c r="O346" i="8"/>
  <c r="X73" i="4"/>
  <c r="AI339" i="5"/>
  <c r="AN346" i="8"/>
  <c r="AZ346" i="8"/>
  <c r="P346" i="8"/>
  <c r="Z73" i="4"/>
  <c r="AL339" i="5"/>
  <c r="AO346" i="8"/>
  <c r="BA346" i="8"/>
  <c r="Q346" i="8"/>
  <c r="B346" i="8"/>
  <c r="AF338" i="5"/>
  <c r="AM345" i="8"/>
  <c r="AY345" i="8"/>
  <c r="O345" i="8"/>
  <c r="X97" i="4"/>
  <c r="AI338" i="5"/>
  <c r="AN345" i="8"/>
  <c r="AZ345" i="8"/>
  <c r="P345" i="8"/>
  <c r="Z97" i="4"/>
  <c r="AL338" i="5"/>
  <c r="AO345" i="8"/>
  <c r="BA345" i="8"/>
  <c r="Q345" i="8"/>
  <c r="B345" i="8"/>
  <c r="AF337" i="5"/>
  <c r="AM344" i="8"/>
  <c r="AY344" i="8"/>
  <c r="O344" i="8"/>
  <c r="X63" i="4"/>
  <c r="AI337" i="5"/>
  <c r="AN344" i="8"/>
  <c r="AZ344" i="8"/>
  <c r="P344" i="8"/>
  <c r="Z63" i="4"/>
  <c r="AL337" i="5"/>
  <c r="AO344" i="8"/>
  <c r="BA344" i="8"/>
  <c r="Q344" i="8"/>
  <c r="B344" i="8"/>
  <c r="AF336" i="5"/>
  <c r="AM343" i="8"/>
  <c r="AY343" i="8"/>
  <c r="O343" i="8"/>
  <c r="X103" i="4"/>
  <c r="AI336" i="5"/>
  <c r="AN343" i="8"/>
  <c r="AZ343" i="8"/>
  <c r="P343" i="8"/>
  <c r="Z103" i="4"/>
  <c r="AL336" i="5"/>
  <c r="AO343" i="8"/>
  <c r="BA343" i="8"/>
  <c r="Q343" i="8"/>
  <c r="B343" i="8"/>
  <c r="AF335" i="5"/>
  <c r="AM342" i="8"/>
  <c r="AY342" i="8"/>
  <c r="O342" i="8"/>
  <c r="X95" i="4"/>
  <c r="AI335" i="5"/>
  <c r="AN342" i="8"/>
  <c r="AZ342" i="8"/>
  <c r="P342" i="8"/>
  <c r="Z95" i="4"/>
  <c r="AL335" i="5"/>
  <c r="AO342" i="8"/>
  <c r="BA342" i="8"/>
  <c r="Q342" i="8"/>
  <c r="B342" i="8"/>
  <c r="AF334" i="5"/>
  <c r="AM341" i="8"/>
  <c r="AY341" i="8"/>
  <c r="O341" i="8"/>
  <c r="X75" i="4"/>
  <c r="AI334" i="5"/>
  <c r="AN341" i="8"/>
  <c r="AZ341" i="8"/>
  <c r="P341" i="8"/>
  <c r="Z75" i="4"/>
  <c r="AL334" i="5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F332" i="5"/>
  <c r="AM339" i="8"/>
  <c r="AY339" i="8"/>
  <c r="O339" i="8"/>
  <c r="X64" i="4"/>
  <c r="AI332" i="5"/>
  <c r="AN339" i="8"/>
  <c r="AZ339" i="8"/>
  <c r="P339" i="8"/>
  <c r="Z64" i="4"/>
  <c r="AL332" i="5"/>
  <c r="AO339" i="8"/>
  <c r="BA339" i="8"/>
  <c r="Q339" i="8"/>
  <c r="B339" i="8"/>
  <c r="AL331" i="5"/>
  <c r="AO338" i="8"/>
  <c r="BA338" i="8"/>
  <c r="Q338" i="8"/>
  <c r="B338" i="8"/>
  <c r="AF330" i="5"/>
  <c r="AM337" i="8"/>
  <c r="AY337" i="8"/>
  <c r="O337" i="8"/>
  <c r="X9" i="4"/>
  <c r="AI330" i="5"/>
  <c r="AN337" i="8"/>
  <c r="AZ337" i="8"/>
  <c r="P337" i="8"/>
  <c r="Z9" i="4"/>
  <c r="AL330" i="5"/>
  <c r="AO337" i="8"/>
  <c r="BA337" i="8"/>
  <c r="Q337" i="8"/>
  <c r="B337" i="8"/>
  <c r="AF329" i="5"/>
  <c r="AM336" i="8"/>
  <c r="AY336" i="8"/>
  <c r="O336" i="8"/>
  <c r="X43" i="4"/>
  <c r="AI329" i="5"/>
  <c r="AN336" i="8"/>
  <c r="AZ336" i="8"/>
  <c r="P336" i="8"/>
  <c r="Z43" i="4"/>
  <c r="AL329" i="5"/>
  <c r="AO336" i="8"/>
  <c r="BA336" i="8"/>
  <c r="Q336" i="8"/>
  <c r="B336" i="8"/>
  <c r="AF328" i="5"/>
  <c r="AM335" i="8"/>
  <c r="AY335" i="8"/>
  <c r="O335" i="8"/>
  <c r="X54" i="4"/>
  <c r="AI328" i="5"/>
  <c r="AN335" i="8"/>
  <c r="AZ335" i="8"/>
  <c r="P335" i="8"/>
  <c r="Z54" i="4"/>
  <c r="AL328" i="5"/>
  <c r="AO335" i="8"/>
  <c r="BA335" i="8"/>
  <c r="Q335" i="8"/>
  <c r="B335" i="8"/>
  <c r="AF327" i="5"/>
  <c r="AM334" i="8"/>
  <c r="AY334" i="8"/>
  <c r="O334" i="8"/>
  <c r="X7" i="4"/>
  <c r="AI327" i="5"/>
  <c r="AN334" i="8"/>
  <c r="AZ334" i="8"/>
  <c r="P334" i="8"/>
  <c r="Z7" i="4"/>
  <c r="AL327" i="5"/>
  <c r="AO334" i="8"/>
  <c r="BA334" i="8"/>
  <c r="Q334" i="8"/>
  <c r="B334" i="8"/>
  <c r="AF326" i="5"/>
  <c r="AM333" i="8"/>
  <c r="AY333" i="8"/>
  <c r="O333" i="8"/>
  <c r="X6" i="4"/>
  <c r="AI326" i="5"/>
  <c r="AN333" i="8"/>
  <c r="AZ333" i="8"/>
  <c r="P333" i="8"/>
  <c r="Z6" i="4"/>
  <c r="AL326" i="5"/>
  <c r="AO333" i="8"/>
  <c r="BA333" i="8"/>
  <c r="Q333" i="8"/>
  <c r="B333" i="8"/>
  <c r="AF325" i="5"/>
  <c r="AM332" i="8"/>
  <c r="AY332" i="8"/>
  <c r="O332" i="8"/>
  <c r="X232" i="4"/>
  <c r="AI325" i="5"/>
  <c r="AN332" i="8"/>
  <c r="AZ332" i="8"/>
  <c r="P332" i="8"/>
  <c r="Z232" i="4"/>
  <c r="AL325" i="5"/>
  <c r="AO332" i="8"/>
  <c r="BA332" i="8"/>
  <c r="Q332" i="8"/>
  <c r="B332" i="8"/>
  <c r="AF324" i="5"/>
  <c r="AM31" i="8"/>
  <c r="AY31" i="8"/>
  <c r="O31" i="8"/>
  <c r="AN31" i="8"/>
  <c r="AZ31" i="8"/>
  <c r="P31" i="8"/>
  <c r="Z240" i="4"/>
  <c r="AL324" i="5"/>
  <c r="AO31" i="8"/>
  <c r="BA31" i="8"/>
  <c r="Q31" i="8"/>
  <c r="B31" i="8"/>
  <c r="AF323" i="5"/>
  <c r="AM331" i="8"/>
  <c r="AY331" i="8"/>
  <c r="O331" i="8"/>
  <c r="X139" i="4"/>
  <c r="AI323" i="5"/>
  <c r="AN331" i="8"/>
  <c r="AZ331" i="8"/>
  <c r="P331" i="8"/>
  <c r="Z139" i="4"/>
  <c r="AL323" i="5"/>
  <c r="AO331" i="8"/>
  <c r="BA331" i="8"/>
  <c r="Q331" i="8"/>
  <c r="B331" i="8"/>
  <c r="AF322" i="5"/>
  <c r="AM330" i="8"/>
  <c r="AY330" i="8"/>
  <c r="O330" i="8"/>
  <c r="X162" i="4"/>
  <c r="AI322" i="5"/>
  <c r="AN330" i="8"/>
  <c r="AZ330" i="8"/>
  <c r="P330" i="8"/>
  <c r="Z162" i="4"/>
  <c r="AL322" i="5"/>
  <c r="AO330" i="8"/>
  <c r="BA330" i="8"/>
  <c r="Q330" i="8"/>
  <c r="B330" i="8"/>
  <c r="AF321" i="5"/>
  <c r="AM329" i="8"/>
  <c r="AY329" i="8"/>
  <c r="O329" i="8"/>
  <c r="X217" i="4"/>
  <c r="AI321" i="5"/>
  <c r="AN329" i="8"/>
  <c r="AZ329" i="8"/>
  <c r="P329" i="8"/>
  <c r="Z217" i="4"/>
  <c r="AL321" i="5"/>
  <c r="AO329" i="8"/>
  <c r="BA329" i="8"/>
  <c r="Q329" i="8"/>
  <c r="B329" i="8"/>
  <c r="AF320" i="5"/>
  <c r="AM328" i="8"/>
  <c r="AY328" i="8"/>
  <c r="O328" i="8"/>
  <c r="X225" i="4"/>
  <c r="AI320" i="5"/>
  <c r="AN328" i="8"/>
  <c r="AZ328" i="8"/>
  <c r="P328" i="8"/>
  <c r="Z225" i="4"/>
  <c r="AL320" i="5"/>
  <c r="AO328" i="8"/>
  <c r="BA328" i="8"/>
  <c r="Q328" i="8"/>
  <c r="B328" i="8"/>
  <c r="AF319" i="5"/>
  <c r="AM327" i="8"/>
  <c r="AY327" i="8"/>
  <c r="O327" i="8"/>
  <c r="X120" i="4"/>
  <c r="AI319" i="5"/>
  <c r="AN327" i="8"/>
  <c r="AZ327" i="8"/>
  <c r="P327" i="8"/>
  <c r="Z120" i="4"/>
  <c r="AL319" i="5"/>
  <c r="AO327" i="8"/>
  <c r="BA327" i="8"/>
  <c r="Q327" i="8"/>
  <c r="B327" i="8"/>
  <c r="AF318" i="5"/>
  <c r="AM30" i="8"/>
  <c r="AY30" i="8"/>
  <c r="O30" i="8"/>
  <c r="X156" i="4"/>
  <c r="AI318" i="5"/>
  <c r="AN30" i="8"/>
  <c r="AZ30" i="8"/>
  <c r="P30" i="8"/>
  <c r="Z156" i="4"/>
  <c r="AL318" i="5"/>
  <c r="AO30" i="8"/>
  <c r="BA30" i="8"/>
  <c r="Q30" i="8"/>
  <c r="B30" i="8"/>
  <c r="AF317" i="5"/>
  <c r="AM326" i="8"/>
  <c r="AY326" i="8"/>
  <c r="O326" i="8"/>
  <c r="X220" i="4"/>
  <c r="AI317" i="5"/>
  <c r="AN326" i="8"/>
  <c r="AZ326" i="8"/>
  <c r="P326" i="8"/>
  <c r="Z220" i="4"/>
  <c r="AL317" i="5"/>
  <c r="AO326" i="8"/>
  <c r="BA326" i="8"/>
  <c r="Q326" i="8"/>
  <c r="B326" i="8"/>
  <c r="AF316" i="5"/>
  <c r="AM325" i="8"/>
  <c r="AY325" i="8"/>
  <c r="O325" i="8"/>
  <c r="X269" i="4"/>
  <c r="AI316" i="5"/>
  <c r="AN325" i="8"/>
  <c r="AZ325" i="8"/>
  <c r="P325" i="8"/>
  <c r="Z269" i="4"/>
  <c r="AL316" i="5"/>
  <c r="AO325" i="8"/>
  <c r="BA325" i="8"/>
  <c r="Q325" i="8"/>
  <c r="B325" i="8"/>
  <c r="AF315" i="5"/>
  <c r="AM324" i="8"/>
  <c r="AY324" i="8"/>
  <c r="O324" i="8"/>
  <c r="X223" i="4"/>
  <c r="AI315" i="5"/>
  <c r="AN324" i="8"/>
  <c r="AZ324" i="8"/>
  <c r="P324" i="8"/>
  <c r="Z223" i="4"/>
  <c r="AL315" i="5"/>
  <c r="AO324" i="8"/>
  <c r="BA324" i="8"/>
  <c r="Q324" i="8"/>
  <c r="B324" i="8"/>
  <c r="AF314" i="5"/>
  <c r="AM323" i="8"/>
  <c r="AY323" i="8"/>
  <c r="O323" i="8"/>
  <c r="X281" i="4"/>
  <c r="AI314" i="5"/>
  <c r="AN323" i="8"/>
  <c r="AZ323" i="8"/>
  <c r="P323" i="8"/>
  <c r="Z281" i="4"/>
  <c r="AL314" i="5"/>
  <c r="AO323" i="8"/>
  <c r="BA323" i="8"/>
  <c r="Q323" i="8"/>
  <c r="B323" i="8"/>
  <c r="AF313" i="5"/>
  <c r="AM322" i="8"/>
  <c r="AY322" i="8"/>
  <c r="O322" i="8"/>
  <c r="X165" i="4"/>
  <c r="AI313" i="5"/>
  <c r="AN322" i="8"/>
  <c r="AZ322" i="8"/>
  <c r="P322" i="8"/>
  <c r="Z165" i="4"/>
  <c r="AL313" i="5"/>
  <c r="AO322" i="8"/>
  <c r="BA322" i="8"/>
  <c r="Q322" i="8"/>
  <c r="B322" i="8"/>
  <c r="AF312" i="5"/>
  <c r="AM321" i="8"/>
  <c r="AY321" i="8"/>
  <c r="O321" i="8"/>
  <c r="X204" i="4"/>
  <c r="AI312" i="5"/>
  <c r="AN321" i="8"/>
  <c r="AZ321" i="8"/>
  <c r="P321" i="8"/>
  <c r="Z204" i="4"/>
  <c r="AL312" i="5"/>
  <c r="AO321" i="8"/>
  <c r="BA321" i="8"/>
  <c r="Q321" i="8"/>
  <c r="B321" i="8"/>
  <c r="AF311" i="5"/>
  <c r="AM320" i="8"/>
  <c r="AY320" i="8"/>
  <c r="O320" i="8"/>
  <c r="X157" i="4"/>
  <c r="AI311" i="5"/>
  <c r="AN320" i="8"/>
  <c r="AZ320" i="8"/>
  <c r="P320" i="8"/>
  <c r="Z157" i="4"/>
  <c r="AL311" i="5"/>
  <c r="AO320" i="8"/>
  <c r="BA320" i="8"/>
  <c r="Q320" i="8"/>
  <c r="B320" i="8"/>
  <c r="AF310" i="5"/>
  <c r="AM319" i="8"/>
  <c r="AY319" i="8"/>
  <c r="O319" i="8"/>
  <c r="X193" i="4"/>
  <c r="AI310" i="5"/>
  <c r="AN319" i="8"/>
  <c r="AZ319" i="8"/>
  <c r="P319" i="8"/>
  <c r="Z193" i="4"/>
  <c r="AL310" i="5"/>
  <c r="AO319" i="8"/>
  <c r="BA319" i="8"/>
  <c r="Q319" i="8"/>
  <c r="B319" i="8"/>
  <c r="AF309" i="5"/>
  <c r="AM318" i="8"/>
  <c r="AY318" i="8"/>
  <c r="O318" i="8"/>
  <c r="X184" i="4"/>
  <c r="AI309" i="5"/>
  <c r="AN318" i="8"/>
  <c r="AZ318" i="8"/>
  <c r="P318" i="8"/>
  <c r="Z184" i="4"/>
  <c r="AL309" i="5"/>
  <c r="AO318" i="8"/>
  <c r="BA318" i="8"/>
  <c r="Q318" i="8"/>
  <c r="B318" i="8"/>
  <c r="AF308" i="5"/>
  <c r="AM317" i="8"/>
  <c r="AY317" i="8"/>
  <c r="O317" i="8"/>
  <c r="X276" i="4"/>
  <c r="AI308" i="5"/>
  <c r="AN317" i="8"/>
  <c r="AZ317" i="8"/>
  <c r="P317" i="8"/>
  <c r="Z276" i="4"/>
  <c r="AL308" i="5"/>
  <c r="AO317" i="8"/>
  <c r="BA317" i="8"/>
  <c r="Q317" i="8"/>
  <c r="B317" i="8"/>
  <c r="AF307" i="5"/>
  <c r="AM316" i="8"/>
  <c r="AY316" i="8"/>
  <c r="O316" i="8"/>
  <c r="X168" i="4"/>
  <c r="AI307" i="5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F305" i="5"/>
  <c r="AM314" i="8"/>
  <c r="AY314" i="8"/>
  <c r="O314" i="8"/>
  <c r="X170" i="4"/>
  <c r="AI305" i="5"/>
  <c r="AN314" i="8"/>
  <c r="AZ314" i="8"/>
  <c r="P314" i="8"/>
  <c r="Z170" i="4"/>
  <c r="AL305" i="5"/>
  <c r="AO314" i="8"/>
  <c r="BA314" i="8"/>
  <c r="Q314" i="8"/>
  <c r="B314" i="8"/>
  <c r="AF304" i="5"/>
  <c r="AM313" i="8"/>
  <c r="AY313" i="8"/>
  <c r="O313" i="8"/>
  <c r="X180" i="4"/>
  <c r="AI304" i="5"/>
  <c r="AN313" i="8"/>
  <c r="AZ313" i="8"/>
  <c r="P313" i="8"/>
  <c r="Z180" i="4"/>
  <c r="AL304" i="5"/>
  <c r="AO313" i="8"/>
  <c r="BA313" i="8"/>
  <c r="Q313" i="8"/>
  <c r="B313" i="8"/>
  <c r="AF303" i="5"/>
  <c r="AM312" i="8"/>
  <c r="AY312" i="8"/>
  <c r="O312" i="8"/>
  <c r="X167" i="4"/>
  <c r="AI303" i="5"/>
  <c r="AN312" i="8"/>
  <c r="AZ312" i="8"/>
  <c r="P312" i="8"/>
  <c r="B312" i="8"/>
  <c r="AF302" i="5"/>
  <c r="AM311" i="8"/>
  <c r="AY311" i="8"/>
  <c r="O311" i="8"/>
  <c r="X171" i="4"/>
  <c r="AI302" i="5"/>
  <c r="AN311" i="8"/>
  <c r="AZ311" i="8"/>
  <c r="P311" i="8"/>
  <c r="Z171" i="4"/>
  <c r="AL302" i="5"/>
  <c r="AO311" i="8"/>
  <c r="BA311" i="8"/>
  <c r="Q311" i="8"/>
  <c r="B311" i="8"/>
  <c r="AF301" i="5"/>
  <c r="AM310" i="8"/>
  <c r="AY310" i="8"/>
  <c r="O310" i="8"/>
  <c r="X163" i="4"/>
  <c r="AI301" i="5"/>
  <c r="AN310" i="8"/>
  <c r="AZ310" i="8"/>
  <c r="P310" i="8"/>
  <c r="Z163" i="4"/>
  <c r="AL301" i="5"/>
  <c r="AO310" i="8"/>
  <c r="BA310" i="8"/>
  <c r="Q310" i="8"/>
  <c r="B310" i="8"/>
  <c r="AO309" i="8"/>
  <c r="BA309" i="8"/>
  <c r="Q309" i="8"/>
  <c r="B309" i="8"/>
  <c r="AF299" i="5"/>
  <c r="AM308" i="8"/>
  <c r="AY308" i="8"/>
  <c r="O308" i="8"/>
  <c r="X166" i="4"/>
  <c r="AI299" i="5"/>
  <c r="AN308" i="8"/>
  <c r="AZ308" i="8"/>
  <c r="P308" i="8"/>
  <c r="Z166" i="4"/>
  <c r="AL299" i="5"/>
  <c r="AO308" i="8"/>
  <c r="BA308" i="8"/>
  <c r="Q308" i="8"/>
  <c r="B308" i="8"/>
  <c r="AF298" i="5"/>
  <c r="AM307" i="8"/>
  <c r="AY307" i="8"/>
  <c r="O307" i="8"/>
  <c r="X234" i="4"/>
  <c r="AI298" i="5"/>
  <c r="AN307" i="8"/>
  <c r="AZ307" i="8"/>
  <c r="P307" i="8"/>
  <c r="Z234" i="4"/>
  <c r="AL298" i="5"/>
  <c r="AO307" i="8"/>
  <c r="BA307" i="8"/>
  <c r="Q307" i="8"/>
  <c r="B307" i="8"/>
  <c r="AF297" i="5"/>
  <c r="AM306" i="8"/>
  <c r="AY306" i="8"/>
  <c r="O306" i="8"/>
  <c r="X264" i="4"/>
  <c r="AI297" i="5"/>
  <c r="AN306" i="8"/>
  <c r="AZ306" i="8"/>
  <c r="P306" i="8"/>
  <c r="Z264" i="4"/>
  <c r="AL297" i="5"/>
  <c r="AO306" i="8"/>
  <c r="BA306" i="8"/>
  <c r="Q306" i="8"/>
  <c r="B306" i="8"/>
  <c r="AF296" i="5"/>
  <c r="AM305" i="8"/>
  <c r="AY305" i="8"/>
  <c r="O305" i="8"/>
  <c r="X177" i="4"/>
  <c r="AI296" i="5"/>
  <c r="AN305" i="8"/>
  <c r="AZ305" i="8"/>
  <c r="P305" i="8"/>
  <c r="Z177" i="4"/>
  <c r="AL296" i="5"/>
  <c r="AO305" i="8"/>
  <c r="BA305" i="8"/>
  <c r="Q305" i="8"/>
  <c r="B305" i="8"/>
  <c r="AF295" i="5"/>
  <c r="AM304" i="8"/>
  <c r="AY304" i="8"/>
  <c r="O304" i="8"/>
  <c r="X242" i="4"/>
  <c r="AI295" i="5"/>
  <c r="AN304" i="8"/>
  <c r="AZ304" i="8"/>
  <c r="P304" i="8"/>
  <c r="Z242" i="4"/>
  <c r="AL295" i="5"/>
  <c r="AO304" i="8"/>
  <c r="BA304" i="8"/>
  <c r="Q304" i="8"/>
  <c r="B304" i="8"/>
  <c r="AF294" i="5"/>
  <c r="AM303" i="8"/>
  <c r="AY303" i="8"/>
  <c r="O303" i="8"/>
  <c r="X210" i="4"/>
  <c r="AI294" i="5"/>
  <c r="AN303" i="8"/>
  <c r="AZ303" i="8"/>
  <c r="P303" i="8"/>
  <c r="Z210" i="4"/>
  <c r="AL294" i="5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F292" i="5"/>
  <c r="AM302" i="8"/>
  <c r="AY302" i="8"/>
  <c r="O302" i="8"/>
  <c r="X140" i="4"/>
  <c r="AI292" i="5"/>
  <c r="AN302" i="8"/>
  <c r="AZ302" i="8"/>
  <c r="P302" i="8"/>
  <c r="Z140" i="4"/>
  <c r="AL292" i="5"/>
  <c r="AO302" i="8"/>
  <c r="BA302" i="8"/>
  <c r="Q302" i="8"/>
  <c r="B302" i="8"/>
  <c r="AF291" i="5"/>
  <c r="AM301" i="8"/>
  <c r="AY301" i="8"/>
  <c r="O301" i="8"/>
  <c r="X218" i="4"/>
  <c r="AI291" i="5"/>
  <c r="AN301" i="8"/>
  <c r="AZ301" i="8"/>
  <c r="P301" i="8"/>
  <c r="Z218" i="4"/>
  <c r="AL291" i="5"/>
  <c r="AO301" i="8"/>
  <c r="BA301" i="8"/>
  <c r="Q301" i="8"/>
  <c r="B301" i="8"/>
  <c r="AF290" i="5"/>
  <c r="AM300" i="8"/>
  <c r="AY300" i="8"/>
  <c r="O300" i="8"/>
  <c r="X185" i="4"/>
  <c r="AI290" i="5"/>
  <c r="AN300" i="8"/>
  <c r="AZ300" i="8"/>
  <c r="P300" i="8"/>
  <c r="Z185" i="4"/>
  <c r="AL290" i="5"/>
  <c r="AO300" i="8"/>
  <c r="BA300" i="8"/>
  <c r="Q300" i="8"/>
  <c r="B300" i="8"/>
  <c r="AF289" i="5"/>
  <c r="AM299" i="8"/>
  <c r="AY299" i="8"/>
  <c r="O299" i="8"/>
  <c r="X197" i="4"/>
  <c r="AI289" i="5"/>
  <c r="AN299" i="8"/>
  <c r="AZ299" i="8"/>
  <c r="P299" i="8"/>
  <c r="Z197" i="4"/>
  <c r="AL289" i="5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F287" i="5"/>
  <c r="AM297" i="8"/>
  <c r="AY297" i="8"/>
  <c r="O297" i="8"/>
  <c r="X141" i="4"/>
  <c r="AI287" i="5"/>
  <c r="AN297" i="8"/>
  <c r="AZ297" i="8"/>
  <c r="P297" i="8"/>
  <c r="Z141" i="4"/>
  <c r="AL287" i="5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F285" i="5"/>
  <c r="AM295" i="8"/>
  <c r="AY295" i="8"/>
  <c r="O295" i="8"/>
  <c r="X145" i="4"/>
  <c r="AI285" i="5"/>
  <c r="AN295" i="8"/>
  <c r="AZ295" i="8"/>
  <c r="P295" i="8"/>
  <c r="Z145" i="4"/>
  <c r="AL285" i="5"/>
  <c r="AO295" i="8"/>
  <c r="BA295" i="8"/>
  <c r="Q295" i="8"/>
  <c r="B295" i="8"/>
  <c r="AF284" i="5"/>
  <c r="AM294" i="8"/>
  <c r="AY294" i="8"/>
  <c r="O294" i="8"/>
  <c r="X144" i="4"/>
  <c r="AI284" i="5"/>
  <c r="AN294" i="8"/>
  <c r="AZ294" i="8"/>
  <c r="P294" i="8"/>
  <c r="Z144" i="4"/>
  <c r="AL284" i="5"/>
  <c r="AO294" i="8"/>
  <c r="BA294" i="8"/>
  <c r="Q294" i="8"/>
  <c r="B294" i="8"/>
  <c r="AF283" i="5"/>
  <c r="AM293" i="8"/>
  <c r="AY293" i="8"/>
  <c r="O293" i="8"/>
  <c r="X59" i="4"/>
  <c r="AI283" i="5"/>
  <c r="AN293" i="8"/>
  <c r="AZ293" i="8"/>
  <c r="P293" i="8"/>
  <c r="Z59" i="4"/>
  <c r="AL283" i="5"/>
  <c r="AO293" i="8"/>
  <c r="BA293" i="8"/>
  <c r="Q293" i="8"/>
  <c r="B293" i="8"/>
  <c r="AL282" i="5"/>
  <c r="AO292" i="8"/>
  <c r="BA292" i="8"/>
  <c r="Q292" i="8"/>
  <c r="B292" i="8"/>
  <c r="AF281" i="5"/>
  <c r="AM291" i="8"/>
  <c r="AY291" i="8"/>
  <c r="O291" i="8"/>
  <c r="X179" i="4"/>
  <c r="AI281" i="5"/>
  <c r="AN291" i="8"/>
  <c r="AZ291" i="8"/>
  <c r="P291" i="8"/>
  <c r="Z179" i="4"/>
  <c r="AL281" i="5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F279" i="5"/>
  <c r="AM289" i="8"/>
  <c r="AY289" i="8"/>
  <c r="O289" i="8"/>
  <c r="X178" i="4"/>
  <c r="AI279" i="5"/>
  <c r="AN289" i="8"/>
  <c r="AZ289" i="8"/>
  <c r="P289" i="8"/>
  <c r="Z178" i="4"/>
  <c r="AL279" i="5"/>
  <c r="AO289" i="8"/>
  <c r="BA289" i="8"/>
  <c r="Q289" i="8"/>
  <c r="B289" i="8"/>
  <c r="AF278" i="5"/>
  <c r="AM288" i="8"/>
  <c r="AY288" i="8"/>
  <c r="O288" i="8"/>
  <c r="X211" i="4"/>
  <c r="AI278" i="5"/>
  <c r="AN288" i="8"/>
  <c r="AZ288" i="8"/>
  <c r="P288" i="8"/>
  <c r="Z211" i="4"/>
  <c r="AL278" i="5"/>
  <c r="AO288" i="8"/>
  <c r="BA288" i="8"/>
  <c r="Q288" i="8"/>
  <c r="B288" i="8"/>
  <c r="AF277" i="5"/>
  <c r="AM287" i="8"/>
  <c r="AY287" i="8"/>
  <c r="O287" i="8"/>
  <c r="X52" i="4"/>
  <c r="AI277" i="5"/>
  <c r="AN287" i="8"/>
  <c r="AZ287" i="8"/>
  <c r="P287" i="8"/>
  <c r="B287" i="8"/>
  <c r="AF276" i="5"/>
  <c r="AM28" i="8"/>
  <c r="AY28" i="8"/>
  <c r="O28" i="8"/>
  <c r="X243" i="4"/>
  <c r="AI276" i="5"/>
  <c r="AN28" i="8"/>
  <c r="AZ28" i="8"/>
  <c r="P28" i="8"/>
  <c r="Z243" i="4"/>
  <c r="AL276" i="5"/>
  <c r="AO28" i="8"/>
  <c r="BA28" i="8"/>
  <c r="Q28" i="8"/>
  <c r="B28" i="8"/>
  <c r="AF275" i="5"/>
  <c r="AM286" i="8"/>
  <c r="AY286" i="8"/>
  <c r="O286" i="8"/>
  <c r="X250" i="4"/>
  <c r="AI275" i="5"/>
  <c r="AN286" i="8"/>
  <c r="AZ286" i="8"/>
  <c r="P286" i="8"/>
  <c r="Z250" i="4"/>
  <c r="AL275" i="5"/>
  <c r="AO286" i="8"/>
  <c r="BA286" i="8"/>
  <c r="Q286" i="8"/>
  <c r="B286" i="8"/>
  <c r="AF274" i="5"/>
  <c r="AM285" i="8"/>
  <c r="AY285" i="8"/>
  <c r="O285" i="8"/>
  <c r="X125" i="4"/>
  <c r="AI274" i="5"/>
  <c r="AN285" i="8"/>
  <c r="AZ285" i="8"/>
  <c r="P285" i="8"/>
  <c r="Z125" i="4"/>
  <c r="AL274" i="5"/>
  <c r="AO285" i="8"/>
  <c r="BA285" i="8"/>
  <c r="Q285" i="8"/>
  <c r="B285" i="8"/>
  <c r="AF273" i="5"/>
  <c r="AM284" i="8"/>
  <c r="AY284" i="8"/>
  <c r="O284" i="8"/>
  <c r="X159" i="4"/>
  <c r="AI273" i="5"/>
  <c r="AN284" i="8"/>
  <c r="AZ284" i="8"/>
  <c r="P284" i="8"/>
  <c r="Z159" i="4"/>
  <c r="AL273" i="5"/>
  <c r="AO284" i="8"/>
  <c r="BA284" i="8"/>
  <c r="Q284" i="8"/>
  <c r="B284" i="8"/>
  <c r="AF272" i="5"/>
  <c r="AM283" i="8"/>
  <c r="AY283" i="8"/>
  <c r="O283" i="8"/>
  <c r="X203" i="4"/>
  <c r="AI272" i="5"/>
  <c r="AN283" i="8"/>
  <c r="AZ283" i="8"/>
  <c r="P283" i="8"/>
  <c r="Z203" i="4"/>
  <c r="AL272" i="5"/>
  <c r="AO283" i="8"/>
  <c r="BA283" i="8"/>
  <c r="Q283" i="8"/>
  <c r="B283" i="8"/>
  <c r="AF271" i="5"/>
  <c r="AM282" i="8"/>
  <c r="AY282" i="8"/>
  <c r="O282" i="8"/>
  <c r="X227" i="4"/>
  <c r="AI271" i="5"/>
  <c r="AN282" i="8"/>
  <c r="AZ282" i="8"/>
  <c r="P282" i="8"/>
  <c r="Z227" i="4"/>
  <c r="AL271" i="5"/>
  <c r="AO282" i="8"/>
  <c r="BA282" i="8"/>
  <c r="Q282" i="8"/>
  <c r="B282" i="8"/>
  <c r="AF270" i="5"/>
  <c r="AM281" i="8"/>
  <c r="AY281" i="8"/>
  <c r="O281" i="8"/>
  <c r="X118" i="4"/>
  <c r="AI270" i="5"/>
  <c r="AN281" i="8"/>
  <c r="AZ281" i="8"/>
  <c r="P281" i="8"/>
  <c r="Z118" i="4"/>
  <c r="AL270" i="5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F268" i="5"/>
  <c r="AM279" i="8"/>
  <c r="AY279" i="8"/>
  <c r="O279" i="8"/>
  <c r="X124" i="4"/>
  <c r="AI268" i="5"/>
  <c r="AN279" i="8"/>
  <c r="AZ279" i="8"/>
  <c r="P279" i="8"/>
  <c r="Z124" i="4"/>
  <c r="AL268" i="5"/>
  <c r="AO279" i="8"/>
  <c r="BA279" i="8"/>
  <c r="Q279" i="8"/>
  <c r="B279" i="8"/>
  <c r="AF267" i="5"/>
  <c r="AM278" i="8"/>
  <c r="AY278" i="8"/>
  <c r="O278" i="8"/>
  <c r="X80" i="4"/>
  <c r="AI267" i="5"/>
  <c r="AN278" i="8"/>
  <c r="AZ278" i="8"/>
  <c r="P278" i="8"/>
  <c r="Z80" i="4"/>
  <c r="AL267" i="5"/>
  <c r="AO278" i="8"/>
  <c r="BA278" i="8"/>
  <c r="Q278" i="8"/>
  <c r="B278" i="8"/>
  <c r="AF266" i="5"/>
  <c r="AM277" i="8"/>
  <c r="AY277" i="8"/>
  <c r="O277" i="8"/>
  <c r="X152" i="4"/>
  <c r="AI266" i="5"/>
  <c r="AN277" i="8"/>
  <c r="AZ277" i="8"/>
  <c r="P277" i="8"/>
  <c r="Z152" i="4"/>
  <c r="AL266" i="5"/>
  <c r="AO277" i="8"/>
  <c r="BA277" i="8"/>
  <c r="Q277" i="8"/>
  <c r="B277" i="8"/>
  <c r="AF265" i="5"/>
  <c r="AM276" i="8"/>
  <c r="AY276" i="8"/>
  <c r="O276" i="8"/>
  <c r="X138" i="4"/>
  <c r="AI265" i="5"/>
  <c r="AN276" i="8"/>
  <c r="AZ276" i="8"/>
  <c r="P276" i="8"/>
  <c r="Z138" i="4"/>
  <c r="AL265" i="5"/>
  <c r="AO276" i="8"/>
  <c r="BA276" i="8"/>
  <c r="Q276" i="8"/>
  <c r="B276" i="8"/>
  <c r="AF264" i="5"/>
  <c r="AM275" i="8"/>
  <c r="AY275" i="8"/>
  <c r="O275" i="8"/>
  <c r="X117" i="4"/>
  <c r="AI264" i="5"/>
  <c r="AN275" i="8"/>
  <c r="AZ275" i="8"/>
  <c r="P275" i="8"/>
  <c r="Z117" i="4"/>
  <c r="AL264" i="5"/>
  <c r="AO275" i="8"/>
  <c r="BA275" i="8"/>
  <c r="Q275" i="8"/>
  <c r="B275" i="8"/>
  <c r="AF263" i="5"/>
  <c r="AM274" i="8"/>
  <c r="AY274" i="8"/>
  <c r="O274" i="8"/>
  <c r="X110" i="4"/>
  <c r="AI263" i="5"/>
  <c r="AN274" i="8"/>
  <c r="AZ274" i="8"/>
  <c r="P274" i="8"/>
  <c r="Z110" i="4"/>
  <c r="AL263" i="5"/>
  <c r="AO274" i="8"/>
  <c r="BA274" i="8"/>
  <c r="Q274" i="8"/>
  <c r="B274" i="8"/>
  <c r="AF262" i="5"/>
  <c r="AM27" i="8"/>
  <c r="AY27" i="8"/>
  <c r="O27" i="8"/>
  <c r="X136" i="4"/>
  <c r="AI262" i="5"/>
  <c r="AN27" i="8"/>
  <c r="AZ27" i="8"/>
  <c r="P27" i="8"/>
  <c r="Z136" i="4"/>
  <c r="AL262" i="5"/>
  <c r="AO27" i="8"/>
  <c r="BA27" i="8"/>
  <c r="Q27" i="8"/>
  <c r="B27" i="8"/>
  <c r="AF261" i="5"/>
  <c r="AM273" i="8"/>
  <c r="AY273" i="8"/>
  <c r="O273" i="8"/>
  <c r="X201" i="4"/>
  <c r="AI261" i="5"/>
  <c r="AN273" i="8"/>
  <c r="AZ273" i="8"/>
  <c r="P273" i="8"/>
  <c r="Z201" i="4"/>
  <c r="AL261" i="5"/>
  <c r="AO273" i="8"/>
  <c r="BA273" i="8"/>
  <c r="Q273" i="8"/>
  <c r="B273" i="8"/>
  <c r="AF260" i="5"/>
  <c r="AM272" i="8"/>
  <c r="AY272" i="8"/>
  <c r="O272" i="8"/>
  <c r="X244" i="4"/>
  <c r="AI260" i="5"/>
  <c r="AN272" i="8"/>
  <c r="AZ272" i="8"/>
  <c r="P272" i="8"/>
  <c r="Z244" i="4"/>
  <c r="AL260" i="5"/>
  <c r="AO272" i="8"/>
  <c r="BA272" i="8"/>
  <c r="Q272" i="8"/>
  <c r="B272" i="8"/>
  <c r="AF259" i="5"/>
  <c r="AM271" i="8"/>
  <c r="AY271" i="8"/>
  <c r="O271" i="8"/>
  <c r="X135" i="4"/>
  <c r="AI259" i="5"/>
  <c r="AN271" i="8"/>
  <c r="AZ271" i="8"/>
  <c r="P271" i="8"/>
  <c r="Z135" i="4"/>
  <c r="AL259" i="5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F257" i="5"/>
  <c r="AM269" i="8"/>
  <c r="AY269" i="8"/>
  <c r="O269" i="8"/>
  <c r="X130" i="4"/>
  <c r="AI257" i="5"/>
  <c r="AN269" i="8"/>
  <c r="AZ269" i="8"/>
  <c r="P269" i="8"/>
  <c r="Z130" i="4"/>
  <c r="AL257" i="5"/>
  <c r="AO269" i="8"/>
  <c r="BA269" i="8"/>
  <c r="Q269" i="8"/>
  <c r="B269" i="8"/>
  <c r="AL256" i="5"/>
  <c r="AO268" i="8"/>
  <c r="BA268" i="8"/>
  <c r="Q268" i="8"/>
  <c r="B268" i="8"/>
  <c r="AF255" i="5"/>
  <c r="AM267" i="8"/>
  <c r="AY267" i="8"/>
  <c r="O267" i="8"/>
  <c r="X47" i="4"/>
  <c r="AI255" i="5"/>
  <c r="AN267" i="8"/>
  <c r="AZ267" i="8"/>
  <c r="P267" i="8"/>
  <c r="Z47" i="4"/>
  <c r="AL255" i="5"/>
  <c r="AO267" i="8"/>
  <c r="BA267" i="8"/>
  <c r="Q267" i="8"/>
  <c r="B267" i="8"/>
  <c r="AF254" i="5"/>
  <c r="AM266" i="8"/>
  <c r="AY266" i="8"/>
  <c r="O266" i="8"/>
  <c r="X40" i="4"/>
  <c r="AI254" i="5"/>
  <c r="AN266" i="8"/>
  <c r="AZ266" i="8"/>
  <c r="P266" i="8"/>
  <c r="Z40" i="4"/>
  <c r="AL254" i="5"/>
  <c r="AO266" i="8"/>
  <c r="BA266" i="8"/>
  <c r="Q266" i="8"/>
  <c r="B266" i="8"/>
  <c r="AF253" i="5"/>
  <c r="AM265" i="8"/>
  <c r="AY265" i="8"/>
  <c r="O265" i="8"/>
  <c r="X239" i="4"/>
  <c r="AI253" i="5"/>
  <c r="AN265" i="8"/>
  <c r="AZ265" i="8"/>
  <c r="P265" i="8"/>
  <c r="Z239" i="4"/>
  <c r="AL253" i="5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F251" i="5"/>
  <c r="AM26" i="8"/>
  <c r="AY26" i="8"/>
  <c r="O26" i="8"/>
  <c r="X72" i="4"/>
  <c r="AI251" i="5"/>
  <c r="AN26" i="8"/>
  <c r="AZ26" i="8"/>
  <c r="P26" i="8"/>
  <c r="Z72" i="4"/>
  <c r="AL251" i="5"/>
  <c r="AO26" i="8"/>
  <c r="BA26" i="8"/>
  <c r="Q26" i="8"/>
  <c r="B26" i="8"/>
  <c r="AF250" i="5"/>
  <c r="AM263" i="8"/>
  <c r="AY263" i="8"/>
  <c r="O263" i="8"/>
  <c r="X12" i="4"/>
  <c r="AI250" i="5"/>
  <c r="AN263" i="8"/>
  <c r="AZ263" i="8"/>
  <c r="P263" i="8"/>
  <c r="Z12" i="4"/>
  <c r="AL250" i="5"/>
  <c r="AO263" i="8"/>
  <c r="BA263" i="8"/>
  <c r="Q263" i="8"/>
  <c r="B263" i="8"/>
  <c r="AF249" i="5"/>
  <c r="AM262" i="8"/>
  <c r="AY262" i="8"/>
  <c r="O262" i="8"/>
  <c r="X44" i="4"/>
  <c r="AI249" i="5"/>
  <c r="AN262" i="8"/>
  <c r="AZ262" i="8"/>
  <c r="P262" i="8"/>
  <c r="Z44" i="4"/>
  <c r="AL249" i="5"/>
  <c r="AO262" i="8"/>
  <c r="BA262" i="8"/>
  <c r="Q262" i="8"/>
  <c r="B262" i="8"/>
  <c r="AF248" i="5"/>
  <c r="AM261" i="8"/>
  <c r="AY261" i="8"/>
  <c r="O261" i="8"/>
  <c r="X190" i="4"/>
  <c r="AI248" i="5"/>
  <c r="AN261" i="8"/>
  <c r="AZ261" i="8"/>
  <c r="P261" i="8"/>
  <c r="Z190" i="4"/>
  <c r="AL248" i="5"/>
  <c r="AO261" i="8"/>
  <c r="BA261" i="8"/>
  <c r="Q261" i="8"/>
  <c r="B261" i="8"/>
  <c r="AF247" i="5"/>
  <c r="AM260" i="8"/>
  <c r="AY260" i="8"/>
  <c r="O260" i="8"/>
  <c r="X126" i="4"/>
  <c r="AI247" i="5"/>
  <c r="AN260" i="8"/>
  <c r="AZ260" i="8"/>
  <c r="P260" i="8"/>
  <c r="Z126" i="4"/>
  <c r="AL247" i="5"/>
  <c r="AO260" i="8"/>
  <c r="BA260" i="8"/>
  <c r="Q260" i="8"/>
  <c r="B260" i="8"/>
  <c r="AF246" i="5"/>
  <c r="AM259" i="8"/>
  <c r="AY259" i="8"/>
  <c r="O259" i="8"/>
  <c r="X137" i="4"/>
  <c r="AI246" i="5"/>
  <c r="AN259" i="8"/>
  <c r="AZ259" i="8"/>
  <c r="P259" i="8"/>
  <c r="Z137" i="4"/>
  <c r="AL246" i="5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F243" i="5"/>
  <c r="AM257" i="8"/>
  <c r="AY257" i="8"/>
  <c r="O257" i="8"/>
  <c r="X123" i="4"/>
  <c r="AI243" i="5"/>
  <c r="AN257" i="8"/>
  <c r="AZ257" i="8"/>
  <c r="P257" i="8"/>
  <c r="Z123" i="4"/>
  <c r="AL243" i="5"/>
  <c r="AO257" i="8"/>
  <c r="BA257" i="8"/>
  <c r="Q257" i="8"/>
  <c r="B257" i="8"/>
  <c r="AF242" i="5"/>
  <c r="AM256" i="8"/>
  <c r="AY256" i="8"/>
  <c r="O256" i="8"/>
  <c r="X88" i="4"/>
  <c r="AI242" i="5"/>
  <c r="AN256" i="8"/>
  <c r="AZ256" i="8"/>
  <c r="P256" i="8"/>
  <c r="Z88" i="4"/>
  <c r="AL242" i="5"/>
  <c r="AO256" i="8"/>
  <c r="BA256" i="8"/>
  <c r="Q256" i="8"/>
  <c r="B256" i="8"/>
  <c r="AF241" i="5"/>
  <c r="AM255" i="8"/>
  <c r="AY255" i="8"/>
  <c r="O255" i="8"/>
  <c r="X230" i="4"/>
  <c r="AI241" i="5"/>
  <c r="AN255" i="8"/>
  <c r="AZ255" i="8"/>
  <c r="P255" i="8"/>
  <c r="Z230" i="4"/>
  <c r="AL241" i="5"/>
  <c r="AO255" i="8"/>
  <c r="BA255" i="8"/>
  <c r="Q255" i="8"/>
  <c r="B255" i="8"/>
  <c r="AF240" i="5"/>
  <c r="AM254" i="8"/>
  <c r="AY254" i="8"/>
  <c r="O254" i="8"/>
  <c r="X260" i="4"/>
  <c r="AI240" i="5"/>
  <c r="AN254" i="8"/>
  <c r="AZ254" i="8"/>
  <c r="P254" i="8"/>
  <c r="Z260" i="4"/>
  <c r="AL240" i="5"/>
  <c r="AO254" i="8"/>
  <c r="BA254" i="8"/>
  <c r="Q254" i="8"/>
  <c r="B254" i="8"/>
  <c r="AF239" i="5"/>
  <c r="AM253" i="8"/>
  <c r="AY253" i="8"/>
  <c r="O253" i="8"/>
  <c r="X153" i="4"/>
  <c r="AI239" i="5"/>
  <c r="AN253" i="8"/>
  <c r="AZ253" i="8"/>
  <c r="P253" i="8"/>
  <c r="Z153" i="4"/>
  <c r="AL239" i="5"/>
  <c r="AO253" i="8"/>
  <c r="BA253" i="8"/>
  <c r="Q253" i="8"/>
  <c r="B253" i="8"/>
  <c r="AF238" i="5"/>
  <c r="AM252" i="8"/>
  <c r="AY252" i="8"/>
  <c r="O252" i="8"/>
  <c r="X164" i="4"/>
  <c r="AI238" i="5"/>
  <c r="AN252" i="8"/>
  <c r="AZ252" i="8"/>
  <c r="P252" i="8"/>
  <c r="Z164" i="4"/>
  <c r="AL238" i="5"/>
  <c r="AO252" i="8"/>
  <c r="BA252" i="8"/>
  <c r="Q252" i="8"/>
  <c r="B252" i="8"/>
  <c r="AF237" i="5"/>
  <c r="AM251" i="8"/>
  <c r="AY251" i="8"/>
  <c r="O251" i="8"/>
  <c r="X221" i="4"/>
  <c r="AI237" i="5"/>
  <c r="AN251" i="8"/>
  <c r="AZ251" i="8"/>
  <c r="P251" i="8"/>
  <c r="Z221" i="4"/>
  <c r="AL237" i="5"/>
  <c r="AO251" i="8"/>
  <c r="BA251" i="8"/>
  <c r="Q251" i="8"/>
  <c r="B251" i="8"/>
  <c r="AF236" i="5"/>
  <c r="AM250" i="8"/>
  <c r="AY250" i="8"/>
  <c r="O250" i="8"/>
  <c r="X226" i="4"/>
  <c r="AI236" i="5"/>
  <c r="AN250" i="8"/>
  <c r="AZ250" i="8"/>
  <c r="P250" i="8"/>
  <c r="Z226" i="4"/>
  <c r="AL236" i="5"/>
  <c r="AO250" i="8"/>
  <c r="BA250" i="8"/>
  <c r="Q250" i="8"/>
  <c r="B250" i="8"/>
  <c r="AF235" i="5"/>
  <c r="AM249" i="8"/>
  <c r="AY249" i="8"/>
  <c r="O249" i="8"/>
  <c r="X229" i="4"/>
  <c r="AI235" i="5"/>
  <c r="AN249" i="8"/>
  <c r="AZ249" i="8"/>
  <c r="P249" i="8"/>
  <c r="Z229" i="4"/>
  <c r="AL235" i="5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F233" i="5"/>
  <c r="AM247" i="8"/>
  <c r="AY247" i="8"/>
  <c r="O247" i="8"/>
  <c r="X154" i="4"/>
  <c r="AI233" i="5"/>
  <c r="AN247" i="8"/>
  <c r="AZ247" i="8"/>
  <c r="P247" i="8"/>
  <c r="Z154" i="4"/>
  <c r="AL233" i="5"/>
  <c r="AO247" i="8"/>
  <c r="BA247" i="8"/>
  <c r="Q247" i="8"/>
  <c r="B247" i="8"/>
  <c r="AF232" i="5"/>
  <c r="AM246" i="8"/>
  <c r="AY246" i="8"/>
  <c r="O246" i="8"/>
  <c r="X87" i="4"/>
  <c r="AI232" i="5"/>
  <c r="AN246" i="8"/>
  <c r="AZ246" i="8"/>
  <c r="P246" i="8"/>
  <c r="Z87" i="4"/>
  <c r="AL232" i="5"/>
  <c r="AO246" i="8"/>
  <c r="BA246" i="8"/>
  <c r="Q246" i="8"/>
  <c r="B246" i="8"/>
  <c r="AF231" i="5"/>
  <c r="AM245" i="8"/>
  <c r="AY245" i="8"/>
  <c r="O245" i="8"/>
  <c r="X174" i="4"/>
  <c r="AI231" i="5"/>
  <c r="AN245" i="8"/>
  <c r="AZ245" i="8"/>
  <c r="P245" i="8"/>
  <c r="Z174" i="4"/>
  <c r="AL231" i="5"/>
  <c r="AO245" i="8"/>
  <c r="BA245" i="8"/>
  <c r="Q245" i="8"/>
  <c r="B245" i="8"/>
  <c r="AF230" i="5"/>
  <c r="AM244" i="8"/>
  <c r="AY244" i="8"/>
  <c r="O244" i="8"/>
  <c r="X173" i="4"/>
  <c r="AI230" i="5"/>
  <c r="AN244" i="8"/>
  <c r="AZ244" i="8"/>
  <c r="P244" i="8"/>
  <c r="Z173" i="4"/>
  <c r="AL230" i="5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F228" i="5"/>
  <c r="AM242" i="8"/>
  <c r="AY242" i="8"/>
  <c r="O242" i="8"/>
  <c r="X187" i="4"/>
  <c r="AI228" i="5"/>
  <c r="AN242" i="8"/>
  <c r="AZ242" i="8"/>
  <c r="P242" i="8"/>
  <c r="Z187" i="4"/>
  <c r="AL228" i="5"/>
  <c r="AO242" i="8"/>
  <c r="BA242" i="8"/>
  <c r="Q242" i="8"/>
  <c r="B242" i="8"/>
  <c r="AF227" i="5"/>
  <c r="AM241" i="8"/>
  <c r="AY241" i="8"/>
  <c r="O241" i="8"/>
  <c r="X200" i="4"/>
  <c r="AI227" i="5"/>
  <c r="AN241" i="8"/>
  <c r="AZ241" i="8"/>
  <c r="P241" i="8"/>
  <c r="Z200" i="4"/>
  <c r="AL227" i="5"/>
  <c r="AO241" i="8"/>
  <c r="BA241" i="8"/>
  <c r="Q241" i="8"/>
  <c r="B241" i="8"/>
  <c r="AF226" i="5"/>
  <c r="AM24" i="8"/>
  <c r="AY24" i="8"/>
  <c r="O24" i="8"/>
  <c r="X231" i="4"/>
  <c r="AI226" i="5"/>
  <c r="AN24" i="8"/>
  <c r="AZ24" i="8"/>
  <c r="P24" i="8"/>
  <c r="Z231" i="4"/>
  <c r="AL226" i="5"/>
  <c r="AO24" i="8"/>
  <c r="BA24" i="8"/>
  <c r="Q24" i="8"/>
  <c r="B24" i="8"/>
  <c r="AF225" i="5"/>
  <c r="AM240" i="8"/>
  <c r="AY240" i="8"/>
  <c r="O240" i="8"/>
  <c r="X195" i="4"/>
  <c r="AI225" i="5"/>
  <c r="AN240" i="8"/>
  <c r="AZ240" i="8"/>
  <c r="P240" i="8"/>
  <c r="Z195" i="4"/>
  <c r="AL225" i="5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F223" i="5"/>
  <c r="AM238" i="8"/>
  <c r="AY238" i="8"/>
  <c r="O238" i="8"/>
  <c r="X267" i="4"/>
  <c r="AI223" i="5"/>
  <c r="AN238" i="8"/>
  <c r="AZ238" i="8"/>
  <c r="P238" i="8"/>
  <c r="Z267" i="4"/>
  <c r="AL223" i="5"/>
  <c r="AO238" i="8"/>
  <c r="BA238" i="8"/>
  <c r="Q238" i="8"/>
  <c r="B238" i="8"/>
  <c r="AF222" i="5"/>
  <c r="AM237" i="8"/>
  <c r="AY237" i="8"/>
  <c r="O237" i="8"/>
  <c r="X104" i="4"/>
  <c r="AI222" i="5"/>
  <c r="AN237" i="8"/>
  <c r="AZ237" i="8"/>
  <c r="P237" i="8"/>
  <c r="Z104" i="4"/>
  <c r="AL222" i="5"/>
  <c r="AO237" i="8"/>
  <c r="BA237" i="8"/>
  <c r="Q237" i="8"/>
  <c r="B237" i="8"/>
  <c r="AF185" i="5"/>
  <c r="AM207" i="8"/>
  <c r="AY207" i="8"/>
  <c r="O207" i="8"/>
  <c r="X61" i="4"/>
  <c r="AI185" i="5"/>
  <c r="AN207" i="8"/>
  <c r="AZ207" i="8"/>
  <c r="P207" i="8"/>
  <c r="Z61" i="4"/>
  <c r="AL185" i="5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F183" i="5"/>
  <c r="AM205" i="8"/>
  <c r="AY205" i="8"/>
  <c r="O205" i="8"/>
  <c r="X189" i="4"/>
  <c r="AI183" i="5"/>
  <c r="AN205" i="8"/>
  <c r="AZ205" i="8"/>
  <c r="P205" i="8"/>
  <c r="Z189" i="4"/>
  <c r="AL183" i="5"/>
  <c r="AO205" i="8"/>
  <c r="BA205" i="8"/>
  <c r="Q205" i="8"/>
  <c r="B205" i="8"/>
  <c r="AF182" i="5"/>
  <c r="AM204" i="8"/>
  <c r="AY204" i="8"/>
  <c r="O204" i="8"/>
  <c r="X192" i="4"/>
  <c r="AI182" i="5"/>
  <c r="AN204" i="8"/>
  <c r="AZ204" i="8"/>
  <c r="P204" i="8"/>
  <c r="Z192" i="4"/>
  <c r="AL182" i="5"/>
  <c r="AO204" i="8"/>
  <c r="BA204" i="8"/>
  <c r="Q204" i="8"/>
  <c r="B204" i="8"/>
  <c r="AF181" i="5"/>
  <c r="AM16" i="8"/>
  <c r="AY16" i="8"/>
  <c r="O16" i="8"/>
  <c r="X151" i="4"/>
  <c r="AI181" i="5"/>
  <c r="AN16" i="8"/>
  <c r="AZ16" i="8"/>
  <c r="P16" i="8"/>
  <c r="Z151" i="4"/>
  <c r="AL181" i="5"/>
  <c r="AO16" i="8"/>
  <c r="BA16" i="8"/>
  <c r="Q16" i="8"/>
  <c r="B16" i="8"/>
  <c r="AF180" i="5"/>
  <c r="AM203" i="8"/>
  <c r="AY203" i="8"/>
  <c r="O203" i="8"/>
  <c r="X148" i="4"/>
  <c r="AI180" i="5"/>
  <c r="AN203" i="8"/>
  <c r="AZ203" i="8"/>
  <c r="P203" i="8"/>
  <c r="Z148" i="4"/>
  <c r="AL180" i="5"/>
  <c r="AO203" i="8"/>
  <c r="BA203" i="8"/>
  <c r="Q203" i="8"/>
  <c r="B203" i="8"/>
  <c r="AF179" i="5"/>
  <c r="AM202" i="8"/>
  <c r="AY202" i="8"/>
  <c r="O202" i="8"/>
  <c r="X149" i="4"/>
  <c r="AI179" i="5"/>
  <c r="AN202" i="8"/>
  <c r="AZ202" i="8"/>
  <c r="P202" i="8"/>
  <c r="Z149" i="4"/>
  <c r="AL179" i="5"/>
  <c r="AO202" i="8"/>
  <c r="BA202" i="8"/>
  <c r="Q202" i="8"/>
  <c r="B202" i="8"/>
  <c r="AF178" i="5"/>
  <c r="AM15" i="8"/>
  <c r="AY15" i="8"/>
  <c r="O15" i="8"/>
  <c r="X150" i="4"/>
  <c r="AI178" i="5"/>
  <c r="AN15" i="8"/>
  <c r="AZ15" i="8"/>
  <c r="P15" i="8"/>
  <c r="Z150" i="4"/>
  <c r="AL178" i="5"/>
  <c r="AO15" i="8"/>
  <c r="BA15" i="8"/>
  <c r="Q15" i="8"/>
  <c r="B15" i="8"/>
  <c r="AF177" i="5"/>
  <c r="AM201" i="8"/>
  <c r="AY201" i="8"/>
  <c r="O201" i="8"/>
  <c r="X233" i="4"/>
  <c r="AI177" i="5"/>
  <c r="AN201" i="8"/>
  <c r="AZ201" i="8"/>
  <c r="P201" i="8"/>
  <c r="Z233" i="4"/>
  <c r="AL177" i="5"/>
  <c r="AO201" i="8"/>
  <c r="BA201" i="8"/>
  <c r="Q201" i="8"/>
  <c r="B201" i="8"/>
  <c r="AF176" i="5"/>
  <c r="AM200" i="8"/>
  <c r="AY200" i="8"/>
  <c r="O200" i="8"/>
  <c r="X287" i="4"/>
  <c r="AI176" i="5"/>
  <c r="AN200" i="8"/>
  <c r="AZ200" i="8"/>
  <c r="P200" i="8"/>
  <c r="Z287" i="4"/>
  <c r="AL176" i="5"/>
  <c r="AO200" i="8"/>
  <c r="BA200" i="8"/>
  <c r="Q200" i="8"/>
  <c r="B200" i="8"/>
  <c r="AF175" i="5"/>
  <c r="AM199" i="8"/>
  <c r="AY199" i="8"/>
  <c r="O199" i="8"/>
  <c r="X194" i="4"/>
  <c r="AI175" i="5"/>
  <c r="AN199" i="8"/>
  <c r="AZ199" i="8"/>
  <c r="P199" i="8"/>
  <c r="Z194" i="4"/>
  <c r="AL175" i="5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F173" i="5"/>
  <c r="AM197" i="8"/>
  <c r="AY197" i="8"/>
  <c r="O197" i="8"/>
  <c r="X286" i="4"/>
  <c r="AI173" i="5"/>
  <c r="AN197" i="8"/>
  <c r="AZ197" i="8"/>
  <c r="P197" i="8"/>
  <c r="Z286" i="4"/>
  <c r="AL173" i="5"/>
  <c r="AO197" i="8"/>
  <c r="BA197" i="8"/>
  <c r="Q197" i="8"/>
  <c r="B197" i="8"/>
  <c r="AF172" i="5"/>
  <c r="AM196" i="8"/>
  <c r="AY196" i="8"/>
  <c r="O196" i="8"/>
  <c r="X289" i="4"/>
  <c r="AI172" i="5"/>
  <c r="AN196" i="8"/>
  <c r="AZ196" i="8"/>
  <c r="P196" i="8"/>
  <c r="Z289" i="4"/>
  <c r="AL172" i="5"/>
  <c r="AO196" i="8"/>
  <c r="BA196" i="8"/>
  <c r="Q196" i="8"/>
  <c r="B196" i="8"/>
  <c r="AF171" i="5"/>
  <c r="AM195" i="8"/>
  <c r="AY195" i="8"/>
  <c r="O195" i="8"/>
  <c r="X277" i="4"/>
  <c r="AI171" i="5"/>
  <c r="AN195" i="8"/>
  <c r="AZ195" i="8"/>
  <c r="P195" i="8"/>
  <c r="Z277" i="4"/>
  <c r="AL171" i="5"/>
  <c r="AO195" i="8"/>
  <c r="BA195" i="8"/>
  <c r="Q195" i="8"/>
  <c r="B195" i="8"/>
  <c r="AF170" i="5"/>
  <c r="AM14" i="8"/>
  <c r="AY14" i="8"/>
  <c r="O14" i="8"/>
  <c r="X246" i="4"/>
  <c r="AI170" i="5"/>
  <c r="AN14" i="8"/>
  <c r="AZ14" i="8"/>
  <c r="P14" i="8"/>
  <c r="Z246" i="4"/>
  <c r="AL170" i="5"/>
  <c r="AO14" i="8"/>
  <c r="BA14" i="8"/>
  <c r="Q14" i="8"/>
  <c r="B14" i="8"/>
  <c r="AF169" i="5"/>
  <c r="AM194" i="8"/>
  <c r="AY194" i="8"/>
  <c r="O194" i="8"/>
  <c r="X202" i="4"/>
  <c r="AI169" i="5"/>
  <c r="AN194" i="8"/>
  <c r="AZ194" i="8"/>
  <c r="P194" i="8"/>
  <c r="Z202" i="4"/>
  <c r="AL169" i="5"/>
  <c r="AO194" i="8"/>
  <c r="BA194" i="8"/>
  <c r="Q194" i="8"/>
  <c r="B194" i="8"/>
  <c r="AF168" i="5"/>
  <c r="AM193" i="8"/>
  <c r="AY193" i="8"/>
  <c r="O193" i="8"/>
  <c r="X37" i="4"/>
  <c r="AI168" i="5"/>
  <c r="AN193" i="8"/>
  <c r="AZ193" i="8"/>
  <c r="P193" i="8"/>
  <c r="Z37" i="4"/>
  <c r="AL168" i="5"/>
  <c r="AO193" i="8"/>
  <c r="BA193" i="8"/>
  <c r="Q193" i="8"/>
  <c r="B193" i="8"/>
  <c r="AF167" i="5"/>
  <c r="AM192" i="8"/>
  <c r="AY192" i="8"/>
  <c r="O192" i="8"/>
  <c r="X36" i="4"/>
  <c r="AI167" i="5"/>
  <c r="AN192" i="8"/>
  <c r="AZ192" i="8"/>
  <c r="P192" i="8"/>
  <c r="Z36" i="4"/>
  <c r="AL167" i="5"/>
  <c r="AO192" i="8"/>
  <c r="BA192" i="8"/>
  <c r="Q192" i="8"/>
  <c r="B192" i="8"/>
  <c r="AF166" i="5"/>
  <c r="AM191" i="8"/>
  <c r="AY191" i="8"/>
  <c r="O191" i="8"/>
  <c r="X35" i="4"/>
  <c r="AI166" i="5"/>
  <c r="AN191" i="8"/>
  <c r="AZ191" i="8"/>
  <c r="P191" i="8"/>
  <c r="Z35" i="4"/>
  <c r="AL166" i="5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F164" i="5"/>
  <c r="AM189" i="8"/>
  <c r="AY189" i="8"/>
  <c r="O189" i="8"/>
  <c r="X2" i="4"/>
  <c r="AI164" i="5"/>
  <c r="AN189" i="8"/>
  <c r="AZ189" i="8"/>
  <c r="P189" i="8"/>
  <c r="Z2" i="4"/>
  <c r="AL164" i="5"/>
  <c r="AO189" i="8"/>
  <c r="BA189" i="8"/>
  <c r="Q189" i="8"/>
  <c r="B189" i="8"/>
  <c r="AF163" i="5"/>
  <c r="AM188" i="8"/>
  <c r="AY188" i="8"/>
  <c r="O188" i="8"/>
  <c r="X70" i="4"/>
  <c r="AI163" i="5"/>
  <c r="AN188" i="8"/>
  <c r="AZ188" i="8"/>
  <c r="P188" i="8"/>
  <c r="Z70" i="4"/>
  <c r="AL163" i="5"/>
  <c r="AO188" i="8"/>
  <c r="BA188" i="8"/>
  <c r="Q188" i="8"/>
  <c r="B188" i="8"/>
  <c r="AF162" i="5"/>
  <c r="AM187" i="8"/>
  <c r="AY187" i="8"/>
  <c r="O187" i="8"/>
  <c r="X50" i="4"/>
  <c r="AI162" i="5"/>
  <c r="AN187" i="8"/>
  <c r="AZ187" i="8"/>
  <c r="P187" i="8"/>
  <c r="Z50" i="4"/>
  <c r="AL162" i="5"/>
  <c r="AO187" i="8"/>
  <c r="BA187" i="8"/>
  <c r="Q187" i="8"/>
  <c r="B187" i="8"/>
  <c r="AF161" i="5"/>
  <c r="AM186" i="8"/>
  <c r="AY186" i="8"/>
  <c r="O186" i="8"/>
  <c r="X32" i="4"/>
  <c r="AI161" i="5"/>
  <c r="AN186" i="8"/>
  <c r="AZ186" i="8"/>
  <c r="P186" i="8"/>
  <c r="Z32" i="4"/>
  <c r="AL161" i="5"/>
  <c r="AO186" i="8"/>
  <c r="BA186" i="8"/>
  <c r="Q186" i="8"/>
  <c r="B186" i="8"/>
  <c r="AF123" i="5"/>
  <c r="AM11" i="8"/>
  <c r="AY11" i="8"/>
  <c r="O11" i="8"/>
  <c r="X46" i="4"/>
  <c r="AI123" i="5"/>
  <c r="AN11" i="8"/>
  <c r="AZ11" i="8"/>
  <c r="P11" i="8"/>
  <c r="Z46" i="4"/>
  <c r="AL123" i="5"/>
  <c r="AO11" i="8"/>
  <c r="BA11" i="8"/>
  <c r="Q11" i="8"/>
  <c r="B11" i="8"/>
  <c r="AF122" i="5"/>
  <c r="AM10" i="8"/>
  <c r="AY10" i="8"/>
  <c r="O10" i="8"/>
  <c r="X29" i="4"/>
  <c r="AI122" i="5"/>
  <c r="AN10" i="8"/>
  <c r="AZ10" i="8"/>
  <c r="P10" i="8"/>
  <c r="Z29" i="4"/>
  <c r="AL122" i="5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F120" i="5"/>
  <c r="AM150" i="8"/>
  <c r="AY150" i="8"/>
  <c r="O150" i="8"/>
  <c r="X34" i="4"/>
  <c r="AI120" i="5"/>
  <c r="AN150" i="8"/>
  <c r="AZ150" i="8"/>
  <c r="P150" i="8"/>
  <c r="Z34" i="4"/>
  <c r="AL120" i="5"/>
  <c r="AO150" i="8"/>
  <c r="BA150" i="8"/>
  <c r="Q150" i="8"/>
  <c r="B150" i="8"/>
  <c r="AF119" i="5"/>
  <c r="AM149" i="8"/>
  <c r="AY149" i="8"/>
  <c r="O149" i="8"/>
  <c r="X4" i="4"/>
  <c r="AI119" i="5"/>
  <c r="AN149" i="8"/>
  <c r="AZ149" i="8"/>
  <c r="P149" i="8"/>
  <c r="Z4" i="4"/>
  <c r="AL119" i="5"/>
  <c r="AO149" i="8"/>
  <c r="BA149" i="8"/>
  <c r="Q149" i="8"/>
  <c r="B149" i="8"/>
  <c r="AF118" i="5"/>
  <c r="AM148" i="8"/>
  <c r="AY148" i="8"/>
  <c r="O148" i="8"/>
  <c r="X26" i="4"/>
  <c r="AI118" i="5"/>
  <c r="AN148" i="8"/>
  <c r="AZ148" i="8"/>
  <c r="P148" i="8"/>
  <c r="Z26" i="4"/>
  <c r="AL118" i="5"/>
  <c r="AO148" i="8"/>
  <c r="BA148" i="8"/>
  <c r="Q148" i="8"/>
  <c r="B148" i="8"/>
  <c r="AF117" i="5"/>
  <c r="AM147" i="8"/>
  <c r="AY147" i="8"/>
  <c r="O147" i="8"/>
  <c r="X22" i="4"/>
  <c r="AI117" i="5"/>
  <c r="AN147" i="8"/>
  <c r="AZ147" i="8"/>
  <c r="P147" i="8"/>
  <c r="Z22" i="4"/>
  <c r="AL117" i="5"/>
  <c r="AO147" i="8"/>
  <c r="BA147" i="8"/>
  <c r="Q147" i="8"/>
  <c r="B147" i="8"/>
  <c r="AF116" i="5"/>
  <c r="AM146" i="8"/>
  <c r="AY146" i="8"/>
  <c r="O146" i="8"/>
  <c r="X20" i="4"/>
  <c r="AI116" i="5"/>
  <c r="AN146" i="8"/>
  <c r="AZ146" i="8"/>
  <c r="P146" i="8"/>
  <c r="Z20" i="4"/>
  <c r="AL116" i="5"/>
  <c r="AO146" i="8"/>
  <c r="BA146" i="8"/>
  <c r="Q146" i="8"/>
  <c r="B146" i="8"/>
  <c r="AF115" i="5"/>
  <c r="AM145" i="8"/>
  <c r="AY145" i="8"/>
  <c r="O145" i="8"/>
  <c r="X18" i="4"/>
  <c r="AI115" i="5"/>
  <c r="AN145" i="8"/>
  <c r="AZ145" i="8"/>
  <c r="P145" i="8"/>
  <c r="Z18" i="4"/>
  <c r="AL115" i="5"/>
  <c r="AO145" i="8"/>
  <c r="BA145" i="8"/>
  <c r="Q145" i="8"/>
  <c r="B145" i="8"/>
  <c r="AF114" i="5"/>
  <c r="AM144" i="8"/>
  <c r="AY144" i="8"/>
  <c r="O144" i="8"/>
  <c r="X30" i="4"/>
  <c r="AI114" i="5"/>
  <c r="AN144" i="8"/>
  <c r="AZ144" i="8"/>
  <c r="P144" i="8"/>
  <c r="Z30" i="4"/>
  <c r="AL114" i="5"/>
  <c r="AO144" i="8"/>
  <c r="BA144" i="8"/>
  <c r="Q144" i="8"/>
  <c r="B144" i="8"/>
  <c r="AF113" i="5"/>
  <c r="AM143" i="8"/>
  <c r="AY143" i="8"/>
  <c r="O143" i="8"/>
  <c r="X23" i="4"/>
  <c r="AI113" i="5"/>
  <c r="AN143" i="8"/>
  <c r="AZ143" i="8"/>
  <c r="P143" i="8"/>
  <c r="Z23" i="4"/>
  <c r="AL113" i="5"/>
  <c r="AO143" i="8"/>
  <c r="BA143" i="8"/>
  <c r="Q143" i="8"/>
  <c r="B143" i="8"/>
  <c r="AF112" i="5"/>
  <c r="AM142" i="8"/>
  <c r="AY142" i="8"/>
  <c r="O142" i="8"/>
  <c r="X48" i="4"/>
  <c r="AI112" i="5"/>
  <c r="AN142" i="8"/>
  <c r="AZ142" i="8"/>
  <c r="P142" i="8"/>
  <c r="Z48" i="4"/>
  <c r="AL112" i="5"/>
  <c r="AO142" i="8"/>
  <c r="BA142" i="8"/>
  <c r="Q142" i="8"/>
  <c r="B142" i="8"/>
  <c r="AF111" i="5"/>
  <c r="AM8" i="8"/>
  <c r="AY8" i="8"/>
  <c r="O8" i="8"/>
  <c r="X21" i="4"/>
  <c r="AI111" i="5"/>
  <c r="AN8" i="8"/>
  <c r="AZ8" i="8"/>
  <c r="P8" i="8"/>
  <c r="Z21" i="4"/>
  <c r="AL111" i="5"/>
  <c r="AO8" i="8"/>
  <c r="BA8" i="8"/>
  <c r="Q8" i="8"/>
  <c r="B8" i="8"/>
  <c r="AF110" i="5"/>
  <c r="AM141" i="8"/>
  <c r="AY141" i="8"/>
  <c r="O141" i="8"/>
  <c r="X16" i="4"/>
  <c r="AI110" i="5"/>
  <c r="AN141" i="8"/>
  <c r="AZ141" i="8"/>
  <c r="P141" i="8"/>
  <c r="Z16" i="4"/>
  <c r="AL110" i="5"/>
  <c r="AO141" i="8"/>
  <c r="BA141" i="8"/>
  <c r="Q141" i="8"/>
  <c r="B141" i="8"/>
  <c r="AF109" i="5"/>
  <c r="AM140" i="8"/>
  <c r="AY140" i="8"/>
  <c r="O140" i="8"/>
  <c r="X3" i="4"/>
  <c r="AI109" i="5"/>
  <c r="AN140" i="8"/>
  <c r="AZ140" i="8"/>
  <c r="P140" i="8"/>
  <c r="Z3" i="4"/>
  <c r="AL109" i="5"/>
  <c r="AO140" i="8"/>
  <c r="BA140" i="8"/>
  <c r="Q140" i="8"/>
  <c r="B140" i="8"/>
  <c r="AF108" i="5"/>
  <c r="AM139" i="8"/>
  <c r="AY139" i="8"/>
  <c r="O139" i="8"/>
  <c r="X31" i="4"/>
  <c r="AI108" i="5"/>
  <c r="AN139" i="8"/>
  <c r="AZ139" i="8"/>
  <c r="P139" i="8"/>
  <c r="Z31" i="4"/>
  <c r="AL108" i="5"/>
  <c r="AO139" i="8"/>
  <c r="BA139" i="8"/>
  <c r="Q139" i="8"/>
  <c r="B139" i="8"/>
  <c r="AF107" i="5"/>
  <c r="AM138" i="8"/>
  <c r="AY138" i="8"/>
  <c r="O138" i="8"/>
  <c r="X24" i="4"/>
  <c r="AI107" i="5"/>
  <c r="AN138" i="8"/>
  <c r="AZ138" i="8"/>
  <c r="P138" i="8"/>
  <c r="Z24" i="4"/>
  <c r="AL107" i="5"/>
  <c r="AO138" i="8"/>
  <c r="BA138" i="8"/>
  <c r="Q138" i="8"/>
  <c r="B138" i="8"/>
  <c r="AF106" i="5"/>
  <c r="AM137" i="8"/>
  <c r="AY137" i="8"/>
  <c r="O137" i="8"/>
  <c r="X27" i="4"/>
  <c r="AI106" i="5"/>
  <c r="AN137" i="8"/>
  <c r="AZ137" i="8"/>
  <c r="P137" i="8"/>
  <c r="Z27" i="4"/>
  <c r="AL106" i="5"/>
  <c r="AO137" i="8"/>
  <c r="BA137" i="8"/>
  <c r="Q137" i="8"/>
  <c r="B137" i="8"/>
  <c r="AF105" i="5"/>
  <c r="AM136" i="8"/>
  <c r="AY136" i="8"/>
  <c r="O136" i="8"/>
  <c r="X25" i="4"/>
  <c r="AI105" i="5"/>
  <c r="AN136" i="8"/>
  <c r="AZ136" i="8"/>
  <c r="P136" i="8"/>
  <c r="Z25" i="4"/>
  <c r="AL105" i="5"/>
  <c r="AO136" i="8"/>
  <c r="BA136" i="8"/>
  <c r="Q136" i="8"/>
  <c r="B136" i="8"/>
  <c r="AF104" i="5"/>
  <c r="AM135" i="8"/>
  <c r="AY135" i="8"/>
  <c r="O135" i="8"/>
  <c r="X42" i="4"/>
  <c r="AI104" i="5"/>
  <c r="AN135" i="8"/>
  <c r="AZ135" i="8"/>
  <c r="P135" i="8"/>
  <c r="Z42" i="4"/>
  <c r="AL104" i="5"/>
  <c r="AO135" i="8"/>
  <c r="BA135" i="8"/>
  <c r="Q135" i="8"/>
  <c r="B135" i="8"/>
  <c r="AF103" i="5"/>
  <c r="AM134" i="8"/>
  <c r="AY134" i="8"/>
  <c r="O134" i="8"/>
  <c r="X71" i="4"/>
  <c r="AI103" i="5"/>
  <c r="AN134" i="8"/>
  <c r="AZ134" i="8"/>
  <c r="P134" i="8"/>
  <c r="Z71" i="4"/>
  <c r="AL103" i="5"/>
  <c r="AO134" i="8"/>
  <c r="BA134" i="8"/>
  <c r="Q134" i="8"/>
  <c r="B134" i="8"/>
  <c r="AF102" i="5"/>
  <c r="AM133" i="8"/>
  <c r="AY133" i="8"/>
  <c r="O133" i="8"/>
  <c r="X41" i="4"/>
  <c r="AI102" i="5"/>
  <c r="AN133" i="8"/>
  <c r="AZ133" i="8"/>
  <c r="P133" i="8"/>
  <c r="Z41" i="4"/>
  <c r="AL102" i="5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F100" i="5"/>
  <c r="AM131" i="8"/>
  <c r="AY131" i="8"/>
  <c r="O131" i="8"/>
  <c r="X109" i="4"/>
  <c r="AI100" i="5"/>
  <c r="AN131" i="8"/>
  <c r="AZ131" i="8"/>
  <c r="P131" i="8"/>
  <c r="Z109" i="4"/>
  <c r="AL100" i="5"/>
  <c r="AO131" i="8"/>
  <c r="BA131" i="8"/>
  <c r="Q131" i="8"/>
  <c r="B131" i="8"/>
  <c r="AF99" i="5"/>
  <c r="AM130" i="8"/>
  <c r="AY130" i="8"/>
  <c r="O130" i="8"/>
  <c r="X105" i="4"/>
  <c r="AI99" i="5"/>
  <c r="AN130" i="8"/>
  <c r="AZ130" i="8"/>
  <c r="P130" i="8"/>
  <c r="Z105" i="4"/>
  <c r="AL99" i="5"/>
  <c r="AO130" i="8"/>
  <c r="BA130" i="8"/>
  <c r="Q130" i="8"/>
  <c r="B130" i="8"/>
  <c r="AF98" i="5"/>
  <c r="AM129" i="8"/>
  <c r="AY129" i="8"/>
  <c r="O129" i="8"/>
  <c r="X39" i="4"/>
  <c r="AI98" i="5"/>
  <c r="AN129" i="8"/>
  <c r="AZ129" i="8"/>
  <c r="P129" i="8"/>
  <c r="Z39" i="4"/>
  <c r="AL98" i="5"/>
  <c r="AO129" i="8"/>
  <c r="BA129" i="8"/>
  <c r="Q129" i="8"/>
  <c r="B129" i="8"/>
  <c r="AF97" i="5"/>
  <c r="AM128" i="8"/>
  <c r="AY128" i="8"/>
  <c r="O128" i="8"/>
  <c r="X19" i="4"/>
  <c r="AI97" i="5"/>
  <c r="AN128" i="8"/>
  <c r="AZ128" i="8"/>
  <c r="P128" i="8"/>
  <c r="Z19" i="4"/>
  <c r="AL97" i="5"/>
  <c r="AO128" i="8"/>
  <c r="BA128" i="8"/>
  <c r="Q128" i="8"/>
  <c r="B128" i="8"/>
  <c r="AF96" i="5"/>
  <c r="AM127" i="8"/>
  <c r="AY127" i="8"/>
  <c r="O127" i="8"/>
  <c r="X28" i="4"/>
  <c r="AI96" i="5"/>
  <c r="AN127" i="8"/>
  <c r="AZ127" i="8"/>
  <c r="P127" i="8"/>
  <c r="Z28" i="4"/>
  <c r="AL96" i="5"/>
  <c r="AO127" i="8"/>
  <c r="BA127" i="8"/>
  <c r="Q127" i="8"/>
  <c r="B127" i="8"/>
  <c r="AF95" i="5"/>
  <c r="AM126" i="8"/>
  <c r="AY126" i="8"/>
  <c r="O126" i="8"/>
  <c r="X119" i="4"/>
  <c r="AI95" i="5"/>
  <c r="AN126" i="8"/>
  <c r="AZ126" i="8"/>
  <c r="P126" i="8"/>
  <c r="Z119" i="4"/>
  <c r="AL95" i="5"/>
  <c r="AO126" i="8"/>
  <c r="BA126" i="8"/>
  <c r="Q126" i="8"/>
  <c r="B126" i="8"/>
  <c r="AF94" i="5"/>
  <c r="AM125" i="8"/>
  <c r="AY125" i="8"/>
  <c r="O125" i="8"/>
  <c r="X60" i="4"/>
  <c r="AI94" i="5"/>
  <c r="AN125" i="8"/>
  <c r="AZ125" i="8"/>
  <c r="P125" i="8"/>
  <c r="Z60" i="4"/>
  <c r="AL94" i="5"/>
  <c r="AO125" i="8"/>
  <c r="BA125" i="8"/>
  <c r="Q125" i="8"/>
  <c r="B125" i="8"/>
  <c r="AF93" i="5"/>
  <c r="AM124" i="8"/>
  <c r="AY124" i="8"/>
  <c r="O124" i="8"/>
  <c r="X56" i="4"/>
  <c r="AI93" i="5"/>
  <c r="AN124" i="8"/>
  <c r="AZ124" i="8"/>
  <c r="P124" i="8"/>
  <c r="Z56" i="4"/>
  <c r="AL93" i="5"/>
  <c r="AO124" i="8"/>
  <c r="BA124" i="8"/>
  <c r="Q124" i="8"/>
  <c r="B124" i="8"/>
  <c r="AF92" i="5"/>
  <c r="AM123" i="8"/>
  <c r="AY123" i="8"/>
  <c r="O123" i="8"/>
  <c r="X86" i="4"/>
  <c r="AI92" i="5"/>
  <c r="AN123" i="8"/>
  <c r="AZ123" i="8"/>
  <c r="P123" i="8"/>
  <c r="Z86" i="4"/>
  <c r="AL92" i="5"/>
  <c r="AO123" i="8"/>
  <c r="BA123" i="8"/>
  <c r="Q123" i="8"/>
  <c r="B123" i="8"/>
  <c r="AF91" i="5"/>
  <c r="AM122" i="8"/>
  <c r="AY122" i="8"/>
  <c r="O122" i="8"/>
  <c r="X17" i="4"/>
  <c r="AI91" i="5"/>
  <c r="AN122" i="8"/>
  <c r="AZ122" i="8"/>
  <c r="P122" i="8"/>
  <c r="Z17" i="4"/>
  <c r="AL91" i="5"/>
  <c r="AO122" i="8"/>
  <c r="BA122" i="8"/>
  <c r="Q122" i="8"/>
  <c r="B122" i="8"/>
  <c r="AF90" i="5"/>
  <c r="AM121" i="8"/>
  <c r="AY121" i="8"/>
  <c r="O121" i="8"/>
  <c r="X38" i="4"/>
  <c r="AI90" i="5"/>
  <c r="AN121" i="8"/>
  <c r="AZ121" i="8"/>
  <c r="P121" i="8"/>
  <c r="Z38" i="4"/>
  <c r="AL90" i="5"/>
  <c r="AO121" i="8"/>
  <c r="BA121" i="8"/>
  <c r="Q121" i="8"/>
  <c r="B121" i="8"/>
  <c r="AF89" i="5"/>
  <c r="AM120" i="8"/>
  <c r="AY120" i="8"/>
  <c r="O120" i="8"/>
  <c r="X90" i="4"/>
  <c r="AI89" i="5"/>
  <c r="AN120" i="8"/>
  <c r="AZ120" i="8"/>
  <c r="P120" i="8"/>
  <c r="Z90" i="4"/>
  <c r="AL89" i="5"/>
  <c r="AO120" i="8"/>
  <c r="BA120" i="8"/>
  <c r="Q120" i="8"/>
  <c r="B120" i="8"/>
  <c r="AF88" i="5"/>
  <c r="AM119" i="8"/>
  <c r="AY119" i="8"/>
  <c r="O119" i="8"/>
  <c r="X102" i="4"/>
  <c r="AI88" i="5"/>
  <c r="AN119" i="8"/>
  <c r="AZ119" i="8"/>
  <c r="P119" i="8"/>
  <c r="Z102" i="4"/>
  <c r="AL88" i="5"/>
  <c r="AO119" i="8"/>
  <c r="BA119" i="8"/>
  <c r="Q119" i="8"/>
  <c r="B119" i="8"/>
  <c r="AF87" i="5"/>
  <c r="AM118" i="8"/>
  <c r="AY118" i="8"/>
  <c r="O118" i="8"/>
  <c r="X205" i="4"/>
  <c r="AI87" i="5"/>
  <c r="AN118" i="8"/>
  <c r="AZ118" i="8"/>
  <c r="P118" i="8"/>
  <c r="Z205" i="4"/>
  <c r="AL87" i="5"/>
  <c r="AO118" i="8"/>
  <c r="BA118" i="8"/>
  <c r="Q118" i="8"/>
  <c r="B118" i="8"/>
  <c r="AF86" i="5"/>
  <c r="AM117" i="8"/>
  <c r="AY117" i="8"/>
  <c r="O117" i="8"/>
  <c r="X57" i="4"/>
  <c r="AI86" i="5"/>
  <c r="AN117" i="8"/>
  <c r="AZ117" i="8"/>
  <c r="P117" i="8"/>
  <c r="Z57" i="4"/>
  <c r="AL86" i="5"/>
  <c r="AO117" i="8"/>
  <c r="BA117" i="8"/>
  <c r="Q117" i="8"/>
  <c r="B117" i="8"/>
  <c r="AL85" i="5"/>
  <c r="AO116" i="8"/>
  <c r="BA116" i="8"/>
  <c r="Q116" i="8"/>
  <c r="B116" i="8"/>
  <c r="AL84" i="5"/>
  <c r="AO115" i="8"/>
  <c r="BA115" i="8"/>
  <c r="Q115" i="8"/>
  <c r="B115" i="8"/>
  <c r="AL83" i="5"/>
  <c r="AO114" i="8"/>
  <c r="BA114" i="8"/>
  <c r="Q114" i="8"/>
  <c r="B114" i="8"/>
  <c r="AL82" i="5"/>
  <c r="AO113" i="8"/>
  <c r="BA113" i="8"/>
  <c r="Q113" i="8"/>
  <c r="B113" i="8"/>
  <c r="AL81" i="5"/>
  <c r="AO112" i="8"/>
  <c r="BA112" i="8"/>
  <c r="Q112" i="8"/>
  <c r="B112" i="8"/>
  <c r="AL80" i="5"/>
  <c r="AO111" i="8"/>
  <c r="BA111" i="8"/>
  <c r="Q111" i="8"/>
  <c r="B111" i="8"/>
  <c r="AL79" i="5"/>
  <c r="AO110" i="8"/>
  <c r="BA110" i="8"/>
  <c r="Q110" i="8"/>
  <c r="B110" i="8"/>
  <c r="AL78" i="5"/>
  <c r="AO109" i="8"/>
  <c r="BA109" i="8"/>
  <c r="Q109" i="8"/>
  <c r="B109" i="8"/>
  <c r="AL77" i="5"/>
  <c r="AO108" i="8"/>
  <c r="BA108" i="8"/>
  <c r="Q108" i="8"/>
  <c r="B108" i="8"/>
  <c r="AL76" i="5"/>
  <c r="AO107" i="8"/>
  <c r="BA107" i="8"/>
  <c r="Q107" i="8"/>
  <c r="B107" i="8"/>
  <c r="AL75" i="5"/>
  <c r="AO106" i="8"/>
  <c r="BA106" i="8"/>
  <c r="Q106" i="8"/>
  <c r="B106" i="8"/>
  <c r="AL74" i="5"/>
  <c r="AO105" i="8"/>
  <c r="BA105" i="8"/>
  <c r="Q105" i="8"/>
  <c r="B105" i="8"/>
  <c r="AL73" i="5"/>
  <c r="AO104" i="8"/>
  <c r="BA104" i="8"/>
  <c r="Q104" i="8"/>
  <c r="B104" i="8"/>
  <c r="AL72" i="5"/>
  <c r="AO103" i="8"/>
  <c r="BA103" i="8"/>
  <c r="Q103" i="8"/>
  <c r="B103" i="8"/>
  <c r="AL71" i="5"/>
  <c r="AO102" i="8"/>
  <c r="BA102" i="8"/>
  <c r="Q102" i="8"/>
  <c r="B102" i="8"/>
  <c r="AF69" i="5"/>
  <c r="AM100" i="8"/>
  <c r="AY100" i="8"/>
  <c r="O100" i="8"/>
  <c r="X10" i="4"/>
  <c r="AI69" i="5"/>
  <c r="AN100" i="8"/>
  <c r="AZ100" i="8"/>
  <c r="P100" i="8"/>
  <c r="Z10" i="4"/>
  <c r="AL69" i="5"/>
  <c r="AO100" i="8"/>
  <c r="BA100" i="8"/>
  <c r="Q100" i="8"/>
  <c r="B100" i="8"/>
  <c r="AF38" i="5"/>
  <c r="AM71" i="8"/>
  <c r="AY71" i="8"/>
  <c r="O71" i="8"/>
  <c r="X169" i="4"/>
  <c r="AI38" i="5"/>
  <c r="AN71" i="8"/>
  <c r="AZ71" i="8"/>
  <c r="P71" i="8"/>
  <c r="Z169" i="4"/>
  <c r="AL38" i="5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F36" i="5"/>
  <c r="AM69" i="8"/>
  <c r="AY69" i="8"/>
  <c r="O69" i="8"/>
  <c r="X183" i="4"/>
  <c r="AI36" i="5"/>
  <c r="AN69" i="8"/>
  <c r="AZ69" i="8"/>
  <c r="P69" i="8"/>
  <c r="Z183" i="4"/>
  <c r="AL36" i="5"/>
  <c r="AO69" i="8"/>
  <c r="BA69" i="8"/>
  <c r="Q69" i="8"/>
  <c r="B69" i="8"/>
  <c r="AF35" i="5"/>
  <c r="AM68" i="8"/>
  <c r="AY68" i="8"/>
  <c r="O68" i="8"/>
  <c r="X160" i="4"/>
  <c r="AI35" i="5"/>
  <c r="AN68" i="8"/>
  <c r="AZ68" i="8"/>
  <c r="P68" i="8"/>
  <c r="Z160" i="4"/>
  <c r="AL35" i="5"/>
  <c r="AO68" i="8"/>
  <c r="BA68" i="8"/>
  <c r="Q68" i="8"/>
  <c r="B68" i="8"/>
  <c r="AF34" i="5"/>
  <c r="AM67" i="8"/>
  <c r="AY67" i="8"/>
  <c r="O67" i="8"/>
  <c r="X262" i="4"/>
  <c r="AI34" i="5"/>
  <c r="AN67" i="8"/>
  <c r="AZ67" i="8"/>
  <c r="P67" i="8"/>
  <c r="Z262" i="4"/>
  <c r="AL34" i="5"/>
  <c r="AO67" i="8"/>
  <c r="BA67" i="8"/>
  <c r="Q67" i="8"/>
  <c r="B67" i="8"/>
  <c r="AF33" i="5"/>
  <c r="AM66" i="8"/>
  <c r="AY66" i="8"/>
  <c r="O66" i="8"/>
  <c r="X69" i="4"/>
  <c r="AI33" i="5"/>
  <c r="AN66" i="8"/>
  <c r="AZ66" i="8"/>
  <c r="P66" i="8"/>
  <c r="Z69" i="4"/>
  <c r="AL33" i="5"/>
  <c r="AO66" i="8"/>
  <c r="BA66" i="8"/>
  <c r="Q66" i="8"/>
  <c r="B66" i="8"/>
  <c r="AF32" i="5"/>
  <c r="AM65" i="8"/>
  <c r="AY65" i="8"/>
  <c r="O65" i="8"/>
  <c r="X62" i="4"/>
  <c r="AI32" i="5"/>
  <c r="AN65" i="8"/>
  <c r="AZ65" i="8"/>
  <c r="P65" i="8"/>
  <c r="Z62" i="4"/>
  <c r="AL32" i="5"/>
  <c r="AO65" i="8"/>
  <c r="BA65" i="8"/>
  <c r="Q65" i="8"/>
  <c r="B65" i="8"/>
  <c r="AF31" i="5"/>
  <c r="AM64" i="8"/>
  <c r="AY64" i="8"/>
  <c r="O64" i="8"/>
  <c r="X78" i="4"/>
  <c r="AI31" i="5"/>
  <c r="AN64" i="8"/>
  <c r="AZ64" i="8"/>
  <c r="P64" i="8"/>
  <c r="Z78" i="4"/>
  <c r="AL31" i="5"/>
  <c r="AO64" i="8"/>
  <c r="BA64" i="8"/>
  <c r="Q64" i="8"/>
  <c r="B64" i="8"/>
  <c r="AF30" i="5"/>
  <c r="AM63" i="8"/>
  <c r="AY63" i="8"/>
  <c r="O63" i="8"/>
  <c r="X58" i="4"/>
  <c r="AI30" i="5"/>
  <c r="AN63" i="8"/>
  <c r="AZ63" i="8"/>
  <c r="P63" i="8"/>
  <c r="Z58" i="4"/>
  <c r="AL30" i="5"/>
  <c r="AO63" i="8"/>
  <c r="BA63" i="8"/>
  <c r="Q63" i="8"/>
  <c r="B63" i="8"/>
  <c r="AF29" i="5"/>
  <c r="AM5" i="8"/>
  <c r="AY5" i="8"/>
  <c r="O5" i="8"/>
  <c r="X176" i="4"/>
  <c r="AI29" i="5"/>
  <c r="AN5" i="8"/>
  <c r="AZ5" i="8"/>
  <c r="P5" i="8"/>
  <c r="Z176" i="4"/>
  <c r="AL29" i="5"/>
  <c r="AO5" i="8"/>
  <c r="BA5" i="8"/>
  <c r="Q5" i="8"/>
  <c r="B5" i="8"/>
  <c r="AF28" i="5"/>
  <c r="AM62" i="8"/>
  <c r="AY62" i="8"/>
  <c r="O62" i="8"/>
  <c r="X272" i="4"/>
  <c r="AI28" i="5"/>
  <c r="AN62" i="8"/>
  <c r="AZ62" i="8"/>
  <c r="P62" i="8"/>
  <c r="Z272" i="4"/>
  <c r="AL28" i="5"/>
  <c r="AO62" i="8"/>
  <c r="BA62" i="8"/>
  <c r="Q62" i="8"/>
  <c r="B62" i="8"/>
  <c r="AF27" i="5"/>
  <c r="AM61" i="8"/>
  <c r="AY61" i="8"/>
  <c r="O61" i="8"/>
  <c r="X222" i="4"/>
  <c r="AI27" i="5"/>
  <c r="AN61" i="8"/>
  <c r="AZ61" i="8"/>
  <c r="P61" i="8"/>
  <c r="Z222" i="4"/>
  <c r="AL27" i="5"/>
  <c r="AO61" i="8"/>
  <c r="BA61" i="8"/>
  <c r="Q61" i="8"/>
  <c r="B61" i="8"/>
  <c r="AF26" i="5"/>
  <c r="AM4" i="8"/>
  <c r="AY4" i="8"/>
  <c r="O4" i="8"/>
  <c r="X219" i="4"/>
  <c r="AI26" i="5"/>
  <c r="AN4" i="8"/>
  <c r="AZ4" i="8"/>
  <c r="P4" i="8"/>
  <c r="Z219" i="4"/>
  <c r="AL26" i="5"/>
  <c r="AO4" i="8"/>
  <c r="BA4" i="8"/>
  <c r="Q4" i="8"/>
  <c r="B4" i="8"/>
  <c r="AF25" i="5"/>
  <c r="AM60" i="8"/>
  <c r="AY60" i="8"/>
  <c r="O60" i="8"/>
  <c r="X265" i="4"/>
  <c r="AI25" i="5"/>
  <c r="AN60" i="8"/>
  <c r="AZ60" i="8"/>
  <c r="P60" i="8"/>
  <c r="Z265" i="4"/>
  <c r="AL25" i="5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F23" i="5"/>
  <c r="AM58" i="8"/>
  <c r="AY58" i="8"/>
  <c r="O58" i="8"/>
  <c r="X258" i="4"/>
  <c r="AI23" i="5"/>
  <c r="AN58" i="8"/>
  <c r="AZ58" i="8"/>
  <c r="P58" i="8"/>
  <c r="Z258" i="4"/>
  <c r="AL23" i="5"/>
  <c r="AO58" i="8"/>
  <c r="BA58" i="8"/>
  <c r="Q58" i="8"/>
  <c r="B58" i="8"/>
  <c r="AL22" i="5"/>
  <c r="AO57" i="8"/>
  <c r="BA57" i="8"/>
  <c r="Q57" i="8"/>
  <c r="B57" i="8"/>
  <c r="AF21" i="5"/>
  <c r="AM56" i="8"/>
  <c r="AY56" i="8"/>
  <c r="O56" i="8"/>
  <c r="X275" i="4"/>
  <c r="AI21" i="5"/>
  <c r="AN56" i="8"/>
  <c r="AZ56" i="8"/>
  <c r="P56" i="8"/>
  <c r="Z275" i="4"/>
  <c r="AL21" i="5"/>
  <c r="AO56" i="8"/>
  <c r="BA56" i="8"/>
  <c r="Q56" i="8"/>
  <c r="B56" i="8"/>
  <c r="AF20" i="5"/>
  <c r="AM55" i="8"/>
  <c r="AY55" i="8"/>
  <c r="O55" i="8"/>
  <c r="X273" i="4"/>
  <c r="AI20" i="5"/>
  <c r="AN55" i="8"/>
  <c r="AZ55" i="8"/>
  <c r="P55" i="8"/>
  <c r="Z273" i="4"/>
  <c r="AL20" i="5"/>
  <c r="AO55" i="8"/>
  <c r="BA55" i="8"/>
  <c r="Q55" i="8"/>
  <c r="B55" i="8"/>
  <c r="AF19" i="5"/>
  <c r="AM54" i="8"/>
  <c r="AY54" i="8"/>
  <c r="O54" i="8"/>
  <c r="X256" i="4"/>
  <c r="AI19" i="5"/>
  <c r="AN54" i="8"/>
  <c r="AZ54" i="8"/>
  <c r="P54" i="8"/>
  <c r="Z256" i="4"/>
  <c r="AL19" i="5"/>
  <c r="AO54" i="8"/>
  <c r="BA54" i="8"/>
  <c r="Q54" i="8"/>
  <c r="B54" i="8"/>
  <c r="AF18" i="5"/>
  <c r="AM53" i="8"/>
  <c r="AY53" i="8"/>
  <c r="O53" i="8"/>
  <c r="X249" i="4"/>
  <c r="AI18" i="5"/>
  <c r="AN53" i="8"/>
  <c r="AZ53" i="8"/>
  <c r="P53" i="8"/>
  <c r="Z249" i="4"/>
  <c r="AL18" i="5"/>
  <c r="AO53" i="8"/>
  <c r="BA53" i="8"/>
  <c r="Q53" i="8"/>
  <c r="B53" i="8"/>
  <c r="AF17" i="5"/>
  <c r="AM52" i="8"/>
  <c r="AY52" i="8"/>
  <c r="O52" i="8"/>
  <c r="X280" i="4"/>
  <c r="AI17" i="5"/>
  <c r="AN52" i="8"/>
  <c r="AZ52" i="8"/>
  <c r="P52" i="8"/>
  <c r="Z280" i="4"/>
  <c r="AL17" i="5"/>
  <c r="AO52" i="8"/>
  <c r="BA52" i="8"/>
  <c r="Q52" i="8"/>
  <c r="B52" i="8"/>
  <c r="AF16" i="5"/>
  <c r="AM51" i="8"/>
  <c r="AY51" i="8"/>
  <c r="O51" i="8"/>
  <c r="X285" i="4"/>
  <c r="AI16" i="5"/>
  <c r="AN51" i="8"/>
  <c r="AZ51" i="8"/>
  <c r="P51" i="8"/>
  <c r="Z285" i="4"/>
  <c r="AL16" i="5"/>
  <c r="AO51" i="8"/>
  <c r="BA51" i="8"/>
  <c r="Q51" i="8"/>
  <c r="B51" i="8"/>
  <c r="AF15" i="5"/>
  <c r="AM50" i="8"/>
  <c r="AY50" i="8"/>
  <c r="O50" i="8"/>
  <c r="X268" i="4"/>
  <c r="AI15" i="5"/>
  <c r="AN50" i="8"/>
  <c r="AZ50" i="8"/>
  <c r="P50" i="8"/>
  <c r="Z268" i="4"/>
  <c r="AL15" i="5"/>
  <c r="AO50" i="8"/>
  <c r="BA50" i="8"/>
  <c r="Q50" i="8"/>
  <c r="B50" i="8"/>
  <c r="AF14" i="5"/>
  <c r="AM49" i="8"/>
  <c r="AY49" i="8"/>
  <c r="O49" i="8"/>
  <c r="X215" i="4"/>
  <c r="AI14" i="5"/>
  <c r="AN49" i="8"/>
  <c r="AZ49" i="8"/>
  <c r="P49" i="8"/>
  <c r="Z215" i="4"/>
  <c r="AL14" i="5"/>
  <c r="AO49" i="8"/>
  <c r="BA49" i="8"/>
  <c r="Q49" i="8"/>
  <c r="B49" i="8"/>
  <c r="AF13" i="5"/>
  <c r="AM48" i="8"/>
  <c r="AY48" i="8"/>
  <c r="O48" i="8"/>
  <c r="X207" i="4"/>
  <c r="AI13" i="5"/>
  <c r="AN48" i="8"/>
  <c r="AZ48" i="8"/>
  <c r="P48" i="8"/>
  <c r="Z207" i="4"/>
  <c r="AL13" i="5"/>
  <c r="AO48" i="8"/>
  <c r="BA48" i="8"/>
  <c r="Q48" i="8"/>
  <c r="B48" i="8"/>
  <c r="AF12" i="5"/>
  <c r="AM3" i="8"/>
  <c r="AY3" i="8"/>
  <c r="O3" i="8"/>
  <c r="X216" i="4"/>
  <c r="AI12" i="5"/>
  <c r="AN3" i="8"/>
  <c r="AZ3" i="8"/>
  <c r="P3" i="8"/>
  <c r="Z216" i="4"/>
  <c r="AL12" i="5"/>
  <c r="AO3" i="8"/>
  <c r="BA3" i="8"/>
  <c r="Q3" i="8"/>
  <c r="B3" i="8"/>
  <c r="AF11" i="5"/>
  <c r="AM47" i="8"/>
  <c r="AY47" i="8"/>
  <c r="O47" i="8"/>
  <c r="X214" i="4"/>
  <c r="AI11" i="5"/>
  <c r="AN47" i="8"/>
  <c r="AZ47" i="8"/>
  <c r="P47" i="8"/>
  <c r="Z214" i="4"/>
  <c r="AL11" i="5"/>
  <c r="AO47" i="8"/>
  <c r="BA47" i="8"/>
  <c r="Q47" i="8"/>
  <c r="B47" i="8"/>
  <c r="AF10" i="5"/>
  <c r="AM46" i="8"/>
  <c r="AY46" i="8"/>
  <c r="O46" i="8"/>
  <c r="X182" i="4"/>
  <c r="AI10" i="5"/>
  <c r="AN46" i="8"/>
  <c r="AZ46" i="8"/>
  <c r="P46" i="8"/>
  <c r="Z182" i="4"/>
  <c r="AL10" i="5"/>
  <c r="AO46" i="8"/>
  <c r="BA46" i="8"/>
  <c r="Q46" i="8"/>
  <c r="B46" i="8"/>
  <c r="AF9" i="5"/>
  <c r="AM45" i="8"/>
  <c r="AY45" i="8"/>
  <c r="O45" i="8"/>
  <c r="X253" i="4"/>
  <c r="AI9" i="5"/>
  <c r="AN45" i="8"/>
  <c r="AZ45" i="8"/>
  <c r="P45" i="8"/>
  <c r="Z253" i="4"/>
  <c r="AL9" i="5"/>
  <c r="AO45" i="8"/>
  <c r="BA45" i="8"/>
  <c r="Q45" i="8"/>
  <c r="B45" i="8"/>
  <c r="AF68" i="5"/>
  <c r="AM99" i="8"/>
  <c r="AY99" i="8"/>
  <c r="O99" i="8"/>
  <c r="X5" i="4"/>
  <c r="AI68" i="5"/>
  <c r="AN99" i="8"/>
  <c r="AZ99" i="8"/>
  <c r="P99" i="8"/>
  <c r="Z5" i="4"/>
  <c r="AL68" i="5"/>
  <c r="AO99" i="8"/>
  <c r="BA99" i="8"/>
  <c r="Q99" i="8"/>
  <c r="B99" i="8"/>
  <c r="AM98" i="8"/>
  <c r="AY98" i="8"/>
  <c r="O98" i="8"/>
  <c r="AN98" i="8"/>
  <c r="AZ98" i="8"/>
  <c r="P98" i="8"/>
  <c r="B98" i="8"/>
  <c r="AF66" i="5"/>
  <c r="AM97" i="8"/>
  <c r="AY97" i="8"/>
  <c r="O97" i="8"/>
  <c r="AN97" i="8"/>
  <c r="AZ97" i="8"/>
  <c r="P97" i="8"/>
  <c r="B97" i="8"/>
  <c r="AF65" i="5"/>
  <c r="AM96" i="8"/>
  <c r="AY96" i="8"/>
  <c r="O96" i="8"/>
  <c r="AN96" i="8"/>
  <c r="AZ96" i="8"/>
  <c r="P96" i="8"/>
  <c r="Z161" i="4"/>
  <c r="AL65" i="5"/>
  <c r="AO96" i="8"/>
  <c r="BA96" i="8"/>
  <c r="Q96" i="8"/>
  <c r="B96" i="8"/>
  <c r="AF64" i="5"/>
  <c r="AM95" i="8"/>
  <c r="AY95" i="8"/>
  <c r="O95" i="8"/>
  <c r="X155" i="4"/>
  <c r="AI64" i="5"/>
  <c r="AN95" i="8"/>
  <c r="AZ95" i="8"/>
  <c r="P95" i="8"/>
  <c r="Z155" i="4"/>
  <c r="AL64" i="5"/>
  <c r="AO95" i="8"/>
  <c r="BA95" i="8"/>
  <c r="Q95" i="8"/>
  <c r="B95" i="8"/>
  <c r="AF63" i="5"/>
  <c r="AM94" i="8"/>
  <c r="AY94" i="8"/>
  <c r="O94" i="8"/>
  <c r="X247" i="4"/>
  <c r="AI63" i="5"/>
  <c r="AN94" i="8"/>
  <c r="AZ94" i="8"/>
  <c r="P94" i="8"/>
  <c r="Z247" i="4"/>
  <c r="AL63" i="5"/>
  <c r="AO94" i="8"/>
  <c r="BA94" i="8"/>
  <c r="Q94" i="8"/>
  <c r="B94" i="8"/>
  <c r="AF62" i="5"/>
  <c r="AM93" i="8"/>
  <c r="AY93" i="8"/>
  <c r="O93" i="8"/>
  <c r="AN93" i="8"/>
  <c r="AZ93" i="8"/>
  <c r="P93" i="8"/>
  <c r="Z213" i="4"/>
  <c r="AL62" i="5"/>
  <c r="AO93" i="8"/>
  <c r="BA93" i="8"/>
  <c r="Q93" i="8"/>
  <c r="B93" i="8"/>
  <c r="AF61" i="5"/>
  <c r="AM92" i="8"/>
  <c r="AY92" i="8"/>
  <c r="O92" i="8"/>
  <c r="AN92" i="8"/>
  <c r="AZ92" i="8"/>
  <c r="P92" i="8"/>
  <c r="Z237" i="4"/>
  <c r="AL61" i="5"/>
  <c r="AO92" i="8"/>
  <c r="BA92" i="8"/>
  <c r="Q92" i="8"/>
  <c r="B92" i="8"/>
  <c r="AF60" i="5"/>
  <c r="AM91" i="8"/>
  <c r="AY91" i="8"/>
  <c r="O91" i="8"/>
  <c r="X291" i="4"/>
  <c r="AI60" i="5"/>
  <c r="AN91" i="8"/>
  <c r="AZ91" i="8"/>
  <c r="P91" i="8"/>
  <c r="Z291" i="4"/>
  <c r="AL60" i="5"/>
  <c r="AO91" i="8"/>
  <c r="BA91" i="8"/>
  <c r="Q91" i="8"/>
  <c r="B91" i="8"/>
  <c r="AF59" i="5"/>
  <c r="AM90" i="8"/>
  <c r="AY90" i="8"/>
  <c r="O90" i="8"/>
  <c r="AN90" i="8"/>
  <c r="AZ90" i="8"/>
  <c r="P90" i="8"/>
  <c r="Z228" i="4"/>
  <c r="AL59" i="5"/>
  <c r="AO90" i="8"/>
  <c r="BA90" i="8"/>
  <c r="Q90" i="8"/>
  <c r="B90" i="8"/>
  <c r="AF58" i="5"/>
  <c r="AM89" i="8"/>
  <c r="AY89" i="8"/>
  <c r="O89" i="8"/>
  <c r="AN89" i="8"/>
  <c r="AZ89" i="8"/>
  <c r="P89" i="8"/>
  <c r="Z245" i="4"/>
  <c r="AL58" i="5"/>
  <c r="AO89" i="8"/>
  <c r="BA89" i="8"/>
  <c r="Q89" i="8"/>
  <c r="B89" i="8"/>
  <c r="AF57" i="5"/>
  <c r="AM88" i="8"/>
  <c r="AY88" i="8"/>
  <c r="O88" i="8"/>
  <c r="AN88" i="8"/>
  <c r="AZ88" i="8"/>
  <c r="P88" i="8"/>
  <c r="Z259" i="4"/>
  <c r="AL57" i="5"/>
  <c r="AO88" i="8"/>
  <c r="BA88" i="8"/>
  <c r="Q88" i="8"/>
  <c r="B88" i="8"/>
  <c r="AF56" i="5"/>
  <c r="AM87" i="8"/>
  <c r="AY87" i="8"/>
  <c r="O87" i="8"/>
  <c r="AN87" i="8"/>
  <c r="AZ87" i="8"/>
  <c r="P87" i="8"/>
  <c r="Z257" i="4"/>
  <c r="AL56" i="5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F54" i="5"/>
  <c r="AM85" i="8"/>
  <c r="AY85" i="8"/>
  <c r="O85" i="8"/>
  <c r="AN85" i="8"/>
  <c r="AZ85" i="8"/>
  <c r="P85" i="8"/>
  <c r="Z266" i="4"/>
  <c r="AL54" i="5"/>
  <c r="AO85" i="8"/>
  <c r="BA85" i="8"/>
  <c r="Q85" i="8"/>
  <c r="B85" i="8"/>
  <c r="AF53" i="5"/>
  <c r="AM84" i="8"/>
  <c r="AY84" i="8"/>
  <c r="O84" i="8"/>
  <c r="AN84" i="8"/>
  <c r="AZ84" i="8"/>
  <c r="P84" i="8"/>
  <c r="Z235" i="4"/>
  <c r="AL53" i="5"/>
  <c r="AO84" i="8"/>
  <c r="BA84" i="8"/>
  <c r="Q84" i="8"/>
  <c r="B84" i="8"/>
  <c r="AF52" i="5"/>
  <c r="AM83" i="8"/>
  <c r="AY83" i="8"/>
  <c r="O83" i="8"/>
  <c r="AN83" i="8"/>
  <c r="AZ83" i="8"/>
  <c r="P83" i="8"/>
  <c r="Z263" i="4"/>
  <c r="AL52" i="5"/>
  <c r="AO83" i="8"/>
  <c r="BA83" i="8"/>
  <c r="Q83" i="8"/>
  <c r="B83" i="8"/>
  <c r="AF51" i="5"/>
  <c r="AM82" i="8"/>
  <c r="AY82" i="8"/>
  <c r="O82" i="8"/>
  <c r="AN82" i="8"/>
  <c r="AZ82" i="8"/>
  <c r="P82" i="8"/>
  <c r="Z147" i="4"/>
  <c r="AL51" i="5"/>
  <c r="AO82" i="8"/>
  <c r="BA82" i="8"/>
  <c r="Q82" i="8"/>
  <c r="B82" i="8"/>
  <c r="AF50" i="5"/>
  <c r="AM81" i="8"/>
  <c r="AY81" i="8"/>
  <c r="O81" i="8"/>
  <c r="AN81" i="8"/>
  <c r="AZ81" i="8"/>
  <c r="P81" i="8"/>
  <c r="Z261" i="4"/>
  <c r="AL50" i="5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F48" i="5"/>
  <c r="AM79" i="8"/>
  <c r="AY79" i="8"/>
  <c r="O79" i="8"/>
  <c r="X278" i="4"/>
  <c r="AI48" i="5"/>
  <c r="AN79" i="8"/>
  <c r="AZ79" i="8"/>
  <c r="P79" i="8"/>
  <c r="Z278" i="4"/>
  <c r="AL48" i="5"/>
  <c r="AO79" i="8"/>
  <c r="BA79" i="8"/>
  <c r="Q79" i="8"/>
  <c r="B79" i="8"/>
  <c r="AF47" i="5"/>
  <c r="AM7" i="8"/>
  <c r="AY7" i="8"/>
  <c r="O7" i="8"/>
  <c r="X293" i="4"/>
  <c r="AI47" i="5"/>
  <c r="AN7" i="8"/>
  <c r="AZ7" i="8"/>
  <c r="P7" i="8"/>
  <c r="Z293" i="4"/>
  <c r="AL47" i="5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F45" i="5"/>
  <c r="AM78" i="8"/>
  <c r="AY78" i="8"/>
  <c r="O78" i="8"/>
  <c r="X294" i="4"/>
  <c r="AI45" i="5"/>
  <c r="AN78" i="8"/>
  <c r="AZ78" i="8"/>
  <c r="P78" i="8"/>
  <c r="Z294" i="4"/>
  <c r="AL45" i="5"/>
  <c r="AO78" i="8"/>
  <c r="BA78" i="8"/>
  <c r="Q78" i="8"/>
  <c r="B78" i="8"/>
  <c r="AL44" i="5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L42" i="5"/>
  <c r="AO75" i="8"/>
  <c r="BA75" i="8"/>
  <c r="Q75" i="8"/>
  <c r="B75" i="8"/>
  <c r="AF41" i="5"/>
  <c r="AM74" i="8"/>
  <c r="AY74" i="8"/>
  <c r="O74" i="8"/>
  <c r="X208" i="4"/>
  <c r="AI41" i="5"/>
  <c r="AN74" i="8"/>
  <c r="AZ74" i="8"/>
  <c r="P74" i="8"/>
  <c r="Z208" i="4"/>
  <c r="AL41" i="5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F39" i="5"/>
  <c r="AM72" i="8"/>
  <c r="AY72" i="8"/>
  <c r="O72" i="8"/>
  <c r="X282" i="4"/>
  <c r="AI39" i="5"/>
  <c r="AN72" i="8"/>
  <c r="AZ72" i="8"/>
  <c r="P72" i="8"/>
  <c r="Z282" i="4"/>
  <c r="AL39" i="5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F7" i="5"/>
  <c r="AM43" i="8"/>
  <c r="AY43" i="8"/>
  <c r="O43" i="8"/>
  <c r="X181" i="4"/>
  <c r="AI7" i="5"/>
  <c r="AN43" i="8"/>
  <c r="AZ43" i="8"/>
  <c r="P43" i="8"/>
  <c r="Z181" i="4"/>
  <c r="AL7" i="5"/>
  <c r="AO43" i="8"/>
  <c r="BA43" i="8"/>
  <c r="Q43" i="8"/>
  <c r="B43" i="8"/>
  <c r="AF6" i="5"/>
  <c r="AM42" i="8"/>
  <c r="AY42" i="8"/>
  <c r="O42" i="8"/>
  <c r="X283" i="4"/>
  <c r="AI6" i="5"/>
  <c r="AN42" i="8"/>
  <c r="AZ42" i="8"/>
  <c r="P42" i="8"/>
  <c r="Z283" i="4"/>
  <c r="AL6" i="5"/>
  <c r="AO42" i="8"/>
  <c r="BA42" i="8"/>
  <c r="Q42" i="8"/>
  <c r="B42" i="8"/>
  <c r="AF5" i="5"/>
  <c r="AM2" i="8"/>
  <c r="AY2" i="8"/>
  <c r="O2" i="8"/>
  <c r="X238" i="4"/>
  <c r="AI5" i="5"/>
  <c r="AN2" i="8"/>
  <c r="AZ2" i="8"/>
  <c r="P2" i="8"/>
  <c r="Z238" i="4"/>
  <c r="AL5" i="5"/>
  <c r="AO2" i="8"/>
  <c r="BA2" i="8"/>
  <c r="Q2" i="8"/>
  <c r="B2" i="8"/>
  <c r="AF4" i="5"/>
  <c r="AM41" i="8"/>
  <c r="AY41" i="8"/>
  <c r="O41" i="8"/>
  <c r="X255" i="4"/>
  <c r="AI4" i="5"/>
  <c r="AN41" i="8"/>
  <c r="AZ41" i="8"/>
  <c r="P41" i="8"/>
  <c r="Z255" i="4"/>
  <c r="AL4" i="5"/>
  <c r="AO41" i="8"/>
  <c r="BA41" i="8"/>
  <c r="Q41" i="8"/>
  <c r="B41" i="8"/>
  <c r="AL3" i="5"/>
  <c r="AO40" i="8"/>
  <c r="BA40" i="8"/>
  <c r="Q40" i="8"/>
  <c r="B40" i="8"/>
  <c r="AF2" i="5"/>
  <c r="AM39" i="8"/>
  <c r="AY39" i="8"/>
  <c r="O39" i="8"/>
  <c r="AN39" i="8"/>
  <c r="AZ39" i="8"/>
  <c r="P39" i="8"/>
  <c r="Z224" i="4"/>
  <c r="AL2" i="5"/>
  <c r="AO39" i="8"/>
  <c r="BA39" i="8"/>
  <c r="Q39" i="8"/>
  <c r="B39" i="8"/>
  <c r="BJ42" i="2"/>
  <c r="BJ43" i="2"/>
  <c r="BJ44" i="2"/>
  <c r="BJ54" i="2"/>
  <c r="BI42" i="2"/>
  <c r="BI43" i="2"/>
  <c r="BI44" i="2"/>
  <c r="BI54" i="2"/>
  <c r="X10" i="2"/>
  <c r="BH42" i="2"/>
  <c r="BH43" i="2"/>
  <c r="BH44" i="2"/>
  <c r="BH54" i="2"/>
  <c r="W32" i="2"/>
  <c r="W7" i="2"/>
  <c r="W19" i="2"/>
  <c r="W29" i="2"/>
  <c r="W30" i="2"/>
  <c r="W22" i="2"/>
  <c r="W20" i="2"/>
  <c r="W8" i="2"/>
  <c r="W33" i="2"/>
  <c r="W23" i="2"/>
  <c r="W24" i="2"/>
  <c r="W25" i="2"/>
  <c r="W9" i="2"/>
  <c r="W10" i="2"/>
  <c r="W11" i="2"/>
  <c r="W12" i="2"/>
  <c r="W13" i="2"/>
  <c r="W16" i="2"/>
  <c r="W17" i="2"/>
  <c r="W14" i="2"/>
  <c r="W26" i="2"/>
  <c r="W27" i="2"/>
  <c r="W28" i="2"/>
  <c r="W34" i="2"/>
  <c r="W6" i="2"/>
  <c r="W21" i="2"/>
  <c r="BG42" i="2"/>
  <c r="BG43" i="2"/>
  <c r="BG44" i="2"/>
  <c r="BG54" i="2"/>
  <c r="V32" i="2"/>
  <c r="V7" i="2"/>
  <c r="V19" i="2"/>
  <c r="V29" i="2"/>
  <c r="V30" i="2"/>
  <c r="V22" i="2"/>
  <c r="V20" i="2"/>
  <c r="V8" i="2"/>
  <c r="V33" i="2"/>
  <c r="V23" i="2"/>
  <c r="V24" i="2"/>
  <c r="V25" i="2"/>
  <c r="V9" i="2"/>
  <c r="V10" i="2"/>
  <c r="V11" i="2"/>
  <c r="V12" i="2"/>
  <c r="V13" i="2"/>
  <c r="V16" i="2"/>
  <c r="V17" i="2"/>
  <c r="V14" i="2"/>
  <c r="V26" i="2"/>
  <c r="V27" i="2"/>
  <c r="V28" i="2"/>
  <c r="V34" i="2"/>
  <c r="V6" i="2"/>
  <c r="V21" i="2"/>
  <c r="BF42" i="2"/>
  <c r="BF43" i="2"/>
  <c r="BF44" i="2"/>
  <c r="BF54" i="2"/>
  <c r="U32" i="2"/>
  <c r="U7" i="2"/>
  <c r="U19" i="2"/>
  <c r="U29" i="2"/>
  <c r="U30" i="2"/>
  <c r="U22" i="2"/>
  <c r="U20" i="2"/>
  <c r="U8" i="2"/>
  <c r="U33" i="2"/>
  <c r="U23" i="2"/>
  <c r="U24" i="2"/>
  <c r="U25" i="2"/>
  <c r="U9" i="2"/>
  <c r="U10" i="2"/>
  <c r="U11" i="2"/>
  <c r="U12" i="2"/>
  <c r="U13" i="2"/>
  <c r="U16" i="2"/>
  <c r="U17" i="2"/>
  <c r="U14" i="2"/>
  <c r="U26" i="2"/>
  <c r="U27" i="2"/>
  <c r="U28" i="2"/>
  <c r="U34" i="2"/>
  <c r="U6" i="2"/>
  <c r="U21" i="2"/>
  <c r="BE42" i="2"/>
  <c r="BE43" i="2"/>
  <c r="BE44" i="2"/>
  <c r="BE54" i="2"/>
  <c r="AK20" i="2"/>
  <c r="AK8" i="2"/>
  <c r="AK9" i="2"/>
  <c r="AK7" i="2"/>
  <c r="AK11" i="2"/>
  <c r="AK12" i="2"/>
  <c r="AK13" i="2"/>
  <c r="AK22" i="2"/>
  <c r="AK14" i="2"/>
  <c r="AK19" i="2"/>
  <c r="AK10" i="2"/>
  <c r="AK18" i="2"/>
  <c r="AK17" i="2"/>
  <c r="AK16" i="2"/>
  <c r="AK34" i="2"/>
  <c r="AK21" i="2"/>
  <c r="AK37" i="2"/>
  <c r="AK15" i="2"/>
  <c r="AK31" i="2"/>
  <c r="AK28" i="2"/>
  <c r="AK38" i="2"/>
  <c r="AK35" i="2"/>
  <c r="AK29" i="2"/>
  <c r="AK30" i="2"/>
  <c r="AK24" i="2"/>
  <c r="AK27" i="2"/>
  <c r="AK33" i="2"/>
  <c r="AK25" i="2"/>
  <c r="AK23" i="2"/>
  <c r="AK26" i="2"/>
  <c r="AK32" i="2"/>
  <c r="AG55" i="4"/>
  <c r="AG100" i="4"/>
  <c r="AG77" i="4"/>
  <c r="AG194" i="4"/>
  <c r="AG75" i="4"/>
  <c r="AG98" i="4"/>
  <c r="AG112" i="4"/>
  <c r="AG97" i="4"/>
  <c r="AG111" i="4"/>
  <c r="AG74" i="4"/>
  <c r="AG73" i="4"/>
  <c r="AG43" i="4"/>
  <c r="AG7" i="4"/>
  <c r="AG67" i="4"/>
  <c r="AG66" i="4"/>
  <c r="AG82" i="4"/>
  <c r="AG65" i="4"/>
  <c r="AG93" i="4"/>
  <c r="AG91" i="4"/>
  <c r="AG64" i="4"/>
  <c r="AG89" i="4"/>
  <c r="AG63" i="4"/>
  <c r="AG103" i="4"/>
  <c r="AG79" i="4"/>
  <c r="AG45" i="4"/>
  <c r="AG277" i="4"/>
  <c r="AG274" i="4"/>
  <c r="AG70" i="4"/>
  <c r="AG37" i="4"/>
  <c r="AG36" i="4"/>
  <c r="AG35" i="4"/>
  <c r="AG50" i="4"/>
  <c r="AG33" i="4"/>
  <c r="AG32" i="4"/>
  <c r="AG2" i="4"/>
  <c r="AG60" i="4"/>
  <c r="AG205" i="4"/>
  <c r="AG71" i="4"/>
  <c r="AG10" i="4"/>
  <c r="AG5" i="4"/>
  <c r="AG54" i="4"/>
  <c r="AG57" i="4"/>
  <c r="AG41" i="4"/>
  <c r="AG56" i="4"/>
  <c r="AG105" i="4"/>
  <c r="AG39" i="4"/>
  <c r="AG38" i="4"/>
  <c r="AG28" i="4"/>
  <c r="AG19" i="4"/>
  <c r="AG102" i="4"/>
  <c r="AG119" i="4"/>
  <c r="AG109" i="4"/>
  <c r="AG86" i="4"/>
  <c r="AG85" i="4"/>
  <c r="AG17" i="4"/>
  <c r="AG46" i="4"/>
  <c r="AG80" i="4"/>
  <c r="AG291" i="4"/>
  <c r="AG34" i="4"/>
  <c r="AG31" i="4"/>
  <c r="AG30" i="4"/>
  <c r="AG29" i="4"/>
  <c r="AG4" i="4"/>
  <c r="AG27" i="4"/>
  <c r="AG26" i="4"/>
  <c r="AG25" i="4"/>
  <c r="AG24" i="4"/>
  <c r="AG49" i="4"/>
  <c r="AG23" i="4"/>
  <c r="AG22" i="4"/>
  <c r="AG48" i="4"/>
  <c r="AG21" i="4"/>
  <c r="AG20" i="4"/>
  <c r="AG18" i="4"/>
  <c r="AG16" i="4"/>
  <c r="AG3" i="4"/>
  <c r="AG15" i="4"/>
  <c r="AG108" i="4"/>
  <c r="AG254" i="4"/>
  <c r="AG115" i="4"/>
  <c r="AG114" i="4"/>
  <c r="AG113" i="4"/>
  <c r="AG107" i="4"/>
  <c r="AG123" i="4"/>
  <c r="AG122" i="4"/>
  <c r="AG81" i="4"/>
  <c r="AG90" i="4"/>
  <c r="AG230" i="4"/>
  <c r="AG225" i="4"/>
  <c r="AG260" i="4"/>
  <c r="AG236" i="4"/>
  <c r="AG229" i="4"/>
  <c r="AG164" i="4"/>
  <c r="AG226" i="4"/>
  <c r="AG154" i="4"/>
  <c r="AG221" i="4"/>
  <c r="AG88" i="4"/>
  <c r="AG120" i="4"/>
  <c r="AG153" i="4"/>
  <c r="AG204" i="4"/>
  <c r="AG180" i="4"/>
  <c r="AG168" i="4"/>
  <c r="AG167" i="4"/>
  <c r="AG242" i="4"/>
  <c r="AG248" i="4"/>
  <c r="AG252" i="4"/>
  <c r="AG166" i="4"/>
  <c r="AG281" i="4"/>
  <c r="AG157" i="4"/>
  <c r="AG140" i="4"/>
  <c r="AG165" i="4"/>
  <c r="AG223" i="4"/>
  <c r="AG197" i="4"/>
  <c r="AG193" i="4"/>
  <c r="AG192" i="4"/>
  <c r="AG163" i="4"/>
  <c r="AG177" i="4"/>
  <c r="AG162" i="4"/>
  <c r="AG139" i="4"/>
  <c r="AG156" i="4"/>
  <c r="AG189" i="4"/>
  <c r="AG264" i="4"/>
  <c r="AG171" i="4"/>
  <c r="AG234" i="4"/>
  <c r="AG220" i="4"/>
  <c r="AG150" i="4"/>
  <c r="AG217" i="4"/>
  <c r="AG170" i="4"/>
  <c r="AG210" i="4"/>
  <c r="AG218" i="4"/>
  <c r="AG185" i="4"/>
  <c r="AG276" i="4"/>
  <c r="AG149" i="4"/>
  <c r="AG269" i="4"/>
  <c r="AG184" i="4"/>
  <c r="AG14" i="4"/>
  <c r="AG13" i="4"/>
  <c r="AG99" i="4"/>
  <c r="AG76" i="4"/>
  <c r="AG83" i="4"/>
  <c r="AG8" i="4"/>
  <c r="AG96" i="4"/>
  <c r="AG68" i="4"/>
  <c r="AG95" i="4"/>
  <c r="AG94" i="4"/>
  <c r="AG53" i="4"/>
  <c r="AG106" i="4"/>
  <c r="AG92" i="4"/>
  <c r="AG121" i="4"/>
  <c r="AG51" i="4"/>
  <c r="AG61" i="4"/>
  <c r="AG137" i="4"/>
  <c r="AG262" i="4"/>
  <c r="AG44" i="4"/>
  <c r="AG128" i="4"/>
  <c r="AG127" i="4"/>
  <c r="AG126" i="4"/>
  <c r="AG190" i="4"/>
  <c r="AG250" i="4"/>
  <c r="AG244" i="4"/>
  <c r="AG136" i="4"/>
  <c r="AG135" i="4"/>
  <c r="AG131" i="4"/>
  <c r="AG130" i="4"/>
  <c r="AG201" i="4"/>
  <c r="AG47" i="4"/>
  <c r="AG72" i="4"/>
  <c r="AG129" i="4"/>
  <c r="AG155" i="4"/>
  <c r="AG12" i="4"/>
  <c r="AG11" i="4"/>
  <c r="AG9" i="4"/>
  <c r="AG6" i="4"/>
  <c r="AG42" i="4"/>
  <c r="AG40" i="4"/>
  <c r="AG87" i="4"/>
  <c r="AG110" i="4"/>
  <c r="AG239" i="4"/>
  <c r="AG148" i="4"/>
  <c r="AG151" i="4"/>
  <c r="AG227" i="4"/>
  <c r="AG118" i="4"/>
  <c r="AG243" i="4"/>
  <c r="AG117" i="4"/>
  <c r="AG159" i="4"/>
  <c r="AG132" i="4"/>
  <c r="AG125" i="4"/>
  <c r="AG124" i="4"/>
  <c r="AG203" i="4"/>
  <c r="AG104" i="4"/>
  <c r="AG52" i="4"/>
  <c r="AG152" i="4"/>
  <c r="AG138" i="4"/>
  <c r="AG59" i="4"/>
  <c r="AG222" i="4"/>
  <c r="AG272" i="4"/>
  <c r="AG219" i="4"/>
  <c r="AG265" i="4"/>
  <c r="AG271" i="4"/>
  <c r="AG258" i="4"/>
  <c r="AG78" i="4"/>
  <c r="AG158" i="4"/>
  <c r="AG176" i="4"/>
  <c r="AG69" i="4"/>
  <c r="AG58" i="4"/>
  <c r="AG62" i="4"/>
  <c r="AG169" i="4"/>
  <c r="AG160" i="4"/>
  <c r="AG199" i="4"/>
  <c r="AG183" i="4"/>
  <c r="AG191" i="4"/>
  <c r="AG175" i="4"/>
  <c r="AG196" i="4"/>
  <c r="AG101" i="4"/>
  <c r="AG206" i="4"/>
  <c r="AG134" i="4"/>
  <c r="AG133" i="4"/>
  <c r="AG84" i="4"/>
  <c r="AG198" i="4"/>
  <c r="AG188" i="4"/>
  <c r="AG186" i="4"/>
  <c r="AG216" i="4"/>
  <c r="AG215" i="4"/>
  <c r="AG214" i="4"/>
  <c r="AG182" i="4"/>
  <c r="AG207" i="4"/>
  <c r="AG181" i="4"/>
  <c r="AG116" i="4"/>
  <c r="AG261" i="4"/>
  <c r="AG224" i="4"/>
  <c r="AG285" i="4"/>
  <c r="AG256" i="4"/>
  <c r="AG255" i="4"/>
  <c r="AG247" i="4"/>
  <c r="AG253" i="4"/>
  <c r="AG275" i="4"/>
  <c r="AG273" i="4"/>
  <c r="AG268" i="4"/>
  <c r="AG270" i="4"/>
  <c r="AG142" i="4"/>
  <c r="AG211" i="4"/>
  <c r="AG178" i="4"/>
  <c r="AG145" i="4"/>
  <c r="AG144" i="4"/>
  <c r="AG212" i="4"/>
  <c r="AG143" i="4"/>
  <c r="AG141" i="4"/>
  <c r="AG179" i="4"/>
  <c r="AG202" i="4"/>
  <c r="AG238" i="4"/>
  <c r="AG233" i="4"/>
  <c r="AG246" i="4"/>
  <c r="AG232" i="4"/>
  <c r="AG289" i="4"/>
  <c r="AG286" i="4"/>
  <c r="AG283" i="4"/>
  <c r="AG287" i="4"/>
  <c r="AG279" i="4"/>
  <c r="AG278" i="4"/>
  <c r="AG282" i="4"/>
  <c r="AG293" i="4"/>
  <c r="AG295" i="4"/>
  <c r="AG294" i="4"/>
  <c r="AG174" i="4"/>
  <c r="AG173" i="4"/>
  <c r="AG172" i="4"/>
  <c r="AG187" i="4"/>
  <c r="AG208" i="4"/>
  <c r="AG200" i="4"/>
  <c r="AG231" i="4"/>
  <c r="AG195" i="4"/>
  <c r="AG240" i="4"/>
  <c r="AG267" i="4"/>
  <c r="AG249" i="4"/>
  <c r="AG292" i="4"/>
  <c r="AG290" i="4"/>
  <c r="AG288" i="4"/>
  <c r="AG284" i="4"/>
  <c r="AG213" i="4"/>
  <c r="AG147" i="4"/>
  <c r="AG146" i="4"/>
  <c r="AG161" i="4"/>
  <c r="AG237" i="4"/>
  <c r="AG209" i="4"/>
  <c r="AG235" i="4"/>
  <c r="AG245" i="4"/>
  <c r="AG257" i="4"/>
  <c r="AG241" i="4"/>
  <c r="AG251" i="4"/>
  <c r="AG266" i="4"/>
  <c r="AG263" i="4"/>
  <c r="AG259" i="4"/>
  <c r="AG228" i="4"/>
  <c r="AK6" i="2"/>
  <c r="AY79" i="5"/>
  <c r="AY85" i="5"/>
  <c r="AY84" i="5"/>
  <c r="AY83" i="5"/>
  <c r="AY405" i="5"/>
  <c r="AY42" i="5"/>
  <c r="AY82" i="5"/>
  <c r="AY282" i="5"/>
  <c r="AY3" i="5"/>
  <c r="AY81" i="5"/>
  <c r="AY80" i="5"/>
  <c r="AY78" i="5"/>
  <c r="AY77" i="5"/>
  <c r="AY76" i="5"/>
  <c r="AY256" i="5"/>
  <c r="AY44" i="5"/>
  <c r="AY75" i="5"/>
  <c r="AY74" i="5"/>
  <c r="AY73" i="5"/>
  <c r="AY72" i="5"/>
  <c r="AY71" i="5"/>
  <c r="AY22" i="5"/>
  <c r="AY392" i="5"/>
  <c r="AY331" i="5"/>
  <c r="AY300" i="5"/>
  <c r="AY46" i="5"/>
  <c r="AX46" i="5"/>
  <c r="AW46" i="5"/>
  <c r="AY45" i="5"/>
  <c r="AX45" i="5"/>
  <c r="AW45" i="5"/>
  <c r="AY47" i="5"/>
  <c r="AX47" i="5"/>
  <c r="AW47" i="5"/>
  <c r="AY224" i="5"/>
  <c r="AX224" i="5"/>
  <c r="AW224" i="5"/>
  <c r="AY60" i="5"/>
  <c r="AX60" i="5"/>
  <c r="AW60" i="5"/>
  <c r="AY49" i="5"/>
  <c r="AX49" i="5"/>
  <c r="AW49" i="5"/>
  <c r="AY172" i="5"/>
  <c r="AX172" i="5"/>
  <c r="AW172" i="5"/>
  <c r="AY43" i="5"/>
  <c r="AX43" i="5"/>
  <c r="AW43" i="5"/>
  <c r="AY176" i="5"/>
  <c r="AX176" i="5"/>
  <c r="AW176" i="5"/>
  <c r="AY173" i="5"/>
  <c r="AX173" i="5"/>
  <c r="AW173" i="5"/>
  <c r="AY16" i="5"/>
  <c r="AX16" i="5"/>
  <c r="AW16" i="5"/>
  <c r="AY40" i="5"/>
  <c r="AX40" i="5"/>
  <c r="AW40" i="5"/>
  <c r="AY6" i="5"/>
  <c r="AX6" i="5"/>
  <c r="AW6" i="5"/>
  <c r="AY314" i="5"/>
  <c r="AX314" i="5"/>
  <c r="AW314" i="5"/>
  <c r="AY39" i="5"/>
  <c r="AX39" i="5"/>
  <c r="AW39" i="5"/>
  <c r="AY17" i="5"/>
  <c r="AX17" i="5"/>
  <c r="AW17" i="5"/>
  <c r="AY174" i="5"/>
  <c r="AX174" i="5"/>
  <c r="AW174" i="5"/>
  <c r="AY171" i="5"/>
  <c r="AX171" i="5"/>
  <c r="AW171" i="5"/>
  <c r="AY48" i="5"/>
  <c r="AX48" i="5"/>
  <c r="AW48" i="5"/>
  <c r="AY404" i="5"/>
  <c r="AX404" i="5"/>
  <c r="AW404" i="5"/>
  <c r="AY308" i="5"/>
  <c r="AX308" i="5"/>
  <c r="AW308" i="5"/>
  <c r="AY21" i="5"/>
  <c r="AX21" i="5"/>
  <c r="AW21" i="5"/>
  <c r="AY20" i="5"/>
  <c r="AX20" i="5"/>
  <c r="AW20" i="5"/>
  <c r="AY316" i="5"/>
  <c r="AX316" i="5"/>
  <c r="AW316" i="5"/>
  <c r="AY8" i="5"/>
  <c r="AX8" i="5"/>
  <c r="AW8" i="5"/>
  <c r="AY28" i="5"/>
  <c r="AX28" i="5"/>
  <c r="AW28" i="5"/>
  <c r="AY24" i="5"/>
  <c r="AX24" i="5"/>
  <c r="AW24" i="5"/>
  <c r="AY15" i="5"/>
  <c r="AX15" i="5"/>
  <c r="AW15" i="5"/>
  <c r="AY54" i="5"/>
  <c r="AX54" i="5"/>
  <c r="AW54" i="5"/>
  <c r="AY297" i="5"/>
  <c r="AX297" i="5"/>
  <c r="AW297" i="5"/>
  <c r="AY34" i="5"/>
  <c r="AX34" i="5"/>
  <c r="AW34" i="5"/>
  <c r="AY223" i="5"/>
  <c r="AX223" i="5"/>
  <c r="AW223" i="5"/>
  <c r="AY240" i="5"/>
  <c r="AX240" i="5"/>
  <c r="AW240" i="5"/>
  <c r="AY52" i="5"/>
  <c r="AX52" i="5"/>
  <c r="AW52" i="5"/>
  <c r="AY25" i="5"/>
  <c r="AX25" i="5"/>
  <c r="AW25" i="5"/>
  <c r="AY356" i="5"/>
  <c r="AX356" i="5"/>
  <c r="AW356" i="5"/>
  <c r="AY50" i="5"/>
  <c r="AX50" i="5"/>
  <c r="AW50" i="5"/>
  <c r="AY57" i="5"/>
  <c r="AX57" i="5"/>
  <c r="AW57" i="5"/>
  <c r="AY56" i="5"/>
  <c r="AX56" i="5"/>
  <c r="AW56" i="5"/>
  <c r="AY19" i="5"/>
  <c r="AX19" i="5"/>
  <c r="AW19" i="5"/>
  <c r="AY4" i="5"/>
  <c r="AX4" i="5"/>
  <c r="AW4" i="5"/>
  <c r="AY275" i="5"/>
  <c r="AX275" i="5"/>
  <c r="AW275" i="5"/>
  <c r="AY293" i="5"/>
  <c r="AX293" i="5"/>
  <c r="AW293" i="5"/>
  <c r="AY23" i="5"/>
  <c r="AX23" i="5"/>
  <c r="AW23" i="5"/>
  <c r="AY306" i="5"/>
  <c r="AX306" i="5"/>
  <c r="AW306" i="5"/>
  <c r="AY9" i="5"/>
  <c r="AX9" i="5"/>
  <c r="AW9" i="5"/>
  <c r="AY55" i="5"/>
  <c r="AX55" i="5"/>
  <c r="AW55" i="5"/>
  <c r="AY18" i="5"/>
  <c r="AX18" i="5"/>
  <c r="AW18" i="5"/>
  <c r="AY260" i="5"/>
  <c r="AX260" i="5"/>
  <c r="AW260" i="5"/>
  <c r="AY276" i="5"/>
  <c r="AX276" i="5"/>
  <c r="AW276" i="5"/>
  <c r="AY63" i="5"/>
  <c r="AX63" i="5"/>
  <c r="AW63" i="5"/>
  <c r="AY295" i="5"/>
  <c r="AX295" i="5"/>
  <c r="AW295" i="5"/>
  <c r="AY58" i="5"/>
  <c r="AX58" i="5"/>
  <c r="AW58" i="5"/>
  <c r="AY253" i="5"/>
  <c r="AX253" i="5"/>
  <c r="AW253" i="5"/>
  <c r="AY170" i="5"/>
  <c r="AX170" i="5"/>
  <c r="AW170" i="5"/>
  <c r="AY234" i="5"/>
  <c r="AX234" i="5"/>
  <c r="AW234" i="5"/>
  <c r="AX67" i="5"/>
  <c r="AW67" i="5"/>
  <c r="AY298" i="5"/>
  <c r="AX298" i="5"/>
  <c r="AW298" i="5"/>
  <c r="AY61" i="5"/>
  <c r="AX61" i="5"/>
  <c r="AW61" i="5"/>
  <c r="AY226" i="5"/>
  <c r="AX226" i="5"/>
  <c r="AW226" i="5"/>
  <c r="AY324" i="5"/>
  <c r="AX324" i="5"/>
  <c r="AW324" i="5"/>
  <c r="AY53" i="5"/>
  <c r="AX53" i="5"/>
  <c r="AW53" i="5"/>
  <c r="AY271" i="5"/>
  <c r="AX271" i="5"/>
  <c r="AW271" i="5"/>
  <c r="AY241" i="5"/>
  <c r="AX241" i="5"/>
  <c r="AW241" i="5"/>
  <c r="AY235" i="5"/>
  <c r="AX235" i="5"/>
  <c r="AW235" i="5"/>
  <c r="AY236" i="5"/>
  <c r="AX236" i="5"/>
  <c r="AW236" i="5"/>
  <c r="AY5" i="5"/>
  <c r="AX5" i="5"/>
  <c r="AW5" i="5"/>
  <c r="AY87" i="5"/>
  <c r="AX87" i="5"/>
  <c r="AW87" i="5"/>
  <c r="AY320" i="5"/>
  <c r="AX320" i="5"/>
  <c r="AW320" i="5"/>
  <c r="AY315" i="5"/>
  <c r="AX315" i="5"/>
  <c r="AW315" i="5"/>
  <c r="AY237" i="5"/>
  <c r="AX237" i="5"/>
  <c r="AW237" i="5"/>
  <c r="AY59" i="5"/>
  <c r="AX59" i="5"/>
  <c r="AW59" i="5"/>
  <c r="AY177" i="5"/>
  <c r="AX177" i="5"/>
  <c r="AW177" i="5"/>
  <c r="AY317" i="5"/>
  <c r="AX317" i="5"/>
  <c r="AW317" i="5"/>
  <c r="AY325" i="5"/>
  <c r="AX325" i="5"/>
  <c r="AW325" i="5"/>
  <c r="AY291" i="5"/>
  <c r="AX291" i="5"/>
  <c r="AW291" i="5"/>
  <c r="AY321" i="5"/>
  <c r="AX321" i="5"/>
  <c r="AW321" i="5"/>
  <c r="AX390" i="5"/>
  <c r="AY294" i="5"/>
  <c r="AX294" i="5"/>
  <c r="AW294" i="5"/>
  <c r="AY2" i="5"/>
  <c r="AX2" i="5"/>
  <c r="AW2" i="5"/>
  <c r="AY175" i="5"/>
  <c r="AX175" i="5"/>
  <c r="AW175" i="5"/>
  <c r="AY272" i="5"/>
  <c r="AX272" i="5"/>
  <c r="AW272" i="5"/>
  <c r="AY41" i="5"/>
  <c r="AX41" i="5"/>
  <c r="AW41" i="5"/>
  <c r="AY312" i="5"/>
  <c r="AX312" i="5"/>
  <c r="AW312" i="5"/>
  <c r="AY288" i="5"/>
  <c r="AX288" i="5"/>
  <c r="AW288" i="5"/>
  <c r="AY278" i="5"/>
  <c r="AX278" i="5"/>
  <c r="AW278" i="5"/>
  <c r="AY62" i="5"/>
  <c r="AX62" i="5"/>
  <c r="AW62" i="5"/>
  <c r="AY27" i="5"/>
  <c r="AX27" i="5"/>
  <c r="AW27" i="5"/>
  <c r="AY379" i="5"/>
  <c r="AX379" i="5"/>
  <c r="AW379" i="5"/>
  <c r="AY12" i="5"/>
  <c r="AX12" i="5"/>
  <c r="AW12" i="5"/>
  <c r="AY14" i="5"/>
  <c r="AX14" i="5"/>
  <c r="AW14" i="5"/>
  <c r="AY11" i="5"/>
  <c r="AX11" i="5"/>
  <c r="AW11" i="5"/>
  <c r="AX386" i="5"/>
  <c r="AX382" i="5"/>
  <c r="AY26" i="5"/>
  <c r="AX26" i="5"/>
  <c r="AW26" i="5"/>
  <c r="AY261" i="5"/>
  <c r="AX261" i="5"/>
  <c r="AW261" i="5"/>
  <c r="AX384" i="5"/>
  <c r="AX381" i="5"/>
  <c r="AX380" i="5"/>
  <c r="AN79" i="5"/>
  <c r="AN85" i="5"/>
  <c r="AN84" i="5"/>
  <c r="AN83" i="5"/>
  <c r="AN405" i="5"/>
  <c r="AN42" i="5"/>
  <c r="AN82" i="5"/>
  <c r="AN282" i="5"/>
  <c r="AN3" i="5"/>
  <c r="AN81" i="5"/>
  <c r="AN80" i="5"/>
  <c r="AN78" i="5"/>
  <c r="AN77" i="5"/>
  <c r="AN76" i="5"/>
  <c r="AN256" i="5"/>
  <c r="AN44" i="5"/>
  <c r="AN75" i="5"/>
  <c r="AN74" i="5"/>
  <c r="AN73" i="5"/>
  <c r="AN72" i="5"/>
  <c r="AN71" i="5"/>
  <c r="AN22" i="5"/>
  <c r="AN392" i="5"/>
  <c r="AN331" i="5"/>
  <c r="AN300" i="5"/>
  <c r="AN46" i="5"/>
  <c r="AN45" i="5"/>
  <c r="AN47" i="5"/>
  <c r="AN224" i="5"/>
  <c r="AN60" i="5"/>
  <c r="AN49" i="5"/>
  <c r="AN172" i="5"/>
  <c r="AN43" i="5"/>
  <c r="AN176" i="5"/>
  <c r="AN173" i="5"/>
  <c r="AN16" i="5"/>
  <c r="AN40" i="5"/>
  <c r="AN6" i="5"/>
  <c r="AN314" i="5"/>
  <c r="AN39" i="5"/>
  <c r="AN174" i="5"/>
  <c r="AN171" i="5"/>
  <c r="AN48" i="5"/>
  <c r="AN404" i="5"/>
  <c r="AN308" i="5"/>
  <c r="AN21" i="5"/>
  <c r="AN20" i="5"/>
  <c r="AN316" i="5"/>
  <c r="AN8" i="5"/>
  <c r="AN28" i="5"/>
  <c r="AN24" i="5"/>
  <c r="AN15" i="5"/>
  <c r="AN54" i="5"/>
  <c r="AN297" i="5"/>
  <c r="AN34" i="5"/>
  <c r="AN223" i="5"/>
  <c r="AN240" i="5"/>
  <c r="AN52" i="5"/>
  <c r="AN25" i="5"/>
  <c r="AN356" i="5"/>
  <c r="AN50" i="5"/>
  <c r="AN57" i="5"/>
  <c r="AN56" i="5"/>
  <c r="AN19" i="5"/>
  <c r="AN4" i="5"/>
  <c r="AN275" i="5"/>
  <c r="AN293" i="5"/>
  <c r="AN23" i="5"/>
  <c r="AN306" i="5"/>
  <c r="AN9" i="5"/>
  <c r="AN55" i="5"/>
  <c r="AN18" i="5"/>
  <c r="AN260" i="5"/>
  <c r="AN276" i="5"/>
  <c r="AN63" i="5"/>
  <c r="AN295" i="5"/>
  <c r="AN58" i="5"/>
  <c r="AN253" i="5"/>
  <c r="AN170" i="5"/>
  <c r="AN234" i="5"/>
  <c r="AN67" i="5"/>
  <c r="AN298" i="5"/>
  <c r="AN61" i="5"/>
  <c r="AN226" i="5"/>
  <c r="AN324" i="5"/>
  <c r="AN53" i="5"/>
  <c r="AN271" i="5"/>
  <c r="AN241" i="5"/>
  <c r="AN235" i="5"/>
  <c r="AN236" i="5"/>
  <c r="AN5" i="5"/>
  <c r="AN87" i="5"/>
  <c r="AN320" i="5"/>
  <c r="AN315" i="5"/>
  <c r="AN237" i="5"/>
  <c r="AN59" i="5"/>
  <c r="AN177" i="5"/>
  <c r="AN317" i="5"/>
  <c r="AN325" i="5"/>
  <c r="AN291" i="5"/>
  <c r="AN321" i="5"/>
  <c r="AN294" i="5"/>
  <c r="AN2" i="5"/>
  <c r="AN175" i="5"/>
  <c r="AN272" i="5"/>
  <c r="AN41" i="5"/>
  <c r="AN312" i="5"/>
  <c r="AN288" i="5"/>
  <c r="AN278" i="5"/>
  <c r="AN62" i="5"/>
  <c r="AN27" i="5"/>
  <c r="AN379" i="5"/>
  <c r="AN12" i="5"/>
  <c r="AN14" i="5"/>
  <c r="AN11" i="5"/>
  <c r="AN26" i="5"/>
  <c r="AN261" i="5"/>
  <c r="AY227" i="5"/>
  <c r="AX227" i="5"/>
  <c r="AW227" i="5"/>
  <c r="AN227" i="5"/>
  <c r="AY13" i="5"/>
  <c r="AX13" i="5"/>
  <c r="AW13" i="5"/>
  <c r="AN13" i="5"/>
  <c r="AY289" i="5"/>
  <c r="AX289" i="5"/>
  <c r="AW289" i="5"/>
  <c r="AN289" i="5"/>
  <c r="AY248" i="5"/>
  <c r="AX248" i="5"/>
  <c r="AW248" i="5"/>
  <c r="AN248" i="5"/>
  <c r="AX383" i="5"/>
  <c r="AY310" i="5"/>
  <c r="AX310" i="5"/>
  <c r="AW310" i="5"/>
  <c r="AN310" i="5"/>
  <c r="AY182" i="5"/>
  <c r="AX182" i="5"/>
  <c r="AW182" i="5"/>
  <c r="AN182" i="5"/>
  <c r="AY183" i="5"/>
  <c r="AX183" i="5"/>
  <c r="AW183" i="5"/>
  <c r="AN183" i="5"/>
  <c r="AY228" i="5"/>
  <c r="AX228" i="5"/>
  <c r="AW228" i="5"/>
  <c r="AN228" i="5"/>
  <c r="AY89" i="5"/>
  <c r="AX89" i="5"/>
  <c r="AW89" i="5"/>
  <c r="AN89" i="5"/>
  <c r="AY362" i="5"/>
  <c r="AX362" i="5"/>
  <c r="AW362" i="5"/>
  <c r="AN362" i="5"/>
  <c r="AY290" i="5"/>
  <c r="AX290" i="5"/>
  <c r="AW290" i="5"/>
  <c r="AN290" i="5"/>
  <c r="AY309" i="5"/>
  <c r="AX309" i="5"/>
  <c r="AW309" i="5"/>
  <c r="AN309" i="5"/>
  <c r="AY95" i="5"/>
  <c r="AX95" i="5"/>
  <c r="AW95" i="5"/>
  <c r="AN95" i="5"/>
  <c r="AY304" i="5"/>
  <c r="AX304" i="5"/>
  <c r="AW304" i="5"/>
  <c r="AN304" i="5"/>
  <c r="AY344" i="5"/>
  <c r="AX344" i="5"/>
  <c r="AW344" i="5"/>
  <c r="AN344" i="5"/>
  <c r="AY340" i="5"/>
  <c r="AX340" i="5"/>
  <c r="AW340" i="5"/>
  <c r="AN340" i="5"/>
  <c r="AY296" i="5"/>
  <c r="AX296" i="5"/>
  <c r="AW296" i="5"/>
  <c r="AN296" i="5"/>
  <c r="AY231" i="5"/>
  <c r="AX231" i="5"/>
  <c r="AW231" i="5"/>
  <c r="AN231" i="5"/>
  <c r="AY230" i="5"/>
  <c r="AX230" i="5"/>
  <c r="AW230" i="5"/>
  <c r="AN230" i="5"/>
  <c r="AY229" i="5"/>
  <c r="AX229" i="5"/>
  <c r="AW229" i="5"/>
  <c r="AN229" i="5"/>
  <c r="AY302" i="5"/>
  <c r="AX302" i="5"/>
  <c r="AW302" i="5"/>
  <c r="AN302" i="5"/>
  <c r="AY305" i="5"/>
  <c r="AX305" i="5"/>
  <c r="AW305" i="5"/>
  <c r="AN305" i="5"/>
  <c r="AY267" i="5"/>
  <c r="AX267" i="5"/>
  <c r="AW267" i="5"/>
  <c r="AN267" i="5"/>
  <c r="AY100" i="5"/>
  <c r="AX100" i="5"/>
  <c r="AW100" i="5"/>
  <c r="AN100" i="5"/>
  <c r="AY273" i="5"/>
  <c r="AX273" i="5"/>
  <c r="AW273" i="5"/>
  <c r="AN273" i="5"/>
  <c r="AY307" i="5"/>
  <c r="AX307" i="5"/>
  <c r="AW307" i="5"/>
  <c r="AN307" i="5"/>
  <c r="AY303" i="5"/>
  <c r="AX303" i="5"/>
  <c r="AW303" i="5"/>
  <c r="AN303" i="5"/>
  <c r="AY299" i="5"/>
  <c r="AX299" i="5"/>
  <c r="AW299" i="5"/>
  <c r="AN299" i="5"/>
  <c r="AY313" i="5"/>
  <c r="AX313" i="5"/>
  <c r="AW313" i="5"/>
  <c r="AN313" i="5"/>
  <c r="AY238" i="5"/>
  <c r="AX238" i="5"/>
  <c r="AW238" i="5"/>
  <c r="AN238" i="5"/>
  <c r="AY301" i="5"/>
  <c r="AX301" i="5"/>
  <c r="AW301" i="5"/>
  <c r="AN301" i="5"/>
  <c r="AY322" i="5"/>
  <c r="AX322" i="5"/>
  <c r="AW322" i="5"/>
  <c r="AN322" i="5"/>
  <c r="AY64" i="5"/>
  <c r="AX64" i="5"/>
  <c r="AW64" i="5"/>
  <c r="AN64" i="5"/>
  <c r="AY163" i="5"/>
  <c r="AX163" i="5"/>
  <c r="AW163" i="5"/>
  <c r="AN163" i="5"/>
  <c r="AY169" i="5"/>
  <c r="AX169" i="5"/>
  <c r="AW169" i="5"/>
  <c r="AN169" i="5"/>
  <c r="AY377" i="5"/>
  <c r="AX377" i="5"/>
  <c r="AW377" i="5"/>
  <c r="AN377" i="5"/>
  <c r="AY99" i="5"/>
  <c r="AX99" i="5"/>
  <c r="AW99" i="5"/>
  <c r="AN99" i="5"/>
  <c r="AY266" i="5"/>
  <c r="AX266" i="5"/>
  <c r="AW266" i="5"/>
  <c r="AN266" i="5"/>
  <c r="AY181" i="5"/>
  <c r="AX181" i="5"/>
  <c r="AW181" i="5"/>
  <c r="AN181" i="5"/>
  <c r="AY336" i="5"/>
  <c r="AX336" i="5"/>
  <c r="AW336" i="5"/>
  <c r="AN336" i="5"/>
  <c r="AY88" i="5"/>
  <c r="AX88" i="5"/>
  <c r="AW88" i="5"/>
  <c r="AN88" i="5"/>
  <c r="AY348" i="5"/>
  <c r="AX348" i="5"/>
  <c r="AW348" i="5"/>
  <c r="AN348" i="5"/>
  <c r="AY372" i="5"/>
  <c r="AX372" i="5"/>
  <c r="AW372" i="5"/>
  <c r="AN372" i="5"/>
  <c r="AY341" i="5"/>
  <c r="AX341" i="5"/>
  <c r="AW341" i="5"/>
  <c r="AN341" i="5"/>
  <c r="AY338" i="5"/>
  <c r="AX338" i="5"/>
  <c r="AW338" i="5"/>
  <c r="AN338" i="5"/>
  <c r="AY281" i="5"/>
  <c r="AX281" i="5"/>
  <c r="AW281" i="5"/>
  <c r="AN281" i="5"/>
  <c r="AY279" i="5"/>
  <c r="AX279" i="5"/>
  <c r="AW279" i="5"/>
  <c r="AN279" i="5"/>
  <c r="AY311" i="5"/>
  <c r="AX311" i="5"/>
  <c r="AW311" i="5"/>
  <c r="AN311" i="5"/>
  <c r="AY318" i="5"/>
  <c r="AX318" i="5"/>
  <c r="AW318" i="5"/>
  <c r="AN318" i="5"/>
  <c r="AY233" i="5"/>
  <c r="AX233" i="5"/>
  <c r="AW233" i="5"/>
  <c r="AN233" i="5"/>
  <c r="AY352" i="5"/>
  <c r="AX352" i="5"/>
  <c r="AW352" i="5"/>
  <c r="AN352" i="5"/>
  <c r="AY335" i="5"/>
  <c r="AX335" i="5"/>
  <c r="AW335" i="5"/>
  <c r="AN335" i="5"/>
  <c r="AY243" i="5"/>
  <c r="AX243" i="5"/>
  <c r="AW243" i="5"/>
  <c r="AN243" i="5"/>
  <c r="AY376" i="5"/>
  <c r="AX376" i="5"/>
  <c r="AW376" i="5"/>
  <c r="AN376" i="5"/>
  <c r="AY358" i="5"/>
  <c r="AX358" i="5"/>
  <c r="AW358" i="5"/>
  <c r="AN358" i="5"/>
  <c r="AY354" i="5"/>
  <c r="AX354" i="5"/>
  <c r="AW354" i="5"/>
  <c r="AN354" i="5"/>
  <c r="AY367" i="5"/>
  <c r="AX367" i="5"/>
  <c r="AW367" i="5"/>
  <c r="AN367" i="5"/>
  <c r="AY347" i="5"/>
  <c r="AX347" i="5"/>
  <c r="AW347" i="5"/>
  <c r="AN347" i="5"/>
  <c r="AY350" i="5"/>
  <c r="AX350" i="5"/>
  <c r="AW350" i="5"/>
  <c r="AN350" i="5"/>
  <c r="AY239" i="5"/>
  <c r="AX239" i="5"/>
  <c r="AW239" i="5"/>
  <c r="AN239" i="5"/>
  <c r="AY180" i="5"/>
  <c r="AX180" i="5"/>
  <c r="AW180" i="5"/>
  <c r="AN180" i="5"/>
  <c r="AY92" i="5"/>
  <c r="AX92" i="5"/>
  <c r="AW92" i="5"/>
  <c r="AN92" i="5"/>
  <c r="AY101" i="5"/>
  <c r="AX101" i="5"/>
  <c r="AW101" i="5"/>
  <c r="AN101" i="5"/>
  <c r="AX389" i="5"/>
  <c r="AX388" i="5"/>
  <c r="AY365" i="5"/>
  <c r="AX365" i="5"/>
  <c r="AW365" i="5"/>
  <c r="AN365" i="5"/>
  <c r="AY359" i="5"/>
  <c r="AX359" i="5"/>
  <c r="AW359" i="5"/>
  <c r="AN359" i="5"/>
  <c r="AY363" i="5"/>
  <c r="AX363" i="5"/>
  <c r="AW363" i="5"/>
  <c r="AN363" i="5"/>
  <c r="AY373" i="5"/>
  <c r="AX373" i="5"/>
  <c r="AW373" i="5"/>
  <c r="AN373" i="5"/>
  <c r="AY353" i="5"/>
  <c r="AX353" i="5"/>
  <c r="AW353" i="5"/>
  <c r="AN353" i="5"/>
  <c r="AY178" i="5"/>
  <c r="AX178" i="5"/>
  <c r="AW178" i="5"/>
  <c r="AN178" i="5"/>
  <c r="AY265" i="5"/>
  <c r="AX265" i="5"/>
  <c r="AW265" i="5"/>
  <c r="AN265" i="5"/>
  <c r="AY179" i="5"/>
  <c r="AX179" i="5"/>
  <c r="AW179" i="5"/>
  <c r="AN179" i="5"/>
  <c r="AY162" i="5"/>
  <c r="AX162" i="5"/>
  <c r="AW162" i="5"/>
  <c r="AN162" i="5"/>
  <c r="AY346" i="5"/>
  <c r="AX346" i="5"/>
  <c r="AW346" i="5"/>
  <c r="AN346" i="5"/>
  <c r="AY121" i="5"/>
  <c r="AX121" i="5"/>
  <c r="AW121" i="5"/>
  <c r="AN121" i="5"/>
  <c r="AY112" i="5"/>
  <c r="AX112" i="5"/>
  <c r="AW112" i="5"/>
  <c r="AN112" i="5"/>
  <c r="AY123" i="5"/>
  <c r="AX123" i="5"/>
  <c r="AW123" i="5"/>
  <c r="AN123" i="5"/>
  <c r="AY10" i="5"/>
  <c r="AX10" i="5"/>
  <c r="AW10" i="5"/>
  <c r="AN10" i="5"/>
  <c r="AY7" i="5"/>
  <c r="AX7" i="5"/>
  <c r="AW7" i="5"/>
  <c r="AN7" i="5"/>
  <c r="AY246" i="5"/>
  <c r="AX246" i="5"/>
  <c r="AW246" i="5"/>
  <c r="AN246" i="5"/>
  <c r="AY262" i="5"/>
  <c r="AX262" i="5"/>
  <c r="AW262" i="5"/>
  <c r="AN262" i="5"/>
  <c r="AY259" i="5"/>
  <c r="AX259" i="5"/>
  <c r="AW259" i="5"/>
  <c r="AN259" i="5"/>
  <c r="AY364" i="5"/>
  <c r="AX364" i="5"/>
  <c r="AW364" i="5"/>
  <c r="AN364" i="5"/>
  <c r="AY349" i="5"/>
  <c r="AX349" i="5"/>
  <c r="AW349" i="5"/>
  <c r="AN349" i="5"/>
  <c r="AY369" i="5"/>
  <c r="AX369" i="5"/>
  <c r="AW369" i="5"/>
  <c r="AN369" i="5"/>
  <c r="AY334" i="5"/>
  <c r="AX334" i="5"/>
  <c r="AW334" i="5"/>
  <c r="AN334" i="5"/>
  <c r="AY333" i="5"/>
  <c r="AX333" i="5"/>
  <c r="AW333" i="5"/>
  <c r="AN333" i="5"/>
  <c r="AY339" i="5"/>
  <c r="AX339" i="5"/>
  <c r="AW339" i="5"/>
  <c r="AN339" i="5"/>
  <c r="AY269" i="5"/>
  <c r="AX269" i="5"/>
  <c r="AW269" i="5"/>
  <c r="AN269" i="5"/>
  <c r="AY258" i="5"/>
  <c r="AX258" i="5"/>
  <c r="AW258" i="5"/>
  <c r="AN258" i="5"/>
  <c r="AY257" i="5"/>
  <c r="AX257" i="5"/>
  <c r="AW257" i="5"/>
  <c r="AN257" i="5"/>
  <c r="AY252" i="5"/>
  <c r="AX252" i="5"/>
  <c r="AW252" i="5"/>
  <c r="AN252" i="5"/>
  <c r="AY245" i="5"/>
  <c r="AX245" i="5"/>
  <c r="AW245" i="5"/>
  <c r="AN245" i="5"/>
  <c r="AY244" i="5"/>
  <c r="AX244" i="5"/>
  <c r="AW244" i="5"/>
  <c r="AN244" i="5"/>
  <c r="AY103" i="5"/>
  <c r="AX103" i="5"/>
  <c r="AW103" i="5"/>
  <c r="AN103" i="5"/>
  <c r="AY292" i="5"/>
  <c r="AX292" i="5"/>
  <c r="AW292" i="5"/>
  <c r="AN292" i="5"/>
  <c r="AY247" i="5"/>
  <c r="AX247" i="5"/>
  <c r="AW247" i="5"/>
  <c r="AN247" i="5"/>
  <c r="AY274" i="5"/>
  <c r="AX274" i="5"/>
  <c r="AW274" i="5"/>
  <c r="AN274" i="5"/>
  <c r="AY323" i="5"/>
  <c r="AX323" i="5"/>
  <c r="AW323" i="5"/>
  <c r="AN323" i="5"/>
  <c r="AY268" i="5"/>
  <c r="AX268" i="5"/>
  <c r="AW268" i="5"/>
  <c r="AN268" i="5"/>
  <c r="AY345" i="5"/>
  <c r="AX345" i="5"/>
  <c r="AW345" i="5"/>
  <c r="AN345" i="5"/>
  <c r="AY65" i="5"/>
  <c r="AX65" i="5"/>
  <c r="AW65" i="5"/>
  <c r="AN65" i="5"/>
  <c r="AY343" i="5"/>
  <c r="AX343" i="5"/>
  <c r="AW343" i="5"/>
  <c r="AN343" i="5"/>
  <c r="AY342" i="5"/>
  <c r="AX342" i="5"/>
  <c r="AW342" i="5"/>
  <c r="AN342" i="5"/>
  <c r="AY360" i="5"/>
  <c r="AX360" i="5"/>
  <c r="AW360" i="5"/>
  <c r="AN360" i="5"/>
  <c r="AY351" i="5"/>
  <c r="AX351" i="5"/>
  <c r="AW351" i="5"/>
  <c r="AN351" i="5"/>
  <c r="AY332" i="5"/>
  <c r="AX332" i="5"/>
  <c r="AW332" i="5"/>
  <c r="AN332" i="5"/>
  <c r="AY337" i="5"/>
  <c r="AX337" i="5"/>
  <c r="AW337" i="5"/>
  <c r="AN337" i="5"/>
  <c r="AY168" i="5"/>
  <c r="AX168" i="5"/>
  <c r="AW168" i="5"/>
  <c r="AN168" i="5"/>
  <c r="AY167" i="5"/>
  <c r="AX167" i="5"/>
  <c r="AW167" i="5"/>
  <c r="AN167" i="5"/>
  <c r="AY166" i="5"/>
  <c r="AX166" i="5"/>
  <c r="AW166" i="5"/>
  <c r="AN166" i="5"/>
  <c r="AY185" i="5"/>
  <c r="AX185" i="5"/>
  <c r="AW185" i="5"/>
  <c r="AN185" i="5"/>
  <c r="AY184" i="5"/>
  <c r="AX184" i="5"/>
  <c r="AW184" i="5"/>
  <c r="AN184" i="5"/>
  <c r="AY120" i="5"/>
  <c r="AX120" i="5"/>
  <c r="AW120" i="5"/>
  <c r="AN120" i="5"/>
  <c r="AY165" i="5"/>
  <c r="AX165" i="5"/>
  <c r="AW165" i="5"/>
  <c r="AN165" i="5"/>
  <c r="AY161" i="5"/>
  <c r="AX161" i="5"/>
  <c r="AW161" i="5"/>
  <c r="AN161" i="5"/>
  <c r="AY108" i="5"/>
  <c r="AX108" i="5"/>
  <c r="AW108" i="5"/>
  <c r="AN108" i="5"/>
  <c r="AY114" i="5"/>
  <c r="AX114" i="5"/>
  <c r="AW114" i="5"/>
  <c r="AN114" i="5"/>
  <c r="AY122" i="5"/>
  <c r="AX122" i="5"/>
  <c r="AW122" i="5"/>
  <c r="AN122" i="5"/>
  <c r="AY106" i="5"/>
  <c r="AX106" i="5"/>
  <c r="AW106" i="5"/>
  <c r="AN106" i="5"/>
  <c r="AY118" i="5"/>
  <c r="AX118" i="5"/>
  <c r="AW118" i="5"/>
  <c r="AN118" i="5"/>
  <c r="AY105" i="5"/>
  <c r="AX105" i="5"/>
  <c r="AW105" i="5"/>
  <c r="AN105" i="5"/>
  <c r="AY107" i="5"/>
  <c r="AX107" i="5"/>
  <c r="AW107" i="5"/>
  <c r="AN107" i="5"/>
  <c r="AY113" i="5"/>
  <c r="AX113" i="5"/>
  <c r="AW113" i="5"/>
  <c r="AN113" i="5"/>
  <c r="AY117" i="5"/>
  <c r="AX117" i="5"/>
  <c r="AW117" i="5"/>
  <c r="AN117" i="5"/>
  <c r="AY111" i="5"/>
  <c r="AX111" i="5"/>
  <c r="AW111" i="5"/>
  <c r="AN111" i="5"/>
  <c r="AY116" i="5"/>
  <c r="AX116" i="5"/>
  <c r="AW116" i="5"/>
  <c r="AN116" i="5"/>
  <c r="AY115" i="5"/>
  <c r="AX115" i="5"/>
  <c r="AW115" i="5"/>
  <c r="AN115" i="5"/>
  <c r="AY110" i="5"/>
  <c r="AX110" i="5"/>
  <c r="AW110" i="5"/>
  <c r="AN110" i="5"/>
  <c r="AY37" i="5"/>
  <c r="AX37" i="5"/>
  <c r="AW37" i="5"/>
  <c r="AN37" i="5"/>
  <c r="AY270" i="5"/>
  <c r="AX270" i="5"/>
  <c r="AW270" i="5"/>
  <c r="AN270" i="5"/>
  <c r="AY264" i="5"/>
  <c r="AX264" i="5"/>
  <c r="AW264" i="5"/>
  <c r="AN264" i="5"/>
  <c r="AY94" i="5"/>
  <c r="AX94" i="5"/>
  <c r="AW94" i="5"/>
  <c r="AN94" i="5"/>
  <c r="AY86" i="5"/>
  <c r="AX86" i="5"/>
  <c r="AW86" i="5"/>
  <c r="AN86" i="5"/>
  <c r="AY93" i="5"/>
  <c r="AX93" i="5"/>
  <c r="AW93" i="5"/>
  <c r="AN93" i="5"/>
  <c r="AY319" i="5"/>
  <c r="AX319" i="5"/>
  <c r="AW319" i="5"/>
  <c r="AN319" i="5"/>
  <c r="AY263" i="5"/>
  <c r="AX263" i="5"/>
  <c r="AW263" i="5"/>
  <c r="AN263" i="5"/>
  <c r="AX378" i="5"/>
  <c r="AY406" i="5"/>
  <c r="AX406" i="5"/>
  <c r="AW406" i="5"/>
  <c r="AN406" i="5"/>
  <c r="AY285" i="5"/>
  <c r="AX285" i="5"/>
  <c r="AW285" i="5"/>
  <c r="AN285" i="5"/>
  <c r="AY284" i="5"/>
  <c r="AX284" i="5"/>
  <c r="AW284" i="5"/>
  <c r="AN284" i="5"/>
  <c r="AY286" i="5"/>
  <c r="AX286" i="5"/>
  <c r="AW286" i="5"/>
  <c r="AN286" i="5"/>
  <c r="AY280" i="5"/>
  <c r="AX280" i="5"/>
  <c r="AW280" i="5"/>
  <c r="AN280" i="5"/>
  <c r="AY287" i="5"/>
  <c r="AX287" i="5"/>
  <c r="AW287" i="5"/>
  <c r="AN287" i="5"/>
  <c r="AY328" i="5"/>
  <c r="AX328" i="5"/>
  <c r="AW328" i="5"/>
  <c r="AN328" i="5"/>
  <c r="AY375" i="5"/>
  <c r="AX375" i="5"/>
  <c r="AW375" i="5"/>
  <c r="AN375" i="5"/>
  <c r="AY366" i="5"/>
  <c r="AX366" i="5"/>
  <c r="AW366" i="5"/>
  <c r="AN366" i="5"/>
  <c r="AY222" i="5"/>
  <c r="AX222" i="5"/>
  <c r="AW222" i="5"/>
  <c r="AN222" i="5"/>
  <c r="AY374" i="5"/>
  <c r="AX374" i="5"/>
  <c r="AW374" i="5"/>
  <c r="AN374" i="5"/>
  <c r="AY119" i="5"/>
  <c r="AX119" i="5"/>
  <c r="AW119" i="5"/>
  <c r="AN119" i="5"/>
  <c r="AY36" i="5"/>
  <c r="AX36" i="5"/>
  <c r="AW36" i="5"/>
  <c r="AN36" i="5"/>
  <c r="AX387" i="5"/>
  <c r="AY51" i="5"/>
  <c r="AX51" i="5"/>
  <c r="AW51" i="5"/>
  <c r="AN51" i="5"/>
  <c r="AX66" i="5"/>
  <c r="AW66" i="5"/>
  <c r="AN66" i="5"/>
  <c r="AY329" i="5"/>
  <c r="AX329" i="5"/>
  <c r="AW329" i="5"/>
  <c r="AN329" i="5"/>
  <c r="AY29" i="5"/>
  <c r="AX29" i="5"/>
  <c r="AW29" i="5"/>
  <c r="AN29" i="5"/>
  <c r="AY102" i="5"/>
  <c r="AX102" i="5"/>
  <c r="AW102" i="5"/>
  <c r="AN102" i="5"/>
  <c r="AY98" i="5"/>
  <c r="AX98" i="5"/>
  <c r="AW98" i="5"/>
  <c r="AN98" i="5"/>
  <c r="AY90" i="5"/>
  <c r="AX90" i="5"/>
  <c r="AW90" i="5"/>
  <c r="AN90" i="5"/>
  <c r="AY225" i="5"/>
  <c r="AX225" i="5"/>
  <c r="AW225" i="5"/>
  <c r="AN225" i="5"/>
  <c r="AY232" i="5"/>
  <c r="AX232" i="5"/>
  <c r="AW232" i="5"/>
  <c r="AN232" i="5"/>
  <c r="AY96" i="5"/>
  <c r="AX96" i="5"/>
  <c r="AW96" i="5"/>
  <c r="AN96" i="5"/>
  <c r="AY97" i="5"/>
  <c r="AX97" i="5"/>
  <c r="AW97" i="5"/>
  <c r="AN97" i="5"/>
  <c r="AY91" i="5"/>
  <c r="AX91" i="5"/>
  <c r="AW91" i="5"/>
  <c r="AN91" i="5"/>
  <c r="AY38" i="5"/>
  <c r="AX38" i="5"/>
  <c r="AW38" i="5"/>
  <c r="AN38" i="5"/>
  <c r="AY371" i="5"/>
  <c r="AX371" i="5"/>
  <c r="AW371" i="5"/>
  <c r="AN371" i="5"/>
  <c r="AY370" i="5"/>
  <c r="AX370" i="5"/>
  <c r="AW370" i="5"/>
  <c r="AN370" i="5"/>
  <c r="AY69" i="5"/>
  <c r="AX69" i="5"/>
  <c r="AW69" i="5"/>
  <c r="AN69" i="5"/>
  <c r="AY368" i="5"/>
  <c r="AX368" i="5"/>
  <c r="AW368" i="5"/>
  <c r="AN368" i="5"/>
  <c r="AY327" i="5"/>
  <c r="AX327" i="5"/>
  <c r="AW327" i="5"/>
  <c r="AN327" i="5"/>
  <c r="AY242" i="5"/>
  <c r="AX242" i="5"/>
  <c r="AW242" i="5"/>
  <c r="AN242" i="5"/>
  <c r="AY35" i="5"/>
  <c r="AX35" i="5"/>
  <c r="AW35" i="5"/>
  <c r="AN35" i="5"/>
  <c r="AY385" i="5"/>
  <c r="AX385" i="5"/>
  <c r="AW385" i="5"/>
  <c r="AN385" i="5"/>
  <c r="AY251" i="5"/>
  <c r="AX251" i="5"/>
  <c r="AW251" i="5"/>
  <c r="AN251" i="5"/>
  <c r="AY68" i="5"/>
  <c r="AX68" i="5"/>
  <c r="AW68" i="5"/>
  <c r="AN68" i="5"/>
  <c r="AY361" i="5"/>
  <c r="AX361" i="5"/>
  <c r="AW361" i="5"/>
  <c r="AN361" i="5"/>
  <c r="AY109" i="5"/>
  <c r="AX109" i="5"/>
  <c r="AW109" i="5"/>
  <c r="AN109" i="5"/>
  <c r="AY391" i="5"/>
  <c r="AX391" i="5"/>
  <c r="AW391" i="5"/>
  <c r="AN391" i="5"/>
  <c r="AY277" i="5"/>
  <c r="AX277" i="5"/>
  <c r="AW277" i="5"/>
  <c r="AN277" i="5"/>
  <c r="AY164" i="5"/>
  <c r="AX164" i="5"/>
  <c r="AW164" i="5"/>
  <c r="AN164" i="5"/>
  <c r="AY255" i="5"/>
  <c r="AX255" i="5"/>
  <c r="AW255" i="5"/>
  <c r="AN255" i="5"/>
  <c r="AY249" i="5"/>
  <c r="AX249" i="5"/>
  <c r="AW249" i="5"/>
  <c r="AN249" i="5"/>
  <c r="AY104" i="5"/>
  <c r="AX104" i="5"/>
  <c r="AW104" i="5"/>
  <c r="AN104" i="5"/>
  <c r="AY254" i="5"/>
  <c r="AX254" i="5"/>
  <c r="AW254" i="5"/>
  <c r="AN254" i="5"/>
  <c r="AY250" i="5"/>
  <c r="AX250" i="5"/>
  <c r="AW250" i="5"/>
  <c r="AN250" i="5"/>
  <c r="AY355" i="5"/>
  <c r="AX355" i="5"/>
  <c r="AW355" i="5"/>
  <c r="AN355" i="5"/>
  <c r="AY330" i="5"/>
  <c r="AX330" i="5"/>
  <c r="AW330" i="5"/>
  <c r="AN330" i="5"/>
  <c r="AY326" i="5"/>
  <c r="AX326" i="5"/>
  <c r="AW326" i="5"/>
  <c r="AN326" i="5"/>
  <c r="AY31" i="5"/>
  <c r="AX31" i="5"/>
  <c r="AW31" i="5"/>
  <c r="AN31" i="5"/>
  <c r="AY33" i="5"/>
  <c r="AX33" i="5"/>
  <c r="AW33" i="5"/>
  <c r="AN33" i="5"/>
  <c r="AY283" i="5"/>
  <c r="AX283" i="5"/>
  <c r="AW283" i="5"/>
  <c r="AN283" i="5"/>
  <c r="AY32" i="5"/>
  <c r="AX32" i="5"/>
  <c r="AW32" i="5"/>
  <c r="AN32" i="5"/>
  <c r="AY30" i="5"/>
  <c r="AX30" i="5"/>
  <c r="AW30" i="5"/>
  <c r="AN30" i="5"/>
  <c r="AG280" i="4"/>
  <c r="J4" i="3"/>
  <c r="J21" i="3"/>
  <c r="J14" i="3"/>
  <c r="J28" i="3"/>
  <c r="J35" i="3"/>
  <c r="AN17" i="5"/>
  <c r="AZ261" i="5"/>
  <c r="AZ299" i="5"/>
  <c r="AZ404" i="5"/>
  <c r="AZ323" i="5"/>
  <c r="AZ324" i="5"/>
  <c r="AZ50" i="5"/>
  <c r="AZ18" i="5"/>
  <c r="AZ294" i="5"/>
  <c r="AZ242" i="5"/>
  <c r="AZ57" i="5"/>
  <c r="AZ52" i="5"/>
  <c r="AZ171" i="5"/>
  <c r="AZ356" i="5"/>
  <c r="AZ86" i="5"/>
  <c r="AZ283" i="5"/>
  <c r="AZ55" i="5"/>
  <c r="AZ19" i="5"/>
  <c r="AZ288" i="5"/>
  <c r="AZ278" i="5"/>
  <c r="AZ63" i="5"/>
  <c r="AZ53" i="5"/>
  <c r="AZ58" i="5"/>
  <c r="AZ319" i="5"/>
  <c r="AZ37" i="5"/>
  <c r="AZ301" i="5"/>
  <c r="AZ170" i="5"/>
  <c r="AZ237" i="5"/>
  <c r="AZ290" i="5"/>
  <c r="AZ273" i="5"/>
  <c r="AZ322" i="5"/>
  <c r="AZ24" i="5"/>
  <c r="AZ310" i="5"/>
  <c r="AZ54" i="5"/>
  <c r="AZ312" i="5"/>
  <c r="AZ4" i="5"/>
  <c r="AZ265" i="5"/>
  <c r="AZ175" i="5"/>
  <c r="AZ279" i="5"/>
  <c r="AZ343" i="5"/>
  <c r="AZ23" i="5"/>
  <c r="AZ390" i="5"/>
  <c r="AZ296" i="5"/>
  <c r="AZ25" i="5"/>
  <c r="AZ249" i="5"/>
  <c r="AZ238" i="5"/>
  <c r="AZ289" i="5"/>
  <c r="AZ305" i="5"/>
  <c r="AZ275" i="5"/>
  <c r="AZ291" i="5"/>
  <c r="AZ90" i="5"/>
  <c r="AZ306" i="5"/>
  <c r="AZ388" i="5"/>
  <c r="AZ302" i="5"/>
  <c r="AZ87" i="5"/>
  <c r="AZ276" i="5"/>
  <c r="AZ177" i="5"/>
  <c r="AZ30" i="5"/>
  <c r="AZ389" i="5"/>
  <c r="AZ103" i="5"/>
  <c r="AZ266" i="5"/>
  <c r="AZ31" i="5"/>
  <c r="AZ246" i="5"/>
  <c r="AZ59" i="5"/>
  <c r="AZ351" i="5"/>
  <c r="AZ226" i="5"/>
  <c r="AZ272" i="5"/>
  <c r="AZ270" i="5"/>
  <c r="AZ345" i="5"/>
  <c r="AZ110" i="5"/>
  <c r="AZ337" i="5"/>
  <c r="AZ236" i="5"/>
  <c r="AZ386" i="5"/>
  <c r="AZ340" i="5"/>
  <c r="AZ65" i="5"/>
  <c r="AZ260" i="5"/>
  <c r="AZ163" i="5"/>
  <c r="AZ309" i="5"/>
  <c r="AZ298" i="5"/>
  <c r="AZ112" i="5"/>
  <c r="AZ100" i="5"/>
  <c r="AZ342" i="5"/>
  <c r="AZ251" i="5"/>
  <c r="AZ259" i="5"/>
  <c r="AZ293" i="5"/>
  <c r="AZ232" i="5"/>
  <c r="AZ353" i="5"/>
  <c r="AZ375" i="5"/>
  <c r="AZ374" i="5"/>
  <c r="AZ182" i="5"/>
  <c r="AZ104" i="5"/>
  <c r="AZ33" i="5"/>
  <c r="AZ179" i="5"/>
  <c r="AZ223" i="5"/>
  <c r="AZ178" i="5"/>
  <c r="AZ313" i="5"/>
  <c r="AZ387" i="5"/>
  <c r="AZ327" i="5"/>
  <c r="AZ373" i="5"/>
  <c r="AZ51" i="5"/>
  <c r="AZ94" i="5"/>
  <c r="AZ183" i="5"/>
  <c r="AZ56" i="5"/>
  <c r="AZ257" i="5"/>
  <c r="AZ258" i="5"/>
  <c r="AZ122" i="5"/>
  <c r="AZ295" i="5"/>
  <c r="AZ227" i="5"/>
  <c r="AZ264" i="5"/>
  <c r="AZ406" i="5"/>
  <c r="AZ231" i="5"/>
  <c r="AZ32" i="5"/>
  <c r="AZ367" i="5"/>
  <c r="AZ316" i="5"/>
  <c r="AZ338" i="5"/>
  <c r="AZ181" i="5"/>
  <c r="AZ308" i="5"/>
  <c r="AZ107" i="5"/>
  <c r="AZ233" i="5"/>
  <c r="AZ88" i="5"/>
  <c r="AZ292" i="5"/>
  <c r="AZ262" i="5"/>
  <c r="AZ335" i="5"/>
  <c r="AZ180" i="5"/>
  <c r="AZ234" i="5"/>
  <c r="AZ358" i="5"/>
  <c r="AZ113" i="5"/>
  <c r="AZ99" i="5"/>
  <c r="AZ230" i="5"/>
  <c r="AZ361" i="5"/>
  <c r="AZ379" i="5"/>
  <c r="AZ235" i="5"/>
  <c r="AZ318" i="5"/>
  <c r="AZ96" i="5"/>
  <c r="AZ118" i="5"/>
  <c r="AZ121" i="5"/>
  <c r="AZ101" i="5"/>
  <c r="AZ64" i="5"/>
  <c r="AZ185" i="5"/>
  <c r="AZ311" i="5"/>
  <c r="AZ117" i="5"/>
  <c r="AZ116" i="5"/>
  <c r="AZ60" i="5"/>
  <c r="AZ120" i="5"/>
  <c r="AZ245" i="5"/>
  <c r="AZ244" i="5"/>
  <c r="AZ229" i="5"/>
  <c r="AZ240" i="5"/>
  <c r="AZ334" i="5"/>
  <c r="AZ369" i="5"/>
  <c r="AZ105" i="5"/>
  <c r="AZ106" i="5"/>
  <c r="AZ329" i="5"/>
  <c r="AZ111" i="5"/>
  <c r="AZ93" i="5"/>
  <c r="AZ372" i="5"/>
  <c r="AZ89" i="5"/>
  <c r="AZ269" i="5"/>
  <c r="AZ362" i="5"/>
  <c r="AZ168" i="5"/>
  <c r="AZ364" i="5"/>
  <c r="AZ352" i="5"/>
  <c r="AZ252" i="5"/>
  <c r="AZ161" i="5"/>
  <c r="AZ162" i="5"/>
  <c r="AZ165" i="5"/>
  <c r="AZ34" i="5"/>
  <c r="AZ250" i="5"/>
  <c r="AZ355" i="5"/>
  <c r="AZ330" i="5"/>
  <c r="AZ41" i="5"/>
  <c r="AZ333" i="5"/>
  <c r="AZ98" i="5"/>
  <c r="AZ69" i="5"/>
  <c r="AZ167" i="5"/>
  <c r="AZ166" i="5"/>
  <c r="AZ267" i="5"/>
  <c r="AZ5" i="5"/>
  <c r="AZ97" i="5"/>
  <c r="AZ281" i="5"/>
  <c r="AZ61" i="5"/>
  <c r="AZ169" i="5"/>
  <c r="AZ45" i="5"/>
  <c r="AZ46" i="5"/>
  <c r="AZ115" i="5"/>
  <c r="AZ255" i="5"/>
  <c r="AZ349" i="5"/>
  <c r="AZ108" i="5"/>
  <c r="AZ360" i="5"/>
  <c r="AZ271" i="5"/>
  <c r="AZ263" i="5"/>
  <c r="AZ164" i="5"/>
  <c r="AZ123" i="5"/>
  <c r="AZ321" i="5"/>
  <c r="AZ363" i="5"/>
  <c r="AZ225" i="5"/>
  <c r="AZ91" i="5"/>
  <c r="AZ317" i="5"/>
  <c r="AZ114" i="5"/>
  <c r="AZ287" i="5"/>
  <c r="AZ326" i="5"/>
  <c r="AZ347" i="5"/>
  <c r="AZ365" i="5"/>
  <c r="AZ239" i="5"/>
  <c r="AZ119" i="5"/>
  <c r="AZ241" i="5"/>
  <c r="AZ371" i="5"/>
  <c r="AZ92" i="5"/>
  <c r="AZ328" i="5"/>
  <c r="AZ325" i="5"/>
  <c r="AZ268" i="5"/>
  <c r="AZ332" i="5"/>
  <c r="AZ285" i="5"/>
  <c r="AZ284" i="5"/>
  <c r="AZ315" i="5"/>
  <c r="AZ286" i="5"/>
  <c r="AZ280" i="5"/>
  <c r="AZ40" i="5"/>
  <c r="AZ346" i="5"/>
  <c r="AZ336" i="5"/>
  <c r="AZ368" i="5"/>
  <c r="AZ350" i="5"/>
  <c r="AZ254" i="5"/>
  <c r="AZ253" i="5"/>
  <c r="AZ359" i="5"/>
  <c r="AZ95" i="5"/>
  <c r="AZ348" i="5"/>
  <c r="AZ73" i="5"/>
  <c r="AZ12" i="5"/>
  <c r="AZ47" i="5"/>
  <c r="AZ28" i="5"/>
  <c r="AZ7" i="5"/>
  <c r="AZ222" i="5"/>
  <c r="AZ391" i="5"/>
  <c r="AZ320" i="5"/>
  <c r="AZ354" i="5"/>
  <c r="AZ68" i="5"/>
  <c r="AZ304" i="5"/>
  <c r="AZ366" i="5"/>
  <c r="AZ331" i="5"/>
  <c r="AZ2" i="5"/>
  <c r="AZ339" i="5"/>
  <c r="AZ11" i="5"/>
  <c r="AZ13" i="5"/>
  <c r="AZ62" i="5"/>
  <c r="AZ75" i="5"/>
  <c r="AZ385" i="5"/>
  <c r="AZ341" i="5"/>
  <c r="AZ39" i="5"/>
  <c r="AZ26" i="5"/>
  <c r="AZ381" i="5"/>
  <c r="AZ380" i="5"/>
  <c r="AZ228" i="5"/>
  <c r="AZ10" i="5"/>
  <c r="AZ248" i="5"/>
  <c r="AZ14" i="5"/>
  <c r="AZ48" i="5"/>
  <c r="AZ109" i="5"/>
  <c r="AZ102" i="5"/>
  <c r="AZ27" i="5"/>
  <c r="AZ83" i="5"/>
  <c r="AZ35" i="5"/>
  <c r="AZ377" i="5"/>
  <c r="AZ82" i="5"/>
  <c r="AZ383" i="5"/>
  <c r="AZ376" i="5"/>
  <c r="AZ243" i="5"/>
  <c r="AZ85" i="5"/>
  <c r="AZ80" i="5"/>
  <c r="AZ78" i="5"/>
  <c r="AZ77" i="5"/>
  <c r="AZ74" i="5"/>
  <c r="AZ72" i="5"/>
  <c r="AZ392" i="5"/>
  <c r="AZ36" i="5"/>
  <c r="AZ344" i="5"/>
  <c r="AZ297" i="5"/>
  <c r="AZ44" i="5"/>
  <c r="AZ49" i="5"/>
  <c r="AZ43" i="5"/>
  <c r="AZ256" i="5"/>
  <c r="AZ38" i="5"/>
  <c r="AZ405" i="5"/>
  <c r="AZ6" i="5"/>
  <c r="AZ16" i="5"/>
  <c r="AZ382" i="5"/>
  <c r="AZ176" i="5"/>
  <c r="AZ17" i="5"/>
  <c r="AZ84" i="5"/>
  <c r="AZ76" i="5"/>
  <c r="AZ8" i="5"/>
  <c r="AZ15" i="5"/>
  <c r="AZ20" i="5"/>
  <c r="AZ184" i="5"/>
  <c r="AZ314" i="5"/>
  <c r="AZ274" i="5"/>
  <c r="AZ378" i="5"/>
  <c r="AZ3" i="5"/>
  <c r="AZ282" i="5"/>
  <c r="AZ22" i="5"/>
  <c r="AZ9" i="5"/>
  <c r="AZ29" i="5"/>
  <c r="AZ21" i="5"/>
  <c r="AZ384" i="5"/>
  <c r="AZ172" i="5"/>
  <c r="AZ224" i="5"/>
  <c r="AZ81" i="5"/>
  <c r="AZ79" i="5"/>
  <c r="AZ71" i="5"/>
  <c r="AZ42" i="5"/>
  <c r="AZ173" i="5"/>
  <c r="AZ174" i="5"/>
  <c r="AZ247" i="5"/>
  <c r="Y13" i="4"/>
  <c r="Y52" i="4"/>
  <c r="Y167" i="4"/>
  <c r="Y168" i="4"/>
  <c r="X2" i="14"/>
  <c r="S2" i="14"/>
  <c r="T2" i="14"/>
  <c r="X146" i="4"/>
  <c r="X147" i="4"/>
  <c r="X161" i="4"/>
  <c r="X209" i="4"/>
  <c r="X213" i="4"/>
  <c r="X224" i="4"/>
  <c r="X228" i="4"/>
  <c r="X235" i="4"/>
  <c r="X237" i="4"/>
  <c r="X240" i="4"/>
  <c r="X241" i="4"/>
  <c r="X245" i="4"/>
  <c r="X257" i="4"/>
  <c r="X259" i="4"/>
  <c r="X261" i="4"/>
  <c r="X263" i="4"/>
  <c r="X266" i="4"/>
  <c r="W2" i="14"/>
  <c r="Z13" i="4"/>
  <c r="Z52" i="4"/>
  <c r="Z167" i="4"/>
  <c r="Z168" i="4"/>
  <c r="Y2" i="14"/>
  <c r="AK36" i="2"/>
</calcChain>
</file>

<file path=xl/connections.xml><?xml version="1.0" encoding="utf-8"?>
<connections xmlns="http://schemas.openxmlformats.org/spreadsheetml/2006/main">
  <connection id="1" name="closestHomologues" type="6" refreshedVersion="0" background="1" saveData="1">
    <textPr fileType="mac" sourceFile="/Users/David/.Trash/xtals_from_GPCRdb/closestHomologues.tsv" decimal="," thousands="." space="1" consecutive="1">
      <textFields count="2">
        <textField/>
        <textField/>
      </textFields>
    </textPr>
  </connection>
  <connection id="2" name="closestHomologues1" type="6" refreshedVersion="0" background="1" saveData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3" name="closestHomologues2" type="6" refreshedVersion="0" background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4" name="closestHomologues3" type="6" refreshedVersion="0" background="1" saveData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5" name="closestHomologues4" type="6" refreshedVersion="0" background="1" saveData="1">
    <textPr fileType="mac" sourceFile="/Users/David/Dropbox (GloriamGroup)/Projects/GPCRDB/GPCRdb_Proj_Seq_Alignments/Alignment_Input/2.Xtal_Template_Search/closestHomologues.tsv" decimal="," thousands="." space="1" consecutive="1">
      <textFields count="2">
        <textField/>
        <textField/>
      </textFields>
    </textPr>
  </connection>
  <connection id="6" name="closestHomologues41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7" name="closestHomologues42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8" name="closestHomologues43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9" name="closestHomologues44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0" name="closestHomologues45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1" name="closestHomologues46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2" name="closestHomologues47" type="6" refreshedVersion="0" background="1" saveData="1">
    <textPr fileType="mac" sourceFile="/Users/David/Dropbox (GloriamGroup)/Projects/GPCRDB/GPCRdb_Proj_Seq_Alignments/1.Annotation_of_structures--Kasper/Xtal_Template_Search/closestHomologues.tsv" decimal="," thousands="." space="1" consecutive="1">
      <textFields count="2">
        <textField/>
        <textField/>
      </textFields>
    </textPr>
  </connection>
  <connection id="13" name="closestHomologues48" type="6" refreshedVersion="0" background="1" saveData="1">
    <textPr fileType="mac" sourceFile="/Users/David/Dropbox (GloriamGroup)/Projects/GPCRDB/GPCRdb_Proj_Seq_Alignments/1.Annotation_of_structures--Kasper/Xtal_Template_Search/closestHomologues.tsv" decimal="," thousands="." space="1" consecutive="1">
      <textFields count="2">
        <textField/>
        <textField/>
      </textFields>
    </textPr>
  </connection>
  <connection id="14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15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<sst xmlns="http://schemas.openxmlformats.org/spreadsheetml/2006/main" count="16599" uniqueCount="1567">
  <si>
    <t>LigType</t>
  </si>
  <si>
    <t>Seg</t>
  </si>
  <si>
    <t>x50</t>
  </si>
  <si>
    <t>!dist1</t>
  </si>
  <si>
    <t>!dist2</t>
  </si>
  <si>
    <t>!dist3</t>
  </si>
  <si>
    <t>!dist4</t>
  </si>
  <si>
    <t>!dist5</t>
  </si>
  <si>
    <t>!dist6</t>
  </si>
  <si>
    <t>A</t>
  </si>
  <si>
    <t>Aminergic</t>
  </si>
  <si>
    <t>TM1</t>
  </si>
  <si>
    <t>1x29</t>
  </si>
  <si>
    <t>1x60</t>
  </si>
  <si>
    <t>ICL1</t>
  </si>
  <si>
    <t>12x48</t>
  </si>
  <si>
    <t>12x52</t>
  </si>
  <si>
    <t>TM2</t>
  </si>
  <si>
    <t>2x38</t>
  </si>
  <si>
    <t>2x66</t>
  </si>
  <si>
    <t>2x551</t>
  </si>
  <si>
    <t>ECL1</t>
  </si>
  <si>
    <t>Ar_stacking</t>
  </si>
  <si>
    <t>23x48</t>
  </si>
  <si>
    <t>23x53</t>
  </si>
  <si>
    <t>TM3</t>
  </si>
  <si>
    <t>3x22</t>
  </si>
  <si>
    <t>3x56</t>
  </si>
  <si>
    <t>ICL2</t>
  </si>
  <si>
    <t>34x50</t>
  </si>
  <si>
    <t>34x57</t>
  </si>
  <si>
    <t>TM4</t>
  </si>
  <si>
    <t>4x39</t>
  </si>
  <si>
    <t>4x64</t>
  </si>
  <si>
    <t>4x60</t>
  </si>
  <si>
    <t>ECL2</t>
  </si>
  <si>
    <t>Disordered</t>
  </si>
  <si>
    <t>45x50</t>
  </si>
  <si>
    <t>45x52</t>
  </si>
  <si>
    <t>TM5</t>
  </si>
  <si>
    <t>5x37</t>
  </si>
  <si>
    <t>5x76</t>
  </si>
  <si>
    <t>5x67</t>
  </si>
  <si>
    <t>5x461</t>
  </si>
  <si>
    <t>TM6</t>
  </si>
  <si>
    <t>6x24</t>
  </si>
  <si>
    <t>6x31</t>
  </si>
  <si>
    <t>6x58</t>
  </si>
  <si>
    <t>TM7</t>
  </si>
  <si>
    <t>7x31</t>
  </si>
  <si>
    <t>7x57</t>
  </si>
  <si>
    <t>7x44</t>
  </si>
  <si>
    <t>H8</t>
  </si>
  <si>
    <t>8x48</t>
  </si>
  <si>
    <t>8x58</t>
  </si>
  <si>
    <t>1x33</t>
  </si>
  <si>
    <t>1x411</t>
  </si>
  <si>
    <t>3x23</t>
  </si>
  <si>
    <t>Distorted</t>
  </si>
  <si>
    <t>4x58</t>
  </si>
  <si>
    <t>6x28</t>
  </si>
  <si>
    <t>6x61</t>
  </si>
  <si>
    <t>7x27</t>
  </si>
  <si>
    <t>Adenosine</t>
  </si>
  <si>
    <t>Repr_Active_State</t>
  </si>
  <si>
    <t>1x28</t>
  </si>
  <si>
    <t>2x65</t>
  </si>
  <si>
    <t>beta-sheet</t>
  </si>
  <si>
    <t>23x49</t>
  </si>
  <si>
    <t>34x56</t>
  </si>
  <si>
    <t>4x62</t>
  </si>
  <si>
    <t>Multiple</t>
  </si>
  <si>
    <t>5x74</t>
  </si>
  <si>
    <t>5x69</t>
  </si>
  <si>
    <t>5x401</t>
  </si>
  <si>
    <t>5x451</t>
  </si>
  <si>
    <t>6x21</t>
  </si>
  <si>
    <t>8x66</t>
  </si>
  <si>
    <t>Repr_Inactive</t>
  </si>
  <si>
    <t>8x60</t>
  </si>
  <si>
    <t>8x61</t>
  </si>
  <si>
    <t>4x63</t>
  </si>
  <si>
    <t>5x75</t>
  </si>
  <si>
    <t>5x63</t>
  </si>
  <si>
    <t>6x27</t>
  </si>
  <si>
    <t>8x59</t>
  </si>
  <si>
    <t>1x32</t>
  </si>
  <si>
    <t>6x32</t>
  </si>
  <si>
    <t>5x66</t>
  </si>
  <si>
    <t>1x26</t>
  </si>
  <si>
    <t>5x70</t>
  </si>
  <si>
    <t>6x29</t>
  </si>
  <si>
    <t>1x31</t>
  </si>
  <si>
    <t>5x65</t>
  </si>
  <si>
    <t>Gs</t>
  </si>
  <si>
    <t>Peptide</t>
  </si>
  <si>
    <t>1x30</t>
  </si>
  <si>
    <t>4x35</t>
  </si>
  <si>
    <t>4x57</t>
  </si>
  <si>
    <t>5x32</t>
  </si>
  <si>
    <t>5x35</t>
  </si>
  <si>
    <t>5x68</t>
  </si>
  <si>
    <t>6x30</t>
  </si>
  <si>
    <t>6x63</t>
  </si>
  <si>
    <t>7x24</t>
  </si>
  <si>
    <t>8x47</t>
  </si>
  <si>
    <t>1x27</t>
  </si>
  <si>
    <t>6x60</t>
  </si>
  <si>
    <t>7x25</t>
  </si>
  <si>
    <t>34x62</t>
  </si>
  <si>
    <t>4x43</t>
  </si>
  <si>
    <t>5x33</t>
  </si>
  <si>
    <t>5x64</t>
  </si>
  <si>
    <t>6x62</t>
  </si>
  <si>
    <t>7x51</t>
  </si>
  <si>
    <t>1x37</t>
  </si>
  <si>
    <t>34x58</t>
  </si>
  <si>
    <t>Lipid</t>
  </si>
  <si>
    <t>1x63</t>
  </si>
  <si>
    <t>4x40</t>
  </si>
  <si>
    <t>6x451</t>
  </si>
  <si>
    <t>7x32</t>
  </si>
  <si>
    <t>4x56</t>
  </si>
  <si>
    <t>2x62</t>
  </si>
  <si>
    <t>23x47</t>
  </si>
  <si>
    <t>23x501</t>
  </si>
  <si>
    <t>Other</t>
  </si>
  <si>
    <t>34x53</t>
  </si>
  <si>
    <t>4x36</t>
  </si>
  <si>
    <t>-</t>
  </si>
  <si>
    <t>7x34</t>
  </si>
  <si>
    <t>1x58</t>
  </si>
  <si>
    <t>2x34</t>
  </si>
  <si>
    <t>34x59</t>
  </si>
  <si>
    <t>6x57</t>
  </si>
  <si>
    <t>1x57</t>
  </si>
  <si>
    <t>4x42</t>
  </si>
  <si>
    <t>1x23</t>
  </si>
  <si>
    <t>6x23</t>
  </si>
  <si>
    <t>7x28</t>
  </si>
  <si>
    <t>1x24</t>
  </si>
  <si>
    <t>8x53</t>
  </si>
  <si>
    <t>34x54</t>
  </si>
  <si>
    <t>4x37</t>
  </si>
  <si>
    <t>3x55</t>
  </si>
  <si>
    <t>5x72</t>
  </si>
  <si>
    <t>5x61</t>
  </si>
  <si>
    <t>6x25</t>
  </si>
  <si>
    <t>GalphaCT</t>
  </si>
  <si>
    <t>4x59</t>
  </si>
  <si>
    <t>5x78</t>
  </si>
  <si>
    <t>6x18</t>
  </si>
  <si>
    <t>4x65</t>
  </si>
  <si>
    <t>other</t>
  </si>
  <si>
    <t>6x64</t>
  </si>
  <si>
    <t>7x56</t>
  </si>
  <si>
    <t>12x49</t>
  </si>
  <si>
    <t>3x19</t>
  </si>
  <si>
    <t>5x30</t>
  </si>
  <si>
    <t>6x35</t>
  </si>
  <si>
    <t>7x53</t>
  </si>
  <si>
    <t>2x63</t>
  </si>
  <si>
    <t>No/PartialCoord/NoCoord</t>
  </si>
  <si>
    <t>1x25</t>
  </si>
  <si>
    <t>3x25</t>
  </si>
  <si>
    <t>5x34</t>
  </si>
  <si>
    <t>8x62</t>
  </si>
  <si>
    <t>2x64</t>
  </si>
  <si>
    <t>4x68</t>
  </si>
  <si>
    <t>4x491</t>
  </si>
  <si>
    <t>4x52</t>
  </si>
  <si>
    <t>5x39</t>
  </si>
  <si>
    <t>6x53</t>
  </si>
  <si>
    <t>7x55</t>
  </si>
  <si>
    <t>8x70</t>
  </si>
  <si>
    <t>1x19</t>
  </si>
  <si>
    <t>3x18</t>
  </si>
  <si>
    <t>4x45</t>
  </si>
  <si>
    <t>5x36</t>
  </si>
  <si>
    <t>5x71</t>
  </si>
  <si>
    <t>?</t>
  </si>
  <si>
    <t>4x41</t>
  </si>
  <si>
    <t>5x41</t>
  </si>
  <si>
    <t>6x56</t>
  </si>
  <si>
    <t>C</t>
  </si>
  <si>
    <t>1x34</t>
  </si>
  <si>
    <t>2x39</t>
  </si>
  <si>
    <t>2x61</t>
  </si>
  <si>
    <t>3x54</t>
  </si>
  <si>
    <t>Unknown</t>
  </si>
  <si>
    <t>beta-sheet_Class_C</t>
  </si>
  <si>
    <t>6x33</t>
  </si>
  <si>
    <t>7x35</t>
  </si>
  <si>
    <t>7x64</t>
  </si>
  <si>
    <t>7x531</t>
  </si>
  <si>
    <t>8x65</t>
  </si>
  <si>
    <t>3x59</t>
  </si>
  <si>
    <t>F</t>
  </si>
  <si>
    <t>Protein</t>
  </si>
  <si>
    <t>12x47</t>
  </si>
  <si>
    <t>2x40</t>
  </si>
  <si>
    <t>Helix_and_B-Sheet</t>
  </si>
  <si>
    <t>6x75</t>
  </si>
  <si>
    <t>2x41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</si>
  <si>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</si>
  <si>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</si>
  <si>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</si>
  <si>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</si>
  <si>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</si>
  <si>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</si>
  <si>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</si>
  <si>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</si>
  <si>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AGTR1_human</t>
  </si>
  <si>
    <t>crfr1_human</t>
  </si>
  <si>
    <t>LPAR1_human</t>
  </si>
  <si>
    <t>P2RY1_human</t>
  </si>
  <si>
    <t>P2Y12_human</t>
  </si>
  <si>
    <t>S1PR1_human</t>
  </si>
  <si>
    <t>ACM1_human</t>
  </si>
  <si>
    <t>ACM2_human</t>
  </si>
  <si>
    <t>ACM4_human</t>
  </si>
  <si>
    <t>CCR5_human</t>
  </si>
  <si>
    <t>DRD3_human</t>
  </si>
  <si>
    <t>grm1_human</t>
  </si>
  <si>
    <t>grm5_human</t>
  </si>
  <si>
    <t>HRH1_human</t>
  </si>
  <si>
    <t>OPRD_human</t>
  </si>
  <si>
    <t>OPRK_human</t>
  </si>
  <si>
    <t>OPSD_human</t>
  </si>
  <si>
    <t>PAR1_human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</si>
  <si>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</si>
  <si>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</si>
  <si>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</si>
  <si>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</si>
  <si>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</si>
  <si>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</si>
  <si>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</si>
  <si>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</si>
  <si>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</si>
  <si>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4BOU</t>
  </si>
  <si>
    <t>4L6R</t>
  </si>
  <si>
    <t>4PHU</t>
  </si>
  <si>
    <t>4PxZ</t>
  </si>
  <si>
    <t>quid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</si>
  <si>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</si>
  <si>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</si>
  <si>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</si>
  <si>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</si>
  <si>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</si>
  <si>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</si>
  <si>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</si>
  <si>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</si>
  <si>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</si>
  <si>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</si>
  <si>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</si>
  <si>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</si>
  <si>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</si>
  <si>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</si>
  <si>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</si>
  <si>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</si>
  <si>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</si>
  <si>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</si>
  <si>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</si>
  <si>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</si>
  <si>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</si>
  <si>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</si>
  <si>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</si>
  <si>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</si>
  <si>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</si>
  <si>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</si>
  <si>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</si>
  <si>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</si>
  <si>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</si>
  <si>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</si>
  <si>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4xNV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</si>
  <si>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</si>
  <si>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</si>
  <si>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</si>
  <si>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</si>
  <si>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</si>
  <si>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</si>
  <si>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</si>
  <si>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</si>
  <si>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</si>
  <si>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</si>
  <si>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</si>
  <si>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</si>
  <si>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4xT1</t>
  </si>
  <si>
    <t>4K5Y</t>
  </si>
  <si>
    <t>4OR2</t>
  </si>
  <si>
    <t>2Z73</t>
  </si>
  <si>
    <t>OPSD_todpa</t>
  </si>
  <si>
    <t>Cl</t>
  </si>
  <si>
    <t>!Repr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</si>
  <si>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</si>
  <si>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</si>
  <si>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</si>
  <si>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</si>
  <si>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</si>
  <si>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</si>
  <si>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</si>
  <si>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</si>
  <si>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</si>
  <si>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</si>
  <si>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</si>
  <si>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</si>
  <si>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</si>
  <si>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</si>
  <si>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</si>
  <si>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</si>
  <si>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</si>
  <si>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</si>
  <si>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</si>
  <si>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</si>
  <si>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</si>
  <si>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</si>
  <si>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</si>
  <si>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</si>
  <si>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</si>
  <si>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</si>
  <si>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</si>
  <si>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</si>
  <si>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</si>
  <si>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</si>
  <si>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</si>
  <si>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</si>
  <si>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</si>
  <si>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</si>
  <si>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</si>
  <si>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</si>
  <si>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</si>
  <si>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</si>
  <si>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</si>
  <si>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</si>
  <si>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</si>
  <si>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</si>
  <si>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</si>
  <si>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</si>
  <si>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</si>
  <si>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</si>
  <si>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</si>
  <si>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</si>
  <si>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</si>
  <si>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</si>
  <si>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</si>
  <si>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</si>
  <si>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</si>
  <si>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</si>
  <si>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</si>
  <si>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</si>
  <si>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</si>
  <si>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</si>
  <si>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</si>
  <si>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</si>
  <si>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</si>
  <si>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</si>
  <si>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</si>
  <si>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</si>
  <si>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</si>
  <si>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</si>
  <si>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</si>
  <si>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</si>
  <si>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</si>
  <si>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</si>
  <si>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</si>
  <si>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</si>
  <si>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</si>
  <si>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</si>
  <si>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</si>
  <si>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</si>
  <si>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</si>
  <si>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</si>
  <si>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</si>
  <si>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</si>
  <si>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</si>
  <si>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</si>
  <si>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</si>
  <si>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</si>
  <si>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</si>
  <si>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</si>
  <si>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</si>
  <si>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</si>
  <si>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</si>
  <si>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</si>
  <si>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</si>
  <si>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</si>
  <si>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</si>
  <si>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</si>
  <si>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</si>
  <si>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</si>
  <si>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</si>
  <si>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</si>
  <si>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</si>
  <si>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</si>
  <si>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</si>
  <si>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</si>
  <si>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</si>
  <si>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</si>
  <si>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</si>
  <si>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</si>
  <si>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</si>
  <si>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</si>
  <si>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</si>
  <si>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</si>
  <si>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</si>
  <si>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</si>
  <si>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</si>
  <si>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</si>
  <si>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</si>
  <si>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</si>
  <si>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</si>
  <si>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</si>
  <si>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</si>
  <si>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</si>
  <si>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</si>
  <si>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</si>
  <si>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</si>
  <si>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</si>
  <si>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</si>
  <si>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</si>
  <si>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</si>
  <si>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</si>
  <si>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</si>
  <si>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</si>
  <si>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</si>
  <si>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</si>
  <si>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</si>
  <si>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</si>
  <si>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</si>
  <si>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</si>
  <si>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</si>
  <si>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</si>
  <si>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</si>
  <si>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</si>
  <si>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</si>
  <si>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</si>
  <si>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</si>
  <si>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</si>
  <si>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</si>
  <si>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</si>
  <si>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</si>
  <si>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</si>
  <si>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</si>
  <si>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</si>
  <si>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</si>
  <si>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</si>
  <si>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</si>
  <si>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</si>
  <si>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</si>
  <si>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</si>
  <si>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</si>
  <si>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</si>
  <si>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</si>
  <si>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</si>
  <si>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</si>
  <si>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</si>
  <si>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</si>
  <si>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</si>
  <si>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</si>
  <si>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</si>
  <si>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</si>
  <si>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</si>
  <si>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</si>
  <si>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</si>
  <si>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</si>
  <si>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</si>
  <si>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</si>
  <si>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</si>
  <si>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</si>
  <si>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</si>
  <si>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</si>
  <si>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</si>
  <si>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</si>
  <si>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</si>
  <si>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</si>
  <si>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</si>
  <si>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</si>
  <si>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</si>
  <si>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</si>
  <si>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</si>
  <si>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</si>
  <si>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</si>
  <si>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</si>
  <si>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</si>
  <si>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</si>
  <si>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</si>
  <si>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</si>
  <si>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</si>
  <si>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</si>
  <si>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</si>
  <si>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</si>
  <si>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</si>
  <si>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</si>
  <si>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</si>
  <si>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</si>
  <si>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</si>
  <si>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</si>
  <si>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</si>
  <si>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</si>
  <si>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</si>
  <si>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</si>
  <si>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</si>
  <si>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</si>
  <si>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</si>
  <si>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</si>
  <si>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</si>
  <si>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</si>
  <si>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</si>
  <si>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</si>
  <si>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</si>
  <si>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</si>
  <si>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</si>
  <si>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</si>
  <si>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</si>
  <si>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</si>
  <si>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</si>
  <si>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</si>
  <si>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</si>
  <si>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</si>
  <si>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</si>
  <si>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</si>
  <si>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</si>
  <si>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</si>
  <si>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</si>
  <si>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</si>
  <si>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</si>
  <si>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</si>
  <si>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</si>
  <si>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</si>
  <si>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</si>
  <si>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</si>
  <si>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</si>
  <si>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</si>
  <si>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</si>
  <si>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</si>
  <si>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</si>
  <si>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</si>
  <si>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</si>
  <si>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</si>
  <si>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</si>
  <si>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</si>
  <si>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</si>
  <si>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</si>
  <si>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</si>
  <si>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</si>
  <si>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</si>
  <si>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</si>
  <si>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</si>
  <si>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</si>
  <si>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</si>
  <si>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</si>
  <si>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</si>
  <si>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</si>
  <si>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</si>
  <si>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</si>
  <si>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</si>
  <si>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</si>
  <si>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</si>
  <si>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</si>
  <si>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</si>
  <si>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</si>
  <si>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</si>
  <si>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</si>
  <si>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</si>
  <si>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</si>
  <si>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</si>
  <si>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</si>
  <si>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</si>
  <si>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</si>
  <si>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</si>
  <si>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</si>
  <si>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</si>
  <si>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</si>
  <si>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</si>
  <si>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</si>
  <si>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</si>
  <si>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</si>
  <si>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</si>
  <si>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</si>
  <si>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</si>
  <si>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</si>
  <si>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</si>
  <si>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</si>
  <si>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</si>
  <si>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</si>
  <si>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</si>
  <si>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</si>
  <si>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</si>
  <si>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</si>
  <si>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</si>
  <si>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</si>
  <si>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</si>
  <si>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</si>
  <si>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</si>
  <si>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</si>
  <si>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</si>
  <si>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</si>
  <si>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</si>
  <si>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</si>
  <si>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</si>
  <si>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</si>
  <si>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</si>
  <si>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</si>
  <si>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</si>
  <si>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</si>
  <si>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</si>
  <si>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</si>
  <si>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</si>
  <si>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</si>
  <si>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</si>
  <si>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</si>
  <si>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</si>
  <si>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</si>
  <si>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</si>
  <si>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</si>
  <si>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</si>
  <si>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</si>
  <si>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</si>
  <si>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</si>
  <si>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</si>
  <si>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</si>
  <si>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</si>
  <si>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</si>
  <si>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</si>
  <si>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</si>
  <si>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</si>
  <si>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</si>
  <si>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</si>
  <si>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</si>
  <si>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</si>
  <si>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gp126_human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</si>
  <si>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</si>
  <si>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</si>
  <si>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</si>
  <si>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</si>
  <si>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</si>
  <si>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</si>
  <si>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</si>
  <si>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</si>
  <si>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</si>
  <si>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</si>
  <si>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</si>
  <si>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</si>
  <si>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</si>
  <si>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</si>
  <si>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</si>
  <si>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</si>
  <si>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</si>
  <si>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</si>
  <si>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</si>
  <si>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</si>
  <si>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</si>
  <si>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</si>
  <si>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</si>
  <si>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</si>
  <si>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</si>
  <si>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</si>
  <si>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</si>
  <si>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</si>
  <si>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</si>
  <si>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</si>
  <si>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</si>
  <si>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</si>
  <si>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</si>
  <si>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</si>
  <si>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</si>
  <si>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</si>
  <si>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</si>
  <si>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</si>
  <si>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</si>
  <si>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</si>
  <si>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</si>
  <si>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</si>
  <si>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</si>
  <si>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</si>
  <si>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</si>
  <si>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</si>
  <si>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</si>
  <si>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</si>
  <si>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</si>
  <si>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</si>
  <si>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</si>
  <si>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</si>
  <si>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</si>
  <si>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</si>
  <si>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</si>
  <si>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</si>
  <si>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</si>
  <si>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</si>
  <si>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</si>
  <si>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</si>
  <si>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</si>
  <si>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</si>
  <si>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</si>
  <si>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</si>
  <si>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</si>
  <si>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</si>
  <si>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</si>
  <si>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</si>
  <si>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</si>
  <si>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</si>
  <si>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</si>
  <si>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</si>
  <si>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</si>
  <si>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</si>
  <si>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</si>
  <si>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</si>
  <si>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</si>
  <si>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</si>
  <si>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</si>
  <si>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</si>
  <si>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</si>
  <si>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</si>
  <si>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</si>
  <si>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</si>
  <si>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</si>
  <si>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</si>
  <si>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</si>
  <si>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</si>
  <si>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</si>
  <si>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</si>
  <si>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</si>
  <si>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</si>
  <si>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</si>
  <si>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</si>
  <si>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</si>
  <si>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</si>
  <si>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</si>
  <si>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</si>
  <si>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</si>
  <si>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</si>
  <si>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</si>
  <si>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</si>
  <si>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</si>
  <si>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</si>
  <si>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</si>
  <si>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</si>
  <si>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</si>
  <si>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</si>
  <si>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</si>
  <si>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</si>
  <si>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</si>
  <si>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</si>
  <si>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</si>
  <si>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</si>
  <si>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</si>
  <si>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</si>
  <si>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</si>
  <si>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</si>
  <si>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</si>
  <si>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</si>
  <si>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</si>
  <si>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</si>
  <si>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</si>
  <si>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</si>
  <si>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</si>
  <si>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</si>
  <si>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</si>
  <si>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</si>
  <si>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</si>
  <si>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</si>
  <si>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</si>
  <si>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</si>
  <si>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</si>
  <si>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</si>
  <si>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</si>
  <si>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</si>
  <si>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</si>
  <si>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</si>
  <si>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</si>
  <si>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</si>
  <si>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</si>
  <si>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</si>
  <si>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</si>
  <si>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</si>
  <si>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</si>
  <si>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</si>
  <si>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</si>
  <si>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</si>
  <si>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</si>
  <si>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</si>
  <si>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</si>
  <si>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</si>
  <si>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</si>
  <si>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</si>
  <si>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</si>
  <si>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</si>
  <si>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</si>
  <si>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</si>
  <si>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</si>
  <si>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</si>
  <si>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</si>
  <si>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</si>
  <si>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</si>
  <si>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</si>
  <si>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</si>
  <si>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</si>
  <si>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</si>
  <si>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</si>
  <si>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</si>
  <si>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</si>
  <si>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</si>
  <si>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</si>
  <si>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</si>
  <si>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</si>
  <si>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</si>
  <si>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</si>
  <si>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</si>
  <si>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</si>
  <si>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</si>
  <si>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</si>
  <si>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</si>
  <si>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</si>
  <si>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</si>
  <si>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</si>
  <si>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</si>
  <si>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</si>
  <si>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</si>
  <si>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</si>
  <si>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</si>
  <si>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</si>
  <si>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</si>
  <si>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</si>
  <si>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</si>
  <si>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</si>
  <si>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</si>
  <si>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</si>
  <si>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</si>
  <si>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</si>
  <si>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</si>
  <si>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</si>
  <si>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</si>
  <si>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</si>
  <si>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</si>
  <si>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</si>
  <si>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</si>
  <si>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</si>
  <si>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</si>
  <si>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</si>
  <si>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</si>
  <si>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</si>
  <si>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</si>
  <si>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</si>
  <si>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</si>
  <si>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</si>
  <si>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</si>
  <si>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</si>
  <si>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</si>
  <si>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</si>
  <si>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</si>
  <si>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</si>
  <si>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</si>
  <si>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</si>
  <si>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</si>
  <si>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</si>
  <si>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</si>
  <si>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</si>
  <si>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</si>
  <si>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</si>
  <si>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</si>
  <si>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</si>
  <si>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</si>
  <si>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</si>
  <si>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</si>
  <si>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</si>
  <si>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</si>
  <si>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</si>
  <si>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</si>
  <si>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</si>
  <si>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</si>
  <si>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</si>
  <si>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</si>
  <si>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</si>
  <si>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</si>
  <si>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</si>
  <si>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</si>
  <si>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</si>
  <si>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</si>
  <si>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</si>
  <si>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</si>
  <si>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</si>
  <si>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</si>
  <si>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</si>
  <si>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</si>
  <si>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</si>
  <si>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</si>
  <si>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</si>
  <si>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</si>
  <si>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</si>
  <si>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</si>
  <si>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</si>
  <si>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</si>
  <si>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</si>
  <si>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</si>
  <si>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</si>
  <si>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</si>
  <si>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</si>
  <si>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</si>
  <si>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</si>
  <si>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</si>
  <si>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</si>
  <si>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</si>
  <si>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</si>
  <si>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</si>
  <si>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</si>
  <si>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</si>
  <si>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</si>
  <si>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</si>
  <si>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</si>
  <si>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</si>
  <si>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</si>
  <si>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</si>
  <si>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</si>
  <si>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</si>
  <si>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</si>
  <si>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</si>
  <si>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</si>
  <si>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</si>
  <si>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</si>
  <si>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</si>
  <si>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</si>
  <si>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</si>
  <si>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</si>
  <si>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</si>
  <si>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</si>
  <si>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</si>
  <si>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</si>
  <si>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</si>
  <si>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</si>
  <si>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</si>
  <si>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</si>
  <si>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</si>
  <si>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</si>
  <si>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</si>
  <si>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</si>
  <si>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</si>
  <si>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</si>
  <si>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</si>
  <si>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</si>
  <si>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</si>
  <si>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</si>
  <si>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</si>
  <si>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</si>
  <si>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</si>
  <si>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</si>
  <si>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</si>
  <si>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</si>
  <si>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</si>
  <si>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</si>
  <si>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</si>
  <si>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</si>
  <si>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</si>
  <si>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</si>
  <si>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</si>
  <si>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</si>
  <si>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</si>
  <si>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</si>
  <si>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</si>
  <si>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</si>
  <si>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</si>
  <si>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</si>
  <si>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</si>
  <si>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</si>
  <si>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</si>
  <si>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</si>
  <si>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</si>
  <si>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</si>
  <si>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</si>
  <si>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</si>
  <si>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</si>
  <si>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</si>
  <si>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</si>
  <si>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</si>
  <si>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</si>
  <si>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</si>
  <si>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</si>
  <si>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</si>
  <si>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</si>
  <si>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</si>
  <si>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</si>
  <si>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</si>
  <si>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</si>
  <si>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</si>
  <si>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</si>
  <si>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</si>
  <si>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</si>
  <si>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</si>
  <si>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</si>
  <si>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</si>
  <si>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</si>
  <si>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</si>
  <si>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</si>
  <si>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</si>
  <si>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</si>
  <si>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</si>
  <si>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</si>
  <si>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</si>
  <si>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</si>
  <si>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</si>
  <si>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</si>
  <si>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</si>
  <si>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</si>
  <si>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</si>
  <si>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</si>
  <si>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</si>
  <si>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</si>
  <si>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</si>
  <si>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</si>
  <si>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</si>
  <si>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</si>
  <si>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</si>
  <si>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</si>
  <si>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</si>
  <si>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</si>
  <si>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</si>
  <si>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</si>
  <si>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</si>
  <si>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</si>
  <si>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</si>
  <si>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</si>
  <si>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</si>
  <si>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</si>
  <si>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</si>
  <si>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</si>
  <si>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</si>
  <si>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</si>
  <si>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</si>
  <si>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</si>
  <si>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</si>
  <si>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</si>
  <si>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</si>
  <si>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</si>
  <si>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</si>
  <si>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</si>
  <si>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</si>
  <si>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</si>
  <si>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</si>
  <si>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</si>
  <si>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</si>
  <si>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</si>
  <si>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</si>
  <si>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</si>
  <si>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</si>
  <si>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</si>
  <si>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</si>
  <si>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</si>
  <si>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</si>
  <si>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</si>
  <si>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</si>
  <si>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</si>
  <si>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</si>
  <si>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</si>
  <si>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</si>
  <si>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</si>
  <si>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</si>
  <si>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</si>
  <si>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</si>
  <si>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</si>
  <si>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</si>
  <si>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</si>
  <si>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</si>
  <si>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</si>
  <si>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</si>
  <si>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</si>
  <si>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</si>
  <si>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</si>
  <si>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</si>
  <si>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</si>
  <si>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</si>
  <si>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</si>
  <si>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</si>
  <si>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</si>
  <si>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</si>
  <si>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</si>
  <si>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</si>
  <si>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</si>
  <si>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</si>
  <si>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</si>
  <si>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</si>
  <si>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</si>
  <si>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</si>
  <si>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</si>
  <si>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</si>
  <si>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</si>
  <si>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</si>
  <si>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</si>
  <si>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</si>
  <si>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</si>
  <si>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</si>
  <si>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</si>
  <si>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</si>
  <si>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</si>
  <si>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</si>
  <si>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</si>
  <si>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</si>
  <si>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</si>
  <si>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</si>
  <si>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</si>
  <si>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</si>
  <si>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</si>
  <si>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</si>
  <si>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</si>
  <si>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</si>
  <si>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</si>
  <si>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</si>
  <si>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</si>
  <si>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</si>
  <si>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</si>
  <si>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</si>
  <si>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</si>
  <si>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</si>
  <si>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</si>
  <si>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</si>
  <si>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</si>
  <si>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</si>
  <si>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</si>
  <si>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</si>
  <si>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</si>
  <si>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</si>
  <si>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</si>
  <si>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</si>
  <si>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</si>
  <si>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</si>
  <si>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</si>
  <si>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</si>
  <si>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</si>
  <si>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</si>
  <si>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RecFam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</si>
  <si>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</si>
  <si>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</si>
  <si>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</si>
  <si>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</si>
  <si>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</si>
  <si>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</si>
  <si>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</si>
  <si>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</si>
  <si>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</si>
  <si>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</si>
  <si>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</si>
  <si>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</si>
  <si>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</si>
  <si>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</si>
  <si>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</si>
  <si>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</si>
  <si>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</si>
  <si>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</si>
  <si>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</si>
  <si>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</si>
  <si>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</si>
  <si>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</si>
  <si>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</si>
  <si>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</si>
  <si>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</si>
  <si>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</si>
  <si>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</si>
  <si>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</si>
  <si>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</si>
  <si>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</si>
  <si>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</si>
  <si>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</si>
  <si>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</si>
  <si>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</si>
  <si>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</si>
  <si>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</si>
  <si>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</si>
  <si>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</si>
  <si>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</si>
  <si>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</si>
  <si>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</si>
  <si>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</si>
  <si>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</si>
  <si>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</si>
  <si>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</si>
  <si>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</si>
  <si>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</si>
  <si>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</si>
  <si>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</si>
  <si>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</si>
  <si>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</si>
  <si>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</si>
  <si>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</si>
  <si>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</si>
  <si>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</si>
  <si>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</si>
  <si>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</si>
  <si>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</si>
  <si>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</si>
  <si>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</si>
  <si>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</si>
  <si>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</si>
  <si>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</si>
  <si>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</si>
  <si>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</si>
  <si>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</si>
  <si>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</si>
  <si>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</si>
  <si>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</si>
  <si>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</si>
  <si>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</si>
  <si>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</si>
  <si>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</si>
  <si>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</si>
  <si>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</si>
  <si>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</si>
  <si>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</si>
  <si>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</si>
  <si>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</si>
  <si>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</si>
  <si>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</si>
  <si>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</si>
  <si>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</si>
  <si>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</si>
  <si>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</si>
  <si>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</si>
  <si>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</si>
  <si>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Seg#</t>
  </si>
  <si>
    <t>Seq</t>
  </si>
  <si>
    <t>V</t>
  </si>
  <si>
    <t>S</t>
  </si>
  <si>
    <t>Q</t>
  </si>
  <si>
    <t>AA</t>
  </si>
  <si>
    <t>G</t>
  </si>
  <si>
    <t>E</t>
  </si>
  <si>
    <t>H</t>
  </si>
  <si>
    <t>!bP</t>
  </si>
  <si>
    <t>beg</t>
  </si>
  <si>
    <t>end</t>
  </si>
  <si>
    <t>PartialCoord</t>
  </si>
  <si>
    <t>34x52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</si>
  <si>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</si>
  <si>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</si>
  <si>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</si>
  <si>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</si>
  <si>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</si>
  <si>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</si>
  <si>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</si>
  <si>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</si>
  <si>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</si>
  <si>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</si>
  <si>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</si>
  <si>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</si>
  <si>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</si>
  <si>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</si>
  <si>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</si>
  <si>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</si>
  <si>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</si>
  <si>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</si>
  <si>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</si>
  <si>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</si>
  <si>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</si>
  <si>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</si>
  <si>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</si>
  <si>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</si>
  <si>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</si>
  <si>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</si>
  <si>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</si>
  <si>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</si>
  <si>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</si>
  <si>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</si>
  <si>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</si>
  <si>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</si>
  <si>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</si>
  <si>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</si>
  <si>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</si>
  <si>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</si>
  <si>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</si>
  <si>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</si>
  <si>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</si>
  <si>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</si>
  <si>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</si>
  <si>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</si>
  <si>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</si>
  <si>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</si>
  <si>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</si>
  <si>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</si>
  <si>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</si>
  <si>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</si>
  <si>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</si>
  <si>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</si>
  <si>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</si>
  <si>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</si>
  <si>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</si>
  <si>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</si>
  <si>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</si>
  <si>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</si>
  <si>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</si>
  <si>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</si>
  <si>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</si>
  <si>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</si>
  <si>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</si>
  <si>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</si>
  <si>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</si>
  <si>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</si>
  <si>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</si>
  <si>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</si>
  <si>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</si>
  <si>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</si>
  <si>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</si>
  <si>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</si>
  <si>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</si>
  <si>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</si>
  <si>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</si>
  <si>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</si>
  <si>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</si>
  <si>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SS</t>
  </si>
  <si>
    <t>H_adrenoceptors</t>
  </si>
  <si>
    <t>Distorsion</t>
  </si>
  <si>
    <t>!eP</t>
  </si>
  <si>
    <t>_bGen</t>
  </si>
  <si>
    <t>_!bP</t>
  </si>
  <si>
    <t>_x50</t>
  </si>
  <si>
    <t>_!eP</t>
  </si>
  <si>
    <t>_eGen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</si>
  <si>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</si>
  <si>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</si>
  <si>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</si>
  <si>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</si>
  <si>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</si>
  <si>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</si>
  <si>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</si>
  <si>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</si>
  <si>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</si>
  <si>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</si>
  <si>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</si>
  <si>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</si>
  <si>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</si>
  <si>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</si>
  <si>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</si>
  <si>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</si>
  <si>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</si>
  <si>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</si>
  <si>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</si>
  <si>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</si>
  <si>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</si>
  <si>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</si>
  <si>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</si>
  <si>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</si>
  <si>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</si>
  <si>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</si>
  <si>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</si>
  <si>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</si>
  <si>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</si>
  <si>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</si>
  <si>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</si>
  <si>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KeySeg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</si>
  <si>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</si>
  <si>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</si>
  <si>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</si>
  <si>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</si>
  <si>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</si>
  <si>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</si>
  <si>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</si>
  <si>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</si>
  <si>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</si>
  <si>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</si>
  <si>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</si>
  <si>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</si>
  <si>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</si>
  <si>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</si>
  <si>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</si>
  <si>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</si>
  <si>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</si>
  <si>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</si>
  <si>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</si>
  <si>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</si>
  <si>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eG</t>
  </si>
  <si>
    <t>bG</t>
  </si>
  <si>
    <t>NoCoord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</si>
  <si>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</si>
  <si>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</si>
  <si>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</si>
  <si>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</si>
  <si>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</si>
  <si>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</si>
  <si>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</si>
  <si>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</si>
  <si>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</si>
  <si>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</si>
  <si>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</si>
  <si>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</si>
  <si>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</si>
  <si>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</si>
  <si>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</si>
  <si>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</si>
  <si>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</si>
  <si>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</si>
  <si>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</si>
  <si>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</si>
  <si>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</si>
  <si>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</si>
  <si>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</si>
  <si>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</si>
  <si>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</si>
  <si>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</si>
  <si>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</si>
  <si>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</si>
  <si>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</si>
  <si>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</si>
  <si>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</si>
  <si>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</si>
  <si>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</si>
  <si>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</si>
  <si>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</si>
  <si>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</si>
  <si>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</si>
  <si>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</si>
  <si>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</si>
  <si>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</si>
  <si>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</si>
  <si>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</si>
  <si>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</si>
  <si>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</si>
  <si>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</si>
  <si>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</si>
  <si>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</si>
  <si>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</si>
  <si>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</si>
  <si>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</si>
  <si>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</si>
  <si>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</si>
  <si>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</si>
  <si>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</si>
  <si>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</si>
  <si>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</si>
  <si>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</si>
  <si>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</si>
  <si>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</si>
  <si>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</si>
  <si>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</si>
  <si>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</si>
  <si>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</si>
  <si>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</si>
  <si>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</si>
  <si>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</si>
  <si>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</si>
  <si>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</si>
  <si>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</si>
  <si>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</si>
  <si>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</si>
  <si>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</si>
  <si>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</si>
  <si>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</si>
  <si>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</si>
  <si>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</si>
  <si>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</si>
  <si>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</si>
  <si>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</si>
  <si>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Templ</t>
  </si>
  <si>
    <t>Cl Query</t>
  </si>
  <si>
    <t>Valid Cl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</si>
  <si>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</si>
  <si>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</si>
  <si>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</si>
  <si>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</si>
  <si>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</si>
  <si>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</si>
  <si>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</si>
  <si>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</si>
  <si>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</si>
  <si>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</si>
  <si>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</si>
  <si>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</si>
  <si>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</si>
  <si>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</si>
  <si>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</si>
  <si>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</si>
  <si>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</si>
  <si>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</si>
  <si>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</si>
  <si>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</si>
  <si>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</si>
  <si>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</si>
  <si>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</si>
  <si>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</si>
  <si>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</si>
  <si>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</si>
  <si>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</si>
  <si>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</si>
  <si>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</si>
  <si>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</si>
  <si>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</si>
  <si>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</si>
  <si>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</si>
  <si>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</si>
  <si>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</si>
  <si>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</si>
  <si>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</si>
  <si>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</si>
  <si>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</si>
  <si>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</si>
  <si>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</si>
  <si>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</si>
  <si>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</si>
  <si>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</si>
  <si>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</si>
  <si>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</si>
  <si>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</si>
  <si>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</si>
  <si>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</si>
  <si>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</si>
  <si>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</si>
  <si>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</si>
  <si>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</si>
  <si>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</si>
  <si>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</si>
  <si>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</si>
  <si>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</si>
  <si>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</si>
  <si>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</si>
  <si>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</si>
  <si>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</si>
  <si>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</si>
  <si>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</si>
  <si>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</si>
  <si>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</si>
  <si>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</si>
  <si>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</si>
  <si>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</si>
  <si>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</si>
  <si>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</si>
  <si>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</si>
  <si>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</si>
  <si>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</si>
  <si>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</si>
  <si>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</si>
  <si>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</si>
  <si>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</si>
  <si>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</si>
  <si>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</si>
  <si>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</si>
  <si>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</si>
  <si>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</si>
  <si>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</si>
  <si>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</si>
  <si>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</si>
  <si>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</si>
  <si>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2x50</t>
  </si>
  <si>
    <t>2x57</t>
  </si>
  <si>
    <t>2x58</t>
  </si>
  <si>
    <t>2x59</t>
  </si>
  <si>
    <t>2x56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</si>
  <si>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</si>
  <si>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</si>
  <si>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</si>
  <si>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</si>
  <si>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</si>
  <si>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</si>
  <si>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</si>
  <si>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</si>
  <si>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</si>
  <si>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</si>
  <si>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</si>
  <si>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</si>
  <si>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</si>
  <si>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</si>
  <si>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</si>
  <si>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</si>
  <si>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</si>
  <si>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</si>
  <si>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ednrb_human_5GLI</t>
  </si>
  <si>
    <t>5GLI</t>
  </si>
  <si>
    <t>5GLH</t>
  </si>
  <si>
    <t>ednrb_human__wt</t>
  </si>
  <si>
    <t>NonX</t>
  </si>
  <si>
    <t>Does not have 4x58 constriction, but a 3-10 end</t>
  </si>
  <si>
    <t>NOT USED AS TEMPLATES!</t>
  </si>
  <si>
    <t>ednrb_human_5GLH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</si>
</sst>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ourier New"/>
    </font>
    <font>
      <sz val="12"/>
      <color theme="1"/>
      <name val="Courier New"/>
    </font>
    <font>
      <sz val="12"/>
      <color theme="1"/>
      <name val="Cambria"/>
    </font>
    <font>
      <b/>
      <sz val="12"/>
      <color rgb="FF008000"/>
      <name val="Calibri"/>
      <scheme val="minor"/>
    </font>
    <font>
      <sz val="8"/>
      <name val="Calibri"/>
      <family val="2"/>
      <scheme val="minor"/>
    </font>
    <font>
      <b/>
      <sz val="12"/>
      <color theme="0" tint="-0.499984740745262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78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7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5" fillId="0" borderId="0" xfId="0" applyFont="1" applyFill="1"/>
    <xf numFmtId="0" fontId="7" fillId="0" borderId="0" xfId="0" applyFont="1" applyFill="1" applyBorder="1"/>
    <xf numFmtId="0" fontId="5" fillId="0" borderId="1" xfId="0" applyFont="1" applyFill="1" applyBorder="1"/>
    <xf numFmtId="0" fontId="7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ont="1"/>
    <xf numFmtId="0" fontId="1" fillId="0" borderId="2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8" fillId="0" borderId="2" xfId="0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Fill="1"/>
    <xf numFmtId="0" fontId="0" fillId="2" borderId="0" xfId="0" applyFill="1" applyBorder="1"/>
    <xf numFmtId="0" fontId="9" fillId="2" borderId="0" xfId="0" applyFont="1" applyFill="1"/>
    <xf numFmtId="0" fontId="0" fillId="2" borderId="0" xfId="0" applyFill="1"/>
    <xf numFmtId="0" fontId="0" fillId="2" borderId="1" xfId="0" applyFill="1" applyBorder="1"/>
    <xf numFmtId="0" fontId="0" fillId="3" borderId="0" xfId="0" applyFill="1" applyBorder="1"/>
    <xf numFmtId="0" fontId="0" fillId="4" borderId="0" xfId="0" applyFill="1" applyBorder="1"/>
    <xf numFmtId="0" fontId="9" fillId="0" borderId="0" xfId="0" applyFont="1" applyAlignment="1">
      <alignment horizontal="center"/>
    </xf>
    <xf numFmtId="0" fontId="9" fillId="0" borderId="0" xfId="0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10" fillId="0" borderId="0" xfId="0" applyFont="1"/>
    <xf numFmtId="0" fontId="0" fillId="0" borderId="0" xfId="0" applyFont="1" applyAlignment="1">
      <alignment horizontal="center"/>
    </xf>
    <xf numFmtId="0" fontId="10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Border="1"/>
    <xf numFmtId="0" fontId="0" fillId="0" borderId="1" xfId="0" applyFont="1" applyFill="1" applyBorder="1"/>
    <xf numFmtId="0" fontId="10" fillId="0" borderId="1" xfId="0" applyFont="1" applyBorder="1"/>
    <xf numFmtId="0" fontId="1" fillId="0" borderId="4" xfId="0" applyFont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10" fillId="0" borderId="0" xfId="0" applyFont="1" applyFill="1" applyBorder="1"/>
    <xf numFmtId="0" fontId="1" fillId="0" borderId="4" xfId="0" applyFont="1" applyFill="1" applyBorder="1" applyAlignment="1">
      <alignment horizontal="left"/>
    </xf>
    <xf numFmtId="0" fontId="10" fillId="2" borderId="0" xfId="0" applyFont="1" applyFill="1" applyBorder="1"/>
    <xf numFmtId="0" fontId="1" fillId="0" borderId="5" xfId="0" applyFont="1" applyBorder="1" applyAlignment="1">
      <alignment horizontal="left"/>
    </xf>
    <xf numFmtId="0" fontId="1" fillId="2" borderId="4" xfId="0" applyFont="1" applyFill="1" applyBorder="1" applyAlignment="1">
      <alignment horizontal="left"/>
    </xf>
    <xf numFmtId="0" fontId="1" fillId="0" borderId="0" xfId="0" applyFont="1" applyFill="1" applyBorder="1"/>
    <xf numFmtId="0" fontId="8" fillId="0" borderId="3" xfId="0" applyFont="1" applyFill="1" applyBorder="1" applyAlignment="1">
      <alignment horizontal="right"/>
    </xf>
    <xf numFmtId="0" fontId="9" fillId="0" borderId="1" xfId="0" applyFont="1" applyFill="1" applyBorder="1" applyAlignment="1">
      <alignment horizontal="right"/>
    </xf>
    <xf numFmtId="0" fontId="4" fillId="3" borderId="2" xfId="0" applyFont="1" applyFill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1" fillId="0" borderId="0" xfId="0" applyFont="1"/>
    <xf numFmtId="0" fontId="4" fillId="0" borderId="0" xfId="0" applyFont="1" applyFill="1" applyBorder="1"/>
    <xf numFmtId="0" fontId="11" fillId="0" borderId="0" xfId="0" applyFont="1" applyFill="1" applyBorder="1"/>
    <xf numFmtId="1" fontId="1" fillId="0" borderId="4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5" borderId="1" xfId="0" applyFont="1" applyFill="1" applyBorder="1"/>
    <xf numFmtId="0" fontId="0" fillId="0" borderId="0" xfId="0" applyFill="1" applyAlignment="1">
      <alignment horizontal="left"/>
    </xf>
    <xf numFmtId="0" fontId="0" fillId="3" borderId="2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3" fillId="0" borderId="1" xfId="0" applyFont="1" applyFill="1" applyBorder="1" applyAlignment="1">
      <alignment horizontal="center"/>
    </xf>
    <xf numFmtId="1" fontId="13" fillId="0" borderId="0" xfId="0" applyNumberFormat="1" applyFont="1" applyFill="1" applyAlignment="1">
      <alignment horizontal="center"/>
    </xf>
    <xf numFmtId="0" fontId="13" fillId="0" borderId="0" xfId="0" applyFont="1" applyFill="1" applyAlignment="1">
      <alignment horizontal="center"/>
    </xf>
    <xf numFmtId="0" fontId="14" fillId="0" borderId="1" xfId="0" applyFont="1" applyFill="1" applyBorder="1"/>
    <xf numFmtId="1" fontId="14" fillId="0" borderId="0" xfId="0" applyNumberFormat="1" applyFont="1" applyFill="1"/>
    <xf numFmtId="0" fontId="14" fillId="0" borderId="0" xfId="0" applyFont="1" applyFill="1"/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4" fillId="0" borderId="0" xfId="0" applyFont="1" applyFill="1" applyBorder="1"/>
    <xf numFmtId="1" fontId="13" fillId="0" borderId="0" xfId="0" applyNumberFormat="1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5" fillId="0" borderId="0" xfId="0" applyFont="1" applyFill="1"/>
    <xf numFmtId="1" fontId="0" fillId="0" borderId="1" xfId="0" applyNumberFormat="1" applyFont="1" applyFill="1" applyBorder="1"/>
    <xf numFmtId="0" fontId="0" fillId="0" borderId="6" xfId="0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16" fillId="0" borderId="0" xfId="0" applyFont="1" applyFill="1" applyAlignment="1">
      <alignment horizontal="center"/>
    </xf>
    <xf numFmtId="0" fontId="0" fillId="0" borderId="9" xfId="0" applyFill="1" applyBorder="1"/>
    <xf numFmtId="0" fontId="0" fillId="2" borderId="9" xfId="0" applyFill="1" applyBorder="1"/>
    <xf numFmtId="0" fontId="0" fillId="0" borderId="10" xfId="0" applyFill="1" applyBorder="1"/>
    <xf numFmtId="0" fontId="0" fillId="0" borderId="10" xfId="0" applyFill="1" applyBorder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2" borderId="7" xfId="0" applyFill="1" applyBorder="1"/>
    <xf numFmtId="0" fontId="0" fillId="0" borderId="8" xfId="0" applyFill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0" fillId="4" borderId="0" xfId="0" applyFont="1" applyFill="1"/>
    <xf numFmtId="0" fontId="1" fillId="2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5" fillId="0" borderId="0" xfId="0" applyFont="1" applyFill="1" applyBorder="1"/>
    <xf numFmtId="0" fontId="15" fillId="0" borderId="0" xfId="0" applyFont="1" applyFill="1" applyBorder="1"/>
    <xf numFmtId="0" fontId="16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16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0" fillId="2" borderId="0" xfId="0" applyFont="1" applyFill="1" applyBorder="1" applyAlignment="1">
      <alignment horizontal="right"/>
    </xf>
    <xf numFmtId="0" fontId="15" fillId="2" borderId="0" xfId="0" applyFont="1" applyFill="1"/>
    <xf numFmtId="1" fontId="0" fillId="0" borderId="0" xfId="0" applyNumberFormat="1" applyFont="1" applyFill="1" applyBorder="1"/>
    <xf numFmtId="0" fontId="17" fillId="0" borderId="0" xfId="0" applyFont="1" applyFill="1" applyBorder="1"/>
    <xf numFmtId="1" fontId="0" fillId="2" borderId="0" xfId="0" applyNumberFormat="1" applyFont="1" applyFill="1"/>
    <xf numFmtId="0" fontId="0" fillId="2" borderId="6" xfId="0" applyFont="1" applyFill="1" applyBorder="1"/>
    <xf numFmtId="0" fontId="14" fillId="2" borderId="1" xfId="0" applyFont="1" applyFill="1" applyBorder="1"/>
    <xf numFmtId="0" fontId="14" fillId="2" borderId="0" xfId="0" applyFont="1" applyFill="1" applyBorder="1"/>
    <xf numFmtId="1" fontId="14" fillId="2" borderId="0" xfId="0" applyNumberFormat="1" applyFont="1" applyFill="1"/>
    <xf numFmtId="0" fontId="14" fillId="2" borderId="0" xfId="0" applyFont="1" applyFill="1"/>
    <xf numFmtId="0" fontId="0" fillId="2" borderId="1" xfId="0" applyFont="1" applyFill="1" applyBorder="1"/>
    <xf numFmtId="0" fontId="0" fillId="3" borderId="0" xfId="0" applyFont="1" applyFill="1"/>
    <xf numFmtId="0" fontId="0" fillId="2" borderId="1" xfId="0" applyFont="1" applyFill="1" applyBorder="1" applyAlignment="1">
      <alignment horizontal="center"/>
    </xf>
    <xf numFmtId="0" fontId="0" fillId="0" borderId="9" xfId="0" applyFont="1" applyFill="1" applyBorder="1"/>
    <xf numFmtId="0" fontId="0" fillId="0" borderId="9" xfId="0" applyBorder="1"/>
    <xf numFmtId="0" fontId="0" fillId="2" borderId="0" xfId="0" applyFont="1" applyFill="1" applyAlignment="1">
      <alignment horizontal="center"/>
    </xf>
  </cellXfs>
  <cellStyles count="783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Normal" xfId="0" builtinId="0"/>
  </cellStyles>
  <dxfs count="59"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'ICL3'!$G$3:$G$31</c:f>
              <c:numCache>
                <c:formatCode>General</c:formatCode>
                <c:ptCount val="29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72.0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68.0</c:v>
                </c:pt>
                <c:pt idx="12">
                  <c:v>68.0</c:v>
                </c:pt>
                <c:pt idx="13">
                  <c:v>72.0</c:v>
                </c:pt>
                <c:pt idx="14">
                  <c:v>72.0</c:v>
                </c:pt>
                <c:pt idx="15">
                  <c:v>72.0</c:v>
                </c:pt>
                <c:pt idx="16">
                  <c:v>73.0</c:v>
                </c:pt>
                <c:pt idx="17">
                  <c:v>73.0</c:v>
                </c:pt>
                <c:pt idx="18">
                  <c:v>74.0</c:v>
                </c:pt>
                <c:pt idx="19">
                  <c:v>76.0</c:v>
                </c:pt>
                <c:pt idx="20">
                  <c:v>76.0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75.0</c:v>
                </c:pt>
                <c:pt idx="25">
                  <c:v>75.0</c:v>
                </c:pt>
                <c:pt idx="26">
                  <c:v>75.0</c:v>
                </c:pt>
                <c:pt idx="27">
                  <c:v>76.0</c:v>
                </c:pt>
                <c:pt idx="28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'ICL3'!$H$3:$H$31</c:f>
              <c:numCache>
                <c:formatCode>General</c:formatCode>
                <c:ptCount val="29"/>
                <c:pt idx="0">
                  <c:v>30.0</c:v>
                </c:pt>
                <c:pt idx="1">
                  <c:v>29.0</c:v>
                </c:pt>
                <c:pt idx="2">
                  <c:v>30.0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28.0</c:v>
                </c:pt>
                <c:pt idx="7">
                  <c:v>29.0</c:v>
                </c:pt>
                <c:pt idx="8">
                  <c:v>23.0</c:v>
                </c:pt>
                <c:pt idx="9">
                  <c:v>23.0</c:v>
                </c:pt>
                <c:pt idx="10">
                  <c:v>23.0</c:v>
                </c:pt>
                <c:pt idx="11">
                  <c:v>23.0</c:v>
                </c:pt>
                <c:pt idx="12">
                  <c:v>23.0</c:v>
                </c:pt>
                <c:pt idx="13">
                  <c:v>24.0</c:v>
                </c:pt>
                <c:pt idx="14">
                  <c:v>24.0</c:v>
                </c:pt>
                <c:pt idx="15">
                  <c:v>24.0</c:v>
                </c:pt>
                <c:pt idx="16">
                  <c:v>22.0</c:v>
                </c:pt>
                <c:pt idx="17">
                  <c:v>24.0</c:v>
                </c:pt>
                <c:pt idx="18">
                  <c:v>21.0</c:v>
                </c:pt>
                <c:pt idx="19">
                  <c:v>24.0</c:v>
                </c:pt>
                <c:pt idx="20">
                  <c:v>24.0</c:v>
                </c:pt>
                <c:pt idx="21">
                  <c:v>24.0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'ICL3'!$G$3:$G$31</c:f>
              <c:numCache>
                <c:formatCode>General</c:formatCode>
                <c:ptCount val="29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72.0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68.0</c:v>
                </c:pt>
                <c:pt idx="12">
                  <c:v>68.0</c:v>
                </c:pt>
                <c:pt idx="13">
                  <c:v>72.0</c:v>
                </c:pt>
                <c:pt idx="14">
                  <c:v>72.0</c:v>
                </c:pt>
                <c:pt idx="15">
                  <c:v>72.0</c:v>
                </c:pt>
                <c:pt idx="16">
                  <c:v>73.0</c:v>
                </c:pt>
                <c:pt idx="17">
                  <c:v>73.0</c:v>
                </c:pt>
                <c:pt idx="18">
                  <c:v>74.0</c:v>
                </c:pt>
                <c:pt idx="19">
                  <c:v>76.0</c:v>
                </c:pt>
                <c:pt idx="20">
                  <c:v>76.0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75.0</c:v>
                </c:pt>
                <c:pt idx="25">
                  <c:v>75.0</c:v>
                </c:pt>
                <c:pt idx="26">
                  <c:v>75.0</c:v>
                </c:pt>
                <c:pt idx="27">
                  <c:v>76.0</c:v>
                </c:pt>
                <c:pt idx="28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'ICL3'!$H$3:$H$31</c:f>
              <c:numCache>
                <c:formatCode>General</c:formatCode>
                <c:ptCount val="29"/>
                <c:pt idx="0">
                  <c:v>30.0</c:v>
                </c:pt>
                <c:pt idx="1">
                  <c:v>29.0</c:v>
                </c:pt>
                <c:pt idx="2">
                  <c:v>30.0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28.0</c:v>
                </c:pt>
                <c:pt idx="7">
                  <c:v>29.0</c:v>
                </c:pt>
                <c:pt idx="8">
                  <c:v>23.0</c:v>
                </c:pt>
                <c:pt idx="9">
                  <c:v>23.0</c:v>
                </c:pt>
                <c:pt idx="10">
                  <c:v>23.0</c:v>
                </c:pt>
                <c:pt idx="11">
                  <c:v>23.0</c:v>
                </c:pt>
                <c:pt idx="12">
                  <c:v>23.0</c:v>
                </c:pt>
                <c:pt idx="13">
                  <c:v>24.0</c:v>
                </c:pt>
                <c:pt idx="14">
                  <c:v>24.0</c:v>
                </c:pt>
                <c:pt idx="15">
                  <c:v>24.0</c:v>
                </c:pt>
                <c:pt idx="16">
                  <c:v>22.0</c:v>
                </c:pt>
                <c:pt idx="17">
                  <c:v>24.0</c:v>
                </c:pt>
                <c:pt idx="18">
                  <c:v>21.0</c:v>
                </c:pt>
                <c:pt idx="19">
                  <c:v>24.0</c:v>
                </c:pt>
                <c:pt idx="20">
                  <c:v>24.0</c:v>
                </c:pt>
                <c:pt idx="21">
                  <c:v>24.0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9032128"/>
        <c:axId val="-2056322464"/>
      </c:lineChart>
      <c:catAx>
        <c:axId val="-209903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6322464"/>
        <c:crosses val="autoZero"/>
        <c:auto val="1"/>
        <c:lblAlgn val="ctr"/>
        <c:lblOffset val="100"/>
        <c:noMultiLvlLbl val="0"/>
      </c:catAx>
      <c:valAx>
        <c:axId val="-20563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903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TM5 End GPCRdb#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Templates_ICL3!$T$2:$T$10</c:f>
              <c:numCache>
                <c:formatCode>General</c:formatCode>
                <c:ptCount val="9"/>
                <c:pt idx="0">
                  <c:v>66.0</c:v>
                </c:pt>
                <c:pt idx="1">
                  <c:v>67.0</c:v>
                </c:pt>
                <c:pt idx="2">
                  <c:v>68.0</c:v>
                </c:pt>
                <c:pt idx="3">
                  <c:v>72.0</c:v>
                </c:pt>
                <c:pt idx="5">
                  <c:v>74.0</c:v>
                </c:pt>
                <c:pt idx="6">
                  <c:v>77.0</c:v>
                </c:pt>
                <c:pt idx="7">
                  <c:v>76.0</c:v>
                </c:pt>
                <c:pt idx="8">
                  <c:v>78.0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9208544"/>
        <c:axId val="-2029202384"/>
      </c:scatterChart>
      <c:valAx>
        <c:axId val="-2029208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29202384"/>
        <c:crosses val="autoZero"/>
        <c:crossBetween val="midCat"/>
      </c:valAx>
      <c:valAx>
        <c:axId val="-202920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29208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TM6 Beg GPCRdb#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Templates_ICL3!$W$2:$W$10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7475120"/>
        <c:axId val="-2037468944"/>
      </c:scatterChart>
      <c:valAx>
        <c:axId val="-2037475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7468944"/>
        <c:crosses val="autoZero"/>
        <c:crossBetween val="midCat"/>
      </c:valAx>
      <c:valAx>
        <c:axId val="-203746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7475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ILC3 L, #H AAs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Templates_ICL3!$K$2:$K$10</c:f>
              <c:numCache>
                <c:formatCode>General</c:formatCode>
                <c:ptCount val="9"/>
                <c:pt idx="0">
                  <c:v>0.0</c:v>
                </c:pt>
                <c:pt idx="2">
                  <c:v>0.0</c:v>
                </c:pt>
                <c:pt idx="3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Templates_ICL3!$N$2:$N$10</c:f>
              <c:numCache>
                <c:formatCode>General</c:formatCode>
                <c:ptCount val="9"/>
                <c:pt idx="0">
                  <c:v>0.0</c:v>
                </c:pt>
                <c:pt idx="2">
                  <c:v>0.0</c:v>
                </c:pt>
                <c:pt idx="3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7434752"/>
        <c:axId val="-2037428704"/>
      </c:scatterChart>
      <c:valAx>
        <c:axId val="-2037434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7428704"/>
        <c:crosses val="autoZero"/>
        <c:crossBetween val="midCat"/>
      </c:valAx>
      <c:valAx>
        <c:axId val="-203742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7434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525550</xdr:colOff>
      <xdr:row>4</xdr:row>
      <xdr:rowOff>172415</xdr:rowOff>
    </xdr:from>
    <xdr:to>
      <xdr:col>23</xdr:col>
      <xdr:colOff>695432</xdr:colOff>
      <xdr:row>23</xdr:row>
      <xdr:rowOff>133770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177148</xdr:colOff>
      <xdr:row>26</xdr:row>
      <xdr:rowOff>101678</xdr:rowOff>
    </xdr:from>
    <xdr:to>
      <xdr:col>16</xdr:col>
      <xdr:colOff>439163</xdr:colOff>
      <xdr:row>39</xdr:row>
      <xdr:rowOff>154360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109192</xdr:colOff>
      <xdr:row>26</xdr:row>
      <xdr:rowOff>8057</xdr:rowOff>
    </xdr:from>
    <xdr:to>
      <xdr:col>24</xdr:col>
      <xdr:colOff>414005</xdr:colOff>
      <xdr:row>39</xdr:row>
      <xdr:rowOff>60739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218225</xdr:colOff>
      <xdr:row>25</xdr:row>
      <xdr:rowOff>184598</xdr:rowOff>
    </xdr:from>
    <xdr:to>
      <xdr:col>6</xdr:col>
      <xdr:colOff>694028</xdr:colOff>
      <xdr:row>39</xdr:row>
      <xdr:rowOff>47939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15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4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losestHomologues_6" connectionId="11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closestHomologues_4" connectionId="9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closestHomologues_3" connectionId="8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closestHomologues_2" connectionId="7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closestHomologues" connectionId="6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closestHomologues_9" connectionId="5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closestHomologues_1" connectionId="1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closestHomologues_7" connectionId="12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closestHomologues_8" connectionId="13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closestHomologues_5" connectionId="10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4" Type="http://schemas.openxmlformats.org/officeDocument/2006/relationships/queryTable" Target="../queryTables/queryTable6.xml"/><Relationship Id="rId5" Type="http://schemas.openxmlformats.org/officeDocument/2006/relationships/queryTable" Target="../queryTables/queryTable7.xml"/><Relationship Id="rId6" Type="http://schemas.openxmlformats.org/officeDocument/2006/relationships/queryTable" Target="../queryTables/queryTable8.xml"/><Relationship Id="rId7" Type="http://schemas.openxmlformats.org/officeDocument/2006/relationships/queryTable" Target="../queryTables/queryTable9.xml"/><Relationship Id="rId8" Type="http://schemas.openxmlformats.org/officeDocument/2006/relationships/queryTable" Target="../queryTables/queryTable10.xml"/><Relationship Id="rId9" Type="http://schemas.openxmlformats.org/officeDocument/2006/relationships/queryTable" Target="../queryTables/queryTable11.xml"/><Relationship Id="rId10" Type="http://schemas.openxmlformats.org/officeDocument/2006/relationships/queryTable" Target="../queryTables/queryTable12.xml"/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CO146"/>
  <sheetViews>
    <sheetView tabSelected="1" zoomScale="110" zoomScaleNormal="110" zoomScalePageLayoutView="110" workbookViewId="0">
      <pane xSplit="3" ySplit="1" topLeftCell="D3" activePane="bottomRight" state="frozenSplit"/>
      <selection pane="topRight" activeCell="D1" sqref="D1"/>
      <selection pane="bottomLeft" activeCell="A2" sqref="A2"/>
      <selection pane="bottomRight" activeCell="AM25" sqref="AM25"/>
    </sheetView>
  </sheetViews>
  <sheetFormatPr baseColWidth="10" defaultRowHeight="16" x14ac:dyDescent="0.2"/>
  <cols>
    <col min="1" max="1" width="21.1640625" style="3" bestFit="1" customWidth="1"/>
    <col min="2" max="2" width="13.33203125" style="3" bestFit="1" customWidth="1"/>
    <col min="3" max="3" width="8.1640625" style="3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4.33203125" style="3" bestFit="1" customWidth="1"/>
    <col min="8" max="8" width="2.83203125" style="3" bestFit="1" customWidth="1"/>
    <col min="9" max="9" width="4.1640625" style="57" bestFit="1" customWidth="1"/>
    <col min="10" max="10" width="2.5" style="3" bestFit="1" customWidth="1"/>
    <col min="11" max="11" width="4.1640625" style="57" bestFit="1" customWidth="1"/>
    <col min="12" max="12" width="2.8320312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bestFit="1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16406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3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83203125" style="3" bestFit="1" customWidth="1"/>
    <col min="43" max="43" width="4.33203125" style="3" bestFit="1" customWidth="1"/>
    <col min="44" max="44" width="2.83203125" style="3" bestFit="1" customWidth="1"/>
    <col min="45" max="45" width="4.33203125" style="3" bestFit="1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5.5" style="3" customWidth="1"/>
    <col min="50" max="50" width="2.83203125" style="3" bestFit="1" customWidth="1"/>
    <col min="51" max="51" width="4.33203125" style="3" bestFit="1" customWidth="1"/>
    <col min="52" max="52" width="3.1640625" style="83" bestFit="1" customWidth="1"/>
    <col min="53" max="53" width="5.5" style="3" customWidth="1"/>
    <col min="54" max="54" width="5.1640625" style="35" customWidth="1"/>
    <col min="55" max="55" width="5.5" style="3" customWidth="1"/>
    <col min="56" max="56" width="5.33203125" style="35" bestFit="1" customWidth="1"/>
    <col min="57" max="57" width="5.33203125" style="68" customWidth="1"/>
    <col min="58" max="67" width="5.83203125" style="75" customWidth="1"/>
    <col min="68" max="68" width="5.83203125" style="70" customWidth="1"/>
    <col min="69" max="69" width="4.33203125" style="68" bestFit="1" customWidth="1"/>
    <col min="70" max="70" width="4.1640625" style="70" bestFit="1" customWidth="1"/>
    <col min="71" max="71" width="4.33203125" style="70" bestFit="1" customWidth="1"/>
    <col min="72" max="72" width="4.1640625" style="70" bestFit="1" customWidth="1"/>
    <col min="73" max="73" width="4.33203125" style="70" bestFit="1" customWidth="1"/>
    <col min="74" max="74" width="4.1640625" style="70" bestFit="1" customWidth="1"/>
    <col min="75" max="75" width="4.33203125" style="70" bestFit="1" customWidth="1"/>
    <col min="76" max="76" width="4.1640625" style="70" bestFit="1" customWidth="1"/>
    <col min="77" max="77" width="4.33203125" style="70" bestFit="1" customWidth="1"/>
    <col min="78" max="78" width="4.1640625" style="70" bestFit="1" customWidth="1"/>
    <col min="79" max="79" width="4.33203125" style="70" bestFit="1" customWidth="1"/>
    <col min="80" max="80" width="4.1640625" style="70" bestFit="1" customWidth="1"/>
    <col min="81" max="81" width="4.33203125" style="68" bestFit="1" customWidth="1"/>
    <col min="82" max="82" width="4.1640625" style="70" bestFit="1" customWidth="1"/>
    <col min="83" max="92" width="4.33203125" style="70" bestFit="1" customWidth="1"/>
    <col min="93" max="93" width="5.83203125" style="3" customWidth="1"/>
    <col min="94" max="16384" width="10.83203125" style="3"/>
  </cols>
  <sheetData>
    <row r="1" spans="1:93" s="11" customFormat="1" x14ac:dyDescent="0.2">
      <c r="A1" s="11" t="s">
        <v>1283</v>
      </c>
      <c r="B1" s="11" t="s">
        <v>205</v>
      </c>
      <c r="C1" s="11" t="s">
        <v>204</v>
      </c>
      <c r="E1" s="11" t="s">
        <v>1267</v>
      </c>
      <c r="G1" s="11" t="s">
        <v>1268</v>
      </c>
      <c r="I1" s="99" t="s">
        <v>1284</v>
      </c>
      <c r="K1" s="99" t="s">
        <v>1285</v>
      </c>
      <c r="M1" s="11" t="s">
        <v>1269</v>
      </c>
      <c r="O1" s="11" t="s">
        <v>1270</v>
      </c>
      <c r="Q1" s="11" t="s">
        <v>1286</v>
      </c>
      <c r="S1" s="11" t="s">
        <v>1287</v>
      </c>
      <c r="U1" s="11" t="s">
        <v>1271</v>
      </c>
      <c r="W1" s="11" t="s">
        <v>1272</v>
      </c>
      <c r="Y1" s="11" t="s">
        <v>1299</v>
      </c>
      <c r="AA1" s="11" t="s">
        <v>1300</v>
      </c>
      <c r="AC1" s="11" t="s">
        <v>1273</v>
      </c>
      <c r="AE1" s="11" t="s">
        <v>1274</v>
      </c>
      <c r="AG1" s="11" t="s">
        <v>1302</v>
      </c>
      <c r="AI1" s="11" t="s">
        <v>1303</v>
      </c>
      <c r="AK1" s="11" t="s">
        <v>1275</v>
      </c>
      <c r="AM1" s="11" t="s">
        <v>1276</v>
      </c>
      <c r="AO1" s="11" t="s">
        <v>1277</v>
      </c>
      <c r="AQ1" s="11" t="s">
        <v>1278</v>
      </c>
      <c r="AS1" s="11" t="s">
        <v>1279</v>
      </c>
      <c r="AU1" s="11" t="s">
        <v>1280</v>
      </c>
      <c r="AW1" s="11" t="s">
        <v>1281</v>
      </c>
      <c r="AY1" s="11" t="s">
        <v>1282</v>
      </c>
      <c r="AZ1" s="64" t="s">
        <v>292</v>
      </c>
      <c r="BA1" s="11" t="s">
        <v>1323</v>
      </c>
      <c r="BB1" s="62" t="s">
        <v>1315</v>
      </c>
      <c r="BC1" s="11" t="s">
        <v>1387</v>
      </c>
      <c r="BD1" s="62" t="s">
        <v>1422</v>
      </c>
      <c r="BE1" s="65" t="s">
        <v>1267</v>
      </c>
      <c r="BF1" s="76" t="s">
        <v>1284</v>
      </c>
      <c r="BG1" s="77" t="s">
        <v>1269</v>
      </c>
      <c r="BH1" s="77" t="s">
        <v>1286</v>
      </c>
      <c r="BI1" s="77" t="s">
        <v>1271</v>
      </c>
      <c r="BJ1" s="77" t="s">
        <v>1299</v>
      </c>
      <c r="BK1" s="77" t="s">
        <v>1273</v>
      </c>
      <c r="BL1" s="77" t="s">
        <v>1302</v>
      </c>
      <c r="BM1" s="77" t="s">
        <v>1275</v>
      </c>
      <c r="BN1" s="77" t="s">
        <v>1277</v>
      </c>
      <c r="BO1" s="77" t="s">
        <v>1279</v>
      </c>
      <c r="BP1" s="67" t="s">
        <v>1281</v>
      </c>
      <c r="BQ1" s="65" t="s">
        <v>1267</v>
      </c>
      <c r="BR1" s="66" t="s">
        <v>1284</v>
      </c>
      <c r="BS1" s="67" t="s">
        <v>1269</v>
      </c>
      <c r="BT1" s="67" t="s">
        <v>1286</v>
      </c>
      <c r="BU1" s="67" t="s">
        <v>1271</v>
      </c>
      <c r="BV1" s="67" t="s">
        <v>1299</v>
      </c>
      <c r="BW1" s="67" t="s">
        <v>1273</v>
      </c>
      <c r="BX1" s="67" t="s">
        <v>1302</v>
      </c>
      <c r="BY1" s="67" t="s">
        <v>1275</v>
      </c>
      <c r="BZ1" s="67" t="s">
        <v>1277</v>
      </c>
      <c r="CA1" s="67" t="s">
        <v>1279</v>
      </c>
      <c r="CB1" s="67" t="s">
        <v>1281</v>
      </c>
      <c r="CC1" s="65" t="s">
        <v>1268</v>
      </c>
      <c r="CD1" s="66" t="s">
        <v>1285</v>
      </c>
      <c r="CE1" s="67" t="s">
        <v>1270</v>
      </c>
      <c r="CF1" s="67" t="s">
        <v>1287</v>
      </c>
      <c r="CG1" s="67" t="s">
        <v>1272</v>
      </c>
      <c r="CH1" s="67" t="s">
        <v>1300</v>
      </c>
      <c r="CI1" s="67" t="s">
        <v>1274</v>
      </c>
      <c r="CJ1" s="67" t="s">
        <v>1303</v>
      </c>
      <c r="CK1" s="67" t="s">
        <v>1276</v>
      </c>
      <c r="CL1" s="67" t="s">
        <v>1278</v>
      </c>
      <c r="CM1" s="67" t="s">
        <v>1280</v>
      </c>
      <c r="CN1" s="67" t="s">
        <v>1282</v>
      </c>
      <c r="CO1" s="11" t="s">
        <v>1515</v>
      </c>
    </row>
    <row r="2" spans="1:93" x14ac:dyDescent="0.2">
      <c r="A2" s="3" t="str">
        <f t="shared" ref="A2:A36" si="0">CONCATENATE(B2,"_",C2)</f>
        <v>5ht1b_human__wt</v>
      </c>
      <c r="B2" s="3" t="s">
        <v>208</v>
      </c>
      <c r="C2" s="3" t="s">
        <v>294</v>
      </c>
      <c r="D2" s="3" t="str">
        <f>IFERROR(MID(VLOOKUP($B2,Seqs!$A:$B,2,FALSE),E2,1),"")</f>
        <v>L</v>
      </c>
      <c r="E2" s="3">
        <v>46</v>
      </c>
      <c r="F2" s="3" t="str">
        <f>IFERROR(MID(VLOOKUP($B2,Seqs!$A:$B,2,FALSE),G2,1),"")</f>
        <v>T</v>
      </c>
      <c r="G2" s="3">
        <v>77</v>
      </c>
      <c r="H2" s="3" t="str">
        <f>IFERROR(MID(VLOOKUP($B2,Seqs!$A:$B,2,FALSE),I2,1),"")</f>
        <v>R</v>
      </c>
      <c r="I2" s="57">
        <v>78</v>
      </c>
      <c r="J2" s="3" t="str">
        <f>IFERROR(MID(VLOOKUP($B2,Seqs!$A:$B,2,FALSE),K2,1),"")</f>
        <v>H</v>
      </c>
      <c r="K2" s="57">
        <v>81</v>
      </c>
      <c r="L2" s="3" t="str">
        <f>IFERROR(MID(VLOOKUP($B2,Seqs!$A:$B,2,FALSE),M2,1),"")</f>
        <v>T</v>
      </c>
      <c r="M2" s="3">
        <v>82</v>
      </c>
      <c r="N2" s="3" t="str">
        <f>IFERROR(MID(VLOOKUP($B2,Seqs!$A:$B,2,FALSE),O2,1),"")</f>
        <v>T</v>
      </c>
      <c r="O2" s="3">
        <v>112</v>
      </c>
      <c r="P2" s="3" t="str">
        <f>IFERROR(MID(VLOOKUP($B2,Seqs!$A:$B,2,FALSE),Q2,1),"")</f>
        <v>R</v>
      </c>
      <c r="Q2" s="3">
        <v>114</v>
      </c>
      <c r="R2" s="3" t="str">
        <f>IFERROR(MID(VLOOKUP($B2,Seqs!$A:$B,2,FALSE),S2,1),"")</f>
        <v>L</v>
      </c>
      <c r="S2" s="3">
        <v>117</v>
      </c>
      <c r="T2" s="3" t="str">
        <f>IFERROR(MID(VLOOKUP($B2,Seqs!$A:$B,2,FALSE),U2,1),"")</f>
        <v>G</v>
      </c>
      <c r="U2" s="3">
        <v>118</v>
      </c>
      <c r="V2" s="3" t="str">
        <f>IFERROR(MID(VLOOKUP($B2,Seqs!$A:$B,2,FALSE),W2,1),"")</f>
        <v>D</v>
      </c>
      <c r="W2" s="3">
        <v>153</v>
      </c>
      <c r="X2" s="3" t="str">
        <f>IFERROR(MID(VLOOKUP($B2,Seqs!$A:$B,2,FALSE),Y2,1),"")</f>
        <v>A</v>
      </c>
      <c r="Y2" s="3">
        <v>154</v>
      </c>
      <c r="Z2" s="3" t="str">
        <f>IFERROR(MID(VLOOKUP($B2,Seqs!$A:$B,2,FALSE),AA2,1),"")</f>
        <v>R</v>
      </c>
      <c r="AA2" s="3">
        <v>161</v>
      </c>
      <c r="AB2" s="3" t="str">
        <f>IFERROR(MID(VLOOKUP($B2,Seqs!$A:$B,2,FALSE),AC2,1),"")</f>
        <v>P</v>
      </c>
      <c r="AC2" s="3">
        <v>163</v>
      </c>
      <c r="AD2" s="3" t="str">
        <f>IFERROR(MID(VLOOKUP($B2,Seqs!$A:$B,2,FALSE),AE2,1),"")</f>
        <v>W</v>
      </c>
      <c r="AE2" s="3">
        <v>187</v>
      </c>
      <c r="AF2" s="3" t="str">
        <f>IFERROR(MID(VLOOKUP($B2,Seqs!$A:$B,2,FALSE),AG2,1),"")</f>
        <v>C</v>
      </c>
      <c r="AG2" s="3">
        <v>199</v>
      </c>
      <c r="AH2" s="3" t="str">
        <f>IFERROR(MID(VLOOKUP($B2,Seqs!$A:$B,2,FALSE),AI2,1),"")</f>
        <v>V</v>
      </c>
      <c r="AI2" s="3">
        <v>201</v>
      </c>
      <c r="AJ2" s="3" t="str">
        <f>IFERROR(MID(VLOOKUP($B2,Seqs!$A:$B,2,FALSE),AK2,1),"")</f>
        <v>H</v>
      </c>
      <c r="AK2" s="3">
        <v>205</v>
      </c>
      <c r="AL2" s="3" t="str">
        <f>IFERROR(MID(VLOOKUP($B2,Seqs!$A:$B,2,FALSE),AM2,1),"")</f>
        <v>P</v>
      </c>
      <c r="AM2" s="3">
        <v>244</v>
      </c>
      <c r="AN2" s="3" t="str">
        <f>IFERROR(MID(VLOOKUP($B2,Seqs!$A:$B,2,FALSE),AO2,1),"")</f>
        <v>K</v>
      </c>
      <c r="AO2" s="3">
        <v>303</v>
      </c>
      <c r="AP2" s="3" t="str">
        <f>IFERROR(MID(VLOOKUP($B2,Seqs!$A:$B,2,FALSE),AQ2,1),"")</f>
        <v>I</v>
      </c>
      <c r="AQ2" s="3">
        <v>339</v>
      </c>
      <c r="AR2" s="3" t="str">
        <f>IFERROR(MID(VLOOKUP($B2,Seqs!$A:$B,2,FALSE),AS2,1),"")</f>
        <v>H</v>
      </c>
      <c r="AS2" s="3">
        <v>347</v>
      </c>
      <c r="AT2" s="3" t="str">
        <f>IFERROR(MID(VLOOKUP($B2,Seqs!$A:$B,2,FALSE),AU2,1),"")</f>
        <v>S</v>
      </c>
      <c r="AU2" s="3">
        <v>372</v>
      </c>
      <c r="AV2" s="3" t="str">
        <f>IFERROR(MID(VLOOKUP($B2,Seqs!$A:$B,2,FALSE),AW2,1),"")</f>
        <v>N</v>
      </c>
      <c r="AW2" s="3">
        <v>373</v>
      </c>
      <c r="AX2" s="3" t="str">
        <f>IFERROR(MID(VLOOKUP($B2,Seqs!$A:$B,2,FALSE),AY2,1),"")</f>
        <v>I</v>
      </c>
      <c r="AY2" s="3">
        <v>384</v>
      </c>
      <c r="AZ2" s="83" t="str">
        <f>VLOOKUP(B2,Classification!A:D,2,FALSE)</f>
        <v>A</v>
      </c>
      <c r="BB2" s="82">
        <f>S2-Q2+1</f>
        <v>4</v>
      </c>
      <c r="BC2" s="57">
        <f t="shared" ref="BC2:BC36" si="1">_xlfn.AGGREGATE(9,6,CC2:CN2)-_xlfn.AGGREGATE(9,6,BQ2:CB2)+12</f>
        <v>258</v>
      </c>
      <c r="BD2" s="63" t="b">
        <f t="shared" ref="BD2:BD36" si="2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E2" s="68" t="s">
        <v>1514</v>
      </c>
      <c r="BF2" s="75" t="s">
        <v>1514</v>
      </c>
      <c r="BG2" s="75" t="s">
        <v>1514</v>
      </c>
      <c r="BH2" s="75" t="s">
        <v>1514</v>
      </c>
      <c r="BI2" s="75" t="s">
        <v>1514</v>
      </c>
      <c r="BJ2" s="75" t="s">
        <v>1514</v>
      </c>
      <c r="BK2" s="75" t="s">
        <v>1514</v>
      </c>
      <c r="BL2" s="75" t="s">
        <v>1514</v>
      </c>
      <c r="BM2" s="75" t="s">
        <v>1514</v>
      </c>
      <c r="BN2" s="75" t="s">
        <v>1514</v>
      </c>
      <c r="BO2" s="75" t="s">
        <v>1514</v>
      </c>
      <c r="BP2" s="75" t="s">
        <v>1514</v>
      </c>
      <c r="BQ2" s="68">
        <f t="shared" ref="BQ2:BQ34" si="3">E2</f>
        <v>46</v>
      </c>
      <c r="BR2" s="69">
        <f t="shared" ref="BR2:BR34" si="4">I2</f>
        <v>78</v>
      </c>
      <c r="BS2" s="70">
        <f t="shared" ref="BS2:BS34" si="5">M2</f>
        <v>82</v>
      </c>
      <c r="BT2" s="69">
        <f t="shared" ref="BT2:BT34" si="6">Q2</f>
        <v>114</v>
      </c>
      <c r="BU2" s="70">
        <f t="shared" ref="BU2:BU34" si="7">U2</f>
        <v>118</v>
      </c>
      <c r="BV2" s="69">
        <f t="shared" ref="BV2:BV34" si="8">Y2</f>
        <v>154</v>
      </c>
      <c r="BW2" s="70">
        <f t="shared" ref="BW2:BW34" si="9">AC2</f>
        <v>163</v>
      </c>
      <c r="BX2" s="69">
        <f t="shared" ref="BX2:BX34" si="10">AG2</f>
        <v>199</v>
      </c>
      <c r="BY2" s="70">
        <f t="shared" ref="BY2:BY34" si="11">AK2</f>
        <v>205</v>
      </c>
      <c r="BZ2" s="69">
        <f t="shared" ref="BZ2:BZ34" si="12">AO2</f>
        <v>303</v>
      </c>
      <c r="CA2" s="70">
        <f t="shared" ref="CA2:CA34" si="13">AS2</f>
        <v>347</v>
      </c>
      <c r="CB2" s="69">
        <f t="shared" ref="CB2:CB34" si="14">AW2</f>
        <v>373</v>
      </c>
      <c r="CC2" s="68">
        <f t="shared" ref="CC2:CC34" si="15">G2</f>
        <v>77</v>
      </c>
      <c r="CD2" s="69">
        <f t="shared" ref="CD2:CD34" si="16">K2</f>
        <v>81</v>
      </c>
      <c r="CE2" s="70">
        <f t="shared" ref="CE2:CE34" si="17">O2</f>
        <v>112</v>
      </c>
      <c r="CF2" s="70">
        <f t="shared" ref="CF2:CF34" si="18">S2</f>
        <v>117</v>
      </c>
      <c r="CG2" s="70">
        <f t="shared" ref="CG2:CG34" si="19">W2</f>
        <v>153</v>
      </c>
      <c r="CH2" s="70">
        <f t="shared" ref="CH2:CH34" si="20">AA2</f>
        <v>161</v>
      </c>
      <c r="CI2" s="70">
        <f t="shared" ref="CI2:CI34" si="21">AE2</f>
        <v>187</v>
      </c>
      <c r="CJ2" s="70">
        <f t="shared" ref="CJ2:CJ34" si="22">AI2</f>
        <v>201</v>
      </c>
      <c r="CK2" s="70">
        <f t="shared" ref="CK2:CK34" si="23">AM2</f>
        <v>244</v>
      </c>
      <c r="CL2" s="70">
        <f t="shared" ref="CL2:CL34" si="24">AQ2</f>
        <v>339</v>
      </c>
      <c r="CM2" s="70">
        <f t="shared" ref="CM2:CM34" si="25">AU2</f>
        <v>372</v>
      </c>
      <c r="CN2" s="70">
        <f t="shared" ref="CN2:CN34" si="26">AY2</f>
        <v>384</v>
      </c>
      <c r="CO2" s="57">
        <f t="shared" ref="CO2:CO34" si="27">M2-K2</f>
        <v>1</v>
      </c>
    </row>
    <row r="3" spans="1:93" x14ac:dyDescent="0.2">
      <c r="A3" s="3" t="str">
        <f t="shared" si="0"/>
        <v>5ht1b_human_4IAQ</v>
      </c>
      <c r="B3" s="3" t="s">
        <v>208</v>
      </c>
      <c r="C3" s="3" t="s">
        <v>1249</v>
      </c>
      <c r="D3" s="3" t="str">
        <f>IFERROR(MID(VLOOKUP($B3,Seqs!$A:$B,2,FALSE),E3,1),"")</f>
        <v>L</v>
      </c>
      <c r="E3" s="3">
        <v>46</v>
      </c>
      <c r="F3" s="3" t="str">
        <f>IFERROR(MID(VLOOKUP($B3,Seqs!$A:$B,2,FALSE),G3,1),"")</f>
        <v>T</v>
      </c>
      <c r="G3" s="3">
        <v>77</v>
      </c>
      <c r="H3" s="3" t="str">
        <f>IFERROR(MID(VLOOKUP($B3,Seqs!$A:$B,2,FALSE),I3,1),"")</f>
        <v>R</v>
      </c>
      <c r="I3" s="57">
        <v>78</v>
      </c>
      <c r="J3" s="3" t="str">
        <f>IFERROR(MID(VLOOKUP($B3,Seqs!$A:$B,2,FALSE),K3,1),"")</f>
        <v>H</v>
      </c>
      <c r="K3" s="57">
        <v>81</v>
      </c>
      <c r="L3" s="3" t="str">
        <f>IFERROR(MID(VLOOKUP($B3,Seqs!$A:$B,2,FALSE),M3,1),"")</f>
        <v>T</v>
      </c>
      <c r="M3" s="3">
        <v>82</v>
      </c>
      <c r="N3" s="3" t="str">
        <f>IFERROR(MID(VLOOKUP($B3,Seqs!$A:$B,2,FALSE),O3,1),"")</f>
        <v>T</v>
      </c>
      <c r="O3" s="3">
        <v>112</v>
      </c>
      <c r="P3" s="3" t="str">
        <f>IFERROR(MID(VLOOKUP($B3,Seqs!$A:$B,2,FALSE),Q3,1),"")</f>
        <v>R</v>
      </c>
      <c r="Q3" s="3">
        <v>114</v>
      </c>
      <c r="R3" s="3" t="str">
        <f>IFERROR(MID(VLOOKUP($B3,Seqs!$A:$B,2,FALSE),S3,1),"")</f>
        <v>L</v>
      </c>
      <c r="S3" s="3">
        <v>117</v>
      </c>
      <c r="T3" s="3" t="str">
        <f>IFERROR(MID(VLOOKUP($B3,Seqs!$A:$B,2,FALSE),U3,1),"")</f>
        <v>G</v>
      </c>
      <c r="U3" s="3">
        <v>118</v>
      </c>
      <c r="V3" s="3" t="str">
        <f>IFERROR(MID(VLOOKUP($B3,Seqs!$A:$B,2,FALSE),W3,1),"")</f>
        <v>D</v>
      </c>
      <c r="W3" s="3">
        <v>153</v>
      </c>
      <c r="X3" s="3" t="str">
        <f>IFERROR(MID(VLOOKUP($B3,Seqs!$A:$B,2,FALSE),Y3,1),"")</f>
        <v>A</v>
      </c>
      <c r="Y3" s="3">
        <v>154</v>
      </c>
      <c r="Z3" s="3" t="str">
        <f>IFERROR(MID(VLOOKUP($B3,Seqs!$A:$B,2,FALSE),AA3,1),"")</f>
        <v>R</v>
      </c>
      <c r="AA3" s="3">
        <v>161</v>
      </c>
      <c r="AB3" s="3" t="str">
        <f>IFERROR(MID(VLOOKUP($B3,Seqs!$A:$B,2,FALSE),AC3,1),"")</f>
        <v>P</v>
      </c>
      <c r="AC3" s="3">
        <v>163</v>
      </c>
      <c r="AD3" s="3" t="str">
        <f>IFERROR(MID(VLOOKUP($B3,Seqs!$A:$B,2,FALSE),AE3,1),"")</f>
        <v>P</v>
      </c>
      <c r="AE3" s="3">
        <v>184</v>
      </c>
      <c r="AF3" s="3" t="str">
        <f>IFERROR(MID(VLOOKUP($B3,Seqs!$A:$B,2,FALSE),AG3,1),"")</f>
        <v>C</v>
      </c>
      <c r="AG3" s="3">
        <v>199</v>
      </c>
      <c r="AH3" s="3" t="str">
        <f>IFERROR(MID(VLOOKUP($B3,Seqs!$A:$B,2,FALSE),AI3,1),"")</f>
        <v>V</v>
      </c>
      <c r="AI3" s="3">
        <v>201</v>
      </c>
      <c r="AJ3" s="3" t="str">
        <f>IFERROR(MID(VLOOKUP($B3,Seqs!$A:$B,2,FALSE),AK3,1),"")</f>
        <v>H</v>
      </c>
      <c r="AK3" s="3">
        <v>205</v>
      </c>
      <c r="AL3" s="3" t="str">
        <f>IFERROR(MID(VLOOKUP($B3,Seqs!$A:$B,2,FALSE),AM3,1),"")</f>
        <v>R</v>
      </c>
      <c r="AM3" s="3">
        <v>238</v>
      </c>
      <c r="AN3" s="3" t="str">
        <f>IFERROR(MID(VLOOKUP($B3,Seqs!$A:$B,2,FALSE),AO3,1),"")</f>
        <v>L</v>
      </c>
      <c r="AO3" s="3">
        <v>304</v>
      </c>
      <c r="AP3" s="3" t="str">
        <f>IFERROR(MID(VLOOKUP($B3,Seqs!$A:$B,2,FALSE),AQ3,1),"")</f>
        <v>I</v>
      </c>
      <c r="AQ3" s="3">
        <v>339</v>
      </c>
      <c r="AR3" s="3" t="str">
        <f>IFERROR(MID(VLOOKUP($B3,Seqs!$A:$B,2,FALSE),AS3,1),"")</f>
        <v>L</v>
      </c>
      <c r="AS3" s="3">
        <v>348</v>
      </c>
      <c r="AT3" s="3" t="str">
        <f>IFERROR(MID(VLOOKUP($B3,Seqs!$A:$B,2,FALSE),AU3,1),"")</f>
        <v>S</v>
      </c>
      <c r="AU3" s="3">
        <v>372</v>
      </c>
      <c r="AV3" s="3" t="str">
        <f>IFERROR(MID(VLOOKUP($B3,Seqs!$A:$B,2,FALSE),AW3,1),"")</f>
        <v>N</v>
      </c>
      <c r="AW3" s="3">
        <v>373</v>
      </c>
      <c r="AX3" s="3" t="str">
        <f>IFERROR(MID(VLOOKUP($B3,Seqs!$A:$B,2,FALSE),AY3,1),"")</f>
        <v>I</v>
      </c>
      <c r="AY3" s="3">
        <v>384</v>
      </c>
      <c r="AZ3" s="83" t="str">
        <f>VLOOKUP(B3,Classification!A:D,2,FALSE)</f>
        <v>A</v>
      </c>
      <c r="BB3" s="35" t="s">
        <v>1315</v>
      </c>
      <c r="BC3" s="57">
        <f t="shared" si="1"/>
        <v>247</v>
      </c>
      <c r="BD3" s="63" t="b">
        <f t="shared" si="2"/>
        <v>1</v>
      </c>
      <c r="BE3" s="68" t="s">
        <v>1514</v>
      </c>
      <c r="BF3" s="75" t="s">
        <v>1514</v>
      </c>
      <c r="BG3" s="75" t="s">
        <v>1514</v>
      </c>
      <c r="BH3" s="75" t="s">
        <v>1514</v>
      </c>
      <c r="BI3" s="75" t="s">
        <v>1514</v>
      </c>
      <c r="BJ3" s="75" t="s">
        <v>1514</v>
      </c>
      <c r="BK3" s="75" t="s">
        <v>1514</v>
      </c>
      <c r="BL3" s="75" t="s">
        <v>1514</v>
      </c>
      <c r="BM3" s="75" t="s">
        <v>1514</v>
      </c>
      <c r="BN3" s="75" t="s">
        <v>1514</v>
      </c>
      <c r="BO3" s="75" t="s">
        <v>1514</v>
      </c>
      <c r="BP3" s="75" t="s">
        <v>1514</v>
      </c>
      <c r="BQ3" s="68">
        <f t="shared" si="3"/>
        <v>46</v>
      </c>
      <c r="BR3" s="69">
        <f t="shared" si="4"/>
        <v>78</v>
      </c>
      <c r="BS3" s="70">
        <f t="shared" si="5"/>
        <v>82</v>
      </c>
      <c r="BT3" s="69">
        <f t="shared" si="6"/>
        <v>114</v>
      </c>
      <c r="BU3" s="70">
        <f t="shared" si="7"/>
        <v>118</v>
      </c>
      <c r="BV3" s="69">
        <f t="shared" si="8"/>
        <v>154</v>
      </c>
      <c r="BW3" s="70">
        <f t="shared" si="9"/>
        <v>163</v>
      </c>
      <c r="BX3" s="69">
        <f t="shared" si="10"/>
        <v>199</v>
      </c>
      <c r="BY3" s="70">
        <f t="shared" si="11"/>
        <v>205</v>
      </c>
      <c r="BZ3" s="69">
        <f t="shared" si="12"/>
        <v>304</v>
      </c>
      <c r="CA3" s="70">
        <f t="shared" si="13"/>
        <v>348</v>
      </c>
      <c r="CB3" s="69">
        <f t="shared" si="14"/>
        <v>373</v>
      </c>
      <c r="CC3" s="68">
        <f t="shared" si="15"/>
        <v>77</v>
      </c>
      <c r="CD3" s="69">
        <f t="shared" si="16"/>
        <v>81</v>
      </c>
      <c r="CE3" s="70">
        <f t="shared" si="17"/>
        <v>112</v>
      </c>
      <c r="CF3" s="70">
        <f t="shared" si="18"/>
        <v>117</v>
      </c>
      <c r="CG3" s="70">
        <f t="shared" si="19"/>
        <v>153</v>
      </c>
      <c r="CH3" s="70">
        <f t="shared" si="20"/>
        <v>161</v>
      </c>
      <c r="CI3" s="70">
        <f t="shared" si="21"/>
        <v>184</v>
      </c>
      <c r="CJ3" s="70">
        <f t="shared" si="22"/>
        <v>201</v>
      </c>
      <c r="CK3" s="70">
        <f t="shared" si="23"/>
        <v>238</v>
      </c>
      <c r="CL3" s="70">
        <f t="shared" si="24"/>
        <v>339</v>
      </c>
      <c r="CM3" s="70">
        <f t="shared" si="25"/>
        <v>372</v>
      </c>
      <c r="CN3" s="70">
        <f t="shared" si="26"/>
        <v>384</v>
      </c>
      <c r="CO3" s="57">
        <f t="shared" si="27"/>
        <v>1</v>
      </c>
    </row>
    <row r="4" spans="1:93" x14ac:dyDescent="0.2">
      <c r="A4" s="3" t="str">
        <f t="shared" si="0"/>
        <v>5ht1b_human_4IAR</v>
      </c>
      <c r="B4" s="3" t="s">
        <v>208</v>
      </c>
      <c r="C4" s="3" t="s">
        <v>251</v>
      </c>
      <c r="D4" s="3" t="str">
        <f>IFERROR(MID(VLOOKUP($B4,Seqs!$A:$B,2,FALSE),E4,1),"")</f>
        <v>L</v>
      </c>
      <c r="E4" s="3">
        <v>46</v>
      </c>
      <c r="F4" s="3" t="str">
        <f>IFERROR(MID(VLOOKUP($B4,Seqs!$A:$B,2,FALSE),G4,1),"")</f>
        <v>T</v>
      </c>
      <c r="G4" s="3">
        <v>77</v>
      </c>
      <c r="H4" s="3" t="str">
        <f>IFERROR(MID(VLOOKUP($B4,Seqs!$A:$B,2,FALSE),I4,1),"")</f>
        <v>R</v>
      </c>
      <c r="I4" s="57">
        <v>78</v>
      </c>
      <c r="J4" s="3" t="str">
        <f>IFERROR(MID(VLOOKUP($B4,Seqs!$A:$B,2,FALSE),K4,1),"")</f>
        <v>H</v>
      </c>
      <c r="K4" s="57">
        <v>81</v>
      </c>
      <c r="L4" s="3" t="str">
        <f>IFERROR(MID(VLOOKUP($B4,Seqs!$A:$B,2,FALSE),M4,1),"")</f>
        <v>T</v>
      </c>
      <c r="M4" s="3">
        <v>82</v>
      </c>
      <c r="N4" s="3" t="str">
        <f>IFERROR(MID(VLOOKUP($B4,Seqs!$A:$B,2,FALSE),O4,1),"")</f>
        <v>T</v>
      </c>
      <c r="O4" s="3">
        <v>112</v>
      </c>
      <c r="P4" s="3" t="str">
        <f>IFERROR(MID(VLOOKUP($B4,Seqs!$A:$B,2,FALSE),Q4,1),"")</f>
        <v>R</v>
      </c>
      <c r="Q4" s="3">
        <v>114</v>
      </c>
      <c r="R4" s="3" t="str">
        <f>IFERROR(MID(VLOOKUP($B4,Seqs!$A:$B,2,FALSE),S4,1),"")</f>
        <v>L</v>
      </c>
      <c r="S4" s="3">
        <v>117</v>
      </c>
      <c r="T4" s="3" t="str">
        <f>IFERROR(MID(VLOOKUP($B4,Seqs!$A:$B,2,FALSE),U4,1),"")</f>
        <v>G</v>
      </c>
      <c r="U4" s="3">
        <v>118</v>
      </c>
      <c r="V4" s="3" t="str">
        <f>IFERROR(MID(VLOOKUP($B4,Seqs!$A:$B,2,FALSE),W4,1),"")</f>
        <v>D</v>
      </c>
      <c r="W4" s="3">
        <v>153</v>
      </c>
      <c r="X4" s="3" t="str">
        <f>IFERROR(MID(VLOOKUP($B4,Seqs!$A:$B,2,FALSE),Y4,1),"")</f>
        <v>A</v>
      </c>
      <c r="Y4" s="3">
        <v>154</v>
      </c>
      <c r="Z4" s="3" t="str">
        <f>IFERROR(MID(VLOOKUP($B4,Seqs!$A:$B,2,FALSE),AA4,1),"")</f>
        <v>R</v>
      </c>
      <c r="AA4" s="3">
        <v>161</v>
      </c>
      <c r="AB4" s="3" t="str">
        <f>IFERROR(MID(VLOOKUP($B4,Seqs!$A:$B,2,FALSE),AC4,1),"")</f>
        <v>P</v>
      </c>
      <c r="AC4" s="3">
        <v>163</v>
      </c>
      <c r="AD4" s="3" t="str">
        <f>IFERROR(MID(VLOOKUP($B4,Seqs!$A:$B,2,FALSE),AE4,1),"")</f>
        <v>P</v>
      </c>
      <c r="AE4" s="3">
        <v>184</v>
      </c>
      <c r="AF4" s="3" t="str">
        <f>IFERROR(MID(VLOOKUP($B4,Seqs!$A:$B,2,FALSE),AG4,1),"")</f>
        <v>C</v>
      </c>
      <c r="AG4" s="3">
        <v>199</v>
      </c>
      <c r="AH4" s="3" t="str">
        <f>IFERROR(MID(VLOOKUP($B4,Seqs!$A:$B,2,FALSE),AI4,1),"")</f>
        <v>V</v>
      </c>
      <c r="AI4" s="3">
        <v>201</v>
      </c>
      <c r="AJ4" s="3" t="str">
        <f>IFERROR(MID(VLOOKUP($B4,Seqs!$A:$B,2,FALSE),AK4,1),"")</f>
        <v>H</v>
      </c>
      <c r="AK4" s="3">
        <v>205</v>
      </c>
      <c r="AL4" s="3" t="str">
        <f>IFERROR(MID(VLOOKUP($B4,Seqs!$A:$B,2,FALSE),AM4,1),"")</f>
        <v>I</v>
      </c>
      <c r="AM4" s="3">
        <v>239</v>
      </c>
      <c r="AN4" s="3" t="str">
        <f>IFERROR(MID(VLOOKUP($B4,Seqs!$A:$B,2,FALSE),AO4,1),"")</f>
        <v>R</v>
      </c>
      <c r="AO4" s="3">
        <v>310</v>
      </c>
      <c r="AP4" s="3" t="str">
        <f>IFERROR(MID(VLOOKUP($B4,Seqs!$A:$B,2,FALSE),AQ4,1),"")</f>
        <v>I</v>
      </c>
      <c r="AQ4" s="3">
        <v>339</v>
      </c>
      <c r="AR4" s="3" t="str">
        <f>IFERROR(MID(VLOOKUP($B4,Seqs!$A:$B,2,FALSE),AS4,1),"")</f>
        <v>H</v>
      </c>
      <c r="AS4" s="3">
        <v>347</v>
      </c>
      <c r="AT4" s="3" t="str">
        <f>IFERROR(MID(VLOOKUP($B4,Seqs!$A:$B,2,FALSE),AU4,1),"")</f>
        <v>M</v>
      </c>
      <c r="AU4" s="3">
        <v>371</v>
      </c>
      <c r="AV4" s="3" t="str">
        <f>IFERROR(MID(VLOOKUP($B4,Seqs!$A:$B,2,FALSE),AW4,1),"")</f>
        <v>N</v>
      </c>
      <c r="AW4" s="3">
        <v>373</v>
      </c>
      <c r="AX4" s="3" t="str">
        <f>IFERROR(MID(VLOOKUP($B4,Seqs!$A:$B,2,FALSE),AY4,1),"")</f>
        <v>I</v>
      </c>
      <c r="AY4" s="3">
        <v>384</v>
      </c>
      <c r="AZ4" s="83" t="str">
        <f>VLOOKUP(B4,Classification!A:D,2,FALSE)</f>
        <v>A</v>
      </c>
      <c r="BC4" s="57">
        <f t="shared" si="1"/>
        <v>242</v>
      </c>
      <c r="BD4" s="63" t="b">
        <f t="shared" si="2"/>
        <v>1</v>
      </c>
      <c r="BE4" s="68" t="s">
        <v>1514</v>
      </c>
      <c r="BF4" s="75" t="s">
        <v>1514</v>
      </c>
      <c r="BG4" s="75" t="s">
        <v>1514</v>
      </c>
      <c r="BH4" s="75" t="s">
        <v>1514</v>
      </c>
      <c r="BI4" s="75" t="s">
        <v>1514</v>
      </c>
      <c r="BJ4" s="75" t="s">
        <v>1514</v>
      </c>
      <c r="BK4" s="75" t="s">
        <v>1514</v>
      </c>
      <c r="BL4" s="75" t="s">
        <v>1514</v>
      </c>
      <c r="BM4" s="75" t="s">
        <v>1514</v>
      </c>
      <c r="BN4" s="75" t="s">
        <v>1514</v>
      </c>
      <c r="BO4" s="75" t="s">
        <v>1514</v>
      </c>
      <c r="BP4" s="75" t="s">
        <v>1514</v>
      </c>
      <c r="BQ4" s="68">
        <f t="shared" si="3"/>
        <v>46</v>
      </c>
      <c r="BR4" s="69">
        <f t="shared" si="4"/>
        <v>78</v>
      </c>
      <c r="BS4" s="70">
        <f t="shared" si="5"/>
        <v>82</v>
      </c>
      <c r="BT4" s="69">
        <f t="shared" si="6"/>
        <v>114</v>
      </c>
      <c r="BU4" s="70">
        <f t="shared" si="7"/>
        <v>118</v>
      </c>
      <c r="BV4" s="69">
        <f t="shared" si="8"/>
        <v>154</v>
      </c>
      <c r="BW4" s="70">
        <f t="shared" si="9"/>
        <v>163</v>
      </c>
      <c r="BX4" s="69">
        <f t="shared" si="10"/>
        <v>199</v>
      </c>
      <c r="BY4" s="70">
        <f t="shared" si="11"/>
        <v>205</v>
      </c>
      <c r="BZ4" s="69">
        <f t="shared" si="12"/>
        <v>310</v>
      </c>
      <c r="CA4" s="70">
        <f t="shared" si="13"/>
        <v>347</v>
      </c>
      <c r="CB4" s="69">
        <f t="shared" si="14"/>
        <v>373</v>
      </c>
      <c r="CC4" s="68">
        <f t="shared" si="15"/>
        <v>77</v>
      </c>
      <c r="CD4" s="69">
        <f t="shared" si="16"/>
        <v>81</v>
      </c>
      <c r="CE4" s="70">
        <f t="shared" si="17"/>
        <v>112</v>
      </c>
      <c r="CF4" s="70">
        <f t="shared" si="18"/>
        <v>117</v>
      </c>
      <c r="CG4" s="70">
        <f t="shared" si="19"/>
        <v>153</v>
      </c>
      <c r="CH4" s="70">
        <f t="shared" si="20"/>
        <v>161</v>
      </c>
      <c r="CI4" s="70">
        <f t="shared" si="21"/>
        <v>184</v>
      </c>
      <c r="CJ4" s="70">
        <f t="shared" si="22"/>
        <v>201</v>
      </c>
      <c r="CK4" s="70">
        <f t="shared" si="23"/>
        <v>239</v>
      </c>
      <c r="CL4" s="70">
        <f t="shared" si="24"/>
        <v>339</v>
      </c>
      <c r="CM4" s="70">
        <f t="shared" si="25"/>
        <v>371</v>
      </c>
      <c r="CN4" s="70">
        <f t="shared" si="26"/>
        <v>384</v>
      </c>
      <c r="CO4" s="57">
        <f t="shared" si="27"/>
        <v>1</v>
      </c>
    </row>
    <row r="5" spans="1:93" x14ac:dyDescent="0.2">
      <c r="A5" s="3" t="str">
        <f t="shared" si="0"/>
        <v>5ht2b_human__wt</v>
      </c>
      <c r="B5" s="3" t="s">
        <v>209</v>
      </c>
      <c r="C5" s="3" t="s">
        <v>294</v>
      </c>
      <c r="D5" s="3" t="str">
        <f>IFERROR(MID(VLOOKUP($B5,Seqs!$A:$B,2,FALSE),E5,1),"")</f>
        <v>L</v>
      </c>
      <c r="E5" s="3">
        <v>54</v>
      </c>
      <c r="F5" s="3" t="str">
        <f>IFERROR(MID(VLOOKUP($B5,Seqs!$A:$B,2,FALSE),G5,1),"")</f>
        <v>E</v>
      </c>
      <c r="G5" s="3">
        <v>82</v>
      </c>
      <c r="H5" s="3" t="str">
        <f>IFERROR(MID(VLOOKUP($B5,Seqs!$A:$B,2,FALSE),I5,1),"")</f>
        <v>K</v>
      </c>
      <c r="I5" s="57">
        <v>83</v>
      </c>
      <c r="J5" s="3" t="str">
        <f>IFERROR(MID(VLOOKUP($B5,Seqs!$A:$B,2,FALSE),K5,1),"")</f>
        <v>Q</v>
      </c>
      <c r="K5" s="57">
        <v>86</v>
      </c>
      <c r="L5" s="3" t="str">
        <f>IFERROR(MID(VLOOKUP($B5,Seqs!$A:$B,2,FALSE),M5,1),"")</f>
        <v>Y</v>
      </c>
      <c r="M5" s="3">
        <v>87</v>
      </c>
      <c r="N5" s="3" t="str">
        <f>IFERROR(MID(VLOOKUP($B5,Seqs!$A:$B,2,FALSE),O5,1),"")</f>
        <v>F</v>
      </c>
      <c r="O5" s="3">
        <v>117</v>
      </c>
      <c r="P5" s="3" t="str">
        <f>IFERROR(MID(VLOOKUP($B5,Seqs!$A:$B,2,FALSE),Q5,1),"")</f>
        <v>M</v>
      </c>
      <c r="Q5" s="3">
        <v>120</v>
      </c>
      <c r="R5" s="3" t="str">
        <f>IFERROR(MID(VLOOKUP($B5,Seqs!$A:$B,2,FALSE),S5,1),"")</f>
        <v>L</v>
      </c>
      <c r="S5" s="3">
        <v>123</v>
      </c>
      <c r="T5" s="3" t="str">
        <f>IFERROR(MID(VLOOKUP($B5,Seqs!$A:$B,2,FALSE),U5,1),"")</f>
        <v>P</v>
      </c>
      <c r="U5" s="3">
        <v>124</v>
      </c>
      <c r="V5" s="3" t="str">
        <f>IFERROR(MID(VLOOKUP($B5,Seqs!$A:$B,2,FALSE),W5,1),"")</f>
        <v>K</v>
      </c>
      <c r="W5" s="3">
        <v>159</v>
      </c>
      <c r="X5" s="3" t="str">
        <f>IFERROR(MID(VLOOKUP($B5,Seqs!$A:$B,2,FALSE),Y5,1),"")</f>
        <v>P</v>
      </c>
      <c r="Y5" s="3">
        <v>160</v>
      </c>
      <c r="Z5" s="3" t="str">
        <f>IFERROR(MID(VLOOKUP($B5,Seqs!$A:$B,2,FALSE),AA5,1),"")</f>
        <v>N</v>
      </c>
      <c r="AA5" s="3">
        <v>167</v>
      </c>
      <c r="AB5" s="3" t="str">
        <f>IFERROR(MID(VLOOKUP($B5,Seqs!$A:$B,2,FALSE),AC5,1),"")</f>
        <v>R</v>
      </c>
      <c r="AC5" s="3">
        <v>169</v>
      </c>
      <c r="AD5" s="3" t="str">
        <f>IFERROR(MID(VLOOKUP($B5,Seqs!$A:$B,2,FALSE),AE5,1),"")</f>
        <v>G</v>
      </c>
      <c r="AE5" s="3">
        <v>194</v>
      </c>
      <c r="AF5" s="3" t="str">
        <f>IFERROR(MID(VLOOKUP($B5,Seqs!$A:$B,2,FALSE),AG5,1),"")</f>
        <v>C</v>
      </c>
      <c r="AG5" s="3">
        <v>207</v>
      </c>
      <c r="AH5" s="3" t="str">
        <f>IFERROR(MID(VLOOKUP($B5,Seqs!$A:$B,2,FALSE),AI5,1),"")</f>
        <v>L</v>
      </c>
      <c r="AI5" s="3">
        <v>209</v>
      </c>
      <c r="AJ5" s="3" t="str">
        <f>IFERROR(MID(VLOOKUP($B5,Seqs!$A:$B,2,FALSE),AK5,1),"")</f>
        <v>F</v>
      </c>
      <c r="AK5" s="3">
        <v>214</v>
      </c>
      <c r="AL5" s="3" t="str">
        <f>IFERROR(MID(VLOOKUP($B5,Seqs!$A:$B,2,FALSE),AM5,1),"")</f>
        <v>P</v>
      </c>
      <c r="AM5" s="3">
        <v>255</v>
      </c>
      <c r="AN5" s="3" t="str">
        <f>IFERROR(MID(VLOOKUP($B5,Seqs!$A:$B,2,FALSE),AO5,1),"")</f>
        <v>V</v>
      </c>
      <c r="AO5" s="3">
        <v>313</v>
      </c>
      <c r="AP5" s="3" t="str">
        <f>IFERROR(MID(VLOOKUP($B5,Seqs!$A:$B,2,FALSE),AQ5,1),"")</f>
        <v>C</v>
      </c>
      <c r="AQ5" s="3">
        <v>350</v>
      </c>
      <c r="AR5" s="3" t="str">
        <f>IFERROR(MID(VLOOKUP($B5,Seqs!$A:$B,2,FALSE),AS5,1),"")</f>
        <v>Q</v>
      </c>
      <c r="AS5" s="3">
        <v>355</v>
      </c>
      <c r="AT5" s="3" t="str">
        <f>IFERROR(MID(VLOOKUP($B5,Seqs!$A:$B,2,FALSE),AU5,1),"")</f>
        <v>F</v>
      </c>
      <c r="AU5" s="3">
        <v>383</v>
      </c>
      <c r="AV5" s="3" t="str">
        <f>IFERROR(MID(VLOOKUP($B5,Seqs!$A:$B,2,FALSE),AW5,1),"")</f>
        <v>N</v>
      </c>
      <c r="AW5" s="3">
        <v>384</v>
      </c>
      <c r="AX5" s="3" t="str">
        <f>IFERROR(MID(VLOOKUP($B5,Seqs!$A:$B,2,FALSE),AY5,1),"")</f>
        <v>I</v>
      </c>
      <c r="AY5" s="3">
        <v>395</v>
      </c>
      <c r="AZ5" s="83" t="str">
        <f>VLOOKUP(B5,Classification!A:D,2,FALSE)</f>
        <v>A</v>
      </c>
      <c r="BB5" s="82">
        <f>S5-Q5+1</f>
        <v>4</v>
      </c>
      <c r="BC5" s="57">
        <f t="shared" si="1"/>
        <v>262</v>
      </c>
      <c r="BD5" s="63" t="b">
        <f t="shared" si="2"/>
        <v>1</v>
      </c>
      <c r="BE5" s="68" t="s">
        <v>1514</v>
      </c>
      <c r="BF5" s="75" t="s">
        <v>1514</v>
      </c>
      <c r="BG5" s="75" t="s">
        <v>1514</v>
      </c>
      <c r="BH5" s="75" t="s">
        <v>1514</v>
      </c>
      <c r="BI5" s="75" t="s">
        <v>1514</v>
      </c>
      <c r="BJ5" s="75" t="s">
        <v>1514</v>
      </c>
      <c r="BK5" s="75" t="s">
        <v>1514</v>
      </c>
      <c r="BL5" s="75" t="s">
        <v>1514</v>
      </c>
      <c r="BM5" s="75" t="s">
        <v>1514</v>
      </c>
      <c r="BN5" s="75" t="s">
        <v>1514</v>
      </c>
      <c r="BO5" s="75" t="s">
        <v>1514</v>
      </c>
      <c r="BP5" s="75" t="s">
        <v>1514</v>
      </c>
      <c r="BQ5" s="68">
        <f t="shared" si="3"/>
        <v>54</v>
      </c>
      <c r="BR5" s="69">
        <f t="shared" si="4"/>
        <v>83</v>
      </c>
      <c r="BS5" s="70">
        <f t="shared" si="5"/>
        <v>87</v>
      </c>
      <c r="BT5" s="69">
        <f t="shared" si="6"/>
        <v>120</v>
      </c>
      <c r="BU5" s="70">
        <f t="shared" si="7"/>
        <v>124</v>
      </c>
      <c r="BV5" s="69">
        <f t="shared" si="8"/>
        <v>160</v>
      </c>
      <c r="BW5" s="70">
        <f t="shared" si="9"/>
        <v>169</v>
      </c>
      <c r="BX5" s="69">
        <f t="shared" si="10"/>
        <v>207</v>
      </c>
      <c r="BY5" s="70">
        <f t="shared" si="11"/>
        <v>214</v>
      </c>
      <c r="BZ5" s="69">
        <f t="shared" si="12"/>
        <v>313</v>
      </c>
      <c r="CA5" s="70">
        <f t="shared" si="13"/>
        <v>355</v>
      </c>
      <c r="CB5" s="69">
        <f t="shared" si="14"/>
        <v>384</v>
      </c>
      <c r="CC5" s="68">
        <f t="shared" si="15"/>
        <v>82</v>
      </c>
      <c r="CD5" s="69">
        <f t="shared" si="16"/>
        <v>86</v>
      </c>
      <c r="CE5" s="70">
        <f t="shared" si="17"/>
        <v>117</v>
      </c>
      <c r="CF5" s="70">
        <f t="shared" si="18"/>
        <v>123</v>
      </c>
      <c r="CG5" s="70">
        <f t="shared" si="19"/>
        <v>159</v>
      </c>
      <c r="CH5" s="70">
        <f t="shared" si="20"/>
        <v>167</v>
      </c>
      <c r="CI5" s="70">
        <f t="shared" si="21"/>
        <v>194</v>
      </c>
      <c r="CJ5" s="70">
        <f t="shared" si="22"/>
        <v>209</v>
      </c>
      <c r="CK5" s="70">
        <f t="shared" si="23"/>
        <v>255</v>
      </c>
      <c r="CL5" s="70">
        <f t="shared" si="24"/>
        <v>350</v>
      </c>
      <c r="CM5" s="70">
        <f t="shared" si="25"/>
        <v>383</v>
      </c>
      <c r="CN5" s="70">
        <f t="shared" si="26"/>
        <v>395</v>
      </c>
      <c r="CO5" s="57">
        <f t="shared" si="27"/>
        <v>1</v>
      </c>
    </row>
    <row r="6" spans="1:93" x14ac:dyDescent="0.2">
      <c r="A6" s="3" t="str">
        <f t="shared" ref="A6" si="28">CONCATENATE(B6,"_",C6)</f>
        <v>5ht2b_human_4IB4</v>
      </c>
      <c r="B6" s="3" t="s">
        <v>209</v>
      </c>
      <c r="C6" s="3" t="s">
        <v>261</v>
      </c>
      <c r="D6" s="3" t="str">
        <f>IFERROR(MID(VLOOKUP($B6,Seqs!$A:$B,2,FALSE),E6,1),"")</f>
        <v>L</v>
      </c>
      <c r="E6" s="3">
        <v>54</v>
      </c>
      <c r="F6" s="3" t="str">
        <f>IFERROR(MID(VLOOKUP($B6,Seqs!$A:$B,2,FALSE),G6,1),"")</f>
        <v>E</v>
      </c>
      <c r="G6" s="3">
        <v>82</v>
      </c>
      <c r="H6" s="3" t="str">
        <f>IFERROR(MID(VLOOKUP($B6,Seqs!$A:$B,2,FALSE),I6,1),"")</f>
        <v>K</v>
      </c>
      <c r="I6" s="57">
        <v>83</v>
      </c>
      <c r="J6" s="3" t="str">
        <f>IFERROR(MID(VLOOKUP($B6,Seqs!$A:$B,2,FALSE),K6,1),"")</f>
        <v>Q</v>
      </c>
      <c r="K6" s="57">
        <v>86</v>
      </c>
      <c r="L6" s="3" t="str">
        <f>IFERROR(MID(VLOOKUP($B6,Seqs!$A:$B,2,FALSE),M6,1),"")</f>
        <v>Y</v>
      </c>
      <c r="M6" s="3">
        <v>87</v>
      </c>
      <c r="N6" s="3" t="str">
        <f>IFERROR(MID(VLOOKUP($B6,Seqs!$A:$B,2,FALSE),O6,1),"")</f>
        <v>F</v>
      </c>
      <c r="O6" s="3">
        <v>117</v>
      </c>
      <c r="P6" s="3" t="str">
        <f>IFERROR(MID(VLOOKUP($B6,Seqs!$A:$B,2,FALSE),Q6,1),"")</f>
        <v>M</v>
      </c>
      <c r="Q6" s="3">
        <v>120</v>
      </c>
      <c r="R6" s="3" t="str">
        <f>IFERROR(MID(VLOOKUP($B6,Seqs!$A:$B,2,FALSE),S6,1),"")</f>
        <v>L</v>
      </c>
      <c r="S6" s="3">
        <v>123</v>
      </c>
      <c r="T6" s="3" t="str">
        <f>IFERROR(MID(VLOOKUP($B6,Seqs!$A:$B,2,FALSE),U6,1),"")</f>
        <v>P</v>
      </c>
      <c r="U6" s="3">
        <v>124</v>
      </c>
      <c r="V6" s="3" t="str">
        <f>IFERROR(MID(VLOOKUP($B6,Seqs!$A:$B,2,FALSE),W6,1),"")</f>
        <v>K</v>
      </c>
      <c r="W6" s="3">
        <v>159</v>
      </c>
      <c r="X6" s="3" t="str">
        <f>IFERROR(MID(VLOOKUP($B6,Seqs!$A:$B,2,FALSE),Y6,1),"")</f>
        <v/>
      </c>
      <c r="Y6" s="3" t="s">
        <v>129</v>
      </c>
      <c r="Z6" s="3" t="str">
        <f>IFERROR(MID(VLOOKUP($B6,Seqs!$A:$B,2,FALSE),AA6,1),"")</f>
        <v/>
      </c>
      <c r="AA6" s="3" t="s">
        <v>129</v>
      </c>
      <c r="AB6" s="3" t="str">
        <f>IFERROR(MID(VLOOKUP($B6,Seqs!$A:$B,2,FALSE),AC6,1),"")</f>
        <v>A</v>
      </c>
      <c r="AC6" s="3">
        <v>170</v>
      </c>
      <c r="AD6" s="3" t="str">
        <f>IFERROR(MID(VLOOKUP($B6,Seqs!$A:$B,2,FALSE),AE6,1),"")</f>
        <v>G</v>
      </c>
      <c r="AE6" s="3">
        <v>194</v>
      </c>
      <c r="AF6" s="3" t="str">
        <f>IFERROR(MID(VLOOKUP($B6,Seqs!$A:$B,2,FALSE),AG6,1),"")</f>
        <v>C</v>
      </c>
      <c r="AG6" s="3">
        <v>207</v>
      </c>
      <c r="AH6" s="3" t="str">
        <f>IFERROR(MID(VLOOKUP($B6,Seqs!$A:$B,2,FALSE),AI6,1),"")</f>
        <v>L</v>
      </c>
      <c r="AI6" s="3">
        <v>209</v>
      </c>
      <c r="AJ6" s="3" t="str">
        <f>IFERROR(MID(VLOOKUP($B6,Seqs!$A:$B,2,FALSE),AK6,1),"")</f>
        <v>F</v>
      </c>
      <c r="AK6" s="3">
        <v>214</v>
      </c>
      <c r="AL6" s="3" t="str">
        <f>IFERROR(MID(VLOOKUP($B6,Seqs!$A:$B,2,FALSE),AM6,1),"")</f>
        <v>K</v>
      </c>
      <c r="AM6" s="3">
        <v>246</v>
      </c>
      <c r="AN6" s="3" t="str">
        <f>IFERROR(MID(VLOOKUP($B6,Seqs!$A:$B,2,FALSE),AO6,1),"")</f>
        <v>S</v>
      </c>
      <c r="AO6" s="3">
        <v>317</v>
      </c>
      <c r="AP6" s="3" t="str">
        <f>IFERROR(MID(VLOOKUP($B6,Seqs!$A:$B,2,FALSE),AQ6,1),"")</f>
        <v>C</v>
      </c>
      <c r="AQ6" s="3">
        <v>350</v>
      </c>
      <c r="AR6" s="3" t="str">
        <f>IFERROR(MID(VLOOKUP($B6,Seqs!$A:$B,2,FALSE),AS6,1),"")</f>
        <v>Q</v>
      </c>
      <c r="AS6" s="3">
        <v>355</v>
      </c>
      <c r="AT6" s="3" t="str">
        <f>IFERROR(MID(VLOOKUP($B6,Seqs!$A:$B,2,FALSE),AU6,1),"")</f>
        <v>F</v>
      </c>
      <c r="AU6" s="3">
        <v>383</v>
      </c>
      <c r="AV6" s="3" t="str">
        <f>IFERROR(MID(VLOOKUP($B6,Seqs!$A:$B,2,FALSE),AW6,1),"")</f>
        <v>N</v>
      </c>
      <c r="AW6" s="3">
        <v>384</v>
      </c>
      <c r="AX6" s="3" t="str">
        <f>IFERROR(MID(VLOOKUP($B6,Seqs!$A:$B,2,FALSE),AY6,1),"")</f>
        <v>I</v>
      </c>
      <c r="AY6" s="3">
        <v>395</v>
      </c>
      <c r="AZ6" s="83" t="str">
        <f>VLOOKUP(B6,Classification!A:D,2,FALSE)</f>
        <v>A</v>
      </c>
      <c r="BB6" s="35" t="s">
        <v>1315</v>
      </c>
      <c r="BC6" s="57">
        <f t="shared" ref="BC6" si="29">_xlfn.AGGREGATE(9,6,CC6:CN6)-_xlfn.AGGREGATE(9,6,BQ6:CB6)+12</f>
        <v>241</v>
      </c>
      <c r="BD6" s="63" t="b">
        <f t="shared" ref="BD6" si="30"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E6" s="68" t="s">
        <v>1514</v>
      </c>
      <c r="BF6" s="75" t="s">
        <v>1514</v>
      </c>
      <c r="BG6" s="75" t="s">
        <v>1514</v>
      </c>
      <c r="BH6" s="75" t="s">
        <v>1514</v>
      </c>
      <c r="BI6" s="75" t="s">
        <v>1514</v>
      </c>
      <c r="BJ6" s="75" t="s">
        <v>1514</v>
      </c>
      <c r="BK6" s="75" t="s">
        <v>1514</v>
      </c>
      <c r="BL6" s="75" t="s">
        <v>1514</v>
      </c>
      <c r="BM6" s="75" t="s">
        <v>1514</v>
      </c>
      <c r="BN6" s="75" t="s">
        <v>1514</v>
      </c>
      <c r="BO6" s="75" t="s">
        <v>1514</v>
      </c>
      <c r="BP6" s="75" t="s">
        <v>1514</v>
      </c>
      <c r="BQ6" s="68">
        <f t="shared" ref="BQ6" si="31">E6</f>
        <v>54</v>
      </c>
      <c r="BR6" s="69">
        <f t="shared" ref="BR6" si="32">I6</f>
        <v>83</v>
      </c>
      <c r="BS6" s="70">
        <f t="shared" ref="BS6" si="33">M6</f>
        <v>87</v>
      </c>
      <c r="BT6" s="69">
        <f t="shared" ref="BT6" si="34">Q6</f>
        <v>120</v>
      </c>
      <c r="BU6" s="70">
        <f t="shared" ref="BU6" si="35">U6</f>
        <v>124</v>
      </c>
      <c r="BV6" s="69" t="str">
        <f t="shared" ref="BV6" si="36">Y6</f>
        <v>-</v>
      </c>
      <c r="BW6" s="70">
        <f t="shared" ref="BW6" si="37">AC6</f>
        <v>170</v>
      </c>
      <c r="BX6" s="69">
        <f t="shared" ref="BX6" si="38">AG6</f>
        <v>207</v>
      </c>
      <c r="BY6" s="70">
        <f t="shared" ref="BY6" si="39">AK6</f>
        <v>214</v>
      </c>
      <c r="BZ6" s="69">
        <f t="shared" ref="BZ6" si="40">AO6</f>
        <v>317</v>
      </c>
      <c r="CA6" s="70">
        <f t="shared" ref="CA6" si="41">AS6</f>
        <v>355</v>
      </c>
      <c r="CB6" s="69">
        <f t="shared" ref="CB6" si="42">AW6</f>
        <v>384</v>
      </c>
      <c r="CC6" s="68">
        <f t="shared" ref="CC6" si="43">G6</f>
        <v>82</v>
      </c>
      <c r="CD6" s="69">
        <f t="shared" ref="CD6" si="44">K6</f>
        <v>86</v>
      </c>
      <c r="CE6" s="70">
        <f t="shared" ref="CE6" si="45">O6</f>
        <v>117</v>
      </c>
      <c r="CF6" s="70">
        <f t="shared" ref="CF6" si="46">S6</f>
        <v>123</v>
      </c>
      <c r="CG6" s="70">
        <f t="shared" ref="CG6" si="47">W6</f>
        <v>159</v>
      </c>
      <c r="CH6" s="70" t="str">
        <f t="shared" ref="CH6" si="48">AA6</f>
        <v>-</v>
      </c>
      <c r="CI6" s="70">
        <f t="shared" ref="CI6" si="49">AE6</f>
        <v>194</v>
      </c>
      <c r="CJ6" s="70">
        <f t="shared" ref="CJ6" si="50">AI6</f>
        <v>209</v>
      </c>
      <c r="CK6" s="70">
        <f t="shared" ref="CK6" si="51">AM6</f>
        <v>246</v>
      </c>
      <c r="CL6" s="70">
        <f t="shared" ref="CL6" si="52">AQ6</f>
        <v>350</v>
      </c>
      <c r="CM6" s="70">
        <f t="shared" ref="CM6" si="53">AU6</f>
        <v>383</v>
      </c>
      <c r="CN6" s="70">
        <f t="shared" ref="CN6" si="54">AY6</f>
        <v>395</v>
      </c>
      <c r="CO6" s="57">
        <f t="shared" ref="CO6" si="55">M6-K6</f>
        <v>1</v>
      </c>
    </row>
    <row r="7" spans="1:93" x14ac:dyDescent="0.2">
      <c r="A7" s="3" t="str">
        <f t="shared" si="0"/>
        <v>5ht2b_human_4NC3</v>
      </c>
      <c r="B7" s="3" t="s">
        <v>209</v>
      </c>
      <c r="C7" s="3" t="s">
        <v>1535</v>
      </c>
      <c r="D7" s="3" t="str">
        <f>IFERROR(MID(VLOOKUP($B7,Seqs!$A:$B,2,FALSE),E7,1),"")</f>
        <v>L</v>
      </c>
      <c r="E7" s="3">
        <v>54</v>
      </c>
      <c r="F7" s="3" t="str">
        <f>IFERROR(MID(VLOOKUP($B7,Seqs!$A:$B,2,FALSE),G7,1),"")</f>
        <v>E</v>
      </c>
      <c r="G7" s="3">
        <v>82</v>
      </c>
      <c r="H7" s="3" t="str">
        <f>IFERROR(MID(VLOOKUP($B7,Seqs!$A:$B,2,FALSE),I7,1),"")</f>
        <v>K</v>
      </c>
      <c r="I7" s="57">
        <v>83</v>
      </c>
      <c r="J7" s="3" t="str">
        <f>IFERROR(MID(VLOOKUP($B7,Seqs!$A:$B,2,FALSE),K7,1),"")</f>
        <v>Q</v>
      </c>
      <c r="K7" s="57">
        <v>86</v>
      </c>
      <c r="L7" s="3" t="str">
        <f>IFERROR(MID(VLOOKUP($B7,Seqs!$A:$B,2,FALSE),M7,1),"")</f>
        <v>Y</v>
      </c>
      <c r="M7" s="3">
        <v>87</v>
      </c>
      <c r="N7" s="3" t="str">
        <f>IFERROR(MID(VLOOKUP($B7,Seqs!$A:$B,2,FALSE),O7,1),"")</f>
        <v>F</v>
      </c>
      <c r="O7" s="3">
        <v>117</v>
      </c>
      <c r="P7" s="3" t="str">
        <f>IFERROR(MID(VLOOKUP($B7,Seqs!$A:$B,2,FALSE),Q7,1),"")</f>
        <v>M</v>
      </c>
      <c r="Q7" s="3">
        <v>120</v>
      </c>
      <c r="R7" s="3" t="str">
        <f>IFERROR(MID(VLOOKUP($B7,Seqs!$A:$B,2,FALSE),S7,1),"")</f>
        <v>L</v>
      </c>
      <c r="S7" s="3">
        <v>123</v>
      </c>
      <c r="T7" s="3" t="str">
        <f>IFERROR(MID(VLOOKUP($B7,Seqs!$A:$B,2,FALSE),U7,1),"")</f>
        <v>P</v>
      </c>
      <c r="U7" s="3">
        <v>124</v>
      </c>
      <c r="V7" s="3" t="str">
        <f>IFERROR(MID(VLOOKUP($B7,Seqs!$A:$B,2,FALSE),W7,1),"")</f>
        <v>K</v>
      </c>
      <c r="W7" s="3">
        <v>159</v>
      </c>
      <c r="X7" s="3" t="str">
        <f>IFERROR(MID(VLOOKUP($B7,Seqs!$A:$B,2,FALSE),Y7,1),"")</f>
        <v/>
      </c>
      <c r="Y7" s="3" t="s">
        <v>129</v>
      </c>
      <c r="Z7" s="3" t="str">
        <f>IFERROR(MID(VLOOKUP($B7,Seqs!$A:$B,2,FALSE),AA7,1),"")</f>
        <v/>
      </c>
      <c r="AA7" s="3" t="s">
        <v>129</v>
      </c>
      <c r="AB7" s="3" t="str">
        <f>IFERROR(MID(VLOOKUP($B7,Seqs!$A:$B,2,FALSE),AC7,1),"")</f>
        <v>A</v>
      </c>
      <c r="AC7" s="3">
        <v>170</v>
      </c>
      <c r="AD7" s="3" t="str">
        <f>IFERROR(MID(VLOOKUP($B7,Seqs!$A:$B,2,FALSE),AE7,1),"")</f>
        <v>G</v>
      </c>
      <c r="AE7" s="3">
        <v>194</v>
      </c>
      <c r="AF7" s="3" t="str">
        <f>IFERROR(MID(VLOOKUP($B7,Seqs!$A:$B,2,FALSE),AG7,1),"")</f>
        <v>C</v>
      </c>
      <c r="AG7" s="3">
        <v>207</v>
      </c>
      <c r="AH7" s="3" t="str">
        <f>IFERROR(MID(VLOOKUP($B7,Seqs!$A:$B,2,FALSE),AI7,1),"")</f>
        <v>L</v>
      </c>
      <c r="AI7" s="3">
        <v>209</v>
      </c>
      <c r="AJ7" s="3" t="str">
        <f>IFERROR(MID(VLOOKUP($B7,Seqs!$A:$B,2,FALSE),AK7,1),"")</f>
        <v>F</v>
      </c>
      <c r="AK7" s="3">
        <v>214</v>
      </c>
      <c r="AL7" s="3" t="str">
        <f>IFERROR(MID(VLOOKUP($B7,Seqs!$A:$B,2,FALSE),AM7,1),"")</f>
        <v>K</v>
      </c>
      <c r="AM7" s="3">
        <v>246</v>
      </c>
      <c r="AN7" s="3" t="str">
        <f>IFERROR(MID(VLOOKUP($B7,Seqs!$A:$B,2,FALSE),AO7,1),"")</f>
        <v>S</v>
      </c>
      <c r="AO7" s="3">
        <v>317</v>
      </c>
      <c r="AP7" s="3" t="str">
        <f>IFERROR(MID(VLOOKUP($B7,Seqs!$A:$B,2,FALSE),AQ7,1),"")</f>
        <v>C</v>
      </c>
      <c r="AQ7" s="3">
        <v>350</v>
      </c>
      <c r="AR7" s="3" t="str">
        <f>IFERROR(MID(VLOOKUP($B7,Seqs!$A:$B,2,FALSE),AS7,1),"")</f>
        <v>Q</v>
      </c>
      <c r="AS7" s="3">
        <v>355</v>
      </c>
      <c r="AT7" s="3" t="str">
        <f>IFERROR(MID(VLOOKUP($B7,Seqs!$A:$B,2,FALSE),AU7,1),"")</f>
        <v>F</v>
      </c>
      <c r="AU7" s="3">
        <v>383</v>
      </c>
      <c r="AV7" s="3" t="str">
        <f>IFERROR(MID(VLOOKUP($B7,Seqs!$A:$B,2,FALSE),AW7,1),"")</f>
        <v>N</v>
      </c>
      <c r="AW7" s="3">
        <v>384</v>
      </c>
      <c r="AX7" s="3" t="str">
        <f>IFERROR(MID(VLOOKUP($B7,Seqs!$A:$B,2,FALSE),AY7,1),"")</f>
        <v>I</v>
      </c>
      <c r="AY7" s="3">
        <v>395</v>
      </c>
      <c r="AZ7" s="83" t="str">
        <f>VLOOKUP(B7,Classification!A:D,2,FALSE)</f>
        <v>A</v>
      </c>
      <c r="BC7" s="57">
        <f t="shared" si="1"/>
        <v>241</v>
      </c>
      <c r="BD7" s="63" t="b">
        <f t="shared" si="2"/>
        <v>1</v>
      </c>
      <c r="BE7" s="68" t="s">
        <v>1514</v>
      </c>
      <c r="BF7" s="75" t="s">
        <v>1514</v>
      </c>
      <c r="BG7" s="75" t="s">
        <v>1514</v>
      </c>
      <c r="BH7" s="75" t="s">
        <v>1514</v>
      </c>
      <c r="BI7" s="75" t="s">
        <v>1514</v>
      </c>
      <c r="BJ7" s="75" t="s">
        <v>1514</v>
      </c>
      <c r="BK7" s="75" t="s">
        <v>1514</v>
      </c>
      <c r="BL7" s="75" t="s">
        <v>1514</v>
      </c>
      <c r="BM7" s="75" t="s">
        <v>1514</v>
      </c>
      <c r="BN7" s="75" t="s">
        <v>1514</v>
      </c>
      <c r="BO7" s="75" t="s">
        <v>1514</v>
      </c>
      <c r="BP7" s="75" t="s">
        <v>1514</v>
      </c>
      <c r="BQ7" s="68">
        <f t="shared" si="3"/>
        <v>54</v>
      </c>
      <c r="BR7" s="69">
        <f t="shared" si="4"/>
        <v>83</v>
      </c>
      <c r="BS7" s="70">
        <f t="shared" si="5"/>
        <v>87</v>
      </c>
      <c r="BT7" s="69">
        <f t="shared" si="6"/>
        <v>120</v>
      </c>
      <c r="BU7" s="70">
        <f t="shared" si="7"/>
        <v>124</v>
      </c>
      <c r="BV7" s="69" t="str">
        <f t="shared" si="8"/>
        <v>-</v>
      </c>
      <c r="BW7" s="70">
        <f t="shared" si="9"/>
        <v>170</v>
      </c>
      <c r="BX7" s="69">
        <f t="shared" si="10"/>
        <v>207</v>
      </c>
      <c r="BY7" s="70">
        <f t="shared" si="11"/>
        <v>214</v>
      </c>
      <c r="BZ7" s="69">
        <f t="shared" si="12"/>
        <v>317</v>
      </c>
      <c r="CA7" s="70">
        <f t="shared" si="13"/>
        <v>355</v>
      </c>
      <c r="CB7" s="69">
        <f t="shared" si="14"/>
        <v>384</v>
      </c>
      <c r="CC7" s="68">
        <f t="shared" si="15"/>
        <v>82</v>
      </c>
      <c r="CD7" s="69">
        <f t="shared" si="16"/>
        <v>86</v>
      </c>
      <c r="CE7" s="70">
        <f t="shared" si="17"/>
        <v>117</v>
      </c>
      <c r="CF7" s="70">
        <f t="shared" si="18"/>
        <v>123</v>
      </c>
      <c r="CG7" s="70">
        <f t="shared" si="19"/>
        <v>159</v>
      </c>
      <c r="CH7" s="70" t="str">
        <f t="shared" si="20"/>
        <v>-</v>
      </c>
      <c r="CI7" s="70">
        <f t="shared" si="21"/>
        <v>194</v>
      </c>
      <c r="CJ7" s="70">
        <f t="shared" si="22"/>
        <v>209</v>
      </c>
      <c r="CK7" s="70">
        <f t="shared" si="23"/>
        <v>246</v>
      </c>
      <c r="CL7" s="70">
        <f t="shared" si="24"/>
        <v>350</v>
      </c>
      <c r="CM7" s="70">
        <f t="shared" si="25"/>
        <v>383</v>
      </c>
      <c r="CN7" s="70">
        <f t="shared" si="26"/>
        <v>395</v>
      </c>
      <c r="CO7" s="57">
        <f t="shared" si="27"/>
        <v>1</v>
      </c>
    </row>
    <row r="8" spans="1:93" x14ac:dyDescent="0.2">
      <c r="A8" s="3" t="str">
        <f t="shared" si="0"/>
        <v>5ht2b_human_4IB4_dist</v>
      </c>
      <c r="B8" s="3" t="s">
        <v>209</v>
      </c>
      <c r="C8" s="3" t="s">
        <v>1384</v>
      </c>
      <c r="D8" s="3" t="str">
        <f>IFERROR(MID(VLOOKUP($B8,Seqs!$A:$B,2,FALSE),E8,1),"")</f>
        <v>L</v>
      </c>
      <c r="E8" s="3">
        <v>54</v>
      </c>
      <c r="F8" s="3" t="str">
        <f>IFERROR(MID(VLOOKUP($B8,Seqs!$A:$B,2,FALSE),G8,1),"")</f>
        <v>E</v>
      </c>
      <c r="G8" s="3">
        <v>82</v>
      </c>
      <c r="H8" s="3" t="str">
        <f>IFERROR(MID(VLOOKUP($B8,Seqs!$A:$B,2,FALSE),I8,1),"")</f>
        <v>K</v>
      </c>
      <c r="I8" s="57">
        <v>83</v>
      </c>
      <c r="J8" s="3" t="str">
        <f>IFERROR(MID(VLOOKUP($B8,Seqs!$A:$B,2,FALSE),K8,1),"")</f>
        <v>Q</v>
      </c>
      <c r="K8" s="57">
        <v>86</v>
      </c>
      <c r="L8" s="3" t="str">
        <f>IFERROR(MID(VLOOKUP($B8,Seqs!$A:$B,2,FALSE),M8,1),"")</f>
        <v>Y</v>
      </c>
      <c r="M8" s="3">
        <v>87</v>
      </c>
      <c r="N8" s="3" t="str">
        <f>IFERROR(MID(VLOOKUP($B8,Seqs!$A:$B,2,FALSE),O8,1),"")</f>
        <v>F</v>
      </c>
      <c r="O8" s="3">
        <v>117</v>
      </c>
      <c r="P8" s="3" t="str">
        <f>IFERROR(MID(VLOOKUP($B8,Seqs!$A:$B,2,FALSE),Q8,1),"")</f>
        <v>M</v>
      </c>
      <c r="Q8" s="3">
        <v>120</v>
      </c>
      <c r="R8" s="3" t="str">
        <f>IFERROR(MID(VLOOKUP($B8,Seqs!$A:$B,2,FALSE),S8,1),"")</f>
        <v>L</v>
      </c>
      <c r="S8" s="3">
        <v>123</v>
      </c>
      <c r="T8" s="3" t="str">
        <f>IFERROR(MID(VLOOKUP($B8,Seqs!$A:$B,2,FALSE),U8,1),"")</f>
        <v>P</v>
      </c>
      <c r="U8" s="3">
        <v>124</v>
      </c>
      <c r="V8" s="3" t="str">
        <f>IFERROR(MID(VLOOKUP($B8,Seqs!$A:$B,2,FALSE),W8,1),"")</f>
        <v>K</v>
      </c>
      <c r="W8" s="3">
        <v>159</v>
      </c>
      <c r="X8" s="3" t="str">
        <f>IFERROR(MID(VLOOKUP($B8,Seqs!$A:$B,2,FALSE),Y8,1),"")</f>
        <v/>
      </c>
      <c r="Y8" s="3" t="s">
        <v>129</v>
      </c>
      <c r="Z8" s="3" t="str">
        <f>IFERROR(MID(VLOOKUP($B8,Seqs!$A:$B,2,FALSE),AA8,1),"")</f>
        <v/>
      </c>
      <c r="AA8" s="3" t="s">
        <v>129</v>
      </c>
      <c r="AB8" s="3" t="str">
        <f>IFERROR(MID(VLOOKUP($B8,Seqs!$A:$B,2,FALSE),AC8,1),"")</f>
        <v>Q</v>
      </c>
      <c r="AC8" s="3">
        <v>165</v>
      </c>
      <c r="AD8" s="3" t="str">
        <f>IFERROR(MID(VLOOKUP($B8,Seqs!$A:$B,2,FALSE),AE8,1),"")</f>
        <v>G</v>
      </c>
      <c r="AE8" s="3">
        <v>194</v>
      </c>
      <c r="AF8" s="3" t="str">
        <f>IFERROR(MID(VLOOKUP($B8,Seqs!$A:$B,2,FALSE),AG8,1),"")</f>
        <v>C</v>
      </c>
      <c r="AG8" s="3">
        <v>207</v>
      </c>
      <c r="AH8" s="3" t="str">
        <f>IFERROR(MID(VLOOKUP($B8,Seqs!$A:$B,2,FALSE),AI8,1),"")</f>
        <v>L</v>
      </c>
      <c r="AI8" s="3">
        <v>209</v>
      </c>
      <c r="AJ8" s="3" t="str">
        <f>IFERROR(MID(VLOOKUP($B8,Seqs!$A:$B,2,FALSE),AK8,1),"")</f>
        <v>F</v>
      </c>
      <c r="AK8" s="3">
        <v>214</v>
      </c>
      <c r="AL8" s="3" t="str">
        <f>IFERROR(MID(VLOOKUP($B8,Seqs!$A:$B,2,FALSE),AM8,1),"")</f>
        <v>K</v>
      </c>
      <c r="AM8" s="3">
        <v>246</v>
      </c>
      <c r="AN8" s="3" t="str">
        <f>IFERROR(MID(VLOOKUP($B8,Seqs!$A:$B,2,FALSE),AO8,1),"")</f>
        <v>S</v>
      </c>
      <c r="AO8" s="3">
        <v>317</v>
      </c>
      <c r="AP8" s="3" t="str">
        <f>IFERROR(MID(VLOOKUP($B8,Seqs!$A:$B,2,FALSE),AQ8,1),"")</f>
        <v>C</v>
      </c>
      <c r="AQ8" s="3">
        <v>350</v>
      </c>
      <c r="AR8" s="3" t="str">
        <f>IFERROR(MID(VLOOKUP($B8,Seqs!$A:$B,2,FALSE),AS8,1),"")</f>
        <v>Q</v>
      </c>
      <c r="AS8" s="3">
        <v>355</v>
      </c>
      <c r="AT8" s="3" t="str">
        <f>IFERROR(MID(VLOOKUP($B8,Seqs!$A:$B,2,FALSE),AU8,1),"")</f>
        <v>F</v>
      </c>
      <c r="AU8" s="3">
        <v>383</v>
      </c>
      <c r="AV8" s="3" t="str">
        <f>IFERROR(MID(VLOOKUP($B8,Seqs!$A:$B,2,FALSE),AW8,1),"")</f>
        <v>N</v>
      </c>
      <c r="AW8" s="3">
        <v>384</v>
      </c>
      <c r="AX8" s="3" t="str">
        <f>IFERROR(MID(VLOOKUP($B8,Seqs!$A:$B,2,FALSE),AY8,1),"")</f>
        <v>I</v>
      </c>
      <c r="AY8" s="3">
        <v>395</v>
      </c>
      <c r="AZ8" s="83" t="str">
        <f>VLOOKUP(B8,Classification!A:D,2,FALSE)</f>
        <v>A</v>
      </c>
      <c r="BC8" s="57">
        <f t="shared" si="1"/>
        <v>246</v>
      </c>
      <c r="BD8" s="63" t="b">
        <f t="shared" si="2"/>
        <v>1</v>
      </c>
      <c r="BE8" s="68" t="s">
        <v>1514</v>
      </c>
      <c r="BF8" s="75" t="s">
        <v>1514</v>
      </c>
      <c r="BG8" s="75" t="s">
        <v>1514</v>
      </c>
      <c r="BH8" s="75" t="s">
        <v>1514</v>
      </c>
      <c r="BI8" s="75" t="s">
        <v>1514</v>
      </c>
      <c r="BJ8" s="75" t="s">
        <v>1514</v>
      </c>
      <c r="BK8" s="75" t="s">
        <v>1514</v>
      </c>
      <c r="BL8" s="75" t="s">
        <v>1514</v>
      </c>
      <c r="BM8" s="75" t="s">
        <v>1514</v>
      </c>
      <c r="BN8" s="75" t="s">
        <v>1514</v>
      </c>
      <c r="BO8" s="75" t="s">
        <v>1514</v>
      </c>
      <c r="BP8" s="75" t="s">
        <v>1514</v>
      </c>
      <c r="BQ8" s="68">
        <f t="shared" si="3"/>
        <v>54</v>
      </c>
      <c r="BR8" s="69">
        <f t="shared" si="4"/>
        <v>83</v>
      </c>
      <c r="BS8" s="70">
        <f t="shared" si="5"/>
        <v>87</v>
      </c>
      <c r="BT8" s="69">
        <f t="shared" si="6"/>
        <v>120</v>
      </c>
      <c r="BU8" s="70">
        <f t="shared" si="7"/>
        <v>124</v>
      </c>
      <c r="BV8" s="69" t="str">
        <f t="shared" si="8"/>
        <v>-</v>
      </c>
      <c r="BW8" s="70">
        <f t="shared" si="9"/>
        <v>165</v>
      </c>
      <c r="BX8" s="69">
        <f t="shared" si="10"/>
        <v>207</v>
      </c>
      <c r="BY8" s="70">
        <f t="shared" si="11"/>
        <v>214</v>
      </c>
      <c r="BZ8" s="69">
        <f t="shared" si="12"/>
        <v>317</v>
      </c>
      <c r="CA8" s="70">
        <f t="shared" si="13"/>
        <v>355</v>
      </c>
      <c r="CB8" s="69">
        <f t="shared" si="14"/>
        <v>384</v>
      </c>
      <c r="CC8" s="68">
        <f t="shared" si="15"/>
        <v>82</v>
      </c>
      <c r="CD8" s="69">
        <f t="shared" si="16"/>
        <v>86</v>
      </c>
      <c r="CE8" s="70">
        <f t="shared" si="17"/>
        <v>117</v>
      </c>
      <c r="CF8" s="70">
        <f t="shared" si="18"/>
        <v>123</v>
      </c>
      <c r="CG8" s="70">
        <f t="shared" si="19"/>
        <v>159</v>
      </c>
      <c r="CH8" s="70" t="str">
        <f t="shared" si="20"/>
        <v>-</v>
      </c>
      <c r="CI8" s="70">
        <f t="shared" si="21"/>
        <v>194</v>
      </c>
      <c r="CJ8" s="70">
        <f t="shared" si="22"/>
        <v>209</v>
      </c>
      <c r="CK8" s="70">
        <f t="shared" si="23"/>
        <v>246</v>
      </c>
      <c r="CL8" s="70">
        <f t="shared" si="24"/>
        <v>350</v>
      </c>
      <c r="CM8" s="70">
        <f t="shared" si="25"/>
        <v>383</v>
      </c>
      <c r="CN8" s="70">
        <f t="shared" si="26"/>
        <v>395</v>
      </c>
      <c r="CO8" s="57">
        <f t="shared" si="27"/>
        <v>1</v>
      </c>
    </row>
    <row r="9" spans="1:93" x14ac:dyDescent="0.2">
      <c r="A9" s="3" t="str">
        <f t="shared" si="0"/>
        <v>aa2ar_human__wt</v>
      </c>
      <c r="B9" s="3" t="s">
        <v>333</v>
      </c>
      <c r="C9" s="3" t="s">
        <v>294</v>
      </c>
      <c r="D9" s="3" t="str">
        <f>IFERROR(MID(VLOOKUP($B9,Seqs!$A:$B,2,FALSE),E9,1),"")</f>
        <v>P</v>
      </c>
      <c r="E9" s="3">
        <v>2</v>
      </c>
      <c r="F9" s="3" t="str">
        <f>IFERROR(MID(VLOOKUP($B9,Seqs!$A:$B,2,FALSE),G9,1),"")</f>
        <v>N</v>
      </c>
      <c r="G9" s="3">
        <v>34</v>
      </c>
      <c r="H9" s="3" t="str">
        <f>IFERROR(MID(VLOOKUP($B9,Seqs!$A:$B,2,FALSE),I9,1),"")</f>
        <v>S</v>
      </c>
      <c r="I9" s="57">
        <v>35</v>
      </c>
      <c r="J9" s="3" t="str">
        <f>IFERROR(MID(VLOOKUP($B9,Seqs!$A:$B,2,FALSE),K9,1),"")</f>
        <v>Q</v>
      </c>
      <c r="K9" s="57">
        <v>38</v>
      </c>
      <c r="L9" s="3" t="str">
        <f>IFERROR(MID(VLOOKUP($B9,Seqs!$A:$B,2,FALSE),M9,1),"")</f>
        <v>N</v>
      </c>
      <c r="M9" s="3">
        <v>39</v>
      </c>
      <c r="N9" s="3" t="str">
        <f>IFERROR(MID(VLOOKUP($B9,Seqs!$A:$B,2,FALSE),O9,1),"")</f>
        <v>G</v>
      </c>
      <c r="O9" s="3">
        <v>69</v>
      </c>
      <c r="P9" s="3" t="str">
        <f>IFERROR(MID(VLOOKUP($B9,Seqs!$A:$B,2,FALSE),Q9,1),"")</f>
        <v>F</v>
      </c>
      <c r="Q9" s="3">
        <v>70</v>
      </c>
      <c r="R9" s="3" t="str">
        <f>IFERROR(MID(VLOOKUP($B9,Seqs!$A:$B,2,FALSE),S9,1),"")</f>
        <v>A</v>
      </c>
      <c r="S9" s="3">
        <v>72</v>
      </c>
      <c r="T9" s="3" t="str">
        <f>IFERROR(MID(VLOOKUP($B9,Seqs!$A:$B,2,FALSE),U9,1),"")</f>
        <v>A</v>
      </c>
      <c r="U9" s="3">
        <v>73</v>
      </c>
      <c r="V9" s="3" t="str">
        <f>IFERROR(MID(VLOOKUP($B9,Seqs!$A:$B,2,FALSE),W9,1),"")</f>
        <v>I</v>
      </c>
      <c r="W9" s="3">
        <v>108</v>
      </c>
      <c r="X9" s="3" t="str">
        <f>IFERROR(MID(VLOOKUP($B9,Seqs!$A:$B,2,FALSE),Y9,1),"")</f>
        <v>P</v>
      </c>
      <c r="Y9" s="3">
        <v>109</v>
      </c>
      <c r="Z9" s="3" t="str">
        <f>IFERROR(MID(VLOOKUP($B9,Seqs!$A:$B,2,FALSE),AA9,1),"")</f>
        <v>V</v>
      </c>
      <c r="AA9" s="3">
        <v>116</v>
      </c>
      <c r="AB9" s="3" t="str">
        <f>IFERROR(MID(VLOOKUP($B9,Seqs!$A:$B,2,FALSE),AC9,1),"")</f>
        <v>G</v>
      </c>
      <c r="AC9" s="3">
        <v>118</v>
      </c>
      <c r="AD9" s="3" t="str">
        <f>IFERROR(MID(VLOOKUP($B9,Seqs!$A:$B,2,FALSE),AE9,1),"")</f>
        <v>G</v>
      </c>
      <c r="AE9" s="3">
        <v>142</v>
      </c>
      <c r="AF9" s="3" t="str">
        <f>IFERROR(MID(VLOOKUP($B9,Seqs!$A:$B,2,FALSE),AG9,1),"")</f>
        <v>C</v>
      </c>
      <c r="AG9" s="3">
        <v>166</v>
      </c>
      <c r="AH9" s="3" t="str">
        <f>IFERROR(MID(VLOOKUP($B9,Seqs!$A:$B,2,FALSE),AI9,1),"")</f>
        <v>F</v>
      </c>
      <c r="AI9" s="3">
        <v>168</v>
      </c>
      <c r="AJ9" s="3" t="str">
        <f>IFERROR(MID(VLOOKUP($B9,Seqs!$A:$B,2,FALSE),AK9,1),"")</f>
        <v>P</v>
      </c>
      <c r="AK9" s="3">
        <v>173</v>
      </c>
      <c r="AL9" s="3" t="str">
        <f>IFERROR(MID(VLOOKUP($B9,Seqs!$A:$B,2,FALSE),AM9,1),"")</f>
        <v>S</v>
      </c>
      <c r="AM9" s="3">
        <v>213</v>
      </c>
      <c r="AN9" s="3" t="str">
        <f>IFERROR(MID(VLOOKUP($B9,Seqs!$A:$B,2,FALSE),AO9,1),"")</f>
        <v>E</v>
      </c>
      <c r="AO9" s="3">
        <v>219</v>
      </c>
      <c r="AP9" s="3" t="str">
        <f>IFERROR(MID(VLOOKUP($B9,Seqs!$A:$B,2,FALSE),AQ9,1),"")</f>
        <v>C</v>
      </c>
      <c r="AQ9" s="3">
        <v>259</v>
      </c>
      <c r="AR9" s="3" t="str">
        <f>IFERROR(MID(VLOOKUP($B9,Seqs!$A:$B,2,FALSE),AS9,1),"")</f>
        <v>P</v>
      </c>
      <c r="AS9" s="3">
        <v>266</v>
      </c>
      <c r="AT9" s="3" t="str">
        <f>IFERROR(MID(VLOOKUP($B9,Seqs!$A:$B,2,FALSE),AU9,1),"")</f>
        <v>R</v>
      </c>
      <c r="AU9" s="3">
        <v>291</v>
      </c>
      <c r="AV9" s="3" t="str">
        <f>IFERROR(MID(VLOOKUP($B9,Seqs!$A:$B,2,FALSE),AW9,1),"")</f>
        <v>I</v>
      </c>
      <c r="AW9" s="3">
        <v>292</v>
      </c>
      <c r="AX9" s="3" t="str">
        <f>IFERROR(MID(VLOOKUP($B9,Seqs!$A:$B,2,FALSE),AY9,1),"")</f>
        <v>F</v>
      </c>
      <c r="AY9" s="3">
        <v>314</v>
      </c>
      <c r="AZ9" s="83" t="str">
        <f>VLOOKUP(B9,Classification!A:D,2,FALSE)</f>
        <v>A</v>
      </c>
      <c r="BB9" s="82">
        <f>S9-Q9+1</f>
        <v>3</v>
      </c>
      <c r="BC9" s="57">
        <f t="shared" si="1"/>
        <v>274</v>
      </c>
      <c r="BD9" s="63" t="b">
        <f t="shared" si="2"/>
        <v>1</v>
      </c>
      <c r="BE9" s="68" t="s">
        <v>1514</v>
      </c>
      <c r="BF9" s="75" t="s">
        <v>1514</v>
      </c>
      <c r="BG9" s="75" t="s">
        <v>1514</v>
      </c>
      <c r="BH9" s="75" t="s">
        <v>1514</v>
      </c>
      <c r="BI9" s="75" t="s">
        <v>1514</v>
      </c>
      <c r="BJ9" s="75" t="s">
        <v>1514</v>
      </c>
      <c r="BK9" s="75" t="s">
        <v>1514</v>
      </c>
      <c r="BL9" s="75" t="s">
        <v>1514</v>
      </c>
      <c r="BM9" s="75" t="s">
        <v>1514</v>
      </c>
      <c r="BN9" s="75" t="s">
        <v>1514</v>
      </c>
      <c r="BO9" s="75" t="s">
        <v>1514</v>
      </c>
      <c r="BP9" s="75" t="s">
        <v>1514</v>
      </c>
      <c r="BQ9" s="68">
        <f t="shared" si="3"/>
        <v>2</v>
      </c>
      <c r="BR9" s="69">
        <f t="shared" si="4"/>
        <v>35</v>
      </c>
      <c r="BS9" s="70">
        <f t="shared" si="5"/>
        <v>39</v>
      </c>
      <c r="BT9" s="69">
        <f t="shared" si="6"/>
        <v>70</v>
      </c>
      <c r="BU9" s="70">
        <f t="shared" si="7"/>
        <v>73</v>
      </c>
      <c r="BV9" s="69">
        <f t="shared" si="8"/>
        <v>109</v>
      </c>
      <c r="BW9" s="70">
        <f t="shared" si="9"/>
        <v>118</v>
      </c>
      <c r="BX9" s="69">
        <f t="shared" si="10"/>
        <v>166</v>
      </c>
      <c r="BY9" s="70">
        <f t="shared" si="11"/>
        <v>173</v>
      </c>
      <c r="BZ9" s="69">
        <f t="shared" si="12"/>
        <v>219</v>
      </c>
      <c r="CA9" s="70">
        <f t="shared" si="13"/>
        <v>266</v>
      </c>
      <c r="CB9" s="69">
        <f t="shared" si="14"/>
        <v>292</v>
      </c>
      <c r="CC9" s="68">
        <f t="shared" si="15"/>
        <v>34</v>
      </c>
      <c r="CD9" s="69">
        <f t="shared" si="16"/>
        <v>38</v>
      </c>
      <c r="CE9" s="70">
        <f t="shared" si="17"/>
        <v>69</v>
      </c>
      <c r="CF9" s="70">
        <f t="shared" si="18"/>
        <v>72</v>
      </c>
      <c r="CG9" s="70">
        <f t="shared" si="19"/>
        <v>108</v>
      </c>
      <c r="CH9" s="70">
        <f t="shared" si="20"/>
        <v>116</v>
      </c>
      <c r="CI9" s="70">
        <f t="shared" si="21"/>
        <v>142</v>
      </c>
      <c r="CJ9" s="70">
        <f t="shared" si="22"/>
        <v>168</v>
      </c>
      <c r="CK9" s="70">
        <f t="shared" si="23"/>
        <v>213</v>
      </c>
      <c r="CL9" s="70">
        <f t="shared" si="24"/>
        <v>259</v>
      </c>
      <c r="CM9" s="70">
        <f t="shared" si="25"/>
        <v>291</v>
      </c>
      <c r="CN9" s="70">
        <f t="shared" si="26"/>
        <v>314</v>
      </c>
      <c r="CO9" s="57">
        <f t="shared" si="27"/>
        <v>1</v>
      </c>
    </row>
    <row r="10" spans="1:93" x14ac:dyDescent="0.2">
      <c r="A10" s="3" t="str">
        <f t="shared" si="0"/>
        <v>aa2ar_human_2YDO</v>
      </c>
      <c r="B10" s="3" t="s">
        <v>333</v>
      </c>
      <c r="C10" s="3" t="s">
        <v>1235</v>
      </c>
      <c r="D10" s="3" t="str">
        <f>IFERROR(MID(VLOOKUP($B10,Seqs!$A:$B,2,FALSE),E10,1),"")</f>
        <v>S</v>
      </c>
      <c r="E10" s="3">
        <v>7</v>
      </c>
      <c r="F10" s="3" t="str">
        <f>IFERROR(MID(VLOOKUP($B10,Seqs!$A:$B,2,FALSE),G10,1),"")</f>
        <v>N</v>
      </c>
      <c r="G10" s="3">
        <v>34</v>
      </c>
      <c r="H10" s="3" t="str">
        <f>IFERROR(MID(VLOOKUP($B10,Seqs!$A:$B,2,FALSE),I10,1),"")</f>
        <v>S</v>
      </c>
      <c r="I10" s="57">
        <v>35</v>
      </c>
      <c r="J10" s="3" t="str">
        <f>IFERROR(MID(VLOOKUP($B10,Seqs!$A:$B,2,FALSE),K10,1),"")</f>
        <v>Q</v>
      </c>
      <c r="K10" s="57">
        <v>38</v>
      </c>
      <c r="L10" s="3" t="str">
        <f>IFERROR(MID(VLOOKUP($B10,Seqs!$A:$B,2,FALSE),M10,1),"")</f>
        <v>N</v>
      </c>
      <c r="M10" s="3">
        <v>39</v>
      </c>
      <c r="N10" s="3" t="str">
        <f>IFERROR(MID(VLOOKUP($B10,Seqs!$A:$B,2,FALSE),O10,1),"")</f>
        <v>G</v>
      </c>
      <c r="O10" s="3">
        <v>69</v>
      </c>
      <c r="P10" s="3" t="str">
        <f>IFERROR(MID(VLOOKUP($B10,Seqs!$A:$B,2,FALSE),Q10,1),"")</f>
        <v>F</v>
      </c>
      <c r="Q10" s="3">
        <v>70</v>
      </c>
      <c r="R10" s="3" t="str">
        <f>IFERROR(MID(VLOOKUP($B10,Seqs!$A:$B,2,FALSE),S10,1),"")</f>
        <v>A</v>
      </c>
      <c r="S10" s="3">
        <v>72</v>
      </c>
      <c r="T10" s="3" t="str">
        <f>IFERROR(MID(VLOOKUP($B10,Seqs!$A:$B,2,FALSE),U10,1),"")</f>
        <v>A</v>
      </c>
      <c r="U10" s="3">
        <v>73</v>
      </c>
      <c r="V10" s="3" t="str">
        <f>IFERROR(MID(VLOOKUP($B10,Seqs!$A:$B,2,FALSE),W10,1),"")</f>
        <v>I</v>
      </c>
      <c r="W10" s="3">
        <v>108</v>
      </c>
      <c r="X10" s="3" t="str">
        <f>IFERROR(MID(VLOOKUP($B10,Seqs!$A:$B,2,FALSE),Y10,1),"")</f>
        <v>P</v>
      </c>
      <c r="Y10" s="3">
        <v>109</v>
      </c>
      <c r="Z10" s="3" t="str">
        <f>IFERROR(MID(VLOOKUP($B10,Seqs!$A:$B,2,FALSE),AA10,1),"")</f>
        <v>V</v>
      </c>
      <c r="AA10" s="3">
        <v>116</v>
      </c>
      <c r="AB10" s="3" t="str">
        <f>IFERROR(MID(VLOOKUP($B10,Seqs!$A:$B,2,FALSE),AC10,1),"")</f>
        <v>G</v>
      </c>
      <c r="AC10" s="3">
        <v>118</v>
      </c>
      <c r="AD10" s="3" t="str">
        <f>IFERROR(MID(VLOOKUP($B10,Seqs!$A:$B,2,FALSE),AE10,1),"")</f>
        <v>G</v>
      </c>
      <c r="AE10" s="3">
        <v>142</v>
      </c>
      <c r="AF10" s="3" t="str">
        <f>IFERROR(MID(VLOOKUP($B10,Seqs!$A:$B,2,FALSE),AG10,1),"")</f>
        <v>C</v>
      </c>
      <c r="AG10" s="3">
        <v>166</v>
      </c>
      <c r="AH10" s="3" t="str">
        <f>IFERROR(MID(VLOOKUP($B10,Seqs!$A:$B,2,FALSE),AI10,1),"")</f>
        <v>F</v>
      </c>
      <c r="AI10" s="3">
        <v>168</v>
      </c>
      <c r="AJ10" s="3" t="str">
        <f>IFERROR(MID(VLOOKUP($B10,Seqs!$A:$B,2,FALSE),AK10,1),"")</f>
        <v>P</v>
      </c>
      <c r="AK10" s="3">
        <v>173</v>
      </c>
      <c r="AL10" s="3" t="str">
        <f>IFERROR(MID(VLOOKUP($B10,Seqs!$A:$B,2,FALSE),AM10,1),"")</f>
        <v>Q</v>
      </c>
      <c r="AM10" s="3">
        <v>210</v>
      </c>
      <c r="AN10" s="3" t="str">
        <f>IFERROR(MID(VLOOKUP($B10,Seqs!$A:$B,2,FALSE),AO10,1),"")</f>
        <v>L</v>
      </c>
      <c r="AO10" s="3">
        <v>225</v>
      </c>
      <c r="AP10" s="3" t="str">
        <f>IFERROR(MID(VLOOKUP($B10,Seqs!$A:$B,2,FALSE),AQ10,1),"")</f>
        <v>C</v>
      </c>
      <c r="AQ10" s="3">
        <v>259</v>
      </c>
      <c r="AR10" s="3" t="str">
        <f>IFERROR(MID(VLOOKUP($B10,Seqs!$A:$B,2,FALSE),AS10,1),"")</f>
        <v>P</v>
      </c>
      <c r="AS10" s="3">
        <v>266</v>
      </c>
      <c r="AT10" s="3" t="str">
        <f>IFERROR(MID(VLOOKUP($B10,Seqs!$A:$B,2,FALSE),AU10,1),"")</f>
        <v>R</v>
      </c>
      <c r="AU10" s="3">
        <v>291</v>
      </c>
      <c r="AV10" s="3" t="str">
        <f>IFERROR(MID(VLOOKUP($B10,Seqs!$A:$B,2,FALSE),AW10,1),"")</f>
        <v>I</v>
      </c>
      <c r="AW10" s="3">
        <v>292</v>
      </c>
      <c r="AX10" s="3" t="str">
        <f>IFERROR(MID(VLOOKUP($B10,Seqs!$A:$B,2,FALSE),AY10,1),"")</f>
        <v>A</v>
      </c>
      <c r="AY10" s="3">
        <v>317</v>
      </c>
      <c r="AZ10" s="83" t="str">
        <f>VLOOKUP(B10,Classification!A:D,2,FALSE)</f>
        <v>A</v>
      </c>
      <c r="BC10" s="57">
        <f t="shared" si="1"/>
        <v>263</v>
      </c>
      <c r="BD10" s="63" t="b">
        <f t="shared" si="2"/>
        <v>1</v>
      </c>
      <c r="BE10" s="68" t="s">
        <v>1514</v>
      </c>
      <c r="BF10" s="75" t="s">
        <v>1514</v>
      </c>
      <c r="BG10" s="75" t="s">
        <v>1514</v>
      </c>
      <c r="BH10" s="75" t="s">
        <v>1514</v>
      </c>
      <c r="BI10" s="75" t="s">
        <v>1514</v>
      </c>
      <c r="BJ10" s="75" t="s">
        <v>1514</v>
      </c>
      <c r="BK10" s="75" t="s">
        <v>1514</v>
      </c>
      <c r="BL10" s="75" t="s">
        <v>1514</v>
      </c>
      <c r="BM10" s="75" t="s">
        <v>1514</v>
      </c>
      <c r="BN10" s="75" t="s">
        <v>1514</v>
      </c>
      <c r="BO10" s="75" t="s">
        <v>1514</v>
      </c>
      <c r="BP10" s="75" t="s">
        <v>1514</v>
      </c>
      <c r="BQ10" s="68">
        <f t="shared" si="3"/>
        <v>7</v>
      </c>
      <c r="BR10" s="69">
        <f t="shared" si="4"/>
        <v>35</v>
      </c>
      <c r="BS10" s="70">
        <f t="shared" si="5"/>
        <v>39</v>
      </c>
      <c r="BT10" s="69">
        <f t="shared" si="6"/>
        <v>70</v>
      </c>
      <c r="BU10" s="70">
        <f t="shared" si="7"/>
        <v>73</v>
      </c>
      <c r="BV10" s="69">
        <f t="shared" si="8"/>
        <v>109</v>
      </c>
      <c r="BW10" s="70">
        <f t="shared" si="9"/>
        <v>118</v>
      </c>
      <c r="BX10" s="69">
        <f t="shared" si="10"/>
        <v>166</v>
      </c>
      <c r="BY10" s="70">
        <f t="shared" si="11"/>
        <v>173</v>
      </c>
      <c r="BZ10" s="69">
        <f t="shared" si="12"/>
        <v>225</v>
      </c>
      <c r="CA10" s="70">
        <f t="shared" si="13"/>
        <v>266</v>
      </c>
      <c r="CB10" s="69">
        <f t="shared" si="14"/>
        <v>292</v>
      </c>
      <c r="CC10" s="68">
        <f t="shared" si="15"/>
        <v>34</v>
      </c>
      <c r="CD10" s="69">
        <f t="shared" si="16"/>
        <v>38</v>
      </c>
      <c r="CE10" s="70">
        <f t="shared" si="17"/>
        <v>69</v>
      </c>
      <c r="CF10" s="70">
        <f t="shared" si="18"/>
        <v>72</v>
      </c>
      <c r="CG10" s="70">
        <f t="shared" si="19"/>
        <v>108</v>
      </c>
      <c r="CH10" s="70">
        <f t="shared" si="20"/>
        <v>116</v>
      </c>
      <c r="CI10" s="70">
        <f t="shared" si="21"/>
        <v>142</v>
      </c>
      <c r="CJ10" s="70">
        <f t="shared" si="22"/>
        <v>168</v>
      </c>
      <c r="CK10" s="70">
        <f t="shared" si="23"/>
        <v>210</v>
      </c>
      <c r="CL10" s="70">
        <f t="shared" si="24"/>
        <v>259</v>
      </c>
      <c r="CM10" s="70">
        <f t="shared" si="25"/>
        <v>291</v>
      </c>
      <c r="CN10" s="70">
        <f t="shared" si="26"/>
        <v>317</v>
      </c>
      <c r="CO10" s="57">
        <f t="shared" si="27"/>
        <v>1</v>
      </c>
    </row>
    <row r="11" spans="1:93" x14ac:dyDescent="0.2">
      <c r="A11" s="3" t="str">
        <f t="shared" si="0"/>
        <v>aa2ar_human_2YDV</v>
      </c>
      <c r="B11" s="3" t="s">
        <v>333</v>
      </c>
      <c r="C11" s="3" t="s">
        <v>271</v>
      </c>
      <c r="D11" s="3" t="str">
        <f>IFERROR(MID(VLOOKUP($B11,Seqs!$A:$B,2,FALSE),E11,1),"")</f>
        <v>S</v>
      </c>
      <c r="E11" s="3">
        <v>7</v>
      </c>
      <c r="F11" s="3" t="str">
        <f>IFERROR(MID(VLOOKUP($B11,Seqs!$A:$B,2,FALSE),G11,1),"")</f>
        <v>N</v>
      </c>
      <c r="G11" s="3">
        <v>34</v>
      </c>
      <c r="H11" s="3" t="str">
        <f>IFERROR(MID(VLOOKUP($B11,Seqs!$A:$B,2,FALSE),I11,1),"")</f>
        <v>S</v>
      </c>
      <c r="I11" s="57">
        <v>35</v>
      </c>
      <c r="J11" s="3" t="str">
        <f>IFERROR(MID(VLOOKUP($B11,Seqs!$A:$B,2,FALSE),K11,1),"")</f>
        <v>Q</v>
      </c>
      <c r="K11" s="57">
        <v>38</v>
      </c>
      <c r="L11" s="3" t="str">
        <f>IFERROR(MID(VLOOKUP($B11,Seqs!$A:$B,2,FALSE),M11,1),"")</f>
        <v>N</v>
      </c>
      <c r="M11" s="3">
        <v>39</v>
      </c>
      <c r="N11" s="3" t="str">
        <f>IFERROR(MID(VLOOKUP($B11,Seqs!$A:$B,2,FALSE),O11,1),"")</f>
        <v>G</v>
      </c>
      <c r="O11" s="3">
        <v>69</v>
      </c>
      <c r="P11" s="3" t="str">
        <f>IFERROR(MID(VLOOKUP($B11,Seqs!$A:$B,2,FALSE),Q11,1),"")</f>
        <v>F</v>
      </c>
      <c r="Q11" s="3">
        <v>70</v>
      </c>
      <c r="R11" s="3" t="str">
        <f>IFERROR(MID(VLOOKUP($B11,Seqs!$A:$B,2,FALSE),S11,1),"")</f>
        <v>A</v>
      </c>
      <c r="S11" s="3">
        <v>72</v>
      </c>
      <c r="T11" s="3" t="str">
        <f>IFERROR(MID(VLOOKUP($B11,Seqs!$A:$B,2,FALSE),U11,1),"")</f>
        <v>A</v>
      </c>
      <c r="U11" s="3">
        <v>73</v>
      </c>
      <c r="V11" s="3" t="str">
        <f>IFERROR(MID(VLOOKUP($B11,Seqs!$A:$B,2,FALSE),W11,1),"")</f>
        <v>I</v>
      </c>
      <c r="W11" s="3">
        <v>108</v>
      </c>
      <c r="X11" s="3" t="str">
        <f>IFERROR(MID(VLOOKUP($B11,Seqs!$A:$B,2,FALSE),Y11,1),"")</f>
        <v>P</v>
      </c>
      <c r="Y11" s="3">
        <v>109</v>
      </c>
      <c r="Z11" s="3" t="str">
        <f>IFERROR(MID(VLOOKUP($B11,Seqs!$A:$B,2,FALSE),AA11,1),"")</f>
        <v>V</v>
      </c>
      <c r="AA11" s="3">
        <v>116</v>
      </c>
      <c r="AB11" s="3" t="str">
        <f>IFERROR(MID(VLOOKUP($B11,Seqs!$A:$B,2,FALSE),AC11,1),"")</f>
        <v>G</v>
      </c>
      <c r="AC11" s="3">
        <v>118</v>
      </c>
      <c r="AD11" s="3" t="str">
        <f>IFERROR(MID(VLOOKUP($B11,Seqs!$A:$B,2,FALSE),AE11,1),"")</f>
        <v>G</v>
      </c>
      <c r="AE11" s="3">
        <v>142</v>
      </c>
      <c r="AF11" s="3" t="str">
        <f>IFERROR(MID(VLOOKUP($B11,Seqs!$A:$B,2,FALSE),AG11,1),"")</f>
        <v>C</v>
      </c>
      <c r="AG11" s="3">
        <v>166</v>
      </c>
      <c r="AH11" s="3" t="str">
        <f>IFERROR(MID(VLOOKUP($B11,Seqs!$A:$B,2,FALSE),AI11,1),"")</f>
        <v>F</v>
      </c>
      <c r="AI11" s="3">
        <v>168</v>
      </c>
      <c r="AJ11" s="3" t="str">
        <f>IFERROR(MID(VLOOKUP($B11,Seqs!$A:$B,2,FALSE),AK11,1),"")</f>
        <v>P</v>
      </c>
      <c r="AK11" s="3">
        <v>173</v>
      </c>
      <c r="AL11" s="3" t="str">
        <f>IFERROR(MID(VLOOKUP($B11,Seqs!$A:$B,2,FALSE),AM11,1),"")</f>
        <v>Q</v>
      </c>
      <c r="AM11" s="3">
        <v>210</v>
      </c>
      <c r="AN11" s="3" t="str">
        <f>IFERROR(MID(VLOOKUP($B11,Seqs!$A:$B,2,FALSE),AO11,1),"")</f>
        <v>T</v>
      </c>
      <c r="AO11" s="3">
        <v>224</v>
      </c>
      <c r="AP11" s="3" t="str">
        <f>IFERROR(MID(VLOOKUP($B11,Seqs!$A:$B,2,FALSE),AQ11,1),"")</f>
        <v>C</v>
      </c>
      <c r="AQ11" s="3">
        <v>259</v>
      </c>
      <c r="AR11" s="3" t="str">
        <f>IFERROR(MID(VLOOKUP($B11,Seqs!$A:$B,2,FALSE),AS11,1),"")</f>
        <v>P</v>
      </c>
      <c r="AS11" s="3">
        <v>266</v>
      </c>
      <c r="AT11" s="3" t="str">
        <f>IFERROR(MID(VLOOKUP($B11,Seqs!$A:$B,2,FALSE),AU11,1),"")</f>
        <v>R</v>
      </c>
      <c r="AU11" s="3">
        <v>291</v>
      </c>
      <c r="AV11" s="3" t="str">
        <f>IFERROR(MID(VLOOKUP($B11,Seqs!$A:$B,2,FALSE),AW11,1),"")</f>
        <v>I</v>
      </c>
      <c r="AW11" s="3">
        <v>292</v>
      </c>
      <c r="AX11" s="3" t="str">
        <f>IFERROR(MID(VLOOKUP($B11,Seqs!$A:$B,2,FALSE),AY11,1),"")</f>
        <v>A</v>
      </c>
      <c r="AY11" s="3">
        <v>317</v>
      </c>
      <c r="AZ11" s="83" t="str">
        <f>VLOOKUP(B11,Classification!A:D,2,FALSE)</f>
        <v>A</v>
      </c>
      <c r="BC11" s="57">
        <f t="shared" si="1"/>
        <v>264</v>
      </c>
      <c r="BD11" s="63" t="b">
        <f t="shared" si="2"/>
        <v>1</v>
      </c>
      <c r="BE11" s="68" t="s">
        <v>1514</v>
      </c>
      <c r="BF11" s="75" t="s">
        <v>1514</v>
      </c>
      <c r="BG11" s="75" t="s">
        <v>1514</v>
      </c>
      <c r="BH11" s="75" t="s">
        <v>1514</v>
      </c>
      <c r="BI11" s="75" t="s">
        <v>1514</v>
      </c>
      <c r="BJ11" s="75" t="s">
        <v>1514</v>
      </c>
      <c r="BK11" s="75" t="s">
        <v>1514</v>
      </c>
      <c r="BL11" s="75" t="s">
        <v>1514</v>
      </c>
      <c r="BM11" s="75" t="s">
        <v>1514</v>
      </c>
      <c r="BN11" s="75" t="s">
        <v>1514</v>
      </c>
      <c r="BO11" s="75" t="s">
        <v>1514</v>
      </c>
      <c r="BP11" s="75" t="s">
        <v>1514</v>
      </c>
      <c r="BQ11" s="68">
        <f t="shared" si="3"/>
        <v>7</v>
      </c>
      <c r="BR11" s="69">
        <f t="shared" si="4"/>
        <v>35</v>
      </c>
      <c r="BS11" s="70">
        <f t="shared" si="5"/>
        <v>39</v>
      </c>
      <c r="BT11" s="69">
        <f t="shared" si="6"/>
        <v>70</v>
      </c>
      <c r="BU11" s="70">
        <f t="shared" si="7"/>
        <v>73</v>
      </c>
      <c r="BV11" s="69">
        <f t="shared" si="8"/>
        <v>109</v>
      </c>
      <c r="BW11" s="70">
        <f t="shared" si="9"/>
        <v>118</v>
      </c>
      <c r="BX11" s="69">
        <f t="shared" si="10"/>
        <v>166</v>
      </c>
      <c r="BY11" s="70">
        <f t="shared" si="11"/>
        <v>173</v>
      </c>
      <c r="BZ11" s="69">
        <f t="shared" si="12"/>
        <v>224</v>
      </c>
      <c r="CA11" s="70">
        <f t="shared" si="13"/>
        <v>266</v>
      </c>
      <c r="CB11" s="69">
        <f t="shared" si="14"/>
        <v>292</v>
      </c>
      <c r="CC11" s="68">
        <f t="shared" si="15"/>
        <v>34</v>
      </c>
      <c r="CD11" s="69">
        <f t="shared" si="16"/>
        <v>38</v>
      </c>
      <c r="CE11" s="70">
        <f t="shared" si="17"/>
        <v>69</v>
      </c>
      <c r="CF11" s="70">
        <f t="shared" si="18"/>
        <v>72</v>
      </c>
      <c r="CG11" s="70">
        <f t="shared" si="19"/>
        <v>108</v>
      </c>
      <c r="CH11" s="70">
        <f t="shared" si="20"/>
        <v>116</v>
      </c>
      <c r="CI11" s="70">
        <f t="shared" si="21"/>
        <v>142</v>
      </c>
      <c r="CJ11" s="70">
        <f t="shared" si="22"/>
        <v>168</v>
      </c>
      <c r="CK11" s="70">
        <f t="shared" si="23"/>
        <v>210</v>
      </c>
      <c r="CL11" s="70">
        <f t="shared" si="24"/>
        <v>259</v>
      </c>
      <c r="CM11" s="70">
        <f t="shared" si="25"/>
        <v>291</v>
      </c>
      <c r="CN11" s="70">
        <f t="shared" si="26"/>
        <v>317</v>
      </c>
      <c r="CO11" s="57">
        <f t="shared" si="27"/>
        <v>1</v>
      </c>
    </row>
    <row r="12" spans="1:93" x14ac:dyDescent="0.2">
      <c r="A12" s="3" t="str">
        <f t="shared" si="0"/>
        <v>aa2ar_human_3QAK</v>
      </c>
      <c r="B12" s="3" t="s">
        <v>333</v>
      </c>
      <c r="C12" s="3" t="s">
        <v>1240</v>
      </c>
      <c r="D12" s="3" t="str">
        <f>IFERROR(MID(VLOOKUP($B12,Seqs!$A:$B,2,FALSE),E12,1),"")</f>
        <v>G</v>
      </c>
      <c r="E12" s="3">
        <v>5</v>
      </c>
      <c r="F12" s="3" t="str">
        <f>IFERROR(MID(VLOOKUP($B12,Seqs!$A:$B,2,FALSE),G12,1),"")</f>
        <v>N</v>
      </c>
      <c r="G12" s="3">
        <v>34</v>
      </c>
      <c r="H12" s="3" t="str">
        <f>IFERROR(MID(VLOOKUP($B12,Seqs!$A:$B,2,FALSE),I12,1),"")</f>
        <v>S</v>
      </c>
      <c r="I12" s="57">
        <v>35</v>
      </c>
      <c r="J12" s="3" t="str">
        <f>IFERROR(MID(VLOOKUP($B12,Seqs!$A:$B,2,FALSE),K12,1),"")</f>
        <v>Q</v>
      </c>
      <c r="K12" s="57">
        <v>38</v>
      </c>
      <c r="L12" s="3" t="str">
        <f>IFERROR(MID(VLOOKUP($B12,Seqs!$A:$B,2,FALSE),M12,1),"")</f>
        <v>N</v>
      </c>
      <c r="M12" s="3">
        <v>39</v>
      </c>
      <c r="N12" s="3" t="str">
        <f>IFERROR(MID(VLOOKUP($B12,Seqs!$A:$B,2,FALSE),O12,1),"")</f>
        <v>G</v>
      </c>
      <c r="O12" s="3">
        <v>69</v>
      </c>
      <c r="P12" s="3" t="str">
        <f>IFERROR(MID(VLOOKUP($B12,Seqs!$A:$B,2,FALSE),Q12,1),"")</f>
        <v>F</v>
      </c>
      <c r="Q12" s="3">
        <v>70</v>
      </c>
      <c r="R12" s="3" t="str">
        <f>IFERROR(MID(VLOOKUP($B12,Seqs!$A:$B,2,FALSE),S12,1),"")</f>
        <v>A</v>
      </c>
      <c r="S12" s="3">
        <v>72</v>
      </c>
      <c r="T12" s="3" t="str">
        <f>IFERROR(MID(VLOOKUP($B12,Seqs!$A:$B,2,FALSE),U12,1),"")</f>
        <v>A</v>
      </c>
      <c r="U12" s="3">
        <v>73</v>
      </c>
      <c r="V12" s="3" t="str">
        <f>IFERROR(MID(VLOOKUP($B12,Seqs!$A:$B,2,FALSE),W12,1),"")</f>
        <v>I</v>
      </c>
      <c r="W12" s="3">
        <v>108</v>
      </c>
      <c r="X12" s="3" t="str">
        <f>IFERROR(MID(VLOOKUP($B12,Seqs!$A:$B,2,FALSE),Y12,1),"")</f>
        <v>P</v>
      </c>
      <c r="Y12" s="3">
        <v>109</v>
      </c>
      <c r="Z12" s="3" t="str">
        <f>IFERROR(MID(VLOOKUP($B12,Seqs!$A:$B,2,FALSE),AA12,1),"")</f>
        <v>V</v>
      </c>
      <c r="AA12" s="3">
        <v>116</v>
      </c>
      <c r="AB12" s="3" t="str">
        <f>IFERROR(MID(VLOOKUP($B12,Seqs!$A:$B,2,FALSE),AC12,1),"")</f>
        <v>G</v>
      </c>
      <c r="AC12" s="3">
        <v>118</v>
      </c>
      <c r="AD12" s="3" t="str">
        <f>IFERROR(MID(VLOOKUP($B12,Seqs!$A:$B,2,FALSE),AE12,1),"")</f>
        <v>G</v>
      </c>
      <c r="AE12" s="3">
        <v>142</v>
      </c>
      <c r="AF12" s="3" t="str">
        <f>IFERROR(MID(VLOOKUP($B12,Seqs!$A:$B,2,FALSE),AG12,1),"")</f>
        <v>C</v>
      </c>
      <c r="AG12" s="3">
        <v>166</v>
      </c>
      <c r="AH12" s="3" t="str">
        <f>IFERROR(MID(VLOOKUP($B12,Seqs!$A:$B,2,FALSE),AI12,1),"")</f>
        <v>F</v>
      </c>
      <c r="AI12" s="3">
        <v>168</v>
      </c>
      <c r="AJ12" s="3" t="str">
        <f>IFERROR(MID(VLOOKUP($B12,Seqs!$A:$B,2,FALSE),AK12,1),"")</f>
        <v>P</v>
      </c>
      <c r="AK12" s="3">
        <v>173</v>
      </c>
      <c r="AL12" s="3" t="str">
        <f>IFERROR(MID(VLOOKUP($B12,Seqs!$A:$B,2,FALSE),AM12,1),"")</f>
        <v>A</v>
      </c>
      <c r="AM12" s="3">
        <v>204</v>
      </c>
      <c r="AN12" s="3" t="str">
        <f>IFERROR(MID(VLOOKUP($B12,Seqs!$A:$B,2,FALSE),AO12,1),"")</f>
        <v>Q</v>
      </c>
      <c r="AO12" s="3">
        <v>226</v>
      </c>
      <c r="AP12" s="3" t="str">
        <f>IFERROR(MID(VLOOKUP($B12,Seqs!$A:$B,2,FALSE),AQ12,1),"")</f>
        <v>C</v>
      </c>
      <c r="AQ12" s="3">
        <v>259</v>
      </c>
      <c r="AR12" s="3" t="str">
        <f>IFERROR(MID(VLOOKUP($B12,Seqs!$A:$B,2,FALSE),AS12,1),"")</f>
        <v>P</v>
      </c>
      <c r="AS12" s="3">
        <v>266</v>
      </c>
      <c r="AT12" s="3" t="str">
        <f>IFERROR(MID(VLOOKUP($B12,Seqs!$A:$B,2,FALSE),AU12,1),"")</f>
        <v>R</v>
      </c>
      <c r="AU12" s="3">
        <v>291</v>
      </c>
      <c r="AV12" s="3" t="str">
        <f>IFERROR(MID(VLOOKUP($B12,Seqs!$A:$B,2,FALSE),AW12,1),"")</f>
        <v>I</v>
      </c>
      <c r="AW12" s="3">
        <v>292</v>
      </c>
      <c r="AX12" s="3" t="str">
        <f>IFERROR(MID(VLOOKUP($B12,Seqs!$A:$B,2,FALSE),AY12,1),"")</f>
        <v>L</v>
      </c>
      <c r="AY12" s="3">
        <v>308</v>
      </c>
      <c r="AZ12" s="83" t="str">
        <f>VLOOKUP(B12,Classification!A:D,2,FALSE)</f>
        <v>A</v>
      </c>
      <c r="BC12" s="57">
        <f t="shared" si="1"/>
        <v>249</v>
      </c>
      <c r="BD12" s="63" t="b">
        <f t="shared" si="2"/>
        <v>1</v>
      </c>
      <c r="BE12" s="68" t="s">
        <v>1514</v>
      </c>
      <c r="BF12" s="75" t="s">
        <v>1514</v>
      </c>
      <c r="BG12" s="75" t="s">
        <v>1514</v>
      </c>
      <c r="BH12" s="75" t="s">
        <v>1514</v>
      </c>
      <c r="BI12" s="75" t="s">
        <v>1514</v>
      </c>
      <c r="BJ12" s="75" t="s">
        <v>1514</v>
      </c>
      <c r="BK12" s="75" t="s">
        <v>1514</v>
      </c>
      <c r="BL12" s="75" t="s">
        <v>1514</v>
      </c>
      <c r="BM12" s="75" t="s">
        <v>1514</v>
      </c>
      <c r="BN12" s="75" t="s">
        <v>1514</v>
      </c>
      <c r="BO12" s="75" t="s">
        <v>1514</v>
      </c>
      <c r="BP12" s="75" t="s">
        <v>1514</v>
      </c>
      <c r="BQ12" s="68">
        <f t="shared" si="3"/>
        <v>5</v>
      </c>
      <c r="BR12" s="69">
        <f t="shared" si="4"/>
        <v>35</v>
      </c>
      <c r="BS12" s="70">
        <f t="shared" si="5"/>
        <v>39</v>
      </c>
      <c r="BT12" s="69">
        <f t="shared" si="6"/>
        <v>70</v>
      </c>
      <c r="BU12" s="70">
        <f t="shared" si="7"/>
        <v>73</v>
      </c>
      <c r="BV12" s="69">
        <f t="shared" si="8"/>
        <v>109</v>
      </c>
      <c r="BW12" s="70">
        <f t="shared" si="9"/>
        <v>118</v>
      </c>
      <c r="BX12" s="69">
        <f t="shared" si="10"/>
        <v>166</v>
      </c>
      <c r="BY12" s="70">
        <f t="shared" si="11"/>
        <v>173</v>
      </c>
      <c r="BZ12" s="69">
        <f t="shared" si="12"/>
        <v>226</v>
      </c>
      <c r="CA12" s="70">
        <f t="shared" si="13"/>
        <v>266</v>
      </c>
      <c r="CB12" s="69">
        <f t="shared" si="14"/>
        <v>292</v>
      </c>
      <c r="CC12" s="68">
        <f t="shared" si="15"/>
        <v>34</v>
      </c>
      <c r="CD12" s="69">
        <f t="shared" si="16"/>
        <v>38</v>
      </c>
      <c r="CE12" s="70">
        <f t="shared" si="17"/>
        <v>69</v>
      </c>
      <c r="CF12" s="70">
        <f t="shared" si="18"/>
        <v>72</v>
      </c>
      <c r="CG12" s="70">
        <f t="shared" si="19"/>
        <v>108</v>
      </c>
      <c r="CH12" s="70">
        <f t="shared" si="20"/>
        <v>116</v>
      </c>
      <c r="CI12" s="70">
        <f t="shared" si="21"/>
        <v>142</v>
      </c>
      <c r="CJ12" s="70">
        <f t="shared" si="22"/>
        <v>168</v>
      </c>
      <c r="CK12" s="70">
        <f t="shared" si="23"/>
        <v>204</v>
      </c>
      <c r="CL12" s="70">
        <f t="shared" si="24"/>
        <v>259</v>
      </c>
      <c r="CM12" s="70">
        <f t="shared" si="25"/>
        <v>291</v>
      </c>
      <c r="CN12" s="70">
        <f t="shared" si="26"/>
        <v>308</v>
      </c>
      <c r="CO12" s="57">
        <f t="shared" si="27"/>
        <v>1</v>
      </c>
    </row>
    <row r="13" spans="1:93" x14ac:dyDescent="0.2">
      <c r="A13" s="3" t="str">
        <f t="shared" si="0"/>
        <v>aa2ar_human_3REY</v>
      </c>
      <c r="B13" s="3" t="s">
        <v>333</v>
      </c>
      <c r="C13" s="3" t="s">
        <v>275</v>
      </c>
      <c r="D13" s="3" t="str">
        <f>IFERROR(MID(VLOOKUP($B13,Seqs!$A:$B,2,FALSE),E13,1),"")</f>
        <v>S</v>
      </c>
      <c r="E13" s="3">
        <v>7</v>
      </c>
      <c r="F13" s="3" t="str">
        <f>IFERROR(MID(VLOOKUP($B13,Seqs!$A:$B,2,FALSE),G13,1),"")</f>
        <v>N</v>
      </c>
      <c r="G13" s="3">
        <v>34</v>
      </c>
      <c r="H13" s="3" t="str">
        <f>IFERROR(MID(VLOOKUP($B13,Seqs!$A:$B,2,FALSE),I13,1),"")</f>
        <v>S</v>
      </c>
      <c r="I13" s="57">
        <v>35</v>
      </c>
      <c r="J13" s="3" t="str">
        <f>IFERROR(MID(VLOOKUP($B13,Seqs!$A:$B,2,FALSE),K13,1),"")</f>
        <v>Q</v>
      </c>
      <c r="K13" s="57">
        <v>38</v>
      </c>
      <c r="L13" s="3" t="str">
        <f>IFERROR(MID(VLOOKUP($B13,Seqs!$A:$B,2,FALSE),M13,1),"")</f>
        <v>N</v>
      </c>
      <c r="M13" s="3">
        <v>39</v>
      </c>
      <c r="N13" s="3" t="str">
        <f>IFERROR(MID(VLOOKUP($B13,Seqs!$A:$B,2,FALSE),O13,1),"")</f>
        <v>G</v>
      </c>
      <c r="O13" s="3">
        <v>69</v>
      </c>
      <c r="P13" s="3" t="str">
        <f>IFERROR(MID(VLOOKUP($B13,Seqs!$A:$B,2,FALSE),Q13,1),"")</f>
        <v>F</v>
      </c>
      <c r="Q13" s="3">
        <v>70</v>
      </c>
      <c r="R13" s="3" t="str">
        <f>IFERROR(MID(VLOOKUP($B13,Seqs!$A:$B,2,FALSE),S13,1),"")</f>
        <v>A</v>
      </c>
      <c r="S13" s="3">
        <v>72</v>
      </c>
      <c r="T13" s="3" t="str">
        <f>IFERROR(MID(VLOOKUP($B13,Seqs!$A:$B,2,FALSE),U13,1),"")</f>
        <v>A</v>
      </c>
      <c r="U13" s="3">
        <v>73</v>
      </c>
      <c r="V13" s="3" t="str">
        <f>IFERROR(MID(VLOOKUP($B13,Seqs!$A:$B,2,FALSE),W13,1),"")</f>
        <v>I</v>
      </c>
      <c r="W13" s="3">
        <v>108</v>
      </c>
      <c r="X13" s="3" t="str">
        <f>IFERROR(MID(VLOOKUP($B13,Seqs!$A:$B,2,FALSE),Y13,1),"")</f>
        <v>P</v>
      </c>
      <c r="Y13" s="3">
        <v>109</v>
      </c>
      <c r="Z13" s="3" t="str">
        <f>IFERROR(MID(VLOOKUP($B13,Seqs!$A:$B,2,FALSE),AA13,1),"")</f>
        <v>V</v>
      </c>
      <c r="AA13" s="3">
        <v>116</v>
      </c>
      <c r="AB13" s="3" t="str">
        <f>IFERROR(MID(VLOOKUP($B13,Seqs!$A:$B,2,FALSE),AC13,1),"")</f>
        <v>G</v>
      </c>
      <c r="AC13" s="3">
        <v>118</v>
      </c>
      <c r="AD13" s="3" t="str">
        <f>IFERROR(MID(VLOOKUP($B13,Seqs!$A:$B,2,FALSE),AE13,1),"")</f>
        <v>G</v>
      </c>
      <c r="AE13" s="3">
        <v>142</v>
      </c>
      <c r="AF13" s="3" t="str">
        <f>IFERROR(MID(VLOOKUP($B13,Seqs!$A:$B,2,FALSE),AG13,1),"")</f>
        <v>C</v>
      </c>
      <c r="AG13" s="3">
        <v>166</v>
      </c>
      <c r="AH13" s="3" t="str">
        <f>IFERROR(MID(VLOOKUP($B13,Seqs!$A:$B,2,FALSE),AI13,1),"")</f>
        <v>F</v>
      </c>
      <c r="AI13" s="3">
        <v>168</v>
      </c>
      <c r="AJ13" s="3" t="str">
        <f>IFERROR(MID(VLOOKUP($B13,Seqs!$A:$B,2,FALSE),AK13,1),"")</f>
        <v>P</v>
      </c>
      <c r="AK13" s="3">
        <v>173</v>
      </c>
      <c r="AL13" s="3" t="str">
        <f>IFERROR(MID(VLOOKUP($B13,Seqs!$A:$B,2,FALSE),AM13,1),"")</f>
        <v>Q</v>
      </c>
      <c r="AM13" s="3">
        <v>210</v>
      </c>
      <c r="AN13" s="3" t="str">
        <f>IFERROR(MID(VLOOKUP($B13,Seqs!$A:$B,2,FALSE),AO13,1),"")</f>
        <v>E</v>
      </c>
      <c r="AO13" s="3">
        <v>219</v>
      </c>
      <c r="AP13" s="3" t="str">
        <f>IFERROR(MID(VLOOKUP($B13,Seqs!$A:$B,2,FALSE),AQ13,1),"")</f>
        <v>C</v>
      </c>
      <c r="AQ13" s="3">
        <v>259</v>
      </c>
      <c r="AR13" s="3" t="str">
        <f>IFERROR(MID(VLOOKUP($B13,Seqs!$A:$B,2,FALSE),AS13,1),"")</f>
        <v>P</v>
      </c>
      <c r="AS13" s="3">
        <v>266</v>
      </c>
      <c r="AT13" s="3" t="str">
        <f>IFERROR(MID(VLOOKUP($B13,Seqs!$A:$B,2,FALSE),AU13,1),"")</f>
        <v>R</v>
      </c>
      <c r="AU13" s="3">
        <v>291</v>
      </c>
      <c r="AV13" s="3" t="str">
        <f>IFERROR(MID(VLOOKUP($B13,Seqs!$A:$B,2,FALSE),AW13,1),"")</f>
        <v>I</v>
      </c>
      <c r="AW13" s="3">
        <v>292</v>
      </c>
      <c r="AX13" s="3" t="str">
        <f>IFERROR(MID(VLOOKUP($B13,Seqs!$A:$B,2,FALSE),AY13,1),"")</f>
        <v>S</v>
      </c>
      <c r="AY13" s="3">
        <v>305</v>
      </c>
      <c r="AZ13" s="83" t="str">
        <f>VLOOKUP(B13,Classification!A:D,2,FALSE)</f>
        <v>A</v>
      </c>
      <c r="BC13" s="57">
        <f t="shared" si="1"/>
        <v>257</v>
      </c>
      <c r="BD13" s="63" t="b">
        <f t="shared" si="2"/>
        <v>1</v>
      </c>
      <c r="BE13" s="68" t="s">
        <v>1514</v>
      </c>
      <c r="BF13" s="75" t="s">
        <v>1514</v>
      </c>
      <c r="BG13" s="75" t="s">
        <v>1514</v>
      </c>
      <c r="BH13" s="75" t="s">
        <v>1514</v>
      </c>
      <c r="BI13" s="75" t="s">
        <v>1514</v>
      </c>
      <c r="BJ13" s="75" t="s">
        <v>1514</v>
      </c>
      <c r="BK13" s="75" t="s">
        <v>1514</v>
      </c>
      <c r="BL13" s="75" t="s">
        <v>1514</v>
      </c>
      <c r="BM13" s="75" t="s">
        <v>1514</v>
      </c>
      <c r="BN13" s="75" t="s">
        <v>1514</v>
      </c>
      <c r="BO13" s="75" t="s">
        <v>1514</v>
      </c>
      <c r="BP13" s="75" t="s">
        <v>1514</v>
      </c>
      <c r="BQ13" s="68">
        <f t="shared" si="3"/>
        <v>7</v>
      </c>
      <c r="BR13" s="69">
        <f t="shared" si="4"/>
        <v>35</v>
      </c>
      <c r="BS13" s="70">
        <f t="shared" si="5"/>
        <v>39</v>
      </c>
      <c r="BT13" s="69">
        <f t="shared" si="6"/>
        <v>70</v>
      </c>
      <c r="BU13" s="70">
        <f t="shared" si="7"/>
        <v>73</v>
      </c>
      <c r="BV13" s="69">
        <f t="shared" si="8"/>
        <v>109</v>
      </c>
      <c r="BW13" s="70">
        <f t="shared" si="9"/>
        <v>118</v>
      </c>
      <c r="BX13" s="69">
        <f t="shared" si="10"/>
        <v>166</v>
      </c>
      <c r="BY13" s="70">
        <f t="shared" si="11"/>
        <v>173</v>
      </c>
      <c r="BZ13" s="69">
        <f t="shared" si="12"/>
        <v>219</v>
      </c>
      <c r="CA13" s="70">
        <f t="shared" si="13"/>
        <v>266</v>
      </c>
      <c r="CB13" s="69">
        <f t="shared" si="14"/>
        <v>292</v>
      </c>
      <c r="CC13" s="68">
        <f t="shared" si="15"/>
        <v>34</v>
      </c>
      <c r="CD13" s="69">
        <f t="shared" si="16"/>
        <v>38</v>
      </c>
      <c r="CE13" s="70">
        <f t="shared" si="17"/>
        <v>69</v>
      </c>
      <c r="CF13" s="70">
        <f t="shared" si="18"/>
        <v>72</v>
      </c>
      <c r="CG13" s="70">
        <f t="shared" si="19"/>
        <v>108</v>
      </c>
      <c r="CH13" s="70">
        <f t="shared" si="20"/>
        <v>116</v>
      </c>
      <c r="CI13" s="70">
        <f t="shared" si="21"/>
        <v>142</v>
      </c>
      <c r="CJ13" s="70">
        <f t="shared" si="22"/>
        <v>168</v>
      </c>
      <c r="CK13" s="70">
        <f t="shared" si="23"/>
        <v>210</v>
      </c>
      <c r="CL13" s="70">
        <f t="shared" si="24"/>
        <v>259</v>
      </c>
      <c r="CM13" s="70">
        <f t="shared" si="25"/>
        <v>291</v>
      </c>
      <c r="CN13" s="70">
        <f t="shared" si="26"/>
        <v>305</v>
      </c>
      <c r="CO13" s="57">
        <f t="shared" si="27"/>
        <v>1</v>
      </c>
    </row>
    <row r="14" spans="1:93" x14ac:dyDescent="0.2">
      <c r="A14" s="3" t="str">
        <f t="shared" si="0"/>
        <v>aa2ar_human_3RFM</v>
      </c>
      <c r="B14" s="3" t="s">
        <v>333</v>
      </c>
      <c r="C14" s="3" t="s">
        <v>1241</v>
      </c>
      <c r="D14" s="3" t="str">
        <f>IFERROR(MID(VLOOKUP($B14,Seqs!$A:$B,2,FALSE),E14,1),"")</f>
        <v>S</v>
      </c>
      <c r="E14" s="3">
        <v>7</v>
      </c>
      <c r="F14" s="3" t="str">
        <f>IFERROR(MID(VLOOKUP($B14,Seqs!$A:$B,2,FALSE),G14,1),"")</f>
        <v>N</v>
      </c>
      <c r="G14" s="3">
        <v>34</v>
      </c>
      <c r="H14" s="3" t="str">
        <f>IFERROR(MID(VLOOKUP($B14,Seqs!$A:$B,2,FALSE),I14,1),"")</f>
        <v>S</v>
      </c>
      <c r="I14" s="57">
        <v>35</v>
      </c>
      <c r="J14" s="3" t="str">
        <f>IFERROR(MID(VLOOKUP($B14,Seqs!$A:$B,2,FALSE),K14,1),"")</f>
        <v>Q</v>
      </c>
      <c r="K14" s="57">
        <v>38</v>
      </c>
      <c r="L14" s="3" t="str">
        <f>IFERROR(MID(VLOOKUP($B14,Seqs!$A:$B,2,FALSE),M14,1),"")</f>
        <v>N</v>
      </c>
      <c r="M14" s="3">
        <v>39</v>
      </c>
      <c r="N14" s="3" t="str">
        <f>IFERROR(MID(VLOOKUP($B14,Seqs!$A:$B,2,FALSE),O14,1),"")</f>
        <v>G</v>
      </c>
      <c r="O14" s="3">
        <v>69</v>
      </c>
      <c r="P14" s="3" t="str">
        <f>IFERROR(MID(VLOOKUP($B14,Seqs!$A:$B,2,FALSE),Q14,1),"")</f>
        <v>F</v>
      </c>
      <c r="Q14" s="3">
        <v>70</v>
      </c>
      <c r="R14" s="3" t="str">
        <f>IFERROR(MID(VLOOKUP($B14,Seqs!$A:$B,2,FALSE),S14,1),"")</f>
        <v>A</v>
      </c>
      <c r="S14" s="3">
        <v>72</v>
      </c>
      <c r="T14" s="3" t="str">
        <f>IFERROR(MID(VLOOKUP($B14,Seqs!$A:$B,2,FALSE),U14,1),"")</f>
        <v>A</v>
      </c>
      <c r="U14" s="3">
        <v>73</v>
      </c>
      <c r="V14" s="3" t="str">
        <f>IFERROR(MID(VLOOKUP($B14,Seqs!$A:$B,2,FALSE),W14,1),"")</f>
        <v>I</v>
      </c>
      <c r="W14" s="3">
        <v>108</v>
      </c>
      <c r="X14" s="3" t="str">
        <f>IFERROR(MID(VLOOKUP($B14,Seqs!$A:$B,2,FALSE),Y14,1),"")</f>
        <v>P</v>
      </c>
      <c r="Y14" s="3">
        <v>109</v>
      </c>
      <c r="Z14" s="3" t="str">
        <f>IFERROR(MID(VLOOKUP($B14,Seqs!$A:$B,2,FALSE),AA14,1),"")</f>
        <v>V</v>
      </c>
      <c r="AA14" s="3">
        <v>116</v>
      </c>
      <c r="AB14" s="3" t="str">
        <f>IFERROR(MID(VLOOKUP($B14,Seqs!$A:$B,2,FALSE),AC14,1),"")</f>
        <v>G</v>
      </c>
      <c r="AC14" s="3">
        <v>118</v>
      </c>
      <c r="AD14" s="3" t="str">
        <f>IFERROR(MID(VLOOKUP($B14,Seqs!$A:$B,2,FALSE),AE14,1),"")</f>
        <v>G</v>
      </c>
      <c r="AE14" s="3">
        <v>142</v>
      </c>
      <c r="AF14" s="3" t="str">
        <f>IFERROR(MID(VLOOKUP($B14,Seqs!$A:$B,2,FALSE),AG14,1),"")</f>
        <v>C</v>
      </c>
      <c r="AG14" s="3">
        <v>166</v>
      </c>
      <c r="AH14" s="3" t="str">
        <f>IFERROR(MID(VLOOKUP($B14,Seqs!$A:$B,2,FALSE),AI14,1),"")</f>
        <v>F</v>
      </c>
      <c r="AI14" s="3">
        <v>168</v>
      </c>
      <c r="AJ14" s="3" t="str">
        <f>IFERROR(MID(VLOOKUP($B14,Seqs!$A:$B,2,FALSE),AK14,1),"")</f>
        <v>P</v>
      </c>
      <c r="AK14" s="3">
        <v>173</v>
      </c>
      <c r="AL14" s="3" t="str">
        <f>IFERROR(MID(VLOOKUP($B14,Seqs!$A:$B,2,FALSE),AM14,1),"")</f>
        <v>S</v>
      </c>
      <c r="AM14" s="3">
        <v>213</v>
      </c>
      <c r="AN14" s="3" t="str">
        <f>IFERROR(MID(VLOOKUP($B14,Seqs!$A:$B,2,FALSE),AO14,1),"")</f>
        <v>E</v>
      </c>
      <c r="AO14" s="3">
        <v>219</v>
      </c>
      <c r="AP14" s="3" t="str">
        <f>IFERROR(MID(VLOOKUP($B14,Seqs!$A:$B,2,FALSE),AQ14,1),"")</f>
        <v>C</v>
      </c>
      <c r="AQ14" s="3">
        <v>259</v>
      </c>
      <c r="AR14" s="3" t="str">
        <f>IFERROR(MID(VLOOKUP($B14,Seqs!$A:$B,2,FALSE),AS14,1),"")</f>
        <v>P</v>
      </c>
      <c r="AS14" s="3">
        <v>266</v>
      </c>
      <c r="AT14" s="3" t="str">
        <f>IFERROR(MID(VLOOKUP($B14,Seqs!$A:$B,2,FALSE),AU14,1),"")</f>
        <v>R</v>
      </c>
      <c r="AU14" s="3">
        <v>291</v>
      </c>
      <c r="AV14" s="3" t="str">
        <f>IFERROR(MID(VLOOKUP($B14,Seqs!$A:$B,2,FALSE),AW14,1),"")</f>
        <v>I</v>
      </c>
      <c r="AW14" s="3">
        <v>292</v>
      </c>
      <c r="AX14" s="3" t="str">
        <f>IFERROR(MID(VLOOKUP($B14,Seqs!$A:$B,2,FALSE),AY14,1),"")</f>
        <v>S</v>
      </c>
      <c r="AY14" s="3">
        <v>305</v>
      </c>
      <c r="AZ14" s="83" t="str">
        <f>VLOOKUP(B14,Classification!A:D,2,FALSE)</f>
        <v>A</v>
      </c>
      <c r="BC14" s="57">
        <f t="shared" si="1"/>
        <v>260</v>
      </c>
      <c r="BD14" s="63" t="b">
        <f t="shared" si="2"/>
        <v>1</v>
      </c>
      <c r="BE14" s="68" t="s">
        <v>1514</v>
      </c>
      <c r="BF14" s="75" t="s">
        <v>1514</v>
      </c>
      <c r="BG14" s="75" t="s">
        <v>1514</v>
      </c>
      <c r="BH14" s="75" t="s">
        <v>1514</v>
      </c>
      <c r="BI14" s="75" t="s">
        <v>1514</v>
      </c>
      <c r="BJ14" s="75" t="s">
        <v>1514</v>
      </c>
      <c r="BK14" s="75" t="s">
        <v>1514</v>
      </c>
      <c r="BL14" s="75" t="s">
        <v>1514</v>
      </c>
      <c r="BM14" s="75" t="s">
        <v>1514</v>
      </c>
      <c r="BN14" s="75" t="s">
        <v>1514</v>
      </c>
      <c r="BO14" s="75" t="s">
        <v>1514</v>
      </c>
      <c r="BP14" s="75" t="s">
        <v>1514</v>
      </c>
      <c r="BQ14" s="68">
        <f t="shared" si="3"/>
        <v>7</v>
      </c>
      <c r="BR14" s="69">
        <f t="shared" si="4"/>
        <v>35</v>
      </c>
      <c r="BS14" s="70">
        <f t="shared" si="5"/>
        <v>39</v>
      </c>
      <c r="BT14" s="69">
        <f t="shared" si="6"/>
        <v>70</v>
      </c>
      <c r="BU14" s="70">
        <f t="shared" si="7"/>
        <v>73</v>
      </c>
      <c r="BV14" s="69">
        <f t="shared" si="8"/>
        <v>109</v>
      </c>
      <c r="BW14" s="70">
        <f t="shared" si="9"/>
        <v>118</v>
      </c>
      <c r="BX14" s="69">
        <f t="shared" si="10"/>
        <v>166</v>
      </c>
      <c r="BY14" s="70">
        <f t="shared" si="11"/>
        <v>173</v>
      </c>
      <c r="BZ14" s="69">
        <f t="shared" si="12"/>
        <v>219</v>
      </c>
      <c r="CA14" s="70">
        <f t="shared" si="13"/>
        <v>266</v>
      </c>
      <c r="CB14" s="69">
        <f t="shared" si="14"/>
        <v>292</v>
      </c>
      <c r="CC14" s="68">
        <f t="shared" si="15"/>
        <v>34</v>
      </c>
      <c r="CD14" s="69">
        <f t="shared" si="16"/>
        <v>38</v>
      </c>
      <c r="CE14" s="70">
        <f t="shared" si="17"/>
        <v>69</v>
      </c>
      <c r="CF14" s="70">
        <f t="shared" si="18"/>
        <v>72</v>
      </c>
      <c r="CG14" s="70">
        <f t="shared" si="19"/>
        <v>108</v>
      </c>
      <c r="CH14" s="70">
        <f t="shared" si="20"/>
        <v>116</v>
      </c>
      <c r="CI14" s="70">
        <f t="shared" si="21"/>
        <v>142</v>
      </c>
      <c r="CJ14" s="70">
        <f t="shared" si="22"/>
        <v>168</v>
      </c>
      <c r="CK14" s="70">
        <f t="shared" si="23"/>
        <v>213</v>
      </c>
      <c r="CL14" s="70">
        <f t="shared" si="24"/>
        <v>259</v>
      </c>
      <c r="CM14" s="70">
        <f t="shared" si="25"/>
        <v>291</v>
      </c>
      <c r="CN14" s="70">
        <f t="shared" si="26"/>
        <v>305</v>
      </c>
      <c r="CO14" s="57">
        <f t="shared" si="27"/>
        <v>1</v>
      </c>
    </row>
    <row r="15" spans="1:93" x14ac:dyDescent="0.2">
      <c r="A15" s="3" t="str">
        <f t="shared" si="0"/>
        <v>aa2ar_human_3UZA</v>
      </c>
      <c r="B15" s="3" t="s">
        <v>333</v>
      </c>
      <c r="C15" s="3" t="s">
        <v>1242</v>
      </c>
      <c r="D15" s="3" t="str">
        <f>IFERROR(MID(VLOOKUP($B15,Seqs!$A:$B,2,FALSE),E15,1),"")</f>
        <v>S</v>
      </c>
      <c r="E15" s="3">
        <v>7</v>
      </c>
      <c r="F15" s="3" t="str">
        <f>IFERROR(MID(VLOOKUP($B15,Seqs!$A:$B,2,FALSE),G15,1),"")</f>
        <v>N</v>
      </c>
      <c r="G15" s="3">
        <v>34</v>
      </c>
      <c r="H15" s="3" t="str">
        <f>IFERROR(MID(VLOOKUP($B15,Seqs!$A:$B,2,FALSE),I15,1),"")</f>
        <v>S</v>
      </c>
      <c r="I15" s="57">
        <v>35</v>
      </c>
      <c r="J15" s="3" t="str">
        <f>IFERROR(MID(VLOOKUP($B15,Seqs!$A:$B,2,FALSE),K15,1),"")</f>
        <v>Q</v>
      </c>
      <c r="K15" s="57">
        <v>38</v>
      </c>
      <c r="L15" s="3" t="str">
        <f>IFERROR(MID(VLOOKUP($B15,Seqs!$A:$B,2,FALSE),M15,1),"")</f>
        <v>N</v>
      </c>
      <c r="M15" s="3">
        <v>39</v>
      </c>
      <c r="N15" s="3" t="str">
        <f>IFERROR(MID(VLOOKUP($B15,Seqs!$A:$B,2,FALSE),O15,1),"")</f>
        <v>G</v>
      </c>
      <c r="O15" s="3">
        <v>69</v>
      </c>
      <c r="P15" s="3" t="str">
        <f>IFERROR(MID(VLOOKUP($B15,Seqs!$A:$B,2,FALSE),Q15,1),"")</f>
        <v>F</v>
      </c>
      <c r="Q15" s="3">
        <v>70</v>
      </c>
      <c r="R15" s="3" t="str">
        <f>IFERROR(MID(VLOOKUP($B15,Seqs!$A:$B,2,FALSE),S15,1),"")</f>
        <v>A</v>
      </c>
      <c r="S15" s="3">
        <v>72</v>
      </c>
      <c r="T15" s="3" t="str">
        <f>IFERROR(MID(VLOOKUP($B15,Seqs!$A:$B,2,FALSE),U15,1),"")</f>
        <v>A</v>
      </c>
      <c r="U15" s="3">
        <v>73</v>
      </c>
      <c r="V15" s="3" t="str">
        <f>IFERROR(MID(VLOOKUP($B15,Seqs!$A:$B,2,FALSE),W15,1),"")</f>
        <v>I</v>
      </c>
      <c r="W15" s="3">
        <v>108</v>
      </c>
      <c r="X15" s="3" t="str">
        <f>IFERROR(MID(VLOOKUP($B15,Seqs!$A:$B,2,FALSE),Y15,1),"")</f>
        <v>P</v>
      </c>
      <c r="Y15" s="3">
        <v>109</v>
      </c>
      <c r="Z15" s="3" t="str">
        <f>IFERROR(MID(VLOOKUP($B15,Seqs!$A:$B,2,FALSE),AA15,1),"")</f>
        <v>V</v>
      </c>
      <c r="AA15" s="3">
        <v>116</v>
      </c>
      <c r="AB15" s="3" t="str">
        <f>IFERROR(MID(VLOOKUP($B15,Seqs!$A:$B,2,FALSE),AC15,1),"")</f>
        <v>G</v>
      </c>
      <c r="AC15" s="3">
        <v>118</v>
      </c>
      <c r="AD15" s="3" t="str">
        <f>IFERROR(MID(VLOOKUP($B15,Seqs!$A:$B,2,FALSE),AE15,1),"")</f>
        <v>G</v>
      </c>
      <c r="AE15" s="3">
        <v>142</v>
      </c>
      <c r="AF15" s="3" t="str">
        <f>IFERROR(MID(VLOOKUP($B15,Seqs!$A:$B,2,FALSE),AG15,1),"")</f>
        <v>C</v>
      </c>
      <c r="AG15" s="3">
        <v>166</v>
      </c>
      <c r="AH15" s="3" t="str">
        <f>IFERROR(MID(VLOOKUP($B15,Seqs!$A:$B,2,FALSE),AI15,1),"")</f>
        <v>F</v>
      </c>
      <c r="AI15" s="3">
        <v>168</v>
      </c>
      <c r="AJ15" s="3" t="str">
        <f>IFERROR(MID(VLOOKUP($B15,Seqs!$A:$B,2,FALSE),AK15,1),"")</f>
        <v>P</v>
      </c>
      <c r="AK15" s="3">
        <v>173</v>
      </c>
      <c r="AL15" s="3" t="str">
        <f>IFERROR(MID(VLOOKUP($B15,Seqs!$A:$B,2,FALSE),AM15,1),"")</f>
        <v>S</v>
      </c>
      <c r="AM15" s="3">
        <v>213</v>
      </c>
      <c r="AN15" s="3" t="str">
        <f>IFERROR(MID(VLOOKUP($B15,Seqs!$A:$B,2,FALSE),AO15,1),"")</f>
        <v>E</v>
      </c>
      <c r="AO15" s="3">
        <v>219</v>
      </c>
      <c r="AP15" s="3" t="str">
        <f>IFERROR(MID(VLOOKUP($B15,Seqs!$A:$B,2,FALSE),AQ15,1),"")</f>
        <v>C</v>
      </c>
      <c r="AQ15" s="3">
        <v>259</v>
      </c>
      <c r="AR15" s="3" t="str">
        <f>IFERROR(MID(VLOOKUP($B15,Seqs!$A:$B,2,FALSE),AS15,1),"")</f>
        <v>P</v>
      </c>
      <c r="AS15" s="3">
        <v>266</v>
      </c>
      <c r="AT15" s="3" t="str">
        <f>IFERROR(MID(VLOOKUP($B15,Seqs!$A:$B,2,FALSE),AU15,1),"")</f>
        <v>R</v>
      </c>
      <c r="AU15" s="3">
        <v>291</v>
      </c>
      <c r="AV15" s="3" t="str">
        <f>IFERROR(MID(VLOOKUP($B15,Seqs!$A:$B,2,FALSE),AW15,1),"")</f>
        <v>I</v>
      </c>
      <c r="AW15" s="3">
        <v>292</v>
      </c>
      <c r="AX15" s="3" t="str">
        <f>IFERROR(MID(VLOOKUP($B15,Seqs!$A:$B,2,FALSE),AY15,1),"")</f>
        <v>S</v>
      </c>
      <c r="AY15" s="3">
        <v>305</v>
      </c>
      <c r="AZ15" s="83" t="str">
        <f>VLOOKUP(B15,Classification!A:D,2,FALSE)</f>
        <v>A</v>
      </c>
      <c r="BC15" s="57">
        <f t="shared" si="1"/>
        <v>260</v>
      </c>
      <c r="BD15" s="63" t="b">
        <f t="shared" si="2"/>
        <v>1</v>
      </c>
      <c r="BE15" s="68" t="s">
        <v>1514</v>
      </c>
      <c r="BF15" s="75" t="s">
        <v>1514</v>
      </c>
      <c r="BG15" s="75" t="s">
        <v>1514</v>
      </c>
      <c r="BH15" s="75" t="s">
        <v>1514</v>
      </c>
      <c r="BI15" s="75" t="s">
        <v>1514</v>
      </c>
      <c r="BJ15" s="75" t="s">
        <v>1514</v>
      </c>
      <c r="BK15" s="75" t="s">
        <v>1514</v>
      </c>
      <c r="BL15" s="75" t="s">
        <v>1514</v>
      </c>
      <c r="BM15" s="75" t="s">
        <v>1514</v>
      </c>
      <c r="BN15" s="75" t="s">
        <v>1514</v>
      </c>
      <c r="BO15" s="75" t="s">
        <v>1514</v>
      </c>
      <c r="BP15" s="75" t="s">
        <v>1514</v>
      </c>
      <c r="BQ15" s="68">
        <f t="shared" si="3"/>
        <v>7</v>
      </c>
      <c r="BR15" s="69">
        <f t="shared" si="4"/>
        <v>35</v>
      </c>
      <c r="BS15" s="70">
        <f t="shared" si="5"/>
        <v>39</v>
      </c>
      <c r="BT15" s="69">
        <f t="shared" si="6"/>
        <v>70</v>
      </c>
      <c r="BU15" s="70">
        <f t="shared" si="7"/>
        <v>73</v>
      </c>
      <c r="BV15" s="69">
        <f t="shared" si="8"/>
        <v>109</v>
      </c>
      <c r="BW15" s="70">
        <f t="shared" si="9"/>
        <v>118</v>
      </c>
      <c r="BX15" s="69">
        <f t="shared" si="10"/>
        <v>166</v>
      </c>
      <c r="BY15" s="70">
        <f t="shared" si="11"/>
        <v>173</v>
      </c>
      <c r="BZ15" s="69">
        <f t="shared" si="12"/>
        <v>219</v>
      </c>
      <c r="CA15" s="70">
        <f t="shared" si="13"/>
        <v>266</v>
      </c>
      <c r="CB15" s="69">
        <f t="shared" si="14"/>
        <v>292</v>
      </c>
      <c r="CC15" s="68">
        <f t="shared" si="15"/>
        <v>34</v>
      </c>
      <c r="CD15" s="69">
        <f t="shared" si="16"/>
        <v>38</v>
      </c>
      <c r="CE15" s="70">
        <f t="shared" si="17"/>
        <v>69</v>
      </c>
      <c r="CF15" s="70">
        <f t="shared" si="18"/>
        <v>72</v>
      </c>
      <c r="CG15" s="70">
        <f t="shared" si="19"/>
        <v>108</v>
      </c>
      <c r="CH15" s="70">
        <f t="shared" si="20"/>
        <v>116</v>
      </c>
      <c r="CI15" s="70">
        <f t="shared" si="21"/>
        <v>142</v>
      </c>
      <c r="CJ15" s="70">
        <f t="shared" si="22"/>
        <v>168</v>
      </c>
      <c r="CK15" s="70">
        <f t="shared" si="23"/>
        <v>213</v>
      </c>
      <c r="CL15" s="70">
        <f t="shared" si="24"/>
        <v>259</v>
      </c>
      <c r="CM15" s="70">
        <f t="shared" si="25"/>
        <v>291</v>
      </c>
      <c r="CN15" s="70">
        <f t="shared" si="26"/>
        <v>305</v>
      </c>
      <c r="CO15" s="57">
        <f t="shared" si="27"/>
        <v>1</v>
      </c>
    </row>
    <row r="16" spans="1:93" x14ac:dyDescent="0.2">
      <c r="A16" s="3" t="str">
        <f t="shared" si="0"/>
        <v>aa2ar_human_3UZC</v>
      </c>
      <c r="B16" s="3" t="s">
        <v>333</v>
      </c>
      <c r="C16" s="3" t="s">
        <v>1243</v>
      </c>
      <c r="D16" s="3" t="str">
        <f>IFERROR(MID(VLOOKUP($B16,Seqs!$A:$B,2,FALSE),E16,1),"")</f>
        <v>S</v>
      </c>
      <c r="E16" s="3">
        <v>7</v>
      </c>
      <c r="F16" s="3" t="str">
        <f>IFERROR(MID(VLOOKUP($B16,Seqs!$A:$B,2,FALSE),G16,1),"")</f>
        <v>N</v>
      </c>
      <c r="G16" s="3">
        <v>34</v>
      </c>
      <c r="H16" s="3" t="str">
        <f>IFERROR(MID(VLOOKUP($B16,Seqs!$A:$B,2,FALSE),I16,1),"")</f>
        <v>S</v>
      </c>
      <c r="I16" s="57">
        <v>35</v>
      </c>
      <c r="J16" s="3" t="str">
        <f>IFERROR(MID(VLOOKUP($B16,Seqs!$A:$B,2,FALSE),K16,1),"")</f>
        <v>Q</v>
      </c>
      <c r="K16" s="57">
        <v>38</v>
      </c>
      <c r="L16" s="3" t="str">
        <f>IFERROR(MID(VLOOKUP($B16,Seqs!$A:$B,2,FALSE),M16,1),"")</f>
        <v>N</v>
      </c>
      <c r="M16" s="3">
        <v>39</v>
      </c>
      <c r="N16" s="3" t="str">
        <f>IFERROR(MID(VLOOKUP($B16,Seqs!$A:$B,2,FALSE),O16,1),"")</f>
        <v>G</v>
      </c>
      <c r="O16" s="3">
        <v>69</v>
      </c>
      <c r="P16" s="3" t="str">
        <f>IFERROR(MID(VLOOKUP($B16,Seqs!$A:$B,2,FALSE),Q16,1),"")</f>
        <v>F</v>
      </c>
      <c r="Q16" s="3">
        <v>70</v>
      </c>
      <c r="R16" s="3" t="str">
        <f>IFERROR(MID(VLOOKUP($B16,Seqs!$A:$B,2,FALSE),S16,1),"")</f>
        <v>A</v>
      </c>
      <c r="S16" s="3">
        <v>72</v>
      </c>
      <c r="T16" s="3" t="str">
        <f>IFERROR(MID(VLOOKUP($B16,Seqs!$A:$B,2,FALSE),U16,1),"")</f>
        <v>A</v>
      </c>
      <c r="U16" s="3">
        <v>73</v>
      </c>
      <c r="V16" s="3" t="str">
        <f>IFERROR(MID(VLOOKUP($B16,Seqs!$A:$B,2,FALSE),W16,1),"")</f>
        <v>I</v>
      </c>
      <c r="W16" s="3">
        <v>108</v>
      </c>
      <c r="X16" s="3" t="str">
        <f>IFERROR(MID(VLOOKUP($B16,Seqs!$A:$B,2,FALSE),Y16,1),"")</f>
        <v>P</v>
      </c>
      <c r="Y16" s="3">
        <v>109</v>
      </c>
      <c r="Z16" s="3" t="str">
        <f>IFERROR(MID(VLOOKUP($B16,Seqs!$A:$B,2,FALSE),AA16,1),"")</f>
        <v>V</v>
      </c>
      <c r="AA16" s="3">
        <v>116</v>
      </c>
      <c r="AB16" s="3" t="str">
        <f>IFERROR(MID(VLOOKUP($B16,Seqs!$A:$B,2,FALSE),AC16,1),"")</f>
        <v>G</v>
      </c>
      <c r="AC16" s="3">
        <v>118</v>
      </c>
      <c r="AD16" s="3" t="str">
        <f>IFERROR(MID(VLOOKUP($B16,Seqs!$A:$B,2,FALSE),AE16,1),"")</f>
        <v>G</v>
      </c>
      <c r="AE16" s="3">
        <v>142</v>
      </c>
      <c r="AF16" s="3" t="str">
        <f>IFERROR(MID(VLOOKUP($B16,Seqs!$A:$B,2,FALSE),AG16,1),"")</f>
        <v>C</v>
      </c>
      <c r="AG16" s="3">
        <v>166</v>
      </c>
      <c r="AH16" s="3" t="str">
        <f>IFERROR(MID(VLOOKUP($B16,Seqs!$A:$B,2,FALSE),AI16,1),"")</f>
        <v>F</v>
      </c>
      <c r="AI16" s="3">
        <v>168</v>
      </c>
      <c r="AJ16" s="3" t="str">
        <f>IFERROR(MID(VLOOKUP($B16,Seqs!$A:$B,2,FALSE),AK16,1),"")</f>
        <v>P</v>
      </c>
      <c r="AK16" s="3">
        <v>173</v>
      </c>
      <c r="AL16" s="3" t="str">
        <f>IFERROR(MID(VLOOKUP($B16,Seqs!$A:$B,2,FALSE),AM16,1),"")</f>
        <v>Q</v>
      </c>
      <c r="AM16" s="3">
        <v>210</v>
      </c>
      <c r="AN16" s="3" t="str">
        <f>IFERROR(MID(VLOOKUP($B16,Seqs!$A:$B,2,FALSE),AO16,1),"")</f>
        <v>E</v>
      </c>
      <c r="AO16" s="3">
        <v>219</v>
      </c>
      <c r="AP16" s="3" t="str">
        <f>IFERROR(MID(VLOOKUP($B16,Seqs!$A:$B,2,FALSE),AQ16,1),"")</f>
        <v>C</v>
      </c>
      <c r="AQ16" s="3">
        <v>259</v>
      </c>
      <c r="AR16" s="3" t="str">
        <f>IFERROR(MID(VLOOKUP($B16,Seqs!$A:$B,2,FALSE),AS16,1),"")</f>
        <v>P</v>
      </c>
      <c r="AS16" s="3">
        <v>266</v>
      </c>
      <c r="AT16" s="3" t="str">
        <f>IFERROR(MID(VLOOKUP($B16,Seqs!$A:$B,2,FALSE),AU16,1),"")</f>
        <v>R</v>
      </c>
      <c r="AU16" s="3">
        <v>291</v>
      </c>
      <c r="AV16" s="3" t="str">
        <f>IFERROR(MID(VLOOKUP($B16,Seqs!$A:$B,2,FALSE),AW16,1),"")</f>
        <v>I</v>
      </c>
      <c r="AW16" s="3">
        <v>292</v>
      </c>
      <c r="AX16" s="3" t="str">
        <f>IFERROR(MID(VLOOKUP($B16,Seqs!$A:$B,2,FALSE),AY16,1),"")</f>
        <v>S</v>
      </c>
      <c r="AY16" s="3">
        <v>305</v>
      </c>
      <c r="AZ16" s="83" t="str">
        <f>VLOOKUP(B16,Classification!A:D,2,FALSE)</f>
        <v>A</v>
      </c>
      <c r="BC16" s="57">
        <f t="shared" si="1"/>
        <v>257</v>
      </c>
      <c r="BD16" s="63" t="b">
        <f t="shared" si="2"/>
        <v>1</v>
      </c>
      <c r="BE16" s="68" t="s">
        <v>1514</v>
      </c>
      <c r="BF16" s="75" t="s">
        <v>1514</v>
      </c>
      <c r="BG16" s="75" t="s">
        <v>1514</v>
      </c>
      <c r="BH16" s="75" t="s">
        <v>1514</v>
      </c>
      <c r="BI16" s="75" t="s">
        <v>1514</v>
      </c>
      <c r="BJ16" s="75" t="s">
        <v>1514</v>
      </c>
      <c r="BK16" s="75" t="s">
        <v>1514</v>
      </c>
      <c r="BL16" s="75" t="s">
        <v>1514</v>
      </c>
      <c r="BM16" s="75" t="s">
        <v>1514</v>
      </c>
      <c r="BN16" s="75" t="s">
        <v>1514</v>
      </c>
      <c r="BO16" s="75" t="s">
        <v>1514</v>
      </c>
      <c r="BP16" s="75" t="s">
        <v>1514</v>
      </c>
      <c r="BQ16" s="68">
        <f t="shared" si="3"/>
        <v>7</v>
      </c>
      <c r="BR16" s="69">
        <f t="shared" si="4"/>
        <v>35</v>
      </c>
      <c r="BS16" s="70">
        <f t="shared" si="5"/>
        <v>39</v>
      </c>
      <c r="BT16" s="69">
        <f t="shared" si="6"/>
        <v>70</v>
      </c>
      <c r="BU16" s="70">
        <f t="shared" si="7"/>
        <v>73</v>
      </c>
      <c r="BV16" s="69">
        <f t="shared" si="8"/>
        <v>109</v>
      </c>
      <c r="BW16" s="70">
        <f t="shared" si="9"/>
        <v>118</v>
      </c>
      <c r="BX16" s="69">
        <f t="shared" si="10"/>
        <v>166</v>
      </c>
      <c r="BY16" s="70">
        <f t="shared" si="11"/>
        <v>173</v>
      </c>
      <c r="BZ16" s="69">
        <f t="shared" si="12"/>
        <v>219</v>
      </c>
      <c r="CA16" s="70">
        <f t="shared" si="13"/>
        <v>266</v>
      </c>
      <c r="CB16" s="69">
        <f t="shared" si="14"/>
        <v>292</v>
      </c>
      <c r="CC16" s="68">
        <f t="shared" si="15"/>
        <v>34</v>
      </c>
      <c r="CD16" s="69">
        <f t="shared" si="16"/>
        <v>38</v>
      </c>
      <c r="CE16" s="70">
        <f t="shared" si="17"/>
        <v>69</v>
      </c>
      <c r="CF16" s="70">
        <f t="shared" si="18"/>
        <v>72</v>
      </c>
      <c r="CG16" s="70">
        <f t="shared" si="19"/>
        <v>108</v>
      </c>
      <c r="CH16" s="70">
        <f t="shared" si="20"/>
        <v>116</v>
      </c>
      <c r="CI16" s="70">
        <f t="shared" si="21"/>
        <v>142</v>
      </c>
      <c r="CJ16" s="70">
        <f t="shared" si="22"/>
        <v>168</v>
      </c>
      <c r="CK16" s="70">
        <f t="shared" si="23"/>
        <v>210</v>
      </c>
      <c r="CL16" s="70">
        <f t="shared" si="24"/>
        <v>259</v>
      </c>
      <c r="CM16" s="70">
        <f t="shared" si="25"/>
        <v>291</v>
      </c>
      <c r="CN16" s="70">
        <f t="shared" si="26"/>
        <v>305</v>
      </c>
      <c r="CO16" s="57">
        <f t="shared" si="27"/>
        <v>1</v>
      </c>
    </row>
    <row r="17" spans="1:93" x14ac:dyDescent="0.2">
      <c r="A17" s="3" t="str">
        <f t="shared" si="0"/>
        <v>aa2ar_human_4EIY</v>
      </c>
      <c r="B17" s="3" t="s">
        <v>333</v>
      </c>
      <c r="C17" s="3" t="s">
        <v>272</v>
      </c>
      <c r="D17" s="3" t="str">
        <f>IFERROR(MID(VLOOKUP($B17,Seqs!$A:$B,2,FALSE),E17,1),"")</f>
        <v>P</v>
      </c>
      <c r="E17" s="3">
        <v>2</v>
      </c>
      <c r="F17" s="3" t="str">
        <f>IFERROR(MID(VLOOKUP($B17,Seqs!$A:$B,2,FALSE),G17,1),"")</f>
        <v>N</v>
      </c>
      <c r="G17" s="3">
        <v>34</v>
      </c>
      <c r="H17" s="3" t="str">
        <f>IFERROR(MID(VLOOKUP($B17,Seqs!$A:$B,2,FALSE),I17,1),"")</f>
        <v>S</v>
      </c>
      <c r="I17" s="57">
        <v>35</v>
      </c>
      <c r="J17" s="3" t="str">
        <f>IFERROR(MID(VLOOKUP($B17,Seqs!$A:$B,2,FALSE),K17,1),"")</f>
        <v>Q</v>
      </c>
      <c r="K17" s="57">
        <v>38</v>
      </c>
      <c r="L17" s="3" t="str">
        <f>IFERROR(MID(VLOOKUP($B17,Seqs!$A:$B,2,FALSE),M17,1),"")</f>
        <v>N</v>
      </c>
      <c r="M17" s="3">
        <v>39</v>
      </c>
      <c r="N17" s="3" t="str">
        <f>IFERROR(MID(VLOOKUP($B17,Seqs!$A:$B,2,FALSE),O17,1),"")</f>
        <v>G</v>
      </c>
      <c r="O17" s="3">
        <v>69</v>
      </c>
      <c r="P17" s="3" t="str">
        <f>IFERROR(MID(VLOOKUP($B17,Seqs!$A:$B,2,FALSE),Q17,1),"")</f>
        <v>F</v>
      </c>
      <c r="Q17" s="3">
        <v>70</v>
      </c>
      <c r="R17" s="3" t="str">
        <f>IFERROR(MID(VLOOKUP($B17,Seqs!$A:$B,2,FALSE),S17,1),"")</f>
        <v>A</v>
      </c>
      <c r="S17" s="3">
        <v>72</v>
      </c>
      <c r="T17" s="3" t="str">
        <f>IFERROR(MID(VLOOKUP($B17,Seqs!$A:$B,2,FALSE),U17,1),"")</f>
        <v>A</v>
      </c>
      <c r="U17" s="3">
        <v>73</v>
      </c>
      <c r="V17" s="3" t="str">
        <f>IFERROR(MID(VLOOKUP($B17,Seqs!$A:$B,2,FALSE),W17,1),"")</f>
        <v>I</v>
      </c>
      <c r="W17" s="3">
        <v>108</v>
      </c>
      <c r="X17" s="3" t="str">
        <f>IFERROR(MID(VLOOKUP($B17,Seqs!$A:$B,2,FALSE),Y17,1),"")</f>
        <v>P</v>
      </c>
      <c r="Y17" s="3">
        <v>109</v>
      </c>
      <c r="Z17" s="3" t="str">
        <f>IFERROR(MID(VLOOKUP($B17,Seqs!$A:$B,2,FALSE),AA17,1),"")</f>
        <v>V</v>
      </c>
      <c r="AA17" s="3">
        <v>116</v>
      </c>
      <c r="AB17" s="3" t="str">
        <f>IFERROR(MID(VLOOKUP($B17,Seqs!$A:$B,2,FALSE),AC17,1),"")</f>
        <v>G</v>
      </c>
      <c r="AC17" s="3">
        <v>118</v>
      </c>
      <c r="AD17" s="3" t="str">
        <f>IFERROR(MID(VLOOKUP($B17,Seqs!$A:$B,2,FALSE),AE17,1),"")</f>
        <v>G</v>
      </c>
      <c r="AE17" s="3">
        <v>142</v>
      </c>
      <c r="AF17" s="3" t="str">
        <f>IFERROR(MID(VLOOKUP($B17,Seqs!$A:$B,2,FALSE),AG17,1),"")</f>
        <v>C</v>
      </c>
      <c r="AG17" s="3">
        <v>166</v>
      </c>
      <c r="AH17" s="3" t="str">
        <f>IFERROR(MID(VLOOKUP($B17,Seqs!$A:$B,2,FALSE),AI17,1),"")</f>
        <v>F</v>
      </c>
      <c r="AI17" s="3">
        <v>168</v>
      </c>
      <c r="AJ17" s="3" t="str">
        <f>IFERROR(MID(VLOOKUP($B17,Seqs!$A:$B,2,FALSE),AK17,1),"")</f>
        <v>P</v>
      </c>
      <c r="AK17" s="3">
        <v>173</v>
      </c>
      <c r="AL17" s="3" t="str">
        <f>IFERROR(MID(VLOOKUP($B17,Seqs!$A:$B,2,FALSE),AM17,1),"")</f>
        <v>Q</v>
      </c>
      <c r="AM17" s="3">
        <v>207</v>
      </c>
      <c r="AN17" s="3" t="str">
        <f>IFERROR(MID(VLOOKUP($B17,Seqs!$A:$B,2,FALSE),AO17,1),"")</f>
        <v>E</v>
      </c>
      <c r="AO17" s="3">
        <v>219</v>
      </c>
      <c r="AP17" s="3" t="str">
        <f>IFERROR(MID(VLOOKUP($B17,Seqs!$A:$B,2,FALSE),AQ17,1),"")</f>
        <v>C</v>
      </c>
      <c r="AQ17" s="3">
        <v>259</v>
      </c>
      <c r="AR17" s="3" t="str">
        <f>IFERROR(MID(VLOOKUP($B17,Seqs!$A:$B,2,FALSE),AS17,1),"")</f>
        <v>P</v>
      </c>
      <c r="AS17" s="3">
        <v>266</v>
      </c>
      <c r="AT17" s="3" t="str">
        <f>IFERROR(MID(VLOOKUP($B17,Seqs!$A:$B,2,FALSE),AU17,1),"")</f>
        <v>R</v>
      </c>
      <c r="AU17" s="3">
        <v>291</v>
      </c>
      <c r="AV17" s="3" t="str">
        <f>IFERROR(MID(VLOOKUP($B17,Seqs!$A:$B,2,FALSE),AW17,1),"")</f>
        <v>I</v>
      </c>
      <c r="AW17" s="3">
        <v>292</v>
      </c>
      <c r="AX17" s="3" t="str">
        <f>IFERROR(MID(VLOOKUP($B17,Seqs!$A:$B,2,FALSE),AY17,1),"")</f>
        <v>V</v>
      </c>
      <c r="AY17" s="3">
        <v>307</v>
      </c>
      <c r="AZ17" s="83" t="str">
        <f>VLOOKUP(B17,Classification!A:D,2,FALSE)</f>
        <v>A</v>
      </c>
      <c r="BC17" s="57">
        <f t="shared" si="1"/>
        <v>261</v>
      </c>
      <c r="BD17" s="63" t="b">
        <f t="shared" si="2"/>
        <v>1</v>
      </c>
      <c r="BE17" s="68" t="s">
        <v>1514</v>
      </c>
      <c r="BF17" s="75" t="s">
        <v>1514</v>
      </c>
      <c r="BG17" s="75" t="s">
        <v>1514</v>
      </c>
      <c r="BH17" s="75" t="s">
        <v>1514</v>
      </c>
      <c r="BI17" s="75" t="s">
        <v>1514</v>
      </c>
      <c r="BJ17" s="75" t="s">
        <v>1514</v>
      </c>
      <c r="BK17" s="75" t="s">
        <v>1514</v>
      </c>
      <c r="BL17" s="75" t="s">
        <v>1514</v>
      </c>
      <c r="BM17" s="75" t="s">
        <v>1514</v>
      </c>
      <c r="BN17" s="75" t="s">
        <v>1514</v>
      </c>
      <c r="BO17" s="75" t="s">
        <v>1514</v>
      </c>
      <c r="BP17" s="75" t="s">
        <v>1514</v>
      </c>
      <c r="BQ17" s="68">
        <f t="shared" si="3"/>
        <v>2</v>
      </c>
      <c r="BR17" s="69">
        <f t="shared" si="4"/>
        <v>35</v>
      </c>
      <c r="BS17" s="70">
        <f t="shared" si="5"/>
        <v>39</v>
      </c>
      <c r="BT17" s="69">
        <f t="shared" si="6"/>
        <v>70</v>
      </c>
      <c r="BU17" s="70">
        <f t="shared" si="7"/>
        <v>73</v>
      </c>
      <c r="BV17" s="69">
        <f t="shared" si="8"/>
        <v>109</v>
      </c>
      <c r="BW17" s="70">
        <f t="shared" si="9"/>
        <v>118</v>
      </c>
      <c r="BX17" s="69">
        <f t="shared" si="10"/>
        <v>166</v>
      </c>
      <c r="BY17" s="70">
        <f t="shared" si="11"/>
        <v>173</v>
      </c>
      <c r="BZ17" s="69">
        <f t="shared" si="12"/>
        <v>219</v>
      </c>
      <c r="CA17" s="70">
        <f t="shared" si="13"/>
        <v>266</v>
      </c>
      <c r="CB17" s="69">
        <f t="shared" si="14"/>
        <v>292</v>
      </c>
      <c r="CC17" s="68">
        <f t="shared" si="15"/>
        <v>34</v>
      </c>
      <c r="CD17" s="69">
        <f t="shared" si="16"/>
        <v>38</v>
      </c>
      <c r="CE17" s="70">
        <f t="shared" si="17"/>
        <v>69</v>
      </c>
      <c r="CF17" s="70">
        <f t="shared" si="18"/>
        <v>72</v>
      </c>
      <c r="CG17" s="70">
        <f t="shared" si="19"/>
        <v>108</v>
      </c>
      <c r="CH17" s="70">
        <f t="shared" si="20"/>
        <v>116</v>
      </c>
      <c r="CI17" s="70">
        <f t="shared" si="21"/>
        <v>142</v>
      </c>
      <c r="CJ17" s="70">
        <f t="shared" si="22"/>
        <v>168</v>
      </c>
      <c r="CK17" s="70">
        <f t="shared" si="23"/>
        <v>207</v>
      </c>
      <c r="CL17" s="70">
        <f t="shared" si="24"/>
        <v>259</v>
      </c>
      <c r="CM17" s="70">
        <f t="shared" si="25"/>
        <v>291</v>
      </c>
      <c r="CN17" s="70">
        <f t="shared" si="26"/>
        <v>307</v>
      </c>
      <c r="CO17" s="57">
        <f t="shared" si="27"/>
        <v>1</v>
      </c>
    </row>
    <row r="18" spans="1:93" x14ac:dyDescent="0.2">
      <c r="A18" s="3" t="str">
        <f>CONCATENATE(B18,"_",C18)</f>
        <v>aa2ar_human_4UHR</v>
      </c>
      <c r="B18" s="3" t="s">
        <v>333</v>
      </c>
      <c r="C18" s="3" t="s">
        <v>1261</v>
      </c>
      <c r="D18" s="3" t="str">
        <f>IFERROR(MID(VLOOKUP($B18,Seqs!$A:$B,2,FALSE),E18,1),"")</f>
        <v>S</v>
      </c>
      <c r="E18" s="3">
        <v>6</v>
      </c>
      <c r="F18" s="3" t="str">
        <f>IFERROR(MID(VLOOKUP($B18,Seqs!$A:$B,2,FALSE),G18,1),"")</f>
        <v>N</v>
      </c>
      <c r="G18" s="3">
        <v>34</v>
      </c>
      <c r="H18" s="3" t="str">
        <f>IFERROR(MID(VLOOKUP($B18,Seqs!$A:$B,2,FALSE),I18,1),"")</f>
        <v>S</v>
      </c>
      <c r="I18" s="57">
        <v>35</v>
      </c>
      <c r="J18" s="3" t="str">
        <f>IFERROR(MID(VLOOKUP($B18,Seqs!$A:$B,2,FALSE),K18,1),"")</f>
        <v>Q</v>
      </c>
      <c r="K18" s="57">
        <v>38</v>
      </c>
      <c r="L18" s="3" t="str">
        <f>IFERROR(MID(VLOOKUP($B18,Seqs!$A:$B,2,FALSE),M18,1),"")</f>
        <v>N</v>
      </c>
      <c r="M18" s="3">
        <v>39</v>
      </c>
      <c r="N18" s="3" t="str">
        <f>IFERROR(MID(VLOOKUP($B18,Seqs!$A:$B,2,FALSE),O18,1),"")</f>
        <v>G</v>
      </c>
      <c r="O18" s="3">
        <v>69</v>
      </c>
      <c r="P18" s="3" t="str">
        <f>IFERROR(MID(VLOOKUP($B18,Seqs!$A:$B,2,FALSE),Q18,1),"")</f>
        <v>F</v>
      </c>
      <c r="Q18" s="3">
        <v>70</v>
      </c>
      <c r="R18" s="3" t="str">
        <f>IFERROR(MID(VLOOKUP($B18,Seqs!$A:$B,2,FALSE),S18,1),"")</f>
        <v>A</v>
      </c>
      <c r="S18" s="3">
        <v>72</v>
      </c>
      <c r="T18" s="3" t="str">
        <f>IFERROR(MID(VLOOKUP($B18,Seqs!$A:$B,2,FALSE),U18,1),"")</f>
        <v>A</v>
      </c>
      <c r="U18" s="3">
        <v>73</v>
      </c>
      <c r="V18" s="3" t="str">
        <f>IFERROR(MID(VLOOKUP($B18,Seqs!$A:$B,2,FALSE),W18,1),"")</f>
        <v>I</v>
      </c>
      <c r="W18" s="3">
        <v>108</v>
      </c>
      <c r="X18" s="3" t="str">
        <f>IFERROR(MID(VLOOKUP($B18,Seqs!$A:$B,2,FALSE),Y18,1),"")</f>
        <v>P</v>
      </c>
      <c r="Y18" s="3">
        <v>109</v>
      </c>
      <c r="Z18" s="3" t="str">
        <f>IFERROR(MID(VLOOKUP($B18,Seqs!$A:$B,2,FALSE),AA18,1),"")</f>
        <v>V</v>
      </c>
      <c r="AA18" s="3">
        <v>116</v>
      </c>
      <c r="AB18" s="3" t="str">
        <f>IFERROR(MID(VLOOKUP($B18,Seqs!$A:$B,2,FALSE),AC18,1),"")</f>
        <v>G</v>
      </c>
      <c r="AC18" s="3">
        <v>118</v>
      </c>
      <c r="AD18" s="3" t="str">
        <f>IFERROR(MID(VLOOKUP($B18,Seqs!$A:$B,2,FALSE),AE18,1),"")</f>
        <v>G</v>
      </c>
      <c r="AE18" s="3">
        <v>142</v>
      </c>
      <c r="AF18" s="3" t="str">
        <f>IFERROR(MID(VLOOKUP($B18,Seqs!$A:$B,2,FALSE),AG18,1),"")</f>
        <v>C</v>
      </c>
      <c r="AG18" s="3">
        <v>166</v>
      </c>
      <c r="AH18" s="3" t="str">
        <f>IFERROR(MID(VLOOKUP($B18,Seqs!$A:$B,2,FALSE),AI18,1),"")</f>
        <v>F</v>
      </c>
      <c r="AI18" s="3">
        <v>168</v>
      </c>
      <c r="AJ18" s="3" t="str">
        <f>IFERROR(MID(VLOOKUP($B18,Seqs!$A:$B,2,FALSE),AK18,1),"")</f>
        <v>P</v>
      </c>
      <c r="AK18" s="3">
        <v>173</v>
      </c>
      <c r="AL18" s="3" t="str">
        <f>IFERROR(MID(VLOOKUP($B18,Seqs!$A:$B,2,FALSE),AM18,1),"")</f>
        <v>S</v>
      </c>
      <c r="AM18" s="3">
        <v>213</v>
      </c>
      <c r="AN18" s="3" t="str">
        <f>IFERROR(MID(VLOOKUP($B18,Seqs!$A:$B,2,FALSE),AO18,1),"")</f>
        <v>E</v>
      </c>
      <c r="AO18" s="3">
        <v>219</v>
      </c>
      <c r="AP18" s="3" t="str">
        <f>IFERROR(MID(VLOOKUP($B18,Seqs!$A:$B,2,FALSE),AQ18,1),"")</f>
        <v>C</v>
      </c>
      <c r="AQ18" s="3">
        <v>259</v>
      </c>
      <c r="AR18" s="3" t="str">
        <f>IFERROR(MID(VLOOKUP($B18,Seqs!$A:$B,2,FALSE),AS18,1),"")</f>
        <v>P</v>
      </c>
      <c r="AS18" s="3">
        <v>266</v>
      </c>
      <c r="AT18" s="3" t="str">
        <f>IFERROR(MID(VLOOKUP($B18,Seqs!$A:$B,2,FALSE),AU18,1),"")</f>
        <v>R</v>
      </c>
      <c r="AU18" s="3">
        <v>291</v>
      </c>
      <c r="AV18" s="3" t="str">
        <f>IFERROR(MID(VLOOKUP($B18,Seqs!$A:$B,2,FALSE),AW18,1),"")</f>
        <v>I</v>
      </c>
      <c r="AW18" s="3">
        <v>292</v>
      </c>
      <c r="AX18" s="3" t="str">
        <f>IFERROR(MID(VLOOKUP($B18,Seqs!$A:$B,2,FALSE),AY18,1),"")</f>
        <v>Q</v>
      </c>
      <c r="AY18" s="3">
        <v>311</v>
      </c>
      <c r="AZ18" s="83" t="str">
        <f>VLOOKUP(B18,Classification!A:D,2,FALSE)</f>
        <v>A</v>
      </c>
      <c r="BB18" s="35" t="s">
        <v>1315</v>
      </c>
      <c r="BC18" s="57">
        <f>_xlfn.AGGREGATE(9,6,CC18:CN18)-_xlfn.AGGREGATE(9,6,BQ18:CB18)+12</f>
        <v>267</v>
      </c>
      <c r="BD18" s="63" t="b">
        <f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E18" s="68" t="s">
        <v>1514</v>
      </c>
      <c r="BF18" s="75" t="s">
        <v>1514</v>
      </c>
      <c r="BG18" s="75" t="s">
        <v>1514</v>
      </c>
      <c r="BH18" s="75" t="s">
        <v>1514</v>
      </c>
      <c r="BI18" s="75" t="s">
        <v>1514</v>
      </c>
      <c r="BJ18" s="75" t="s">
        <v>1514</v>
      </c>
      <c r="BK18" s="75" t="s">
        <v>1514</v>
      </c>
      <c r="BL18" s="75" t="s">
        <v>1514</v>
      </c>
      <c r="BM18" s="75" t="s">
        <v>1514</v>
      </c>
      <c r="BN18" s="75" t="s">
        <v>1514</v>
      </c>
      <c r="BO18" s="75" t="s">
        <v>1514</v>
      </c>
      <c r="BP18" s="75" t="s">
        <v>1514</v>
      </c>
      <c r="BQ18" s="68">
        <f t="shared" si="3"/>
        <v>6</v>
      </c>
      <c r="BR18" s="69">
        <f t="shared" si="4"/>
        <v>35</v>
      </c>
      <c r="BS18" s="70">
        <f t="shared" si="5"/>
        <v>39</v>
      </c>
      <c r="BT18" s="69">
        <f t="shared" si="6"/>
        <v>70</v>
      </c>
      <c r="BU18" s="70">
        <f t="shared" si="7"/>
        <v>73</v>
      </c>
      <c r="BV18" s="69">
        <f t="shared" si="8"/>
        <v>109</v>
      </c>
      <c r="BW18" s="70">
        <f t="shared" si="9"/>
        <v>118</v>
      </c>
      <c r="BX18" s="69">
        <f t="shared" si="10"/>
        <v>166</v>
      </c>
      <c r="BY18" s="70">
        <f t="shared" si="11"/>
        <v>173</v>
      </c>
      <c r="BZ18" s="69">
        <f t="shared" si="12"/>
        <v>219</v>
      </c>
      <c r="CA18" s="70">
        <f t="shared" si="13"/>
        <v>266</v>
      </c>
      <c r="CB18" s="69">
        <f t="shared" si="14"/>
        <v>292</v>
      </c>
      <c r="CC18" s="68">
        <f t="shared" si="15"/>
        <v>34</v>
      </c>
      <c r="CD18" s="69">
        <f t="shared" si="16"/>
        <v>38</v>
      </c>
      <c r="CE18" s="70">
        <f t="shared" si="17"/>
        <v>69</v>
      </c>
      <c r="CF18" s="70">
        <f t="shared" si="18"/>
        <v>72</v>
      </c>
      <c r="CG18" s="70">
        <f t="shared" si="19"/>
        <v>108</v>
      </c>
      <c r="CH18" s="70">
        <f t="shared" si="20"/>
        <v>116</v>
      </c>
      <c r="CI18" s="70">
        <f t="shared" si="21"/>
        <v>142</v>
      </c>
      <c r="CJ18" s="70">
        <f t="shared" si="22"/>
        <v>168</v>
      </c>
      <c r="CK18" s="70">
        <f t="shared" si="23"/>
        <v>213</v>
      </c>
      <c r="CL18" s="70">
        <f t="shared" si="24"/>
        <v>259</v>
      </c>
      <c r="CM18" s="70">
        <f t="shared" si="25"/>
        <v>291</v>
      </c>
      <c r="CN18" s="70">
        <f t="shared" si="26"/>
        <v>311</v>
      </c>
      <c r="CO18" s="57">
        <f t="shared" si="27"/>
        <v>1</v>
      </c>
    </row>
    <row r="19" spans="1:93" x14ac:dyDescent="0.2">
      <c r="A19" s="3" t="str">
        <f t="shared" ref="A19" si="56">CONCATENATE(B19,"_",C19)</f>
        <v>aa2ar_human_5G53</v>
      </c>
      <c r="B19" s="3" t="s">
        <v>333</v>
      </c>
      <c r="C19" s="3" t="s">
        <v>1519</v>
      </c>
      <c r="D19" s="3" t="str">
        <f>IFERROR(MID(VLOOKUP($B19,Seqs!$A:$B,2,FALSE),E19,1),"")</f>
        <v>S</v>
      </c>
      <c r="E19" s="3">
        <v>6</v>
      </c>
      <c r="F19" s="3" t="str">
        <f>IFERROR(MID(VLOOKUP($B19,Seqs!$A:$B,2,FALSE),G19,1),"")</f>
        <v>N</v>
      </c>
      <c r="G19" s="3">
        <v>34</v>
      </c>
      <c r="H19" s="3" t="str">
        <f>IFERROR(MID(VLOOKUP($B19,Seqs!$A:$B,2,FALSE),I19,1),"")</f>
        <v>S</v>
      </c>
      <c r="I19" s="57">
        <v>35</v>
      </c>
      <c r="J19" s="3" t="str">
        <f>IFERROR(MID(VLOOKUP($B19,Seqs!$A:$B,2,FALSE),K19,1),"")</f>
        <v>Q</v>
      </c>
      <c r="K19" s="57">
        <v>38</v>
      </c>
      <c r="L19" s="3" t="str">
        <f>IFERROR(MID(VLOOKUP($B19,Seqs!$A:$B,2,FALSE),M19,1),"")</f>
        <v>N</v>
      </c>
      <c r="M19" s="3">
        <v>39</v>
      </c>
      <c r="N19" s="3" t="str">
        <f>IFERROR(MID(VLOOKUP($B19,Seqs!$A:$B,2,FALSE),O19,1),"")</f>
        <v>G</v>
      </c>
      <c r="O19" s="3">
        <v>69</v>
      </c>
      <c r="P19" s="3" t="str">
        <f>IFERROR(MID(VLOOKUP($B19,Seqs!$A:$B,2,FALSE),Q19,1),"")</f>
        <v>F</v>
      </c>
      <c r="Q19" s="3">
        <v>70</v>
      </c>
      <c r="R19" s="3" t="str">
        <f>IFERROR(MID(VLOOKUP($B19,Seqs!$A:$B,2,FALSE),S19,1),"")</f>
        <v>A</v>
      </c>
      <c r="S19" s="3">
        <v>72</v>
      </c>
      <c r="T19" s="3" t="str">
        <f>IFERROR(MID(VLOOKUP($B19,Seqs!$A:$B,2,FALSE),U19,1),"")</f>
        <v>A</v>
      </c>
      <c r="U19" s="3">
        <v>73</v>
      </c>
      <c r="V19" s="3" t="str">
        <f>IFERROR(MID(VLOOKUP($B19,Seqs!$A:$B,2,FALSE),W19,1),"")</f>
        <v>I</v>
      </c>
      <c r="W19" s="3">
        <v>108</v>
      </c>
      <c r="X19" s="3" t="str">
        <f>IFERROR(MID(VLOOKUP($B19,Seqs!$A:$B,2,FALSE),Y19,1),"")</f>
        <v>P</v>
      </c>
      <c r="Y19" s="3">
        <v>109</v>
      </c>
      <c r="Z19" s="3" t="str">
        <f>IFERROR(MID(VLOOKUP($B19,Seqs!$A:$B,2,FALSE),AA19,1),"")</f>
        <v>V</v>
      </c>
      <c r="AA19" s="3">
        <v>116</v>
      </c>
      <c r="AB19" s="3" t="str">
        <f>IFERROR(MID(VLOOKUP($B19,Seqs!$A:$B,2,FALSE),AC19,1),"")</f>
        <v>G</v>
      </c>
      <c r="AC19" s="3">
        <v>118</v>
      </c>
      <c r="AD19" s="3" t="str">
        <f>IFERROR(MID(VLOOKUP($B19,Seqs!$A:$B,2,FALSE),AE19,1),"")</f>
        <v>G</v>
      </c>
      <c r="AE19" s="3">
        <v>142</v>
      </c>
      <c r="AF19" s="3" t="str">
        <f>IFERROR(MID(VLOOKUP($B19,Seqs!$A:$B,2,FALSE),AG19,1),"")</f>
        <v>C</v>
      </c>
      <c r="AG19" s="3">
        <v>166</v>
      </c>
      <c r="AH19" s="3" t="str">
        <f>IFERROR(MID(VLOOKUP($B19,Seqs!$A:$B,2,FALSE),AI19,1),"")</f>
        <v>F</v>
      </c>
      <c r="AI19" s="3">
        <v>168</v>
      </c>
      <c r="AJ19" s="3" t="str">
        <f>IFERROR(MID(VLOOKUP($B19,Seqs!$A:$B,2,FALSE),AK19,1),"")</f>
        <v>P</v>
      </c>
      <c r="AK19" s="3">
        <v>173</v>
      </c>
      <c r="AL19" s="3" t="str">
        <f>IFERROR(MID(VLOOKUP($B19,Seqs!$A:$B,2,FALSE),AM19,1),"")</f>
        <v>M</v>
      </c>
      <c r="AM19" s="3">
        <v>211</v>
      </c>
      <c r="AN19" s="3" t="str">
        <f>IFERROR(MID(VLOOKUP($B19,Seqs!$A:$B,2,FALSE),AO19,1),"")</f>
        <v>Q</v>
      </c>
      <c r="AO19" s="3">
        <v>226</v>
      </c>
      <c r="AP19" s="3" t="str">
        <f>IFERROR(MID(VLOOKUP($B19,Seqs!$A:$B,2,FALSE),AQ19,1),"")</f>
        <v>C</v>
      </c>
      <c r="AQ19" s="3">
        <v>259</v>
      </c>
      <c r="AR19" s="3" t="str">
        <f>IFERROR(MID(VLOOKUP($B19,Seqs!$A:$B,2,FALSE),AS19,1),"")</f>
        <v>P</v>
      </c>
      <c r="AS19" s="3">
        <v>266</v>
      </c>
      <c r="AT19" s="3" t="str">
        <f>IFERROR(MID(VLOOKUP($B19,Seqs!$A:$B,2,FALSE),AU19,1),"")</f>
        <v>R</v>
      </c>
      <c r="AU19" s="3">
        <v>291</v>
      </c>
      <c r="AV19" s="3" t="str">
        <f>IFERROR(MID(VLOOKUP($B19,Seqs!$A:$B,2,FALSE),AW19,1),"")</f>
        <v>I</v>
      </c>
      <c r="AW19" s="3">
        <v>292</v>
      </c>
      <c r="AX19" s="3" t="str">
        <f>IFERROR(MID(VLOOKUP($B19,Seqs!$A:$B,2,FALSE),AY19,1),"")</f>
        <v>Q</v>
      </c>
      <c r="AY19" s="3">
        <v>311</v>
      </c>
      <c r="AZ19" s="83" t="str">
        <f>VLOOKUP(B19,Classification!A:D,2,FALSE)</f>
        <v>A</v>
      </c>
      <c r="BC19" s="57">
        <f t="shared" ref="BC19" si="57">_xlfn.AGGREGATE(9,6,CC19:CN19)-_xlfn.AGGREGATE(9,6,BQ19:CB19)+12</f>
        <v>258</v>
      </c>
      <c r="BD19" s="63" t="b">
        <f t="shared" ref="BD19" si="58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E19" s="68" t="s">
        <v>1514</v>
      </c>
      <c r="BF19" s="75" t="s">
        <v>1514</v>
      </c>
      <c r="BG19" s="75" t="s">
        <v>1514</v>
      </c>
      <c r="BH19" s="75" t="s">
        <v>1514</v>
      </c>
      <c r="BI19" s="75" t="s">
        <v>1514</v>
      </c>
      <c r="BJ19" s="75" t="s">
        <v>1514</v>
      </c>
      <c r="BK19" s="75" t="s">
        <v>1514</v>
      </c>
      <c r="BL19" s="75" t="s">
        <v>1514</v>
      </c>
      <c r="BM19" s="75" t="s">
        <v>1514</v>
      </c>
      <c r="BN19" s="75" t="s">
        <v>1514</v>
      </c>
      <c r="BO19" s="75" t="s">
        <v>1514</v>
      </c>
      <c r="BP19" s="75" t="s">
        <v>1514</v>
      </c>
      <c r="BQ19" s="68">
        <f t="shared" si="3"/>
        <v>6</v>
      </c>
      <c r="BR19" s="69">
        <f t="shared" si="4"/>
        <v>35</v>
      </c>
      <c r="BS19" s="70">
        <f t="shared" si="5"/>
        <v>39</v>
      </c>
      <c r="BT19" s="69">
        <f t="shared" si="6"/>
        <v>70</v>
      </c>
      <c r="BU19" s="70">
        <f t="shared" si="7"/>
        <v>73</v>
      </c>
      <c r="BV19" s="69">
        <f t="shared" si="8"/>
        <v>109</v>
      </c>
      <c r="BW19" s="70">
        <f t="shared" si="9"/>
        <v>118</v>
      </c>
      <c r="BX19" s="69">
        <f t="shared" si="10"/>
        <v>166</v>
      </c>
      <c r="BY19" s="70">
        <f t="shared" si="11"/>
        <v>173</v>
      </c>
      <c r="BZ19" s="69">
        <f t="shared" si="12"/>
        <v>226</v>
      </c>
      <c r="CA19" s="70">
        <f t="shared" si="13"/>
        <v>266</v>
      </c>
      <c r="CB19" s="69">
        <f t="shared" si="14"/>
        <v>292</v>
      </c>
      <c r="CC19" s="68">
        <f t="shared" si="15"/>
        <v>34</v>
      </c>
      <c r="CD19" s="69">
        <f t="shared" si="16"/>
        <v>38</v>
      </c>
      <c r="CE19" s="70">
        <f t="shared" si="17"/>
        <v>69</v>
      </c>
      <c r="CF19" s="70">
        <f t="shared" si="18"/>
        <v>72</v>
      </c>
      <c r="CG19" s="70">
        <f t="shared" si="19"/>
        <v>108</v>
      </c>
      <c r="CH19" s="70">
        <f t="shared" si="20"/>
        <v>116</v>
      </c>
      <c r="CI19" s="70">
        <f t="shared" si="21"/>
        <v>142</v>
      </c>
      <c r="CJ19" s="70">
        <f t="shared" si="22"/>
        <v>168</v>
      </c>
      <c r="CK19" s="70">
        <f t="shared" si="23"/>
        <v>211</v>
      </c>
      <c r="CL19" s="70">
        <f t="shared" si="24"/>
        <v>259</v>
      </c>
      <c r="CM19" s="70">
        <f t="shared" si="25"/>
        <v>291</v>
      </c>
      <c r="CN19" s="70">
        <f t="shared" si="26"/>
        <v>311</v>
      </c>
      <c r="CO19" s="57">
        <f t="shared" si="27"/>
        <v>1</v>
      </c>
    </row>
    <row r="20" spans="1:93" x14ac:dyDescent="0.2">
      <c r="A20" s="3" t="str">
        <f t="shared" ref="A20" si="59">CONCATENATE(B20,"_",C20)</f>
        <v>aa2ar_human_3VG9</v>
      </c>
      <c r="B20" s="3" t="s">
        <v>333</v>
      </c>
      <c r="C20" s="3" t="s">
        <v>1319</v>
      </c>
      <c r="D20" s="3" t="str">
        <f>IFERROR(MID(VLOOKUP($B20,Seqs!$A:$B,2,FALSE),E20,1),"")</f>
        <v>S</v>
      </c>
      <c r="E20" s="3">
        <v>6</v>
      </c>
      <c r="F20" s="3" t="str">
        <f>IFERROR(MID(VLOOKUP($B20,Seqs!$A:$B,2,FALSE),G20,1),"")</f>
        <v>N</v>
      </c>
      <c r="G20" s="3">
        <v>34</v>
      </c>
      <c r="H20" s="3" t="str">
        <f>IFERROR(MID(VLOOKUP($B20,Seqs!$A:$B,2,FALSE),I20,1),"")</f>
        <v>S</v>
      </c>
      <c r="I20" s="57">
        <v>35</v>
      </c>
      <c r="J20" s="3" t="str">
        <f>IFERROR(MID(VLOOKUP($B20,Seqs!$A:$B,2,FALSE),K20,1),"")</f>
        <v>Q</v>
      </c>
      <c r="K20" s="57">
        <v>38</v>
      </c>
      <c r="L20" s="3" t="str">
        <f>IFERROR(MID(VLOOKUP($B20,Seqs!$A:$B,2,FALSE),M20,1),"")</f>
        <v>N</v>
      </c>
      <c r="M20" s="3">
        <v>39</v>
      </c>
      <c r="N20" s="3" t="str">
        <f>IFERROR(MID(VLOOKUP($B20,Seqs!$A:$B,2,FALSE),O20,1),"")</f>
        <v>G</v>
      </c>
      <c r="O20" s="3">
        <v>69</v>
      </c>
      <c r="P20" s="3" t="str">
        <f>IFERROR(MID(VLOOKUP($B20,Seqs!$A:$B,2,FALSE),Q20,1),"")</f>
        <v>F</v>
      </c>
      <c r="Q20" s="3">
        <v>70</v>
      </c>
      <c r="R20" s="3" t="str">
        <f>IFERROR(MID(VLOOKUP($B20,Seqs!$A:$B,2,FALSE),S20,1),"")</f>
        <v>A</v>
      </c>
      <c r="S20" s="3">
        <v>72</v>
      </c>
      <c r="T20" s="3" t="str">
        <f>IFERROR(MID(VLOOKUP($B20,Seqs!$A:$B,2,FALSE),U20,1),"")</f>
        <v>A</v>
      </c>
      <c r="U20" s="3">
        <v>73</v>
      </c>
      <c r="V20" s="3" t="str">
        <f>IFERROR(MID(VLOOKUP($B20,Seqs!$A:$B,2,FALSE),W20,1),"")</f>
        <v>I</v>
      </c>
      <c r="W20" s="3">
        <v>108</v>
      </c>
      <c r="X20" s="3" t="str">
        <f>IFERROR(MID(VLOOKUP($B20,Seqs!$A:$B,2,FALSE),Y20,1),"")</f>
        <v>P</v>
      </c>
      <c r="Y20" s="3">
        <v>109</v>
      </c>
      <c r="Z20" s="3" t="str">
        <f>IFERROR(MID(VLOOKUP($B20,Seqs!$A:$B,2,FALSE),AA20,1),"")</f>
        <v>V</v>
      </c>
      <c r="AA20" s="3">
        <v>116</v>
      </c>
      <c r="AB20" s="3" t="str">
        <f>IFERROR(MID(VLOOKUP($B20,Seqs!$A:$B,2,FALSE),AC20,1),"")</f>
        <v>G</v>
      </c>
      <c r="AC20" s="3">
        <v>118</v>
      </c>
      <c r="AD20" s="3" t="str">
        <f>IFERROR(MID(VLOOKUP($B20,Seqs!$A:$B,2,FALSE),AE20,1),"")</f>
        <v>G</v>
      </c>
      <c r="AE20" s="3">
        <v>142</v>
      </c>
      <c r="AF20" s="3" t="str">
        <f>IFERROR(MID(VLOOKUP($B20,Seqs!$A:$B,2,FALSE),AG20,1),"")</f>
        <v>C</v>
      </c>
      <c r="AG20" s="3">
        <v>166</v>
      </c>
      <c r="AH20" s="3" t="str">
        <f>IFERROR(MID(VLOOKUP($B20,Seqs!$A:$B,2,FALSE),AI20,1),"")</f>
        <v>F</v>
      </c>
      <c r="AI20" s="3">
        <v>168</v>
      </c>
      <c r="AJ20" s="3" t="str">
        <f>IFERROR(MID(VLOOKUP($B20,Seqs!$A:$B,2,FALSE),AK20,1),"")</f>
        <v>P</v>
      </c>
      <c r="AK20" s="3">
        <v>173</v>
      </c>
      <c r="AL20" s="3" t="str">
        <f>IFERROR(MID(VLOOKUP($B20,Seqs!$A:$B,2,FALSE),AM20,1),"")</f>
        <v>Q</v>
      </c>
      <c r="AM20" s="3">
        <v>214</v>
      </c>
      <c r="AN20" s="3" t="str">
        <f>IFERROR(MID(VLOOKUP($B20,Seqs!$A:$B,2,FALSE),AO20,1),"")</f>
        <v>A</v>
      </c>
      <c r="AO20" s="3">
        <v>221</v>
      </c>
      <c r="AP20" s="3" t="str">
        <f>IFERROR(MID(VLOOKUP($B20,Seqs!$A:$B,2,FALSE),AQ20,1),"")</f>
        <v>C</v>
      </c>
      <c r="AQ20" s="3">
        <v>259</v>
      </c>
      <c r="AR20" s="3" t="str">
        <f>IFERROR(MID(VLOOKUP($B20,Seqs!$A:$B,2,FALSE),AS20,1),"")</f>
        <v>P</v>
      </c>
      <c r="AS20" s="3">
        <v>266</v>
      </c>
      <c r="AT20" s="3" t="str">
        <f>IFERROR(MID(VLOOKUP($B20,Seqs!$A:$B,2,FALSE),AU20,1),"")</f>
        <v>R</v>
      </c>
      <c r="AU20" s="3">
        <v>291</v>
      </c>
      <c r="AV20" s="3" t="str">
        <f>IFERROR(MID(VLOOKUP($B20,Seqs!$A:$B,2,FALSE),AW20,1),"")</f>
        <v>I</v>
      </c>
      <c r="AW20" s="3">
        <v>292</v>
      </c>
      <c r="AX20" s="3" t="str">
        <f>IFERROR(MID(VLOOKUP($B20,Seqs!$A:$B,2,FALSE),AY20,1),"")</f>
        <v>Q</v>
      </c>
      <c r="AY20" s="3">
        <v>311</v>
      </c>
      <c r="AZ20" s="83" t="str">
        <f>VLOOKUP(B20,Classification!A:D,2,FALSE)</f>
        <v>A</v>
      </c>
      <c r="BC20" s="57">
        <f t="shared" ref="BC20" si="60">_xlfn.AGGREGATE(9,6,CC20:CN20)-_xlfn.AGGREGATE(9,6,BQ20:CB20)+12</f>
        <v>266</v>
      </c>
      <c r="BD20" s="63" t="b">
        <f t="shared" ref="BD20" si="61">AND(E20&lt;G20,OR(G20&lt;I20,I20="-"),OR(I20&lt;K20,I20="-"),OR(K20&lt;M20,K20="-"),M20&lt;O20,OR(O20&lt;Q20,Q20="-"),OR(Q20&lt;S20,Q20="-"),OR(S20&lt;U20,S20="-"),U20&lt;W20,OR(W20&lt;Y20,Y20="-"),OR(Y20&lt;AA20,Y20="-"),OR(AA20&lt;AC20,AA20="-"),AC20&lt;AE20,OR(AE20&lt;AG20,AG20="-"),OR(AG20&lt;AI20,AG20="-"),OR(AI20&lt;AK20,AI20="-"),AK20&lt;AM20,AM20&lt;AO20,AO20&lt;AQ20,AQ20&lt;AS20,AS20&lt;AU20,OR(AU20&lt;AW20,AW20="-"),OR(AW20&lt;AY20,AW20="-"))</f>
        <v>1</v>
      </c>
      <c r="BE20" s="68" t="s">
        <v>1514</v>
      </c>
      <c r="BF20" s="75" t="s">
        <v>1514</v>
      </c>
      <c r="BG20" s="75" t="s">
        <v>1514</v>
      </c>
      <c r="BH20" s="75" t="s">
        <v>1514</v>
      </c>
      <c r="BI20" s="75" t="s">
        <v>1514</v>
      </c>
      <c r="BJ20" s="75" t="s">
        <v>1514</v>
      </c>
      <c r="BK20" s="75" t="s">
        <v>1514</v>
      </c>
      <c r="BL20" s="75" t="s">
        <v>1514</v>
      </c>
      <c r="BM20" s="75" t="s">
        <v>1514</v>
      </c>
      <c r="BN20" s="75" t="s">
        <v>1514</v>
      </c>
      <c r="BO20" s="75" t="s">
        <v>1514</v>
      </c>
      <c r="BP20" s="75" t="s">
        <v>1514</v>
      </c>
      <c r="BQ20" s="68">
        <f t="shared" si="3"/>
        <v>6</v>
      </c>
      <c r="BR20" s="69">
        <f t="shared" si="4"/>
        <v>35</v>
      </c>
      <c r="BS20" s="70">
        <f t="shared" si="5"/>
        <v>39</v>
      </c>
      <c r="BT20" s="69">
        <f t="shared" si="6"/>
        <v>70</v>
      </c>
      <c r="BU20" s="70">
        <f t="shared" si="7"/>
        <v>73</v>
      </c>
      <c r="BV20" s="69">
        <f t="shared" si="8"/>
        <v>109</v>
      </c>
      <c r="BW20" s="70">
        <f t="shared" si="9"/>
        <v>118</v>
      </c>
      <c r="BX20" s="69">
        <f t="shared" si="10"/>
        <v>166</v>
      </c>
      <c r="BY20" s="70">
        <f t="shared" si="11"/>
        <v>173</v>
      </c>
      <c r="BZ20" s="69">
        <f t="shared" si="12"/>
        <v>221</v>
      </c>
      <c r="CA20" s="70">
        <f t="shared" si="13"/>
        <v>266</v>
      </c>
      <c r="CB20" s="69">
        <f t="shared" si="14"/>
        <v>292</v>
      </c>
      <c r="CC20" s="68">
        <f t="shared" si="15"/>
        <v>34</v>
      </c>
      <c r="CD20" s="69">
        <f t="shared" si="16"/>
        <v>38</v>
      </c>
      <c r="CE20" s="70">
        <f t="shared" si="17"/>
        <v>69</v>
      </c>
      <c r="CF20" s="70">
        <f t="shared" si="18"/>
        <v>72</v>
      </c>
      <c r="CG20" s="70">
        <f t="shared" si="19"/>
        <v>108</v>
      </c>
      <c r="CH20" s="70">
        <f t="shared" si="20"/>
        <v>116</v>
      </c>
      <c r="CI20" s="70">
        <f t="shared" si="21"/>
        <v>142</v>
      </c>
      <c r="CJ20" s="70">
        <f t="shared" si="22"/>
        <v>168</v>
      </c>
      <c r="CK20" s="70">
        <f t="shared" si="23"/>
        <v>214</v>
      </c>
      <c r="CL20" s="70">
        <f t="shared" si="24"/>
        <v>259</v>
      </c>
      <c r="CM20" s="70">
        <f t="shared" si="25"/>
        <v>291</v>
      </c>
      <c r="CN20" s="70">
        <f t="shared" si="26"/>
        <v>311</v>
      </c>
      <c r="CO20" s="57">
        <f t="shared" si="27"/>
        <v>1</v>
      </c>
    </row>
    <row r="21" spans="1:93" x14ac:dyDescent="0.2">
      <c r="A21" s="3" t="str">
        <f t="shared" si="0"/>
        <v>acm1_human__wt</v>
      </c>
      <c r="B21" s="3" t="s">
        <v>340</v>
      </c>
      <c r="C21" s="3" t="s">
        <v>294</v>
      </c>
      <c r="D21" s="3" t="str">
        <f>IFERROR(MID(VLOOKUP($B21,Seqs!$A:$B,2,FALSE),E21,1),"")</f>
        <v>P</v>
      </c>
      <c r="E21" s="3">
        <v>22</v>
      </c>
      <c r="F21" s="3" t="str">
        <f>IFERROR(MID(VLOOKUP($B21,Seqs!$A:$B,2,FALSE),G21,1),"")</f>
        <v>N</v>
      </c>
      <c r="G21" s="3">
        <v>53</v>
      </c>
      <c r="H21" s="3" t="str">
        <f>IFERROR(MID(VLOOKUP($B21,Seqs!$A:$B,2,FALSE),I21,1),"")</f>
        <v>T</v>
      </c>
      <c r="I21" s="57">
        <v>54</v>
      </c>
      <c r="J21" s="3" t="str">
        <f>IFERROR(MID(VLOOKUP($B21,Seqs!$A:$B,2,FALSE),K21,1),"")</f>
        <v>K</v>
      </c>
      <c r="K21" s="57">
        <v>57</v>
      </c>
      <c r="L21" s="3" t="str">
        <f>IFERROR(MID(VLOOKUP($B21,Seqs!$A:$B,2,FALSE),M21,1),"")</f>
        <v>T</v>
      </c>
      <c r="M21" s="3">
        <v>58</v>
      </c>
      <c r="N21" s="3" t="str">
        <f>IFERROR(MID(VLOOKUP($B21,Seqs!$A:$B,2,FALSE),O21,1),"")</f>
        <v>M</v>
      </c>
      <c r="O21" s="3">
        <v>88</v>
      </c>
      <c r="P21" s="3" t="str">
        <f>IFERROR(MID(VLOOKUP($B21,Seqs!$A:$B,2,FALSE),Q21,1),"")</f>
        <v>H</v>
      </c>
      <c r="Q21" s="3">
        <v>90</v>
      </c>
      <c r="R21" s="3" t="str">
        <f>IFERROR(MID(VLOOKUP($B21,Seqs!$A:$B,2,FALSE),S21,1),"")</f>
        <v>L</v>
      </c>
      <c r="S21" s="3">
        <v>93</v>
      </c>
      <c r="T21" s="3" t="str">
        <f>IFERROR(MID(VLOOKUP($B21,Seqs!$A:$B,2,FALSE),U21,1),"")</f>
        <v>G</v>
      </c>
      <c r="U21" s="3">
        <v>94</v>
      </c>
      <c r="V21" s="3" t="str">
        <f>IFERROR(MID(VLOOKUP($B21,Seqs!$A:$B,2,FALSE),W21,1),"")</f>
        <v>R</v>
      </c>
      <c r="W21" s="3">
        <v>129</v>
      </c>
      <c r="X21" s="3" t="str">
        <f>IFERROR(MID(VLOOKUP($B21,Seqs!$A:$B,2,FALSE),Y21,1),"")</f>
        <v>P</v>
      </c>
      <c r="Y21" s="3">
        <v>130</v>
      </c>
      <c r="Z21" s="3" t="str">
        <f>IFERROR(MID(VLOOKUP($B21,Seqs!$A:$B,2,FALSE),AA21,1),"")</f>
        <v>R</v>
      </c>
      <c r="AA21" s="3">
        <v>137</v>
      </c>
      <c r="AB21" s="3" t="str">
        <f>IFERROR(MID(VLOOKUP($B21,Seqs!$A:$B,2,FALSE),AC21,1),"")</f>
        <v>P</v>
      </c>
      <c r="AC21" s="3">
        <v>139</v>
      </c>
      <c r="AD21" s="3" t="str">
        <f>IFERROR(MID(VLOOKUP($B21,Seqs!$A:$B,2,FALSE),AE21,1),"")</f>
        <v>G</v>
      </c>
      <c r="AE21" s="3">
        <v>169</v>
      </c>
      <c r="AF21" s="3" t="str">
        <f>IFERROR(MID(VLOOKUP($B21,Seqs!$A:$B,2,FALSE),AG21,1),"")</f>
        <v>C</v>
      </c>
      <c r="AG21" s="3">
        <v>178</v>
      </c>
      <c r="AH21" s="3" t="str">
        <f>IFERROR(MID(VLOOKUP($B21,Seqs!$A:$B,2,FALSE),AI21,1),"")</f>
        <v>I</v>
      </c>
      <c r="AI21" s="3">
        <v>180</v>
      </c>
      <c r="AJ21" s="3" t="str">
        <f>IFERROR(MID(VLOOKUP($B21,Seqs!$A:$B,2,FALSE),AK21,1),"")</f>
        <v>Q</v>
      </c>
      <c r="AK21" s="3">
        <v>185</v>
      </c>
      <c r="AL21" s="3" t="str">
        <f>IFERROR(MID(VLOOKUP($B21,Seqs!$A:$B,2,FALSE),AM21,1),"")</f>
        <v>L</v>
      </c>
      <c r="AM21" s="3">
        <v>225</v>
      </c>
      <c r="AN21" s="3" t="str">
        <f>IFERROR(MID(VLOOKUP($B21,Seqs!$A:$B,2,FALSE),AO21,1),"")</f>
        <v>T</v>
      </c>
      <c r="AO21" s="3">
        <v>354</v>
      </c>
      <c r="AP21" s="3" t="str">
        <f>IFERROR(MID(VLOOKUP($B21,Seqs!$A:$B,2,FALSE),AQ21,1),"")</f>
        <v>C</v>
      </c>
      <c r="AQ21" s="3">
        <v>391</v>
      </c>
      <c r="AR21" s="3" t="str">
        <f>IFERROR(MID(VLOOKUP($B21,Seqs!$A:$B,2,FALSE),AS21,1),"")</f>
        <v>P</v>
      </c>
      <c r="AS21" s="3">
        <v>396</v>
      </c>
      <c r="AT21" s="3" t="str">
        <f>IFERROR(MID(VLOOKUP($B21,Seqs!$A:$B,2,FALSE),AU21,1),"")</f>
        <v>C</v>
      </c>
      <c r="AU21" s="3">
        <v>421</v>
      </c>
      <c r="AV21" s="3" t="str">
        <f>IFERROR(MID(VLOOKUP($B21,Seqs!$A:$B,2,FALSE),AW21,1),"")</f>
        <v>N</v>
      </c>
      <c r="AW21" s="3">
        <v>422</v>
      </c>
      <c r="AX21" s="3" t="str">
        <f>IFERROR(MID(VLOOKUP($B21,Seqs!$A:$B,2,FALSE),AY21,1),"")</f>
        <v>L</v>
      </c>
      <c r="AY21" s="3">
        <v>434</v>
      </c>
      <c r="AZ21" s="83" t="str">
        <f>VLOOKUP(B21,Classification!A:D,2,FALSE)</f>
        <v>A</v>
      </c>
      <c r="BB21" s="82">
        <f>S21-Q21+1</f>
        <v>4</v>
      </c>
      <c r="BC21" s="57">
        <f t="shared" si="1"/>
        <v>267</v>
      </c>
      <c r="BD21" s="63" t="b">
        <f t="shared" si="2"/>
        <v>1</v>
      </c>
      <c r="BE21" s="68" t="s">
        <v>1514</v>
      </c>
      <c r="BF21" s="75" t="s">
        <v>1514</v>
      </c>
      <c r="BG21" s="75" t="s">
        <v>1514</v>
      </c>
      <c r="BH21" s="75" t="s">
        <v>1514</v>
      </c>
      <c r="BI21" s="75" t="s">
        <v>1514</v>
      </c>
      <c r="BJ21" s="75" t="s">
        <v>1514</v>
      </c>
      <c r="BK21" s="75" t="s">
        <v>1514</v>
      </c>
      <c r="BL21" s="75" t="s">
        <v>1514</v>
      </c>
      <c r="BM21" s="75" t="s">
        <v>1514</v>
      </c>
      <c r="BN21" s="75" t="s">
        <v>1514</v>
      </c>
      <c r="BO21" s="75" t="s">
        <v>1514</v>
      </c>
      <c r="BP21" s="75" t="s">
        <v>1514</v>
      </c>
      <c r="BQ21" s="68">
        <f t="shared" si="3"/>
        <v>22</v>
      </c>
      <c r="BR21" s="69">
        <f t="shared" si="4"/>
        <v>54</v>
      </c>
      <c r="BS21" s="70">
        <f t="shared" si="5"/>
        <v>58</v>
      </c>
      <c r="BT21" s="69">
        <f t="shared" si="6"/>
        <v>90</v>
      </c>
      <c r="BU21" s="70">
        <f t="shared" si="7"/>
        <v>94</v>
      </c>
      <c r="BV21" s="69">
        <f t="shared" si="8"/>
        <v>130</v>
      </c>
      <c r="BW21" s="70">
        <f t="shared" si="9"/>
        <v>139</v>
      </c>
      <c r="BX21" s="69">
        <f t="shared" si="10"/>
        <v>178</v>
      </c>
      <c r="BY21" s="70">
        <f t="shared" si="11"/>
        <v>185</v>
      </c>
      <c r="BZ21" s="69">
        <f t="shared" si="12"/>
        <v>354</v>
      </c>
      <c r="CA21" s="70">
        <f t="shared" si="13"/>
        <v>396</v>
      </c>
      <c r="CB21" s="69">
        <f t="shared" si="14"/>
        <v>422</v>
      </c>
      <c r="CC21" s="68">
        <f t="shared" si="15"/>
        <v>53</v>
      </c>
      <c r="CD21" s="69">
        <f t="shared" si="16"/>
        <v>57</v>
      </c>
      <c r="CE21" s="70">
        <f t="shared" si="17"/>
        <v>88</v>
      </c>
      <c r="CF21" s="70">
        <f t="shared" si="18"/>
        <v>93</v>
      </c>
      <c r="CG21" s="70">
        <f t="shared" si="19"/>
        <v>129</v>
      </c>
      <c r="CH21" s="70">
        <f t="shared" si="20"/>
        <v>137</v>
      </c>
      <c r="CI21" s="70">
        <f t="shared" si="21"/>
        <v>169</v>
      </c>
      <c r="CJ21" s="70">
        <f t="shared" si="22"/>
        <v>180</v>
      </c>
      <c r="CK21" s="70">
        <f t="shared" si="23"/>
        <v>225</v>
      </c>
      <c r="CL21" s="70">
        <f t="shared" si="24"/>
        <v>391</v>
      </c>
      <c r="CM21" s="70">
        <f t="shared" si="25"/>
        <v>421</v>
      </c>
      <c r="CN21" s="70">
        <f t="shared" si="26"/>
        <v>434</v>
      </c>
      <c r="CO21" s="57">
        <f t="shared" si="27"/>
        <v>1</v>
      </c>
    </row>
    <row r="22" spans="1:93" x14ac:dyDescent="0.2">
      <c r="A22" s="3" t="str">
        <f t="shared" si="0"/>
        <v>acm1_human_5CXV</v>
      </c>
      <c r="B22" s="3" t="s">
        <v>340</v>
      </c>
      <c r="C22" s="3" t="s">
        <v>253</v>
      </c>
      <c r="D22" s="3" t="str">
        <f>IFERROR(MID(VLOOKUP($B22,Seqs!$A:$B,2,FALSE),E22,1),"")</f>
        <v>P</v>
      </c>
      <c r="E22" s="3">
        <v>22</v>
      </c>
      <c r="F22" s="3" t="str">
        <f>IFERROR(MID(VLOOKUP($B22,Seqs!$A:$B,2,FALSE),G22,1),"")</f>
        <v>N</v>
      </c>
      <c r="G22" s="3">
        <v>53</v>
      </c>
      <c r="H22" s="3" t="str">
        <f>IFERROR(MID(VLOOKUP($B22,Seqs!$A:$B,2,FALSE),I22,1),"")</f>
        <v>T</v>
      </c>
      <c r="I22" s="57">
        <v>54</v>
      </c>
      <c r="J22" s="3" t="str">
        <f>IFERROR(MID(VLOOKUP($B22,Seqs!$A:$B,2,FALSE),K22,1),"")</f>
        <v>K</v>
      </c>
      <c r="K22" s="57">
        <v>57</v>
      </c>
      <c r="L22" s="3" t="str">
        <f>IFERROR(MID(VLOOKUP($B22,Seqs!$A:$B,2,FALSE),M22,1),"")</f>
        <v>T</v>
      </c>
      <c r="M22" s="3">
        <v>58</v>
      </c>
      <c r="N22" s="3" t="str">
        <f>IFERROR(MID(VLOOKUP($B22,Seqs!$A:$B,2,FALSE),O22,1),"")</f>
        <v>M</v>
      </c>
      <c r="O22" s="3">
        <v>88</v>
      </c>
      <c r="P22" s="3" t="str">
        <f>IFERROR(MID(VLOOKUP($B22,Seqs!$A:$B,2,FALSE),Q22,1),"")</f>
        <v>H</v>
      </c>
      <c r="Q22" s="3">
        <v>90</v>
      </c>
      <c r="R22" s="3" t="str">
        <f>IFERROR(MID(VLOOKUP($B22,Seqs!$A:$B,2,FALSE),S22,1),"")</f>
        <v>L</v>
      </c>
      <c r="S22" s="3">
        <v>93</v>
      </c>
      <c r="T22" s="3" t="str">
        <f>IFERROR(MID(VLOOKUP($B22,Seqs!$A:$B,2,FALSE),U22,1),"")</f>
        <v>G</v>
      </c>
      <c r="U22" s="3">
        <v>94</v>
      </c>
      <c r="V22" s="3" t="str">
        <f>IFERROR(MID(VLOOKUP($B22,Seqs!$A:$B,2,FALSE),W22,1),"")</f>
        <v>R</v>
      </c>
      <c r="W22" s="3">
        <v>129</v>
      </c>
      <c r="X22" s="3" t="str">
        <f>IFERROR(MID(VLOOKUP($B22,Seqs!$A:$B,2,FALSE),Y22,1),"")</f>
        <v>P</v>
      </c>
      <c r="Y22" s="3">
        <v>130</v>
      </c>
      <c r="Z22" s="3" t="str">
        <f>IFERROR(MID(VLOOKUP($B22,Seqs!$A:$B,2,FALSE),AA22,1),"")</f>
        <v>R</v>
      </c>
      <c r="AA22" s="3">
        <v>137</v>
      </c>
      <c r="AB22" s="3" t="str">
        <f>IFERROR(MID(VLOOKUP($B22,Seqs!$A:$B,2,FALSE),AC22,1),"")</f>
        <v>P</v>
      </c>
      <c r="AC22" s="3">
        <v>139</v>
      </c>
      <c r="AD22" s="3" t="str">
        <f>IFERROR(MID(VLOOKUP($B22,Seqs!$A:$B,2,FALSE),AE22,1),"")</f>
        <v>G</v>
      </c>
      <c r="AE22" s="3">
        <v>169</v>
      </c>
      <c r="AF22" s="3" t="str">
        <f>IFERROR(MID(VLOOKUP($B22,Seqs!$A:$B,2,FALSE),AG22,1),"")</f>
        <v>C</v>
      </c>
      <c r="AG22" s="3">
        <v>178</v>
      </c>
      <c r="AH22" s="3" t="str">
        <f>IFERROR(MID(VLOOKUP($B22,Seqs!$A:$B,2,FALSE),AI22,1),"")</f>
        <v>I</v>
      </c>
      <c r="AI22" s="3">
        <v>180</v>
      </c>
      <c r="AJ22" s="3" t="str">
        <f>IFERROR(MID(VLOOKUP($B22,Seqs!$A:$B,2,FALSE),AK22,1),"")</f>
        <v>Q</v>
      </c>
      <c r="AK22" s="3">
        <v>185</v>
      </c>
      <c r="AL22" s="3" t="str">
        <f>IFERROR(MID(VLOOKUP($B22,Seqs!$A:$B,2,FALSE),AM22,1),"")</f>
        <v>R</v>
      </c>
      <c r="AM22" s="3">
        <v>213</v>
      </c>
      <c r="AN22" s="3" t="str">
        <f>IFERROR(MID(VLOOKUP($B22,Seqs!$A:$B,2,FALSE),AO22,1),"")</f>
        <v>L</v>
      </c>
      <c r="AO22" s="3">
        <v>357</v>
      </c>
      <c r="AP22" s="3" t="str">
        <f>IFERROR(MID(VLOOKUP($B22,Seqs!$A:$B,2,FALSE),AQ22,1),"")</f>
        <v>C</v>
      </c>
      <c r="AQ22" s="3">
        <v>391</v>
      </c>
      <c r="AR22" s="3" t="str">
        <f>IFERROR(MID(VLOOKUP($B22,Seqs!$A:$B,2,FALSE),AS22,1),"")</f>
        <v>P</v>
      </c>
      <c r="AS22" s="3">
        <v>396</v>
      </c>
      <c r="AT22" s="3" t="str">
        <f>IFERROR(MID(VLOOKUP($B22,Seqs!$A:$B,2,FALSE),AU22,1),"")</f>
        <v>C</v>
      </c>
      <c r="AU22" s="3">
        <v>421</v>
      </c>
      <c r="AV22" s="3" t="str">
        <f>IFERROR(MID(VLOOKUP($B22,Seqs!$A:$B,2,FALSE),AW22,1),"")</f>
        <v>N</v>
      </c>
      <c r="AW22" s="3">
        <v>422</v>
      </c>
      <c r="AX22" s="3" t="str">
        <f>IFERROR(MID(VLOOKUP($B22,Seqs!$A:$B,2,FALSE),AY22,1),"")</f>
        <v>L</v>
      </c>
      <c r="AY22" s="3">
        <v>434</v>
      </c>
      <c r="AZ22" s="83" t="str">
        <f>VLOOKUP(B22,Classification!A:D,2,FALSE)</f>
        <v>A</v>
      </c>
      <c r="BC22" s="57">
        <f t="shared" si="1"/>
        <v>252</v>
      </c>
      <c r="BD22" s="63" t="b">
        <f t="shared" si="2"/>
        <v>1</v>
      </c>
      <c r="BE22" s="68" t="s">
        <v>1514</v>
      </c>
      <c r="BF22" s="75" t="s">
        <v>1514</v>
      </c>
      <c r="BG22" s="75" t="s">
        <v>1514</v>
      </c>
      <c r="BH22" s="75" t="s">
        <v>1514</v>
      </c>
      <c r="BI22" s="75" t="s">
        <v>1514</v>
      </c>
      <c r="BJ22" s="75" t="s">
        <v>1514</v>
      </c>
      <c r="BK22" s="75" t="s">
        <v>1514</v>
      </c>
      <c r="BL22" s="75" t="s">
        <v>1514</v>
      </c>
      <c r="BM22" s="75" t="s">
        <v>1514</v>
      </c>
      <c r="BN22" s="75" t="s">
        <v>1514</v>
      </c>
      <c r="BO22" s="75" t="s">
        <v>1514</v>
      </c>
      <c r="BP22" s="75" t="s">
        <v>1514</v>
      </c>
      <c r="BQ22" s="68">
        <f t="shared" si="3"/>
        <v>22</v>
      </c>
      <c r="BR22" s="69">
        <f t="shared" si="4"/>
        <v>54</v>
      </c>
      <c r="BS22" s="70">
        <f t="shared" si="5"/>
        <v>58</v>
      </c>
      <c r="BT22" s="69">
        <f t="shared" si="6"/>
        <v>90</v>
      </c>
      <c r="BU22" s="70">
        <f t="shared" si="7"/>
        <v>94</v>
      </c>
      <c r="BV22" s="69">
        <f t="shared" si="8"/>
        <v>130</v>
      </c>
      <c r="BW22" s="70">
        <f t="shared" si="9"/>
        <v>139</v>
      </c>
      <c r="BX22" s="69">
        <f t="shared" si="10"/>
        <v>178</v>
      </c>
      <c r="BY22" s="70">
        <f t="shared" si="11"/>
        <v>185</v>
      </c>
      <c r="BZ22" s="69">
        <f t="shared" si="12"/>
        <v>357</v>
      </c>
      <c r="CA22" s="70">
        <f t="shared" si="13"/>
        <v>396</v>
      </c>
      <c r="CB22" s="69">
        <f t="shared" si="14"/>
        <v>422</v>
      </c>
      <c r="CC22" s="68">
        <f t="shared" si="15"/>
        <v>53</v>
      </c>
      <c r="CD22" s="69">
        <f t="shared" si="16"/>
        <v>57</v>
      </c>
      <c r="CE22" s="70">
        <f t="shared" si="17"/>
        <v>88</v>
      </c>
      <c r="CF22" s="70">
        <f t="shared" si="18"/>
        <v>93</v>
      </c>
      <c r="CG22" s="70">
        <f t="shared" si="19"/>
        <v>129</v>
      </c>
      <c r="CH22" s="70">
        <f t="shared" si="20"/>
        <v>137</v>
      </c>
      <c r="CI22" s="70">
        <f t="shared" si="21"/>
        <v>169</v>
      </c>
      <c r="CJ22" s="70">
        <f t="shared" si="22"/>
        <v>180</v>
      </c>
      <c r="CK22" s="70">
        <f t="shared" si="23"/>
        <v>213</v>
      </c>
      <c r="CL22" s="70">
        <f t="shared" si="24"/>
        <v>391</v>
      </c>
      <c r="CM22" s="70">
        <f t="shared" si="25"/>
        <v>421</v>
      </c>
      <c r="CN22" s="70">
        <f t="shared" si="26"/>
        <v>434</v>
      </c>
      <c r="CO22" s="57">
        <f t="shared" si="27"/>
        <v>1</v>
      </c>
    </row>
    <row r="23" spans="1:93" x14ac:dyDescent="0.2">
      <c r="A23" s="3" t="str">
        <f t="shared" si="0"/>
        <v>acm2_human__wt</v>
      </c>
      <c r="B23" s="3" t="s">
        <v>341</v>
      </c>
      <c r="C23" s="3" t="s">
        <v>294</v>
      </c>
      <c r="D23" s="3" t="str">
        <f>IFERROR(MID(VLOOKUP($B23,Seqs!$A:$B,2,FALSE),E23,1),"")</f>
        <v>K</v>
      </c>
      <c r="E23" s="3">
        <v>19</v>
      </c>
      <c r="F23" s="3" t="str">
        <f>IFERROR(MID(VLOOKUP($B23,Seqs!$A:$B,2,FALSE),G23,1),"")</f>
        <v>N</v>
      </c>
      <c r="G23" s="3">
        <v>51</v>
      </c>
      <c r="H23" s="3" t="str">
        <f>IFERROR(MID(VLOOKUP($B23,Seqs!$A:$B,2,FALSE),I23,1),"")</f>
        <v>R</v>
      </c>
      <c r="I23" s="57">
        <v>52</v>
      </c>
      <c r="J23" s="3" t="str">
        <f>IFERROR(MID(VLOOKUP($B23,Seqs!$A:$B,2,FALSE),K23,1),"")</f>
        <v>Q</v>
      </c>
      <c r="K23" s="57">
        <v>55</v>
      </c>
      <c r="L23" s="3" t="str">
        <f>IFERROR(MID(VLOOKUP($B23,Seqs!$A:$B,2,FALSE),M23,1),"")</f>
        <v>T</v>
      </c>
      <c r="M23" s="3">
        <v>56</v>
      </c>
      <c r="N23" s="3" t="str">
        <f>IFERROR(MID(VLOOKUP($B23,Seqs!$A:$B,2,FALSE),O23,1),"")</f>
        <v>I</v>
      </c>
      <c r="O23" s="3">
        <v>86</v>
      </c>
      <c r="P23" s="3" t="str">
        <f>IFERROR(MID(VLOOKUP($B23,Seqs!$A:$B,2,FALSE),Q23,1),"")</f>
        <v>Y</v>
      </c>
      <c r="Q23" s="3">
        <v>88</v>
      </c>
      <c r="R23" s="3" t="str">
        <f>IFERROR(MID(VLOOKUP($B23,Seqs!$A:$B,2,FALSE),S23,1),"")</f>
        <v>L</v>
      </c>
      <c r="S23" s="3">
        <v>91</v>
      </c>
      <c r="T23" s="3" t="str">
        <f>IFERROR(MID(VLOOKUP($B23,Seqs!$A:$B,2,FALSE),U23,1),"")</f>
        <v>G</v>
      </c>
      <c r="U23" s="3">
        <v>92</v>
      </c>
      <c r="V23" s="3" t="str">
        <f>IFERROR(MID(VLOOKUP($B23,Seqs!$A:$B,2,FALSE),W23,1),"")</f>
        <v>K</v>
      </c>
      <c r="W23" s="3">
        <v>127</v>
      </c>
      <c r="X23" s="3" t="str">
        <f>IFERROR(MID(VLOOKUP($B23,Seqs!$A:$B,2,FALSE),Y23,1),"")</f>
        <v>P</v>
      </c>
      <c r="Y23" s="3">
        <v>128</v>
      </c>
      <c r="Z23" s="3" t="str">
        <f>IFERROR(MID(VLOOKUP($B23,Seqs!$A:$B,2,FALSE),AA23,1),"")</f>
        <v>R</v>
      </c>
      <c r="AA23" s="3">
        <v>135</v>
      </c>
      <c r="AB23" s="3" t="str">
        <f>IFERROR(MID(VLOOKUP($B23,Seqs!$A:$B,2,FALSE),AC23,1),"")</f>
        <v>T</v>
      </c>
      <c r="AC23" s="3">
        <v>137</v>
      </c>
      <c r="AD23" s="3" t="str">
        <f>IFERROR(MID(VLOOKUP($B23,Seqs!$A:$B,2,FALSE),AE23,1),"")</f>
        <v>G</v>
      </c>
      <c r="AE23" s="3">
        <v>167</v>
      </c>
      <c r="AF23" s="3" t="str">
        <f>IFERROR(MID(VLOOKUP($B23,Seqs!$A:$B,2,FALSE),AG23,1),"")</f>
        <v>C</v>
      </c>
      <c r="AG23" s="3">
        <v>176</v>
      </c>
      <c r="AH23" s="3" t="str">
        <f>IFERROR(MID(VLOOKUP($B23,Seqs!$A:$B,2,FALSE),AI23,1),"")</f>
        <v>I</v>
      </c>
      <c r="AI23" s="3">
        <v>178</v>
      </c>
      <c r="AJ23" s="3" t="str">
        <f>IFERROR(MID(VLOOKUP($B23,Seqs!$A:$B,2,FALSE),AK23,1),"")</f>
        <v>N</v>
      </c>
      <c r="AK23" s="3">
        <v>183</v>
      </c>
      <c r="AL23" s="3" t="str">
        <f>IFERROR(MID(VLOOKUP($B23,Seqs!$A:$B,2,FALSE),AM23,1),"")</f>
        <v>E</v>
      </c>
      <c r="AM23" s="3">
        <v>223</v>
      </c>
      <c r="AN23" s="3" t="str">
        <f>IFERROR(MID(VLOOKUP($B23,Seqs!$A:$B,2,FALSE),AO23,1),"")</f>
        <v>K</v>
      </c>
      <c r="AO23" s="3">
        <v>376</v>
      </c>
      <c r="AP23" s="3" t="str">
        <f>IFERROR(MID(VLOOKUP($B23,Seqs!$A:$B,2,FALSE),AQ23,1),"")</f>
        <v>C</v>
      </c>
      <c r="AQ23" s="3">
        <v>413</v>
      </c>
      <c r="AR23" s="3" t="str">
        <f>IFERROR(MID(VLOOKUP($B23,Seqs!$A:$B,2,FALSE),AS23,1),"")</f>
        <v>P</v>
      </c>
      <c r="AS23" s="3">
        <v>418</v>
      </c>
      <c r="AT23" s="3" t="str">
        <f>IFERROR(MID(VLOOKUP($B23,Seqs!$A:$B,2,FALSE),AU23,1),"")</f>
        <v>C</v>
      </c>
      <c r="AU23" s="3">
        <v>443</v>
      </c>
      <c r="AV23" s="3" t="str">
        <f>IFERROR(MID(VLOOKUP($B23,Seqs!$A:$B,2,FALSE),AW23,1),"")</f>
        <v>N</v>
      </c>
      <c r="AW23" s="3">
        <v>444</v>
      </c>
      <c r="AX23" s="3" t="str">
        <f>IFERROR(MID(VLOOKUP($B23,Seqs!$A:$B,2,FALSE),AY23,1),"")</f>
        <v>M</v>
      </c>
      <c r="AY23" s="3">
        <v>456</v>
      </c>
      <c r="AZ23" s="83" t="str">
        <f>VLOOKUP(B23,Classification!A:D,2,FALSE)</f>
        <v>A</v>
      </c>
      <c r="BB23" s="82">
        <f>S23-Q23+1</f>
        <v>4</v>
      </c>
      <c r="BC23" s="57">
        <f t="shared" si="1"/>
        <v>268</v>
      </c>
      <c r="BD23" s="63" t="b">
        <f t="shared" si="2"/>
        <v>1</v>
      </c>
      <c r="BE23" s="68" t="s">
        <v>1514</v>
      </c>
      <c r="BF23" s="75" t="s">
        <v>1514</v>
      </c>
      <c r="BG23" s="75" t="s">
        <v>1514</v>
      </c>
      <c r="BH23" s="75" t="s">
        <v>1514</v>
      </c>
      <c r="BI23" s="75" t="s">
        <v>1514</v>
      </c>
      <c r="BJ23" s="75" t="s">
        <v>1514</v>
      </c>
      <c r="BK23" s="75" t="s">
        <v>1514</v>
      </c>
      <c r="BL23" s="75" t="s">
        <v>1514</v>
      </c>
      <c r="BM23" s="75" t="s">
        <v>1514</v>
      </c>
      <c r="BN23" s="75" t="s">
        <v>1514</v>
      </c>
      <c r="BO23" s="75" t="s">
        <v>1514</v>
      </c>
      <c r="BP23" s="75" t="s">
        <v>1514</v>
      </c>
      <c r="BQ23" s="68">
        <f t="shared" si="3"/>
        <v>19</v>
      </c>
      <c r="BR23" s="69">
        <f t="shared" si="4"/>
        <v>52</v>
      </c>
      <c r="BS23" s="70">
        <f t="shared" si="5"/>
        <v>56</v>
      </c>
      <c r="BT23" s="69">
        <f t="shared" si="6"/>
        <v>88</v>
      </c>
      <c r="BU23" s="70">
        <f t="shared" si="7"/>
        <v>92</v>
      </c>
      <c r="BV23" s="69">
        <f t="shared" si="8"/>
        <v>128</v>
      </c>
      <c r="BW23" s="70">
        <f t="shared" si="9"/>
        <v>137</v>
      </c>
      <c r="BX23" s="69">
        <f t="shared" si="10"/>
        <v>176</v>
      </c>
      <c r="BY23" s="70">
        <f t="shared" si="11"/>
        <v>183</v>
      </c>
      <c r="BZ23" s="69">
        <f t="shared" si="12"/>
        <v>376</v>
      </c>
      <c r="CA23" s="70">
        <f t="shared" si="13"/>
        <v>418</v>
      </c>
      <c r="CB23" s="69">
        <f t="shared" si="14"/>
        <v>444</v>
      </c>
      <c r="CC23" s="68">
        <f t="shared" si="15"/>
        <v>51</v>
      </c>
      <c r="CD23" s="69">
        <f t="shared" si="16"/>
        <v>55</v>
      </c>
      <c r="CE23" s="70">
        <f t="shared" si="17"/>
        <v>86</v>
      </c>
      <c r="CF23" s="70">
        <f t="shared" si="18"/>
        <v>91</v>
      </c>
      <c r="CG23" s="70">
        <f t="shared" si="19"/>
        <v>127</v>
      </c>
      <c r="CH23" s="70">
        <f t="shared" si="20"/>
        <v>135</v>
      </c>
      <c r="CI23" s="70">
        <f t="shared" si="21"/>
        <v>167</v>
      </c>
      <c r="CJ23" s="70">
        <f t="shared" si="22"/>
        <v>178</v>
      </c>
      <c r="CK23" s="70">
        <f t="shared" si="23"/>
        <v>223</v>
      </c>
      <c r="CL23" s="70">
        <f t="shared" si="24"/>
        <v>413</v>
      </c>
      <c r="CM23" s="70">
        <f t="shared" si="25"/>
        <v>443</v>
      </c>
      <c r="CN23" s="70">
        <f t="shared" si="26"/>
        <v>456</v>
      </c>
      <c r="CO23" s="57">
        <f t="shared" si="27"/>
        <v>1</v>
      </c>
    </row>
    <row r="24" spans="1:93" x14ac:dyDescent="0.2">
      <c r="A24" s="3" t="str">
        <f t="shared" si="0"/>
        <v>acm2_human_3UON</v>
      </c>
      <c r="B24" s="3" t="s">
        <v>341</v>
      </c>
      <c r="C24" s="3" t="s">
        <v>270</v>
      </c>
      <c r="D24" s="3" t="str">
        <f>IFERROR(MID(VLOOKUP($B24,Seqs!$A:$B,2,FALSE),E24,1),"")</f>
        <v>V</v>
      </c>
      <c r="E24" s="3">
        <v>23</v>
      </c>
      <c r="F24" s="3" t="str">
        <f>IFERROR(MID(VLOOKUP($B24,Seqs!$A:$B,2,FALSE),G24,1),"")</f>
        <v>N</v>
      </c>
      <c r="G24" s="3">
        <v>51</v>
      </c>
      <c r="H24" s="3" t="str">
        <f>IFERROR(MID(VLOOKUP($B24,Seqs!$A:$B,2,FALSE),I24,1),"")</f>
        <v>R</v>
      </c>
      <c r="I24" s="57">
        <v>52</v>
      </c>
      <c r="J24" s="3" t="str">
        <f>IFERROR(MID(VLOOKUP($B24,Seqs!$A:$B,2,FALSE),K24,1),"")</f>
        <v>Q</v>
      </c>
      <c r="K24" s="57">
        <v>55</v>
      </c>
      <c r="L24" s="3" t="str">
        <f>IFERROR(MID(VLOOKUP($B24,Seqs!$A:$B,2,FALSE),M24,1),"")</f>
        <v>T</v>
      </c>
      <c r="M24" s="3">
        <v>56</v>
      </c>
      <c r="N24" s="3" t="str">
        <f>IFERROR(MID(VLOOKUP($B24,Seqs!$A:$B,2,FALSE),O24,1),"")</f>
        <v>I</v>
      </c>
      <c r="O24" s="3">
        <v>86</v>
      </c>
      <c r="P24" s="3" t="str">
        <f>IFERROR(MID(VLOOKUP($B24,Seqs!$A:$B,2,FALSE),Q24,1),"")</f>
        <v>Y</v>
      </c>
      <c r="Q24" s="3">
        <v>88</v>
      </c>
      <c r="R24" s="3" t="str">
        <f>IFERROR(MID(VLOOKUP($B24,Seqs!$A:$B,2,FALSE),S24,1),"")</f>
        <v>L</v>
      </c>
      <c r="S24" s="3">
        <v>91</v>
      </c>
      <c r="T24" s="3" t="str">
        <f>IFERROR(MID(VLOOKUP($B24,Seqs!$A:$B,2,FALSE),U24,1),"")</f>
        <v>G</v>
      </c>
      <c r="U24" s="3">
        <v>92</v>
      </c>
      <c r="V24" s="3" t="str">
        <f>IFERROR(MID(VLOOKUP($B24,Seqs!$A:$B,2,FALSE),W24,1),"")</f>
        <v>K</v>
      </c>
      <c r="W24" s="3">
        <v>127</v>
      </c>
      <c r="X24" s="3" t="str">
        <f>IFERROR(MID(VLOOKUP($B24,Seqs!$A:$B,2,FALSE),Y24,1),"")</f>
        <v>P</v>
      </c>
      <c r="Y24" s="3">
        <v>128</v>
      </c>
      <c r="Z24" s="3" t="str">
        <f>IFERROR(MID(VLOOKUP($B24,Seqs!$A:$B,2,FALSE),AA24,1),"")</f>
        <v>R</v>
      </c>
      <c r="AA24" s="3">
        <v>135</v>
      </c>
      <c r="AB24" s="3" t="str">
        <f>IFERROR(MID(VLOOKUP($B24,Seqs!$A:$B,2,FALSE),AC24,1),"")</f>
        <v>T</v>
      </c>
      <c r="AC24" s="3">
        <v>137</v>
      </c>
      <c r="AD24" s="3" t="str">
        <f>IFERROR(MID(VLOOKUP($B24,Seqs!$A:$B,2,FALSE),AE24,1),"")</f>
        <v>G</v>
      </c>
      <c r="AE24" s="3">
        <v>167</v>
      </c>
      <c r="AF24" s="3" t="str">
        <f>IFERROR(MID(VLOOKUP($B24,Seqs!$A:$B,2,FALSE),AG24,1),"")</f>
        <v>C</v>
      </c>
      <c r="AG24" s="3">
        <v>176</v>
      </c>
      <c r="AH24" s="3" t="str">
        <f>IFERROR(MID(VLOOKUP($B24,Seqs!$A:$B,2,FALSE),AI24,1),"")</f>
        <v>I</v>
      </c>
      <c r="AI24" s="3">
        <v>178</v>
      </c>
      <c r="AJ24" s="3" t="str">
        <f>IFERROR(MID(VLOOKUP($B24,Seqs!$A:$B,2,FALSE),AK24,1),"")</f>
        <v>N</v>
      </c>
      <c r="AK24" s="3">
        <v>183</v>
      </c>
      <c r="AL24" s="3" t="str">
        <f>IFERROR(MID(VLOOKUP($B24,Seqs!$A:$B,2,FALSE),AM24,1),"")</f>
        <v>S</v>
      </c>
      <c r="AM24" s="3">
        <v>213</v>
      </c>
      <c r="AN24" s="3" t="str">
        <f>IFERROR(MID(VLOOKUP($B24,Seqs!$A:$B,2,FALSE),AO24,1),"")</f>
        <v>K</v>
      </c>
      <c r="AO24" s="3">
        <v>384</v>
      </c>
      <c r="AP24" s="3" t="str">
        <f>IFERROR(MID(VLOOKUP($B24,Seqs!$A:$B,2,FALSE),AQ24,1),"")</f>
        <v>C</v>
      </c>
      <c r="AQ24" s="3">
        <v>413</v>
      </c>
      <c r="AR24" s="3" t="str">
        <f>IFERROR(MID(VLOOKUP($B24,Seqs!$A:$B,2,FALSE),AS24,1),"")</f>
        <v>P</v>
      </c>
      <c r="AS24" s="3">
        <v>418</v>
      </c>
      <c r="AT24" s="3" t="str">
        <f>IFERROR(MID(VLOOKUP($B24,Seqs!$A:$B,2,FALSE),AU24,1),"")</f>
        <v>C</v>
      </c>
      <c r="AU24" s="3">
        <v>443</v>
      </c>
      <c r="AV24" s="3" t="str">
        <f>IFERROR(MID(VLOOKUP($B24,Seqs!$A:$B,2,FALSE),AW24,1),"")</f>
        <v>N</v>
      </c>
      <c r="AW24" s="3">
        <v>444</v>
      </c>
      <c r="AX24" s="3" t="str">
        <f>IFERROR(MID(VLOOKUP($B24,Seqs!$A:$B,2,FALSE),AY24,1),"")</f>
        <v>M</v>
      </c>
      <c r="AY24" s="3">
        <v>456</v>
      </c>
      <c r="AZ24" s="83" t="str">
        <f>VLOOKUP(B24,Classification!A:D,2,FALSE)</f>
        <v>A</v>
      </c>
      <c r="BC24" s="57">
        <f t="shared" si="1"/>
        <v>246</v>
      </c>
      <c r="BD24" s="63" t="b">
        <f t="shared" si="2"/>
        <v>1</v>
      </c>
      <c r="BE24" s="68" t="s">
        <v>1514</v>
      </c>
      <c r="BF24" s="75" t="s">
        <v>1514</v>
      </c>
      <c r="BG24" s="75" t="s">
        <v>1514</v>
      </c>
      <c r="BH24" s="75" t="s">
        <v>1514</v>
      </c>
      <c r="BI24" s="75" t="s">
        <v>1514</v>
      </c>
      <c r="BJ24" s="75" t="s">
        <v>1514</v>
      </c>
      <c r="BK24" s="75" t="s">
        <v>1514</v>
      </c>
      <c r="BL24" s="75" t="s">
        <v>1514</v>
      </c>
      <c r="BM24" s="75" t="s">
        <v>1514</v>
      </c>
      <c r="BN24" s="75" t="s">
        <v>1514</v>
      </c>
      <c r="BO24" s="75" t="s">
        <v>1514</v>
      </c>
      <c r="BP24" s="75" t="s">
        <v>1514</v>
      </c>
      <c r="BQ24" s="68">
        <f t="shared" si="3"/>
        <v>23</v>
      </c>
      <c r="BR24" s="69">
        <f t="shared" si="4"/>
        <v>52</v>
      </c>
      <c r="BS24" s="70">
        <f t="shared" si="5"/>
        <v>56</v>
      </c>
      <c r="BT24" s="69">
        <f t="shared" si="6"/>
        <v>88</v>
      </c>
      <c r="BU24" s="70">
        <f t="shared" si="7"/>
        <v>92</v>
      </c>
      <c r="BV24" s="69">
        <f t="shared" si="8"/>
        <v>128</v>
      </c>
      <c r="BW24" s="70">
        <f t="shared" si="9"/>
        <v>137</v>
      </c>
      <c r="BX24" s="69">
        <f t="shared" si="10"/>
        <v>176</v>
      </c>
      <c r="BY24" s="70">
        <f t="shared" si="11"/>
        <v>183</v>
      </c>
      <c r="BZ24" s="69">
        <f t="shared" si="12"/>
        <v>384</v>
      </c>
      <c r="CA24" s="70">
        <f t="shared" si="13"/>
        <v>418</v>
      </c>
      <c r="CB24" s="69">
        <f t="shared" si="14"/>
        <v>444</v>
      </c>
      <c r="CC24" s="68">
        <f t="shared" si="15"/>
        <v>51</v>
      </c>
      <c r="CD24" s="69">
        <f t="shared" si="16"/>
        <v>55</v>
      </c>
      <c r="CE24" s="70">
        <f t="shared" si="17"/>
        <v>86</v>
      </c>
      <c r="CF24" s="70">
        <f t="shared" si="18"/>
        <v>91</v>
      </c>
      <c r="CG24" s="70">
        <f t="shared" si="19"/>
        <v>127</v>
      </c>
      <c r="CH24" s="70">
        <f t="shared" si="20"/>
        <v>135</v>
      </c>
      <c r="CI24" s="70">
        <f t="shared" si="21"/>
        <v>167</v>
      </c>
      <c r="CJ24" s="70">
        <f t="shared" si="22"/>
        <v>178</v>
      </c>
      <c r="CK24" s="70">
        <f t="shared" si="23"/>
        <v>213</v>
      </c>
      <c r="CL24" s="70">
        <f t="shared" si="24"/>
        <v>413</v>
      </c>
      <c r="CM24" s="70">
        <f t="shared" si="25"/>
        <v>443</v>
      </c>
      <c r="CN24" s="70">
        <f t="shared" si="26"/>
        <v>456</v>
      </c>
      <c r="CO24" s="57">
        <f t="shared" si="27"/>
        <v>1</v>
      </c>
    </row>
    <row r="25" spans="1:93" x14ac:dyDescent="0.2">
      <c r="A25" s="3" t="str">
        <f t="shared" si="0"/>
        <v>acm2_human_4MQS</v>
      </c>
      <c r="B25" s="3" t="s">
        <v>341</v>
      </c>
      <c r="C25" s="3" t="s">
        <v>259</v>
      </c>
      <c r="D25" s="3" t="str">
        <f>IFERROR(MID(VLOOKUP($B25,Seqs!$A:$B,2,FALSE),E25,1),"")</f>
        <v>K</v>
      </c>
      <c r="E25" s="3">
        <v>19</v>
      </c>
      <c r="F25" s="3" t="str">
        <f>IFERROR(MID(VLOOKUP($B25,Seqs!$A:$B,2,FALSE),G25,1),"")</f>
        <v>N</v>
      </c>
      <c r="G25" s="3">
        <v>51</v>
      </c>
      <c r="H25" s="3" t="str">
        <f>IFERROR(MID(VLOOKUP($B25,Seqs!$A:$B,2,FALSE),I25,1),"")</f>
        <v>R</v>
      </c>
      <c r="I25" s="57">
        <v>52</v>
      </c>
      <c r="J25" s="3" t="str">
        <f>IFERROR(MID(VLOOKUP($B25,Seqs!$A:$B,2,FALSE),K25,1),"")</f>
        <v>Q</v>
      </c>
      <c r="K25" s="57">
        <v>55</v>
      </c>
      <c r="L25" s="3" t="str">
        <f>IFERROR(MID(VLOOKUP($B25,Seqs!$A:$B,2,FALSE),M25,1),"")</f>
        <v>T</v>
      </c>
      <c r="M25" s="3">
        <v>56</v>
      </c>
      <c r="N25" s="3" t="str">
        <f>IFERROR(MID(VLOOKUP($B25,Seqs!$A:$B,2,FALSE),O25,1),"")</f>
        <v>I</v>
      </c>
      <c r="O25" s="3">
        <v>86</v>
      </c>
      <c r="P25" s="3" t="str">
        <f>IFERROR(MID(VLOOKUP($B25,Seqs!$A:$B,2,FALSE),Q25,1),"")</f>
        <v>Y</v>
      </c>
      <c r="Q25" s="3">
        <v>88</v>
      </c>
      <c r="R25" s="3" t="str">
        <f>IFERROR(MID(VLOOKUP($B25,Seqs!$A:$B,2,FALSE),S25,1),"")</f>
        <v>L</v>
      </c>
      <c r="S25" s="3">
        <v>91</v>
      </c>
      <c r="T25" s="3" t="str">
        <f>IFERROR(MID(VLOOKUP($B25,Seqs!$A:$B,2,FALSE),U25,1),"")</f>
        <v>G</v>
      </c>
      <c r="U25" s="3">
        <v>92</v>
      </c>
      <c r="V25" s="3" t="str">
        <f>IFERROR(MID(VLOOKUP($B25,Seqs!$A:$B,2,FALSE),W25,1),"")</f>
        <v>K</v>
      </c>
      <c r="W25" s="3">
        <v>127</v>
      </c>
      <c r="X25" s="3" t="str">
        <f>IFERROR(MID(VLOOKUP($B25,Seqs!$A:$B,2,FALSE),Y25,1),"")</f>
        <v>P</v>
      </c>
      <c r="Y25" s="3">
        <v>128</v>
      </c>
      <c r="Z25" s="3" t="str">
        <f>IFERROR(MID(VLOOKUP($B25,Seqs!$A:$B,2,FALSE),AA25,1),"")</f>
        <v>R</v>
      </c>
      <c r="AA25" s="3">
        <v>135</v>
      </c>
      <c r="AB25" s="3" t="str">
        <f>IFERROR(MID(VLOOKUP($B25,Seqs!$A:$B,2,FALSE),AC25,1),"")</f>
        <v>T</v>
      </c>
      <c r="AC25" s="3">
        <v>137</v>
      </c>
      <c r="AD25" s="3" t="str">
        <f>IFERROR(MID(VLOOKUP($B25,Seqs!$A:$B,2,FALSE),AE25,1),"")</f>
        <v>G</v>
      </c>
      <c r="AE25" s="3">
        <v>167</v>
      </c>
      <c r="AF25" s="3" t="str">
        <f>IFERROR(MID(VLOOKUP($B25,Seqs!$A:$B,2,FALSE),AG25,1),"")</f>
        <v>C</v>
      </c>
      <c r="AG25" s="3">
        <v>176</v>
      </c>
      <c r="AH25" s="3" t="str">
        <f>IFERROR(MID(VLOOKUP($B25,Seqs!$A:$B,2,FALSE),AI25,1),"")</f>
        <v>I</v>
      </c>
      <c r="AI25" s="3">
        <v>178</v>
      </c>
      <c r="AJ25" s="3" t="str">
        <f>IFERROR(MID(VLOOKUP($B25,Seqs!$A:$B,2,FALSE),AK25,1),"")</f>
        <v>N</v>
      </c>
      <c r="AK25" s="3">
        <v>183</v>
      </c>
      <c r="AL25" s="3" t="str">
        <f>IFERROR(MID(VLOOKUP($B25,Seqs!$A:$B,2,FALSE),AM25,1),"")</f>
        <v>K</v>
      </c>
      <c r="AM25" s="3">
        <v>214</v>
      </c>
      <c r="AN25" s="3" t="str">
        <f>IFERROR(MID(VLOOKUP($B25,Seqs!$A:$B,2,FALSE),AO25,1),"")</f>
        <v>S</v>
      </c>
      <c r="AO25" s="3">
        <v>380</v>
      </c>
      <c r="AP25" s="3" t="str">
        <f>IFERROR(MID(VLOOKUP($B25,Seqs!$A:$B,2,FALSE),AQ25,1),"")</f>
        <v>C</v>
      </c>
      <c r="AQ25" s="3">
        <v>413</v>
      </c>
      <c r="AR25" s="3" t="str">
        <f>IFERROR(MID(VLOOKUP($B25,Seqs!$A:$B,2,FALSE),AS25,1),"")</f>
        <v>P</v>
      </c>
      <c r="AS25" s="3">
        <v>418</v>
      </c>
      <c r="AT25" s="3" t="str">
        <f>IFERROR(MID(VLOOKUP($B25,Seqs!$A:$B,2,FALSE),AU25,1),"")</f>
        <v>C</v>
      </c>
      <c r="AU25" s="3">
        <v>443</v>
      </c>
      <c r="AV25" s="3" t="str">
        <f>IFERROR(MID(VLOOKUP($B25,Seqs!$A:$B,2,FALSE),AW25,1),"")</f>
        <v>N</v>
      </c>
      <c r="AW25" s="3">
        <v>444</v>
      </c>
      <c r="AX25" s="3" t="str">
        <f>IFERROR(MID(VLOOKUP($B25,Seqs!$A:$B,2,FALSE),AY25,1),"")</f>
        <v>M</v>
      </c>
      <c r="AY25" s="3">
        <v>456</v>
      </c>
      <c r="AZ25" s="83" t="str">
        <f>VLOOKUP(B25,Classification!A:D,2,FALSE)</f>
        <v>A</v>
      </c>
      <c r="BC25" s="57">
        <f t="shared" si="1"/>
        <v>255</v>
      </c>
      <c r="BD25" s="63" t="b">
        <f t="shared" si="2"/>
        <v>1</v>
      </c>
      <c r="BE25" s="68" t="s">
        <v>1514</v>
      </c>
      <c r="BF25" s="75" t="s">
        <v>1514</v>
      </c>
      <c r="BG25" s="75" t="s">
        <v>1514</v>
      </c>
      <c r="BH25" s="75" t="s">
        <v>1514</v>
      </c>
      <c r="BI25" s="75" t="s">
        <v>1514</v>
      </c>
      <c r="BJ25" s="75" t="s">
        <v>1514</v>
      </c>
      <c r="BK25" s="75" t="s">
        <v>1514</v>
      </c>
      <c r="BL25" s="75" t="s">
        <v>1514</v>
      </c>
      <c r="BM25" s="75" t="s">
        <v>1514</v>
      </c>
      <c r="BN25" s="75" t="s">
        <v>1514</v>
      </c>
      <c r="BO25" s="75" t="s">
        <v>1514</v>
      </c>
      <c r="BP25" s="75" t="s">
        <v>1514</v>
      </c>
      <c r="BQ25" s="68">
        <f t="shared" si="3"/>
        <v>19</v>
      </c>
      <c r="BR25" s="69">
        <f t="shared" si="4"/>
        <v>52</v>
      </c>
      <c r="BS25" s="70">
        <f t="shared" si="5"/>
        <v>56</v>
      </c>
      <c r="BT25" s="69">
        <f t="shared" si="6"/>
        <v>88</v>
      </c>
      <c r="BU25" s="70">
        <f t="shared" si="7"/>
        <v>92</v>
      </c>
      <c r="BV25" s="69">
        <f t="shared" si="8"/>
        <v>128</v>
      </c>
      <c r="BW25" s="70">
        <f t="shared" si="9"/>
        <v>137</v>
      </c>
      <c r="BX25" s="69">
        <f t="shared" si="10"/>
        <v>176</v>
      </c>
      <c r="BY25" s="70">
        <f t="shared" si="11"/>
        <v>183</v>
      </c>
      <c r="BZ25" s="69">
        <f t="shared" si="12"/>
        <v>380</v>
      </c>
      <c r="CA25" s="70">
        <f t="shared" si="13"/>
        <v>418</v>
      </c>
      <c r="CB25" s="69">
        <f t="shared" si="14"/>
        <v>444</v>
      </c>
      <c r="CC25" s="68">
        <f t="shared" si="15"/>
        <v>51</v>
      </c>
      <c r="CD25" s="69">
        <f t="shared" si="16"/>
        <v>55</v>
      </c>
      <c r="CE25" s="70">
        <f t="shared" si="17"/>
        <v>86</v>
      </c>
      <c r="CF25" s="70">
        <f t="shared" si="18"/>
        <v>91</v>
      </c>
      <c r="CG25" s="70">
        <f t="shared" si="19"/>
        <v>127</v>
      </c>
      <c r="CH25" s="70">
        <f t="shared" si="20"/>
        <v>135</v>
      </c>
      <c r="CI25" s="70">
        <f t="shared" si="21"/>
        <v>167</v>
      </c>
      <c r="CJ25" s="70">
        <f t="shared" si="22"/>
        <v>178</v>
      </c>
      <c r="CK25" s="70">
        <f t="shared" si="23"/>
        <v>214</v>
      </c>
      <c r="CL25" s="70">
        <f t="shared" si="24"/>
        <v>413</v>
      </c>
      <c r="CM25" s="70">
        <f t="shared" si="25"/>
        <v>443</v>
      </c>
      <c r="CN25" s="70">
        <f t="shared" si="26"/>
        <v>456</v>
      </c>
      <c r="CO25" s="57">
        <f t="shared" si="27"/>
        <v>1</v>
      </c>
    </row>
    <row r="26" spans="1:93" x14ac:dyDescent="0.2">
      <c r="A26" s="3" t="str">
        <f t="shared" si="0"/>
        <v>acm2_human_4MQT</v>
      </c>
      <c r="B26" s="3" t="s">
        <v>341</v>
      </c>
      <c r="C26" s="3" t="s">
        <v>1253</v>
      </c>
      <c r="D26" s="3" t="str">
        <f>IFERROR(MID(VLOOKUP($B26,Seqs!$A:$B,2,FALSE),E26,1),"")</f>
        <v>K</v>
      </c>
      <c r="E26" s="3">
        <v>19</v>
      </c>
      <c r="F26" s="3" t="str">
        <f>IFERROR(MID(VLOOKUP($B26,Seqs!$A:$B,2,FALSE),G26,1),"")</f>
        <v>N</v>
      </c>
      <c r="G26" s="3">
        <v>51</v>
      </c>
      <c r="H26" s="3" t="str">
        <f>IFERROR(MID(VLOOKUP($B26,Seqs!$A:$B,2,FALSE),I26,1),"")</f>
        <v>R</v>
      </c>
      <c r="I26" s="57">
        <v>52</v>
      </c>
      <c r="J26" s="3" t="str">
        <f>IFERROR(MID(VLOOKUP($B26,Seqs!$A:$B,2,FALSE),K26,1),"")</f>
        <v>Q</v>
      </c>
      <c r="K26" s="57">
        <v>55</v>
      </c>
      <c r="L26" s="3" t="str">
        <f>IFERROR(MID(VLOOKUP($B26,Seqs!$A:$B,2,FALSE),M26,1),"")</f>
        <v>T</v>
      </c>
      <c r="M26" s="3">
        <v>56</v>
      </c>
      <c r="N26" s="3" t="str">
        <f>IFERROR(MID(VLOOKUP($B26,Seqs!$A:$B,2,FALSE),O26,1),"")</f>
        <v>I</v>
      </c>
      <c r="O26" s="3">
        <v>86</v>
      </c>
      <c r="P26" s="3" t="str">
        <f>IFERROR(MID(VLOOKUP($B26,Seqs!$A:$B,2,FALSE),Q26,1),"")</f>
        <v>Y</v>
      </c>
      <c r="Q26" s="3">
        <v>88</v>
      </c>
      <c r="R26" s="3" t="str">
        <f>IFERROR(MID(VLOOKUP($B26,Seqs!$A:$B,2,FALSE),S26,1),"")</f>
        <v>L</v>
      </c>
      <c r="S26" s="3">
        <v>91</v>
      </c>
      <c r="T26" s="3" t="str">
        <f>IFERROR(MID(VLOOKUP($B26,Seqs!$A:$B,2,FALSE),U26,1),"")</f>
        <v>G</v>
      </c>
      <c r="U26" s="3">
        <v>92</v>
      </c>
      <c r="V26" s="3" t="str">
        <f>IFERROR(MID(VLOOKUP($B26,Seqs!$A:$B,2,FALSE),W26,1),"")</f>
        <v>K</v>
      </c>
      <c r="W26" s="3">
        <v>127</v>
      </c>
      <c r="X26" s="3" t="str">
        <f>IFERROR(MID(VLOOKUP($B26,Seqs!$A:$B,2,FALSE),Y26,1),"")</f>
        <v>P</v>
      </c>
      <c r="Y26" s="3">
        <v>128</v>
      </c>
      <c r="Z26" s="3" t="str">
        <f>IFERROR(MID(VLOOKUP($B26,Seqs!$A:$B,2,FALSE),AA26,1),"")</f>
        <v>R</v>
      </c>
      <c r="AA26" s="3">
        <v>135</v>
      </c>
      <c r="AB26" s="3" t="str">
        <f>IFERROR(MID(VLOOKUP($B26,Seqs!$A:$B,2,FALSE),AC26,1),"")</f>
        <v>T</v>
      </c>
      <c r="AC26" s="3">
        <v>137</v>
      </c>
      <c r="AD26" s="3" t="str">
        <f>IFERROR(MID(VLOOKUP($B26,Seqs!$A:$B,2,FALSE),AE26,1),"")</f>
        <v>G</v>
      </c>
      <c r="AE26" s="3">
        <v>167</v>
      </c>
      <c r="AF26" s="3" t="str">
        <f>IFERROR(MID(VLOOKUP($B26,Seqs!$A:$B,2,FALSE),AG26,1),"")</f>
        <v>C</v>
      </c>
      <c r="AG26" s="3">
        <v>176</v>
      </c>
      <c r="AH26" s="3" t="str">
        <f>IFERROR(MID(VLOOKUP($B26,Seqs!$A:$B,2,FALSE),AI26,1),"")</f>
        <v>I</v>
      </c>
      <c r="AI26" s="3">
        <v>178</v>
      </c>
      <c r="AJ26" s="3" t="str">
        <f>IFERROR(MID(VLOOKUP($B26,Seqs!$A:$B,2,FALSE),AK26,1),"")</f>
        <v>N</v>
      </c>
      <c r="AK26" s="3">
        <v>183</v>
      </c>
      <c r="AL26" s="3" t="str">
        <f>IFERROR(MID(VLOOKUP($B26,Seqs!$A:$B,2,FALSE),AM26,1),"")</f>
        <v>S</v>
      </c>
      <c r="AM26" s="3">
        <v>215</v>
      </c>
      <c r="AN26" s="3" t="str">
        <f>IFERROR(MID(VLOOKUP($B26,Seqs!$A:$B,2,FALSE),AO26,1),"")</f>
        <v>P</v>
      </c>
      <c r="AO26" s="3">
        <v>379</v>
      </c>
      <c r="AP26" s="3" t="str">
        <f>IFERROR(MID(VLOOKUP($B26,Seqs!$A:$B,2,FALSE),AQ26,1),"")</f>
        <v>C</v>
      </c>
      <c r="AQ26" s="3">
        <v>413</v>
      </c>
      <c r="AR26" s="3" t="str">
        <f>IFERROR(MID(VLOOKUP($B26,Seqs!$A:$B,2,FALSE),AS26,1),"")</f>
        <v>P</v>
      </c>
      <c r="AS26" s="3">
        <v>418</v>
      </c>
      <c r="AT26" s="3" t="str">
        <f>IFERROR(MID(VLOOKUP($B26,Seqs!$A:$B,2,FALSE),AU26,1),"")</f>
        <v>C</v>
      </c>
      <c r="AU26" s="3">
        <v>443</v>
      </c>
      <c r="AV26" s="3" t="str">
        <f>IFERROR(MID(VLOOKUP($B26,Seqs!$A:$B,2,FALSE),AW26,1),"")</f>
        <v>N</v>
      </c>
      <c r="AW26" s="3">
        <v>444</v>
      </c>
      <c r="AX26" s="3" t="str">
        <f>IFERROR(MID(VLOOKUP($B26,Seqs!$A:$B,2,FALSE),AY26,1),"")</f>
        <v>C</v>
      </c>
      <c r="AY26" s="3">
        <v>457</v>
      </c>
      <c r="AZ26" s="83" t="str">
        <f>VLOOKUP(B26,Classification!A:D,2,FALSE)</f>
        <v>A</v>
      </c>
      <c r="BC26" s="57">
        <f t="shared" si="1"/>
        <v>258</v>
      </c>
      <c r="BD26" s="63" t="b">
        <f t="shared" si="2"/>
        <v>1</v>
      </c>
      <c r="BE26" s="68" t="s">
        <v>1514</v>
      </c>
      <c r="BF26" s="75" t="s">
        <v>1514</v>
      </c>
      <c r="BG26" s="75" t="s">
        <v>1514</v>
      </c>
      <c r="BH26" s="75" t="s">
        <v>1514</v>
      </c>
      <c r="BI26" s="75" t="s">
        <v>1514</v>
      </c>
      <c r="BJ26" s="75" t="s">
        <v>1514</v>
      </c>
      <c r="BK26" s="75" t="s">
        <v>1514</v>
      </c>
      <c r="BL26" s="75" t="s">
        <v>1514</v>
      </c>
      <c r="BM26" s="75" t="s">
        <v>1514</v>
      </c>
      <c r="BN26" s="75" t="s">
        <v>1514</v>
      </c>
      <c r="BO26" s="75" t="s">
        <v>1514</v>
      </c>
      <c r="BP26" s="75" t="s">
        <v>1514</v>
      </c>
      <c r="BQ26" s="68">
        <f t="shared" si="3"/>
        <v>19</v>
      </c>
      <c r="BR26" s="69">
        <f t="shared" si="4"/>
        <v>52</v>
      </c>
      <c r="BS26" s="70">
        <f t="shared" si="5"/>
        <v>56</v>
      </c>
      <c r="BT26" s="69">
        <f t="shared" si="6"/>
        <v>88</v>
      </c>
      <c r="BU26" s="70">
        <f t="shared" si="7"/>
        <v>92</v>
      </c>
      <c r="BV26" s="69">
        <f t="shared" si="8"/>
        <v>128</v>
      </c>
      <c r="BW26" s="70">
        <f t="shared" si="9"/>
        <v>137</v>
      </c>
      <c r="BX26" s="69">
        <f t="shared" si="10"/>
        <v>176</v>
      </c>
      <c r="BY26" s="70">
        <f t="shared" si="11"/>
        <v>183</v>
      </c>
      <c r="BZ26" s="69">
        <f t="shared" si="12"/>
        <v>379</v>
      </c>
      <c r="CA26" s="70">
        <f t="shared" si="13"/>
        <v>418</v>
      </c>
      <c r="CB26" s="69">
        <f t="shared" si="14"/>
        <v>444</v>
      </c>
      <c r="CC26" s="68">
        <f t="shared" si="15"/>
        <v>51</v>
      </c>
      <c r="CD26" s="69">
        <f t="shared" si="16"/>
        <v>55</v>
      </c>
      <c r="CE26" s="70">
        <f t="shared" si="17"/>
        <v>86</v>
      </c>
      <c r="CF26" s="70">
        <f t="shared" si="18"/>
        <v>91</v>
      </c>
      <c r="CG26" s="70">
        <f t="shared" si="19"/>
        <v>127</v>
      </c>
      <c r="CH26" s="70">
        <f t="shared" si="20"/>
        <v>135</v>
      </c>
      <c r="CI26" s="70">
        <f t="shared" si="21"/>
        <v>167</v>
      </c>
      <c r="CJ26" s="70">
        <f t="shared" si="22"/>
        <v>178</v>
      </c>
      <c r="CK26" s="70">
        <f t="shared" si="23"/>
        <v>215</v>
      </c>
      <c r="CL26" s="70">
        <f t="shared" si="24"/>
        <v>413</v>
      </c>
      <c r="CM26" s="70">
        <f t="shared" si="25"/>
        <v>443</v>
      </c>
      <c r="CN26" s="70">
        <f t="shared" si="26"/>
        <v>457</v>
      </c>
      <c r="CO26" s="57">
        <f t="shared" si="27"/>
        <v>1</v>
      </c>
    </row>
    <row r="27" spans="1:93" x14ac:dyDescent="0.2">
      <c r="A27" s="3" t="str">
        <f t="shared" si="0"/>
        <v>acm3_rat__wt</v>
      </c>
      <c r="B27" s="3" t="s">
        <v>1106</v>
      </c>
      <c r="C27" s="3" t="s">
        <v>294</v>
      </c>
      <c r="D27" s="3" t="str">
        <f>IFERROR(MID(VLOOKUP($B27,Seqs!$A:$B,2,FALSE),E27,1),"")</f>
        <v>I</v>
      </c>
      <c r="E27" s="3">
        <v>64</v>
      </c>
      <c r="F27" s="3" t="str">
        <f>IFERROR(MID(VLOOKUP($B27,Seqs!$A:$B,2,FALSE),G27,1),"")</f>
        <v>N</v>
      </c>
      <c r="G27" s="3">
        <v>95</v>
      </c>
      <c r="H27" s="3" t="str">
        <f>IFERROR(MID(VLOOKUP($B27,Seqs!$A:$B,2,FALSE),I27,1),"")</f>
        <v>K</v>
      </c>
      <c r="I27" s="57">
        <v>96</v>
      </c>
      <c r="J27" s="3" t="str">
        <f>IFERROR(MID(VLOOKUP($B27,Seqs!$A:$B,2,FALSE),K27,1),"")</f>
        <v>K</v>
      </c>
      <c r="K27" s="57">
        <v>99</v>
      </c>
      <c r="L27" s="3" t="str">
        <f>IFERROR(MID(VLOOKUP($B27,Seqs!$A:$B,2,FALSE),M27,1),"")</f>
        <v>T</v>
      </c>
      <c r="M27" s="3">
        <v>100</v>
      </c>
      <c r="N27" s="3" t="str">
        <f>IFERROR(MID(VLOOKUP($B27,Seqs!$A:$B,2,FALSE),O27,1),"")</f>
        <v>M</v>
      </c>
      <c r="O27" s="3">
        <v>130</v>
      </c>
      <c r="P27" s="3" t="str">
        <f>IFERROR(MID(VLOOKUP($B27,Seqs!$A:$B,2,FALSE),Q27,1),"")</f>
        <v>R</v>
      </c>
      <c r="Q27" s="3">
        <v>132</v>
      </c>
      <c r="R27" s="3" t="str">
        <f>IFERROR(MID(VLOOKUP($B27,Seqs!$A:$B,2,FALSE),S27,1),"")</f>
        <v>L</v>
      </c>
      <c r="S27" s="3">
        <v>135</v>
      </c>
      <c r="T27" s="3" t="str">
        <f>IFERROR(MID(VLOOKUP($B27,Seqs!$A:$B,2,FALSE),U27,1),"")</f>
        <v>G</v>
      </c>
      <c r="U27" s="3">
        <v>136</v>
      </c>
      <c r="V27" s="3" t="str">
        <f>IFERROR(MID(VLOOKUP($B27,Seqs!$A:$B,2,FALSE),W27,1),"")</f>
        <v>R</v>
      </c>
      <c r="W27" s="3">
        <v>171</v>
      </c>
      <c r="X27" s="3" t="str">
        <f>IFERROR(MID(VLOOKUP($B27,Seqs!$A:$B,2,FALSE),Y27,1),"")</f>
        <v>P</v>
      </c>
      <c r="Y27" s="3">
        <v>172</v>
      </c>
      <c r="Z27" s="3" t="str">
        <f>IFERROR(MID(VLOOKUP($B27,Seqs!$A:$B,2,FALSE),AA27,1),"")</f>
        <v>R</v>
      </c>
      <c r="AA27" s="3">
        <v>179</v>
      </c>
      <c r="AB27" s="3" t="str">
        <f>IFERROR(MID(VLOOKUP($B27,Seqs!$A:$B,2,FALSE),AC27,1),"")</f>
        <v>T</v>
      </c>
      <c r="AC27" s="3">
        <v>181</v>
      </c>
      <c r="AD27" s="3" t="str">
        <f>IFERROR(MID(VLOOKUP($B27,Seqs!$A:$B,2,FALSE),AE27,1),"")</f>
        <v>G</v>
      </c>
      <c r="AE27" s="3">
        <v>211</v>
      </c>
      <c r="AF27" s="3" t="str">
        <f>IFERROR(MID(VLOOKUP($B27,Seqs!$A:$B,2,FALSE),AG27,1),"")</f>
        <v>C</v>
      </c>
      <c r="AG27" s="3">
        <v>220</v>
      </c>
      <c r="AH27" s="3" t="str">
        <f>IFERROR(MID(VLOOKUP($B27,Seqs!$A:$B,2,FALSE),AI27,1),"")</f>
        <v>I</v>
      </c>
      <c r="AI27" s="3">
        <v>222</v>
      </c>
      <c r="AJ27" s="3" t="str">
        <f>IFERROR(MID(VLOOKUP($B27,Seqs!$A:$B,2,FALSE),AK27,1),"")</f>
        <v>E</v>
      </c>
      <c r="AK27" s="3">
        <v>227</v>
      </c>
      <c r="AL27" s="3" t="str">
        <f>IFERROR(MID(VLOOKUP($B27,Seqs!$A:$B,2,FALSE),AM27,1),"")</f>
        <v>L</v>
      </c>
      <c r="AM27" s="3">
        <v>267</v>
      </c>
      <c r="AN27" s="3" t="str">
        <f>IFERROR(MID(VLOOKUP($B27,Seqs!$A:$B,2,FALSE),AO27,1),"")</f>
        <v>R</v>
      </c>
      <c r="AO27" s="3">
        <v>479</v>
      </c>
      <c r="AP27" s="3" t="str">
        <f>IFERROR(MID(VLOOKUP($B27,Seqs!$A:$B,2,FALSE),AQ27,1),"")</f>
        <v>C</v>
      </c>
      <c r="AQ27" s="3">
        <v>516</v>
      </c>
      <c r="AR27" s="3" t="str">
        <f>IFERROR(MID(VLOOKUP($B27,Seqs!$A:$B,2,FALSE),AS27,1),"")</f>
        <v>P</v>
      </c>
      <c r="AS27" s="3">
        <v>521</v>
      </c>
      <c r="AT27" s="3" t="str">
        <f>IFERROR(MID(VLOOKUP($B27,Seqs!$A:$B,2,FALSE),AU27,1),"")</f>
        <v>C</v>
      </c>
      <c r="AU27" s="3">
        <v>546</v>
      </c>
      <c r="AV27" s="3" t="str">
        <f>IFERROR(MID(VLOOKUP($B27,Seqs!$A:$B,2,FALSE),AW27,1),"")</f>
        <v>N</v>
      </c>
      <c r="AW27" s="3">
        <v>547</v>
      </c>
      <c r="AX27" s="3" t="str">
        <f>IFERROR(MID(VLOOKUP($B27,Seqs!$A:$B,2,FALSE),AY27,1),"")</f>
        <v>L</v>
      </c>
      <c r="AY27" s="3">
        <v>558</v>
      </c>
      <c r="AZ27" s="83" t="str">
        <f>VLOOKUP(B27,Classification!A:D,2,FALSE)</f>
        <v>A</v>
      </c>
      <c r="BB27" s="82">
        <f>S27-Q27+1</f>
        <v>4</v>
      </c>
      <c r="BC27" s="57">
        <f t="shared" si="1"/>
        <v>266</v>
      </c>
      <c r="BD27" s="63" t="b">
        <f t="shared" si="2"/>
        <v>1</v>
      </c>
      <c r="BE27" s="68" t="s">
        <v>1514</v>
      </c>
      <c r="BF27" s="75" t="s">
        <v>1514</v>
      </c>
      <c r="BG27" s="75" t="s">
        <v>1514</v>
      </c>
      <c r="BH27" s="75" t="s">
        <v>1514</v>
      </c>
      <c r="BI27" s="75" t="s">
        <v>1514</v>
      </c>
      <c r="BJ27" s="75" t="s">
        <v>1514</v>
      </c>
      <c r="BK27" s="75" t="s">
        <v>1514</v>
      </c>
      <c r="BL27" s="75" t="s">
        <v>1514</v>
      </c>
      <c r="BM27" s="75" t="s">
        <v>1514</v>
      </c>
      <c r="BN27" s="75" t="s">
        <v>1514</v>
      </c>
      <c r="BO27" s="75" t="s">
        <v>1514</v>
      </c>
      <c r="BP27" s="75" t="s">
        <v>1514</v>
      </c>
      <c r="BQ27" s="68">
        <f t="shared" si="3"/>
        <v>64</v>
      </c>
      <c r="BR27" s="69">
        <f t="shared" si="4"/>
        <v>96</v>
      </c>
      <c r="BS27" s="70">
        <f t="shared" si="5"/>
        <v>100</v>
      </c>
      <c r="BT27" s="69">
        <f t="shared" si="6"/>
        <v>132</v>
      </c>
      <c r="BU27" s="70">
        <f t="shared" si="7"/>
        <v>136</v>
      </c>
      <c r="BV27" s="69">
        <f t="shared" si="8"/>
        <v>172</v>
      </c>
      <c r="BW27" s="70">
        <f t="shared" si="9"/>
        <v>181</v>
      </c>
      <c r="BX27" s="69">
        <f t="shared" si="10"/>
        <v>220</v>
      </c>
      <c r="BY27" s="70">
        <f t="shared" si="11"/>
        <v>227</v>
      </c>
      <c r="BZ27" s="69">
        <f t="shared" si="12"/>
        <v>479</v>
      </c>
      <c r="CA27" s="70">
        <f t="shared" si="13"/>
        <v>521</v>
      </c>
      <c r="CB27" s="69">
        <f t="shared" si="14"/>
        <v>547</v>
      </c>
      <c r="CC27" s="68">
        <f t="shared" si="15"/>
        <v>95</v>
      </c>
      <c r="CD27" s="69">
        <f t="shared" si="16"/>
        <v>99</v>
      </c>
      <c r="CE27" s="70">
        <f t="shared" si="17"/>
        <v>130</v>
      </c>
      <c r="CF27" s="70">
        <f t="shared" si="18"/>
        <v>135</v>
      </c>
      <c r="CG27" s="70">
        <f t="shared" si="19"/>
        <v>171</v>
      </c>
      <c r="CH27" s="70">
        <f t="shared" si="20"/>
        <v>179</v>
      </c>
      <c r="CI27" s="70">
        <f t="shared" si="21"/>
        <v>211</v>
      </c>
      <c r="CJ27" s="70">
        <f t="shared" si="22"/>
        <v>222</v>
      </c>
      <c r="CK27" s="70">
        <f t="shared" si="23"/>
        <v>267</v>
      </c>
      <c r="CL27" s="70">
        <f t="shared" si="24"/>
        <v>516</v>
      </c>
      <c r="CM27" s="70">
        <f t="shared" si="25"/>
        <v>546</v>
      </c>
      <c r="CN27" s="70">
        <f t="shared" si="26"/>
        <v>558</v>
      </c>
      <c r="CO27" s="57">
        <f t="shared" si="27"/>
        <v>1</v>
      </c>
    </row>
    <row r="28" spans="1:93" x14ac:dyDescent="0.2">
      <c r="A28" s="3" t="str">
        <f t="shared" si="0"/>
        <v>acm3_rat_4U15</v>
      </c>
      <c r="B28" s="3" t="s">
        <v>1106</v>
      </c>
      <c r="C28" s="3" t="s">
        <v>262</v>
      </c>
      <c r="D28" s="3" t="str">
        <f>IFERROR(MID(VLOOKUP($B28,Seqs!$A:$B,2,FALSE),E28,1),"")</f>
        <v>I</v>
      </c>
      <c r="E28" s="3">
        <v>64</v>
      </c>
      <c r="F28" s="3" t="str">
        <f>IFERROR(MID(VLOOKUP($B28,Seqs!$A:$B,2,FALSE),G28,1),"")</f>
        <v>N</v>
      </c>
      <c r="G28" s="3">
        <v>95</v>
      </c>
      <c r="H28" s="3" t="str">
        <f>IFERROR(MID(VLOOKUP($B28,Seqs!$A:$B,2,FALSE),I28,1),"")</f>
        <v>K</v>
      </c>
      <c r="I28" s="57">
        <v>96</v>
      </c>
      <c r="J28" s="3" t="str">
        <f>IFERROR(MID(VLOOKUP($B28,Seqs!$A:$B,2,FALSE),K28,1),"")</f>
        <v>K</v>
      </c>
      <c r="K28" s="57">
        <v>99</v>
      </c>
      <c r="L28" s="3" t="str">
        <f>IFERROR(MID(VLOOKUP($B28,Seqs!$A:$B,2,FALSE),M28,1),"")</f>
        <v>T</v>
      </c>
      <c r="M28" s="3">
        <v>100</v>
      </c>
      <c r="N28" s="3" t="str">
        <f>IFERROR(MID(VLOOKUP($B28,Seqs!$A:$B,2,FALSE),O28,1),"")</f>
        <v>M</v>
      </c>
      <c r="O28" s="3">
        <v>130</v>
      </c>
      <c r="P28" s="3" t="str">
        <f>IFERROR(MID(VLOOKUP($B28,Seqs!$A:$B,2,FALSE),Q28,1),"")</f>
        <v>R</v>
      </c>
      <c r="Q28" s="3">
        <v>132</v>
      </c>
      <c r="R28" s="3" t="str">
        <f>IFERROR(MID(VLOOKUP($B28,Seqs!$A:$B,2,FALSE),S28,1),"")</f>
        <v>L</v>
      </c>
      <c r="S28" s="3">
        <v>135</v>
      </c>
      <c r="T28" s="3" t="str">
        <f>IFERROR(MID(VLOOKUP($B28,Seqs!$A:$B,2,FALSE),U28,1),"")</f>
        <v>G</v>
      </c>
      <c r="U28" s="3">
        <v>136</v>
      </c>
      <c r="V28" s="3" t="str">
        <f>IFERROR(MID(VLOOKUP($B28,Seqs!$A:$B,2,FALSE),W28,1),"")</f>
        <v>R</v>
      </c>
      <c r="W28" s="3">
        <v>171</v>
      </c>
      <c r="X28" s="3" t="str">
        <f>IFERROR(MID(VLOOKUP($B28,Seqs!$A:$B,2,FALSE),Y28,1),"")</f>
        <v>P</v>
      </c>
      <c r="Y28" s="3">
        <v>172</v>
      </c>
      <c r="Z28" s="3" t="str">
        <f>IFERROR(MID(VLOOKUP($B28,Seqs!$A:$B,2,FALSE),AA28,1),"")</f>
        <v>R</v>
      </c>
      <c r="AA28" s="3">
        <v>179</v>
      </c>
      <c r="AB28" s="3" t="str">
        <f>IFERROR(MID(VLOOKUP($B28,Seqs!$A:$B,2,FALSE),AC28,1),"")</f>
        <v>T</v>
      </c>
      <c r="AC28" s="3">
        <v>181</v>
      </c>
      <c r="AD28" s="3" t="str">
        <f>IFERROR(MID(VLOOKUP($B28,Seqs!$A:$B,2,FALSE),AE28,1),"")</f>
        <v>G</v>
      </c>
      <c r="AE28" s="3">
        <v>211</v>
      </c>
      <c r="AF28" s="3" t="str">
        <f>IFERROR(MID(VLOOKUP($B28,Seqs!$A:$B,2,FALSE),AG28,1),"")</f>
        <v>C</v>
      </c>
      <c r="AG28" s="3">
        <v>220</v>
      </c>
      <c r="AH28" s="3" t="str">
        <f>IFERROR(MID(VLOOKUP($B28,Seqs!$A:$B,2,FALSE),AI28,1),"")</f>
        <v>I</v>
      </c>
      <c r="AI28" s="3">
        <v>222</v>
      </c>
      <c r="AJ28" s="3" t="str">
        <f>IFERROR(MID(VLOOKUP($B28,Seqs!$A:$B,2,FALSE),AK28,1),"")</f>
        <v>E</v>
      </c>
      <c r="AK28" s="3">
        <v>227</v>
      </c>
      <c r="AL28" s="3" t="str">
        <f>IFERROR(MID(VLOOKUP($B28,Seqs!$A:$B,2,FALSE),AM28,1),"")</f>
        <v>K</v>
      </c>
      <c r="AM28" s="3">
        <v>259</v>
      </c>
      <c r="AN28" s="3" t="str">
        <f>IFERROR(MID(VLOOKUP($B28,Seqs!$A:$B,2,FALSE),AO28,1),"")</f>
        <v>I</v>
      </c>
      <c r="AO28" s="3">
        <v>483</v>
      </c>
      <c r="AP28" s="3" t="str">
        <f>IFERROR(MID(VLOOKUP($B28,Seqs!$A:$B,2,FALSE),AQ28,1),"")</f>
        <v>C</v>
      </c>
      <c r="AQ28" s="3">
        <v>516</v>
      </c>
      <c r="AR28" s="3" t="str">
        <f>IFERROR(MID(VLOOKUP($B28,Seqs!$A:$B,2,FALSE),AS28,1),"")</f>
        <v>P</v>
      </c>
      <c r="AS28" s="3">
        <v>521</v>
      </c>
      <c r="AT28" s="3" t="str">
        <f>IFERROR(MID(VLOOKUP($B28,Seqs!$A:$B,2,FALSE),AU28,1),"")</f>
        <v>C</v>
      </c>
      <c r="AU28" s="3">
        <v>546</v>
      </c>
      <c r="AV28" s="3" t="str">
        <f>IFERROR(MID(VLOOKUP($B28,Seqs!$A:$B,2,FALSE),AW28,1),"")</f>
        <v>N</v>
      </c>
      <c r="AW28" s="3">
        <v>547</v>
      </c>
      <c r="AX28" s="3" t="str">
        <f>IFERROR(MID(VLOOKUP($B28,Seqs!$A:$B,2,FALSE),AY28,1),"")</f>
        <v>L</v>
      </c>
      <c r="AY28" s="3">
        <v>558</v>
      </c>
      <c r="AZ28" s="83" t="str">
        <f>VLOOKUP(B28,Classification!A:D,2,FALSE)</f>
        <v>A</v>
      </c>
      <c r="BC28" s="57">
        <f t="shared" si="1"/>
        <v>254</v>
      </c>
      <c r="BD28" s="63" t="b">
        <f t="shared" si="2"/>
        <v>1</v>
      </c>
      <c r="BE28" s="68" t="s">
        <v>1514</v>
      </c>
      <c r="BF28" s="75" t="s">
        <v>1514</v>
      </c>
      <c r="BG28" s="75" t="s">
        <v>1514</v>
      </c>
      <c r="BH28" s="75" t="s">
        <v>1514</v>
      </c>
      <c r="BI28" s="75" t="s">
        <v>1514</v>
      </c>
      <c r="BJ28" s="75" t="s">
        <v>1514</v>
      </c>
      <c r="BK28" s="75" t="s">
        <v>1514</v>
      </c>
      <c r="BL28" s="75" t="s">
        <v>1514</v>
      </c>
      <c r="BM28" s="75" t="s">
        <v>1514</v>
      </c>
      <c r="BN28" s="75" t="s">
        <v>1514</v>
      </c>
      <c r="BO28" s="75" t="s">
        <v>1514</v>
      </c>
      <c r="BP28" s="75" t="s">
        <v>1514</v>
      </c>
      <c r="BQ28" s="68">
        <f t="shared" si="3"/>
        <v>64</v>
      </c>
      <c r="BR28" s="69">
        <f t="shared" si="4"/>
        <v>96</v>
      </c>
      <c r="BS28" s="70">
        <f t="shared" si="5"/>
        <v>100</v>
      </c>
      <c r="BT28" s="69">
        <f t="shared" si="6"/>
        <v>132</v>
      </c>
      <c r="BU28" s="70">
        <f t="shared" si="7"/>
        <v>136</v>
      </c>
      <c r="BV28" s="69">
        <f t="shared" si="8"/>
        <v>172</v>
      </c>
      <c r="BW28" s="70">
        <f t="shared" si="9"/>
        <v>181</v>
      </c>
      <c r="BX28" s="69">
        <f t="shared" si="10"/>
        <v>220</v>
      </c>
      <c r="BY28" s="70">
        <f t="shared" si="11"/>
        <v>227</v>
      </c>
      <c r="BZ28" s="69">
        <f t="shared" si="12"/>
        <v>483</v>
      </c>
      <c r="CA28" s="70">
        <f t="shared" si="13"/>
        <v>521</v>
      </c>
      <c r="CB28" s="69">
        <f t="shared" si="14"/>
        <v>547</v>
      </c>
      <c r="CC28" s="68">
        <f t="shared" si="15"/>
        <v>95</v>
      </c>
      <c r="CD28" s="69">
        <f t="shared" si="16"/>
        <v>99</v>
      </c>
      <c r="CE28" s="70">
        <f t="shared" si="17"/>
        <v>130</v>
      </c>
      <c r="CF28" s="70">
        <f t="shared" si="18"/>
        <v>135</v>
      </c>
      <c r="CG28" s="70">
        <f t="shared" si="19"/>
        <v>171</v>
      </c>
      <c r="CH28" s="70">
        <f t="shared" si="20"/>
        <v>179</v>
      </c>
      <c r="CI28" s="70">
        <f t="shared" si="21"/>
        <v>211</v>
      </c>
      <c r="CJ28" s="70">
        <f t="shared" si="22"/>
        <v>222</v>
      </c>
      <c r="CK28" s="70">
        <f t="shared" si="23"/>
        <v>259</v>
      </c>
      <c r="CL28" s="70">
        <f t="shared" si="24"/>
        <v>516</v>
      </c>
      <c r="CM28" s="70">
        <f t="shared" si="25"/>
        <v>546</v>
      </c>
      <c r="CN28" s="70">
        <f t="shared" si="26"/>
        <v>558</v>
      </c>
      <c r="CO28" s="57">
        <f t="shared" si="27"/>
        <v>1</v>
      </c>
    </row>
    <row r="29" spans="1:93" x14ac:dyDescent="0.2">
      <c r="A29" s="3" t="str">
        <f t="shared" si="0"/>
        <v>acm3_rat_4U16</v>
      </c>
      <c r="B29" s="3" t="s">
        <v>1106</v>
      </c>
      <c r="C29" s="3" t="s">
        <v>1260</v>
      </c>
      <c r="D29" s="3" t="str">
        <f>IFERROR(MID(VLOOKUP($B29,Seqs!$A:$B,2,FALSE),E29,1),"")</f>
        <v>I</v>
      </c>
      <c r="E29" s="3">
        <v>64</v>
      </c>
      <c r="F29" s="3" t="str">
        <f>IFERROR(MID(VLOOKUP($B29,Seqs!$A:$B,2,FALSE),G29,1),"")</f>
        <v>N</v>
      </c>
      <c r="G29" s="3">
        <v>95</v>
      </c>
      <c r="H29" s="3" t="str">
        <f>IFERROR(MID(VLOOKUP($B29,Seqs!$A:$B,2,FALSE),I29,1),"")</f>
        <v>K</v>
      </c>
      <c r="I29" s="57">
        <v>96</v>
      </c>
      <c r="J29" s="3" t="str">
        <f>IFERROR(MID(VLOOKUP($B29,Seqs!$A:$B,2,FALSE),K29,1),"")</f>
        <v>K</v>
      </c>
      <c r="K29" s="57">
        <v>99</v>
      </c>
      <c r="L29" s="3" t="str">
        <f>IFERROR(MID(VLOOKUP($B29,Seqs!$A:$B,2,FALSE),M29,1),"")</f>
        <v>T</v>
      </c>
      <c r="M29" s="3">
        <v>100</v>
      </c>
      <c r="N29" s="3" t="str">
        <f>IFERROR(MID(VLOOKUP($B29,Seqs!$A:$B,2,FALSE),O29,1),"")</f>
        <v>M</v>
      </c>
      <c r="O29" s="3">
        <v>130</v>
      </c>
      <c r="P29" s="3" t="str">
        <f>IFERROR(MID(VLOOKUP($B29,Seqs!$A:$B,2,FALSE),Q29,1),"")</f>
        <v>R</v>
      </c>
      <c r="Q29" s="3">
        <v>132</v>
      </c>
      <c r="R29" s="3" t="str">
        <f>IFERROR(MID(VLOOKUP($B29,Seqs!$A:$B,2,FALSE),S29,1),"")</f>
        <v>L</v>
      </c>
      <c r="S29" s="3">
        <v>135</v>
      </c>
      <c r="T29" s="3" t="str">
        <f>IFERROR(MID(VLOOKUP($B29,Seqs!$A:$B,2,FALSE),U29,1),"")</f>
        <v>G</v>
      </c>
      <c r="U29" s="3">
        <v>136</v>
      </c>
      <c r="V29" s="3" t="str">
        <f>IFERROR(MID(VLOOKUP($B29,Seqs!$A:$B,2,FALSE),W29,1),"")</f>
        <v>R</v>
      </c>
      <c r="W29" s="3">
        <v>171</v>
      </c>
      <c r="X29" s="3" t="str">
        <f>IFERROR(MID(VLOOKUP($B29,Seqs!$A:$B,2,FALSE),Y29,1),"")</f>
        <v>P</v>
      </c>
      <c r="Y29" s="3">
        <v>172</v>
      </c>
      <c r="Z29" s="3" t="str">
        <f>IFERROR(MID(VLOOKUP($B29,Seqs!$A:$B,2,FALSE),AA29,1),"")</f>
        <v>R</v>
      </c>
      <c r="AA29" s="3">
        <v>179</v>
      </c>
      <c r="AB29" s="3" t="str">
        <f>IFERROR(MID(VLOOKUP($B29,Seqs!$A:$B,2,FALSE),AC29,1),"")</f>
        <v>T</v>
      </c>
      <c r="AC29" s="3">
        <v>181</v>
      </c>
      <c r="AD29" s="3" t="str">
        <f>IFERROR(MID(VLOOKUP($B29,Seqs!$A:$B,2,FALSE),AE29,1),"")</f>
        <v>G</v>
      </c>
      <c r="AE29" s="3">
        <v>211</v>
      </c>
      <c r="AF29" s="3" t="str">
        <f>IFERROR(MID(VLOOKUP($B29,Seqs!$A:$B,2,FALSE),AG29,1),"")</f>
        <v>C</v>
      </c>
      <c r="AG29" s="3">
        <v>220</v>
      </c>
      <c r="AH29" s="3" t="str">
        <f>IFERROR(MID(VLOOKUP($B29,Seqs!$A:$B,2,FALSE),AI29,1),"")</f>
        <v>I</v>
      </c>
      <c r="AI29" s="3">
        <v>222</v>
      </c>
      <c r="AJ29" s="3" t="str">
        <f>IFERROR(MID(VLOOKUP($B29,Seqs!$A:$B,2,FALSE),AK29,1),"")</f>
        <v>E</v>
      </c>
      <c r="AK29" s="3">
        <v>227</v>
      </c>
      <c r="AL29" s="3" t="str">
        <f>IFERROR(MID(VLOOKUP($B29,Seqs!$A:$B,2,FALSE),AM29,1),"")</f>
        <v>K</v>
      </c>
      <c r="AM29" s="3">
        <v>259</v>
      </c>
      <c r="AN29" s="3" t="str">
        <f>IFERROR(MID(VLOOKUP($B29,Seqs!$A:$B,2,FALSE),AO29,1),"")</f>
        <v>I</v>
      </c>
      <c r="AO29" s="3">
        <v>483</v>
      </c>
      <c r="AP29" s="3" t="str">
        <f>IFERROR(MID(VLOOKUP($B29,Seqs!$A:$B,2,FALSE),AQ29,1),"")</f>
        <v>C</v>
      </c>
      <c r="AQ29" s="3">
        <v>516</v>
      </c>
      <c r="AR29" s="3" t="str">
        <f>IFERROR(MID(VLOOKUP($B29,Seqs!$A:$B,2,FALSE),AS29,1),"")</f>
        <v>P</v>
      </c>
      <c r="AS29" s="3">
        <v>521</v>
      </c>
      <c r="AT29" s="3" t="str">
        <f>IFERROR(MID(VLOOKUP($B29,Seqs!$A:$B,2,FALSE),AU29,1),"")</f>
        <v>C</v>
      </c>
      <c r="AU29" s="3">
        <v>546</v>
      </c>
      <c r="AV29" s="3" t="str">
        <f>IFERROR(MID(VLOOKUP($B29,Seqs!$A:$B,2,FALSE),AW29,1),"")</f>
        <v/>
      </c>
      <c r="AW29" s="3" t="s">
        <v>129</v>
      </c>
      <c r="AX29" s="3" t="str">
        <f>IFERROR(MID(VLOOKUP($B29,Seqs!$A:$B,2,FALSE),AY29,1),"")</f>
        <v/>
      </c>
      <c r="AY29" s="3" t="s">
        <v>129</v>
      </c>
      <c r="AZ29" s="83" t="str">
        <f>VLOOKUP(B29,Classification!A:D,2,FALSE)</f>
        <v>A</v>
      </c>
      <c r="BC29" s="57">
        <f t="shared" si="1"/>
        <v>243</v>
      </c>
      <c r="BD29" s="63" t="b">
        <f t="shared" si="2"/>
        <v>1</v>
      </c>
      <c r="BE29" s="68" t="s">
        <v>1514</v>
      </c>
      <c r="BF29" s="75" t="s">
        <v>1514</v>
      </c>
      <c r="BG29" s="75" t="s">
        <v>1514</v>
      </c>
      <c r="BH29" s="75" t="s">
        <v>1514</v>
      </c>
      <c r="BI29" s="75" t="s">
        <v>1514</v>
      </c>
      <c r="BJ29" s="75" t="s">
        <v>1514</v>
      </c>
      <c r="BK29" s="75" t="s">
        <v>1514</v>
      </c>
      <c r="BL29" s="75" t="s">
        <v>1514</v>
      </c>
      <c r="BM29" s="75" t="s">
        <v>1514</v>
      </c>
      <c r="BN29" s="75" t="s">
        <v>1514</v>
      </c>
      <c r="BO29" s="75" t="s">
        <v>1514</v>
      </c>
      <c r="BP29" s="75" t="s">
        <v>1514</v>
      </c>
      <c r="BQ29" s="68">
        <f t="shared" si="3"/>
        <v>64</v>
      </c>
      <c r="BR29" s="69">
        <f t="shared" si="4"/>
        <v>96</v>
      </c>
      <c r="BS29" s="70">
        <f t="shared" si="5"/>
        <v>100</v>
      </c>
      <c r="BT29" s="69">
        <f t="shared" si="6"/>
        <v>132</v>
      </c>
      <c r="BU29" s="70">
        <f t="shared" si="7"/>
        <v>136</v>
      </c>
      <c r="BV29" s="69">
        <f t="shared" si="8"/>
        <v>172</v>
      </c>
      <c r="BW29" s="70">
        <f t="shared" si="9"/>
        <v>181</v>
      </c>
      <c r="BX29" s="69">
        <f t="shared" si="10"/>
        <v>220</v>
      </c>
      <c r="BY29" s="70">
        <f t="shared" si="11"/>
        <v>227</v>
      </c>
      <c r="BZ29" s="69">
        <f t="shared" si="12"/>
        <v>483</v>
      </c>
      <c r="CA29" s="70">
        <f t="shared" si="13"/>
        <v>521</v>
      </c>
      <c r="CB29" s="69" t="str">
        <f t="shared" si="14"/>
        <v>-</v>
      </c>
      <c r="CC29" s="68">
        <f t="shared" si="15"/>
        <v>95</v>
      </c>
      <c r="CD29" s="69">
        <f t="shared" si="16"/>
        <v>99</v>
      </c>
      <c r="CE29" s="70">
        <f t="shared" si="17"/>
        <v>130</v>
      </c>
      <c r="CF29" s="70">
        <f t="shared" si="18"/>
        <v>135</v>
      </c>
      <c r="CG29" s="70">
        <f t="shared" si="19"/>
        <v>171</v>
      </c>
      <c r="CH29" s="70">
        <f t="shared" si="20"/>
        <v>179</v>
      </c>
      <c r="CI29" s="70">
        <f t="shared" si="21"/>
        <v>211</v>
      </c>
      <c r="CJ29" s="70">
        <f t="shared" si="22"/>
        <v>222</v>
      </c>
      <c r="CK29" s="70">
        <f t="shared" si="23"/>
        <v>259</v>
      </c>
      <c r="CL29" s="70">
        <f t="shared" si="24"/>
        <v>516</v>
      </c>
      <c r="CM29" s="70">
        <f t="shared" si="25"/>
        <v>546</v>
      </c>
      <c r="CN29" s="70" t="str">
        <f t="shared" si="26"/>
        <v>-</v>
      </c>
      <c r="CO29" s="57">
        <f t="shared" si="27"/>
        <v>1</v>
      </c>
    </row>
    <row r="30" spans="1:93" x14ac:dyDescent="0.2">
      <c r="A30" s="3" t="str">
        <f t="shared" si="0"/>
        <v>acm4_human__wt</v>
      </c>
      <c r="B30" s="3" t="s">
        <v>343</v>
      </c>
      <c r="C30" s="3" t="s">
        <v>294</v>
      </c>
      <c r="D30" s="3" t="str">
        <f>IFERROR(MID(VLOOKUP($B30,Seqs!$A:$B,2,FALSE),E30,1),"")</f>
        <v>R</v>
      </c>
      <c r="E30" s="3">
        <v>26</v>
      </c>
      <c r="F30" s="3" t="str">
        <f>IFERROR(MID(VLOOKUP($B30,Seqs!$A:$B,2,FALSE),G30,1),"")</f>
        <v>N</v>
      </c>
      <c r="G30" s="3">
        <v>60</v>
      </c>
      <c r="H30" s="3" t="str">
        <f>IFERROR(MID(VLOOKUP($B30,Seqs!$A:$B,2,FALSE),I30,1),"")</f>
        <v>R</v>
      </c>
      <c r="I30" s="57">
        <v>61</v>
      </c>
      <c r="J30" s="3" t="str">
        <f>IFERROR(MID(VLOOKUP($B30,Seqs!$A:$B,2,FALSE),K30,1),"")</f>
        <v>Q</v>
      </c>
      <c r="K30" s="57">
        <v>64</v>
      </c>
      <c r="L30" s="3" t="str">
        <f>IFERROR(MID(VLOOKUP($B30,Seqs!$A:$B,2,FALSE),M30,1),"")</f>
        <v>T</v>
      </c>
      <c r="M30" s="3">
        <v>65</v>
      </c>
      <c r="N30" s="3" t="str">
        <f>IFERROR(MID(VLOOKUP($B30,Seqs!$A:$B,2,FALSE),O30,1),"")</f>
        <v>K</v>
      </c>
      <c r="O30" s="3">
        <v>95</v>
      </c>
      <c r="P30" s="3" t="str">
        <f>IFERROR(MID(VLOOKUP($B30,Seqs!$A:$B,2,FALSE),Q30,1),"")</f>
        <v>Y</v>
      </c>
      <c r="Q30" s="3">
        <v>97</v>
      </c>
      <c r="R30" s="3" t="str">
        <f>IFERROR(MID(VLOOKUP($B30,Seqs!$A:$B,2,FALSE),S30,1),"")</f>
        <v>L</v>
      </c>
      <c r="S30" s="3">
        <v>100</v>
      </c>
      <c r="T30" s="3" t="str">
        <f>IFERROR(MID(VLOOKUP($B30,Seqs!$A:$B,2,FALSE),U30,1),"")</f>
        <v>G</v>
      </c>
      <c r="U30" s="3">
        <v>101</v>
      </c>
      <c r="V30" s="3" t="str">
        <f>IFERROR(MID(VLOOKUP($B30,Seqs!$A:$B,2,FALSE),W30,1),"")</f>
        <v>K</v>
      </c>
      <c r="W30" s="3">
        <v>136</v>
      </c>
      <c r="X30" s="3" t="str">
        <f>IFERROR(MID(VLOOKUP($B30,Seqs!$A:$B,2,FALSE),Y30,1),"")</f>
        <v>P</v>
      </c>
      <c r="Y30" s="3">
        <v>137</v>
      </c>
      <c r="Z30" s="3" t="str">
        <f>IFERROR(MID(VLOOKUP($B30,Seqs!$A:$B,2,FALSE),AA30,1),"")</f>
        <v>R</v>
      </c>
      <c r="AA30" s="3">
        <v>144</v>
      </c>
      <c r="AB30" s="3" t="str">
        <f>IFERROR(MID(VLOOKUP($B30,Seqs!$A:$B,2,FALSE),AC30,1),"")</f>
        <v>T</v>
      </c>
      <c r="AC30" s="3">
        <v>146</v>
      </c>
      <c r="AD30" s="3" t="str">
        <f>IFERROR(MID(VLOOKUP($B30,Seqs!$A:$B,2,FALSE),AE30,1),"")</f>
        <v>G</v>
      </c>
      <c r="AE30" s="3">
        <v>176</v>
      </c>
      <c r="AF30" s="3" t="str">
        <f>IFERROR(MID(VLOOKUP($B30,Seqs!$A:$B,2,FALSE),AG30,1),"")</f>
        <v>C</v>
      </c>
      <c r="AG30" s="3">
        <v>185</v>
      </c>
      <c r="AH30" s="3" t="str">
        <f>IFERROR(MID(VLOOKUP($B30,Seqs!$A:$B,2,FALSE),AI30,1),"")</f>
        <v>I</v>
      </c>
      <c r="AI30" s="3">
        <v>187</v>
      </c>
      <c r="AJ30" s="3" t="str">
        <f>IFERROR(MID(VLOOKUP($B30,Seqs!$A:$B,2,FALSE),AK30,1),"")</f>
        <v>N</v>
      </c>
      <c r="AK30" s="3">
        <v>192</v>
      </c>
      <c r="AL30" s="3" t="str">
        <f>IFERROR(MID(VLOOKUP($B30,Seqs!$A:$B,2,FALSE),AM30,1),"")</f>
        <v>E</v>
      </c>
      <c r="AM30" s="3">
        <v>232</v>
      </c>
      <c r="AN30" s="3" t="str">
        <f>IFERROR(MID(VLOOKUP($B30,Seqs!$A:$B,2,FALSE),AO30,1),"")</f>
        <v>R</v>
      </c>
      <c r="AO30" s="3">
        <v>389</v>
      </c>
      <c r="AP30" s="3" t="str">
        <f>IFERROR(MID(VLOOKUP($B30,Seqs!$A:$B,2,FALSE),AQ30,1),"")</f>
        <v>C</v>
      </c>
      <c r="AQ30" s="3">
        <v>426</v>
      </c>
      <c r="AR30" s="3" t="str">
        <f>IFERROR(MID(VLOOKUP($B30,Seqs!$A:$B,2,FALSE),AS30,1),"")</f>
        <v>P</v>
      </c>
      <c r="AS30" s="3">
        <v>431</v>
      </c>
      <c r="AT30" s="3" t="str">
        <f>IFERROR(MID(VLOOKUP($B30,Seqs!$A:$B,2,FALSE),AU30,1),"")</f>
        <v>C</v>
      </c>
      <c r="AU30" s="3">
        <v>456</v>
      </c>
      <c r="AV30" s="3" t="str">
        <f>IFERROR(MID(VLOOKUP($B30,Seqs!$A:$B,2,FALSE),AW30,1),"")</f>
        <v>N</v>
      </c>
      <c r="AW30" s="3">
        <v>457</v>
      </c>
      <c r="AX30" s="3" t="str">
        <f>IFERROR(MID(VLOOKUP($B30,Seqs!$A:$B,2,FALSE),AY30,1),"")</f>
        <v>L</v>
      </c>
      <c r="AY30" s="3">
        <v>469</v>
      </c>
      <c r="AZ30" s="83" t="str">
        <f>VLOOKUP(B30,Classification!A:D,2,FALSE)</f>
        <v>A</v>
      </c>
      <c r="BB30" s="82">
        <f>S30-Q30+1</f>
        <v>4</v>
      </c>
      <c r="BC30" s="57">
        <f t="shared" si="1"/>
        <v>270</v>
      </c>
      <c r="BD30" s="71" t="b">
        <f t="shared" si="2"/>
        <v>1</v>
      </c>
      <c r="BE30" s="68" t="s">
        <v>1514</v>
      </c>
      <c r="BF30" s="75" t="s">
        <v>1514</v>
      </c>
      <c r="BG30" s="75" t="s">
        <v>1514</v>
      </c>
      <c r="BH30" s="75" t="s">
        <v>1514</v>
      </c>
      <c r="BI30" s="75" t="s">
        <v>1514</v>
      </c>
      <c r="BJ30" s="75" t="s">
        <v>1514</v>
      </c>
      <c r="BK30" s="75" t="s">
        <v>1514</v>
      </c>
      <c r="BL30" s="75" t="s">
        <v>1514</v>
      </c>
      <c r="BM30" s="75" t="s">
        <v>1514</v>
      </c>
      <c r="BN30" s="75" t="s">
        <v>1514</v>
      </c>
      <c r="BO30" s="75" t="s">
        <v>1514</v>
      </c>
      <c r="BP30" s="75" t="s">
        <v>1514</v>
      </c>
      <c r="BQ30" s="68">
        <f t="shared" si="3"/>
        <v>26</v>
      </c>
      <c r="BR30" s="69">
        <f t="shared" si="4"/>
        <v>61</v>
      </c>
      <c r="BS30" s="70">
        <f t="shared" si="5"/>
        <v>65</v>
      </c>
      <c r="BT30" s="69">
        <f t="shared" si="6"/>
        <v>97</v>
      </c>
      <c r="BU30" s="70">
        <f t="shared" si="7"/>
        <v>101</v>
      </c>
      <c r="BV30" s="69">
        <f t="shared" si="8"/>
        <v>137</v>
      </c>
      <c r="BW30" s="70">
        <f t="shared" si="9"/>
        <v>146</v>
      </c>
      <c r="BX30" s="69">
        <f t="shared" si="10"/>
        <v>185</v>
      </c>
      <c r="BY30" s="70">
        <f t="shared" si="11"/>
        <v>192</v>
      </c>
      <c r="BZ30" s="69">
        <f t="shared" si="12"/>
        <v>389</v>
      </c>
      <c r="CA30" s="70">
        <f t="shared" si="13"/>
        <v>431</v>
      </c>
      <c r="CB30" s="69">
        <f t="shared" si="14"/>
        <v>457</v>
      </c>
      <c r="CC30" s="68">
        <f t="shared" si="15"/>
        <v>60</v>
      </c>
      <c r="CD30" s="69">
        <f t="shared" si="16"/>
        <v>64</v>
      </c>
      <c r="CE30" s="70">
        <f t="shared" si="17"/>
        <v>95</v>
      </c>
      <c r="CF30" s="70">
        <f t="shared" si="18"/>
        <v>100</v>
      </c>
      <c r="CG30" s="70">
        <f t="shared" si="19"/>
        <v>136</v>
      </c>
      <c r="CH30" s="70">
        <f t="shared" si="20"/>
        <v>144</v>
      </c>
      <c r="CI30" s="70">
        <f t="shared" si="21"/>
        <v>176</v>
      </c>
      <c r="CJ30" s="70">
        <f t="shared" si="22"/>
        <v>187</v>
      </c>
      <c r="CK30" s="70">
        <f t="shared" si="23"/>
        <v>232</v>
      </c>
      <c r="CL30" s="70">
        <f t="shared" si="24"/>
        <v>426</v>
      </c>
      <c r="CM30" s="70">
        <f t="shared" si="25"/>
        <v>456</v>
      </c>
      <c r="CN30" s="70">
        <f t="shared" si="26"/>
        <v>469</v>
      </c>
      <c r="CO30" s="57">
        <f t="shared" si="27"/>
        <v>1</v>
      </c>
    </row>
    <row r="31" spans="1:93" x14ac:dyDescent="0.2">
      <c r="A31" s="3" t="str">
        <f t="shared" si="0"/>
        <v>acm4_human_5DSG</v>
      </c>
      <c r="B31" s="3" t="s">
        <v>343</v>
      </c>
      <c r="C31" s="3" t="s">
        <v>252</v>
      </c>
      <c r="D31" s="3" t="str">
        <f>IFERROR(MID(VLOOKUP($B31,Seqs!$A:$B,2,FALSE),E31,1),"")</f>
        <v>R</v>
      </c>
      <c r="E31" s="3">
        <v>26</v>
      </c>
      <c r="F31" s="3" t="str">
        <f>IFERROR(MID(VLOOKUP($B31,Seqs!$A:$B,2,FALSE),G31,1),"")</f>
        <v>N</v>
      </c>
      <c r="G31" s="3">
        <v>60</v>
      </c>
      <c r="H31" s="3" t="str">
        <f>IFERROR(MID(VLOOKUP($B31,Seqs!$A:$B,2,FALSE),I31,1),"")</f>
        <v>R</v>
      </c>
      <c r="I31" s="57">
        <v>61</v>
      </c>
      <c r="J31" s="3" t="str">
        <f>IFERROR(MID(VLOOKUP($B31,Seqs!$A:$B,2,FALSE),K31,1),"")</f>
        <v>Q</v>
      </c>
      <c r="K31" s="57">
        <v>64</v>
      </c>
      <c r="L31" s="3" t="str">
        <f>IFERROR(MID(VLOOKUP($B31,Seqs!$A:$B,2,FALSE),M31,1),"")</f>
        <v>T</v>
      </c>
      <c r="M31" s="3">
        <v>65</v>
      </c>
      <c r="N31" s="3" t="str">
        <f>IFERROR(MID(VLOOKUP($B31,Seqs!$A:$B,2,FALSE),O31,1),"")</f>
        <v>K</v>
      </c>
      <c r="O31" s="3">
        <v>95</v>
      </c>
      <c r="P31" s="3" t="str">
        <f>IFERROR(MID(VLOOKUP($B31,Seqs!$A:$B,2,FALSE),Q31,1),"")</f>
        <v>Y</v>
      </c>
      <c r="Q31" s="3">
        <v>97</v>
      </c>
      <c r="R31" s="3" t="str">
        <f>IFERROR(MID(VLOOKUP($B31,Seqs!$A:$B,2,FALSE),S31,1),"")</f>
        <v>L</v>
      </c>
      <c r="S31" s="3">
        <v>100</v>
      </c>
      <c r="T31" s="3" t="str">
        <f>IFERROR(MID(VLOOKUP($B31,Seqs!$A:$B,2,FALSE),U31,1),"")</f>
        <v>G</v>
      </c>
      <c r="U31" s="3">
        <v>101</v>
      </c>
      <c r="V31" s="3" t="str">
        <f>IFERROR(MID(VLOOKUP($B31,Seqs!$A:$B,2,FALSE),W31,1),"")</f>
        <v>K</v>
      </c>
      <c r="W31" s="3">
        <v>136</v>
      </c>
      <c r="X31" s="3" t="str">
        <f>IFERROR(MID(VLOOKUP($B31,Seqs!$A:$B,2,FALSE),Y31,1),"")</f>
        <v>P</v>
      </c>
      <c r="Y31" s="3">
        <v>137</v>
      </c>
      <c r="Z31" s="3" t="str">
        <f>IFERROR(MID(VLOOKUP($B31,Seqs!$A:$B,2,FALSE),AA31,1),"")</f>
        <v>R</v>
      </c>
      <c r="AA31" s="3">
        <v>144</v>
      </c>
      <c r="AB31" s="3" t="str">
        <f>IFERROR(MID(VLOOKUP($B31,Seqs!$A:$B,2,FALSE),AC31,1),"")</f>
        <v>T</v>
      </c>
      <c r="AC31" s="3">
        <v>146</v>
      </c>
      <c r="AD31" s="3" t="str">
        <f>IFERROR(MID(VLOOKUP($B31,Seqs!$A:$B,2,FALSE),AE31,1),"")</f>
        <v>G</v>
      </c>
      <c r="AE31" s="3">
        <v>176</v>
      </c>
      <c r="AF31" s="3" t="str">
        <f>IFERROR(MID(VLOOKUP($B31,Seqs!$A:$B,2,FALSE),AG31,1),"")</f>
        <v>C</v>
      </c>
      <c r="AG31" s="3">
        <v>185</v>
      </c>
      <c r="AH31" s="3" t="str">
        <f>IFERROR(MID(VLOOKUP($B31,Seqs!$A:$B,2,FALSE),AI31,1),"")</f>
        <v>I</v>
      </c>
      <c r="AI31" s="3">
        <v>187</v>
      </c>
      <c r="AJ31" s="3" t="str">
        <f>IFERROR(MID(VLOOKUP($B31,Seqs!$A:$B,2,FALSE),AK31,1),"")</f>
        <v>N</v>
      </c>
      <c r="AK31" s="3">
        <v>192</v>
      </c>
      <c r="AL31" s="3" t="str">
        <f>IFERROR(MID(VLOOKUP($B31,Seqs!$A:$B,2,FALSE),AM31,1),"")</f>
        <v>L</v>
      </c>
      <c r="AM31" s="3">
        <v>220</v>
      </c>
      <c r="AN31" s="3" t="str">
        <f>IFERROR(MID(VLOOKUP($B31,Seqs!$A:$B,2,FALSE),AO31,1),"")</f>
        <v>R</v>
      </c>
      <c r="AO31" s="3">
        <v>396</v>
      </c>
      <c r="AP31" s="3" t="str">
        <f>IFERROR(MID(VLOOKUP($B31,Seqs!$A:$B,2,FALSE),AQ31,1),"")</f>
        <v>C</v>
      </c>
      <c r="AQ31" s="3">
        <v>426</v>
      </c>
      <c r="AR31" s="3" t="str">
        <f>IFERROR(MID(VLOOKUP($B31,Seqs!$A:$B,2,FALSE),AS31,1),"")</f>
        <v>P</v>
      </c>
      <c r="AS31" s="3">
        <v>431</v>
      </c>
      <c r="AT31" s="3" t="str">
        <f>IFERROR(MID(VLOOKUP($B31,Seqs!$A:$B,2,FALSE),AU31,1),"")</f>
        <v>C</v>
      </c>
      <c r="AU31" s="3">
        <v>456</v>
      </c>
      <c r="AV31" s="3" t="str">
        <f>IFERROR(MID(VLOOKUP($B31,Seqs!$A:$B,2,FALSE),AW31,1),"")</f>
        <v>N</v>
      </c>
      <c r="AW31" s="3">
        <v>457</v>
      </c>
      <c r="AX31" s="3" t="str">
        <f>IFERROR(MID(VLOOKUP($B31,Seqs!$A:$B,2,FALSE),AY31,1),"")</f>
        <v>L</v>
      </c>
      <c r="AY31" s="3">
        <v>469</v>
      </c>
      <c r="AZ31" s="83" t="str">
        <f>VLOOKUP(B31,Classification!A:D,2,FALSE)</f>
        <v>A</v>
      </c>
      <c r="BC31" s="57">
        <f t="shared" si="1"/>
        <v>251</v>
      </c>
      <c r="BD31" s="71" t="b">
        <f t="shared" si="2"/>
        <v>1</v>
      </c>
      <c r="BE31" s="68" t="s">
        <v>1514</v>
      </c>
      <c r="BF31" s="75" t="s">
        <v>1514</v>
      </c>
      <c r="BG31" s="75" t="s">
        <v>1514</v>
      </c>
      <c r="BH31" s="75" t="s">
        <v>1514</v>
      </c>
      <c r="BI31" s="75" t="s">
        <v>1514</v>
      </c>
      <c r="BJ31" s="75" t="s">
        <v>1514</v>
      </c>
      <c r="BK31" s="75" t="s">
        <v>1514</v>
      </c>
      <c r="BL31" s="75" t="s">
        <v>1514</v>
      </c>
      <c r="BM31" s="75" t="s">
        <v>1514</v>
      </c>
      <c r="BN31" s="75" t="s">
        <v>1514</v>
      </c>
      <c r="BO31" s="75" t="s">
        <v>1514</v>
      </c>
      <c r="BP31" s="75" t="s">
        <v>1514</v>
      </c>
      <c r="BQ31" s="68">
        <f t="shared" si="3"/>
        <v>26</v>
      </c>
      <c r="BR31" s="69">
        <f t="shared" si="4"/>
        <v>61</v>
      </c>
      <c r="BS31" s="70">
        <f t="shared" si="5"/>
        <v>65</v>
      </c>
      <c r="BT31" s="69">
        <f t="shared" si="6"/>
        <v>97</v>
      </c>
      <c r="BU31" s="70">
        <f t="shared" si="7"/>
        <v>101</v>
      </c>
      <c r="BV31" s="69">
        <f t="shared" si="8"/>
        <v>137</v>
      </c>
      <c r="BW31" s="70">
        <f t="shared" si="9"/>
        <v>146</v>
      </c>
      <c r="BX31" s="69">
        <f t="shared" si="10"/>
        <v>185</v>
      </c>
      <c r="BY31" s="70">
        <f t="shared" si="11"/>
        <v>192</v>
      </c>
      <c r="BZ31" s="69">
        <f t="shared" si="12"/>
        <v>396</v>
      </c>
      <c r="CA31" s="70">
        <f t="shared" si="13"/>
        <v>431</v>
      </c>
      <c r="CB31" s="69">
        <f t="shared" si="14"/>
        <v>457</v>
      </c>
      <c r="CC31" s="68">
        <f t="shared" si="15"/>
        <v>60</v>
      </c>
      <c r="CD31" s="69">
        <f t="shared" si="16"/>
        <v>64</v>
      </c>
      <c r="CE31" s="70">
        <f t="shared" si="17"/>
        <v>95</v>
      </c>
      <c r="CF31" s="70">
        <f t="shared" si="18"/>
        <v>100</v>
      </c>
      <c r="CG31" s="70">
        <f t="shared" si="19"/>
        <v>136</v>
      </c>
      <c r="CH31" s="70">
        <f t="shared" si="20"/>
        <v>144</v>
      </c>
      <c r="CI31" s="70">
        <f t="shared" si="21"/>
        <v>176</v>
      </c>
      <c r="CJ31" s="70">
        <f t="shared" si="22"/>
        <v>187</v>
      </c>
      <c r="CK31" s="70">
        <f t="shared" si="23"/>
        <v>220</v>
      </c>
      <c r="CL31" s="70">
        <f t="shared" si="24"/>
        <v>426</v>
      </c>
      <c r="CM31" s="70">
        <f t="shared" si="25"/>
        <v>456</v>
      </c>
      <c r="CN31" s="70">
        <f t="shared" si="26"/>
        <v>469</v>
      </c>
      <c r="CO31" s="57">
        <f t="shared" si="27"/>
        <v>1</v>
      </c>
    </row>
    <row r="32" spans="1:93" x14ac:dyDescent="0.2">
      <c r="A32" s="3" t="str">
        <f t="shared" si="0"/>
        <v>adrb1_melga__wt</v>
      </c>
      <c r="B32" s="3" t="s">
        <v>1108</v>
      </c>
      <c r="C32" s="3" t="s">
        <v>294</v>
      </c>
      <c r="D32" s="3" t="str">
        <f>IFERROR(MID(VLOOKUP($B32,Seqs!$A:$B,2,FALSE),E32,1),"")</f>
        <v>A</v>
      </c>
      <c r="E32" s="3">
        <v>33</v>
      </c>
      <c r="F32" s="3" t="str">
        <f>IFERROR(MID(VLOOKUP($B32,Seqs!$A:$B,2,FALSE),G32,1),"")</f>
        <v>T</v>
      </c>
      <c r="G32" s="3">
        <v>69</v>
      </c>
      <c r="H32" s="3" t="str">
        <f>IFERROR(MID(VLOOKUP($B32,Seqs!$A:$B,2,FALSE),I32,1),"")</f>
        <v>Q</v>
      </c>
      <c r="I32" s="57">
        <v>70</v>
      </c>
      <c r="J32" s="3" t="str">
        <f>IFERROR(MID(VLOOKUP($B32,Seqs!$A:$B,2,FALSE),K32,1),"")</f>
        <v>Q</v>
      </c>
      <c r="K32" s="57">
        <v>73</v>
      </c>
      <c r="L32" s="3" t="str">
        <f>IFERROR(MID(VLOOKUP($B32,Seqs!$A:$B,2,FALSE),M32,1),"")</f>
        <v>T</v>
      </c>
      <c r="M32" s="3">
        <v>74</v>
      </c>
      <c r="N32" s="3" t="str">
        <f>IFERROR(MID(VLOOKUP($B32,Seqs!$A:$B,2,FALSE),O32,1),"")</f>
        <v>R</v>
      </c>
      <c r="O32" s="3">
        <v>104</v>
      </c>
      <c r="P32" s="3" t="str">
        <f>IFERROR(MID(VLOOKUP($B32,Seqs!$A:$B,2,FALSE),Q32,1),"")</f>
        <v>T</v>
      </c>
      <c r="Q32" s="3">
        <v>106</v>
      </c>
      <c r="R32" s="3" t="str">
        <f>IFERROR(MID(VLOOKUP($B32,Seqs!$A:$B,2,FALSE),S32,1),"")</f>
        <v>W</v>
      </c>
      <c r="S32" s="3">
        <v>109</v>
      </c>
      <c r="T32" s="3" t="str">
        <f>IFERROR(MID(VLOOKUP($B32,Seqs!$A:$B,2,FALSE),U32,1),"")</f>
        <v>G</v>
      </c>
      <c r="U32" s="3">
        <v>110</v>
      </c>
      <c r="V32" s="3" t="str">
        <f>IFERROR(MID(VLOOKUP($B32,Seqs!$A:$B,2,FALSE),W32,1),"")</f>
        <v>S</v>
      </c>
      <c r="W32" s="3">
        <v>145</v>
      </c>
      <c r="X32" s="3" t="str">
        <f>IFERROR(MID(VLOOKUP($B32,Seqs!$A:$B,2,FALSE),Y32,1),"")</f>
        <v>P</v>
      </c>
      <c r="Y32" s="3">
        <v>146</v>
      </c>
      <c r="Z32" s="3" t="str">
        <f>IFERROR(MID(VLOOKUP($B32,Seqs!$A:$B,2,FALSE),AA32,1),"")</f>
        <v>M</v>
      </c>
      <c r="AA32" s="3">
        <v>153</v>
      </c>
      <c r="AB32" s="3" t="str">
        <f>IFERROR(MID(VLOOKUP($B32,Seqs!$A:$B,2,FALSE),AC32,1),"")</f>
        <v>R</v>
      </c>
      <c r="AC32" s="3">
        <v>155</v>
      </c>
      <c r="AD32" s="3" t="str">
        <f>IFERROR(MID(VLOOKUP($B32,Seqs!$A:$B,2,FALSE),AE32,1),"")</f>
        <v>H</v>
      </c>
      <c r="AE32" s="3">
        <v>180</v>
      </c>
      <c r="AF32" s="3" t="str">
        <f>IFERROR(MID(VLOOKUP($B32,Seqs!$A:$B,2,FALSE),AG32,1),"")</f>
        <v>C</v>
      </c>
      <c r="AG32" s="3">
        <v>199</v>
      </c>
      <c r="AH32" s="3" t="str">
        <f>IFERROR(MID(VLOOKUP($B32,Seqs!$A:$B,2,FALSE),AI32,1),"")</f>
        <v>F</v>
      </c>
      <c r="AI32" s="3">
        <v>201</v>
      </c>
      <c r="AJ32" s="3" t="str">
        <f>IFERROR(MID(VLOOKUP($B32,Seqs!$A:$B,2,FALSE),AK32,1),"")</f>
        <v>N</v>
      </c>
      <c r="AK32" s="3">
        <v>204</v>
      </c>
      <c r="AL32" s="3" t="str">
        <f>IFERROR(MID(VLOOKUP($B32,Seqs!$A:$B,2,FALSE),AM32,1),"")</f>
        <v>E</v>
      </c>
      <c r="AM32" s="3">
        <v>245</v>
      </c>
      <c r="AN32" s="3" t="str">
        <f>IFERROR(MID(VLOOKUP($B32,Seqs!$A:$B,2,FALSE),AO32,1),"")</f>
        <v>R</v>
      </c>
      <c r="AO32" s="3">
        <v>275</v>
      </c>
      <c r="AP32" s="3" t="str">
        <f>IFERROR(MID(VLOOKUP($B32,Seqs!$A:$B,2,FALSE),AQ32,1),"")</f>
        <v>N</v>
      </c>
      <c r="AQ32" s="3">
        <v>316</v>
      </c>
      <c r="AR32" s="3" t="str">
        <f>IFERROR(MID(VLOOKUP($B32,Seqs!$A:$B,2,FALSE),AS32,1),"")</f>
        <v>P</v>
      </c>
      <c r="AS32" s="3">
        <v>321</v>
      </c>
      <c r="AT32" s="3" t="str">
        <f>IFERROR(MID(VLOOKUP($B32,Seqs!$A:$B,2,FALSE),AU32,1),"")</f>
        <v>R</v>
      </c>
      <c r="AU32" s="3">
        <v>345</v>
      </c>
      <c r="AV32" s="3" t="str">
        <f>IFERROR(MID(VLOOKUP($B32,Seqs!$A:$B,2,FALSE),AW32,1),"")</f>
        <v>S</v>
      </c>
      <c r="AW32" s="3">
        <v>346</v>
      </c>
      <c r="AX32" s="3" t="str">
        <f>IFERROR(MID(VLOOKUP($B32,Seqs!$A:$B,2,FALSE),AY32,1),"")</f>
        <v>C</v>
      </c>
      <c r="AY32" s="3">
        <v>358</v>
      </c>
      <c r="AZ32" s="83" t="str">
        <f>VLOOKUP(B32,Classification!A:D,2,FALSE)</f>
        <v>A</v>
      </c>
      <c r="BA32" s="3" t="s">
        <v>1385</v>
      </c>
      <c r="BB32" s="82">
        <f>S32-Q32+1</f>
        <v>4</v>
      </c>
      <c r="BC32" s="57">
        <f t="shared" si="1"/>
        <v>271</v>
      </c>
      <c r="BD32" s="63" t="b">
        <f t="shared" si="2"/>
        <v>1</v>
      </c>
      <c r="BE32" s="68" t="s">
        <v>1514</v>
      </c>
      <c r="BF32" s="75" t="s">
        <v>1514</v>
      </c>
      <c r="BG32" s="75" t="s">
        <v>1514</v>
      </c>
      <c r="BH32" s="75" t="s">
        <v>1514</v>
      </c>
      <c r="BI32" s="75" t="s">
        <v>1514</v>
      </c>
      <c r="BJ32" s="75" t="s">
        <v>1514</v>
      </c>
      <c r="BK32" s="75" t="s">
        <v>1514</v>
      </c>
      <c r="BL32" s="75" t="s">
        <v>1514</v>
      </c>
      <c r="BM32" s="75" t="s">
        <v>1514</v>
      </c>
      <c r="BN32" s="75" t="s">
        <v>1514</v>
      </c>
      <c r="BO32" s="75" t="s">
        <v>1514</v>
      </c>
      <c r="BP32" s="75" t="s">
        <v>1514</v>
      </c>
      <c r="BQ32" s="68">
        <f t="shared" si="3"/>
        <v>33</v>
      </c>
      <c r="BR32" s="69">
        <f t="shared" si="4"/>
        <v>70</v>
      </c>
      <c r="BS32" s="70">
        <f t="shared" si="5"/>
        <v>74</v>
      </c>
      <c r="BT32" s="69">
        <f t="shared" si="6"/>
        <v>106</v>
      </c>
      <c r="BU32" s="70">
        <f t="shared" si="7"/>
        <v>110</v>
      </c>
      <c r="BV32" s="69">
        <f t="shared" si="8"/>
        <v>146</v>
      </c>
      <c r="BW32" s="70">
        <f t="shared" si="9"/>
        <v>155</v>
      </c>
      <c r="BX32" s="69">
        <f t="shared" si="10"/>
        <v>199</v>
      </c>
      <c r="BY32" s="70">
        <f t="shared" si="11"/>
        <v>204</v>
      </c>
      <c r="BZ32" s="69">
        <f t="shared" si="12"/>
        <v>275</v>
      </c>
      <c r="CA32" s="70">
        <f t="shared" si="13"/>
        <v>321</v>
      </c>
      <c r="CB32" s="69">
        <f t="shared" si="14"/>
        <v>346</v>
      </c>
      <c r="CC32" s="68">
        <f t="shared" si="15"/>
        <v>69</v>
      </c>
      <c r="CD32" s="69">
        <f t="shared" si="16"/>
        <v>73</v>
      </c>
      <c r="CE32" s="70">
        <f t="shared" si="17"/>
        <v>104</v>
      </c>
      <c r="CF32" s="70">
        <f t="shared" si="18"/>
        <v>109</v>
      </c>
      <c r="CG32" s="70">
        <f t="shared" si="19"/>
        <v>145</v>
      </c>
      <c r="CH32" s="70">
        <f t="shared" si="20"/>
        <v>153</v>
      </c>
      <c r="CI32" s="70">
        <f t="shared" si="21"/>
        <v>180</v>
      </c>
      <c r="CJ32" s="70">
        <f t="shared" si="22"/>
        <v>201</v>
      </c>
      <c r="CK32" s="70">
        <f t="shared" si="23"/>
        <v>245</v>
      </c>
      <c r="CL32" s="70">
        <f t="shared" si="24"/>
        <v>316</v>
      </c>
      <c r="CM32" s="70">
        <f t="shared" si="25"/>
        <v>345</v>
      </c>
      <c r="CN32" s="70">
        <f t="shared" si="26"/>
        <v>358</v>
      </c>
      <c r="CO32" s="57">
        <f t="shared" si="27"/>
        <v>1</v>
      </c>
    </row>
    <row r="33" spans="1:93" x14ac:dyDescent="0.2">
      <c r="A33" s="3" t="str">
        <f t="shared" si="0"/>
        <v>adrb1_melga_2Y00</v>
      </c>
      <c r="B33" s="3" t="s">
        <v>1108</v>
      </c>
      <c r="C33" s="3" t="s">
        <v>1229</v>
      </c>
      <c r="D33" s="3" t="str">
        <f>IFERROR(MID(VLOOKUP($B33,Seqs!$A:$B,2,FALSE),E33,1),"")</f>
        <v>A</v>
      </c>
      <c r="E33" s="3">
        <v>33</v>
      </c>
      <c r="F33" s="3" t="str">
        <f>IFERROR(MID(VLOOKUP($B33,Seqs!$A:$B,2,FALSE),G33,1),"")</f>
        <v>T</v>
      </c>
      <c r="G33" s="3">
        <v>69</v>
      </c>
      <c r="H33" s="3" t="str">
        <f>IFERROR(MID(VLOOKUP($B33,Seqs!$A:$B,2,FALSE),I33,1),"")</f>
        <v>Q</v>
      </c>
      <c r="I33" s="57">
        <v>70</v>
      </c>
      <c r="J33" s="3" t="str">
        <f>IFERROR(MID(VLOOKUP($B33,Seqs!$A:$B,2,FALSE),K33,1),"")</f>
        <v>Q</v>
      </c>
      <c r="K33" s="57">
        <v>73</v>
      </c>
      <c r="L33" s="3" t="str">
        <f>IFERROR(MID(VLOOKUP($B33,Seqs!$A:$B,2,FALSE),M33,1),"")</f>
        <v>T</v>
      </c>
      <c r="M33" s="3">
        <v>74</v>
      </c>
      <c r="N33" s="3" t="str">
        <f>IFERROR(MID(VLOOKUP($B33,Seqs!$A:$B,2,FALSE),O33,1),"")</f>
        <v>R</v>
      </c>
      <c r="O33" s="3">
        <v>104</v>
      </c>
      <c r="P33" s="3" t="str">
        <f>IFERROR(MID(VLOOKUP($B33,Seqs!$A:$B,2,FALSE),Q33,1),"")</f>
        <v>T</v>
      </c>
      <c r="Q33" s="3">
        <v>106</v>
      </c>
      <c r="R33" s="3" t="str">
        <f>IFERROR(MID(VLOOKUP($B33,Seqs!$A:$B,2,FALSE),S33,1),"")</f>
        <v>W</v>
      </c>
      <c r="S33" s="3">
        <v>109</v>
      </c>
      <c r="T33" s="3" t="str">
        <f>IFERROR(MID(VLOOKUP($B33,Seqs!$A:$B,2,FALSE),U33,1),"")</f>
        <v>G</v>
      </c>
      <c r="U33" s="3">
        <v>110</v>
      </c>
      <c r="V33" s="3" t="str">
        <f>IFERROR(MID(VLOOKUP($B33,Seqs!$A:$B,2,FALSE),W33,1),"")</f>
        <v>S</v>
      </c>
      <c r="W33" s="3">
        <v>145</v>
      </c>
      <c r="X33" s="3" t="str">
        <f>IFERROR(MID(VLOOKUP($B33,Seqs!$A:$B,2,FALSE),Y33,1),"")</f>
        <v>P</v>
      </c>
      <c r="Y33" s="3">
        <v>146</v>
      </c>
      <c r="Z33" s="3" t="str">
        <f>IFERROR(MID(VLOOKUP($B33,Seqs!$A:$B,2,FALSE),AA33,1),"")</f>
        <v>M</v>
      </c>
      <c r="AA33" s="3">
        <v>153</v>
      </c>
      <c r="AB33" s="3" t="str">
        <f>IFERROR(MID(VLOOKUP($B33,Seqs!$A:$B,2,FALSE),AC33,1),"")</f>
        <v>R</v>
      </c>
      <c r="AC33" s="3">
        <v>155</v>
      </c>
      <c r="AD33" s="3" t="str">
        <f>IFERROR(MID(VLOOKUP($B33,Seqs!$A:$B,2,FALSE),AE33,1),"")</f>
        <v>H</v>
      </c>
      <c r="AE33" s="3">
        <v>180</v>
      </c>
      <c r="AF33" s="3" t="str">
        <f>IFERROR(MID(VLOOKUP($B33,Seqs!$A:$B,2,FALSE),AG33,1),"")</f>
        <v>C</v>
      </c>
      <c r="AG33" s="3">
        <v>199</v>
      </c>
      <c r="AH33" s="3" t="str">
        <f>IFERROR(MID(VLOOKUP($B33,Seqs!$A:$B,2,FALSE),AI33,1),"")</f>
        <v>F</v>
      </c>
      <c r="AI33" s="3">
        <v>201</v>
      </c>
      <c r="AJ33" s="3" t="str">
        <f>IFERROR(MID(VLOOKUP($B33,Seqs!$A:$B,2,FALSE),AK33,1),"")</f>
        <v>N</v>
      </c>
      <c r="AK33" s="3">
        <v>204</v>
      </c>
      <c r="AL33" s="3" t="str">
        <f>IFERROR(MID(VLOOKUP($B33,Seqs!$A:$B,2,FALSE),AM33,1),"")</f>
        <v>I</v>
      </c>
      <c r="AM33" s="3">
        <v>238</v>
      </c>
      <c r="AN33" s="3" t="str">
        <f>IFERROR(MID(VLOOKUP($B33,Seqs!$A:$B,2,FALSE),AO33,1),"")</f>
        <v>R</v>
      </c>
      <c r="AO33" s="3">
        <v>275</v>
      </c>
      <c r="AP33" s="3" t="str">
        <f>IFERROR(MID(VLOOKUP($B33,Seqs!$A:$B,2,FALSE),AQ33,1),"")</f>
        <v>N</v>
      </c>
      <c r="AQ33" s="3">
        <v>316</v>
      </c>
      <c r="AR33" s="3" t="str">
        <f>IFERROR(MID(VLOOKUP($B33,Seqs!$A:$B,2,FALSE),AS33,1),"")</f>
        <v>P</v>
      </c>
      <c r="AS33" s="3">
        <v>321</v>
      </c>
      <c r="AT33" s="3" t="str">
        <f>IFERROR(MID(VLOOKUP($B33,Seqs!$A:$B,2,FALSE),AU33,1),"")</f>
        <v>R</v>
      </c>
      <c r="AU33" s="3">
        <v>345</v>
      </c>
      <c r="AV33" s="3" t="str">
        <f>IFERROR(MID(VLOOKUP($B33,Seqs!$A:$B,2,FALSE),AW33,1),"")</f>
        <v>S</v>
      </c>
      <c r="AW33" s="3">
        <v>346</v>
      </c>
      <c r="AX33" s="3" t="str">
        <f>IFERROR(MID(VLOOKUP($B33,Seqs!$A:$B,2,FALSE),AY33,1),"")</f>
        <v>C</v>
      </c>
      <c r="AY33" s="3">
        <v>358</v>
      </c>
      <c r="AZ33" s="83" t="str">
        <f>VLOOKUP(B33,Classification!A:D,2,FALSE)</f>
        <v>A</v>
      </c>
      <c r="BC33" s="57">
        <f t="shared" si="1"/>
        <v>264</v>
      </c>
      <c r="BD33" s="63" t="b">
        <f t="shared" si="2"/>
        <v>1</v>
      </c>
      <c r="BE33" s="68" t="s">
        <v>1514</v>
      </c>
      <c r="BF33" s="75" t="s">
        <v>1514</v>
      </c>
      <c r="BG33" s="75" t="s">
        <v>1514</v>
      </c>
      <c r="BH33" s="75" t="s">
        <v>1514</v>
      </c>
      <c r="BI33" s="75" t="s">
        <v>1514</v>
      </c>
      <c r="BJ33" s="75" t="s">
        <v>1514</v>
      </c>
      <c r="BK33" s="75" t="s">
        <v>1514</v>
      </c>
      <c r="BL33" s="75" t="s">
        <v>1514</v>
      </c>
      <c r="BM33" s="75" t="s">
        <v>1514</v>
      </c>
      <c r="BN33" s="75" t="s">
        <v>1514</v>
      </c>
      <c r="BO33" s="75" t="s">
        <v>1514</v>
      </c>
      <c r="BP33" s="75" t="s">
        <v>1514</v>
      </c>
      <c r="BQ33" s="68">
        <f t="shared" si="3"/>
        <v>33</v>
      </c>
      <c r="BR33" s="69">
        <f t="shared" si="4"/>
        <v>70</v>
      </c>
      <c r="BS33" s="70">
        <f t="shared" si="5"/>
        <v>74</v>
      </c>
      <c r="BT33" s="69">
        <f t="shared" si="6"/>
        <v>106</v>
      </c>
      <c r="BU33" s="70">
        <f t="shared" si="7"/>
        <v>110</v>
      </c>
      <c r="BV33" s="69">
        <f t="shared" si="8"/>
        <v>146</v>
      </c>
      <c r="BW33" s="70">
        <f t="shared" si="9"/>
        <v>155</v>
      </c>
      <c r="BX33" s="69">
        <f t="shared" si="10"/>
        <v>199</v>
      </c>
      <c r="BY33" s="70">
        <f t="shared" si="11"/>
        <v>204</v>
      </c>
      <c r="BZ33" s="69">
        <f t="shared" si="12"/>
        <v>275</v>
      </c>
      <c r="CA33" s="70">
        <f t="shared" si="13"/>
        <v>321</v>
      </c>
      <c r="CB33" s="69">
        <f t="shared" si="14"/>
        <v>346</v>
      </c>
      <c r="CC33" s="68">
        <f t="shared" si="15"/>
        <v>69</v>
      </c>
      <c r="CD33" s="69">
        <f t="shared" si="16"/>
        <v>73</v>
      </c>
      <c r="CE33" s="70">
        <f t="shared" si="17"/>
        <v>104</v>
      </c>
      <c r="CF33" s="70">
        <f t="shared" si="18"/>
        <v>109</v>
      </c>
      <c r="CG33" s="70">
        <f t="shared" si="19"/>
        <v>145</v>
      </c>
      <c r="CH33" s="70">
        <f t="shared" si="20"/>
        <v>153</v>
      </c>
      <c r="CI33" s="70">
        <f t="shared" si="21"/>
        <v>180</v>
      </c>
      <c r="CJ33" s="70">
        <f t="shared" si="22"/>
        <v>201</v>
      </c>
      <c r="CK33" s="70">
        <f t="shared" si="23"/>
        <v>238</v>
      </c>
      <c r="CL33" s="70">
        <f t="shared" si="24"/>
        <v>316</v>
      </c>
      <c r="CM33" s="70">
        <f t="shared" si="25"/>
        <v>345</v>
      </c>
      <c r="CN33" s="70">
        <f t="shared" si="26"/>
        <v>358</v>
      </c>
      <c r="CO33" s="57">
        <f t="shared" si="27"/>
        <v>1</v>
      </c>
    </row>
    <row r="34" spans="1:93" x14ac:dyDescent="0.2">
      <c r="A34" s="3" t="str">
        <f t="shared" si="0"/>
        <v>adrb1_melga_2Y02</v>
      </c>
      <c r="B34" s="3" t="s">
        <v>1108</v>
      </c>
      <c r="C34" s="3" t="s">
        <v>1230</v>
      </c>
      <c r="D34" s="3" t="str">
        <f>IFERROR(MID(VLOOKUP($B34,Seqs!$A:$B,2,FALSE),E34,1),"")</f>
        <v>A</v>
      </c>
      <c r="E34" s="3">
        <v>33</v>
      </c>
      <c r="F34" s="3" t="str">
        <f>IFERROR(MID(VLOOKUP($B34,Seqs!$A:$B,2,FALSE),G34,1),"")</f>
        <v>T</v>
      </c>
      <c r="G34" s="3">
        <v>69</v>
      </c>
      <c r="H34" s="3" t="str">
        <f>IFERROR(MID(VLOOKUP($B34,Seqs!$A:$B,2,FALSE),I34,1),"")</f>
        <v>Q</v>
      </c>
      <c r="I34" s="57">
        <v>70</v>
      </c>
      <c r="J34" s="3" t="str">
        <f>IFERROR(MID(VLOOKUP($B34,Seqs!$A:$B,2,FALSE),K34,1),"")</f>
        <v>Q</v>
      </c>
      <c r="K34" s="57">
        <v>73</v>
      </c>
      <c r="L34" s="3" t="str">
        <f>IFERROR(MID(VLOOKUP($B34,Seqs!$A:$B,2,FALSE),M34,1),"")</f>
        <v>T</v>
      </c>
      <c r="M34" s="3">
        <v>74</v>
      </c>
      <c r="N34" s="3" t="str">
        <f>IFERROR(MID(VLOOKUP($B34,Seqs!$A:$B,2,FALSE),O34,1),"")</f>
        <v>R</v>
      </c>
      <c r="O34" s="3">
        <v>104</v>
      </c>
      <c r="P34" s="3" t="str">
        <f>IFERROR(MID(VLOOKUP($B34,Seqs!$A:$B,2,FALSE),Q34,1),"")</f>
        <v>T</v>
      </c>
      <c r="Q34" s="3">
        <v>106</v>
      </c>
      <c r="R34" s="3" t="str">
        <f>IFERROR(MID(VLOOKUP($B34,Seqs!$A:$B,2,FALSE),S34,1),"")</f>
        <v>W</v>
      </c>
      <c r="S34" s="3">
        <v>109</v>
      </c>
      <c r="T34" s="3" t="str">
        <f>IFERROR(MID(VLOOKUP($B34,Seqs!$A:$B,2,FALSE),U34,1),"")</f>
        <v>G</v>
      </c>
      <c r="U34" s="3">
        <v>110</v>
      </c>
      <c r="V34" s="3" t="str">
        <f>IFERROR(MID(VLOOKUP($B34,Seqs!$A:$B,2,FALSE),W34,1),"")</f>
        <v>S</v>
      </c>
      <c r="W34" s="3">
        <v>145</v>
      </c>
      <c r="X34" s="3" t="str">
        <f>IFERROR(MID(VLOOKUP($B34,Seqs!$A:$B,2,FALSE),Y34,1),"")</f>
        <v>P</v>
      </c>
      <c r="Y34" s="3">
        <v>146</v>
      </c>
      <c r="Z34" s="3" t="str">
        <f>IFERROR(MID(VLOOKUP($B34,Seqs!$A:$B,2,FALSE),AA34,1),"")</f>
        <v>M</v>
      </c>
      <c r="AA34" s="3">
        <v>153</v>
      </c>
      <c r="AB34" s="3" t="str">
        <f>IFERROR(MID(VLOOKUP($B34,Seqs!$A:$B,2,FALSE),AC34,1),"")</f>
        <v>R</v>
      </c>
      <c r="AC34" s="3">
        <v>155</v>
      </c>
      <c r="AD34" s="3" t="str">
        <f>IFERROR(MID(VLOOKUP($B34,Seqs!$A:$B,2,FALSE),AE34,1),"")</f>
        <v>H</v>
      </c>
      <c r="AE34" s="3">
        <v>180</v>
      </c>
      <c r="AF34" s="3" t="str">
        <f>IFERROR(MID(VLOOKUP($B34,Seqs!$A:$B,2,FALSE),AG34,1),"")</f>
        <v>C</v>
      </c>
      <c r="AG34" s="3">
        <v>199</v>
      </c>
      <c r="AH34" s="3" t="str">
        <f>IFERROR(MID(VLOOKUP($B34,Seqs!$A:$B,2,FALSE),AI34,1),"")</f>
        <v>F</v>
      </c>
      <c r="AI34" s="3">
        <v>201</v>
      </c>
      <c r="AJ34" s="3" t="str">
        <f>IFERROR(MID(VLOOKUP($B34,Seqs!$A:$B,2,FALSE),AK34,1),"")</f>
        <v>N</v>
      </c>
      <c r="AK34" s="3">
        <v>204</v>
      </c>
      <c r="AL34" s="3" t="str">
        <f>IFERROR(MID(VLOOKUP($B34,Seqs!$A:$B,2,FALSE),AM34,1),"")</f>
        <v>I</v>
      </c>
      <c r="AM34" s="3">
        <v>238</v>
      </c>
      <c r="AN34" s="3" t="str">
        <f>IFERROR(MID(VLOOKUP($B34,Seqs!$A:$B,2,FALSE),AO34,1),"")</f>
        <v>R</v>
      </c>
      <c r="AO34" s="3">
        <v>275</v>
      </c>
      <c r="AP34" s="3" t="str">
        <f>IFERROR(MID(VLOOKUP($B34,Seqs!$A:$B,2,FALSE),AQ34,1),"")</f>
        <v>N</v>
      </c>
      <c r="AQ34" s="3">
        <v>316</v>
      </c>
      <c r="AR34" s="3" t="str">
        <f>IFERROR(MID(VLOOKUP($B34,Seqs!$A:$B,2,FALSE),AS34,1),"")</f>
        <v>P</v>
      </c>
      <c r="AS34" s="3">
        <v>321</v>
      </c>
      <c r="AT34" s="3" t="str">
        <f>IFERROR(MID(VLOOKUP($B34,Seqs!$A:$B,2,FALSE),AU34,1),"")</f>
        <v>R</v>
      </c>
      <c r="AU34" s="3">
        <v>345</v>
      </c>
      <c r="AV34" s="3" t="str">
        <f>IFERROR(MID(VLOOKUP($B34,Seqs!$A:$B,2,FALSE),AW34,1),"")</f>
        <v>S</v>
      </c>
      <c r="AW34" s="3">
        <v>346</v>
      </c>
      <c r="AX34" s="3" t="str">
        <f>IFERROR(MID(VLOOKUP($B34,Seqs!$A:$B,2,FALSE),AY34,1),"")</f>
        <v>C</v>
      </c>
      <c r="AY34" s="3">
        <v>358</v>
      </c>
      <c r="AZ34" s="83" t="str">
        <f>VLOOKUP(B34,Classification!A:D,2,FALSE)</f>
        <v>A</v>
      </c>
      <c r="BC34" s="57">
        <f t="shared" si="1"/>
        <v>264</v>
      </c>
      <c r="BD34" s="63" t="b">
        <f t="shared" si="2"/>
        <v>1</v>
      </c>
      <c r="BE34" s="68" t="s">
        <v>1514</v>
      </c>
      <c r="BF34" s="75" t="s">
        <v>1514</v>
      </c>
      <c r="BG34" s="75" t="s">
        <v>1514</v>
      </c>
      <c r="BH34" s="75" t="s">
        <v>1514</v>
      </c>
      <c r="BI34" s="75" t="s">
        <v>1514</v>
      </c>
      <c r="BJ34" s="75" t="s">
        <v>1514</v>
      </c>
      <c r="BK34" s="75" t="s">
        <v>1514</v>
      </c>
      <c r="BL34" s="75" t="s">
        <v>1514</v>
      </c>
      <c r="BM34" s="75" t="s">
        <v>1514</v>
      </c>
      <c r="BN34" s="75" t="s">
        <v>1514</v>
      </c>
      <c r="BO34" s="75" t="s">
        <v>1514</v>
      </c>
      <c r="BP34" s="75" t="s">
        <v>1514</v>
      </c>
      <c r="BQ34" s="68">
        <f t="shared" si="3"/>
        <v>33</v>
      </c>
      <c r="BR34" s="69">
        <f t="shared" si="4"/>
        <v>70</v>
      </c>
      <c r="BS34" s="70">
        <f t="shared" si="5"/>
        <v>74</v>
      </c>
      <c r="BT34" s="69">
        <f t="shared" si="6"/>
        <v>106</v>
      </c>
      <c r="BU34" s="70">
        <f t="shared" si="7"/>
        <v>110</v>
      </c>
      <c r="BV34" s="69">
        <f t="shared" si="8"/>
        <v>146</v>
      </c>
      <c r="BW34" s="70">
        <f t="shared" si="9"/>
        <v>155</v>
      </c>
      <c r="BX34" s="69">
        <f t="shared" si="10"/>
        <v>199</v>
      </c>
      <c r="BY34" s="70">
        <f t="shared" si="11"/>
        <v>204</v>
      </c>
      <c r="BZ34" s="69">
        <f t="shared" si="12"/>
        <v>275</v>
      </c>
      <c r="CA34" s="70">
        <f t="shared" si="13"/>
        <v>321</v>
      </c>
      <c r="CB34" s="69">
        <f t="shared" si="14"/>
        <v>346</v>
      </c>
      <c r="CC34" s="68">
        <f t="shared" si="15"/>
        <v>69</v>
      </c>
      <c r="CD34" s="69">
        <f t="shared" si="16"/>
        <v>73</v>
      </c>
      <c r="CE34" s="70">
        <f t="shared" si="17"/>
        <v>104</v>
      </c>
      <c r="CF34" s="70">
        <f t="shared" si="18"/>
        <v>109</v>
      </c>
      <c r="CG34" s="70">
        <f t="shared" si="19"/>
        <v>145</v>
      </c>
      <c r="CH34" s="70">
        <f t="shared" si="20"/>
        <v>153</v>
      </c>
      <c r="CI34" s="70">
        <f t="shared" si="21"/>
        <v>180</v>
      </c>
      <c r="CJ34" s="70">
        <f t="shared" si="22"/>
        <v>201</v>
      </c>
      <c r="CK34" s="70">
        <f t="shared" si="23"/>
        <v>238</v>
      </c>
      <c r="CL34" s="70">
        <f t="shared" si="24"/>
        <v>316</v>
      </c>
      <c r="CM34" s="70">
        <f t="shared" si="25"/>
        <v>345</v>
      </c>
      <c r="CN34" s="70">
        <f t="shared" si="26"/>
        <v>358</v>
      </c>
      <c r="CO34" s="57">
        <f t="shared" si="27"/>
        <v>1</v>
      </c>
    </row>
    <row r="35" spans="1:93" x14ac:dyDescent="0.2">
      <c r="A35" s="3" t="str">
        <f t="shared" si="0"/>
        <v>adrb1_melga_2Y03</v>
      </c>
      <c r="B35" s="3" t="s">
        <v>1108</v>
      </c>
      <c r="C35" s="3" t="s">
        <v>1231</v>
      </c>
      <c r="D35" s="3" t="str">
        <f>IFERROR(MID(VLOOKUP($B35,Seqs!$A:$B,2,FALSE),E35,1),"")</f>
        <v>A</v>
      </c>
      <c r="E35" s="3">
        <v>33</v>
      </c>
      <c r="F35" s="3" t="str">
        <f>IFERROR(MID(VLOOKUP($B35,Seqs!$A:$B,2,FALSE),G35,1),"")</f>
        <v>T</v>
      </c>
      <c r="G35" s="3">
        <v>69</v>
      </c>
      <c r="H35" s="3" t="str">
        <f>IFERROR(MID(VLOOKUP($B35,Seqs!$A:$B,2,FALSE),I35,1),"")</f>
        <v>Q</v>
      </c>
      <c r="I35" s="57">
        <v>70</v>
      </c>
      <c r="J35" s="3" t="str">
        <f>IFERROR(MID(VLOOKUP($B35,Seqs!$A:$B,2,FALSE),K35,1),"")</f>
        <v>Q</v>
      </c>
      <c r="K35" s="57">
        <v>73</v>
      </c>
      <c r="L35" s="3" t="str">
        <f>IFERROR(MID(VLOOKUP($B35,Seqs!$A:$B,2,FALSE),M35,1),"")</f>
        <v>T</v>
      </c>
      <c r="M35" s="3">
        <v>74</v>
      </c>
      <c r="N35" s="3" t="str">
        <f>IFERROR(MID(VLOOKUP($B35,Seqs!$A:$B,2,FALSE),O35,1),"")</f>
        <v>R</v>
      </c>
      <c r="O35" s="3">
        <v>104</v>
      </c>
      <c r="P35" s="3" t="str">
        <f>IFERROR(MID(VLOOKUP($B35,Seqs!$A:$B,2,FALSE),Q35,1),"")</f>
        <v>T</v>
      </c>
      <c r="Q35" s="3">
        <v>106</v>
      </c>
      <c r="R35" s="3" t="str">
        <f>IFERROR(MID(VLOOKUP($B35,Seqs!$A:$B,2,FALSE),S35,1),"")</f>
        <v>W</v>
      </c>
      <c r="S35" s="3">
        <v>109</v>
      </c>
      <c r="T35" s="3" t="str">
        <f>IFERROR(MID(VLOOKUP($B35,Seqs!$A:$B,2,FALSE),U35,1),"")</f>
        <v>G</v>
      </c>
      <c r="U35" s="3">
        <v>110</v>
      </c>
      <c r="V35" s="3" t="str">
        <f>IFERROR(MID(VLOOKUP($B35,Seqs!$A:$B,2,FALSE),W35,1),"")</f>
        <v>S</v>
      </c>
      <c r="W35" s="3">
        <v>145</v>
      </c>
      <c r="X35" s="3" t="str">
        <f>IFERROR(MID(VLOOKUP($B35,Seqs!$A:$B,2,FALSE),Y35,1),"")</f>
        <v>P</v>
      </c>
      <c r="Y35" s="3">
        <v>146</v>
      </c>
      <c r="Z35" s="3" t="str">
        <f>IFERROR(MID(VLOOKUP($B35,Seqs!$A:$B,2,FALSE),AA35,1),"")</f>
        <v>M</v>
      </c>
      <c r="AA35" s="3">
        <v>153</v>
      </c>
      <c r="AB35" s="3" t="str">
        <f>IFERROR(MID(VLOOKUP($B35,Seqs!$A:$B,2,FALSE),AC35,1),"")</f>
        <v>R</v>
      </c>
      <c r="AC35" s="3">
        <v>155</v>
      </c>
      <c r="AD35" s="3" t="str">
        <f>IFERROR(MID(VLOOKUP($B35,Seqs!$A:$B,2,FALSE),AE35,1),"")</f>
        <v>H</v>
      </c>
      <c r="AE35" s="3">
        <v>180</v>
      </c>
      <c r="AF35" s="3" t="str">
        <f>IFERROR(MID(VLOOKUP($B35,Seqs!$A:$B,2,FALSE),AG35,1),"")</f>
        <v>C</v>
      </c>
      <c r="AG35" s="3">
        <v>199</v>
      </c>
      <c r="AH35" s="3" t="str">
        <f>IFERROR(MID(VLOOKUP($B35,Seqs!$A:$B,2,FALSE),AI35,1),"")</f>
        <v>F</v>
      </c>
      <c r="AI35" s="3">
        <v>201</v>
      </c>
      <c r="AJ35" s="3" t="str">
        <f>IFERROR(MID(VLOOKUP($B35,Seqs!$A:$B,2,FALSE),AK35,1),"")</f>
        <v>N</v>
      </c>
      <c r="AK35" s="3">
        <v>204</v>
      </c>
      <c r="AL35" s="3" t="str">
        <f>IFERROR(MID(VLOOKUP($B35,Seqs!$A:$B,2,FALSE),AM35,1),"")</f>
        <v>I</v>
      </c>
      <c r="AM35" s="3">
        <v>238</v>
      </c>
      <c r="AN35" s="3" t="str">
        <f>IFERROR(MID(VLOOKUP($B35,Seqs!$A:$B,2,FALSE),AO35,1),"")</f>
        <v>R</v>
      </c>
      <c r="AO35" s="3">
        <v>275</v>
      </c>
      <c r="AP35" s="3" t="str">
        <f>IFERROR(MID(VLOOKUP($B35,Seqs!$A:$B,2,FALSE),AQ35,1),"")</f>
        <v>N</v>
      </c>
      <c r="AQ35" s="3">
        <v>316</v>
      </c>
      <c r="AR35" s="3" t="str">
        <f>IFERROR(MID(VLOOKUP($B35,Seqs!$A:$B,2,FALSE),AS35,1),"")</f>
        <v>P</v>
      </c>
      <c r="AS35" s="3">
        <v>321</v>
      </c>
      <c r="AT35" s="3" t="str">
        <f>IFERROR(MID(VLOOKUP($B35,Seqs!$A:$B,2,FALSE),AU35,1),"")</f>
        <v>R</v>
      </c>
      <c r="AU35" s="3">
        <v>345</v>
      </c>
      <c r="AV35" s="3" t="str">
        <f>IFERROR(MID(VLOOKUP($B35,Seqs!$A:$B,2,FALSE),AW35,1),"")</f>
        <v>S</v>
      </c>
      <c r="AW35" s="3">
        <v>346</v>
      </c>
      <c r="AX35" s="3" t="str">
        <f>IFERROR(MID(VLOOKUP($B35,Seqs!$A:$B,2,FALSE),AY35,1),"")</f>
        <v>C</v>
      </c>
      <c r="AY35" s="3">
        <v>358</v>
      </c>
      <c r="AZ35" s="83" t="str">
        <f>VLOOKUP(B35,Classification!A:D,2,FALSE)</f>
        <v>A</v>
      </c>
      <c r="BC35" s="57">
        <f t="shared" si="1"/>
        <v>264</v>
      </c>
      <c r="BD35" s="63" t="b">
        <f t="shared" si="2"/>
        <v>1</v>
      </c>
      <c r="BE35" s="68" t="s">
        <v>1514</v>
      </c>
      <c r="BF35" s="75" t="s">
        <v>1514</v>
      </c>
      <c r="BG35" s="75" t="s">
        <v>1514</v>
      </c>
      <c r="BH35" s="75" t="s">
        <v>1514</v>
      </c>
      <c r="BI35" s="75" t="s">
        <v>1514</v>
      </c>
      <c r="BJ35" s="75" t="s">
        <v>1514</v>
      </c>
      <c r="BK35" s="75" t="s">
        <v>1514</v>
      </c>
      <c r="BL35" s="75" t="s">
        <v>1514</v>
      </c>
      <c r="BM35" s="75" t="s">
        <v>1514</v>
      </c>
      <c r="BN35" s="75" t="s">
        <v>1514</v>
      </c>
      <c r="BO35" s="75" t="s">
        <v>1514</v>
      </c>
      <c r="BP35" s="75" t="s">
        <v>1514</v>
      </c>
      <c r="BQ35" s="68">
        <f t="shared" ref="BQ35:BQ66" si="62">E35</f>
        <v>33</v>
      </c>
      <c r="BR35" s="69">
        <f t="shared" ref="BR35:BR66" si="63">I35</f>
        <v>70</v>
      </c>
      <c r="BS35" s="70">
        <f t="shared" ref="BS35:BS66" si="64">M35</f>
        <v>74</v>
      </c>
      <c r="BT35" s="69">
        <f t="shared" ref="BT35:BT66" si="65">Q35</f>
        <v>106</v>
      </c>
      <c r="BU35" s="70">
        <f t="shared" ref="BU35:BU66" si="66">U35</f>
        <v>110</v>
      </c>
      <c r="BV35" s="69">
        <f t="shared" ref="BV35:BV66" si="67">Y35</f>
        <v>146</v>
      </c>
      <c r="BW35" s="70">
        <f t="shared" ref="BW35:BW66" si="68">AC35</f>
        <v>155</v>
      </c>
      <c r="BX35" s="69">
        <f t="shared" ref="BX35:BX66" si="69">AG35</f>
        <v>199</v>
      </c>
      <c r="BY35" s="70">
        <f t="shared" ref="BY35:BY66" si="70">AK35</f>
        <v>204</v>
      </c>
      <c r="BZ35" s="69">
        <f t="shared" ref="BZ35:BZ66" si="71">AO35</f>
        <v>275</v>
      </c>
      <c r="CA35" s="70">
        <f t="shared" ref="CA35:CA66" si="72">AS35</f>
        <v>321</v>
      </c>
      <c r="CB35" s="69">
        <f t="shared" ref="CB35:CB66" si="73">AW35</f>
        <v>346</v>
      </c>
      <c r="CC35" s="68">
        <f t="shared" ref="CC35:CC66" si="74">G35</f>
        <v>69</v>
      </c>
      <c r="CD35" s="69">
        <f t="shared" ref="CD35:CD66" si="75">K35</f>
        <v>73</v>
      </c>
      <c r="CE35" s="70">
        <f t="shared" ref="CE35:CE66" si="76">O35</f>
        <v>104</v>
      </c>
      <c r="CF35" s="70">
        <f t="shared" ref="CF35:CF66" si="77">S35</f>
        <v>109</v>
      </c>
      <c r="CG35" s="70">
        <f t="shared" ref="CG35:CG66" si="78">W35</f>
        <v>145</v>
      </c>
      <c r="CH35" s="70">
        <f t="shared" ref="CH35:CH66" si="79">AA35</f>
        <v>153</v>
      </c>
      <c r="CI35" s="70">
        <f t="shared" ref="CI35:CI66" si="80">AE35</f>
        <v>180</v>
      </c>
      <c r="CJ35" s="70">
        <f t="shared" ref="CJ35:CJ66" si="81">AI35</f>
        <v>201</v>
      </c>
      <c r="CK35" s="70">
        <f t="shared" ref="CK35:CK66" si="82">AM35</f>
        <v>238</v>
      </c>
      <c r="CL35" s="70">
        <f t="shared" ref="CL35:CL66" si="83">AQ35</f>
        <v>316</v>
      </c>
      <c r="CM35" s="70">
        <f t="shared" ref="CM35:CM66" si="84">AU35</f>
        <v>345</v>
      </c>
      <c r="CN35" s="70">
        <f t="shared" ref="CN35:CN66" si="85">AY35</f>
        <v>358</v>
      </c>
      <c r="CO35" s="57">
        <f t="shared" ref="CO35:CO66" si="86">M35-K35</f>
        <v>1</v>
      </c>
    </row>
    <row r="36" spans="1:93" x14ac:dyDescent="0.2">
      <c r="A36" s="3" t="str">
        <f t="shared" si="0"/>
        <v>adrb1_melga_2Y04</v>
      </c>
      <c r="B36" s="3" t="s">
        <v>1108</v>
      </c>
      <c r="C36" s="3" t="s">
        <v>1232</v>
      </c>
      <c r="D36" s="3" t="str">
        <f>IFERROR(MID(VLOOKUP($B36,Seqs!$A:$B,2,FALSE),E36,1),"")</f>
        <v>A</v>
      </c>
      <c r="E36" s="3">
        <v>33</v>
      </c>
      <c r="F36" s="3" t="str">
        <f>IFERROR(MID(VLOOKUP($B36,Seqs!$A:$B,2,FALSE),G36,1),"")</f>
        <v>T</v>
      </c>
      <c r="G36" s="3">
        <v>69</v>
      </c>
      <c r="H36" s="3" t="str">
        <f>IFERROR(MID(VLOOKUP($B36,Seqs!$A:$B,2,FALSE),I36,1),"")</f>
        <v>Q</v>
      </c>
      <c r="I36" s="57">
        <v>70</v>
      </c>
      <c r="J36" s="3" t="str">
        <f>IFERROR(MID(VLOOKUP($B36,Seqs!$A:$B,2,FALSE),K36,1),"")</f>
        <v>Q</v>
      </c>
      <c r="K36" s="57">
        <v>73</v>
      </c>
      <c r="L36" s="3" t="str">
        <f>IFERROR(MID(VLOOKUP($B36,Seqs!$A:$B,2,FALSE),M36,1),"")</f>
        <v>T</v>
      </c>
      <c r="M36" s="3">
        <v>74</v>
      </c>
      <c r="N36" s="3" t="str">
        <f>IFERROR(MID(VLOOKUP($B36,Seqs!$A:$B,2,FALSE),O36,1),"")</f>
        <v>R</v>
      </c>
      <c r="O36" s="3">
        <v>104</v>
      </c>
      <c r="P36" s="3" t="str">
        <f>IFERROR(MID(VLOOKUP($B36,Seqs!$A:$B,2,FALSE),Q36,1),"")</f>
        <v>T</v>
      </c>
      <c r="Q36" s="3">
        <v>106</v>
      </c>
      <c r="R36" s="3" t="str">
        <f>IFERROR(MID(VLOOKUP($B36,Seqs!$A:$B,2,FALSE),S36,1),"")</f>
        <v>W</v>
      </c>
      <c r="S36" s="3">
        <v>109</v>
      </c>
      <c r="T36" s="3" t="str">
        <f>IFERROR(MID(VLOOKUP($B36,Seqs!$A:$B,2,FALSE),U36,1),"")</f>
        <v>G</v>
      </c>
      <c r="U36" s="3">
        <v>110</v>
      </c>
      <c r="V36" s="3" t="str">
        <f>IFERROR(MID(VLOOKUP($B36,Seqs!$A:$B,2,FALSE),W36,1),"")</f>
        <v>S</v>
      </c>
      <c r="W36" s="3">
        <v>145</v>
      </c>
      <c r="X36" s="3" t="str">
        <f>IFERROR(MID(VLOOKUP($B36,Seqs!$A:$B,2,FALSE),Y36,1),"")</f>
        <v>P</v>
      </c>
      <c r="Y36" s="3">
        <v>146</v>
      </c>
      <c r="Z36" s="3" t="str">
        <f>IFERROR(MID(VLOOKUP($B36,Seqs!$A:$B,2,FALSE),AA36,1),"")</f>
        <v>M</v>
      </c>
      <c r="AA36" s="3">
        <v>153</v>
      </c>
      <c r="AB36" s="3" t="str">
        <f>IFERROR(MID(VLOOKUP($B36,Seqs!$A:$B,2,FALSE),AC36,1),"")</f>
        <v>R</v>
      </c>
      <c r="AC36" s="3">
        <v>155</v>
      </c>
      <c r="AD36" s="3" t="str">
        <f>IFERROR(MID(VLOOKUP($B36,Seqs!$A:$B,2,FALSE),AE36,1),"")</f>
        <v>H</v>
      </c>
      <c r="AE36" s="3">
        <v>180</v>
      </c>
      <c r="AF36" s="3" t="str">
        <f>IFERROR(MID(VLOOKUP($B36,Seqs!$A:$B,2,FALSE),AG36,1),"")</f>
        <v>C</v>
      </c>
      <c r="AG36" s="3">
        <v>199</v>
      </c>
      <c r="AH36" s="3" t="str">
        <f>IFERROR(MID(VLOOKUP($B36,Seqs!$A:$B,2,FALSE),AI36,1),"")</f>
        <v>F</v>
      </c>
      <c r="AI36" s="3">
        <v>201</v>
      </c>
      <c r="AJ36" s="3" t="str">
        <f>IFERROR(MID(VLOOKUP($B36,Seqs!$A:$B,2,FALSE),AK36,1),"")</f>
        <v>N</v>
      </c>
      <c r="AK36" s="3">
        <v>204</v>
      </c>
      <c r="AL36" s="3" t="str">
        <f>IFERROR(MID(VLOOKUP($B36,Seqs!$A:$B,2,FALSE),AM36,1),"")</f>
        <v>I</v>
      </c>
      <c r="AM36" s="3">
        <v>238</v>
      </c>
      <c r="AN36" s="3" t="str">
        <f>IFERROR(MID(VLOOKUP($B36,Seqs!$A:$B,2,FALSE),AO36,1),"")</f>
        <v>R</v>
      </c>
      <c r="AO36" s="3">
        <v>275</v>
      </c>
      <c r="AP36" s="3" t="str">
        <f>IFERROR(MID(VLOOKUP($B36,Seqs!$A:$B,2,FALSE),AQ36,1),"")</f>
        <v>N</v>
      </c>
      <c r="AQ36" s="3">
        <v>316</v>
      </c>
      <c r="AR36" s="3" t="str">
        <f>IFERROR(MID(VLOOKUP($B36,Seqs!$A:$B,2,FALSE),AS36,1),"")</f>
        <v>P</v>
      </c>
      <c r="AS36" s="3">
        <v>321</v>
      </c>
      <c r="AT36" s="3" t="str">
        <f>IFERROR(MID(VLOOKUP($B36,Seqs!$A:$B,2,FALSE),AU36,1),"")</f>
        <v>R</v>
      </c>
      <c r="AU36" s="3">
        <v>345</v>
      </c>
      <c r="AV36" s="3" t="str">
        <f>IFERROR(MID(VLOOKUP($B36,Seqs!$A:$B,2,FALSE),AW36,1),"")</f>
        <v>S</v>
      </c>
      <c r="AW36" s="3">
        <v>346</v>
      </c>
      <c r="AX36" s="3" t="str">
        <f>IFERROR(MID(VLOOKUP($B36,Seqs!$A:$B,2,FALSE),AY36,1),"")</f>
        <v>C</v>
      </c>
      <c r="AY36" s="3">
        <v>358</v>
      </c>
      <c r="AZ36" s="83" t="str">
        <f>VLOOKUP(B36,Classification!A:D,2,FALSE)</f>
        <v>A</v>
      </c>
      <c r="BC36" s="57">
        <f t="shared" si="1"/>
        <v>264</v>
      </c>
      <c r="BD36" s="63" t="b">
        <f t="shared" si="2"/>
        <v>1</v>
      </c>
      <c r="BE36" s="68" t="s">
        <v>1514</v>
      </c>
      <c r="BF36" s="75" t="s">
        <v>1514</v>
      </c>
      <c r="BG36" s="75" t="s">
        <v>1514</v>
      </c>
      <c r="BH36" s="75" t="s">
        <v>1514</v>
      </c>
      <c r="BI36" s="75" t="s">
        <v>1514</v>
      </c>
      <c r="BJ36" s="75" t="s">
        <v>1514</v>
      </c>
      <c r="BK36" s="75" t="s">
        <v>1514</v>
      </c>
      <c r="BL36" s="75" t="s">
        <v>1514</v>
      </c>
      <c r="BM36" s="75" t="s">
        <v>1514</v>
      </c>
      <c r="BN36" s="75" t="s">
        <v>1514</v>
      </c>
      <c r="BO36" s="75" t="s">
        <v>1514</v>
      </c>
      <c r="BP36" s="75" t="s">
        <v>1514</v>
      </c>
      <c r="BQ36" s="68">
        <f t="shared" si="62"/>
        <v>33</v>
      </c>
      <c r="BR36" s="69">
        <f t="shared" si="63"/>
        <v>70</v>
      </c>
      <c r="BS36" s="70">
        <f t="shared" si="64"/>
        <v>74</v>
      </c>
      <c r="BT36" s="69">
        <f t="shared" si="65"/>
        <v>106</v>
      </c>
      <c r="BU36" s="70">
        <f t="shared" si="66"/>
        <v>110</v>
      </c>
      <c r="BV36" s="69">
        <f t="shared" si="67"/>
        <v>146</v>
      </c>
      <c r="BW36" s="70">
        <f t="shared" si="68"/>
        <v>155</v>
      </c>
      <c r="BX36" s="69">
        <f t="shared" si="69"/>
        <v>199</v>
      </c>
      <c r="BY36" s="70">
        <f t="shared" si="70"/>
        <v>204</v>
      </c>
      <c r="BZ36" s="69">
        <f t="shared" si="71"/>
        <v>275</v>
      </c>
      <c r="CA36" s="70">
        <f t="shared" si="72"/>
        <v>321</v>
      </c>
      <c r="CB36" s="69">
        <f t="shared" si="73"/>
        <v>346</v>
      </c>
      <c r="CC36" s="68">
        <f t="shared" si="74"/>
        <v>69</v>
      </c>
      <c r="CD36" s="69">
        <f t="shared" si="75"/>
        <v>73</v>
      </c>
      <c r="CE36" s="70">
        <f t="shared" si="76"/>
        <v>104</v>
      </c>
      <c r="CF36" s="70">
        <f t="shared" si="77"/>
        <v>109</v>
      </c>
      <c r="CG36" s="70">
        <f t="shared" si="78"/>
        <v>145</v>
      </c>
      <c r="CH36" s="70">
        <f t="shared" si="79"/>
        <v>153</v>
      </c>
      <c r="CI36" s="70">
        <f t="shared" si="80"/>
        <v>180</v>
      </c>
      <c r="CJ36" s="70">
        <f t="shared" si="81"/>
        <v>201</v>
      </c>
      <c r="CK36" s="70">
        <f t="shared" si="82"/>
        <v>238</v>
      </c>
      <c r="CL36" s="70">
        <f t="shared" si="83"/>
        <v>316</v>
      </c>
      <c r="CM36" s="70">
        <f t="shared" si="84"/>
        <v>345</v>
      </c>
      <c r="CN36" s="70">
        <f t="shared" si="85"/>
        <v>358</v>
      </c>
      <c r="CO36" s="57">
        <f t="shared" si="86"/>
        <v>1</v>
      </c>
    </row>
    <row r="37" spans="1:93" x14ac:dyDescent="0.2">
      <c r="A37" s="3" t="str">
        <f t="shared" ref="A37:A68" si="87">CONCATENATE(B37,"_",C37)</f>
        <v>adrb1_melga_2YCW</v>
      </c>
      <c r="B37" s="3" t="s">
        <v>1108</v>
      </c>
      <c r="C37" s="3" t="s">
        <v>1233</v>
      </c>
      <c r="D37" s="3" t="str">
        <f>IFERROR(MID(VLOOKUP($B37,Seqs!$A:$B,2,FALSE),E37,1),"")</f>
        <v>S</v>
      </c>
      <c r="E37" s="3">
        <v>37</v>
      </c>
      <c r="F37" s="3" t="str">
        <f>IFERROR(MID(VLOOKUP($B37,Seqs!$A:$B,2,FALSE),G37,1),"")</f>
        <v>T</v>
      </c>
      <c r="G37" s="3">
        <v>69</v>
      </c>
      <c r="H37" s="3" t="str">
        <f>IFERROR(MID(VLOOKUP($B37,Seqs!$A:$B,2,FALSE),I37,1),"")</f>
        <v>Q</v>
      </c>
      <c r="I37" s="57">
        <v>70</v>
      </c>
      <c r="J37" s="3" t="str">
        <f>IFERROR(MID(VLOOKUP($B37,Seqs!$A:$B,2,FALSE),K37,1),"")</f>
        <v>Q</v>
      </c>
      <c r="K37" s="57">
        <v>73</v>
      </c>
      <c r="L37" s="3" t="str">
        <f>IFERROR(MID(VLOOKUP($B37,Seqs!$A:$B,2,FALSE),M37,1),"")</f>
        <v>T</v>
      </c>
      <c r="M37" s="3">
        <v>74</v>
      </c>
      <c r="N37" s="3" t="str">
        <f>IFERROR(MID(VLOOKUP($B37,Seqs!$A:$B,2,FALSE),O37,1),"")</f>
        <v>R</v>
      </c>
      <c r="O37" s="3">
        <v>104</v>
      </c>
      <c r="P37" s="3" t="str">
        <f>IFERROR(MID(VLOOKUP($B37,Seqs!$A:$B,2,FALSE),Q37,1),"")</f>
        <v>T</v>
      </c>
      <c r="Q37" s="3">
        <v>106</v>
      </c>
      <c r="R37" s="3" t="str">
        <f>IFERROR(MID(VLOOKUP($B37,Seqs!$A:$B,2,FALSE),S37,1),"")</f>
        <v>W</v>
      </c>
      <c r="S37" s="3">
        <v>109</v>
      </c>
      <c r="T37" s="3" t="str">
        <f>IFERROR(MID(VLOOKUP($B37,Seqs!$A:$B,2,FALSE),U37,1),"")</f>
        <v>G</v>
      </c>
      <c r="U37" s="3">
        <v>110</v>
      </c>
      <c r="V37" s="3" t="str">
        <f>IFERROR(MID(VLOOKUP($B37,Seqs!$A:$B,2,FALSE),W37,1),"")</f>
        <v>S</v>
      </c>
      <c r="W37" s="3">
        <v>145</v>
      </c>
      <c r="X37" s="3" t="str">
        <f>IFERROR(MID(VLOOKUP($B37,Seqs!$A:$B,2,FALSE),Y37,1),"")</f>
        <v>P</v>
      </c>
      <c r="Y37" s="3">
        <v>146</v>
      </c>
      <c r="Z37" s="3" t="str">
        <f>IFERROR(MID(VLOOKUP($B37,Seqs!$A:$B,2,FALSE),AA37,1),"")</f>
        <v>M</v>
      </c>
      <c r="AA37" s="3">
        <v>153</v>
      </c>
      <c r="AB37" s="3" t="str">
        <f>IFERROR(MID(VLOOKUP($B37,Seqs!$A:$B,2,FALSE),AC37,1),"")</f>
        <v>R</v>
      </c>
      <c r="AC37" s="3">
        <v>155</v>
      </c>
      <c r="AD37" s="3" t="str">
        <f>IFERROR(MID(VLOOKUP($B37,Seqs!$A:$B,2,FALSE),AE37,1),"")</f>
        <v>H</v>
      </c>
      <c r="AE37" s="3">
        <v>180</v>
      </c>
      <c r="AF37" s="3" t="str">
        <f>IFERROR(MID(VLOOKUP($B37,Seqs!$A:$B,2,FALSE),AG37,1),"")</f>
        <v>C</v>
      </c>
      <c r="AG37" s="3">
        <v>199</v>
      </c>
      <c r="AH37" s="3" t="str">
        <f>IFERROR(MID(VLOOKUP($B37,Seqs!$A:$B,2,FALSE),AI37,1),"")</f>
        <v>F</v>
      </c>
      <c r="AI37" s="3">
        <v>201</v>
      </c>
      <c r="AJ37" s="3" t="str">
        <f>IFERROR(MID(VLOOKUP($B37,Seqs!$A:$B,2,FALSE),AK37,1),"")</f>
        <v>N</v>
      </c>
      <c r="AK37" s="3">
        <v>204</v>
      </c>
      <c r="AL37" s="3" t="str">
        <f>IFERROR(MID(VLOOKUP($B37,Seqs!$A:$B,2,FALSE),AM37,1),"")</f>
        <v>K</v>
      </c>
      <c r="AM37" s="3">
        <v>240</v>
      </c>
      <c r="AN37" s="3" t="str">
        <f>IFERROR(MID(VLOOKUP($B37,Seqs!$A:$B,2,FALSE),AO37,1),"")</f>
        <v>L</v>
      </c>
      <c r="AO37" s="3">
        <v>289</v>
      </c>
      <c r="AP37" s="3" t="str">
        <f>IFERROR(MID(VLOOKUP($B37,Seqs!$A:$B,2,FALSE),AQ37,1),"")</f>
        <v>N</v>
      </c>
      <c r="AQ37" s="3">
        <v>316</v>
      </c>
      <c r="AR37" s="3" t="str">
        <f>IFERROR(MID(VLOOKUP($B37,Seqs!$A:$B,2,FALSE),AS37,1),"")</f>
        <v>P</v>
      </c>
      <c r="AS37" s="3">
        <v>321</v>
      </c>
      <c r="AT37" s="3" t="str">
        <f>IFERROR(MID(VLOOKUP($B37,Seqs!$A:$B,2,FALSE),AU37,1),"")</f>
        <v>R</v>
      </c>
      <c r="AU37" s="3">
        <v>345</v>
      </c>
      <c r="AV37" s="3" t="str">
        <f>IFERROR(MID(VLOOKUP($B37,Seqs!$A:$B,2,FALSE),AW37,1),"")</f>
        <v>S</v>
      </c>
      <c r="AW37" s="3">
        <v>346</v>
      </c>
      <c r="AX37" s="3" t="str">
        <f>IFERROR(MID(VLOOKUP($B37,Seqs!$A:$B,2,FALSE),AY37,1),"")</f>
        <v>C</v>
      </c>
      <c r="AY37" s="3">
        <v>358</v>
      </c>
      <c r="AZ37" s="83" t="str">
        <f>VLOOKUP(B37,Classification!A:D,2,FALSE)</f>
        <v>A</v>
      </c>
      <c r="BC37" s="57">
        <f t="shared" ref="BC37:BC68" si="88">_xlfn.AGGREGATE(9,6,CC37:CN37)-_xlfn.AGGREGATE(9,6,BQ37:CB37)+12</f>
        <v>248</v>
      </c>
      <c r="BD37" s="63" t="b">
        <f t="shared" ref="BD37:BD68" si="89">AND(E37&lt;G37,OR(G37&lt;I37,I37="-"),OR(I37&lt;K37,I37="-"),OR(K37&lt;M37,K37="-"),M37&lt;O37,OR(O37&lt;Q37,Q37="-"),OR(Q37&lt;S37,Q37="-"),OR(S37&lt;U37,S37="-"),U37&lt;W37,OR(W37&lt;Y37,Y37="-"),OR(Y37&lt;AA37,Y37="-"),OR(AA37&lt;AC37,AA37="-"),AC37&lt;AE37,OR(AE37&lt;AG37,AG37="-"),OR(AG37&lt;AI37,AG37="-"),OR(AI37&lt;AK37,AI37="-"),AK37&lt;AM37,AM37&lt;AO37,AO37&lt;AQ37,AQ37&lt;AS37,AS37&lt;AU37,OR(AU37&lt;AW37,AW37="-"),OR(AW37&lt;AY37,AW37="-"))</f>
        <v>1</v>
      </c>
      <c r="BE37" s="68" t="s">
        <v>1514</v>
      </c>
      <c r="BF37" s="75" t="s">
        <v>1514</v>
      </c>
      <c r="BG37" s="75" t="s">
        <v>1514</v>
      </c>
      <c r="BH37" s="75" t="s">
        <v>1514</v>
      </c>
      <c r="BI37" s="75" t="s">
        <v>1514</v>
      </c>
      <c r="BJ37" s="75" t="s">
        <v>1514</v>
      </c>
      <c r="BK37" s="75" t="s">
        <v>1514</v>
      </c>
      <c r="BL37" s="75" t="s">
        <v>1514</v>
      </c>
      <c r="BM37" s="75" t="s">
        <v>1514</v>
      </c>
      <c r="BN37" s="75" t="s">
        <v>1514</v>
      </c>
      <c r="BO37" s="75" t="s">
        <v>1514</v>
      </c>
      <c r="BP37" s="75" t="s">
        <v>1514</v>
      </c>
      <c r="BQ37" s="68">
        <f t="shared" si="62"/>
        <v>37</v>
      </c>
      <c r="BR37" s="69">
        <f t="shared" si="63"/>
        <v>70</v>
      </c>
      <c r="BS37" s="70">
        <f t="shared" si="64"/>
        <v>74</v>
      </c>
      <c r="BT37" s="69">
        <f t="shared" si="65"/>
        <v>106</v>
      </c>
      <c r="BU37" s="70">
        <f t="shared" si="66"/>
        <v>110</v>
      </c>
      <c r="BV37" s="69">
        <f t="shared" si="67"/>
        <v>146</v>
      </c>
      <c r="BW37" s="70">
        <f t="shared" si="68"/>
        <v>155</v>
      </c>
      <c r="BX37" s="69">
        <f t="shared" si="69"/>
        <v>199</v>
      </c>
      <c r="BY37" s="70">
        <f t="shared" si="70"/>
        <v>204</v>
      </c>
      <c r="BZ37" s="69">
        <f t="shared" si="71"/>
        <v>289</v>
      </c>
      <c r="CA37" s="70">
        <f t="shared" si="72"/>
        <v>321</v>
      </c>
      <c r="CB37" s="69">
        <f t="shared" si="73"/>
        <v>346</v>
      </c>
      <c r="CC37" s="68">
        <f t="shared" si="74"/>
        <v>69</v>
      </c>
      <c r="CD37" s="69">
        <f t="shared" si="75"/>
        <v>73</v>
      </c>
      <c r="CE37" s="70">
        <f t="shared" si="76"/>
        <v>104</v>
      </c>
      <c r="CF37" s="70">
        <f t="shared" si="77"/>
        <v>109</v>
      </c>
      <c r="CG37" s="70">
        <f t="shared" si="78"/>
        <v>145</v>
      </c>
      <c r="CH37" s="70">
        <f t="shared" si="79"/>
        <v>153</v>
      </c>
      <c r="CI37" s="70">
        <f t="shared" si="80"/>
        <v>180</v>
      </c>
      <c r="CJ37" s="70">
        <f t="shared" si="81"/>
        <v>201</v>
      </c>
      <c r="CK37" s="70">
        <f t="shared" si="82"/>
        <v>240</v>
      </c>
      <c r="CL37" s="70">
        <f t="shared" si="83"/>
        <v>316</v>
      </c>
      <c r="CM37" s="70">
        <f t="shared" si="84"/>
        <v>345</v>
      </c>
      <c r="CN37" s="70">
        <f t="shared" si="85"/>
        <v>358</v>
      </c>
      <c r="CO37" s="57">
        <f t="shared" si="86"/>
        <v>1</v>
      </c>
    </row>
    <row r="38" spans="1:93" x14ac:dyDescent="0.2">
      <c r="A38" s="3" t="str">
        <f t="shared" si="87"/>
        <v>adrb1_melga_2YCZ</v>
      </c>
      <c r="B38" s="3" t="s">
        <v>1108</v>
      </c>
      <c r="C38" s="3" t="s">
        <v>1234</v>
      </c>
      <c r="D38" s="3" t="str">
        <f>IFERROR(MID(VLOOKUP($B38,Seqs!$A:$B,2,FALSE),E38,1),"")</f>
        <v>A</v>
      </c>
      <c r="E38" s="3">
        <v>33</v>
      </c>
      <c r="F38" s="3" t="str">
        <f>IFERROR(MID(VLOOKUP($B38,Seqs!$A:$B,2,FALSE),G38,1),"")</f>
        <v>T</v>
      </c>
      <c r="G38" s="3">
        <v>69</v>
      </c>
      <c r="H38" s="3" t="str">
        <f>IFERROR(MID(VLOOKUP($B38,Seqs!$A:$B,2,FALSE),I38,1),"")</f>
        <v>Q</v>
      </c>
      <c r="I38" s="57">
        <v>70</v>
      </c>
      <c r="J38" s="3" t="str">
        <f>IFERROR(MID(VLOOKUP($B38,Seqs!$A:$B,2,FALSE),K38,1),"")</f>
        <v>Q</v>
      </c>
      <c r="K38" s="57">
        <v>73</v>
      </c>
      <c r="L38" s="3" t="str">
        <f>IFERROR(MID(VLOOKUP($B38,Seqs!$A:$B,2,FALSE),M38,1),"")</f>
        <v>T</v>
      </c>
      <c r="M38" s="3">
        <v>74</v>
      </c>
      <c r="N38" s="3" t="str">
        <f>IFERROR(MID(VLOOKUP($B38,Seqs!$A:$B,2,FALSE),O38,1),"")</f>
        <v>R</v>
      </c>
      <c r="O38" s="3">
        <v>104</v>
      </c>
      <c r="P38" s="3" t="str">
        <f>IFERROR(MID(VLOOKUP($B38,Seqs!$A:$B,2,FALSE),Q38,1),"")</f>
        <v>T</v>
      </c>
      <c r="Q38" s="3">
        <v>106</v>
      </c>
      <c r="R38" s="3" t="str">
        <f>IFERROR(MID(VLOOKUP($B38,Seqs!$A:$B,2,FALSE),S38,1),"")</f>
        <v>W</v>
      </c>
      <c r="S38" s="3">
        <v>109</v>
      </c>
      <c r="T38" s="3" t="str">
        <f>IFERROR(MID(VLOOKUP($B38,Seqs!$A:$B,2,FALSE),U38,1),"")</f>
        <v>G</v>
      </c>
      <c r="U38" s="3">
        <v>110</v>
      </c>
      <c r="V38" s="3" t="str">
        <f>IFERROR(MID(VLOOKUP($B38,Seqs!$A:$B,2,FALSE),W38,1),"")</f>
        <v>S</v>
      </c>
      <c r="W38" s="3">
        <v>145</v>
      </c>
      <c r="X38" s="3" t="str">
        <f>IFERROR(MID(VLOOKUP($B38,Seqs!$A:$B,2,FALSE),Y38,1),"")</f>
        <v>P</v>
      </c>
      <c r="Y38" s="3">
        <v>146</v>
      </c>
      <c r="Z38" s="3" t="str">
        <f>IFERROR(MID(VLOOKUP($B38,Seqs!$A:$B,2,FALSE),AA38,1),"")</f>
        <v>M</v>
      </c>
      <c r="AA38" s="3">
        <v>153</v>
      </c>
      <c r="AB38" s="3" t="str">
        <f>IFERROR(MID(VLOOKUP($B38,Seqs!$A:$B,2,FALSE),AC38,1),"")</f>
        <v>R</v>
      </c>
      <c r="AC38" s="3">
        <v>155</v>
      </c>
      <c r="AD38" s="3" t="str">
        <f>IFERROR(MID(VLOOKUP($B38,Seqs!$A:$B,2,FALSE),AE38,1),"")</f>
        <v>H</v>
      </c>
      <c r="AE38" s="3">
        <v>180</v>
      </c>
      <c r="AF38" s="3" t="str">
        <f>IFERROR(MID(VLOOKUP($B38,Seqs!$A:$B,2,FALSE),AG38,1),"")</f>
        <v>C</v>
      </c>
      <c r="AG38" s="3">
        <v>199</v>
      </c>
      <c r="AH38" s="3" t="str">
        <f>IFERROR(MID(VLOOKUP($B38,Seqs!$A:$B,2,FALSE),AI38,1),"")</f>
        <v>F</v>
      </c>
      <c r="AI38" s="3">
        <v>201</v>
      </c>
      <c r="AJ38" s="3" t="str">
        <f>IFERROR(MID(VLOOKUP($B38,Seqs!$A:$B,2,FALSE),AK38,1),"")</f>
        <v>N</v>
      </c>
      <c r="AK38" s="3">
        <v>204</v>
      </c>
      <c r="AL38" s="3" t="str">
        <f>IFERROR(MID(VLOOKUP($B38,Seqs!$A:$B,2,FALSE),AM38,1),"")</f>
        <v>K</v>
      </c>
      <c r="AM38" s="3">
        <v>240</v>
      </c>
      <c r="AN38" s="3" t="str">
        <f>IFERROR(MID(VLOOKUP($B38,Seqs!$A:$B,2,FALSE),AO38,1),"")</f>
        <v>A</v>
      </c>
      <c r="AO38" s="3">
        <v>288</v>
      </c>
      <c r="AP38" s="3" t="str">
        <f>IFERROR(MID(VLOOKUP($B38,Seqs!$A:$B,2,FALSE),AQ38,1),"")</f>
        <v>N</v>
      </c>
      <c r="AQ38" s="3">
        <v>316</v>
      </c>
      <c r="AR38" s="3" t="str">
        <f>IFERROR(MID(VLOOKUP($B38,Seqs!$A:$B,2,FALSE),AS38,1),"")</f>
        <v>P</v>
      </c>
      <c r="AS38" s="3">
        <v>321</v>
      </c>
      <c r="AT38" s="3" t="str">
        <f>IFERROR(MID(VLOOKUP($B38,Seqs!$A:$B,2,FALSE),AU38,1),"")</f>
        <v>R</v>
      </c>
      <c r="AU38" s="3">
        <v>345</v>
      </c>
      <c r="AV38" s="3" t="str">
        <f>IFERROR(MID(VLOOKUP($B38,Seqs!$A:$B,2,FALSE),AW38,1),"")</f>
        <v>S</v>
      </c>
      <c r="AW38" s="3">
        <v>346</v>
      </c>
      <c r="AX38" s="3" t="str">
        <f>IFERROR(MID(VLOOKUP($B38,Seqs!$A:$B,2,FALSE),AY38,1),"")</f>
        <v>C</v>
      </c>
      <c r="AY38" s="3">
        <v>358</v>
      </c>
      <c r="AZ38" s="83" t="str">
        <f>VLOOKUP(B38,Classification!A:D,2,FALSE)</f>
        <v>A</v>
      </c>
      <c r="BB38" s="35" t="s">
        <v>1315</v>
      </c>
      <c r="BC38" s="57">
        <f t="shared" si="88"/>
        <v>253</v>
      </c>
      <c r="BD38" s="63" t="b">
        <f t="shared" si="89"/>
        <v>1</v>
      </c>
      <c r="BE38" s="68" t="s">
        <v>1514</v>
      </c>
      <c r="BF38" s="75" t="s">
        <v>1514</v>
      </c>
      <c r="BG38" s="75" t="s">
        <v>1514</v>
      </c>
      <c r="BH38" s="75" t="s">
        <v>1514</v>
      </c>
      <c r="BI38" s="75" t="s">
        <v>1514</v>
      </c>
      <c r="BJ38" s="75" t="s">
        <v>1514</v>
      </c>
      <c r="BK38" s="75" t="s">
        <v>1514</v>
      </c>
      <c r="BL38" s="75" t="s">
        <v>1514</v>
      </c>
      <c r="BM38" s="75" t="s">
        <v>1514</v>
      </c>
      <c r="BN38" s="75" t="s">
        <v>1514</v>
      </c>
      <c r="BO38" s="75" t="s">
        <v>1514</v>
      </c>
      <c r="BP38" s="75" t="s">
        <v>1514</v>
      </c>
      <c r="BQ38" s="68">
        <f t="shared" si="62"/>
        <v>33</v>
      </c>
      <c r="BR38" s="69">
        <f t="shared" si="63"/>
        <v>70</v>
      </c>
      <c r="BS38" s="70">
        <f t="shared" si="64"/>
        <v>74</v>
      </c>
      <c r="BT38" s="69">
        <f t="shared" si="65"/>
        <v>106</v>
      </c>
      <c r="BU38" s="70">
        <f t="shared" si="66"/>
        <v>110</v>
      </c>
      <c r="BV38" s="69">
        <f t="shared" si="67"/>
        <v>146</v>
      </c>
      <c r="BW38" s="70">
        <f t="shared" si="68"/>
        <v>155</v>
      </c>
      <c r="BX38" s="69">
        <f t="shared" si="69"/>
        <v>199</v>
      </c>
      <c r="BY38" s="70">
        <f t="shared" si="70"/>
        <v>204</v>
      </c>
      <c r="BZ38" s="69">
        <f t="shared" si="71"/>
        <v>288</v>
      </c>
      <c r="CA38" s="70">
        <f t="shared" si="72"/>
        <v>321</v>
      </c>
      <c r="CB38" s="69">
        <f t="shared" si="73"/>
        <v>346</v>
      </c>
      <c r="CC38" s="68">
        <f t="shared" si="74"/>
        <v>69</v>
      </c>
      <c r="CD38" s="69">
        <f t="shared" si="75"/>
        <v>73</v>
      </c>
      <c r="CE38" s="70">
        <f t="shared" si="76"/>
        <v>104</v>
      </c>
      <c r="CF38" s="70">
        <f t="shared" si="77"/>
        <v>109</v>
      </c>
      <c r="CG38" s="70">
        <f t="shared" si="78"/>
        <v>145</v>
      </c>
      <c r="CH38" s="70">
        <f t="shared" si="79"/>
        <v>153</v>
      </c>
      <c r="CI38" s="70">
        <f t="shared" si="80"/>
        <v>180</v>
      </c>
      <c r="CJ38" s="70">
        <f t="shared" si="81"/>
        <v>201</v>
      </c>
      <c r="CK38" s="70">
        <f t="shared" si="82"/>
        <v>240</v>
      </c>
      <c r="CL38" s="70">
        <f t="shared" si="83"/>
        <v>316</v>
      </c>
      <c r="CM38" s="70">
        <f t="shared" si="84"/>
        <v>345</v>
      </c>
      <c r="CN38" s="70">
        <f t="shared" si="85"/>
        <v>358</v>
      </c>
      <c r="CO38" s="57">
        <f t="shared" si="86"/>
        <v>1</v>
      </c>
    </row>
    <row r="39" spans="1:93" x14ac:dyDescent="0.2">
      <c r="A39" s="3" t="str">
        <f t="shared" si="87"/>
        <v>adrb1_melga_3ZPQ</v>
      </c>
      <c r="B39" s="3" t="s">
        <v>1108</v>
      </c>
      <c r="C39" s="3" t="s">
        <v>1244</v>
      </c>
      <c r="D39" s="3" t="str">
        <f>IFERROR(MID(VLOOKUP($B39,Seqs!$A:$B,2,FALSE),E39,1),"")</f>
        <v>S</v>
      </c>
      <c r="E39" s="3">
        <v>32</v>
      </c>
      <c r="F39" s="3" t="str">
        <f>IFERROR(MID(VLOOKUP($B39,Seqs!$A:$B,2,FALSE),G39,1),"")</f>
        <v>T</v>
      </c>
      <c r="G39" s="3">
        <v>69</v>
      </c>
      <c r="H39" s="3" t="str">
        <f>IFERROR(MID(VLOOKUP($B39,Seqs!$A:$B,2,FALSE),I39,1),"")</f>
        <v>Q</v>
      </c>
      <c r="I39" s="57">
        <v>70</v>
      </c>
      <c r="J39" s="3" t="str">
        <f>IFERROR(MID(VLOOKUP($B39,Seqs!$A:$B,2,FALSE),K39,1),"")</f>
        <v>Q</v>
      </c>
      <c r="K39" s="57">
        <v>73</v>
      </c>
      <c r="L39" s="3" t="str">
        <f>IFERROR(MID(VLOOKUP($B39,Seqs!$A:$B,2,FALSE),M39,1),"")</f>
        <v>T</v>
      </c>
      <c r="M39" s="3">
        <v>74</v>
      </c>
      <c r="N39" s="3" t="str">
        <f>IFERROR(MID(VLOOKUP($B39,Seqs!$A:$B,2,FALSE),O39,1),"")</f>
        <v>R</v>
      </c>
      <c r="O39" s="3">
        <v>104</v>
      </c>
      <c r="P39" s="3" t="str">
        <f>IFERROR(MID(VLOOKUP($B39,Seqs!$A:$B,2,FALSE),Q39,1),"")</f>
        <v>T</v>
      </c>
      <c r="Q39" s="3">
        <v>106</v>
      </c>
      <c r="R39" s="3" t="str">
        <f>IFERROR(MID(VLOOKUP($B39,Seqs!$A:$B,2,FALSE),S39,1),"")</f>
        <v>W</v>
      </c>
      <c r="S39" s="3">
        <v>109</v>
      </c>
      <c r="T39" s="3" t="str">
        <f>IFERROR(MID(VLOOKUP($B39,Seqs!$A:$B,2,FALSE),U39,1),"")</f>
        <v>G</v>
      </c>
      <c r="U39" s="3">
        <v>110</v>
      </c>
      <c r="V39" s="3" t="str">
        <f>IFERROR(MID(VLOOKUP($B39,Seqs!$A:$B,2,FALSE),W39,1),"")</f>
        <v>S</v>
      </c>
      <c r="W39" s="3">
        <v>145</v>
      </c>
      <c r="X39" s="3" t="str">
        <f>IFERROR(MID(VLOOKUP($B39,Seqs!$A:$B,2,FALSE),Y39,1),"")</f>
        <v>P</v>
      </c>
      <c r="Y39" s="3">
        <v>146</v>
      </c>
      <c r="Z39" s="3" t="str">
        <f>IFERROR(MID(VLOOKUP($B39,Seqs!$A:$B,2,FALSE),AA39,1),"")</f>
        <v>M</v>
      </c>
      <c r="AA39" s="3">
        <v>153</v>
      </c>
      <c r="AB39" s="3" t="str">
        <f>IFERROR(MID(VLOOKUP($B39,Seqs!$A:$B,2,FALSE),AC39,1),"")</f>
        <v>R</v>
      </c>
      <c r="AC39" s="3">
        <v>155</v>
      </c>
      <c r="AD39" s="3" t="str">
        <f>IFERROR(MID(VLOOKUP($B39,Seqs!$A:$B,2,FALSE),AE39,1),"")</f>
        <v>H</v>
      </c>
      <c r="AE39" s="3">
        <v>180</v>
      </c>
      <c r="AF39" s="3" t="str">
        <f>IFERROR(MID(VLOOKUP($B39,Seqs!$A:$B,2,FALSE),AG39,1),"")</f>
        <v>C</v>
      </c>
      <c r="AG39" s="3">
        <v>199</v>
      </c>
      <c r="AH39" s="3" t="str">
        <f>IFERROR(MID(VLOOKUP($B39,Seqs!$A:$B,2,FALSE),AI39,1),"")</f>
        <v>F</v>
      </c>
      <c r="AI39" s="3">
        <v>201</v>
      </c>
      <c r="AJ39" s="3" t="str">
        <f>IFERROR(MID(VLOOKUP($B39,Seqs!$A:$B,2,FALSE),AK39,1),"")</f>
        <v>N</v>
      </c>
      <c r="AK39" s="3">
        <v>204</v>
      </c>
      <c r="AL39" s="3" t="str">
        <f>IFERROR(MID(VLOOKUP($B39,Seqs!$A:$B,2,FALSE),AM39,1),"")</f>
        <v>I</v>
      </c>
      <c r="AM39" s="3">
        <v>238</v>
      </c>
      <c r="AN39" s="3" t="str">
        <f>IFERROR(MID(VLOOKUP($B39,Seqs!$A:$B,2,FALSE),AO39,1),"")</f>
        <v>R</v>
      </c>
      <c r="AO39" s="3">
        <v>275</v>
      </c>
      <c r="AP39" s="3" t="str">
        <f>IFERROR(MID(VLOOKUP($B39,Seqs!$A:$B,2,FALSE),AQ39,1),"")</f>
        <v>N</v>
      </c>
      <c r="AQ39" s="3">
        <v>316</v>
      </c>
      <c r="AR39" s="3" t="str">
        <f>IFERROR(MID(VLOOKUP($B39,Seqs!$A:$B,2,FALSE),AS39,1),"")</f>
        <v>P</v>
      </c>
      <c r="AS39" s="3">
        <v>321</v>
      </c>
      <c r="AT39" s="3" t="str">
        <f>IFERROR(MID(VLOOKUP($B39,Seqs!$A:$B,2,FALSE),AU39,1),"")</f>
        <v>R</v>
      </c>
      <c r="AU39" s="3">
        <v>345</v>
      </c>
      <c r="AV39" s="3" t="str">
        <f>IFERROR(MID(VLOOKUP($B39,Seqs!$A:$B,2,FALSE),AW39,1),"")</f>
        <v>S</v>
      </c>
      <c r="AW39" s="3">
        <v>346</v>
      </c>
      <c r="AX39" s="3" t="str">
        <f>IFERROR(MID(VLOOKUP($B39,Seqs!$A:$B,2,FALSE),AY39,1),"")</f>
        <v>C</v>
      </c>
      <c r="AY39" s="3">
        <v>358</v>
      </c>
      <c r="AZ39" s="83" t="str">
        <f>VLOOKUP(B39,Classification!A:D,2,FALSE)</f>
        <v>A</v>
      </c>
      <c r="BC39" s="57">
        <f t="shared" si="88"/>
        <v>265</v>
      </c>
      <c r="BD39" s="63" t="b">
        <f t="shared" si="89"/>
        <v>1</v>
      </c>
      <c r="BE39" s="68" t="s">
        <v>1514</v>
      </c>
      <c r="BF39" s="75" t="s">
        <v>1514</v>
      </c>
      <c r="BG39" s="75" t="s">
        <v>1514</v>
      </c>
      <c r="BH39" s="75" t="s">
        <v>1514</v>
      </c>
      <c r="BI39" s="75" t="s">
        <v>1514</v>
      </c>
      <c r="BJ39" s="75" t="s">
        <v>1514</v>
      </c>
      <c r="BK39" s="75" t="s">
        <v>1514</v>
      </c>
      <c r="BL39" s="75" t="s">
        <v>1514</v>
      </c>
      <c r="BM39" s="75" t="s">
        <v>1514</v>
      </c>
      <c r="BN39" s="75" t="s">
        <v>1514</v>
      </c>
      <c r="BO39" s="75" t="s">
        <v>1514</v>
      </c>
      <c r="BP39" s="75" t="s">
        <v>1514</v>
      </c>
      <c r="BQ39" s="68">
        <f t="shared" si="62"/>
        <v>32</v>
      </c>
      <c r="BR39" s="69">
        <f t="shared" si="63"/>
        <v>70</v>
      </c>
      <c r="BS39" s="70">
        <f t="shared" si="64"/>
        <v>74</v>
      </c>
      <c r="BT39" s="69">
        <f t="shared" si="65"/>
        <v>106</v>
      </c>
      <c r="BU39" s="70">
        <f t="shared" si="66"/>
        <v>110</v>
      </c>
      <c r="BV39" s="69">
        <f t="shared" si="67"/>
        <v>146</v>
      </c>
      <c r="BW39" s="70">
        <f t="shared" si="68"/>
        <v>155</v>
      </c>
      <c r="BX39" s="69">
        <f t="shared" si="69"/>
        <v>199</v>
      </c>
      <c r="BY39" s="70">
        <f t="shared" si="70"/>
        <v>204</v>
      </c>
      <c r="BZ39" s="69">
        <f t="shared" si="71"/>
        <v>275</v>
      </c>
      <c r="CA39" s="70">
        <f t="shared" si="72"/>
        <v>321</v>
      </c>
      <c r="CB39" s="69">
        <f t="shared" si="73"/>
        <v>346</v>
      </c>
      <c r="CC39" s="68">
        <f t="shared" si="74"/>
        <v>69</v>
      </c>
      <c r="CD39" s="69">
        <f t="shared" si="75"/>
        <v>73</v>
      </c>
      <c r="CE39" s="70">
        <f t="shared" si="76"/>
        <v>104</v>
      </c>
      <c r="CF39" s="70">
        <f t="shared" si="77"/>
        <v>109</v>
      </c>
      <c r="CG39" s="70">
        <f t="shared" si="78"/>
        <v>145</v>
      </c>
      <c r="CH39" s="70">
        <f t="shared" si="79"/>
        <v>153</v>
      </c>
      <c r="CI39" s="70">
        <f t="shared" si="80"/>
        <v>180</v>
      </c>
      <c r="CJ39" s="70">
        <f t="shared" si="81"/>
        <v>201</v>
      </c>
      <c r="CK39" s="70">
        <f t="shared" si="82"/>
        <v>238</v>
      </c>
      <c r="CL39" s="70">
        <f t="shared" si="83"/>
        <v>316</v>
      </c>
      <c r="CM39" s="70">
        <f t="shared" si="84"/>
        <v>345</v>
      </c>
      <c r="CN39" s="70">
        <f t="shared" si="85"/>
        <v>358</v>
      </c>
      <c r="CO39" s="57">
        <f t="shared" si="86"/>
        <v>1</v>
      </c>
    </row>
    <row r="40" spans="1:93" x14ac:dyDescent="0.2">
      <c r="A40" s="3" t="str">
        <f t="shared" si="87"/>
        <v>adrb1_melga_3ZPR</v>
      </c>
      <c r="B40" s="3" t="s">
        <v>1108</v>
      </c>
      <c r="C40" s="3" t="s">
        <v>1245</v>
      </c>
      <c r="D40" s="3" t="str">
        <f>IFERROR(MID(VLOOKUP($B40,Seqs!$A:$B,2,FALSE),E40,1),"")</f>
        <v>S</v>
      </c>
      <c r="E40" s="3">
        <v>32</v>
      </c>
      <c r="F40" s="3" t="str">
        <f>IFERROR(MID(VLOOKUP($B40,Seqs!$A:$B,2,FALSE),G40,1),"")</f>
        <v>T</v>
      </c>
      <c r="G40" s="3">
        <v>69</v>
      </c>
      <c r="H40" s="3" t="str">
        <f>IFERROR(MID(VLOOKUP($B40,Seqs!$A:$B,2,FALSE),I40,1),"")</f>
        <v>Q</v>
      </c>
      <c r="I40" s="57">
        <v>70</v>
      </c>
      <c r="J40" s="3" t="str">
        <f>IFERROR(MID(VLOOKUP($B40,Seqs!$A:$B,2,FALSE),K40,1),"")</f>
        <v>Q</v>
      </c>
      <c r="K40" s="57">
        <v>73</v>
      </c>
      <c r="L40" s="3" t="str">
        <f>IFERROR(MID(VLOOKUP($B40,Seqs!$A:$B,2,FALSE),M40,1),"")</f>
        <v>T</v>
      </c>
      <c r="M40" s="3">
        <v>74</v>
      </c>
      <c r="N40" s="3" t="str">
        <f>IFERROR(MID(VLOOKUP($B40,Seqs!$A:$B,2,FALSE),O40,1),"")</f>
        <v>R</v>
      </c>
      <c r="O40" s="3">
        <v>104</v>
      </c>
      <c r="P40" s="3" t="str">
        <f>IFERROR(MID(VLOOKUP($B40,Seqs!$A:$B,2,FALSE),Q40,1),"")</f>
        <v>T</v>
      </c>
      <c r="Q40" s="3">
        <v>106</v>
      </c>
      <c r="R40" s="3" t="str">
        <f>IFERROR(MID(VLOOKUP($B40,Seqs!$A:$B,2,FALSE),S40,1),"")</f>
        <v>W</v>
      </c>
      <c r="S40" s="3">
        <v>109</v>
      </c>
      <c r="T40" s="3" t="str">
        <f>IFERROR(MID(VLOOKUP($B40,Seqs!$A:$B,2,FALSE),U40,1),"")</f>
        <v>G</v>
      </c>
      <c r="U40" s="3">
        <v>110</v>
      </c>
      <c r="V40" s="3" t="str">
        <f>IFERROR(MID(VLOOKUP($B40,Seqs!$A:$B,2,FALSE),W40,1),"")</f>
        <v>S</v>
      </c>
      <c r="W40" s="3">
        <v>145</v>
      </c>
      <c r="X40" s="3" t="str">
        <f>IFERROR(MID(VLOOKUP($B40,Seqs!$A:$B,2,FALSE),Y40,1),"")</f>
        <v>P</v>
      </c>
      <c r="Y40" s="3">
        <v>146</v>
      </c>
      <c r="Z40" s="3" t="str">
        <f>IFERROR(MID(VLOOKUP($B40,Seqs!$A:$B,2,FALSE),AA40,1),"")</f>
        <v>M</v>
      </c>
      <c r="AA40" s="3">
        <v>153</v>
      </c>
      <c r="AB40" s="3" t="str">
        <f>IFERROR(MID(VLOOKUP($B40,Seqs!$A:$B,2,FALSE),AC40,1),"")</f>
        <v>R</v>
      </c>
      <c r="AC40" s="3">
        <v>155</v>
      </c>
      <c r="AD40" s="3" t="str">
        <f>IFERROR(MID(VLOOKUP($B40,Seqs!$A:$B,2,FALSE),AE40,1),"")</f>
        <v>H</v>
      </c>
      <c r="AE40" s="3">
        <v>180</v>
      </c>
      <c r="AF40" s="3" t="str">
        <f>IFERROR(MID(VLOOKUP($B40,Seqs!$A:$B,2,FALSE),AG40,1),"")</f>
        <v>C</v>
      </c>
      <c r="AG40" s="3">
        <v>199</v>
      </c>
      <c r="AH40" s="3" t="str">
        <f>IFERROR(MID(VLOOKUP($B40,Seqs!$A:$B,2,FALSE),AI40,1),"")</f>
        <v>F</v>
      </c>
      <c r="AI40" s="3">
        <v>201</v>
      </c>
      <c r="AJ40" s="3" t="str">
        <f>IFERROR(MID(VLOOKUP($B40,Seqs!$A:$B,2,FALSE),AK40,1),"")</f>
        <v>N</v>
      </c>
      <c r="AK40" s="3">
        <v>204</v>
      </c>
      <c r="AL40" s="3" t="str">
        <f>IFERROR(MID(VLOOKUP($B40,Seqs!$A:$B,2,FALSE),AM40,1),"")</f>
        <v>I</v>
      </c>
      <c r="AM40" s="3">
        <v>238</v>
      </c>
      <c r="AN40" s="3" t="str">
        <f>IFERROR(MID(VLOOKUP($B40,Seqs!$A:$B,2,FALSE),AO40,1),"")</f>
        <v>R</v>
      </c>
      <c r="AO40" s="3">
        <v>275</v>
      </c>
      <c r="AP40" s="3" t="str">
        <f>IFERROR(MID(VLOOKUP($B40,Seqs!$A:$B,2,FALSE),AQ40,1),"")</f>
        <v>N</v>
      </c>
      <c r="AQ40" s="3">
        <v>316</v>
      </c>
      <c r="AR40" s="3" t="str">
        <f>IFERROR(MID(VLOOKUP($B40,Seqs!$A:$B,2,FALSE),AS40,1),"")</f>
        <v>P</v>
      </c>
      <c r="AS40" s="3">
        <v>321</v>
      </c>
      <c r="AT40" s="3" t="str">
        <f>IFERROR(MID(VLOOKUP($B40,Seqs!$A:$B,2,FALSE),AU40,1),"")</f>
        <v>R</v>
      </c>
      <c r="AU40" s="3">
        <v>345</v>
      </c>
      <c r="AV40" s="3" t="str">
        <f>IFERROR(MID(VLOOKUP($B40,Seqs!$A:$B,2,FALSE),AW40,1),"")</f>
        <v>S</v>
      </c>
      <c r="AW40" s="3">
        <v>346</v>
      </c>
      <c r="AX40" s="3" t="str">
        <f>IFERROR(MID(VLOOKUP($B40,Seqs!$A:$B,2,FALSE),AY40,1),"")</f>
        <v>C</v>
      </c>
      <c r="AY40" s="3">
        <v>358</v>
      </c>
      <c r="AZ40" s="83" t="str">
        <f>VLOOKUP(B40,Classification!A:D,2,FALSE)</f>
        <v>A</v>
      </c>
      <c r="BC40" s="57">
        <f t="shared" si="88"/>
        <v>265</v>
      </c>
      <c r="BD40" s="63" t="b">
        <f t="shared" si="89"/>
        <v>1</v>
      </c>
      <c r="BE40" s="68" t="s">
        <v>1514</v>
      </c>
      <c r="BF40" s="75" t="s">
        <v>1514</v>
      </c>
      <c r="BG40" s="75" t="s">
        <v>1514</v>
      </c>
      <c r="BH40" s="75" t="s">
        <v>1514</v>
      </c>
      <c r="BI40" s="75" t="s">
        <v>1514</v>
      </c>
      <c r="BJ40" s="75" t="s">
        <v>1514</v>
      </c>
      <c r="BK40" s="75" t="s">
        <v>1514</v>
      </c>
      <c r="BL40" s="75" t="s">
        <v>1514</v>
      </c>
      <c r="BM40" s="75" t="s">
        <v>1514</v>
      </c>
      <c r="BN40" s="75" t="s">
        <v>1514</v>
      </c>
      <c r="BO40" s="75" t="s">
        <v>1514</v>
      </c>
      <c r="BP40" s="75" t="s">
        <v>1514</v>
      </c>
      <c r="BQ40" s="68">
        <f t="shared" si="62"/>
        <v>32</v>
      </c>
      <c r="BR40" s="69">
        <f t="shared" si="63"/>
        <v>70</v>
      </c>
      <c r="BS40" s="70">
        <f t="shared" si="64"/>
        <v>74</v>
      </c>
      <c r="BT40" s="69">
        <f t="shared" si="65"/>
        <v>106</v>
      </c>
      <c r="BU40" s="70">
        <f t="shared" si="66"/>
        <v>110</v>
      </c>
      <c r="BV40" s="69">
        <f t="shared" si="67"/>
        <v>146</v>
      </c>
      <c r="BW40" s="70">
        <f t="shared" si="68"/>
        <v>155</v>
      </c>
      <c r="BX40" s="69">
        <f t="shared" si="69"/>
        <v>199</v>
      </c>
      <c r="BY40" s="70">
        <f t="shared" si="70"/>
        <v>204</v>
      </c>
      <c r="BZ40" s="69">
        <f t="shared" si="71"/>
        <v>275</v>
      </c>
      <c r="CA40" s="70">
        <f t="shared" si="72"/>
        <v>321</v>
      </c>
      <c r="CB40" s="69">
        <f t="shared" si="73"/>
        <v>346</v>
      </c>
      <c r="CC40" s="68">
        <f t="shared" si="74"/>
        <v>69</v>
      </c>
      <c r="CD40" s="69">
        <f t="shared" si="75"/>
        <v>73</v>
      </c>
      <c r="CE40" s="70">
        <f t="shared" si="76"/>
        <v>104</v>
      </c>
      <c r="CF40" s="70">
        <f t="shared" si="77"/>
        <v>109</v>
      </c>
      <c r="CG40" s="70">
        <f t="shared" si="78"/>
        <v>145</v>
      </c>
      <c r="CH40" s="70">
        <f t="shared" si="79"/>
        <v>153</v>
      </c>
      <c r="CI40" s="70">
        <f t="shared" si="80"/>
        <v>180</v>
      </c>
      <c r="CJ40" s="70">
        <f t="shared" si="81"/>
        <v>201</v>
      </c>
      <c r="CK40" s="70">
        <f t="shared" si="82"/>
        <v>238</v>
      </c>
      <c r="CL40" s="70">
        <f t="shared" si="83"/>
        <v>316</v>
      </c>
      <c r="CM40" s="70">
        <f t="shared" si="84"/>
        <v>345</v>
      </c>
      <c r="CN40" s="70">
        <f t="shared" si="85"/>
        <v>358</v>
      </c>
      <c r="CO40" s="57">
        <f t="shared" si="86"/>
        <v>1</v>
      </c>
    </row>
    <row r="41" spans="1:93" x14ac:dyDescent="0.2">
      <c r="A41" s="3" t="str">
        <f t="shared" si="87"/>
        <v>adrb1_melga_4AMI</v>
      </c>
      <c r="B41" s="3" t="s">
        <v>1108</v>
      </c>
      <c r="C41" s="3" t="s">
        <v>1246</v>
      </c>
      <c r="D41" s="3" t="str">
        <f>IFERROR(MID(VLOOKUP($B41,Seqs!$A:$B,2,FALSE),E41,1),"")</f>
        <v>A</v>
      </c>
      <c r="E41" s="3">
        <v>33</v>
      </c>
      <c r="F41" s="3" t="str">
        <f>IFERROR(MID(VLOOKUP($B41,Seqs!$A:$B,2,FALSE),G41,1),"")</f>
        <v>T</v>
      </c>
      <c r="G41" s="3">
        <v>69</v>
      </c>
      <c r="H41" s="3" t="str">
        <f>IFERROR(MID(VLOOKUP($B41,Seqs!$A:$B,2,FALSE),I41,1),"")</f>
        <v>Q</v>
      </c>
      <c r="I41" s="57">
        <v>70</v>
      </c>
      <c r="J41" s="3" t="str">
        <f>IFERROR(MID(VLOOKUP($B41,Seqs!$A:$B,2,FALSE),K41,1),"")</f>
        <v>Q</v>
      </c>
      <c r="K41" s="57">
        <v>73</v>
      </c>
      <c r="L41" s="3" t="str">
        <f>IFERROR(MID(VLOOKUP($B41,Seqs!$A:$B,2,FALSE),M41,1),"")</f>
        <v>T</v>
      </c>
      <c r="M41" s="3">
        <v>74</v>
      </c>
      <c r="N41" s="3" t="str">
        <f>IFERROR(MID(VLOOKUP($B41,Seqs!$A:$B,2,FALSE),O41,1),"")</f>
        <v>R</v>
      </c>
      <c r="O41" s="3">
        <v>104</v>
      </c>
      <c r="P41" s="3" t="str">
        <f>IFERROR(MID(VLOOKUP($B41,Seqs!$A:$B,2,FALSE),Q41,1),"")</f>
        <v>T</v>
      </c>
      <c r="Q41" s="3">
        <v>106</v>
      </c>
      <c r="R41" s="3" t="str">
        <f>IFERROR(MID(VLOOKUP($B41,Seqs!$A:$B,2,FALSE),S41,1),"")</f>
        <v>W</v>
      </c>
      <c r="S41" s="3">
        <v>109</v>
      </c>
      <c r="T41" s="3" t="str">
        <f>IFERROR(MID(VLOOKUP($B41,Seqs!$A:$B,2,FALSE),U41,1),"")</f>
        <v>G</v>
      </c>
      <c r="U41" s="3">
        <v>110</v>
      </c>
      <c r="V41" s="3" t="str">
        <f>IFERROR(MID(VLOOKUP($B41,Seqs!$A:$B,2,FALSE),W41,1),"")</f>
        <v>S</v>
      </c>
      <c r="W41" s="3">
        <v>145</v>
      </c>
      <c r="X41" s="3" t="str">
        <f>IFERROR(MID(VLOOKUP($B41,Seqs!$A:$B,2,FALSE),Y41,1),"")</f>
        <v>P</v>
      </c>
      <c r="Y41" s="3">
        <v>146</v>
      </c>
      <c r="Z41" s="3" t="str">
        <f>IFERROR(MID(VLOOKUP($B41,Seqs!$A:$B,2,FALSE),AA41,1),"")</f>
        <v>M</v>
      </c>
      <c r="AA41" s="3">
        <v>153</v>
      </c>
      <c r="AB41" s="3" t="str">
        <f>IFERROR(MID(VLOOKUP($B41,Seqs!$A:$B,2,FALSE),AC41,1),"")</f>
        <v>R</v>
      </c>
      <c r="AC41" s="3">
        <v>155</v>
      </c>
      <c r="AD41" s="3" t="str">
        <f>IFERROR(MID(VLOOKUP($B41,Seqs!$A:$B,2,FALSE),AE41,1),"")</f>
        <v>H</v>
      </c>
      <c r="AE41" s="3">
        <v>180</v>
      </c>
      <c r="AF41" s="3" t="str">
        <f>IFERROR(MID(VLOOKUP($B41,Seqs!$A:$B,2,FALSE),AG41,1),"")</f>
        <v>C</v>
      </c>
      <c r="AG41" s="3">
        <v>199</v>
      </c>
      <c r="AH41" s="3" t="str">
        <f>IFERROR(MID(VLOOKUP($B41,Seqs!$A:$B,2,FALSE),AI41,1),"")</f>
        <v>F</v>
      </c>
      <c r="AI41" s="3">
        <v>201</v>
      </c>
      <c r="AJ41" s="3" t="str">
        <f>IFERROR(MID(VLOOKUP($B41,Seqs!$A:$B,2,FALSE),AK41,1),"")</f>
        <v>N</v>
      </c>
      <c r="AK41" s="3">
        <v>204</v>
      </c>
      <c r="AL41" s="3" t="str">
        <f>IFERROR(MID(VLOOKUP($B41,Seqs!$A:$B,2,FALSE),AM41,1),"")</f>
        <v>E</v>
      </c>
      <c r="AM41" s="3">
        <v>236</v>
      </c>
      <c r="AN41" s="3" t="str">
        <f>IFERROR(MID(VLOOKUP($B41,Seqs!$A:$B,2,FALSE),AO41,1),"")</f>
        <v>A</v>
      </c>
      <c r="AO41" s="3">
        <v>288</v>
      </c>
      <c r="AP41" s="3" t="str">
        <f>IFERROR(MID(VLOOKUP($B41,Seqs!$A:$B,2,FALSE),AQ41,1),"")</f>
        <v>N</v>
      </c>
      <c r="AQ41" s="3">
        <v>316</v>
      </c>
      <c r="AR41" s="3" t="str">
        <f>IFERROR(MID(VLOOKUP($B41,Seqs!$A:$B,2,FALSE),AS41,1),"")</f>
        <v>P</v>
      </c>
      <c r="AS41" s="3">
        <v>321</v>
      </c>
      <c r="AT41" s="3" t="str">
        <f>IFERROR(MID(VLOOKUP($B41,Seqs!$A:$B,2,FALSE),AU41,1),"")</f>
        <v>R</v>
      </c>
      <c r="AU41" s="3">
        <v>345</v>
      </c>
      <c r="AV41" s="3" t="str">
        <f>IFERROR(MID(VLOOKUP($B41,Seqs!$A:$B,2,FALSE),AW41,1),"")</f>
        <v>S</v>
      </c>
      <c r="AW41" s="3">
        <v>346</v>
      </c>
      <c r="AX41" s="3" t="str">
        <f>IFERROR(MID(VLOOKUP($B41,Seqs!$A:$B,2,FALSE),AY41,1),"")</f>
        <v>C</v>
      </c>
      <c r="AY41" s="3">
        <v>358</v>
      </c>
      <c r="AZ41" s="83" t="str">
        <f>VLOOKUP(B41,Classification!A:D,2,FALSE)</f>
        <v>A</v>
      </c>
      <c r="BC41" s="57">
        <f t="shared" si="88"/>
        <v>249</v>
      </c>
      <c r="BD41" s="63" t="b">
        <f t="shared" si="89"/>
        <v>1</v>
      </c>
      <c r="BE41" s="68" t="s">
        <v>1514</v>
      </c>
      <c r="BF41" s="75" t="s">
        <v>1514</v>
      </c>
      <c r="BG41" s="75" t="s">
        <v>1514</v>
      </c>
      <c r="BH41" s="75" t="s">
        <v>1514</v>
      </c>
      <c r="BI41" s="75" t="s">
        <v>1514</v>
      </c>
      <c r="BJ41" s="75" t="s">
        <v>1514</v>
      </c>
      <c r="BK41" s="75" t="s">
        <v>1514</v>
      </c>
      <c r="BL41" s="75" t="s">
        <v>1514</v>
      </c>
      <c r="BM41" s="75" t="s">
        <v>1514</v>
      </c>
      <c r="BN41" s="75" t="s">
        <v>1514</v>
      </c>
      <c r="BO41" s="75" t="s">
        <v>1514</v>
      </c>
      <c r="BP41" s="75" t="s">
        <v>1514</v>
      </c>
      <c r="BQ41" s="68">
        <f t="shared" si="62"/>
        <v>33</v>
      </c>
      <c r="BR41" s="69">
        <f t="shared" si="63"/>
        <v>70</v>
      </c>
      <c r="BS41" s="70">
        <f t="shared" si="64"/>
        <v>74</v>
      </c>
      <c r="BT41" s="69">
        <f t="shared" si="65"/>
        <v>106</v>
      </c>
      <c r="BU41" s="70">
        <f t="shared" si="66"/>
        <v>110</v>
      </c>
      <c r="BV41" s="69">
        <f t="shared" si="67"/>
        <v>146</v>
      </c>
      <c r="BW41" s="70">
        <f t="shared" si="68"/>
        <v>155</v>
      </c>
      <c r="BX41" s="69">
        <f t="shared" si="69"/>
        <v>199</v>
      </c>
      <c r="BY41" s="70">
        <f t="shared" si="70"/>
        <v>204</v>
      </c>
      <c r="BZ41" s="69">
        <f t="shared" si="71"/>
        <v>288</v>
      </c>
      <c r="CA41" s="70">
        <f t="shared" si="72"/>
        <v>321</v>
      </c>
      <c r="CB41" s="69">
        <f t="shared" si="73"/>
        <v>346</v>
      </c>
      <c r="CC41" s="68">
        <f t="shared" si="74"/>
        <v>69</v>
      </c>
      <c r="CD41" s="69">
        <f t="shared" si="75"/>
        <v>73</v>
      </c>
      <c r="CE41" s="70">
        <f t="shared" si="76"/>
        <v>104</v>
      </c>
      <c r="CF41" s="70">
        <f t="shared" si="77"/>
        <v>109</v>
      </c>
      <c r="CG41" s="70">
        <f t="shared" si="78"/>
        <v>145</v>
      </c>
      <c r="CH41" s="70">
        <f t="shared" si="79"/>
        <v>153</v>
      </c>
      <c r="CI41" s="70">
        <f t="shared" si="80"/>
        <v>180</v>
      </c>
      <c r="CJ41" s="70">
        <f t="shared" si="81"/>
        <v>201</v>
      </c>
      <c r="CK41" s="70">
        <f t="shared" si="82"/>
        <v>236</v>
      </c>
      <c r="CL41" s="70">
        <f t="shared" si="83"/>
        <v>316</v>
      </c>
      <c r="CM41" s="70">
        <f t="shared" si="84"/>
        <v>345</v>
      </c>
      <c r="CN41" s="70">
        <f t="shared" si="85"/>
        <v>358</v>
      </c>
      <c r="CO41" s="57">
        <f t="shared" si="86"/>
        <v>1</v>
      </c>
    </row>
    <row r="42" spans="1:93" x14ac:dyDescent="0.2">
      <c r="A42" s="3" t="str">
        <f t="shared" si="87"/>
        <v>adrb1_melga_4AMJ</v>
      </c>
      <c r="B42" s="3" t="s">
        <v>1108</v>
      </c>
      <c r="C42" s="3" t="s">
        <v>1247</v>
      </c>
      <c r="D42" s="3" t="str">
        <f>IFERROR(MID(VLOOKUP($B42,Seqs!$A:$B,2,FALSE),E42,1),"")</f>
        <v>S</v>
      </c>
      <c r="E42" s="3">
        <v>32</v>
      </c>
      <c r="F42" s="3" t="str">
        <f>IFERROR(MID(VLOOKUP($B42,Seqs!$A:$B,2,FALSE),G42,1),"")</f>
        <v>T</v>
      </c>
      <c r="G42" s="3">
        <v>69</v>
      </c>
      <c r="H42" s="3" t="str">
        <f>IFERROR(MID(VLOOKUP($B42,Seqs!$A:$B,2,FALSE),I42,1),"")</f>
        <v>Q</v>
      </c>
      <c r="I42" s="57">
        <v>70</v>
      </c>
      <c r="J42" s="3" t="str">
        <f>IFERROR(MID(VLOOKUP($B42,Seqs!$A:$B,2,FALSE),K42,1),"")</f>
        <v>Q</v>
      </c>
      <c r="K42" s="57">
        <v>73</v>
      </c>
      <c r="L42" s="3" t="str">
        <f>IFERROR(MID(VLOOKUP($B42,Seqs!$A:$B,2,FALSE),M42,1),"")</f>
        <v>T</v>
      </c>
      <c r="M42" s="3">
        <v>74</v>
      </c>
      <c r="N42" s="3" t="str">
        <f>IFERROR(MID(VLOOKUP($B42,Seqs!$A:$B,2,FALSE),O42,1),"")</f>
        <v>R</v>
      </c>
      <c r="O42" s="3">
        <v>104</v>
      </c>
      <c r="P42" s="3" t="str">
        <f>IFERROR(MID(VLOOKUP($B42,Seqs!$A:$B,2,FALSE),Q42,1),"")</f>
        <v>T</v>
      </c>
      <c r="Q42" s="3">
        <v>106</v>
      </c>
      <c r="R42" s="3" t="str">
        <f>IFERROR(MID(VLOOKUP($B42,Seqs!$A:$B,2,FALSE),S42,1),"")</f>
        <v>W</v>
      </c>
      <c r="S42" s="3">
        <v>109</v>
      </c>
      <c r="T42" s="3" t="str">
        <f>IFERROR(MID(VLOOKUP($B42,Seqs!$A:$B,2,FALSE),U42,1),"")</f>
        <v>G</v>
      </c>
      <c r="U42" s="3">
        <v>110</v>
      </c>
      <c r="V42" s="3" t="str">
        <f>IFERROR(MID(VLOOKUP($B42,Seqs!$A:$B,2,FALSE),W42,1),"")</f>
        <v>S</v>
      </c>
      <c r="W42" s="3">
        <v>145</v>
      </c>
      <c r="X42" s="3" t="str">
        <f>IFERROR(MID(VLOOKUP($B42,Seqs!$A:$B,2,FALSE),Y42,1),"")</f>
        <v>P</v>
      </c>
      <c r="Y42" s="3">
        <v>146</v>
      </c>
      <c r="Z42" s="3" t="str">
        <f>IFERROR(MID(VLOOKUP($B42,Seqs!$A:$B,2,FALSE),AA42,1),"")</f>
        <v>M</v>
      </c>
      <c r="AA42" s="3">
        <v>153</v>
      </c>
      <c r="AB42" s="3" t="str">
        <f>IFERROR(MID(VLOOKUP($B42,Seqs!$A:$B,2,FALSE),AC42,1),"")</f>
        <v>R</v>
      </c>
      <c r="AC42" s="3">
        <v>155</v>
      </c>
      <c r="AD42" s="3" t="str">
        <f>IFERROR(MID(VLOOKUP($B42,Seqs!$A:$B,2,FALSE),AE42,1),"")</f>
        <v>H</v>
      </c>
      <c r="AE42" s="3">
        <v>180</v>
      </c>
      <c r="AF42" s="3" t="str">
        <f>IFERROR(MID(VLOOKUP($B42,Seqs!$A:$B,2,FALSE),AG42,1),"")</f>
        <v>C</v>
      </c>
      <c r="AG42" s="3">
        <v>199</v>
      </c>
      <c r="AH42" s="3" t="str">
        <f>IFERROR(MID(VLOOKUP($B42,Seqs!$A:$B,2,FALSE),AI42,1),"")</f>
        <v>F</v>
      </c>
      <c r="AI42" s="3">
        <v>201</v>
      </c>
      <c r="AJ42" s="3" t="str">
        <f>IFERROR(MID(VLOOKUP($B42,Seqs!$A:$B,2,FALSE),AK42,1),"")</f>
        <v>N</v>
      </c>
      <c r="AK42" s="3">
        <v>204</v>
      </c>
      <c r="AL42" s="3" t="str">
        <f>IFERROR(MID(VLOOKUP($B42,Seqs!$A:$B,2,FALSE),AM42,1),"")</f>
        <v>I</v>
      </c>
      <c r="AM42" s="3">
        <v>238</v>
      </c>
      <c r="AN42" s="3" t="str">
        <f>IFERROR(MID(VLOOKUP($B42,Seqs!$A:$B,2,FALSE),AO42,1),"")</f>
        <v>R</v>
      </c>
      <c r="AO42" s="3">
        <v>275</v>
      </c>
      <c r="AP42" s="3" t="str">
        <f>IFERROR(MID(VLOOKUP($B42,Seqs!$A:$B,2,FALSE),AQ42,1),"")</f>
        <v>N</v>
      </c>
      <c r="AQ42" s="3">
        <v>316</v>
      </c>
      <c r="AR42" s="3" t="str">
        <f>IFERROR(MID(VLOOKUP($B42,Seqs!$A:$B,2,FALSE),AS42,1),"")</f>
        <v>P</v>
      </c>
      <c r="AS42" s="3">
        <v>321</v>
      </c>
      <c r="AT42" s="3" t="str">
        <f>IFERROR(MID(VLOOKUP($B42,Seqs!$A:$B,2,FALSE),AU42,1),"")</f>
        <v>R</v>
      </c>
      <c r="AU42" s="3">
        <v>345</v>
      </c>
      <c r="AV42" s="3" t="str">
        <f>IFERROR(MID(VLOOKUP($B42,Seqs!$A:$B,2,FALSE),AW42,1),"")</f>
        <v>S</v>
      </c>
      <c r="AW42" s="3">
        <v>346</v>
      </c>
      <c r="AX42" s="3" t="str">
        <f>IFERROR(MID(VLOOKUP($B42,Seqs!$A:$B,2,FALSE),AY42,1),"")</f>
        <v>C</v>
      </c>
      <c r="AY42" s="3">
        <v>358</v>
      </c>
      <c r="AZ42" s="83" t="str">
        <f>VLOOKUP(B42,Classification!A:D,2,FALSE)</f>
        <v>A</v>
      </c>
      <c r="BC42" s="57">
        <f t="shared" si="88"/>
        <v>265</v>
      </c>
      <c r="BD42" s="63" t="b">
        <f t="shared" si="89"/>
        <v>1</v>
      </c>
      <c r="BE42" s="68" t="s">
        <v>1514</v>
      </c>
      <c r="BF42" s="75" t="s">
        <v>1514</v>
      </c>
      <c r="BG42" s="75" t="s">
        <v>1514</v>
      </c>
      <c r="BH42" s="75" t="s">
        <v>1514</v>
      </c>
      <c r="BI42" s="75" t="s">
        <v>1514</v>
      </c>
      <c r="BJ42" s="75" t="s">
        <v>1514</v>
      </c>
      <c r="BK42" s="75" t="s">
        <v>1514</v>
      </c>
      <c r="BL42" s="75" t="s">
        <v>1514</v>
      </c>
      <c r="BM42" s="75" t="s">
        <v>1514</v>
      </c>
      <c r="BN42" s="75" t="s">
        <v>1514</v>
      </c>
      <c r="BO42" s="75" t="s">
        <v>1514</v>
      </c>
      <c r="BP42" s="75" t="s">
        <v>1514</v>
      </c>
      <c r="BQ42" s="68">
        <f t="shared" si="62"/>
        <v>32</v>
      </c>
      <c r="BR42" s="69">
        <f t="shared" si="63"/>
        <v>70</v>
      </c>
      <c r="BS42" s="70">
        <f t="shared" si="64"/>
        <v>74</v>
      </c>
      <c r="BT42" s="69">
        <f t="shared" si="65"/>
        <v>106</v>
      </c>
      <c r="BU42" s="70">
        <f t="shared" si="66"/>
        <v>110</v>
      </c>
      <c r="BV42" s="69">
        <f t="shared" si="67"/>
        <v>146</v>
      </c>
      <c r="BW42" s="70">
        <f t="shared" si="68"/>
        <v>155</v>
      </c>
      <c r="BX42" s="69">
        <f t="shared" si="69"/>
        <v>199</v>
      </c>
      <c r="BY42" s="70">
        <f t="shared" si="70"/>
        <v>204</v>
      </c>
      <c r="BZ42" s="69">
        <f t="shared" si="71"/>
        <v>275</v>
      </c>
      <c r="CA42" s="70">
        <f t="shared" si="72"/>
        <v>321</v>
      </c>
      <c r="CB42" s="69">
        <f t="shared" si="73"/>
        <v>346</v>
      </c>
      <c r="CC42" s="68">
        <f t="shared" si="74"/>
        <v>69</v>
      </c>
      <c r="CD42" s="69">
        <f t="shared" si="75"/>
        <v>73</v>
      </c>
      <c r="CE42" s="70">
        <f t="shared" si="76"/>
        <v>104</v>
      </c>
      <c r="CF42" s="70">
        <f t="shared" si="77"/>
        <v>109</v>
      </c>
      <c r="CG42" s="70">
        <f t="shared" si="78"/>
        <v>145</v>
      </c>
      <c r="CH42" s="70">
        <f t="shared" si="79"/>
        <v>153</v>
      </c>
      <c r="CI42" s="70">
        <f t="shared" si="80"/>
        <v>180</v>
      </c>
      <c r="CJ42" s="70">
        <f t="shared" si="81"/>
        <v>201</v>
      </c>
      <c r="CK42" s="70">
        <f t="shared" si="82"/>
        <v>238</v>
      </c>
      <c r="CL42" s="70">
        <f t="shared" si="83"/>
        <v>316</v>
      </c>
      <c r="CM42" s="70">
        <f t="shared" si="84"/>
        <v>345</v>
      </c>
      <c r="CN42" s="70">
        <f t="shared" si="85"/>
        <v>358</v>
      </c>
      <c r="CO42" s="57">
        <f t="shared" si="86"/>
        <v>1</v>
      </c>
    </row>
    <row r="43" spans="1:93" x14ac:dyDescent="0.2">
      <c r="A43" s="3" t="str">
        <f t="shared" si="87"/>
        <v>adrb1_melga_4BVN</v>
      </c>
      <c r="B43" s="3" t="s">
        <v>1108</v>
      </c>
      <c r="C43" s="3" t="s">
        <v>273</v>
      </c>
      <c r="D43" s="3" t="str">
        <f>IFERROR(MID(VLOOKUP($B43,Seqs!$A:$B,2,FALSE),E43,1),"")</f>
        <v>S</v>
      </c>
      <c r="E43" s="3">
        <v>37</v>
      </c>
      <c r="F43" s="3" t="str">
        <f>IFERROR(MID(VLOOKUP($B43,Seqs!$A:$B,2,FALSE),G43,1),"")</f>
        <v>T</v>
      </c>
      <c r="G43" s="3">
        <v>69</v>
      </c>
      <c r="H43" s="3" t="str">
        <f>IFERROR(MID(VLOOKUP($B43,Seqs!$A:$B,2,FALSE),I43,1),"")</f>
        <v>Q</v>
      </c>
      <c r="I43" s="57">
        <v>70</v>
      </c>
      <c r="J43" s="3" t="str">
        <f>IFERROR(MID(VLOOKUP($B43,Seqs!$A:$B,2,FALSE),K43,1),"")</f>
        <v>Q</v>
      </c>
      <c r="K43" s="57">
        <v>73</v>
      </c>
      <c r="L43" s="3" t="str">
        <f>IFERROR(MID(VLOOKUP($B43,Seqs!$A:$B,2,FALSE),M43,1),"")</f>
        <v>T</v>
      </c>
      <c r="M43" s="3">
        <v>74</v>
      </c>
      <c r="N43" s="3" t="str">
        <f>IFERROR(MID(VLOOKUP($B43,Seqs!$A:$B,2,FALSE),O43,1),"")</f>
        <v>R</v>
      </c>
      <c r="O43" s="3">
        <v>104</v>
      </c>
      <c r="P43" s="3" t="str">
        <f>IFERROR(MID(VLOOKUP($B43,Seqs!$A:$B,2,FALSE),Q43,1),"")</f>
        <v>T</v>
      </c>
      <c r="Q43" s="3">
        <v>106</v>
      </c>
      <c r="R43" s="3" t="str">
        <f>IFERROR(MID(VLOOKUP($B43,Seqs!$A:$B,2,FALSE),S43,1),"")</f>
        <v>W</v>
      </c>
      <c r="S43" s="3">
        <v>109</v>
      </c>
      <c r="T43" s="3" t="str">
        <f>IFERROR(MID(VLOOKUP($B43,Seqs!$A:$B,2,FALSE),U43,1),"")</f>
        <v>G</v>
      </c>
      <c r="U43" s="3">
        <v>110</v>
      </c>
      <c r="V43" s="3" t="str">
        <f>IFERROR(MID(VLOOKUP($B43,Seqs!$A:$B,2,FALSE),W43,1),"")</f>
        <v>S</v>
      </c>
      <c r="W43" s="3">
        <v>145</v>
      </c>
      <c r="X43" s="3" t="str">
        <f>IFERROR(MID(VLOOKUP($B43,Seqs!$A:$B,2,FALSE),Y43,1),"")</f>
        <v>P</v>
      </c>
      <c r="Y43" s="3">
        <v>146</v>
      </c>
      <c r="Z43" s="3" t="str">
        <f>IFERROR(MID(VLOOKUP($B43,Seqs!$A:$B,2,FALSE),AA43,1),"")</f>
        <v>M</v>
      </c>
      <c r="AA43" s="3">
        <v>153</v>
      </c>
      <c r="AB43" s="3" t="str">
        <f>IFERROR(MID(VLOOKUP($B43,Seqs!$A:$B,2,FALSE),AC43,1),"")</f>
        <v>R</v>
      </c>
      <c r="AC43" s="3">
        <v>155</v>
      </c>
      <c r="AD43" s="3" t="str">
        <f>IFERROR(MID(VLOOKUP($B43,Seqs!$A:$B,2,FALSE),AE43,1),"")</f>
        <v>H</v>
      </c>
      <c r="AE43" s="3">
        <v>180</v>
      </c>
      <c r="AF43" s="3" t="str">
        <f>IFERROR(MID(VLOOKUP($B43,Seqs!$A:$B,2,FALSE),AG43,1),"")</f>
        <v>C</v>
      </c>
      <c r="AG43" s="3">
        <v>199</v>
      </c>
      <c r="AH43" s="3" t="str">
        <f>IFERROR(MID(VLOOKUP($B43,Seqs!$A:$B,2,FALSE),AI43,1),"")</f>
        <v>F</v>
      </c>
      <c r="AI43" s="3">
        <v>201</v>
      </c>
      <c r="AJ43" s="3" t="str">
        <f>IFERROR(MID(VLOOKUP($B43,Seqs!$A:$B,2,FALSE),AK43,1),"")</f>
        <v>N</v>
      </c>
      <c r="AK43" s="3">
        <v>204</v>
      </c>
      <c r="AL43" s="3" t="str">
        <f>IFERROR(MID(VLOOKUP($B43,Seqs!$A:$B,2,FALSE),AM43,1),"")</f>
        <v>R</v>
      </c>
      <c r="AM43" s="3">
        <v>239</v>
      </c>
      <c r="AN43" s="3" t="str">
        <f>IFERROR(MID(VLOOKUP($B43,Seqs!$A:$B,2,FALSE),AO43,1),"")</f>
        <v>R</v>
      </c>
      <c r="AO43" s="3">
        <v>279</v>
      </c>
      <c r="AP43" s="3" t="str">
        <f>IFERROR(MID(VLOOKUP($B43,Seqs!$A:$B,2,FALSE),AQ43,1),"")</f>
        <v>N</v>
      </c>
      <c r="AQ43" s="3">
        <v>316</v>
      </c>
      <c r="AR43" s="3" t="str">
        <f>IFERROR(MID(VLOOKUP($B43,Seqs!$A:$B,2,FALSE),AS43,1),"")</f>
        <v>P</v>
      </c>
      <c r="AS43" s="3">
        <v>321</v>
      </c>
      <c r="AT43" s="3" t="str">
        <f>IFERROR(MID(VLOOKUP($B43,Seqs!$A:$B,2,FALSE),AU43,1),"")</f>
        <v>R</v>
      </c>
      <c r="AU43" s="3">
        <v>345</v>
      </c>
      <c r="AV43" s="3" t="str">
        <f>IFERROR(MID(VLOOKUP($B43,Seqs!$A:$B,2,FALSE),AW43,1),"")</f>
        <v>S</v>
      </c>
      <c r="AW43" s="3">
        <v>346</v>
      </c>
      <c r="AX43" s="3" t="str">
        <f>IFERROR(MID(VLOOKUP($B43,Seqs!$A:$B,2,FALSE),AY43,1),"")</f>
        <v>C</v>
      </c>
      <c r="AY43" s="3">
        <v>358</v>
      </c>
      <c r="AZ43" s="83" t="str">
        <f>VLOOKUP(B43,Classification!A:D,2,FALSE)</f>
        <v>A</v>
      </c>
      <c r="BC43" s="57">
        <f t="shared" si="88"/>
        <v>257</v>
      </c>
      <c r="BD43" s="63" t="b">
        <f t="shared" si="89"/>
        <v>1</v>
      </c>
      <c r="BE43" s="68" t="s">
        <v>1514</v>
      </c>
      <c r="BF43" s="75" t="s">
        <v>1514</v>
      </c>
      <c r="BG43" s="75" t="s">
        <v>1514</v>
      </c>
      <c r="BH43" s="75" t="s">
        <v>1514</v>
      </c>
      <c r="BI43" s="75" t="s">
        <v>1514</v>
      </c>
      <c r="BJ43" s="75" t="s">
        <v>1514</v>
      </c>
      <c r="BK43" s="75" t="s">
        <v>1514</v>
      </c>
      <c r="BL43" s="75" t="s">
        <v>1514</v>
      </c>
      <c r="BM43" s="75" t="s">
        <v>1514</v>
      </c>
      <c r="BN43" s="75" t="s">
        <v>1514</v>
      </c>
      <c r="BO43" s="75" t="s">
        <v>1514</v>
      </c>
      <c r="BP43" s="75" t="s">
        <v>1514</v>
      </c>
      <c r="BQ43" s="68">
        <f t="shared" si="62"/>
        <v>37</v>
      </c>
      <c r="BR43" s="69">
        <f t="shared" si="63"/>
        <v>70</v>
      </c>
      <c r="BS43" s="70">
        <f t="shared" si="64"/>
        <v>74</v>
      </c>
      <c r="BT43" s="69">
        <f t="shared" si="65"/>
        <v>106</v>
      </c>
      <c r="BU43" s="70">
        <f t="shared" si="66"/>
        <v>110</v>
      </c>
      <c r="BV43" s="69">
        <f t="shared" si="67"/>
        <v>146</v>
      </c>
      <c r="BW43" s="70">
        <f t="shared" si="68"/>
        <v>155</v>
      </c>
      <c r="BX43" s="69">
        <f t="shared" si="69"/>
        <v>199</v>
      </c>
      <c r="BY43" s="70">
        <f t="shared" si="70"/>
        <v>204</v>
      </c>
      <c r="BZ43" s="69">
        <f t="shared" si="71"/>
        <v>279</v>
      </c>
      <c r="CA43" s="70">
        <f t="shared" si="72"/>
        <v>321</v>
      </c>
      <c r="CB43" s="69">
        <f t="shared" si="73"/>
        <v>346</v>
      </c>
      <c r="CC43" s="68">
        <f t="shared" si="74"/>
        <v>69</v>
      </c>
      <c r="CD43" s="69">
        <f t="shared" si="75"/>
        <v>73</v>
      </c>
      <c r="CE43" s="70">
        <f t="shared" si="76"/>
        <v>104</v>
      </c>
      <c r="CF43" s="70">
        <f t="shared" si="77"/>
        <v>109</v>
      </c>
      <c r="CG43" s="70">
        <f t="shared" si="78"/>
        <v>145</v>
      </c>
      <c r="CH43" s="70">
        <f t="shared" si="79"/>
        <v>153</v>
      </c>
      <c r="CI43" s="70">
        <f t="shared" si="80"/>
        <v>180</v>
      </c>
      <c r="CJ43" s="70">
        <f t="shared" si="81"/>
        <v>201</v>
      </c>
      <c r="CK43" s="70">
        <f t="shared" si="82"/>
        <v>239</v>
      </c>
      <c r="CL43" s="70">
        <f t="shared" si="83"/>
        <v>316</v>
      </c>
      <c r="CM43" s="70">
        <f t="shared" si="84"/>
        <v>345</v>
      </c>
      <c r="CN43" s="70">
        <f t="shared" si="85"/>
        <v>358</v>
      </c>
      <c r="CO43" s="57">
        <f t="shared" si="86"/>
        <v>1</v>
      </c>
    </row>
    <row r="44" spans="1:93" x14ac:dyDescent="0.2">
      <c r="A44" s="3" t="str">
        <f t="shared" si="87"/>
        <v>adrb1_melga_4GPO</v>
      </c>
      <c r="B44" s="3" t="s">
        <v>1108</v>
      </c>
      <c r="C44" s="3" t="s">
        <v>1248</v>
      </c>
      <c r="D44" s="3" t="str">
        <f>IFERROR(MID(VLOOKUP($B44,Seqs!$A:$B,2,FALSE),E44,1),"")</f>
        <v>S</v>
      </c>
      <c r="E44" s="3">
        <v>37</v>
      </c>
      <c r="F44" s="3" t="str">
        <f>IFERROR(MID(VLOOKUP($B44,Seqs!$A:$B,2,FALSE),G44,1),"")</f>
        <v>T</v>
      </c>
      <c r="G44" s="3">
        <v>69</v>
      </c>
      <c r="H44" s="3" t="str">
        <f>IFERROR(MID(VLOOKUP($B44,Seqs!$A:$B,2,FALSE),I44,1),"")</f>
        <v>Q</v>
      </c>
      <c r="I44" s="57">
        <v>70</v>
      </c>
      <c r="J44" s="3" t="str">
        <f>IFERROR(MID(VLOOKUP($B44,Seqs!$A:$B,2,FALSE),K44,1),"")</f>
        <v>Q</v>
      </c>
      <c r="K44" s="57">
        <v>73</v>
      </c>
      <c r="L44" s="3" t="str">
        <f>IFERROR(MID(VLOOKUP($B44,Seqs!$A:$B,2,FALSE),M44,1),"")</f>
        <v>T</v>
      </c>
      <c r="M44" s="3">
        <v>74</v>
      </c>
      <c r="N44" s="3" t="str">
        <f>IFERROR(MID(VLOOKUP($B44,Seqs!$A:$B,2,FALSE),O44,1),"")</f>
        <v>R</v>
      </c>
      <c r="O44" s="3">
        <v>104</v>
      </c>
      <c r="P44" s="3" t="str">
        <f>IFERROR(MID(VLOOKUP($B44,Seqs!$A:$B,2,FALSE),Q44,1),"")</f>
        <v>T</v>
      </c>
      <c r="Q44" s="3">
        <v>106</v>
      </c>
      <c r="R44" s="3" t="str">
        <f>IFERROR(MID(VLOOKUP($B44,Seqs!$A:$B,2,FALSE),S44,1),"")</f>
        <v>W</v>
      </c>
      <c r="S44" s="3">
        <v>109</v>
      </c>
      <c r="T44" s="3" t="str">
        <f>IFERROR(MID(VLOOKUP($B44,Seqs!$A:$B,2,FALSE),U44,1),"")</f>
        <v>G</v>
      </c>
      <c r="U44" s="3">
        <v>110</v>
      </c>
      <c r="V44" s="3" t="str">
        <f>IFERROR(MID(VLOOKUP($B44,Seqs!$A:$B,2,FALSE),W44,1),"")</f>
        <v>S</v>
      </c>
      <c r="W44" s="3">
        <v>145</v>
      </c>
      <c r="X44" s="3" t="str">
        <f>IFERROR(MID(VLOOKUP($B44,Seqs!$A:$B,2,FALSE),Y44,1),"")</f>
        <v>P</v>
      </c>
      <c r="Y44" s="3">
        <v>146</v>
      </c>
      <c r="Z44" s="3" t="str">
        <f>IFERROR(MID(VLOOKUP($B44,Seqs!$A:$B,2,FALSE),AA44,1),"")</f>
        <v>M</v>
      </c>
      <c r="AA44" s="3">
        <v>153</v>
      </c>
      <c r="AB44" s="3" t="str">
        <f>IFERROR(MID(VLOOKUP($B44,Seqs!$A:$B,2,FALSE),AC44,1),"")</f>
        <v>R</v>
      </c>
      <c r="AC44" s="3">
        <v>155</v>
      </c>
      <c r="AD44" s="3" t="str">
        <f>IFERROR(MID(VLOOKUP($B44,Seqs!$A:$B,2,FALSE),AE44,1),"")</f>
        <v>H</v>
      </c>
      <c r="AE44" s="3">
        <v>180</v>
      </c>
      <c r="AF44" s="3" t="str">
        <f>IFERROR(MID(VLOOKUP($B44,Seqs!$A:$B,2,FALSE),AG44,1),"")</f>
        <v>C</v>
      </c>
      <c r="AG44" s="3">
        <v>199</v>
      </c>
      <c r="AH44" s="3" t="str">
        <f>IFERROR(MID(VLOOKUP($B44,Seqs!$A:$B,2,FALSE),AI44,1),"")</f>
        <v>F</v>
      </c>
      <c r="AI44" s="3">
        <v>201</v>
      </c>
      <c r="AJ44" s="3" t="str">
        <f>IFERROR(MID(VLOOKUP($B44,Seqs!$A:$B,2,FALSE),AK44,1),"")</f>
        <v>N</v>
      </c>
      <c r="AK44" s="3">
        <v>204</v>
      </c>
      <c r="AL44" s="3" t="str">
        <f>IFERROR(MID(VLOOKUP($B44,Seqs!$A:$B,2,FALSE),AM44,1),"")</f>
        <v>E</v>
      </c>
      <c r="AM44" s="3">
        <v>233</v>
      </c>
      <c r="AN44" s="3" t="str">
        <f>IFERROR(MID(VLOOKUP($B44,Seqs!$A:$B,2,FALSE),AO44,1),"")</f>
        <v>M</v>
      </c>
      <c r="AO44" s="3">
        <v>283</v>
      </c>
      <c r="AP44" s="3" t="str">
        <f>IFERROR(MID(VLOOKUP($B44,Seqs!$A:$B,2,FALSE),AQ44,1),"")</f>
        <v>N</v>
      </c>
      <c r="AQ44" s="3">
        <v>316</v>
      </c>
      <c r="AR44" s="3" t="str">
        <f>IFERROR(MID(VLOOKUP($B44,Seqs!$A:$B,2,FALSE),AS44,1),"")</f>
        <v>P</v>
      </c>
      <c r="AS44" s="3">
        <v>321</v>
      </c>
      <c r="AT44" s="3" t="str">
        <f>IFERROR(MID(VLOOKUP($B44,Seqs!$A:$B,2,FALSE),AU44,1),"")</f>
        <v>R</v>
      </c>
      <c r="AU44" s="3">
        <v>345</v>
      </c>
      <c r="AV44" s="3" t="str">
        <f>IFERROR(MID(VLOOKUP($B44,Seqs!$A:$B,2,FALSE),AW44,1),"")</f>
        <v>S</v>
      </c>
      <c r="AW44" s="3">
        <v>346</v>
      </c>
      <c r="AX44" s="3" t="str">
        <f>IFERROR(MID(VLOOKUP($B44,Seqs!$A:$B,2,FALSE),AY44,1),"")</f>
        <v>L</v>
      </c>
      <c r="AY44" s="3">
        <v>356</v>
      </c>
      <c r="AZ44" s="83" t="str">
        <f>VLOOKUP(B44,Classification!A:D,2,FALSE)</f>
        <v>A</v>
      </c>
      <c r="BC44" s="57">
        <f t="shared" si="88"/>
        <v>245</v>
      </c>
      <c r="BD44" s="63" t="b">
        <f t="shared" si="89"/>
        <v>1</v>
      </c>
      <c r="BE44" s="68" t="s">
        <v>1514</v>
      </c>
      <c r="BF44" s="75" t="s">
        <v>1514</v>
      </c>
      <c r="BG44" s="75" t="s">
        <v>1514</v>
      </c>
      <c r="BH44" s="75" t="s">
        <v>1514</v>
      </c>
      <c r="BI44" s="75" t="s">
        <v>1514</v>
      </c>
      <c r="BJ44" s="75" t="s">
        <v>1514</v>
      </c>
      <c r="BK44" s="75" t="s">
        <v>1514</v>
      </c>
      <c r="BL44" s="75" t="s">
        <v>1514</v>
      </c>
      <c r="BM44" s="75" t="s">
        <v>1514</v>
      </c>
      <c r="BN44" s="75" t="s">
        <v>1514</v>
      </c>
      <c r="BO44" s="75" t="s">
        <v>1514</v>
      </c>
      <c r="BP44" s="75" t="s">
        <v>1514</v>
      </c>
      <c r="BQ44" s="68">
        <f t="shared" si="62"/>
        <v>37</v>
      </c>
      <c r="BR44" s="69">
        <f t="shared" si="63"/>
        <v>70</v>
      </c>
      <c r="BS44" s="70">
        <f t="shared" si="64"/>
        <v>74</v>
      </c>
      <c r="BT44" s="69">
        <f t="shared" si="65"/>
        <v>106</v>
      </c>
      <c r="BU44" s="70">
        <f t="shared" si="66"/>
        <v>110</v>
      </c>
      <c r="BV44" s="69">
        <f t="shared" si="67"/>
        <v>146</v>
      </c>
      <c r="BW44" s="70">
        <f t="shared" si="68"/>
        <v>155</v>
      </c>
      <c r="BX44" s="69">
        <f t="shared" si="69"/>
        <v>199</v>
      </c>
      <c r="BY44" s="70">
        <f t="shared" si="70"/>
        <v>204</v>
      </c>
      <c r="BZ44" s="69">
        <f t="shared" si="71"/>
        <v>283</v>
      </c>
      <c r="CA44" s="70">
        <f t="shared" si="72"/>
        <v>321</v>
      </c>
      <c r="CB44" s="69">
        <f t="shared" si="73"/>
        <v>346</v>
      </c>
      <c r="CC44" s="68">
        <f t="shared" si="74"/>
        <v>69</v>
      </c>
      <c r="CD44" s="69">
        <f t="shared" si="75"/>
        <v>73</v>
      </c>
      <c r="CE44" s="70">
        <f t="shared" si="76"/>
        <v>104</v>
      </c>
      <c r="CF44" s="70">
        <f t="shared" si="77"/>
        <v>109</v>
      </c>
      <c r="CG44" s="70">
        <f t="shared" si="78"/>
        <v>145</v>
      </c>
      <c r="CH44" s="70">
        <f t="shared" si="79"/>
        <v>153</v>
      </c>
      <c r="CI44" s="70">
        <f t="shared" si="80"/>
        <v>180</v>
      </c>
      <c r="CJ44" s="70">
        <f t="shared" si="81"/>
        <v>201</v>
      </c>
      <c r="CK44" s="70">
        <f t="shared" si="82"/>
        <v>233</v>
      </c>
      <c r="CL44" s="70">
        <f t="shared" si="83"/>
        <v>316</v>
      </c>
      <c r="CM44" s="70">
        <f t="shared" si="84"/>
        <v>345</v>
      </c>
      <c r="CN44" s="70">
        <f t="shared" si="85"/>
        <v>356</v>
      </c>
      <c r="CO44" s="57">
        <f t="shared" si="86"/>
        <v>1</v>
      </c>
    </row>
    <row r="45" spans="1:93" x14ac:dyDescent="0.2">
      <c r="A45" s="3" t="str">
        <f t="shared" si="87"/>
        <v>adrb1_melga_5A8E</v>
      </c>
      <c r="B45" s="3" t="s">
        <v>1108</v>
      </c>
      <c r="C45" s="3" t="s">
        <v>1265</v>
      </c>
      <c r="D45" s="3" t="str">
        <f>IFERROR(MID(VLOOKUP($B45,Seqs!$A:$B,2,FALSE),E45,1),"")</f>
        <v>S</v>
      </c>
      <c r="E45" s="3">
        <v>37</v>
      </c>
      <c r="F45" s="3" t="str">
        <f>IFERROR(MID(VLOOKUP($B45,Seqs!$A:$B,2,FALSE),G45,1),"")</f>
        <v>T</v>
      </c>
      <c r="G45" s="3">
        <v>69</v>
      </c>
      <c r="H45" s="3" t="str">
        <f>IFERROR(MID(VLOOKUP($B45,Seqs!$A:$B,2,FALSE),I45,1),"")</f>
        <v>Q</v>
      </c>
      <c r="I45" s="57">
        <v>70</v>
      </c>
      <c r="J45" s="3" t="str">
        <f>IFERROR(MID(VLOOKUP($B45,Seqs!$A:$B,2,FALSE),K45,1),"")</f>
        <v>Q</v>
      </c>
      <c r="K45" s="57">
        <v>73</v>
      </c>
      <c r="L45" s="3" t="str">
        <f>IFERROR(MID(VLOOKUP($B45,Seqs!$A:$B,2,FALSE),M45,1),"")</f>
        <v>T</v>
      </c>
      <c r="M45" s="3">
        <v>74</v>
      </c>
      <c r="N45" s="3" t="str">
        <f>IFERROR(MID(VLOOKUP($B45,Seqs!$A:$B,2,FALSE),O45,1),"")</f>
        <v>R</v>
      </c>
      <c r="O45" s="3">
        <v>104</v>
      </c>
      <c r="P45" s="3" t="str">
        <f>IFERROR(MID(VLOOKUP($B45,Seqs!$A:$B,2,FALSE),Q45,1),"")</f>
        <v>T</v>
      </c>
      <c r="Q45" s="3">
        <v>106</v>
      </c>
      <c r="R45" s="3" t="str">
        <f>IFERROR(MID(VLOOKUP($B45,Seqs!$A:$B,2,FALSE),S45,1),"")</f>
        <v>W</v>
      </c>
      <c r="S45" s="3">
        <v>109</v>
      </c>
      <c r="T45" s="3" t="str">
        <f>IFERROR(MID(VLOOKUP($B45,Seqs!$A:$B,2,FALSE),U45,1),"")</f>
        <v>G</v>
      </c>
      <c r="U45" s="3">
        <v>110</v>
      </c>
      <c r="V45" s="3" t="str">
        <f>IFERROR(MID(VLOOKUP($B45,Seqs!$A:$B,2,FALSE),W45,1),"")</f>
        <v>S</v>
      </c>
      <c r="W45" s="3">
        <v>145</v>
      </c>
      <c r="X45" s="3" t="str">
        <f>IFERROR(MID(VLOOKUP($B45,Seqs!$A:$B,2,FALSE),Y45,1),"")</f>
        <v>P</v>
      </c>
      <c r="Y45" s="3">
        <v>146</v>
      </c>
      <c r="Z45" s="3" t="str">
        <f>IFERROR(MID(VLOOKUP($B45,Seqs!$A:$B,2,FALSE),AA45,1),"")</f>
        <v>M</v>
      </c>
      <c r="AA45" s="3">
        <v>153</v>
      </c>
      <c r="AB45" s="3" t="str">
        <f>IFERROR(MID(VLOOKUP($B45,Seqs!$A:$B,2,FALSE),AC45,1),"")</f>
        <v>R</v>
      </c>
      <c r="AC45" s="3">
        <v>155</v>
      </c>
      <c r="AD45" s="3" t="str">
        <f>IFERROR(MID(VLOOKUP($B45,Seqs!$A:$B,2,FALSE),AE45,1),"")</f>
        <v>H</v>
      </c>
      <c r="AE45" s="3">
        <v>180</v>
      </c>
      <c r="AF45" s="3" t="str">
        <f>IFERROR(MID(VLOOKUP($B45,Seqs!$A:$B,2,FALSE),AG45,1),"")</f>
        <v>C</v>
      </c>
      <c r="AG45" s="3">
        <v>199</v>
      </c>
      <c r="AH45" s="3" t="str">
        <f>IFERROR(MID(VLOOKUP($B45,Seqs!$A:$B,2,FALSE),AI45,1),"")</f>
        <v>F</v>
      </c>
      <c r="AI45" s="3">
        <v>201</v>
      </c>
      <c r="AJ45" s="3" t="str">
        <f>IFERROR(MID(VLOOKUP($B45,Seqs!$A:$B,2,FALSE),AK45,1),"")</f>
        <v>N</v>
      </c>
      <c r="AK45" s="3">
        <v>204</v>
      </c>
      <c r="AL45" s="3" t="str">
        <f>IFERROR(MID(VLOOKUP($B45,Seqs!$A:$B,2,FALSE),AM45,1),"")</f>
        <v>R</v>
      </c>
      <c r="AM45" s="3">
        <v>239</v>
      </c>
      <c r="AN45" s="3" t="str">
        <f>IFERROR(MID(VLOOKUP($B45,Seqs!$A:$B,2,FALSE),AO45,1),"")</f>
        <v>R</v>
      </c>
      <c r="AO45" s="3">
        <v>279</v>
      </c>
      <c r="AP45" s="3" t="str">
        <f>IFERROR(MID(VLOOKUP($B45,Seqs!$A:$B,2,FALSE),AQ45,1),"")</f>
        <v>N</v>
      </c>
      <c r="AQ45" s="3">
        <v>316</v>
      </c>
      <c r="AR45" s="3" t="str">
        <f>IFERROR(MID(VLOOKUP($B45,Seqs!$A:$B,2,FALSE),AS45,1),"")</f>
        <v>P</v>
      </c>
      <c r="AS45" s="3">
        <v>321</v>
      </c>
      <c r="AT45" s="3" t="str">
        <f>IFERROR(MID(VLOOKUP($B45,Seqs!$A:$B,2,FALSE),AU45,1),"")</f>
        <v>R</v>
      </c>
      <c r="AU45" s="3">
        <v>345</v>
      </c>
      <c r="AV45" s="3" t="str">
        <f>IFERROR(MID(VLOOKUP($B45,Seqs!$A:$B,2,FALSE),AW45,1),"")</f>
        <v>S</v>
      </c>
      <c r="AW45" s="3">
        <v>346</v>
      </c>
      <c r="AX45" s="3" t="str">
        <f>IFERROR(MID(VLOOKUP($B45,Seqs!$A:$B,2,FALSE),AY45,1),"")</f>
        <v>K</v>
      </c>
      <c r="AY45" s="3">
        <v>354</v>
      </c>
      <c r="AZ45" s="83" t="str">
        <f>VLOOKUP(B45,Classification!A:D,2,FALSE)</f>
        <v>A</v>
      </c>
      <c r="BC45" s="57">
        <f t="shared" si="88"/>
        <v>253</v>
      </c>
      <c r="BD45" s="63" t="b">
        <f t="shared" si="89"/>
        <v>1</v>
      </c>
      <c r="BE45" s="68" t="s">
        <v>1514</v>
      </c>
      <c r="BF45" s="75" t="s">
        <v>1514</v>
      </c>
      <c r="BG45" s="75" t="s">
        <v>1514</v>
      </c>
      <c r="BH45" s="75" t="s">
        <v>1514</v>
      </c>
      <c r="BI45" s="75" t="s">
        <v>1514</v>
      </c>
      <c r="BJ45" s="75" t="s">
        <v>1514</v>
      </c>
      <c r="BK45" s="75" t="s">
        <v>1514</v>
      </c>
      <c r="BL45" s="75" t="s">
        <v>1514</v>
      </c>
      <c r="BM45" s="75" t="s">
        <v>1514</v>
      </c>
      <c r="BN45" s="75" t="s">
        <v>1514</v>
      </c>
      <c r="BO45" s="75" t="s">
        <v>1514</v>
      </c>
      <c r="BP45" s="75" t="s">
        <v>1514</v>
      </c>
      <c r="BQ45" s="68">
        <f t="shared" si="62"/>
        <v>37</v>
      </c>
      <c r="BR45" s="69">
        <f t="shared" si="63"/>
        <v>70</v>
      </c>
      <c r="BS45" s="70">
        <f t="shared" si="64"/>
        <v>74</v>
      </c>
      <c r="BT45" s="69">
        <f t="shared" si="65"/>
        <v>106</v>
      </c>
      <c r="BU45" s="70">
        <f t="shared" si="66"/>
        <v>110</v>
      </c>
      <c r="BV45" s="69">
        <f t="shared" si="67"/>
        <v>146</v>
      </c>
      <c r="BW45" s="70">
        <f t="shared" si="68"/>
        <v>155</v>
      </c>
      <c r="BX45" s="69">
        <f t="shared" si="69"/>
        <v>199</v>
      </c>
      <c r="BY45" s="70">
        <f t="shared" si="70"/>
        <v>204</v>
      </c>
      <c r="BZ45" s="69">
        <f t="shared" si="71"/>
        <v>279</v>
      </c>
      <c r="CA45" s="70">
        <f t="shared" si="72"/>
        <v>321</v>
      </c>
      <c r="CB45" s="69">
        <f t="shared" si="73"/>
        <v>346</v>
      </c>
      <c r="CC45" s="68">
        <f t="shared" si="74"/>
        <v>69</v>
      </c>
      <c r="CD45" s="69">
        <f t="shared" si="75"/>
        <v>73</v>
      </c>
      <c r="CE45" s="70">
        <f t="shared" si="76"/>
        <v>104</v>
      </c>
      <c r="CF45" s="70">
        <f t="shared" si="77"/>
        <v>109</v>
      </c>
      <c r="CG45" s="70">
        <f t="shared" si="78"/>
        <v>145</v>
      </c>
      <c r="CH45" s="70">
        <f t="shared" si="79"/>
        <v>153</v>
      </c>
      <c r="CI45" s="70">
        <f t="shared" si="80"/>
        <v>180</v>
      </c>
      <c r="CJ45" s="70">
        <f t="shared" si="81"/>
        <v>201</v>
      </c>
      <c r="CK45" s="70">
        <f t="shared" si="82"/>
        <v>239</v>
      </c>
      <c r="CL45" s="70">
        <f t="shared" si="83"/>
        <v>316</v>
      </c>
      <c r="CM45" s="70">
        <f t="shared" si="84"/>
        <v>345</v>
      </c>
      <c r="CN45" s="70">
        <f t="shared" si="85"/>
        <v>354</v>
      </c>
      <c r="CO45" s="57">
        <f t="shared" si="86"/>
        <v>1</v>
      </c>
    </row>
    <row r="46" spans="1:93" x14ac:dyDescent="0.2">
      <c r="A46" s="3" t="str">
        <f t="shared" si="87"/>
        <v>adrb2_human__wt</v>
      </c>
      <c r="B46" s="3" t="s">
        <v>320</v>
      </c>
      <c r="C46" s="3" t="s">
        <v>294</v>
      </c>
      <c r="D46" s="3" t="str">
        <f>IFERROR(MID(VLOOKUP($B46,Seqs!$A:$B,2,FALSE),E46,1),"")</f>
        <v>Q</v>
      </c>
      <c r="E46" s="3">
        <v>26</v>
      </c>
      <c r="F46" s="3" t="str">
        <f>IFERROR(MID(VLOOKUP($B46,Seqs!$A:$B,2,FALSE),G46,1),"")</f>
        <v>F</v>
      </c>
      <c r="G46" s="3">
        <v>61</v>
      </c>
      <c r="H46" s="3" t="str">
        <f>IFERROR(MID(VLOOKUP($B46,Seqs!$A:$B,2,FALSE),I46,1),"")</f>
        <v>E</v>
      </c>
      <c r="I46" s="57">
        <v>62</v>
      </c>
      <c r="J46" s="3" t="str">
        <f>IFERROR(MID(VLOOKUP($B46,Seqs!$A:$B,2,FALSE),K46,1),"")</f>
        <v>Q</v>
      </c>
      <c r="K46" s="57">
        <v>65</v>
      </c>
      <c r="L46" s="3" t="str">
        <f>IFERROR(MID(VLOOKUP($B46,Seqs!$A:$B,2,FALSE),M46,1),"")</f>
        <v>T</v>
      </c>
      <c r="M46" s="3">
        <v>66</v>
      </c>
      <c r="N46" s="3" t="str">
        <f>IFERROR(MID(VLOOKUP($B46,Seqs!$A:$B,2,FALSE),O46,1),"")</f>
        <v>M</v>
      </c>
      <c r="O46" s="3">
        <v>96</v>
      </c>
      <c r="P46" s="3" t="str">
        <f>IFERROR(MID(VLOOKUP($B46,Seqs!$A:$B,2,FALSE),Q46,1),"")</f>
        <v>M</v>
      </c>
      <c r="Q46" s="3">
        <v>98</v>
      </c>
      <c r="R46" s="3" t="str">
        <f>IFERROR(MID(VLOOKUP($B46,Seqs!$A:$B,2,FALSE),S46,1),"")</f>
        <v>F</v>
      </c>
      <c r="S46" s="3">
        <v>101</v>
      </c>
      <c r="T46" s="3" t="str">
        <f>IFERROR(MID(VLOOKUP($B46,Seqs!$A:$B,2,FALSE),U46,1),"")</f>
        <v>G</v>
      </c>
      <c r="U46" s="3">
        <v>102</v>
      </c>
      <c r="V46" s="3" t="str">
        <f>IFERROR(MID(VLOOKUP($B46,Seqs!$A:$B,2,FALSE),W46,1),"")</f>
        <v>S</v>
      </c>
      <c r="W46" s="3">
        <v>137</v>
      </c>
      <c r="X46" s="3" t="str">
        <f>IFERROR(MID(VLOOKUP($B46,Seqs!$A:$B,2,FALSE),Y46,1),"")</f>
        <v>P</v>
      </c>
      <c r="Y46" s="3">
        <v>138</v>
      </c>
      <c r="Z46" s="3" t="str">
        <f>IFERROR(MID(VLOOKUP($B46,Seqs!$A:$B,2,FALSE),AA46,1),"")</f>
        <v>L</v>
      </c>
      <c r="AA46" s="3">
        <v>145</v>
      </c>
      <c r="AB46" s="3" t="str">
        <f>IFERROR(MID(VLOOKUP($B46,Seqs!$A:$B,2,FALSE),AC46,1),"")</f>
        <v>K</v>
      </c>
      <c r="AC46" s="3">
        <v>147</v>
      </c>
      <c r="AD46" s="3" t="str">
        <f>IFERROR(MID(VLOOKUP($B46,Seqs!$A:$B,2,FALSE),AE46,1),"")</f>
        <v>H</v>
      </c>
      <c r="AE46" s="3">
        <v>172</v>
      </c>
      <c r="AF46" s="3" t="str">
        <f>IFERROR(MID(VLOOKUP($B46,Seqs!$A:$B,2,FALSE),AG46,1),"")</f>
        <v>C</v>
      </c>
      <c r="AG46" s="3">
        <v>191</v>
      </c>
      <c r="AH46" s="3" t="str">
        <f>IFERROR(MID(VLOOKUP($B46,Seqs!$A:$B,2,FALSE),AI46,1),"")</f>
        <v>F</v>
      </c>
      <c r="AI46" s="3">
        <v>193</v>
      </c>
      <c r="AJ46" s="3" t="str">
        <f>IFERROR(MID(VLOOKUP($B46,Seqs!$A:$B,2,FALSE),AK46,1),"")</f>
        <v>N</v>
      </c>
      <c r="AK46" s="3">
        <v>196</v>
      </c>
      <c r="AL46" s="3" t="str">
        <f>IFERROR(MID(VLOOKUP($B46,Seqs!$A:$B,2,FALSE),AM46,1),"")</f>
        <v>E</v>
      </c>
      <c r="AM46" s="3">
        <v>237</v>
      </c>
      <c r="AN46" s="3" t="str">
        <f>IFERROR(MID(VLOOKUP($B46,Seqs!$A:$B,2,FALSE),AO46,1),"")</f>
        <v>S</v>
      </c>
      <c r="AO46" s="3">
        <v>262</v>
      </c>
      <c r="AP46" s="3" t="str">
        <f>IFERROR(MID(VLOOKUP($B46,Seqs!$A:$B,2,FALSE),AQ46,1),"")</f>
        <v>Q</v>
      </c>
      <c r="AQ46" s="3">
        <v>299</v>
      </c>
      <c r="AR46" s="3" t="str">
        <f>IFERROR(MID(VLOOKUP($B46,Seqs!$A:$B,2,FALSE),AS46,1),"")</f>
        <v>R</v>
      </c>
      <c r="AS46" s="3">
        <v>304</v>
      </c>
      <c r="AT46" s="3" t="str">
        <f>IFERROR(MID(VLOOKUP($B46,Seqs!$A:$B,2,FALSE),AU46,1),"")</f>
        <v>R</v>
      </c>
      <c r="AU46" s="3">
        <v>328</v>
      </c>
      <c r="AV46" s="3" t="str">
        <f>IFERROR(MID(VLOOKUP($B46,Seqs!$A:$B,2,FALSE),AW46,1),"")</f>
        <v>S</v>
      </c>
      <c r="AW46" s="3">
        <v>329</v>
      </c>
      <c r="AX46" s="3" t="str">
        <f>IFERROR(MID(VLOOKUP($B46,Seqs!$A:$B,2,FALSE),AY46,1),"")</f>
        <v>C</v>
      </c>
      <c r="AY46" s="3">
        <v>341</v>
      </c>
      <c r="AZ46" s="83" t="str">
        <f>VLOOKUP(B46,Classification!A:D,2,FALSE)</f>
        <v>A</v>
      </c>
      <c r="BA46" s="3" t="s">
        <v>1385</v>
      </c>
      <c r="BB46" s="82">
        <f>S46-Q46+1</f>
        <v>4</v>
      </c>
      <c r="BC46" s="57">
        <f t="shared" si="88"/>
        <v>266</v>
      </c>
      <c r="BD46" s="63" t="b">
        <f t="shared" si="89"/>
        <v>1</v>
      </c>
      <c r="BE46" s="68" t="s">
        <v>1514</v>
      </c>
      <c r="BF46" s="75" t="s">
        <v>1514</v>
      </c>
      <c r="BG46" s="75" t="s">
        <v>1514</v>
      </c>
      <c r="BH46" s="75" t="s">
        <v>1514</v>
      </c>
      <c r="BI46" s="75" t="s">
        <v>1514</v>
      </c>
      <c r="BJ46" s="75" t="s">
        <v>1514</v>
      </c>
      <c r="BK46" s="75" t="s">
        <v>1514</v>
      </c>
      <c r="BL46" s="75" t="s">
        <v>1514</v>
      </c>
      <c r="BM46" s="75" t="s">
        <v>1514</v>
      </c>
      <c r="BN46" s="75" t="s">
        <v>1514</v>
      </c>
      <c r="BO46" s="75" t="s">
        <v>1514</v>
      </c>
      <c r="BP46" s="75" t="s">
        <v>1514</v>
      </c>
      <c r="BQ46" s="68">
        <f t="shared" si="62"/>
        <v>26</v>
      </c>
      <c r="BR46" s="69">
        <f t="shared" si="63"/>
        <v>62</v>
      </c>
      <c r="BS46" s="70">
        <f t="shared" si="64"/>
        <v>66</v>
      </c>
      <c r="BT46" s="69">
        <f t="shared" si="65"/>
        <v>98</v>
      </c>
      <c r="BU46" s="70">
        <f t="shared" si="66"/>
        <v>102</v>
      </c>
      <c r="BV46" s="69">
        <f t="shared" si="67"/>
        <v>138</v>
      </c>
      <c r="BW46" s="70">
        <f t="shared" si="68"/>
        <v>147</v>
      </c>
      <c r="BX46" s="69">
        <f t="shared" si="69"/>
        <v>191</v>
      </c>
      <c r="BY46" s="70">
        <f t="shared" si="70"/>
        <v>196</v>
      </c>
      <c r="BZ46" s="69">
        <f t="shared" si="71"/>
        <v>262</v>
      </c>
      <c r="CA46" s="70">
        <f t="shared" si="72"/>
        <v>304</v>
      </c>
      <c r="CB46" s="69">
        <f t="shared" si="73"/>
        <v>329</v>
      </c>
      <c r="CC46" s="68">
        <f t="shared" si="74"/>
        <v>61</v>
      </c>
      <c r="CD46" s="69">
        <f t="shared" si="75"/>
        <v>65</v>
      </c>
      <c r="CE46" s="70">
        <f t="shared" si="76"/>
        <v>96</v>
      </c>
      <c r="CF46" s="70">
        <f t="shared" si="77"/>
        <v>101</v>
      </c>
      <c r="CG46" s="70">
        <f t="shared" si="78"/>
        <v>137</v>
      </c>
      <c r="CH46" s="70">
        <f t="shared" si="79"/>
        <v>145</v>
      </c>
      <c r="CI46" s="70">
        <f t="shared" si="80"/>
        <v>172</v>
      </c>
      <c r="CJ46" s="70">
        <f t="shared" si="81"/>
        <v>193</v>
      </c>
      <c r="CK46" s="70">
        <f t="shared" si="82"/>
        <v>237</v>
      </c>
      <c r="CL46" s="70">
        <f t="shared" si="83"/>
        <v>299</v>
      </c>
      <c r="CM46" s="70">
        <f t="shared" si="84"/>
        <v>328</v>
      </c>
      <c r="CN46" s="70">
        <f t="shared" si="85"/>
        <v>341</v>
      </c>
      <c r="CO46" s="57">
        <f t="shared" si="86"/>
        <v>1</v>
      </c>
    </row>
    <row r="47" spans="1:93" x14ac:dyDescent="0.2">
      <c r="A47" s="3" t="str">
        <f t="shared" si="87"/>
        <v>adrb2_human_2RH1</v>
      </c>
      <c r="B47" s="3" t="s">
        <v>320</v>
      </c>
      <c r="C47" s="3" t="s">
        <v>266</v>
      </c>
      <c r="D47" s="3" t="str">
        <f>IFERROR(MID(VLOOKUP($B47,Seqs!$A:$B,2,FALSE),E47,1),"")</f>
        <v>D</v>
      </c>
      <c r="E47" s="3">
        <v>29</v>
      </c>
      <c r="F47" s="3" t="str">
        <f>IFERROR(MID(VLOOKUP($B47,Seqs!$A:$B,2,FALSE),G47,1),"")</f>
        <v>F</v>
      </c>
      <c r="G47" s="3">
        <v>61</v>
      </c>
      <c r="H47" s="3" t="str">
        <f>IFERROR(MID(VLOOKUP($B47,Seqs!$A:$B,2,FALSE),I47,1),"")</f>
        <v>E</v>
      </c>
      <c r="I47" s="57">
        <v>62</v>
      </c>
      <c r="J47" s="3" t="str">
        <f>IFERROR(MID(VLOOKUP($B47,Seqs!$A:$B,2,FALSE),K47,1),"")</f>
        <v>Q</v>
      </c>
      <c r="K47" s="57">
        <v>65</v>
      </c>
      <c r="L47" s="3" t="str">
        <f>IFERROR(MID(VLOOKUP($B47,Seqs!$A:$B,2,FALSE),M47,1),"")</f>
        <v>T</v>
      </c>
      <c r="M47" s="3">
        <v>66</v>
      </c>
      <c r="N47" s="3" t="str">
        <f>IFERROR(MID(VLOOKUP($B47,Seqs!$A:$B,2,FALSE),O47,1),"")</f>
        <v>M</v>
      </c>
      <c r="O47" s="3">
        <v>96</v>
      </c>
      <c r="P47" s="3" t="str">
        <f>IFERROR(MID(VLOOKUP($B47,Seqs!$A:$B,2,FALSE),Q47,1),"")</f>
        <v>M</v>
      </c>
      <c r="Q47" s="3">
        <v>98</v>
      </c>
      <c r="R47" s="3" t="str">
        <f>IFERROR(MID(VLOOKUP($B47,Seqs!$A:$B,2,FALSE),S47,1),"")</f>
        <v>F</v>
      </c>
      <c r="S47" s="3">
        <v>101</v>
      </c>
      <c r="T47" s="3" t="str">
        <f>IFERROR(MID(VLOOKUP($B47,Seqs!$A:$B,2,FALSE),U47,1),"")</f>
        <v>G</v>
      </c>
      <c r="U47" s="3">
        <v>102</v>
      </c>
      <c r="V47" s="3" t="str">
        <f>IFERROR(MID(VLOOKUP($B47,Seqs!$A:$B,2,FALSE),W47,1),"")</f>
        <v>S</v>
      </c>
      <c r="W47" s="3">
        <v>137</v>
      </c>
      <c r="X47" s="3" t="str">
        <f>IFERROR(MID(VLOOKUP($B47,Seqs!$A:$B,2,FALSE),Y47,1),"")</f>
        <v/>
      </c>
      <c r="Y47" s="3" t="s">
        <v>129</v>
      </c>
      <c r="Z47" s="3" t="str">
        <f>IFERROR(MID(VLOOKUP($B47,Seqs!$A:$B,2,FALSE),AA47,1),"")</f>
        <v/>
      </c>
      <c r="AA47" s="3" t="s">
        <v>129</v>
      </c>
      <c r="AB47" s="3" t="str">
        <f>IFERROR(MID(VLOOKUP($B47,Seqs!$A:$B,2,FALSE),AC47,1),"")</f>
        <v>K</v>
      </c>
      <c r="AC47" s="3">
        <v>147</v>
      </c>
      <c r="AD47" s="3" t="str">
        <f>IFERROR(MID(VLOOKUP($B47,Seqs!$A:$B,2,FALSE),AE47,1),"")</f>
        <v>H</v>
      </c>
      <c r="AE47" s="3">
        <v>172</v>
      </c>
      <c r="AF47" s="3" t="str">
        <f>IFERROR(MID(VLOOKUP($B47,Seqs!$A:$B,2,FALSE),AG47,1),"")</f>
        <v>C</v>
      </c>
      <c r="AG47" s="3">
        <v>191</v>
      </c>
      <c r="AH47" s="3" t="str">
        <f>IFERROR(MID(VLOOKUP($B47,Seqs!$A:$B,2,FALSE),AI47,1),"")</f>
        <v>F</v>
      </c>
      <c r="AI47" s="3">
        <v>193</v>
      </c>
      <c r="AJ47" s="3" t="str">
        <f>IFERROR(MID(VLOOKUP($B47,Seqs!$A:$B,2,FALSE),AK47,1),"")</f>
        <v>A</v>
      </c>
      <c r="AK47" s="3">
        <v>198</v>
      </c>
      <c r="AL47" s="3" t="str">
        <f>IFERROR(MID(VLOOKUP($B47,Seqs!$A:$B,2,FALSE),AM47,1),"")</f>
        <v>Q</v>
      </c>
      <c r="AM47" s="3">
        <v>229</v>
      </c>
      <c r="AN47" s="3" t="str">
        <f>IFERROR(MID(VLOOKUP($B47,Seqs!$A:$B,2,FALSE),AO47,1),"")</f>
        <v>K</v>
      </c>
      <c r="AO47" s="3">
        <v>267</v>
      </c>
      <c r="AP47" s="3" t="str">
        <f>IFERROR(MID(VLOOKUP($B47,Seqs!$A:$B,2,FALSE),AQ47,1),"")</f>
        <v>Q</v>
      </c>
      <c r="AQ47" s="3">
        <v>299</v>
      </c>
      <c r="AR47" s="3" t="str">
        <f>IFERROR(MID(VLOOKUP($B47,Seqs!$A:$B,2,FALSE),AS47,1),"")</f>
        <v>R</v>
      </c>
      <c r="AS47" s="3">
        <v>304</v>
      </c>
      <c r="AT47" s="3" t="str">
        <f>IFERROR(MID(VLOOKUP($B47,Seqs!$A:$B,2,FALSE),AU47,1),"")</f>
        <v>R</v>
      </c>
      <c r="AU47" s="3">
        <v>328</v>
      </c>
      <c r="AV47" s="3" t="str">
        <f>IFERROR(MID(VLOOKUP($B47,Seqs!$A:$B,2,FALSE),AW47,1),"")</f>
        <v>S</v>
      </c>
      <c r="AW47" s="3">
        <v>329</v>
      </c>
      <c r="AX47" s="3" t="str">
        <f>IFERROR(MID(VLOOKUP($B47,Seqs!$A:$B,2,FALSE),AY47,1),"")</f>
        <v>C</v>
      </c>
      <c r="AY47" s="3">
        <v>341</v>
      </c>
      <c r="AZ47" s="83" t="str">
        <f>VLOOKUP(B47,Classification!A:D,2,FALSE)</f>
        <v>A</v>
      </c>
      <c r="BC47" s="57">
        <f t="shared" si="88"/>
        <v>241</v>
      </c>
      <c r="BD47" s="63" t="b">
        <f t="shared" si="89"/>
        <v>1</v>
      </c>
      <c r="BE47" s="68" t="s">
        <v>1514</v>
      </c>
      <c r="BF47" s="75" t="s">
        <v>1514</v>
      </c>
      <c r="BG47" s="75" t="s">
        <v>1514</v>
      </c>
      <c r="BH47" s="75" t="s">
        <v>1514</v>
      </c>
      <c r="BI47" s="75" t="s">
        <v>1514</v>
      </c>
      <c r="BJ47" s="75" t="s">
        <v>1514</v>
      </c>
      <c r="BK47" s="75" t="s">
        <v>1514</v>
      </c>
      <c r="BL47" s="75" t="s">
        <v>1514</v>
      </c>
      <c r="BM47" s="75" t="s">
        <v>1514</v>
      </c>
      <c r="BN47" s="75" t="s">
        <v>1514</v>
      </c>
      <c r="BO47" s="75" t="s">
        <v>1514</v>
      </c>
      <c r="BP47" s="75" t="s">
        <v>1514</v>
      </c>
      <c r="BQ47" s="68">
        <f t="shared" si="62"/>
        <v>29</v>
      </c>
      <c r="BR47" s="69">
        <f t="shared" si="63"/>
        <v>62</v>
      </c>
      <c r="BS47" s="70">
        <f t="shared" si="64"/>
        <v>66</v>
      </c>
      <c r="BT47" s="69">
        <f t="shared" si="65"/>
        <v>98</v>
      </c>
      <c r="BU47" s="70">
        <f t="shared" si="66"/>
        <v>102</v>
      </c>
      <c r="BV47" s="69" t="str">
        <f t="shared" si="67"/>
        <v>-</v>
      </c>
      <c r="BW47" s="70">
        <f t="shared" si="68"/>
        <v>147</v>
      </c>
      <c r="BX47" s="69">
        <f t="shared" si="69"/>
        <v>191</v>
      </c>
      <c r="BY47" s="70">
        <f t="shared" si="70"/>
        <v>198</v>
      </c>
      <c r="BZ47" s="69">
        <f t="shared" si="71"/>
        <v>267</v>
      </c>
      <c r="CA47" s="70">
        <f t="shared" si="72"/>
        <v>304</v>
      </c>
      <c r="CB47" s="69">
        <f t="shared" si="73"/>
        <v>329</v>
      </c>
      <c r="CC47" s="68">
        <f t="shared" si="74"/>
        <v>61</v>
      </c>
      <c r="CD47" s="69">
        <f t="shared" si="75"/>
        <v>65</v>
      </c>
      <c r="CE47" s="70">
        <f t="shared" si="76"/>
        <v>96</v>
      </c>
      <c r="CF47" s="70">
        <f t="shared" si="77"/>
        <v>101</v>
      </c>
      <c r="CG47" s="70">
        <f t="shared" si="78"/>
        <v>137</v>
      </c>
      <c r="CH47" s="70" t="str">
        <f t="shared" si="79"/>
        <v>-</v>
      </c>
      <c r="CI47" s="70">
        <f t="shared" si="80"/>
        <v>172</v>
      </c>
      <c r="CJ47" s="70">
        <f t="shared" si="81"/>
        <v>193</v>
      </c>
      <c r="CK47" s="70">
        <f t="shared" si="82"/>
        <v>229</v>
      </c>
      <c r="CL47" s="70">
        <f t="shared" si="83"/>
        <v>299</v>
      </c>
      <c r="CM47" s="70">
        <f t="shared" si="84"/>
        <v>328</v>
      </c>
      <c r="CN47" s="70">
        <f t="shared" si="85"/>
        <v>341</v>
      </c>
      <c r="CO47" s="57">
        <f t="shared" si="86"/>
        <v>1</v>
      </c>
    </row>
    <row r="48" spans="1:93" x14ac:dyDescent="0.2">
      <c r="A48" s="3" t="str">
        <f t="shared" si="87"/>
        <v>adrb2_human_3D4S</v>
      </c>
      <c r="B48" s="3" t="s">
        <v>320</v>
      </c>
      <c r="C48" s="3" t="s">
        <v>267</v>
      </c>
      <c r="D48" s="3" t="str">
        <f>IFERROR(MID(VLOOKUP($B48,Seqs!$A:$B,2,FALSE),E48,1),"")</f>
        <v>W</v>
      </c>
      <c r="E48" s="3">
        <v>32</v>
      </c>
      <c r="F48" s="3" t="str">
        <f>IFERROR(MID(VLOOKUP($B48,Seqs!$A:$B,2,FALSE),G48,1),"")</f>
        <v>F</v>
      </c>
      <c r="G48" s="3">
        <v>61</v>
      </c>
      <c r="H48" s="3" t="str">
        <f>IFERROR(MID(VLOOKUP($B48,Seqs!$A:$B,2,FALSE),I48,1),"")</f>
        <v>E</v>
      </c>
      <c r="I48" s="57">
        <v>62</v>
      </c>
      <c r="J48" s="3" t="str">
        <f>IFERROR(MID(VLOOKUP($B48,Seqs!$A:$B,2,FALSE),K48,1),"")</f>
        <v>Q</v>
      </c>
      <c r="K48" s="57">
        <v>65</v>
      </c>
      <c r="L48" s="3" t="str">
        <f>IFERROR(MID(VLOOKUP($B48,Seqs!$A:$B,2,FALSE),M48,1),"")</f>
        <v>T</v>
      </c>
      <c r="M48" s="3">
        <v>66</v>
      </c>
      <c r="N48" s="3" t="str">
        <f>IFERROR(MID(VLOOKUP($B48,Seqs!$A:$B,2,FALSE),O48,1),"")</f>
        <v>M</v>
      </c>
      <c r="O48" s="3">
        <v>96</v>
      </c>
      <c r="P48" s="3" t="str">
        <f>IFERROR(MID(VLOOKUP($B48,Seqs!$A:$B,2,FALSE),Q48,1),"")</f>
        <v>M</v>
      </c>
      <c r="Q48" s="3">
        <v>98</v>
      </c>
      <c r="R48" s="3" t="str">
        <f>IFERROR(MID(VLOOKUP($B48,Seqs!$A:$B,2,FALSE),S48,1),"")</f>
        <v>F</v>
      </c>
      <c r="S48" s="3">
        <v>101</v>
      </c>
      <c r="T48" s="3" t="str">
        <f>IFERROR(MID(VLOOKUP($B48,Seqs!$A:$B,2,FALSE),U48,1),"")</f>
        <v>G</v>
      </c>
      <c r="U48" s="3">
        <v>102</v>
      </c>
      <c r="V48" s="3" t="str">
        <f>IFERROR(MID(VLOOKUP($B48,Seqs!$A:$B,2,FALSE),W48,1),"")</f>
        <v>S</v>
      </c>
      <c r="W48" s="3">
        <v>137</v>
      </c>
      <c r="X48" s="3" t="str">
        <f>IFERROR(MID(VLOOKUP($B48,Seqs!$A:$B,2,FALSE),Y48,1),"")</f>
        <v/>
      </c>
      <c r="Y48" s="3" t="s">
        <v>129</v>
      </c>
      <c r="Z48" s="3" t="str">
        <f>IFERROR(MID(VLOOKUP($B48,Seqs!$A:$B,2,FALSE),AA48,1),"")</f>
        <v/>
      </c>
      <c r="AA48" s="3" t="s">
        <v>129</v>
      </c>
      <c r="AB48" s="3" t="str">
        <f>IFERROR(MID(VLOOKUP($B48,Seqs!$A:$B,2,FALSE),AC48,1),"")</f>
        <v>K</v>
      </c>
      <c r="AC48" s="3">
        <v>147</v>
      </c>
      <c r="AD48" s="3" t="str">
        <f>IFERROR(MID(VLOOKUP($B48,Seqs!$A:$B,2,FALSE),AE48,1),"")</f>
        <v>H</v>
      </c>
      <c r="AE48" s="3">
        <v>172</v>
      </c>
      <c r="AF48" s="3" t="str">
        <f>IFERROR(MID(VLOOKUP($B48,Seqs!$A:$B,2,FALSE),AG48,1),"")</f>
        <v>C</v>
      </c>
      <c r="AG48" s="3">
        <v>191</v>
      </c>
      <c r="AH48" s="3" t="str">
        <f>IFERROR(MID(VLOOKUP($B48,Seqs!$A:$B,2,FALSE),AI48,1),"")</f>
        <v>F</v>
      </c>
      <c r="AI48" s="3">
        <v>193</v>
      </c>
      <c r="AJ48" s="3" t="str">
        <f>IFERROR(MID(VLOOKUP($B48,Seqs!$A:$B,2,FALSE),AK48,1),"")</f>
        <v>A</v>
      </c>
      <c r="AK48" s="3">
        <v>198</v>
      </c>
      <c r="AL48" s="3" t="str">
        <f>IFERROR(MID(VLOOKUP($B48,Seqs!$A:$B,2,FALSE),AM48,1),"")</f>
        <v>Q</v>
      </c>
      <c r="AM48" s="3">
        <v>229</v>
      </c>
      <c r="AN48" s="3" t="str">
        <f>IFERROR(MID(VLOOKUP($B48,Seqs!$A:$B,2,FALSE),AO48,1),"")</f>
        <v>K</v>
      </c>
      <c r="AO48" s="3">
        <v>267</v>
      </c>
      <c r="AP48" s="3" t="str">
        <f>IFERROR(MID(VLOOKUP($B48,Seqs!$A:$B,2,FALSE),AQ48,1),"")</f>
        <v>Q</v>
      </c>
      <c r="AQ48" s="3">
        <v>299</v>
      </c>
      <c r="AR48" s="3" t="str">
        <f>IFERROR(MID(VLOOKUP($B48,Seqs!$A:$B,2,FALSE),AS48,1),"")</f>
        <v>R</v>
      </c>
      <c r="AS48" s="3">
        <v>304</v>
      </c>
      <c r="AT48" s="3" t="str">
        <f>IFERROR(MID(VLOOKUP($B48,Seqs!$A:$B,2,FALSE),AU48,1),"")</f>
        <v>R</v>
      </c>
      <c r="AU48" s="3">
        <v>328</v>
      </c>
      <c r="AV48" s="3" t="str">
        <f>IFERROR(MID(VLOOKUP($B48,Seqs!$A:$B,2,FALSE),AW48,1),"")</f>
        <v>S</v>
      </c>
      <c r="AW48" s="3">
        <v>329</v>
      </c>
      <c r="AX48" s="3" t="str">
        <f>IFERROR(MID(VLOOKUP($B48,Seqs!$A:$B,2,FALSE),AY48,1),"")</f>
        <v>C</v>
      </c>
      <c r="AY48" s="3">
        <v>341</v>
      </c>
      <c r="AZ48" s="83" t="str">
        <f>VLOOKUP(B48,Classification!A:D,2,FALSE)</f>
        <v>A</v>
      </c>
      <c r="BC48" s="57">
        <f t="shared" si="88"/>
        <v>238</v>
      </c>
      <c r="BD48" s="63" t="b">
        <f t="shared" si="89"/>
        <v>1</v>
      </c>
      <c r="BE48" s="68" t="s">
        <v>1514</v>
      </c>
      <c r="BF48" s="75" t="s">
        <v>1514</v>
      </c>
      <c r="BG48" s="75" t="s">
        <v>1514</v>
      </c>
      <c r="BH48" s="75" t="s">
        <v>1514</v>
      </c>
      <c r="BI48" s="75" t="s">
        <v>1514</v>
      </c>
      <c r="BJ48" s="75" t="s">
        <v>1514</v>
      </c>
      <c r="BK48" s="75" t="s">
        <v>1514</v>
      </c>
      <c r="BL48" s="75" t="s">
        <v>1514</v>
      </c>
      <c r="BM48" s="75" t="s">
        <v>1514</v>
      </c>
      <c r="BN48" s="75" t="s">
        <v>1514</v>
      </c>
      <c r="BO48" s="75" t="s">
        <v>1514</v>
      </c>
      <c r="BP48" s="75" t="s">
        <v>1514</v>
      </c>
      <c r="BQ48" s="68">
        <f t="shared" si="62"/>
        <v>32</v>
      </c>
      <c r="BR48" s="69">
        <f t="shared" si="63"/>
        <v>62</v>
      </c>
      <c r="BS48" s="70">
        <f t="shared" si="64"/>
        <v>66</v>
      </c>
      <c r="BT48" s="69">
        <f t="shared" si="65"/>
        <v>98</v>
      </c>
      <c r="BU48" s="70">
        <f t="shared" si="66"/>
        <v>102</v>
      </c>
      <c r="BV48" s="69" t="str">
        <f t="shared" si="67"/>
        <v>-</v>
      </c>
      <c r="BW48" s="70">
        <f t="shared" si="68"/>
        <v>147</v>
      </c>
      <c r="BX48" s="69">
        <f t="shared" si="69"/>
        <v>191</v>
      </c>
      <c r="BY48" s="70">
        <f t="shared" si="70"/>
        <v>198</v>
      </c>
      <c r="BZ48" s="69">
        <f t="shared" si="71"/>
        <v>267</v>
      </c>
      <c r="CA48" s="70">
        <f t="shared" si="72"/>
        <v>304</v>
      </c>
      <c r="CB48" s="69">
        <f t="shared" si="73"/>
        <v>329</v>
      </c>
      <c r="CC48" s="68">
        <f t="shared" si="74"/>
        <v>61</v>
      </c>
      <c r="CD48" s="69">
        <f t="shared" si="75"/>
        <v>65</v>
      </c>
      <c r="CE48" s="70">
        <f t="shared" si="76"/>
        <v>96</v>
      </c>
      <c r="CF48" s="70">
        <f t="shared" si="77"/>
        <v>101</v>
      </c>
      <c r="CG48" s="70">
        <f t="shared" si="78"/>
        <v>137</v>
      </c>
      <c r="CH48" s="70" t="str">
        <f t="shared" si="79"/>
        <v>-</v>
      </c>
      <c r="CI48" s="70">
        <f t="shared" si="80"/>
        <v>172</v>
      </c>
      <c r="CJ48" s="70">
        <f t="shared" si="81"/>
        <v>193</v>
      </c>
      <c r="CK48" s="70">
        <f t="shared" si="82"/>
        <v>229</v>
      </c>
      <c r="CL48" s="70">
        <f t="shared" si="83"/>
        <v>299</v>
      </c>
      <c r="CM48" s="70">
        <f t="shared" si="84"/>
        <v>328</v>
      </c>
      <c r="CN48" s="70">
        <f t="shared" si="85"/>
        <v>341</v>
      </c>
      <c r="CO48" s="57">
        <f t="shared" si="86"/>
        <v>1</v>
      </c>
    </row>
    <row r="49" spans="1:93" x14ac:dyDescent="0.2">
      <c r="A49" s="3" t="str">
        <f t="shared" si="87"/>
        <v>adrb2_human_3NY9</v>
      </c>
      <c r="B49" s="3" t="s">
        <v>320</v>
      </c>
      <c r="C49" s="3" t="s">
        <v>1236</v>
      </c>
      <c r="D49" s="3" t="str">
        <f>IFERROR(MID(VLOOKUP($B49,Seqs!$A:$B,2,FALSE),E49,1),"")</f>
        <v>W</v>
      </c>
      <c r="E49" s="3">
        <v>32</v>
      </c>
      <c r="F49" s="3" t="str">
        <f>IFERROR(MID(VLOOKUP($B49,Seqs!$A:$B,2,FALSE),G49,1),"")</f>
        <v>F</v>
      </c>
      <c r="G49" s="3">
        <v>61</v>
      </c>
      <c r="H49" s="3" t="str">
        <f>IFERROR(MID(VLOOKUP($B49,Seqs!$A:$B,2,FALSE),I49,1),"")</f>
        <v>E</v>
      </c>
      <c r="I49" s="57">
        <v>62</v>
      </c>
      <c r="J49" s="3" t="str">
        <f>IFERROR(MID(VLOOKUP($B49,Seqs!$A:$B,2,FALSE),K49,1),"")</f>
        <v>Q</v>
      </c>
      <c r="K49" s="57">
        <v>65</v>
      </c>
      <c r="L49" s="3" t="str">
        <f>IFERROR(MID(VLOOKUP($B49,Seqs!$A:$B,2,FALSE),M49,1),"")</f>
        <v>T</v>
      </c>
      <c r="M49" s="3">
        <v>66</v>
      </c>
      <c r="N49" s="3" t="str">
        <f>IFERROR(MID(VLOOKUP($B49,Seqs!$A:$B,2,FALSE),O49,1),"")</f>
        <v>M</v>
      </c>
      <c r="O49" s="3">
        <v>96</v>
      </c>
      <c r="P49" s="3" t="str">
        <f>IFERROR(MID(VLOOKUP($B49,Seqs!$A:$B,2,FALSE),Q49,1),"")</f>
        <v>M</v>
      </c>
      <c r="Q49" s="3">
        <v>98</v>
      </c>
      <c r="R49" s="3" t="str">
        <f>IFERROR(MID(VLOOKUP($B49,Seqs!$A:$B,2,FALSE),S49,1),"")</f>
        <v>F</v>
      </c>
      <c r="S49" s="3">
        <v>101</v>
      </c>
      <c r="T49" s="3" t="str">
        <f>IFERROR(MID(VLOOKUP($B49,Seqs!$A:$B,2,FALSE),U49,1),"")</f>
        <v>G</v>
      </c>
      <c r="U49" s="3">
        <v>102</v>
      </c>
      <c r="V49" s="3" t="str">
        <f>IFERROR(MID(VLOOKUP($B49,Seqs!$A:$B,2,FALSE),W49,1),"")</f>
        <v>S</v>
      </c>
      <c r="W49" s="3">
        <v>137</v>
      </c>
      <c r="X49" s="3" t="str">
        <f>IFERROR(MID(VLOOKUP($B49,Seqs!$A:$B,2,FALSE),Y49,1),"")</f>
        <v/>
      </c>
      <c r="Y49" s="3" t="s">
        <v>129</v>
      </c>
      <c r="Z49" s="3" t="str">
        <f>IFERROR(MID(VLOOKUP($B49,Seqs!$A:$B,2,FALSE),AA49,1),"")</f>
        <v/>
      </c>
      <c r="AA49" s="3" t="s">
        <v>129</v>
      </c>
      <c r="AB49" s="3" t="str">
        <f>IFERROR(MID(VLOOKUP($B49,Seqs!$A:$B,2,FALSE),AC49,1),"")</f>
        <v>K</v>
      </c>
      <c r="AC49" s="3">
        <v>147</v>
      </c>
      <c r="AD49" s="3" t="str">
        <f>IFERROR(MID(VLOOKUP($B49,Seqs!$A:$B,2,FALSE),AE49,1),"")</f>
        <v>H</v>
      </c>
      <c r="AE49" s="3">
        <v>172</v>
      </c>
      <c r="AF49" s="3" t="str">
        <f>IFERROR(MID(VLOOKUP($B49,Seqs!$A:$B,2,FALSE),AG49,1),"")</f>
        <v>C</v>
      </c>
      <c r="AG49" s="3">
        <v>191</v>
      </c>
      <c r="AH49" s="3" t="str">
        <f>IFERROR(MID(VLOOKUP($B49,Seqs!$A:$B,2,FALSE),AI49,1),"")</f>
        <v>F</v>
      </c>
      <c r="AI49" s="3">
        <v>193</v>
      </c>
      <c r="AJ49" s="3" t="str">
        <f>IFERROR(MID(VLOOKUP($B49,Seqs!$A:$B,2,FALSE),AK49,1),"")</f>
        <v>A</v>
      </c>
      <c r="AK49" s="3">
        <v>198</v>
      </c>
      <c r="AL49" s="3" t="str">
        <f>IFERROR(MID(VLOOKUP($B49,Seqs!$A:$B,2,FALSE),AM49,1),"")</f>
        <v>Q</v>
      </c>
      <c r="AM49" s="3">
        <v>229</v>
      </c>
      <c r="AN49" s="3" t="str">
        <f>IFERROR(MID(VLOOKUP($B49,Seqs!$A:$B,2,FALSE),AO49,1),"")</f>
        <v>K</v>
      </c>
      <c r="AO49" s="3">
        <v>267</v>
      </c>
      <c r="AP49" s="3" t="str">
        <f>IFERROR(MID(VLOOKUP($B49,Seqs!$A:$B,2,FALSE),AQ49,1),"")</f>
        <v>Q</v>
      </c>
      <c r="AQ49" s="3">
        <v>299</v>
      </c>
      <c r="AR49" s="3" t="str">
        <f>IFERROR(MID(VLOOKUP($B49,Seqs!$A:$B,2,FALSE),AS49,1),"")</f>
        <v>R</v>
      </c>
      <c r="AS49" s="3">
        <v>304</v>
      </c>
      <c r="AT49" s="3" t="str">
        <f>IFERROR(MID(VLOOKUP($B49,Seqs!$A:$B,2,FALSE),AU49,1),"")</f>
        <v>R</v>
      </c>
      <c r="AU49" s="3">
        <v>328</v>
      </c>
      <c r="AV49" s="3" t="str">
        <f>IFERROR(MID(VLOOKUP($B49,Seqs!$A:$B,2,FALSE),AW49,1),"")</f>
        <v>S</v>
      </c>
      <c r="AW49" s="3">
        <v>329</v>
      </c>
      <c r="AX49" s="3" t="str">
        <f>IFERROR(MID(VLOOKUP($B49,Seqs!$A:$B,2,FALSE),AY49,1),"")</f>
        <v>C</v>
      </c>
      <c r="AY49" s="3">
        <v>341</v>
      </c>
      <c r="AZ49" s="83" t="str">
        <f>VLOOKUP(B49,Classification!A:D,2,FALSE)</f>
        <v>A</v>
      </c>
      <c r="BC49" s="57">
        <f t="shared" si="88"/>
        <v>238</v>
      </c>
      <c r="BD49" s="63" t="b">
        <f t="shared" si="89"/>
        <v>1</v>
      </c>
      <c r="BE49" s="68" t="s">
        <v>1514</v>
      </c>
      <c r="BF49" s="75" t="s">
        <v>1514</v>
      </c>
      <c r="BG49" s="75" t="s">
        <v>1514</v>
      </c>
      <c r="BH49" s="75" t="s">
        <v>1514</v>
      </c>
      <c r="BI49" s="75" t="s">
        <v>1514</v>
      </c>
      <c r="BJ49" s="75" t="s">
        <v>1514</v>
      </c>
      <c r="BK49" s="75" t="s">
        <v>1514</v>
      </c>
      <c r="BL49" s="75" t="s">
        <v>1514</v>
      </c>
      <c r="BM49" s="75" t="s">
        <v>1514</v>
      </c>
      <c r="BN49" s="75" t="s">
        <v>1514</v>
      </c>
      <c r="BO49" s="75" t="s">
        <v>1514</v>
      </c>
      <c r="BP49" s="75" t="s">
        <v>1514</v>
      </c>
      <c r="BQ49" s="68">
        <f t="shared" si="62"/>
        <v>32</v>
      </c>
      <c r="BR49" s="69">
        <f t="shared" si="63"/>
        <v>62</v>
      </c>
      <c r="BS49" s="70">
        <f t="shared" si="64"/>
        <v>66</v>
      </c>
      <c r="BT49" s="69">
        <f t="shared" si="65"/>
        <v>98</v>
      </c>
      <c r="BU49" s="70">
        <f t="shared" si="66"/>
        <v>102</v>
      </c>
      <c r="BV49" s="69" t="str">
        <f t="shared" si="67"/>
        <v>-</v>
      </c>
      <c r="BW49" s="70">
        <f t="shared" si="68"/>
        <v>147</v>
      </c>
      <c r="BX49" s="69">
        <f t="shared" si="69"/>
        <v>191</v>
      </c>
      <c r="BY49" s="70">
        <f t="shared" si="70"/>
        <v>198</v>
      </c>
      <c r="BZ49" s="69">
        <f t="shared" si="71"/>
        <v>267</v>
      </c>
      <c r="CA49" s="70">
        <f t="shared" si="72"/>
        <v>304</v>
      </c>
      <c r="CB49" s="69">
        <f t="shared" si="73"/>
        <v>329</v>
      </c>
      <c r="CC49" s="68">
        <f t="shared" si="74"/>
        <v>61</v>
      </c>
      <c r="CD49" s="69">
        <f t="shared" si="75"/>
        <v>65</v>
      </c>
      <c r="CE49" s="70">
        <f t="shared" si="76"/>
        <v>96</v>
      </c>
      <c r="CF49" s="70">
        <f t="shared" si="77"/>
        <v>101</v>
      </c>
      <c r="CG49" s="70">
        <f t="shared" si="78"/>
        <v>137</v>
      </c>
      <c r="CH49" s="70" t="str">
        <f t="shared" si="79"/>
        <v>-</v>
      </c>
      <c r="CI49" s="70">
        <f t="shared" si="80"/>
        <v>172</v>
      </c>
      <c r="CJ49" s="70">
        <f t="shared" si="81"/>
        <v>193</v>
      </c>
      <c r="CK49" s="70">
        <f t="shared" si="82"/>
        <v>229</v>
      </c>
      <c r="CL49" s="70">
        <f t="shared" si="83"/>
        <v>299</v>
      </c>
      <c r="CM49" s="70">
        <f t="shared" si="84"/>
        <v>328</v>
      </c>
      <c r="CN49" s="70">
        <f t="shared" si="85"/>
        <v>341</v>
      </c>
      <c r="CO49" s="57">
        <f t="shared" si="86"/>
        <v>1</v>
      </c>
    </row>
    <row r="50" spans="1:93" x14ac:dyDescent="0.2">
      <c r="A50" s="3" t="str">
        <f t="shared" si="87"/>
        <v>adrb2_human_3P0G</v>
      </c>
      <c r="B50" s="3" t="s">
        <v>320</v>
      </c>
      <c r="C50" s="3" t="s">
        <v>257</v>
      </c>
      <c r="D50" s="3" t="str">
        <f>IFERROR(MID(VLOOKUP($B50,Seqs!$A:$B,2,FALSE),E50,1),"")</f>
        <v>Q</v>
      </c>
      <c r="E50" s="3">
        <v>26</v>
      </c>
      <c r="F50" s="3" t="str">
        <f>IFERROR(MID(VLOOKUP($B50,Seqs!$A:$B,2,FALSE),G50,1),"")</f>
        <v>F</v>
      </c>
      <c r="G50" s="3">
        <v>61</v>
      </c>
      <c r="H50" s="3" t="str">
        <f>IFERROR(MID(VLOOKUP($B50,Seqs!$A:$B,2,FALSE),I50,1),"")</f>
        <v>E</v>
      </c>
      <c r="I50" s="57">
        <v>62</v>
      </c>
      <c r="J50" s="3" t="str">
        <f>IFERROR(MID(VLOOKUP($B50,Seqs!$A:$B,2,FALSE),K50,1),"")</f>
        <v>Q</v>
      </c>
      <c r="K50" s="57">
        <v>65</v>
      </c>
      <c r="L50" s="3" t="str">
        <f>IFERROR(MID(VLOOKUP($B50,Seqs!$A:$B,2,FALSE),M50,1),"")</f>
        <v>T</v>
      </c>
      <c r="M50" s="3">
        <v>66</v>
      </c>
      <c r="N50" s="3" t="str">
        <f>IFERROR(MID(VLOOKUP($B50,Seqs!$A:$B,2,FALSE),O50,1),"")</f>
        <v>M</v>
      </c>
      <c r="O50" s="3">
        <v>96</v>
      </c>
      <c r="P50" s="3" t="str">
        <f>IFERROR(MID(VLOOKUP($B50,Seqs!$A:$B,2,FALSE),Q50,1),"")</f>
        <v>M</v>
      </c>
      <c r="Q50" s="3">
        <v>98</v>
      </c>
      <c r="R50" s="3" t="str">
        <f>IFERROR(MID(VLOOKUP($B50,Seqs!$A:$B,2,FALSE),S50,1),"")</f>
        <v>F</v>
      </c>
      <c r="S50" s="3">
        <v>101</v>
      </c>
      <c r="T50" s="3" t="str">
        <f>IFERROR(MID(VLOOKUP($B50,Seqs!$A:$B,2,FALSE),U50,1),"")</f>
        <v>G</v>
      </c>
      <c r="U50" s="3">
        <v>102</v>
      </c>
      <c r="V50" s="3" t="str">
        <f>IFERROR(MID(VLOOKUP($B50,Seqs!$A:$B,2,FALSE),W50,1),"")</f>
        <v>S</v>
      </c>
      <c r="W50" s="3">
        <v>137</v>
      </c>
      <c r="X50" s="3" t="str">
        <f>IFERROR(MID(VLOOKUP($B50,Seqs!$A:$B,2,FALSE),Y50,1),"")</f>
        <v>P</v>
      </c>
      <c r="Y50" s="3">
        <v>138</v>
      </c>
      <c r="Z50" s="3" t="str">
        <f>IFERROR(MID(VLOOKUP($B50,Seqs!$A:$B,2,FALSE),AA50,1),"")</f>
        <v>L</v>
      </c>
      <c r="AA50" s="3">
        <v>145</v>
      </c>
      <c r="AB50" s="3" t="str">
        <f>IFERROR(MID(VLOOKUP($B50,Seqs!$A:$B,2,FALSE),AC50,1),"")</f>
        <v>K</v>
      </c>
      <c r="AC50" s="3">
        <v>147</v>
      </c>
      <c r="AD50" s="3" t="str">
        <f>IFERROR(MID(VLOOKUP($B50,Seqs!$A:$B,2,FALSE),AE50,1),"")</f>
        <v>H</v>
      </c>
      <c r="AE50" s="3">
        <v>172</v>
      </c>
      <c r="AF50" s="3" t="str">
        <f>IFERROR(MID(VLOOKUP($B50,Seqs!$A:$B,2,FALSE),AG50,1),"")</f>
        <v>C</v>
      </c>
      <c r="AG50" s="3">
        <v>191</v>
      </c>
      <c r="AH50" s="3" t="str">
        <f>IFERROR(MID(VLOOKUP($B50,Seqs!$A:$B,2,FALSE),AI50,1),"")</f>
        <v>F</v>
      </c>
      <c r="AI50" s="3">
        <v>193</v>
      </c>
      <c r="AJ50" s="3" t="str">
        <f>IFERROR(MID(VLOOKUP($B50,Seqs!$A:$B,2,FALSE),AK50,1),"")</f>
        <v>Q</v>
      </c>
      <c r="AK50" s="3">
        <v>197</v>
      </c>
      <c r="AL50" s="3" t="str">
        <f>IFERROR(MID(VLOOKUP($B50,Seqs!$A:$B,2,FALSE),AM50,1),"")</f>
        <v>A</v>
      </c>
      <c r="AM50" s="3">
        <v>226</v>
      </c>
      <c r="AN50" s="3" t="str">
        <f>IFERROR(MID(VLOOKUP($B50,Seqs!$A:$B,2,FALSE),AO50,1),"")</f>
        <v>H</v>
      </c>
      <c r="AO50" s="3">
        <v>269</v>
      </c>
      <c r="AP50" s="3" t="str">
        <f>IFERROR(MID(VLOOKUP($B50,Seqs!$A:$B,2,FALSE),AQ50,1),"")</f>
        <v>Q</v>
      </c>
      <c r="AQ50" s="3">
        <v>299</v>
      </c>
      <c r="AR50" s="3" t="str">
        <f>IFERROR(MID(VLOOKUP($B50,Seqs!$A:$B,2,FALSE),AS50,1),"")</f>
        <v>R</v>
      </c>
      <c r="AS50" s="3">
        <v>304</v>
      </c>
      <c r="AT50" s="3" t="str">
        <f>IFERROR(MID(VLOOKUP($B50,Seqs!$A:$B,2,FALSE),AU50,1),"")</f>
        <v>R</v>
      </c>
      <c r="AU50" s="3">
        <v>328</v>
      </c>
      <c r="AV50" s="3" t="str">
        <f>IFERROR(MID(VLOOKUP($B50,Seqs!$A:$B,2,FALSE),AW50,1),"")</f>
        <v>S</v>
      </c>
      <c r="AW50" s="3">
        <v>329</v>
      </c>
      <c r="AX50" s="3" t="str">
        <f>IFERROR(MID(VLOOKUP($B50,Seqs!$A:$B,2,FALSE),AY50,1),"")</f>
        <v>C</v>
      </c>
      <c r="AY50" s="3">
        <v>341</v>
      </c>
      <c r="AZ50" s="83" t="str">
        <f>VLOOKUP(B50,Classification!A:D,2,FALSE)</f>
        <v>A</v>
      </c>
      <c r="BC50" s="57">
        <f t="shared" si="88"/>
        <v>247</v>
      </c>
      <c r="BD50" s="63" t="b">
        <f t="shared" si="89"/>
        <v>1</v>
      </c>
      <c r="BE50" s="68" t="s">
        <v>1514</v>
      </c>
      <c r="BF50" s="75" t="s">
        <v>1514</v>
      </c>
      <c r="BG50" s="75" t="s">
        <v>1514</v>
      </c>
      <c r="BH50" s="75" t="s">
        <v>1514</v>
      </c>
      <c r="BI50" s="75" t="s">
        <v>1514</v>
      </c>
      <c r="BJ50" s="75" t="s">
        <v>1514</v>
      </c>
      <c r="BK50" s="75" t="s">
        <v>1514</v>
      </c>
      <c r="BL50" s="75" t="s">
        <v>1514</v>
      </c>
      <c r="BM50" s="75" t="s">
        <v>1514</v>
      </c>
      <c r="BN50" s="75" t="s">
        <v>1514</v>
      </c>
      <c r="BO50" s="75" t="s">
        <v>1514</v>
      </c>
      <c r="BP50" s="75" t="s">
        <v>1514</v>
      </c>
      <c r="BQ50" s="68">
        <f t="shared" si="62"/>
        <v>26</v>
      </c>
      <c r="BR50" s="69">
        <f t="shared" si="63"/>
        <v>62</v>
      </c>
      <c r="BS50" s="70">
        <f t="shared" si="64"/>
        <v>66</v>
      </c>
      <c r="BT50" s="69">
        <f t="shared" si="65"/>
        <v>98</v>
      </c>
      <c r="BU50" s="70">
        <f t="shared" si="66"/>
        <v>102</v>
      </c>
      <c r="BV50" s="69">
        <f t="shared" si="67"/>
        <v>138</v>
      </c>
      <c r="BW50" s="70">
        <f t="shared" si="68"/>
        <v>147</v>
      </c>
      <c r="BX50" s="69">
        <f t="shared" si="69"/>
        <v>191</v>
      </c>
      <c r="BY50" s="70">
        <f t="shared" si="70"/>
        <v>197</v>
      </c>
      <c r="BZ50" s="69">
        <f t="shared" si="71"/>
        <v>269</v>
      </c>
      <c r="CA50" s="70">
        <f t="shared" si="72"/>
        <v>304</v>
      </c>
      <c r="CB50" s="69">
        <f t="shared" si="73"/>
        <v>329</v>
      </c>
      <c r="CC50" s="68">
        <f t="shared" si="74"/>
        <v>61</v>
      </c>
      <c r="CD50" s="69">
        <f t="shared" si="75"/>
        <v>65</v>
      </c>
      <c r="CE50" s="70">
        <f t="shared" si="76"/>
        <v>96</v>
      </c>
      <c r="CF50" s="70">
        <f t="shared" si="77"/>
        <v>101</v>
      </c>
      <c r="CG50" s="70">
        <f t="shared" si="78"/>
        <v>137</v>
      </c>
      <c r="CH50" s="70">
        <f t="shared" si="79"/>
        <v>145</v>
      </c>
      <c r="CI50" s="70">
        <f t="shared" si="80"/>
        <v>172</v>
      </c>
      <c r="CJ50" s="70">
        <f t="shared" si="81"/>
        <v>193</v>
      </c>
      <c r="CK50" s="70">
        <f t="shared" si="82"/>
        <v>226</v>
      </c>
      <c r="CL50" s="70">
        <f t="shared" si="83"/>
        <v>299</v>
      </c>
      <c r="CM50" s="70">
        <f t="shared" si="84"/>
        <v>328</v>
      </c>
      <c r="CN50" s="70">
        <f t="shared" si="85"/>
        <v>341</v>
      </c>
      <c r="CO50" s="57">
        <f t="shared" si="86"/>
        <v>1</v>
      </c>
    </row>
    <row r="51" spans="1:93" x14ac:dyDescent="0.2">
      <c r="A51" s="3" t="str">
        <f t="shared" si="87"/>
        <v>adrb2_human_3SN6</v>
      </c>
      <c r="B51" s="3" t="s">
        <v>320</v>
      </c>
      <c r="C51" s="3" t="s">
        <v>277</v>
      </c>
      <c r="D51" s="3" t="str">
        <f>IFERROR(MID(VLOOKUP($B51,Seqs!$A:$B,2,FALSE),E51,1),"")</f>
        <v>D</v>
      </c>
      <c r="E51" s="3">
        <v>29</v>
      </c>
      <c r="F51" s="3" t="str">
        <f>IFERROR(MID(VLOOKUP($B51,Seqs!$A:$B,2,FALSE),G51,1),"")</f>
        <v>F</v>
      </c>
      <c r="G51" s="3">
        <v>61</v>
      </c>
      <c r="H51" s="3" t="str">
        <f>IFERROR(MID(VLOOKUP($B51,Seqs!$A:$B,2,FALSE),I51,1),"")</f>
        <v>E</v>
      </c>
      <c r="I51" s="57">
        <v>62</v>
      </c>
      <c r="J51" s="3" t="str">
        <f>IFERROR(MID(VLOOKUP($B51,Seqs!$A:$B,2,FALSE),K51,1),"")</f>
        <v>Q</v>
      </c>
      <c r="K51" s="57">
        <v>65</v>
      </c>
      <c r="L51" s="3" t="str">
        <f>IFERROR(MID(VLOOKUP($B51,Seqs!$A:$B,2,FALSE),M51,1),"")</f>
        <v>T</v>
      </c>
      <c r="M51" s="3">
        <v>66</v>
      </c>
      <c r="N51" s="3" t="str">
        <f>IFERROR(MID(VLOOKUP($B51,Seqs!$A:$B,2,FALSE),O51,1),"")</f>
        <v>M</v>
      </c>
      <c r="O51" s="3">
        <v>96</v>
      </c>
      <c r="P51" s="3" t="str">
        <f>IFERROR(MID(VLOOKUP($B51,Seqs!$A:$B,2,FALSE),Q51,1),"")</f>
        <v>M</v>
      </c>
      <c r="Q51" s="3">
        <v>98</v>
      </c>
      <c r="R51" s="3" t="str">
        <f>IFERROR(MID(VLOOKUP($B51,Seqs!$A:$B,2,FALSE),S51,1),"")</f>
        <v>F</v>
      </c>
      <c r="S51" s="3">
        <v>101</v>
      </c>
      <c r="T51" s="3" t="str">
        <f>IFERROR(MID(VLOOKUP($B51,Seqs!$A:$B,2,FALSE),U51,1),"")</f>
        <v>G</v>
      </c>
      <c r="U51" s="3">
        <v>102</v>
      </c>
      <c r="V51" s="3" t="str">
        <f>IFERROR(MID(VLOOKUP($B51,Seqs!$A:$B,2,FALSE),W51,1),"")</f>
        <v>S</v>
      </c>
      <c r="W51" s="3">
        <v>137</v>
      </c>
      <c r="X51" s="3" t="str">
        <f>IFERROR(MID(VLOOKUP($B51,Seqs!$A:$B,2,FALSE),Y51,1),"")</f>
        <v>P</v>
      </c>
      <c r="Y51" s="3">
        <v>138</v>
      </c>
      <c r="Z51" s="3" t="str">
        <f>IFERROR(MID(VLOOKUP($B51,Seqs!$A:$B,2,FALSE),AA51,1),"")</f>
        <v>L</v>
      </c>
      <c r="AA51" s="3">
        <v>145</v>
      </c>
      <c r="AB51" s="3" t="str">
        <f>IFERROR(MID(VLOOKUP($B51,Seqs!$A:$B,2,FALSE),AC51,1),"")</f>
        <v>K</v>
      </c>
      <c r="AC51" s="3">
        <v>147</v>
      </c>
      <c r="AD51" s="3" t="str">
        <f>IFERROR(MID(VLOOKUP($B51,Seqs!$A:$B,2,FALSE),AE51,1),"")</f>
        <v>H</v>
      </c>
      <c r="AE51" s="3">
        <v>172</v>
      </c>
      <c r="AF51" s="3" t="str">
        <f>IFERROR(MID(VLOOKUP($B51,Seqs!$A:$B,2,FALSE),AG51,1),"")</f>
        <v>C</v>
      </c>
      <c r="AG51" s="3">
        <v>191</v>
      </c>
      <c r="AH51" s="3" t="str">
        <f>IFERROR(MID(VLOOKUP($B51,Seqs!$A:$B,2,FALSE),AI51,1),"")</f>
        <v>F</v>
      </c>
      <c r="AI51" s="3">
        <v>193</v>
      </c>
      <c r="AJ51" s="3" t="str">
        <f>IFERROR(MID(VLOOKUP($B51,Seqs!$A:$B,2,FALSE),AK51,1),"")</f>
        <v>N</v>
      </c>
      <c r="AK51" s="3">
        <v>196</v>
      </c>
      <c r="AL51" s="3" t="str">
        <f>IFERROR(MID(VLOOKUP($B51,Seqs!$A:$B,2,FALSE),AM51,1),"")</f>
        <v>E</v>
      </c>
      <c r="AM51" s="3">
        <v>237</v>
      </c>
      <c r="AN51" s="3" t="str">
        <f>IFERROR(MID(VLOOKUP($B51,Seqs!$A:$B,2,FALSE),AO51,1),"")</f>
        <v>C</v>
      </c>
      <c r="AO51" s="3">
        <v>265</v>
      </c>
      <c r="AP51" s="3" t="str">
        <f>IFERROR(MID(VLOOKUP($B51,Seqs!$A:$B,2,FALSE),AQ51,1),"")</f>
        <v>Q</v>
      </c>
      <c r="AQ51" s="3">
        <v>299</v>
      </c>
      <c r="AR51" s="3" t="str">
        <f>IFERROR(MID(VLOOKUP($B51,Seqs!$A:$B,2,FALSE),AS51,1),"")</f>
        <v>R</v>
      </c>
      <c r="AS51" s="3">
        <v>304</v>
      </c>
      <c r="AT51" s="3" t="str">
        <f>IFERROR(MID(VLOOKUP($B51,Seqs!$A:$B,2,FALSE),AU51,1),"")</f>
        <v>R</v>
      </c>
      <c r="AU51" s="3">
        <v>328</v>
      </c>
      <c r="AV51" s="3" t="str">
        <f>IFERROR(MID(VLOOKUP($B51,Seqs!$A:$B,2,FALSE),AW51,1),"")</f>
        <v>S</v>
      </c>
      <c r="AW51" s="3">
        <v>329</v>
      </c>
      <c r="AX51" s="3" t="str">
        <f>IFERROR(MID(VLOOKUP($B51,Seqs!$A:$B,2,FALSE),AY51,1),"")</f>
        <v>C</v>
      </c>
      <c r="AY51" s="3">
        <v>341</v>
      </c>
      <c r="AZ51" s="83" t="str">
        <f>VLOOKUP(B51,Classification!A:D,2,FALSE)</f>
        <v>A</v>
      </c>
      <c r="BB51" s="35" t="s">
        <v>1315</v>
      </c>
      <c r="BC51" s="57">
        <f t="shared" si="88"/>
        <v>260</v>
      </c>
      <c r="BD51" s="63" t="b">
        <f t="shared" si="89"/>
        <v>1</v>
      </c>
      <c r="BE51" s="68" t="s">
        <v>1514</v>
      </c>
      <c r="BF51" s="75" t="s">
        <v>1514</v>
      </c>
      <c r="BG51" s="75" t="s">
        <v>1514</v>
      </c>
      <c r="BH51" s="75" t="s">
        <v>1514</v>
      </c>
      <c r="BI51" s="75" t="s">
        <v>1514</v>
      </c>
      <c r="BJ51" s="75" t="s">
        <v>1514</v>
      </c>
      <c r="BK51" s="75" t="s">
        <v>1514</v>
      </c>
      <c r="BL51" s="75" t="s">
        <v>1514</v>
      </c>
      <c r="BM51" s="75" t="s">
        <v>1514</v>
      </c>
      <c r="BN51" s="75" t="s">
        <v>1514</v>
      </c>
      <c r="BO51" s="75" t="s">
        <v>1514</v>
      </c>
      <c r="BP51" s="75" t="s">
        <v>1514</v>
      </c>
      <c r="BQ51" s="68">
        <f t="shared" si="62"/>
        <v>29</v>
      </c>
      <c r="BR51" s="69">
        <f t="shared" si="63"/>
        <v>62</v>
      </c>
      <c r="BS51" s="70">
        <f t="shared" si="64"/>
        <v>66</v>
      </c>
      <c r="BT51" s="69">
        <f t="shared" si="65"/>
        <v>98</v>
      </c>
      <c r="BU51" s="70">
        <f t="shared" si="66"/>
        <v>102</v>
      </c>
      <c r="BV51" s="69">
        <f t="shared" si="67"/>
        <v>138</v>
      </c>
      <c r="BW51" s="70">
        <f t="shared" si="68"/>
        <v>147</v>
      </c>
      <c r="BX51" s="69">
        <f t="shared" si="69"/>
        <v>191</v>
      </c>
      <c r="BY51" s="70">
        <f t="shared" si="70"/>
        <v>196</v>
      </c>
      <c r="BZ51" s="69">
        <f t="shared" si="71"/>
        <v>265</v>
      </c>
      <c r="CA51" s="70">
        <f t="shared" si="72"/>
        <v>304</v>
      </c>
      <c r="CB51" s="69">
        <f t="shared" si="73"/>
        <v>329</v>
      </c>
      <c r="CC51" s="68">
        <f t="shared" si="74"/>
        <v>61</v>
      </c>
      <c r="CD51" s="69">
        <f t="shared" si="75"/>
        <v>65</v>
      </c>
      <c r="CE51" s="70">
        <f t="shared" si="76"/>
        <v>96</v>
      </c>
      <c r="CF51" s="70">
        <f t="shared" si="77"/>
        <v>101</v>
      </c>
      <c r="CG51" s="70">
        <f t="shared" si="78"/>
        <v>137</v>
      </c>
      <c r="CH51" s="70">
        <f t="shared" si="79"/>
        <v>145</v>
      </c>
      <c r="CI51" s="70">
        <f t="shared" si="80"/>
        <v>172</v>
      </c>
      <c r="CJ51" s="70">
        <f t="shared" si="81"/>
        <v>193</v>
      </c>
      <c r="CK51" s="70">
        <f t="shared" si="82"/>
        <v>237</v>
      </c>
      <c r="CL51" s="70">
        <f t="shared" si="83"/>
        <v>299</v>
      </c>
      <c r="CM51" s="70">
        <f t="shared" si="84"/>
        <v>328</v>
      </c>
      <c r="CN51" s="70">
        <f t="shared" si="85"/>
        <v>341</v>
      </c>
      <c r="CO51" s="57">
        <f t="shared" si="86"/>
        <v>1</v>
      </c>
    </row>
    <row r="52" spans="1:93" x14ac:dyDescent="0.2">
      <c r="A52" s="3" t="str">
        <f t="shared" si="87"/>
        <v>adrb2_human_4LDE</v>
      </c>
      <c r="B52" s="3" t="s">
        <v>320</v>
      </c>
      <c r="C52" s="3" t="s">
        <v>268</v>
      </c>
      <c r="D52" s="3" t="str">
        <f>IFERROR(MID(VLOOKUP($B52,Seqs!$A:$B,2,FALSE),E52,1),"")</f>
        <v>D</v>
      </c>
      <c r="E52" s="3">
        <v>29</v>
      </c>
      <c r="F52" s="3" t="str">
        <f>IFERROR(MID(VLOOKUP($B52,Seqs!$A:$B,2,FALSE),G52,1),"")</f>
        <v>F</v>
      </c>
      <c r="G52" s="3">
        <v>61</v>
      </c>
      <c r="H52" s="3" t="str">
        <f>IFERROR(MID(VLOOKUP($B52,Seqs!$A:$B,2,FALSE),I52,1),"")</f>
        <v>E</v>
      </c>
      <c r="I52" s="57">
        <v>62</v>
      </c>
      <c r="J52" s="3" t="str">
        <f>IFERROR(MID(VLOOKUP($B52,Seqs!$A:$B,2,FALSE),K52,1),"")</f>
        <v>Q</v>
      </c>
      <c r="K52" s="57">
        <v>65</v>
      </c>
      <c r="L52" s="3" t="str">
        <f>IFERROR(MID(VLOOKUP($B52,Seqs!$A:$B,2,FALSE),M52,1),"")</f>
        <v>T</v>
      </c>
      <c r="M52" s="3">
        <v>66</v>
      </c>
      <c r="N52" s="3" t="str">
        <f>IFERROR(MID(VLOOKUP($B52,Seqs!$A:$B,2,FALSE),O52,1),"")</f>
        <v>M</v>
      </c>
      <c r="O52" s="3">
        <v>96</v>
      </c>
      <c r="P52" s="3" t="str">
        <f>IFERROR(MID(VLOOKUP($B52,Seqs!$A:$B,2,FALSE),Q52,1),"")</f>
        <v>M</v>
      </c>
      <c r="Q52" s="3">
        <v>98</v>
      </c>
      <c r="R52" s="3" t="str">
        <f>IFERROR(MID(VLOOKUP($B52,Seqs!$A:$B,2,FALSE),S52,1),"")</f>
        <v>F</v>
      </c>
      <c r="S52" s="3">
        <v>101</v>
      </c>
      <c r="T52" s="3" t="str">
        <f>IFERROR(MID(VLOOKUP($B52,Seqs!$A:$B,2,FALSE),U52,1),"")</f>
        <v>G</v>
      </c>
      <c r="U52" s="3">
        <v>102</v>
      </c>
      <c r="V52" s="3" t="str">
        <f>IFERROR(MID(VLOOKUP($B52,Seqs!$A:$B,2,FALSE),W52,1),"")</f>
        <v>S</v>
      </c>
      <c r="W52" s="3">
        <v>137</v>
      </c>
      <c r="X52" s="3" t="str">
        <f>IFERROR(MID(VLOOKUP($B52,Seqs!$A:$B,2,FALSE),Y52,1),"")</f>
        <v>P</v>
      </c>
      <c r="Y52" s="3">
        <v>138</v>
      </c>
      <c r="Z52" s="3" t="str">
        <f>IFERROR(MID(VLOOKUP($B52,Seqs!$A:$B,2,FALSE),AA52,1),"")</f>
        <v>L</v>
      </c>
      <c r="AA52" s="3">
        <v>145</v>
      </c>
      <c r="AB52" s="3" t="str">
        <f>IFERROR(MID(VLOOKUP($B52,Seqs!$A:$B,2,FALSE),AC52,1),"")</f>
        <v>K</v>
      </c>
      <c r="AC52" s="3">
        <v>147</v>
      </c>
      <c r="AD52" s="3" t="str">
        <f>IFERROR(MID(VLOOKUP($B52,Seqs!$A:$B,2,FALSE),AE52,1),"")</f>
        <v>H</v>
      </c>
      <c r="AE52" s="3">
        <v>172</v>
      </c>
      <c r="AF52" s="3" t="str">
        <f>IFERROR(MID(VLOOKUP($B52,Seqs!$A:$B,2,FALSE),AG52,1),"")</f>
        <v>C</v>
      </c>
      <c r="AG52" s="3">
        <v>191</v>
      </c>
      <c r="AH52" s="3" t="str">
        <f>IFERROR(MID(VLOOKUP($B52,Seqs!$A:$B,2,FALSE),AI52,1),"")</f>
        <v>F</v>
      </c>
      <c r="AI52" s="3">
        <v>193</v>
      </c>
      <c r="AJ52" s="3" t="str">
        <f>IFERROR(MID(VLOOKUP($B52,Seqs!$A:$B,2,FALSE),AK52,1),"")</f>
        <v>A</v>
      </c>
      <c r="AK52" s="3">
        <v>198</v>
      </c>
      <c r="AL52" s="3" t="str">
        <f>IFERROR(MID(VLOOKUP($B52,Seqs!$A:$B,2,FALSE),AM52,1),"")</f>
        <v>E</v>
      </c>
      <c r="AM52" s="3">
        <v>225</v>
      </c>
      <c r="AN52" s="3" t="str">
        <f>IFERROR(MID(VLOOKUP($B52,Seqs!$A:$B,2,FALSE),AO52,1),"")</f>
        <v>L</v>
      </c>
      <c r="AO52" s="3">
        <v>266</v>
      </c>
      <c r="AP52" s="3" t="str">
        <f>IFERROR(MID(VLOOKUP($B52,Seqs!$A:$B,2,FALSE),AQ52,1),"")</f>
        <v>Q</v>
      </c>
      <c r="AQ52" s="3">
        <v>299</v>
      </c>
      <c r="AR52" s="3" t="str">
        <f>IFERROR(MID(VLOOKUP($B52,Seqs!$A:$B,2,FALSE),AS52,1),"")</f>
        <v>R</v>
      </c>
      <c r="AS52" s="3">
        <v>304</v>
      </c>
      <c r="AT52" s="3" t="str">
        <f>IFERROR(MID(VLOOKUP($B52,Seqs!$A:$B,2,FALSE),AU52,1),"")</f>
        <v>R</v>
      </c>
      <c r="AU52" s="3">
        <v>328</v>
      </c>
      <c r="AV52" s="3" t="str">
        <f>IFERROR(MID(VLOOKUP($B52,Seqs!$A:$B,2,FALSE),AW52,1),"")</f>
        <v>S</v>
      </c>
      <c r="AW52" s="3">
        <v>329</v>
      </c>
      <c r="AX52" s="3" t="str">
        <f>IFERROR(MID(VLOOKUP($B52,Seqs!$A:$B,2,FALSE),AY52,1),"")</f>
        <v>C</v>
      </c>
      <c r="AY52" s="3">
        <v>341</v>
      </c>
      <c r="AZ52" s="83" t="str">
        <f>VLOOKUP(B52,Classification!A:D,2,FALSE)</f>
        <v>A</v>
      </c>
      <c r="BC52" s="57">
        <f t="shared" si="88"/>
        <v>245</v>
      </c>
      <c r="BD52" s="63" t="b">
        <f t="shared" si="89"/>
        <v>1</v>
      </c>
      <c r="BE52" s="68" t="s">
        <v>1514</v>
      </c>
      <c r="BF52" s="75" t="s">
        <v>1514</v>
      </c>
      <c r="BG52" s="75" t="s">
        <v>1514</v>
      </c>
      <c r="BH52" s="75" t="s">
        <v>1514</v>
      </c>
      <c r="BI52" s="75" t="s">
        <v>1514</v>
      </c>
      <c r="BJ52" s="75" t="s">
        <v>1514</v>
      </c>
      <c r="BK52" s="75" t="s">
        <v>1514</v>
      </c>
      <c r="BL52" s="75" t="s">
        <v>1514</v>
      </c>
      <c r="BM52" s="75" t="s">
        <v>1514</v>
      </c>
      <c r="BN52" s="75" t="s">
        <v>1514</v>
      </c>
      <c r="BO52" s="75" t="s">
        <v>1514</v>
      </c>
      <c r="BP52" s="75" t="s">
        <v>1514</v>
      </c>
      <c r="BQ52" s="68">
        <f t="shared" si="62"/>
        <v>29</v>
      </c>
      <c r="BR52" s="69">
        <f t="shared" si="63"/>
        <v>62</v>
      </c>
      <c r="BS52" s="70">
        <f t="shared" si="64"/>
        <v>66</v>
      </c>
      <c r="BT52" s="69">
        <f t="shared" si="65"/>
        <v>98</v>
      </c>
      <c r="BU52" s="70">
        <f t="shared" si="66"/>
        <v>102</v>
      </c>
      <c r="BV52" s="69">
        <f t="shared" si="67"/>
        <v>138</v>
      </c>
      <c r="BW52" s="70">
        <f t="shared" si="68"/>
        <v>147</v>
      </c>
      <c r="BX52" s="69">
        <f t="shared" si="69"/>
        <v>191</v>
      </c>
      <c r="BY52" s="70">
        <f t="shared" si="70"/>
        <v>198</v>
      </c>
      <c r="BZ52" s="69">
        <f t="shared" si="71"/>
        <v>266</v>
      </c>
      <c r="CA52" s="70">
        <f t="shared" si="72"/>
        <v>304</v>
      </c>
      <c r="CB52" s="69">
        <f t="shared" si="73"/>
        <v>329</v>
      </c>
      <c r="CC52" s="68">
        <f t="shared" si="74"/>
        <v>61</v>
      </c>
      <c r="CD52" s="69">
        <f t="shared" si="75"/>
        <v>65</v>
      </c>
      <c r="CE52" s="70">
        <f t="shared" si="76"/>
        <v>96</v>
      </c>
      <c r="CF52" s="70">
        <f t="shared" si="77"/>
        <v>101</v>
      </c>
      <c r="CG52" s="70">
        <f t="shared" si="78"/>
        <v>137</v>
      </c>
      <c r="CH52" s="70">
        <f t="shared" si="79"/>
        <v>145</v>
      </c>
      <c r="CI52" s="70">
        <f t="shared" si="80"/>
        <v>172</v>
      </c>
      <c r="CJ52" s="70">
        <f t="shared" si="81"/>
        <v>193</v>
      </c>
      <c r="CK52" s="70">
        <f t="shared" si="82"/>
        <v>225</v>
      </c>
      <c r="CL52" s="70">
        <f t="shared" si="83"/>
        <v>299</v>
      </c>
      <c r="CM52" s="70">
        <f t="shared" si="84"/>
        <v>328</v>
      </c>
      <c r="CN52" s="70">
        <f t="shared" si="85"/>
        <v>341</v>
      </c>
      <c r="CO52" s="57">
        <f t="shared" si="86"/>
        <v>1</v>
      </c>
    </row>
    <row r="53" spans="1:93" x14ac:dyDescent="0.2">
      <c r="A53" s="3" t="str">
        <f t="shared" si="87"/>
        <v>adrb2_human_4LDL</v>
      </c>
      <c r="B53" s="3" t="s">
        <v>320</v>
      </c>
      <c r="C53" s="3" t="s">
        <v>1251</v>
      </c>
      <c r="D53" s="3" t="str">
        <f>IFERROR(MID(VLOOKUP($B53,Seqs!$A:$B,2,FALSE),E53,1),"")</f>
        <v>D</v>
      </c>
      <c r="E53" s="3">
        <v>29</v>
      </c>
      <c r="F53" s="3" t="str">
        <f>IFERROR(MID(VLOOKUP($B53,Seqs!$A:$B,2,FALSE),G53,1),"")</f>
        <v>F</v>
      </c>
      <c r="G53" s="3">
        <v>61</v>
      </c>
      <c r="H53" s="3" t="str">
        <f>IFERROR(MID(VLOOKUP($B53,Seqs!$A:$B,2,FALSE),I53,1),"")</f>
        <v>E</v>
      </c>
      <c r="I53" s="57">
        <v>62</v>
      </c>
      <c r="J53" s="3" t="str">
        <f>IFERROR(MID(VLOOKUP($B53,Seqs!$A:$B,2,FALSE),K53,1),"")</f>
        <v>Q</v>
      </c>
      <c r="K53" s="57">
        <v>65</v>
      </c>
      <c r="L53" s="3" t="str">
        <f>IFERROR(MID(VLOOKUP($B53,Seqs!$A:$B,2,FALSE),M53,1),"")</f>
        <v>T</v>
      </c>
      <c r="M53" s="3">
        <v>66</v>
      </c>
      <c r="N53" s="3" t="str">
        <f>IFERROR(MID(VLOOKUP($B53,Seqs!$A:$B,2,FALSE),O53,1),"")</f>
        <v>M</v>
      </c>
      <c r="O53" s="3">
        <v>96</v>
      </c>
      <c r="P53" s="3" t="str">
        <f>IFERROR(MID(VLOOKUP($B53,Seqs!$A:$B,2,FALSE),Q53,1),"")</f>
        <v>M</v>
      </c>
      <c r="Q53" s="3">
        <v>98</v>
      </c>
      <c r="R53" s="3" t="str">
        <f>IFERROR(MID(VLOOKUP($B53,Seqs!$A:$B,2,FALSE),S53,1),"")</f>
        <v>F</v>
      </c>
      <c r="S53" s="3">
        <v>101</v>
      </c>
      <c r="T53" s="3" t="str">
        <f>IFERROR(MID(VLOOKUP($B53,Seqs!$A:$B,2,FALSE),U53,1),"")</f>
        <v>G</v>
      </c>
      <c r="U53" s="3">
        <v>102</v>
      </c>
      <c r="V53" s="3" t="str">
        <f>IFERROR(MID(VLOOKUP($B53,Seqs!$A:$B,2,FALSE),W53,1),"")</f>
        <v>S</v>
      </c>
      <c r="W53" s="3">
        <v>137</v>
      </c>
      <c r="X53" s="3" t="str">
        <f>IFERROR(MID(VLOOKUP($B53,Seqs!$A:$B,2,FALSE),Y53,1),"")</f>
        <v>P</v>
      </c>
      <c r="Y53" s="3">
        <v>138</v>
      </c>
      <c r="Z53" s="3" t="str">
        <f>IFERROR(MID(VLOOKUP($B53,Seqs!$A:$B,2,FALSE),AA53,1),"")</f>
        <v>L</v>
      </c>
      <c r="AA53" s="3">
        <v>145</v>
      </c>
      <c r="AB53" s="3" t="str">
        <f>IFERROR(MID(VLOOKUP($B53,Seqs!$A:$B,2,FALSE),AC53,1),"")</f>
        <v>K</v>
      </c>
      <c r="AC53" s="3">
        <v>147</v>
      </c>
      <c r="AD53" s="3" t="str">
        <f>IFERROR(MID(VLOOKUP($B53,Seqs!$A:$B,2,FALSE),AE53,1),"")</f>
        <v>H</v>
      </c>
      <c r="AE53" s="3">
        <v>172</v>
      </c>
      <c r="AF53" s="3" t="str">
        <f>IFERROR(MID(VLOOKUP($B53,Seqs!$A:$B,2,FALSE),AG53,1),"")</f>
        <v>C</v>
      </c>
      <c r="AG53" s="3">
        <v>191</v>
      </c>
      <c r="AH53" s="3" t="str">
        <f>IFERROR(MID(VLOOKUP($B53,Seqs!$A:$B,2,FALSE),AI53,1),"")</f>
        <v>F</v>
      </c>
      <c r="AI53" s="3">
        <v>193</v>
      </c>
      <c r="AJ53" s="3" t="str">
        <f>IFERROR(MID(VLOOKUP($B53,Seqs!$A:$B,2,FALSE),AK53,1),"")</f>
        <v>A</v>
      </c>
      <c r="AK53" s="3">
        <v>198</v>
      </c>
      <c r="AL53" s="3" t="str">
        <f>IFERROR(MID(VLOOKUP($B53,Seqs!$A:$B,2,FALSE),AM53,1),"")</f>
        <v>E</v>
      </c>
      <c r="AM53" s="3">
        <v>225</v>
      </c>
      <c r="AN53" s="3" t="str">
        <f>IFERROR(MID(VLOOKUP($B53,Seqs!$A:$B,2,FALSE),AO53,1),"")</f>
        <v>L</v>
      </c>
      <c r="AO53" s="3">
        <v>266</v>
      </c>
      <c r="AP53" s="3" t="str">
        <f>IFERROR(MID(VLOOKUP($B53,Seqs!$A:$B,2,FALSE),AQ53,1),"")</f>
        <v>Q</v>
      </c>
      <c r="AQ53" s="3">
        <v>299</v>
      </c>
      <c r="AR53" s="3" t="str">
        <f>IFERROR(MID(VLOOKUP($B53,Seqs!$A:$B,2,FALSE),AS53,1),"")</f>
        <v>R</v>
      </c>
      <c r="AS53" s="3">
        <v>304</v>
      </c>
      <c r="AT53" s="3" t="str">
        <f>IFERROR(MID(VLOOKUP($B53,Seqs!$A:$B,2,FALSE),AU53,1),"")</f>
        <v>R</v>
      </c>
      <c r="AU53" s="3">
        <v>328</v>
      </c>
      <c r="AV53" s="3" t="str">
        <f>IFERROR(MID(VLOOKUP($B53,Seqs!$A:$B,2,FALSE),AW53,1),"")</f>
        <v>S</v>
      </c>
      <c r="AW53" s="3">
        <v>329</v>
      </c>
      <c r="AX53" s="3" t="str">
        <f>IFERROR(MID(VLOOKUP($B53,Seqs!$A:$B,2,FALSE),AY53,1),"")</f>
        <v>C</v>
      </c>
      <c r="AY53" s="3">
        <v>341</v>
      </c>
      <c r="AZ53" s="83" t="str">
        <f>VLOOKUP(B53,Classification!A:D,2,FALSE)</f>
        <v>A</v>
      </c>
      <c r="BC53" s="57">
        <f t="shared" si="88"/>
        <v>245</v>
      </c>
      <c r="BD53" s="63" t="b">
        <f t="shared" si="89"/>
        <v>1</v>
      </c>
      <c r="BE53" s="68" t="s">
        <v>1514</v>
      </c>
      <c r="BF53" s="75" t="s">
        <v>1514</v>
      </c>
      <c r="BG53" s="75" t="s">
        <v>1514</v>
      </c>
      <c r="BH53" s="75" t="s">
        <v>1514</v>
      </c>
      <c r="BI53" s="75" t="s">
        <v>1514</v>
      </c>
      <c r="BJ53" s="75" t="s">
        <v>1514</v>
      </c>
      <c r="BK53" s="75" t="s">
        <v>1514</v>
      </c>
      <c r="BL53" s="75" t="s">
        <v>1514</v>
      </c>
      <c r="BM53" s="75" t="s">
        <v>1514</v>
      </c>
      <c r="BN53" s="75" t="s">
        <v>1514</v>
      </c>
      <c r="BO53" s="75" t="s">
        <v>1514</v>
      </c>
      <c r="BP53" s="75" t="s">
        <v>1514</v>
      </c>
      <c r="BQ53" s="68">
        <f t="shared" si="62"/>
        <v>29</v>
      </c>
      <c r="BR53" s="69">
        <f t="shared" si="63"/>
        <v>62</v>
      </c>
      <c r="BS53" s="70">
        <f t="shared" si="64"/>
        <v>66</v>
      </c>
      <c r="BT53" s="69">
        <f t="shared" si="65"/>
        <v>98</v>
      </c>
      <c r="BU53" s="70">
        <f t="shared" si="66"/>
        <v>102</v>
      </c>
      <c r="BV53" s="69">
        <f t="shared" si="67"/>
        <v>138</v>
      </c>
      <c r="BW53" s="70">
        <f t="shared" si="68"/>
        <v>147</v>
      </c>
      <c r="BX53" s="69">
        <f t="shared" si="69"/>
        <v>191</v>
      </c>
      <c r="BY53" s="70">
        <f t="shared" si="70"/>
        <v>198</v>
      </c>
      <c r="BZ53" s="69">
        <f t="shared" si="71"/>
        <v>266</v>
      </c>
      <c r="CA53" s="70">
        <f t="shared" si="72"/>
        <v>304</v>
      </c>
      <c r="CB53" s="69">
        <f t="shared" si="73"/>
        <v>329</v>
      </c>
      <c r="CC53" s="68">
        <f t="shared" si="74"/>
        <v>61</v>
      </c>
      <c r="CD53" s="69">
        <f t="shared" si="75"/>
        <v>65</v>
      </c>
      <c r="CE53" s="70">
        <f t="shared" si="76"/>
        <v>96</v>
      </c>
      <c r="CF53" s="70">
        <f t="shared" si="77"/>
        <v>101</v>
      </c>
      <c r="CG53" s="70">
        <f t="shared" si="78"/>
        <v>137</v>
      </c>
      <c r="CH53" s="70">
        <f t="shared" si="79"/>
        <v>145</v>
      </c>
      <c r="CI53" s="70">
        <f t="shared" si="80"/>
        <v>172</v>
      </c>
      <c r="CJ53" s="70">
        <f t="shared" si="81"/>
        <v>193</v>
      </c>
      <c r="CK53" s="70">
        <f t="shared" si="82"/>
        <v>225</v>
      </c>
      <c r="CL53" s="70">
        <f t="shared" si="83"/>
        <v>299</v>
      </c>
      <c r="CM53" s="70">
        <f t="shared" si="84"/>
        <v>328</v>
      </c>
      <c r="CN53" s="70">
        <f t="shared" si="85"/>
        <v>341</v>
      </c>
      <c r="CO53" s="57">
        <f t="shared" si="86"/>
        <v>1</v>
      </c>
    </row>
    <row r="54" spans="1:93" x14ac:dyDescent="0.2">
      <c r="A54" s="3" t="str">
        <f t="shared" si="87"/>
        <v>adrb2_human_4LDO</v>
      </c>
      <c r="B54" s="3" t="s">
        <v>320</v>
      </c>
      <c r="C54" s="3" t="s">
        <v>1252</v>
      </c>
      <c r="D54" s="3" t="str">
        <f>IFERROR(MID(VLOOKUP($B54,Seqs!$A:$B,2,FALSE),E54,1),"")</f>
        <v>D</v>
      </c>
      <c r="E54" s="3">
        <v>29</v>
      </c>
      <c r="F54" s="3" t="str">
        <f>IFERROR(MID(VLOOKUP($B54,Seqs!$A:$B,2,FALSE),G54,1),"")</f>
        <v>F</v>
      </c>
      <c r="G54" s="3">
        <v>61</v>
      </c>
      <c r="H54" s="3" t="str">
        <f>IFERROR(MID(VLOOKUP($B54,Seqs!$A:$B,2,FALSE),I54,1),"")</f>
        <v>E</v>
      </c>
      <c r="I54" s="57">
        <v>62</v>
      </c>
      <c r="J54" s="3" t="str">
        <f>IFERROR(MID(VLOOKUP($B54,Seqs!$A:$B,2,FALSE),K54,1),"")</f>
        <v>Q</v>
      </c>
      <c r="K54" s="57">
        <v>65</v>
      </c>
      <c r="L54" s="3" t="str">
        <f>IFERROR(MID(VLOOKUP($B54,Seqs!$A:$B,2,FALSE),M54,1),"")</f>
        <v>T</v>
      </c>
      <c r="M54" s="3">
        <v>66</v>
      </c>
      <c r="N54" s="3" t="str">
        <f>IFERROR(MID(VLOOKUP($B54,Seqs!$A:$B,2,FALSE),O54,1),"")</f>
        <v>M</v>
      </c>
      <c r="O54" s="3">
        <v>96</v>
      </c>
      <c r="P54" s="3" t="str">
        <f>IFERROR(MID(VLOOKUP($B54,Seqs!$A:$B,2,FALSE),Q54,1),"")</f>
        <v>M</v>
      </c>
      <c r="Q54" s="3">
        <v>98</v>
      </c>
      <c r="R54" s="3" t="str">
        <f>IFERROR(MID(VLOOKUP($B54,Seqs!$A:$B,2,FALSE),S54,1),"")</f>
        <v>F</v>
      </c>
      <c r="S54" s="3">
        <v>101</v>
      </c>
      <c r="T54" s="3" t="str">
        <f>IFERROR(MID(VLOOKUP($B54,Seqs!$A:$B,2,FALSE),U54,1),"")</f>
        <v>G</v>
      </c>
      <c r="U54" s="3">
        <v>102</v>
      </c>
      <c r="V54" s="3" t="str">
        <f>IFERROR(MID(VLOOKUP($B54,Seqs!$A:$B,2,FALSE),W54,1),"")</f>
        <v>S</v>
      </c>
      <c r="W54" s="3">
        <v>137</v>
      </c>
      <c r="X54" s="3" t="str">
        <f>IFERROR(MID(VLOOKUP($B54,Seqs!$A:$B,2,FALSE),Y54,1),"")</f>
        <v>P</v>
      </c>
      <c r="Y54" s="3">
        <v>138</v>
      </c>
      <c r="Z54" s="3" t="str">
        <f>IFERROR(MID(VLOOKUP($B54,Seqs!$A:$B,2,FALSE),AA54,1),"")</f>
        <v>L</v>
      </c>
      <c r="AA54" s="3">
        <v>145</v>
      </c>
      <c r="AB54" s="3" t="str">
        <f>IFERROR(MID(VLOOKUP($B54,Seqs!$A:$B,2,FALSE),AC54,1),"")</f>
        <v>K</v>
      </c>
      <c r="AC54" s="3">
        <v>147</v>
      </c>
      <c r="AD54" s="3" t="str">
        <f>IFERROR(MID(VLOOKUP($B54,Seqs!$A:$B,2,FALSE),AE54,1),"")</f>
        <v>H</v>
      </c>
      <c r="AE54" s="3">
        <v>172</v>
      </c>
      <c r="AF54" s="3" t="str">
        <f>IFERROR(MID(VLOOKUP($B54,Seqs!$A:$B,2,FALSE),AG54,1),"")</f>
        <v>C</v>
      </c>
      <c r="AG54" s="3">
        <v>191</v>
      </c>
      <c r="AH54" s="3" t="str">
        <f>IFERROR(MID(VLOOKUP($B54,Seqs!$A:$B,2,FALSE),AI54,1),"")</f>
        <v>F</v>
      </c>
      <c r="AI54" s="3">
        <v>193</v>
      </c>
      <c r="AJ54" s="3" t="str">
        <f>IFERROR(MID(VLOOKUP($B54,Seqs!$A:$B,2,FALSE),AK54,1),"")</f>
        <v>A</v>
      </c>
      <c r="AK54" s="3">
        <v>198</v>
      </c>
      <c r="AL54" s="3" t="str">
        <f>IFERROR(MID(VLOOKUP($B54,Seqs!$A:$B,2,FALSE),AM54,1),"")</f>
        <v>E</v>
      </c>
      <c r="AM54" s="3">
        <v>225</v>
      </c>
      <c r="AN54" s="3" t="str">
        <f>IFERROR(MID(VLOOKUP($B54,Seqs!$A:$B,2,FALSE),AO54,1),"")</f>
        <v>L</v>
      </c>
      <c r="AO54" s="3">
        <v>266</v>
      </c>
      <c r="AP54" s="3" t="str">
        <f>IFERROR(MID(VLOOKUP($B54,Seqs!$A:$B,2,FALSE),AQ54,1),"")</f>
        <v>Q</v>
      </c>
      <c r="AQ54" s="3">
        <v>299</v>
      </c>
      <c r="AR54" s="3" t="str">
        <f>IFERROR(MID(VLOOKUP($B54,Seqs!$A:$B,2,FALSE),AS54,1),"")</f>
        <v>R</v>
      </c>
      <c r="AS54" s="3">
        <v>304</v>
      </c>
      <c r="AT54" s="3" t="str">
        <f>IFERROR(MID(VLOOKUP($B54,Seqs!$A:$B,2,FALSE),AU54,1),"")</f>
        <v>R</v>
      </c>
      <c r="AU54" s="3">
        <v>328</v>
      </c>
      <c r="AV54" s="3" t="str">
        <f>IFERROR(MID(VLOOKUP($B54,Seqs!$A:$B,2,FALSE),AW54,1),"")</f>
        <v>S</v>
      </c>
      <c r="AW54" s="3">
        <v>329</v>
      </c>
      <c r="AX54" s="3" t="str">
        <f>IFERROR(MID(VLOOKUP($B54,Seqs!$A:$B,2,FALSE),AY54,1),"")</f>
        <v>C</v>
      </c>
      <c r="AY54" s="3">
        <v>341</v>
      </c>
      <c r="AZ54" s="83" t="str">
        <f>VLOOKUP(B54,Classification!A:D,2,FALSE)</f>
        <v>A</v>
      </c>
      <c r="BC54" s="57">
        <f t="shared" si="88"/>
        <v>245</v>
      </c>
      <c r="BD54" s="63" t="b">
        <f t="shared" si="89"/>
        <v>1</v>
      </c>
      <c r="BE54" s="68" t="s">
        <v>1514</v>
      </c>
      <c r="BF54" s="75" t="s">
        <v>1514</v>
      </c>
      <c r="BG54" s="75" t="s">
        <v>1514</v>
      </c>
      <c r="BH54" s="75" t="s">
        <v>1514</v>
      </c>
      <c r="BI54" s="75" t="s">
        <v>1514</v>
      </c>
      <c r="BJ54" s="75" t="s">
        <v>1514</v>
      </c>
      <c r="BK54" s="75" t="s">
        <v>1514</v>
      </c>
      <c r="BL54" s="75" t="s">
        <v>1514</v>
      </c>
      <c r="BM54" s="75" t="s">
        <v>1514</v>
      </c>
      <c r="BN54" s="75" t="s">
        <v>1514</v>
      </c>
      <c r="BO54" s="75" t="s">
        <v>1514</v>
      </c>
      <c r="BP54" s="75" t="s">
        <v>1514</v>
      </c>
      <c r="BQ54" s="68">
        <f t="shared" si="62"/>
        <v>29</v>
      </c>
      <c r="BR54" s="69">
        <f t="shared" si="63"/>
        <v>62</v>
      </c>
      <c r="BS54" s="70">
        <f t="shared" si="64"/>
        <v>66</v>
      </c>
      <c r="BT54" s="69">
        <f t="shared" si="65"/>
        <v>98</v>
      </c>
      <c r="BU54" s="70">
        <f t="shared" si="66"/>
        <v>102</v>
      </c>
      <c r="BV54" s="69">
        <f t="shared" si="67"/>
        <v>138</v>
      </c>
      <c r="BW54" s="70">
        <f t="shared" si="68"/>
        <v>147</v>
      </c>
      <c r="BX54" s="69">
        <f t="shared" si="69"/>
        <v>191</v>
      </c>
      <c r="BY54" s="70">
        <f t="shared" si="70"/>
        <v>198</v>
      </c>
      <c r="BZ54" s="69">
        <f t="shared" si="71"/>
        <v>266</v>
      </c>
      <c r="CA54" s="70">
        <f t="shared" si="72"/>
        <v>304</v>
      </c>
      <c r="CB54" s="69">
        <f t="shared" si="73"/>
        <v>329</v>
      </c>
      <c r="CC54" s="68">
        <f t="shared" si="74"/>
        <v>61</v>
      </c>
      <c r="CD54" s="69">
        <f t="shared" si="75"/>
        <v>65</v>
      </c>
      <c r="CE54" s="70">
        <f t="shared" si="76"/>
        <v>96</v>
      </c>
      <c r="CF54" s="70">
        <f t="shared" si="77"/>
        <v>101</v>
      </c>
      <c r="CG54" s="70">
        <f t="shared" si="78"/>
        <v>137</v>
      </c>
      <c r="CH54" s="70">
        <f t="shared" si="79"/>
        <v>145</v>
      </c>
      <c r="CI54" s="70">
        <f t="shared" si="80"/>
        <v>172</v>
      </c>
      <c r="CJ54" s="70">
        <f t="shared" si="81"/>
        <v>193</v>
      </c>
      <c r="CK54" s="70">
        <f t="shared" si="82"/>
        <v>225</v>
      </c>
      <c r="CL54" s="70">
        <f t="shared" si="83"/>
        <v>299</v>
      </c>
      <c r="CM54" s="70">
        <f t="shared" si="84"/>
        <v>328</v>
      </c>
      <c r="CN54" s="70">
        <f t="shared" si="85"/>
        <v>341</v>
      </c>
      <c r="CO54" s="57">
        <f t="shared" si="86"/>
        <v>1</v>
      </c>
    </row>
    <row r="55" spans="1:93" x14ac:dyDescent="0.2">
      <c r="A55" s="3" t="str">
        <f t="shared" si="87"/>
        <v>adrb2_human_4QKX</v>
      </c>
      <c r="B55" s="3" t="s">
        <v>320</v>
      </c>
      <c r="C55" s="3" t="s">
        <v>269</v>
      </c>
      <c r="D55" s="3" t="str">
        <f>IFERROR(MID(VLOOKUP($B55,Seqs!$A:$B,2,FALSE),E55,1),"")</f>
        <v>D</v>
      </c>
      <c r="E55" s="3">
        <v>29</v>
      </c>
      <c r="F55" s="3" t="str">
        <f>IFERROR(MID(VLOOKUP($B55,Seqs!$A:$B,2,FALSE),G55,1),"")</f>
        <v>F</v>
      </c>
      <c r="G55" s="3">
        <v>61</v>
      </c>
      <c r="H55" s="3" t="str">
        <f>IFERROR(MID(VLOOKUP($B55,Seqs!$A:$B,2,FALSE),I55,1),"")</f>
        <v>E</v>
      </c>
      <c r="I55" s="57">
        <v>62</v>
      </c>
      <c r="J55" s="3" t="str">
        <f>IFERROR(MID(VLOOKUP($B55,Seqs!$A:$B,2,FALSE),K55,1),"")</f>
        <v>Q</v>
      </c>
      <c r="K55" s="57">
        <v>65</v>
      </c>
      <c r="L55" s="3" t="str">
        <f>IFERROR(MID(VLOOKUP($B55,Seqs!$A:$B,2,FALSE),M55,1),"")</f>
        <v>T</v>
      </c>
      <c r="M55" s="3">
        <v>66</v>
      </c>
      <c r="N55" s="3" t="str">
        <f>IFERROR(MID(VLOOKUP($B55,Seqs!$A:$B,2,FALSE),O55,1),"")</f>
        <v>M</v>
      </c>
      <c r="O55" s="3">
        <v>96</v>
      </c>
      <c r="P55" s="3" t="str">
        <f>IFERROR(MID(VLOOKUP($B55,Seqs!$A:$B,2,FALSE),Q55,1),"")</f>
        <v>M</v>
      </c>
      <c r="Q55" s="3">
        <v>98</v>
      </c>
      <c r="R55" s="3" t="str">
        <f>IFERROR(MID(VLOOKUP($B55,Seqs!$A:$B,2,FALSE),S55,1),"")</f>
        <v>F</v>
      </c>
      <c r="S55" s="3">
        <v>101</v>
      </c>
      <c r="T55" s="3" t="str">
        <f>IFERROR(MID(VLOOKUP($B55,Seqs!$A:$B,2,FALSE),U55,1),"")</f>
        <v>G</v>
      </c>
      <c r="U55" s="3">
        <v>102</v>
      </c>
      <c r="V55" s="3" t="str">
        <f>IFERROR(MID(VLOOKUP($B55,Seqs!$A:$B,2,FALSE),W55,1),"")</f>
        <v>S</v>
      </c>
      <c r="W55" s="3">
        <v>137</v>
      </c>
      <c r="X55" s="3" t="str">
        <f>IFERROR(MID(VLOOKUP($B55,Seqs!$A:$B,2,FALSE),Y55,1),"")</f>
        <v>P</v>
      </c>
      <c r="Y55" s="3">
        <v>138</v>
      </c>
      <c r="Z55" s="3" t="str">
        <f>IFERROR(MID(VLOOKUP($B55,Seqs!$A:$B,2,FALSE),AA55,1),"")</f>
        <v>L</v>
      </c>
      <c r="AA55" s="3">
        <v>145</v>
      </c>
      <c r="AB55" s="3" t="str">
        <f>IFERROR(MID(VLOOKUP($B55,Seqs!$A:$B,2,FALSE),AC55,1),"")</f>
        <v>K</v>
      </c>
      <c r="AC55" s="3">
        <v>147</v>
      </c>
      <c r="AD55" s="3" t="str">
        <f>IFERROR(MID(VLOOKUP($B55,Seqs!$A:$B,2,FALSE),AE55,1),"")</f>
        <v>H</v>
      </c>
      <c r="AE55" s="3">
        <v>172</v>
      </c>
      <c r="AF55" s="3" t="str">
        <f>IFERROR(MID(VLOOKUP($B55,Seqs!$A:$B,2,FALSE),AG55,1),"")</f>
        <v>C</v>
      </c>
      <c r="AG55" s="3">
        <v>191</v>
      </c>
      <c r="AH55" s="3" t="str">
        <f>IFERROR(MID(VLOOKUP($B55,Seqs!$A:$B,2,FALSE),AI55,1),"")</f>
        <v>F</v>
      </c>
      <c r="AI55" s="3">
        <v>193</v>
      </c>
      <c r="AJ55" s="3" t="str">
        <f>IFERROR(MID(VLOOKUP($B55,Seqs!$A:$B,2,FALSE),AK55,1),"")</f>
        <v>A</v>
      </c>
      <c r="AK55" s="3">
        <v>198</v>
      </c>
      <c r="AL55" s="3" t="str">
        <f>IFERROR(MID(VLOOKUP($B55,Seqs!$A:$B,2,FALSE),AM55,1),"")</f>
        <v>E</v>
      </c>
      <c r="AM55" s="3">
        <v>225</v>
      </c>
      <c r="AN55" s="3" t="str">
        <f>IFERROR(MID(VLOOKUP($B55,Seqs!$A:$B,2,FALSE),AO55,1),"")</f>
        <v>L</v>
      </c>
      <c r="AO55" s="3">
        <v>266</v>
      </c>
      <c r="AP55" s="3" t="str">
        <f>IFERROR(MID(VLOOKUP($B55,Seqs!$A:$B,2,FALSE),AQ55,1),"")</f>
        <v>Q</v>
      </c>
      <c r="AQ55" s="3">
        <v>299</v>
      </c>
      <c r="AR55" s="3" t="str">
        <f>IFERROR(MID(VLOOKUP($B55,Seqs!$A:$B,2,FALSE),AS55,1),"")</f>
        <v>R</v>
      </c>
      <c r="AS55" s="3">
        <v>304</v>
      </c>
      <c r="AT55" s="3" t="str">
        <f>IFERROR(MID(VLOOKUP($B55,Seqs!$A:$B,2,FALSE),AU55,1),"")</f>
        <v>R</v>
      </c>
      <c r="AU55" s="3">
        <v>328</v>
      </c>
      <c r="AV55" s="3" t="str">
        <f>IFERROR(MID(VLOOKUP($B55,Seqs!$A:$B,2,FALSE),AW55,1),"")</f>
        <v>S</v>
      </c>
      <c r="AW55" s="3">
        <v>329</v>
      </c>
      <c r="AX55" s="3" t="str">
        <f>IFERROR(MID(VLOOKUP($B55,Seqs!$A:$B,2,FALSE),AY55,1),"")</f>
        <v>C</v>
      </c>
      <c r="AY55" s="3">
        <v>341</v>
      </c>
      <c r="AZ55" s="83" t="str">
        <f>VLOOKUP(B55,Classification!A:D,2,FALSE)</f>
        <v>A</v>
      </c>
      <c r="BC55" s="57">
        <f t="shared" si="88"/>
        <v>245</v>
      </c>
      <c r="BD55" s="63" t="b">
        <f t="shared" si="89"/>
        <v>1</v>
      </c>
      <c r="BE55" s="68" t="s">
        <v>1514</v>
      </c>
      <c r="BF55" s="75" t="s">
        <v>1514</v>
      </c>
      <c r="BG55" s="75" t="s">
        <v>1514</v>
      </c>
      <c r="BH55" s="75" t="s">
        <v>1514</v>
      </c>
      <c r="BI55" s="75" t="s">
        <v>1514</v>
      </c>
      <c r="BJ55" s="75" t="s">
        <v>1514</v>
      </c>
      <c r="BK55" s="75" t="s">
        <v>1514</v>
      </c>
      <c r="BL55" s="75" t="s">
        <v>1514</v>
      </c>
      <c r="BM55" s="75" t="s">
        <v>1514</v>
      </c>
      <c r="BN55" s="75" t="s">
        <v>1514</v>
      </c>
      <c r="BO55" s="75" t="s">
        <v>1514</v>
      </c>
      <c r="BP55" s="75" t="s">
        <v>1514</v>
      </c>
      <c r="BQ55" s="68">
        <f t="shared" si="62"/>
        <v>29</v>
      </c>
      <c r="BR55" s="69">
        <f t="shared" si="63"/>
        <v>62</v>
      </c>
      <c r="BS55" s="70">
        <f t="shared" si="64"/>
        <v>66</v>
      </c>
      <c r="BT55" s="69">
        <f t="shared" si="65"/>
        <v>98</v>
      </c>
      <c r="BU55" s="70">
        <f t="shared" si="66"/>
        <v>102</v>
      </c>
      <c r="BV55" s="69">
        <f t="shared" si="67"/>
        <v>138</v>
      </c>
      <c r="BW55" s="70">
        <f t="shared" si="68"/>
        <v>147</v>
      </c>
      <c r="BX55" s="69">
        <f t="shared" si="69"/>
        <v>191</v>
      </c>
      <c r="BY55" s="70">
        <f t="shared" si="70"/>
        <v>198</v>
      </c>
      <c r="BZ55" s="69">
        <f t="shared" si="71"/>
        <v>266</v>
      </c>
      <c r="CA55" s="70">
        <f t="shared" si="72"/>
        <v>304</v>
      </c>
      <c r="CB55" s="69">
        <f t="shared" si="73"/>
        <v>329</v>
      </c>
      <c r="CC55" s="68">
        <f t="shared" si="74"/>
        <v>61</v>
      </c>
      <c r="CD55" s="69">
        <f t="shared" si="75"/>
        <v>65</v>
      </c>
      <c r="CE55" s="70">
        <f t="shared" si="76"/>
        <v>96</v>
      </c>
      <c r="CF55" s="70">
        <f t="shared" si="77"/>
        <v>101</v>
      </c>
      <c r="CG55" s="70">
        <f t="shared" si="78"/>
        <v>137</v>
      </c>
      <c r="CH55" s="70">
        <f t="shared" si="79"/>
        <v>145</v>
      </c>
      <c r="CI55" s="70">
        <f t="shared" si="80"/>
        <v>172</v>
      </c>
      <c r="CJ55" s="70">
        <f t="shared" si="81"/>
        <v>193</v>
      </c>
      <c r="CK55" s="70">
        <f t="shared" si="82"/>
        <v>225</v>
      </c>
      <c r="CL55" s="70">
        <f t="shared" si="83"/>
        <v>299</v>
      </c>
      <c r="CM55" s="70">
        <f t="shared" si="84"/>
        <v>328</v>
      </c>
      <c r="CN55" s="70">
        <f t="shared" si="85"/>
        <v>341</v>
      </c>
      <c r="CO55" s="57">
        <f t="shared" si="86"/>
        <v>1</v>
      </c>
    </row>
    <row r="56" spans="1:93" x14ac:dyDescent="0.2">
      <c r="A56" s="3" t="str">
        <f t="shared" si="87"/>
        <v>agtr1_human__wt</v>
      </c>
      <c r="B56" s="3" t="s">
        <v>352</v>
      </c>
      <c r="C56" s="3" t="s">
        <v>294</v>
      </c>
      <c r="D56" s="3" t="str">
        <f>IFERROR(MID(VLOOKUP($B56,Seqs!$A:$B,2,FALSE),E56,1),"")</f>
        <v>Y</v>
      </c>
      <c r="E56" s="3">
        <v>26</v>
      </c>
      <c r="F56" s="3" t="str">
        <f>IFERROR(MID(VLOOKUP($B56,Seqs!$A:$B,2,FALSE),G56,1),"")</f>
        <v>Y</v>
      </c>
      <c r="G56" s="3">
        <v>56</v>
      </c>
      <c r="H56" s="3" t="str">
        <f>IFERROR(MID(VLOOKUP($B56,Seqs!$A:$B,2,FALSE),I56,1),"")</f>
        <v>M</v>
      </c>
      <c r="I56" s="57">
        <v>57</v>
      </c>
      <c r="J56" s="3" t="str">
        <f>IFERROR(MID(VLOOKUP($B56,Seqs!$A:$B,2,FALSE),K56,1),"")</f>
        <v>K</v>
      </c>
      <c r="K56" s="57">
        <v>60</v>
      </c>
      <c r="L56" s="3" t="str">
        <f>IFERROR(MID(VLOOKUP($B56,Seqs!$A:$B,2,FALSE),M56,1),"")</f>
        <v>T</v>
      </c>
      <c r="M56" s="3">
        <v>61</v>
      </c>
      <c r="N56" s="3" t="str">
        <f>IFERROR(MID(VLOOKUP($B56,Seqs!$A:$B,2,FALSE),O56,1),"")</f>
        <v>M</v>
      </c>
      <c r="O56" s="3">
        <v>90</v>
      </c>
      <c r="P56" s="3" t="str">
        <f>IFERROR(MID(VLOOKUP($B56,Seqs!$A:$B,2,FALSE),Q56,1),"")</f>
        <v>R</v>
      </c>
      <c r="Q56" s="3">
        <v>93</v>
      </c>
      <c r="R56" s="3" t="str">
        <f>IFERROR(MID(VLOOKUP($B56,Seqs!$A:$B,2,FALSE),S56,1),"")</f>
        <v>F</v>
      </c>
      <c r="S56" s="3">
        <v>96</v>
      </c>
      <c r="T56" s="3" t="str">
        <f>IFERROR(MID(VLOOKUP($B56,Seqs!$A:$B,2,FALSE),U56,1),"")</f>
        <v>G</v>
      </c>
      <c r="U56" s="3">
        <v>97</v>
      </c>
      <c r="V56" s="3" t="str">
        <f>IFERROR(MID(VLOOKUP($B56,Seqs!$A:$B,2,FALSE),W56,1),"")</f>
        <v>H</v>
      </c>
      <c r="W56" s="3">
        <v>132</v>
      </c>
      <c r="X56" s="3" t="str">
        <f>IFERROR(MID(VLOOKUP($B56,Seqs!$A:$B,2,FALSE),Y56,1),"")</f>
        <v>P</v>
      </c>
      <c r="Y56" s="3">
        <v>133</v>
      </c>
      <c r="Z56" s="3" t="str">
        <f>IFERROR(MID(VLOOKUP($B56,Seqs!$A:$B,2,FALSE),AA56,1),"")</f>
        <v>R</v>
      </c>
      <c r="AA56" s="3">
        <v>140</v>
      </c>
      <c r="AB56" s="3" t="str">
        <f>IFERROR(MID(VLOOKUP($B56,Seqs!$A:$B,2,FALSE),AC56,1),"")</f>
        <v>M</v>
      </c>
      <c r="AC56" s="3">
        <v>142</v>
      </c>
      <c r="AD56" s="3" t="str">
        <f>IFERROR(MID(VLOOKUP($B56,Seqs!$A:$B,2,FALSE),AE56,1),"")</f>
        <v>R</v>
      </c>
      <c r="AE56" s="3">
        <v>167</v>
      </c>
      <c r="AF56" s="3" t="str">
        <f>IFERROR(MID(VLOOKUP($B56,Seqs!$A:$B,2,FALSE),AG56,1),"")</f>
        <v>C</v>
      </c>
      <c r="AG56" s="3">
        <v>180</v>
      </c>
      <c r="AH56" s="3" t="str">
        <f>IFERROR(MID(VLOOKUP($B56,Seqs!$A:$B,2,FALSE),AI56,1),"")</f>
        <v>F</v>
      </c>
      <c r="AI56" s="3">
        <v>182</v>
      </c>
      <c r="AJ56" s="3" t="str">
        <f>IFERROR(MID(VLOOKUP($B56,Seqs!$A:$B,2,FALSE),AK56,1),"")</f>
        <v>L</v>
      </c>
      <c r="AK56" s="3">
        <v>191</v>
      </c>
      <c r="AL56" s="3" t="str">
        <f>IFERROR(MID(VLOOKUP($B56,Seqs!$A:$B,2,FALSE),AM56,1),"")</f>
        <v>A</v>
      </c>
      <c r="AM56" s="3">
        <v>225</v>
      </c>
      <c r="AN56" s="3" t="str">
        <f>IFERROR(MID(VLOOKUP($B56,Seqs!$A:$B,2,FALSE),AO56,1),"")</f>
        <v>P</v>
      </c>
      <c r="AO56" s="3">
        <v>233</v>
      </c>
      <c r="AP56" s="3" t="str">
        <f>IFERROR(MID(VLOOKUP($B56,Seqs!$A:$B,2,FALSE),AQ56,1),"")</f>
        <v>G</v>
      </c>
      <c r="AQ56" s="3">
        <v>269</v>
      </c>
      <c r="AR56" s="3" t="str">
        <f>IFERROR(MID(VLOOKUP($B56,Seqs!$A:$B,2,FALSE),AS56,1),"")</f>
        <v>D</v>
      </c>
      <c r="AS56" s="3">
        <v>273</v>
      </c>
      <c r="AT56" s="3" t="str">
        <f>IFERROR(MID(VLOOKUP($B56,Seqs!$A:$B,2,FALSE),AU56,1),"")</f>
        <v>L</v>
      </c>
      <c r="AU56" s="3">
        <v>305</v>
      </c>
      <c r="AV56" s="3" t="str">
        <f>IFERROR(MID(VLOOKUP($B56,Seqs!$A:$B,2,FALSE),AW56,1),"")</f>
        <v>G</v>
      </c>
      <c r="AW56" s="3">
        <v>306</v>
      </c>
      <c r="AX56" s="3" t="str">
        <f>IFERROR(MID(VLOOKUP($B56,Seqs!$A:$B,2,FALSE),AY56,1),"")</f>
        <v>I</v>
      </c>
      <c r="AY56" s="3">
        <v>320</v>
      </c>
      <c r="AZ56" s="83" t="str">
        <f>VLOOKUP(B56,Classification!A:D,2,FALSE)</f>
        <v>A</v>
      </c>
      <c r="BB56" s="82">
        <f>S56-Q56+1</f>
        <v>4</v>
      </c>
      <c r="BC56" s="57">
        <f t="shared" si="88"/>
        <v>262</v>
      </c>
      <c r="BD56" s="63" t="b">
        <f t="shared" si="89"/>
        <v>1</v>
      </c>
      <c r="BE56" s="68" t="s">
        <v>1514</v>
      </c>
      <c r="BF56" s="75" t="s">
        <v>1514</v>
      </c>
      <c r="BG56" s="75" t="s">
        <v>1514</v>
      </c>
      <c r="BH56" s="75" t="s">
        <v>1514</v>
      </c>
      <c r="BI56" s="75" t="s">
        <v>1514</v>
      </c>
      <c r="BJ56" s="75" t="s">
        <v>1514</v>
      </c>
      <c r="BK56" s="75" t="s">
        <v>1514</v>
      </c>
      <c r="BL56" s="75" t="s">
        <v>1514</v>
      </c>
      <c r="BM56" s="75" t="s">
        <v>1514</v>
      </c>
      <c r="BN56" s="75" t="s">
        <v>1514</v>
      </c>
      <c r="BO56" s="75" t="s">
        <v>1514</v>
      </c>
      <c r="BP56" s="75" t="s">
        <v>1514</v>
      </c>
      <c r="BQ56" s="68">
        <f t="shared" si="62"/>
        <v>26</v>
      </c>
      <c r="BR56" s="69">
        <f t="shared" si="63"/>
        <v>57</v>
      </c>
      <c r="BS56" s="70">
        <f t="shared" si="64"/>
        <v>61</v>
      </c>
      <c r="BT56" s="69">
        <f t="shared" si="65"/>
        <v>93</v>
      </c>
      <c r="BU56" s="70">
        <f t="shared" si="66"/>
        <v>97</v>
      </c>
      <c r="BV56" s="69">
        <f t="shared" si="67"/>
        <v>133</v>
      </c>
      <c r="BW56" s="70">
        <f t="shared" si="68"/>
        <v>142</v>
      </c>
      <c r="BX56" s="69">
        <f t="shared" si="69"/>
        <v>180</v>
      </c>
      <c r="BY56" s="70">
        <f t="shared" si="70"/>
        <v>191</v>
      </c>
      <c r="BZ56" s="69">
        <f t="shared" si="71"/>
        <v>233</v>
      </c>
      <c r="CA56" s="70">
        <f t="shared" si="72"/>
        <v>273</v>
      </c>
      <c r="CB56" s="69">
        <f t="shared" si="73"/>
        <v>306</v>
      </c>
      <c r="CC56" s="68">
        <f t="shared" si="74"/>
        <v>56</v>
      </c>
      <c r="CD56" s="69">
        <f t="shared" si="75"/>
        <v>60</v>
      </c>
      <c r="CE56" s="70">
        <f t="shared" si="76"/>
        <v>90</v>
      </c>
      <c r="CF56" s="70">
        <f t="shared" si="77"/>
        <v>96</v>
      </c>
      <c r="CG56" s="70">
        <f t="shared" si="78"/>
        <v>132</v>
      </c>
      <c r="CH56" s="70">
        <f t="shared" si="79"/>
        <v>140</v>
      </c>
      <c r="CI56" s="70">
        <f t="shared" si="80"/>
        <v>167</v>
      </c>
      <c r="CJ56" s="70">
        <f t="shared" si="81"/>
        <v>182</v>
      </c>
      <c r="CK56" s="70">
        <f t="shared" si="82"/>
        <v>225</v>
      </c>
      <c r="CL56" s="70">
        <f t="shared" si="83"/>
        <v>269</v>
      </c>
      <c r="CM56" s="70">
        <f t="shared" si="84"/>
        <v>305</v>
      </c>
      <c r="CN56" s="70">
        <f t="shared" si="85"/>
        <v>320</v>
      </c>
      <c r="CO56" s="57">
        <f t="shared" si="86"/>
        <v>1</v>
      </c>
    </row>
    <row r="57" spans="1:93" x14ac:dyDescent="0.2">
      <c r="A57" s="3" t="str">
        <f t="shared" si="87"/>
        <v>agtr1_human_4YAY</v>
      </c>
      <c r="B57" s="3" t="s">
        <v>352</v>
      </c>
      <c r="C57" s="3" t="s">
        <v>260</v>
      </c>
      <c r="D57" s="3" t="str">
        <f>IFERROR(MID(VLOOKUP($B57,Seqs!$A:$B,2,FALSE),E57,1),"")</f>
        <v>Y</v>
      </c>
      <c r="E57" s="3">
        <v>26</v>
      </c>
      <c r="F57" s="3" t="str">
        <f>IFERROR(MID(VLOOKUP($B57,Seqs!$A:$B,2,FALSE),G57,1),"")</f>
        <v>Y</v>
      </c>
      <c r="G57" s="3">
        <v>56</v>
      </c>
      <c r="H57" s="3" t="str">
        <f>IFERROR(MID(VLOOKUP($B57,Seqs!$A:$B,2,FALSE),I57,1),"")</f>
        <v>M</v>
      </c>
      <c r="I57" s="57">
        <v>57</v>
      </c>
      <c r="J57" s="3" t="str">
        <f>IFERROR(MID(VLOOKUP($B57,Seqs!$A:$B,2,FALSE),K57,1),"")</f>
        <v>K</v>
      </c>
      <c r="K57" s="57">
        <v>60</v>
      </c>
      <c r="L57" s="3" t="str">
        <f>IFERROR(MID(VLOOKUP($B57,Seqs!$A:$B,2,FALSE),M57,1),"")</f>
        <v>T</v>
      </c>
      <c r="M57" s="3">
        <v>61</v>
      </c>
      <c r="N57" s="3" t="str">
        <f>IFERROR(MID(VLOOKUP($B57,Seqs!$A:$B,2,FALSE),O57,1),"")</f>
        <v>M</v>
      </c>
      <c r="O57" s="3">
        <v>90</v>
      </c>
      <c r="P57" s="3" t="str">
        <f>IFERROR(MID(VLOOKUP($B57,Seqs!$A:$B,2,FALSE),Q57,1),"")</f>
        <v>R</v>
      </c>
      <c r="Q57" s="3">
        <v>93</v>
      </c>
      <c r="R57" s="3" t="str">
        <f>IFERROR(MID(VLOOKUP($B57,Seqs!$A:$B,2,FALSE),S57,1),"")</f>
        <v>F</v>
      </c>
      <c r="S57" s="3">
        <v>96</v>
      </c>
      <c r="T57" s="3" t="str">
        <f>IFERROR(MID(VLOOKUP($B57,Seqs!$A:$B,2,FALSE),U57,1),"")</f>
        <v>G</v>
      </c>
      <c r="U57" s="3">
        <v>97</v>
      </c>
      <c r="V57" s="3" t="str">
        <f>IFERROR(MID(VLOOKUP($B57,Seqs!$A:$B,2,FALSE),W57,1),"")</f>
        <v>H</v>
      </c>
      <c r="W57" s="3">
        <v>132</v>
      </c>
      <c r="X57" s="3" t="str">
        <f>IFERROR(MID(VLOOKUP($B57,Seqs!$A:$B,2,FALSE),Y57,1),"")</f>
        <v/>
      </c>
      <c r="Y57" s="3" t="s">
        <v>129</v>
      </c>
      <c r="Z57" s="3" t="str">
        <f>IFERROR(MID(VLOOKUP($B57,Seqs!$A:$B,2,FALSE),AA57,1),"")</f>
        <v/>
      </c>
      <c r="AA57" s="3" t="s">
        <v>129</v>
      </c>
      <c r="AB57" s="3" t="str">
        <f>IFERROR(MID(VLOOKUP($B57,Seqs!$A:$B,2,FALSE),AC57,1),"")</f>
        <v>L</v>
      </c>
      <c r="AC57" s="3">
        <v>138</v>
      </c>
      <c r="AD57" s="3" t="str">
        <f>IFERROR(MID(VLOOKUP($B57,Seqs!$A:$B,2,FALSE),AE57,1),"")</f>
        <v>R</v>
      </c>
      <c r="AE57" s="3">
        <v>167</v>
      </c>
      <c r="AF57" s="3" t="str">
        <f>IFERROR(MID(VLOOKUP($B57,Seqs!$A:$B,2,FALSE),AG57,1),"")</f>
        <v>C</v>
      </c>
      <c r="AG57" s="3">
        <v>180</v>
      </c>
      <c r="AH57" s="3" t="str">
        <f>IFERROR(MID(VLOOKUP($B57,Seqs!$A:$B,2,FALSE),AI57,1),"")</f>
        <v>F</v>
      </c>
      <c r="AI57" s="3">
        <v>182</v>
      </c>
      <c r="AJ57" s="3" t="str">
        <f>IFERROR(MID(VLOOKUP($B57,Seqs!$A:$B,2,FALSE),AK57,1),"")</f>
        <v>L</v>
      </c>
      <c r="AK57" s="3">
        <v>191</v>
      </c>
      <c r="AL57" s="3" t="str">
        <f>IFERROR(MID(VLOOKUP($B57,Seqs!$A:$B,2,FALSE),AM57,1),"")</f>
        <v>L</v>
      </c>
      <c r="AM57" s="3">
        <v>222</v>
      </c>
      <c r="AN57" s="3" t="str">
        <f>IFERROR(MID(VLOOKUP($B57,Seqs!$A:$B,2,FALSE),AO57,1),"")</f>
        <v>N</v>
      </c>
      <c r="AO57" s="3">
        <v>235</v>
      </c>
      <c r="AP57" s="3" t="str">
        <f>IFERROR(MID(VLOOKUP($B57,Seqs!$A:$B,2,FALSE),AQ57,1),"")</f>
        <v>G</v>
      </c>
      <c r="AQ57" s="3">
        <v>269</v>
      </c>
      <c r="AR57" s="3" t="str">
        <f>IFERROR(MID(VLOOKUP($B57,Seqs!$A:$B,2,FALSE),AS57,1),"")</f>
        <v>D</v>
      </c>
      <c r="AS57" s="3">
        <v>273</v>
      </c>
      <c r="AT57" s="3" t="str">
        <f>IFERROR(MID(VLOOKUP($B57,Seqs!$A:$B,2,FALSE),AU57,1),"")</f>
        <v>N</v>
      </c>
      <c r="AU57" s="3">
        <v>298</v>
      </c>
      <c r="AV57" s="3" t="str">
        <f>IFERROR(MID(VLOOKUP($B57,Seqs!$A:$B,2,FALSE),AW57,1),"")</f>
        <v/>
      </c>
      <c r="AW57" s="3" t="s">
        <v>129</v>
      </c>
      <c r="AX57" s="3" t="str">
        <f>IFERROR(MID(VLOOKUP($B57,Seqs!$A:$B,2,FALSE),AY57,1),"")</f>
        <v/>
      </c>
      <c r="AY57" s="3" t="s">
        <v>129</v>
      </c>
      <c r="AZ57" s="83" t="str">
        <f>VLOOKUP(B57,Classification!A:D,2,FALSE)</f>
        <v>A</v>
      </c>
      <c r="BC57" s="57">
        <f t="shared" si="88"/>
        <v>233</v>
      </c>
      <c r="BD57" s="63" t="b">
        <f t="shared" si="89"/>
        <v>1</v>
      </c>
      <c r="BE57" s="68" t="s">
        <v>1514</v>
      </c>
      <c r="BF57" s="75" t="s">
        <v>1514</v>
      </c>
      <c r="BG57" s="75" t="s">
        <v>1514</v>
      </c>
      <c r="BH57" s="75" t="s">
        <v>1514</v>
      </c>
      <c r="BI57" s="75" t="s">
        <v>1514</v>
      </c>
      <c r="BJ57" s="75" t="s">
        <v>1514</v>
      </c>
      <c r="BK57" s="75" t="s">
        <v>1514</v>
      </c>
      <c r="BL57" s="75" t="s">
        <v>1514</v>
      </c>
      <c r="BM57" s="75" t="s">
        <v>1514</v>
      </c>
      <c r="BN57" s="75" t="s">
        <v>1514</v>
      </c>
      <c r="BO57" s="75" t="s">
        <v>1514</v>
      </c>
      <c r="BP57" s="75" t="s">
        <v>1514</v>
      </c>
      <c r="BQ57" s="68">
        <f t="shared" si="62"/>
        <v>26</v>
      </c>
      <c r="BR57" s="69">
        <f t="shared" si="63"/>
        <v>57</v>
      </c>
      <c r="BS57" s="70">
        <f t="shared" si="64"/>
        <v>61</v>
      </c>
      <c r="BT57" s="69">
        <f t="shared" si="65"/>
        <v>93</v>
      </c>
      <c r="BU57" s="70">
        <f t="shared" si="66"/>
        <v>97</v>
      </c>
      <c r="BV57" s="69" t="str">
        <f t="shared" si="67"/>
        <v>-</v>
      </c>
      <c r="BW57" s="70">
        <f t="shared" si="68"/>
        <v>138</v>
      </c>
      <c r="BX57" s="69">
        <f t="shared" si="69"/>
        <v>180</v>
      </c>
      <c r="BY57" s="70">
        <f t="shared" si="70"/>
        <v>191</v>
      </c>
      <c r="BZ57" s="69">
        <f t="shared" si="71"/>
        <v>235</v>
      </c>
      <c r="CA57" s="70">
        <f t="shared" si="72"/>
        <v>273</v>
      </c>
      <c r="CB57" s="69" t="str">
        <f t="shared" si="73"/>
        <v>-</v>
      </c>
      <c r="CC57" s="68">
        <f t="shared" si="74"/>
        <v>56</v>
      </c>
      <c r="CD57" s="69">
        <f t="shared" si="75"/>
        <v>60</v>
      </c>
      <c r="CE57" s="70">
        <f t="shared" si="76"/>
        <v>90</v>
      </c>
      <c r="CF57" s="70">
        <f t="shared" si="77"/>
        <v>96</v>
      </c>
      <c r="CG57" s="70">
        <f t="shared" si="78"/>
        <v>132</v>
      </c>
      <c r="CH57" s="70" t="str">
        <f t="shared" si="79"/>
        <v>-</v>
      </c>
      <c r="CI57" s="70">
        <f t="shared" si="80"/>
        <v>167</v>
      </c>
      <c r="CJ57" s="70">
        <f t="shared" si="81"/>
        <v>182</v>
      </c>
      <c r="CK57" s="70">
        <f t="shared" si="82"/>
        <v>222</v>
      </c>
      <c r="CL57" s="70">
        <f t="shared" si="83"/>
        <v>269</v>
      </c>
      <c r="CM57" s="70">
        <f t="shared" si="84"/>
        <v>298</v>
      </c>
      <c r="CN57" s="70" t="str">
        <f t="shared" si="85"/>
        <v>-</v>
      </c>
      <c r="CO57" s="57">
        <f t="shared" si="86"/>
        <v>1</v>
      </c>
    </row>
    <row r="58" spans="1:93" x14ac:dyDescent="0.2">
      <c r="A58" s="3" t="str">
        <f t="shared" si="87"/>
        <v>agtr1_human_4YAY_dist</v>
      </c>
      <c r="B58" s="3" t="s">
        <v>352</v>
      </c>
      <c r="C58" s="3" t="s">
        <v>1379</v>
      </c>
      <c r="D58" s="3" t="str">
        <f>IFERROR(MID(VLOOKUP($B58,Seqs!$A:$B,2,FALSE),E58,1),"")</f>
        <v>Y</v>
      </c>
      <c r="E58" s="3">
        <v>26</v>
      </c>
      <c r="F58" s="3" t="str">
        <f>IFERROR(MID(VLOOKUP($B58,Seqs!$A:$B,2,FALSE),G58,1),"")</f>
        <v>Y</v>
      </c>
      <c r="G58" s="3">
        <v>56</v>
      </c>
      <c r="H58" s="3" t="str">
        <f>IFERROR(MID(VLOOKUP($B58,Seqs!$A:$B,2,FALSE),I58,1),"")</f>
        <v>M</v>
      </c>
      <c r="I58" s="57">
        <v>57</v>
      </c>
      <c r="J58" s="3" t="str">
        <f>IFERROR(MID(VLOOKUP($B58,Seqs!$A:$B,2,FALSE),K58,1),"")</f>
        <v>K</v>
      </c>
      <c r="K58" s="57">
        <v>60</v>
      </c>
      <c r="L58" s="3" t="str">
        <f>IFERROR(MID(VLOOKUP($B58,Seqs!$A:$B,2,FALSE),M58,1),"")</f>
        <v>T</v>
      </c>
      <c r="M58" s="3">
        <v>61</v>
      </c>
      <c r="N58" s="3" t="str">
        <f>IFERROR(MID(VLOOKUP($B58,Seqs!$A:$B,2,FALSE),O58,1),"")</f>
        <v>M</v>
      </c>
      <c r="O58" s="3">
        <v>90</v>
      </c>
      <c r="P58" s="3" t="str">
        <f>IFERROR(MID(VLOOKUP($B58,Seqs!$A:$B,2,FALSE),Q58,1),"")</f>
        <v>R</v>
      </c>
      <c r="Q58" s="3">
        <v>93</v>
      </c>
      <c r="R58" s="3" t="str">
        <f>IFERROR(MID(VLOOKUP($B58,Seqs!$A:$B,2,FALSE),S58,1),"")</f>
        <v>F</v>
      </c>
      <c r="S58" s="3">
        <v>96</v>
      </c>
      <c r="T58" s="3" t="str">
        <f>IFERROR(MID(VLOOKUP($B58,Seqs!$A:$B,2,FALSE),U58,1),"")</f>
        <v>G</v>
      </c>
      <c r="U58" s="3">
        <v>97</v>
      </c>
      <c r="V58" s="3" t="str">
        <f>IFERROR(MID(VLOOKUP($B58,Seqs!$A:$B,2,FALSE),W58,1),"")</f>
        <v>H</v>
      </c>
      <c r="W58" s="3">
        <v>132</v>
      </c>
      <c r="X58" s="3" t="str">
        <f>IFERROR(MID(VLOOKUP($B58,Seqs!$A:$B,2,FALSE),Y58,1),"")</f>
        <v/>
      </c>
      <c r="Y58" s="3" t="s">
        <v>129</v>
      </c>
      <c r="Z58" s="3" t="str">
        <f>IFERROR(MID(VLOOKUP($B58,Seqs!$A:$B,2,FALSE),AA58,1),"")</f>
        <v/>
      </c>
      <c r="AA58" s="3" t="s">
        <v>129</v>
      </c>
      <c r="AB58" s="3" t="str">
        <f>IFERROR(MID(VLOOKUP($B58,Seqs!$A:$B,2,FALSE),AC58,1),"")</f>
        <v>L</v>
      </c>
      <c r="AC58" s="3">
        <v>138</v>
      </c>
      <c r="AD58" s="3" t="str">
        <f>IFERROR(MID(VLOOKUP($B58,Seqs!$A:$B,2,FALSE),AE58,1),"")</f>
        <v>R</v>
      </c>
      <c r="AE58" s="3">
        <v>167</v>
      </c>
      <c r="AF58" s="3" t="str">
        <f>IFERROR(MID(VLOOKUP($B58,Seqs!$A:$B,2,FALSE),AG58,1),"")</f>
        <v>C</v>
      </c>
      <c r="AG58" s="3">
        <v>180</v>
      </c>
      <c r="AH58" s="3" t="str">
        <f>IFERROR(MID(VLOOKUP($B58,Seqs!$A:$B,2,FALSE),AI58,1),"")</f>
        <v>F</v>
      </c>
      <c r="AI58" s="3">
        <v>182</v>
      </c>
      <c r="AJ58" s="3" t="str">
        <f>IFERROR(MID(VLOOKUP($B58,Seqs!$A:$B,2,FALSE),AK58,1),"")</f>
        <v>L</v>
      </c>
      <c r="AK58" s="3">
        <v>191</v>
      </c>
      <c r="AL58" s="3" t="str">
        <f>IFERROR(MID(VLOOKUP($B58,Seqs!$A:$B,2,FALSE),AM58,1),"")</f>
        <v>L</v>
      </c>
      <c r="AM58" s="3">
        <v>222</v>
      </c>
      <c r="AN58" s="3" t="str">
        <f>IFERROR(MID(VLOOKUP($B58,Seqs!$A:$B,2,FALSE),AO58,1),"")</f>
        <v>N</v>
      </c>
      <c r="AO58" s="3">
        <v>235</v>
      </c>
      <c r="AP58" s="3" t="str">
        <f>IFERROR(MID(VLOOKUP($B58,Seqs!$A:$B,2,FALSE),AQ58,1),"")</f>
        <v>G</v>
      </c>
      <c r="AQ58" s="3">
        <v>269</v>
      </c>
      <c r="AR58" s="3" t="str">
        <f>IFERROR(MID(VLOOKUP($B58,Seqs!$A:$B,2,FALSE),AS58,1),"")</f>
        <v>D</v>
      </c>
      <c r="AS58" s="3">
        <v>273</v>
      </c>
      <c r="AT58" s="3" t="str">
        <f>IFERROR(MID(VLOOKUP($B58,Seqs!$A:$B,2,FALSE),AU58,1),"")</f>
        <v>F</v>
      </c>
      <c r="AU58" s="3">
        <v>304</v>
      </c>
      <c r="AV58" s="3" t="str">
        <f>IFERROR(MID(VLOOKUP($B58,Seqs!$A:$B,2,FALSE),AW58,1),"")</f>
        <v>G</v>
      </c>
      <c r="AW58" s="3">
        <v>306</v>
      </c>
      <c r="AX58" s="3" t="str">
        <f>IFERROR(MID(VLOOKUP($B58,Seqs!$A:$B,2,FALSE),AY58,1),"")</f>
        <v>L</v>
      </c>
      <c r="AY58" s="3">
        <v>317</v>
      </c>
      <c r="AZ58" s="83" t="str">
        <f>VLOOKUP(B58,Classification!A:D,2,FALSE)</f>
        <v>A</v>
      </c>
      <c r="BC58" s="57">
        <f t="shared" si="88"/>
        <v>250</v>
      </c>
      <c r="BD58" s="63" t="b">
        <f t="shared" si="89"/>
        <v>1</v>
      </c>
      <c r="BE58" s="68" t="s">
        <v>1514</v>
      </c>
      <c r="BF58" s="75" t="s">
        <v>1514</v>
      </c>
      <c r="BG58" s="75" t="s">
        <v>1514</v>
      </c>
      <c r="BH58" s="75" t="s">
        <v>1514</v>
      </c>
      <c r="BI58" s="75" t="s">
        <v>1514</v>
      </c>
      <c r="BJ58" s="75" t="s">
        <v>1514</v>
      </c>
      <c r="BK58" s="75" t="s">
        <v>1514</v>
      </c>
      <c r="BL58" s="75" t="s">
        <v>1514</v>
      </c>
      <c r="BM58" s="75" t="s">
        <v>1514</v>
      </c>
      <c r="BN58" s="75" t="s">
        <v>1514</v>
      </c>
      <c r="BO58" s="75" t="s">
        <v>1514</v>
      </c>
      <c r="BP58" s="75" t="s">
        <v>1514</v>
      </c>
      <c r="BQ58" s="68">
        <f t="shared" si="62"/>
        <v>26</v>
      </c>
      <c r="BR58" s="69">
        <f t="shared" si="63"/>
        <v>57</v>
      </c>
      <c r="BS58" s="70">
        <f t="shared" si="64"/>
        <v>61</v>
      </c>
      <c r="BT58" s="69">
        <f t="shared" si="65"/>
        <v>93</v>
      </c>
      <c r="BU58" s="70">
        <f t="shared" si="66"/>
        <v>97</v>
      </c>
      <c r="BV58" s="69" t="str">
        <f t="shared" si="67"/>
        <v>-</v>
      </c>
      <c r="BW58" s="70">
        <f t="shared" si="68"/>
        <v>138</v>
      </c>
      <c r="BX58" s="69">
        <f t="shared" si="69"/>
        <v>180</v>
      </c>
      <c r="BY58" s="70">
        <f t="shared" si="70"/>
        <v>191</v>
      </c>
      <c r="BZ58" s="69">
        <f t="shared" si="71"/>
        <v>235</v>
      </c>
      <c r="CA58" s="70">
        <f t="shared" si="72"/>
        <v>273</v>
      </c>
      <c r="CB58" s="69">
        <f t="shared" si="73"/>
        <v>306</v>
      </c>
      <c r="CC58" s="68">
        <f t="shared" si="74"/>
        <v>56</v>
      </c>
      <c r="CD58" s="69">
        <f t="shared" si="75"/>
        <v>60</v>
      </c>
      <c r="CE58" s="70">
        <f t="shared" si="76"/>
        <v>90</v>
      </c>
      <c r="CF58" s="70">
        <f t="shared" si="77"/>
        <v>96</v>
      </c>
      <c r="CG58" s="70">
        <f t="shared" si="78"/>
        <v>132</v>
      </c>
      <c r="CH58" s="70" t="str">
        <f t="shared" si="79"/>
        <v>-</v>
      </c>
      <c r="CI58" s="70">
        <f t="shared" si="80"/>
        <v>167</v>
      </c>
      <c r="CJ58" s="70">
        <f t="shared" si="81"/>
        <v>182</v>
      </c>
      <c r="CK58" s="70">
        <f t="shared" si="82"/>
        <v>222</v>
      </c>
      <c r="CL58" s="70">
        <f t="shared" si="83"/>
        <v>269</v>
      </c>
      <c r="CM58" s="70">
        <f t="shared" si="84"/>
        <v>304</v>
      </c>
      <c r="CN58" s="70">
        <f t="shared" si="85"/>
        <v>317</v>
      </c>
      <c r="CO58" s="57">
        <f t="shared" si="86"/>
        <v>1</v>
      </c>
    </row>
    <row r="59" spans="1:93" x14ac:dyDescent="0.2">
      <c r="A59" s="3" t="str">
        <f t="shared" si="87"/>
        <v>ccr5_human__wt</v>
      </c>
      <c r="B59" s="3" t="s">
        <v>367</v>
      </c>
      <c r="C59" s="3" t="s">
        <v>294</v>
      </c>
      <c r="D59" s="3" t="str">
        <f>IFERROR(MID(VLOOKUP($B59,Seqs!$A:$B,2,FALSE),E59,1),"")</f>
        <v>V</v>
      </c>
      <c r="E59" s="3">
        <v>25</v>
      </c>
      <c r="F59" s="3" t="str">
        <f>IFERROR(MID(VLOOKUP($B59,Seqs!$A:$B,2,FALSE),G59,1),"")</f>
        <v>C</v>
      </c>
      <c r="G59" s="3">
        <v>58</v>
      </c>
      <c r="H59" s="3" t="str">
        <f>IFERROR(MID(VLOOKUP($B59,Seqs!$A:$B,2,FALSE),I59,1),"")</f>
        <v>K</v>
      </c>
      <c r="I59" s="57">
        <v>59</v>
      </c>
      <c r="J59" s="3" t="str">
        <f>IFERROR(MID(VLOOKUP($B59,Seqs!$A:$B,2,FALSE),K59,1),"")</f>
        <v>K</v>
      </c>
      <c r="K59" s="57">
        <v>62</v>
      </c>
      <c r="L59" s="3" t="str">
        <f>IFERROR(MID(VLOOKUP($B59,Seqs!$A:$B,2,FALSE),M59,1),"")</f>
        <v>S</v>
      </c>
      <c r="M59" s="3">
        <v>63</v>
      </c>
      <c r="N59" s="3" t="str">
        <f>IFERROR(MID(VLOOKUP($B59,Seqs!$A:$B,2,FALSE),O59,1),"")</f>
        <v>A</v>
      </c>
      <c r="O59" s="3">
        <v>92</v>
      </c>
      <c r="P59" s="3" t="str">
        <f>IFERROR(MID(VLOOKUP($B59,Seqs!$A:$B,2,FALSE),Q59,1),"")</f>
        <v>Q</v>
      </c>
      <c r="Q59" s="3">
        <v>93</v>
      </c>
      <c r="R59" s="3" t="str">
        <f>IFERROR(MID(VLOOKUP($B59,Seqs!$A:$B,2,FALSE),S59,1),"")</f>
        <v>F</v>
      </c>
      <c r="S59" s="3">
        <v>96</v>
      </c>
      <c r="T59" s="3" t="str">
        <f>IFERROR(MID(VLOOKUP($B59,Seqs!$A:$B,2,FALSE),U59,1),"")</f>
        <v>G</v>
      </c>
      <c r="U59" s="3">
        <v>97</v>
      </c>
      <c r="V59" s="3" t="str">
        <f>IFERROR(MID(VLOOKUP($B59,Seqs!$A:$B,2,FALSE),W59,1),"")</f>
        <v>H</v>
      </c>
      <c r="W59" s="3">
        <v>132</v>
      </c>
      <c r="X59" s="3" t="str">
        <f>IFERROR(MID(VLOOKUP($B59,Seqs!$A:$B,2,FALSE),Y59,1),"")</f>
        <v>A</v>
      </c>
      <c r="Y59" s="3">
        <v>133</v>
      </c>
      <c r="Z59" s="3" t="str">
        <f>IFERROR(MID(VLOOKUP($B59,Seqs!$A:$B,2,FALSE),AA59,1),"")</f>
        <v>R</v>
      </c>
      <c r="AA59" s="3">
        <v>140</v>
      </c>
      <c r="AB59" s="3" t="str">
        <f>IFERROR(MID(VLOOKUP($B59,Seqs!$A:$B,2,FALSE),AC59,1),"")</f>
        <v>V</v>
      </c>
      <c r="AC59" s="3">
        <v>142</v>
      </c>
      <c r="AD59" s="3" t="str">
        <f>IFERROR(MID(VLOOKUP($B59,Seqs!$A:$B,2,FALSE),AE59,1),"")</f>
        <v>T</v>
      </c>
      <c r="AE59" s="3">
        <v>167</v>
      </c>
      <c r="AF59" s="3" t="str">
        <f>IFERROR(MID(VLOOKUP($B59,Seqs!$A:$B,2,FALSE),AG59,1),"")</f>
        <v>C</v>
      </c>
      <c r="AG59" s="3">
        <v>178</v>
      </c>
      <c r="AH59" s="3" t="str">
        <f>IFERROR(MID(VLOOKUP($B59,Seqs!$A:$B,2,FALSE),AI59,1),"")</f>
        <v>S</v>
      </c>
      <c r="AI59" s="3">
        <v>180</v>
      </c>
      <c r="AJ59" s="3" t="str">
        <f>IFERROR(MID(VLOOKUP($B59,Seqs!$A:$B,2,FALSE),AK59,1),"")</f>
        <v>Y</v>
      </c>
      <c r="AK59" s="3">
        <v>187</v>
      </c>
      <c r="AL59" s="3" t="str">
        <f>IFERROR(MID(VLOOKUP($B59,Seqs!$A:$B,2,FALSE),AM59,1),"")</f>
        <v>C</v>
      </c>
      <c r="AM59" s="3">
        <v>224</v>
      </c>
      <c r="AN59" s="3" t="str">
        <f>IFERROR(MID(VLOOKUP($B59,Seqs!$A:$B,2,FALSE),AO59,1),"")</f>
        <v>R</v>
      </c>
      <c r="AO59" s="3">
        <v>230</v>
      </c>
      <c r="AP59" s="3" t="str">
        <f>IFERROR(MID(VLOOKUP($B59,Seqs!$A:$B,2,FALSE),AQ59,1),"")</f>
        <v>G</v>
      </c>
      <c r="AQ59" s="3">
        <v>265</v>
      </c>
      <c r="AR59" s="3" t="str">
        <f>IFERROR(MID(VLOOKUP($B59,Seqs!$A:$B,2,FALSE),AS59,1),"")</f>
        <v>N</v>
      </c>
      <c r="AS59" s="3">
        <v>268</v>
      </c>
      <c r="AT59" s="3" t="str">
        <f>IFERROR(MID(VLOOKUP($B59,Seqs!$A:$B,2,FALSE),AU59,1),"")</f>
        <v>V</v>
      </c>
      <c r="AU59" s="3">
        <v>300</v>
      </c>
      <c r="AV59" s="3" t="str">
        <f>IFERROR(MID(VLOOKUP($B59,Seqs!$A:$B,2,FALSE),AW59,1),"")</f>
        <v>G</v>
      </c>
      <c r="AW59" s="3">
        <v>301</v>
      </c>
      <c r="AX59" s="3" t="str">
        <f>IFERROR(MID(VLOOKUP($B59,Seqs!$A:$B,2,FALSE),AY59,1),"")</f>
        <v>Q</v>
      </c>
      <c r="AY59" s="3">
        <v>313</v>
      </c>
      <c r="AZ59" s="83" t="str">
        <f>VLOOKUP(B59,Classification!A:D,2,FALSE)</f>
        <v>A</v>
      </c>
      <c r="BB59" s="82">
        <f>S59-Q59+1</f>
        <v>4</v>
      </c>
      <c r="BC59" s="57">
        <f t="shared" si="88"/>
        <v>265</v>
      </c>
      <c r="BD59" s="63" t="b">
        <f t="shared" si="89"/>
        <v>1</v>
      </c>
      <c r="BE59" s="68" t="s">
        <v>1514</v>
      </c>
      <c r="BF59" s="75" t="s">
        <v>1514</v>
      </c>
      <c r="BG59" s="75" t="s">
        <v>1514</v>
      </c>
      <c r="BH59" s="75" t="s">
        <v>1514</v>
      </c>
      <c r="BI59" s="75" t="s">
        <v>1514</v>
      </c>
      <c r="BJ59" s="75" t="s">
        <v>1514</v>
      </c>
      <c r="BK59" s="75" t="s">
        <v>1514</v>
      </c>
      <c r="BL59" s="75" t="s">
        <v>1514</v>
      </c>
      <c r="BM59" s="75" t="s">
        <v>1514</v>
      </c>
      <c r="BN59" s="75" t="s">
        <v>1514</v>
      </c>
      <c r="BO59" s="75" t="s">
        <v>1514</v>
      </c>
      <c r="BP59" s="75" t="s">
        <v>1514</v>
      </c>
      <c r="BQ59" s="68">
        <f t="shared" si="62"/>
        <v>25</v>
      </c>
      <c r="BR59" s="69">
        <f t="shared" si="63"/>
        <v>59</v>
      </c>
      <c r="BS59" s="70">
        <f t="shared" si="64"/>
        <v>63</v>
      </c>
      <c r="BT59" s="69">
        <f t="shared" si="65"/>
        <v>93</v>
      </c>
      <c r="BU59" s="70">
        <f t="shared" si="66"/>
        <v>97</v>
      </c>
      <c r="BV59" s="69">
        <f t="shared" si="67"/>
        <v>133</v>
      </c>
      <c r="BW59" s="70">
        <f t="shared" si="68"/>
        <v>142</v>
      </c>
      <c r="BX59" s="69">
        <f t="shared" si="69"/>
        <v>178</v>
      </c>
      <c r="BY59" s="70">
        <f t="shared" si="70"/>
        <v>187</v>
      </c>
      <c r="BZ59" s="69">
        <f t="shared" si="71"/>
        <v>230</v>
      </c>
      <c r="CA59" s="70">
        <f t="shared" si="72"/>
        <v>268</v>
      </c>
      <c r="CB59" s="69">
        <f t="shared" si="73"/>
        <v>301</v>
      </c>
      <c r="CC59" s="68">
        <f t="shared" si="74"/>
        <v>58</v>
      </c>
      <c r="CD59" s="69">
        <f t="shared" si="75"/>
        <v>62</v>
      </c>
      <c r="CE59" s="70">
        <f t="shared" si="76"/>
        <v>92</v>
      </c>
      <c r="CF59" s="70">
        <f t="shared" si="77"/>
        <v>96</v>
      </c>
      <c r="CG59" s="70">
        <f t="shared" si="78"/>
        <v>132</v>
      </c>
      <c r="CH59" s="70">
        <f t="shared" si="79"/>
        <v>140</v>
      </c>
      <c r="CI59" s="70">
        <f t="shared" si="80"/>
        <v>167</v>
      </c>
      <c r="CJ59" s="70">
        <f t="shared" si="81"/>
        <v>180</v>
      </c>
      <c r="CK59" s="70">
        <f t="shared" si="82"/>
        <v>224</v>
      </c>
      <c r="CL59" s="70">
        <f t="shared" si="83"/>
        <v>265</v>
      </c>
      <c r="CM59" s="70">
        <f t="shared" si="84"/>
        <v>300</v>
      </c>
      <c r="CN59" s="70">
        <f t="shared" si="85"/>
        <v>313</v>
      </c>
      <c r="CO59" s="57">
        <f t="shared" si="86"/>
        <v>1</v>
      </c>
    </row>
    <row r="60" spans="1:93" x14ac:dyDescent="0.2">
      <c r="A60" s="3" t="str">
        <f t="shared" si="87"/>
        <v>ccr5_human_4MBS</v>
      </c>
      <c r="B60" s="3" t="s">
        <v>367</v>
      </c>
      <c r="C60" s="3" t="s">
        <v>265</v>
      </c>
      <c r="D60" s="3" t="str">
        <f>IFERROR(MID(VLOOKUP($B60,Seqs!$A:$B,2,FALSE),E60,1),"")</f>
        <v>V</v>
      </c>
      <c r="E60" s="3">
        <v>25</v>
      </c>
      <c r="F60" s="3" t="str">
        <f>IFERROR(MID(VLOOKUP($B60,Seqs!$A:$B,2,FALSE),G60,1),"")</f>
        <v>C</v>
      </c>
      <c r="G60" s="3">
        <v>58</v>
      </c>
      <c r="H60" s="3" t="str">
        <f>IFERROR(MID(VLOOKUP($B60,Seqs!$A:$B,2,FALSE),I60,1),"")</f>
        <v>K</v>
      </c>
      <c r="I60" s="57">
        <v>59</v>
      </c>
      <c r="J60" s="3" t="str">
        <f>IFERROR(MID(VLOOKUP($B60,Seqs!$A:$B,2,FALSE),K60,1),"")</f>
        <v>K</v>
      </c>
      <c r="K60" s="57">
        <v>62</v>
      </c>
      <c r="L60" s="3" t="str">
        <f>IFERROR(MID(VLOOKUP($B60,Seqs!$A:$B,2,FALSE),M60,1),"")</f>
        <v>S</v>
      </c>
      <c r="M60" s="3">
        <v>63</v>
      </c>
      <c r="N60" s="3" t="str">
        <f>IFERROR(MID(VLOOKUP($B60,Seqs!$A:$B,2,FALSE),O60,1),"")</f>
        <v>A</v>
      </c>
      <c r="O60" s="3">
        <v>92</v>
      </c>
      <c r="P60" s="3" t="str">
        <f>IFERROR(MID(VLOOKUP($B60,Seqs!$A:$B,2,FALSE),Q60,1),"")</f>
        <v>Q</v>
      </c>
      <c r="Q60" s="3">
        <v>93</v>
      </c>
      <c r="R60" s="3" t="str">
        <f>IFERROR(MID(VLOOKUP($B60,Seqs!$A:$B,2,FALSE),S60,1),"")</f>
        <v>F</v>
      </c>
      <c r="S60" s="3">
        <v>96</v>
      </c>
      <c r="T60" s="3" t="str">
        <f>IFERROR(MID(VLOOKUP($B60,Seqs!$A:$B,2,FALSE),U60,1),"")</f>
        <v>G</v>
      </c>
      <c r="U60" s="3">
        <v>97</v>
      </c>
      <c r="V60" s="3" t="str">
        <f>IFERROR(MID(VLOOKUP($B60,Seqs!$A:$B,2,FALSE),W60,1),"")</f>
        <v>H</v>
      </c>
      <c r="W60" s="3">
        <v>132</v>
      </c>
      <c r="X60" s="3" t="str">
        <f>IFERROR(MID(VLOOKUP($B60,Seqs!$A:$B,2,FALSE),Y60,1),"")</f>
        <v>A</v>
      </c>
      <c r="Y60" s="3">
        <v>133</v>
      </c>
      <c r="Z60" s="3" t="str">
        <f>IFERROR(MID(VLOOKUP($B60,Seqs!$A:$B,2,FALSE),AA60,1),"")</f>
        <v>R</v>
      </c>
      <c r="AA60" s="3">
        <v>140</v>
      </c>
      <c r="AB60" s="3" t="str">
        <f>IFERROR(MID(VLOOKUP($B60,Seqs!$A:$B,2,FALSE),AC60,1),"")</f>
        <v>V</v>
      </c>
      <c r="AC60" s="3">
        <v>142</v>
      </c>
      <c r="AD60" s="3" t="str">
        <f>IFERROR(MID(VLOOKUP($B60,Seqs!$A:$B,2,FALSE),AE60,1),"")</f>
        <v>T</v>
      </c>
      <c r="AE60" s="3">
        <v>167</v>
      </c>
      <c r="AF60" s="3" t="str">
        <f>IFERROR(MID(VLOOKUP($B60,Seqs!$A:$B,2,FALSE),AG60,1),"")</f>
        <v>C</v>
      </c>
      <c r="AG60" s="3">
        <v>178</v>
      </c>
      <c r="AH60" s="3" t="str">
        <f>IFERROR(MID(VLOOKUP($B60,Seqs!$A:$B,2,FALSE),AI60,1),"")</f>
        <v>S</v>
      </c>
      <c r="AI60" s="3">
        <v>180</v>
      </c>
      <c r="AJ60" s="3" t="str">
        <f>IFERROR(MID(VLOOKUP($B60,Seqs!$A:$B,2,FALSE),AK60,1),"")</f>
        <v>Y</v>
      </c>
      <c r="AK60" s="3">
        <v>187</v>
      </c>
      <c r="AL60" s="3" t="str">
        <f>IFERROR(MID(VLOOKUP($B60,Seqs!$A:$B,2,FALSE),AM60,1),"")</f>
        <v>R</v>
      </c>
      <c r="AM60" s="3">
        <v>223</v>
      </c>
      <c r="AN60" s="3" t="str">
        <f>IFERROR(MID(VLOOKUP($B60,Seqs!$A:$B,2,FALSE),AO60,1),"")</f>
        <v>R</v>
      </c>
      <c r="AO60" s="3">
        <v>230</v>
      </c>
      <c r="AP60" s="3" t="str">
        <f>IFERROR(MID(VLOOKUP($B60,Seqs!$A:$B,2,FALSE),AQ60,1),"")</f>
        <v>G</v>
      </c>
      <c r="AQ60" s="3">
        <v>265</v>
      </c>
      <c r="AR60" s="3" t="str">
        <f>IFERROR(MID(VLOOKUP($B60,Seqs!$A:$B,2,FALSE),AS60,1),"")</f>
        <v>N</v>
      </c>
      <c r="AS60" s="3">
        <v>268</v>
      </c>
      <c r="AT60" s="3" t="str">
        <f>IFERROR(MID(VLOOKUP($B60,Seqs!$A:$B,2,FALSE),AU60,1),"")</f>
        <v>V</v>
      </c>
      <c r="AU60" s="3">
        <v>300</v>
      </c>
      <c r="AV60" s="3" t="str">
        <f>IFERROR(MID(VLOOKUP($B60,Seqs!$A:$B,2,FALSE),AW60,1),"")</f>
        <v>G</v>
      </c>
      <c r="AW60" s="3">
        <v>301</v>
      </c>
      <c r="AX60" s="3" t="str">
        <f>IFERROR(MID(VLOOKUP($B60,Seqs!$A:$B,2,FALSE),AY60,1),"")</f>
        <v>Q</v>
      </c>
      <c r="AY60" s="3">
        <v>313</v>
      </c>
      <c r="AZ60" s="83" t="str">
        <f>VLOOKUP(B60,Classification!A:D,2,FALSE)</f>
        <v>A</v>
      </c>
      <c r="BC60" s="57">
        <f t="shared" si="88"/>
        <v>264</v>
      </c>
      <c r="BD60" s="63" t="b">
        <f t="shared" si="89"/>
        <v>1</v>
      </c>
      <c r="BE60" s="68" t="s">
        <v>1514</v>
      </c>
      <c r="BF60" s="75" t="s">
        <v>1514</v>
      </c>
      <c r="BG60" s="75" t="s">
        <v>1514</v>
      </c>
      <c r="BH60" s="75" t="s">
        <v>1514</v>
      </c>
      <c r="BI60" s="75" t="s">
        <v>1514</v>
      </c>
      <c r="BJ60" s="75" t="s">
        <v>1514</v>
      </c>
      <c r="BK60" s="75" t="s">
        <v>1514</v>
      </c>
      <c r="BL60" s="75" t="s">
        <v>1514</v>
      </c>
      <c r="BM60" s="75" t="s">
        <v>1514</v>
      </c>
      <c r="BN60" s="75" t="s">
        <v>1514</v>
      </c>
      <c r="BO60" s="75" t="s">
        <v>1514</v>
      </c>
      <c r="BP60" s="75" t="s">
        <v>1514</v>
      </c>
      <c r="BQ60" s="68">
        <f t="shared" si="62"/>
        <v>25</v>
      </c>
      <c r="BR60" s="69">
        <f t="shared" si="63"/>
        <v>59</v>
      </c>
      <c r="BS60" s="70">
        <f t="shared" si="64"/>
        <v>63</v>
      </c>
      <c r="BT60" s="69">
        <f t="shared" si="65"/>
        <v>93</v>
      </c>
      <c r="BU60" s="70">
        <f t="shared" si="66"/>
        <v>97</v>
      </c>
      <c r="BV60" s="69">
        <f t="shared" si="67"/>
        <v>133</v>
      </c>
      <c r="BW60" s="70">
        <f t="shared" si="68"/>
        <v>142</v>
      </c>
      <c r="BX60" s="69">
        <f t="shared" si="69"/>
        <v>178</v>
      </c>
      <c r="BY60" s="70">
        <f t="shared" si="70"/>
        <v>187</v>
      </c>
      <c r="BZ60" s="69">
        <f t="shared" si="71"/>
        <v>230</v>
      </c>
      <c r="CA60" s="70">
        <f t="shared" si="72"/>
        <v>268</v>
      </c>
      <c r="CB60" s="69">
        <f t="shared" si="73"/>
        <v>301</v>
      </c>
      <c r="CC60" s="68">
        <f t="shared" si="74"/>
        <v>58</v>
      </c>
      <c r="CD60" s="69">
        <f t="shared" si="75"/>
        <v>62</v>
      </c>
      <c r="CE60" s="70">
        <f t="shared" si="76"/>
        <v>92</v>
      </c>
      <c r="CF60" s="70">
        <f t="shared" si="77"/>
        <v>96</v>
      </c>
      <c r="CG60" s="70">
        <f t="shared" si="78"/>
        <v>132</v>
      </c>
      <c r="CH60" s="70">
        <f t="shared" si="79"/>
        <v>140</v>
      </c>
      <c r="CI60" s="70">
        <f t="shared" si="80"/>
        <v>167</v>
      </c>
      <c r="CJ60" s="70">
        <f t="shared" si="81"/>
        <v>180</v>
      </c>
      <c r="CK60" s="70">
        <f t="shared" si="82"/>
        <v>223</v>
      </c>
      <c r="CL60" s="70">
        <f t="shared" si="83"/>
        <v>265</v>
      </c>
      <c r="CM60" s="70">
        <f t="shared" si="84"/>
        <v>300</v>
      </c>
      <c r="CN60" s="70">
        <f t="shared" si="85"/>
        <v>313</v>
      </c>
      <c r="CO60" s="57">
        <f t="shared" si="86"/>
        <v>1</v>
      </c>
    </row>
    <row r="61" spans="1:93" x14ac:dyDescent="0.2">
      <c r="A61" s="3" t="str">
        <f t="shared" si="87"/>
        <v>cxcr4_human__wt</v>
      </c>
      <c r="B61" s="3" t="s">
        <v>1391</v>
      </c>
      <c r="C61" s="3" t="s">
        <v>294</v>
      </c>
      <c r="D61" s="3" t="str">
        <f>IFERROR(MID(VLOOKUP($B61,Seqs!$A:$B,2,FALSE),E61,1),"")</f>
        <v>R</v>
      </c>
      <c r="E61" s="3">
        <v>30</v>
      </c>
      <c r="F61" s="3" t="str">
        <f>IFERROR(MID(VLOOKUP($B61,Seqs!$A:$B,2,FALSE),G61,1),"")</f>
        <v>Q</v>
      </c>
      <c r="G61" s="3">
        <v>66</v>
      </c>
      <c r="H61" s="3" t="str">
        <f>IFERROR(MID(VLOOKUP($B61,Seqs!$A:$B,2,FALSE),I61,1),"")</f>
        <v>K</v>
      </c>
      <c r="I61" s="57">
        <v>67</v>
      </c>
      <c r="J61" s="3" t="str">
        <f>IFERROR(MID(VLOOKUP($B61,Seqs!$A:$B,2,FALSE),K61,1),"")</f>
        <v>R</v>
      </c>
      <c r="K61" s="57">
        <v>70</v>
      </c>
      <c r="L61" s="3" t="str">
        <f>IFERROR(MID(VLOOKUP($B61,Seqs!$A:$B,2,FALSE),M61,1),"")</f>
        <v>S</v>
      </c>
      <c r="M61" s="3">
        <v>71</v>
      </c>
      <c r="N61" s="3" t="str">
        <f>IFERROR(MID(VLOOKUP($B61,Seqs!$A:$B,2,FALSE),O61,1),"")</f>
        <v>A</v>
      </c>
      <c r="O61" s="3">
        <v>100</v>
      </c>
      <c r="P61" s="3" t="str">
        <f>IFERROR(MID(VLOOKUP($B61,Seqs!$A:$B,2,FALSE),Q61,1),"")</f>
        <v>N</v>
      </c>
      <c r="Q61" s="3">
        <v>101</v>
      </c>
      <c r="R61" s="3" t="str">
        <f>IFERROR(MID(VLOOKUP($B61,Seqs!$A:$B,2,FALSE),S61,1),"")</f>
        <v>F</v>
      </c>
      <c r="S61" s="3">
        <v>104</v>
      </c>
      <c r="T61" s="3" t="str">
        <f>IFERROR(MID(VLOOKUP($B61,Seqs!$A:$B,2,FALSE),U61,1),"")</f>
        <v>G</v>
      </c>
      <c r="U61" s="3">
        <v>105</v>
      </c>
      <c r="V61" s="3" t="str">
        <f>IFERROR(MID(VLOOKUP($B61,Seqs!$A:$B,2,FALSE),W61,1),"")</f>
        <v>H</v>
      </c>
      <c r="W61" s="3">
        <v>140</v>
      </c>
      <c r="X61" s="3" t="str">
        <f>IFERROR(MID(VLOOKUP($B61,Seqs!$A:$B,2,FALSE),Y61,1),"")</f>
        <v>A</v>
      </c>
      <c r="Y61" s="3">
        <v>141</v>
      </c>
      <c r="Z61" s="3" t="str">
        <f>IFERROR(MID(VLOOKUP($B61,Seqs!$A:$B,2,FALSE),AA61,1),"")</f>
        <v>R</v>
      </c>
      <c r="AA61" s="3">
        <v>148</v>
      </c>
      <c r="AB61" s="3" t="str">
        <f>IFERROR(MID(VLOOKUP($B61,Seqs!$A:$B,2,FALSE),AC61,1),"")</f>
        <v>L</v>
      </c>
      <c r="AC61" s="3">
        <v>150</v>
      </c>
      <c r="AD61" s="3" t="str">
        <f>IFERROR(MID(VLOOKUP($B61,Seqs!$A:$B,2,FALSE),AE61,1),"")</f>
        <v>A</v>
      </c>
      <c r="AE61" s="3">
        <v>175</v>
      </c>
      <c r="AF61" s="3" t="str">
        <f>IFERROR(MID(VLOOKUP($B61,Seqs!$A:$B,2,FALSE),AG61,1),"")</f>
        <v>C</v>
      </c>
      <c r="AG61" s="3">
        <v>186</v>
      </c>
      <c r="AH61" s="3" t="str">
        <f>IFERROR(MID(VLOOKUP($B61,Seqs!$A:$B,2,FALSE),AI61,1),"")</f>
        <v>R</v>
      </c>
      <c r="AI61" s="3">
        <v>188</v>
      </c>
      <c r="AJ61" s="3" t="str">
        <f>IFERROR(MID(VLOOKUP($B61,Seqs!$A:$B,2,FALSE),AK61,1),"")</f>
        <v>D</v>
      </c>
      <c r="AK61" s="3">
        <v>193</v>
      </c>
      <c r="AL61" s="3" t="str">
        <f>IFERROR(MID(VLOOKUP($B61,Seqs!$A:$B,2,FALSE),AM61,1),"")</f>
        <v>S</v>
      </c>
      <c r="AM61" s="3">
        <v>229</v>
      </c>
      <c r="AN61" s="3" t="str">
        <f>IFERROR(MID(VLOOKUP($B61,Seqs!$A:$B,2,FALSE),AO61,1),"")</f>
        <v>K</v>
      </c>
      <c r="AO61" s="3">
        <v>234</v>
      </c>
      <c r="AP61" s="3" t="str">
        <f>IFERROR(MID(VLOOKUP($B61,Seqs!$A:$B,2,FALSE),AQ61,1),"")</f>
        <v>E</v>
      </c>
      <c r="AQ61" s="3">
        <v>268</v>
      </c>
      <c r="AR61" s="3" t="str">
        <f>IFERROR(MID(VLOOKUP($B61,Seqs!$A:$B,2,FALSE),AS61,1),"")</f>
        <v>G</v>
      </c>
      <c r="AS61" s="3">
        <v>273</v>
      </c>
      <c r="AT61" s="3" t="str">
        <f>IFERROR(MID(VLOOKUP($B61,Seqs!$A:$B,2,FALSE),AU61,1),"")</f>
        <v>L</v>
      </c>
      <c r="AU61" s="3">
        <v>305</v>
      </c>
      <c r="AV61" s="3" t="str">
        <f>IFERROR(MID(VLOOKUP($B61,Seqs!$A:$B,2,FALSE),AW61,1),"")</f>
        <v>G</v>
      </c>
      <c r="AW61" s="3">
        <v>306</v>
      </c>
      <c r="AX61" s="3" t="str">
        <f>IFERROR(MID(VLOOKUP($B61,Seqs!$A:$B,2,FALSE),AY61,1),"")</f>
        <v>T</v>
      </c>
      <c r="AY61" s="3">
        <v>318</v>
      </c>
      <c r="AZ61" s="83" t="str">
        <f>VLOOKUP(B61,Classification!A:D,2,FALSE)</f>
        <v>A</v>
      </c>
      <c r="BB61" s="82">
        <f>S61-Q61+1</f>
        <v>4</v>
      </c>
      <c r="BC61" s="57">
        <f t="shared" si="88"/>
        <v>266</v>
      </c>
      <c r="BD61" s="63" t="b">
        <f t="shared" si="89"/>
        <v>1</v>
      </c>
      <c r="BE61" s="68" t="s">
        <v>1514</v>
      </c>
      <c r="BF61" s="75" t="s">
        <v>1514</v>
      </c>
      <c r="BG61" s="75" t="s">
        <v>1514</v>
      </c>
      <c r="BH61" s="75" t="s">
        <v>1514</v>
      </c>
      <c r="BI61" s="75" t="s">
        <v>1514</v>
      </c>
      <c r="BJ61" s="75" t="s">
        <v>1514</v>
      </c>
      <c r="BK61" s="75" t="s">
        <v>1514</v>
      </c>
      <c r="BL61" s="75" t="s">
        <v>1514</v>
      </c>
      <c r="BM61" s="75" t="s">
        <v>1514</v>
      </c>
      <c r="BN61" s="75" t="s">
        <v>1514</v>
      </c>
      <c r="BO61" s="75" t="s">
        <v>1514</v>
      </c>
      <c r="BP61" s="75" t="s">
        <v>1514</v>
      </c>
      <c r="BQ61" s="68">
        <f t="shared" si="62"/>
        <v>30</v>
      </c>
      <c r="BR61" s="69">
        <f t="shared" si="63"/>
        <v>67</v>
      </c>
      <c r="BS61" s="70">
        <f t="shared" si="64"/>
        <v>71</v>
      </c>
      <c r="BT61" s="69">
        <f t="shared" si="65"/>
        <v>101</v>
      </c>
      <c r="BU61" s="70">
        <f t="shared" si="66"/>
        <v>105</v>
      </c>
      <c r="BV61" s="69">
        <f t="shared" si="67"/>
        <v>141</v>
      </c>
      <c r="BW61" s="70">
        <f t="shared" si="68"/>
        <v>150</v>
      </c>
      <c r="BX61" s="69">
        <f t="shared" si="69"/>
        <v>186</v>
      </c>
      <c r="BY61" s="70">
        <f t="shared" si="70"/>
        <v>193</v>
      </c>
      <c r="BZ61" s="69">
        <f t="shared" si="71"/>
        <v>234</v>
      </c>
      <c r="CA61" s="70">
        <f t="shared" si="72"/>
        <v>273</v>
      </c>
      <c r="CB61" s="69">
        <f t="shared" si="73"/>
        <v>306</v>
      </c>
      <c r="CC61" s="68">
        <f t="shared" si="74"/>
        <v>66</v>
      </c>
      <c r="CD61" s="69">
        <f t="shared" si="75"/>
        <v>70</v>
      </c>
      <c r="CE61" s="70">
        <f t="shared" si="76"/>
        <v>100</v>
      </c>
      <c r="CF61" s="70">
        <f t="shared" si="77"/>
        <v>104</v>
      </c>
      <c r="CG61" s="70">
        <f t="shared" si="78"/>
        <v>140</v>
      </c>
      <c r="CH61" s="70">
        <f t="shared" si="79"/>
        <v>148</v>
      </c>
      <c r="CI61" s="70">
        <f t="shared" si="80"/>
        <v>175</v>
      </c>
      <c r="CJ61" s="70">
        <f t="shared" si="81"/>
        <v>188</v>
      </c>
      <c r="CK61" s="70">
        <f t="shared" si="82"/>
        <v>229</v>
      </c>
      <c r="CL61" s="70">
        <f t="shared" si="83"/>
        <v>268</v>
      </c>
      <c r="CM61" s="70">
        <f t="shared" si="84"/>
        <v>305</v>
      </c>
      <c r="CN61" s="70">
        <f t="shared" si="85"/>
        <v>318</v>
      </c>
      <c r="CO61" s="57">
        <f t="shared" si="86"/>
        <v>1</v>
      </c>
    </row>
    <row r="62" spans="1:93" ht="17" customHeight="1" x14ac:dyDescent="0.2">
      <c r="A62" s="3" t="str">
        <f t="shared" si="87"/>
        <v>cxcr4_human_3ODU</v>
      </c>
      <c r="B62" s="3" t="s">
        <v>1391</v>
      </c>
      <c r="C62" s="3" t="s">
        <v>254</v>
      </c>
      <c r="D62" s="3" t="str">
        <f>IFERROR(MID(VLOOKUP($B62,Seqs!$A:$B,2,FALSE),E62,1),"")</f>
        <v>A</v>
      </c>
      <c r="E62" s="3">
        <v>34</v>
      </c>
      <c r="F62" s="3" t="str">
        <f>IFERROR(MID(VLOOKUP($B62,Seqs!$A:$B,2,FALSE),G62,1),"")</f>
        <v>Q</v>
      </c>
      <c r="G62" s="3">
        <v>66</v>
      </c>
      <c r="H62" s="3" t="str">
        <f>IFERROR(MID(VLOOKUP($B62,Seqs!$A:$B,2,FALSE),I62,1),"")</f>
        <v/>
      </c>
      <c r="I62" s="57" t="s">
        <v>129</v>
      </c>
      <c r="J62" s="3" t="str">
        <f>IFERROR(MID(VLOOKUP($B62,Seqs!$A:$B,2,FALSE),K62,1),"")</f>
        <v/>
      </c>
      <c r="K62" s="57" t="s">
        <v>129</v>
      </c>
      <c r="L62" s="3" t="str">
        <f>IFERROR(MID(VLOOKUP($B62,Seqs!$A:$B,2,FALSE),M62,1),"")</f>
        <v>S</v>
      </c>
      <c r="M62" s="3">
        <v>71</v>
      </c>
      <c r="N62" s="3" t="str">
        <f>IFERROR(MID(VLOOKUP($B62,Seqs!$A:$B,2,FALSE),O62,1),"")</f>
        <v>A</v>
      </c>
      <c r="O62" s="3">
        <v>100</v>
      </c>
      <c r="P62" s="3" t="str">
        <f>IFERROR(MID(VLOOKUP($B62,Seqs!$A:$B,2,FALSE),Q62,1),"")</f>
        <v>N</v>
      </c>
      <c r="Q62" s="3">
        <v>101</v>
      </c>
      <c r="R62" s="3" t="str">
        <f>IFERROR(MID(VLOOKUP($B62,Seqs!$A:$B,2,FALSE),S62,1),"")</f>
        <v>F</v>
      </c>
      <c r="S62" s="3">
        <v>104</v>
      </c>
      <c r="T62" s="3" t="str">
        <f>IFERROR(MID(VLOOKUP($B62,Seqs!$A:$B,2,FALSE),U62,1),"")</f>
        <v>G</v>
      </c>
      <c r="U62" s="3">
        <v>105</v>
      </c>
      <c r="V62" s="3" t="str">
        <f>IFERROR(MID(VLOOKUP($B62,Seqs!$A:$B,2,FALSE),W62,1),"")</f>
        <v>H</v>
      </c>
      <c r="W62" s="3">
        <v>140</v>
      </c>
      <c r="X62" s="3" t="str">
        <f>IFERROR(MID(VLOOKUP($B62,Seqs!$A:$B,2,FALSE),Y62,1),"")</f>
        <v/>
      </c>
      <c r="Y62" s="3" t="s">
        <v>129</v>
      </c>
      <c r="Z62" s="3" t="str">
        <f>IFERROR(MID(VLOOKUP($B62,Seqs!$A:$B,2,FALSE),AA62,1),"")</f>
        <v/>
      </c>
      <c r="AA62" s="3" t="s">
        <v>129</v>
      </c>
      <c r="AB62" s="3" t="str">
        <f>IFERROR(MID(VLOOKUP($B62,Seqs!$A:$B,2,FALSE),AC62,1),"")</f>
        <v>K</v>
      </c>
      <c r="AC62" s="3">
        <v>154</v>
      </c>
      <c r="AD62" s="3" t="str">
        <f>IFERROR(MID(VLOOKUP($B62,Seqs!$A:$B,2,FALSE),AE62,1),"")</f>
        <v>A</v>
      </c>
      <c r="AE62" s="3">
        <v>175</v>
      </c>
      <c r="AF62" s="3" t="str">
        <f>IFERROR(MID(VLOOKUP($B62,Seqs!$A:$B,2,FALSE),AG62,1),"")</f>
        <v>C</v>
      </c>
      <c r="AG62" s="3">
        <v>186</v>
      </c>
      <c r="AH62" s="3" t="str">
        <f>IFERROR(MID(VLOOKUP($B62,Seqs!$A:$B,2,FALSE),AI62,1),"")</f>
        <v>R</v>
      </c>
      <c r="AI62" s="3">
        <v>188</v>
      </c>
      <c r="AJ62" s="3" t="str">
        <f>IFERROR(MID(VLOOKUP($B62,Seqs!$A:$B,2,FALSE),AK62,1),"")</f>
        <v>D</v>
      </c>
      <c r="AK62" s="3">
        <v>193</v>
      </c>
      <c r="AL62" s="3" t="str">
        <f>IFERROR(MID(VLOOKUP($B62,Seqs!$A:$B,2,FALSE),AM62,1),"")</f>
        <v>K</v>
      </c>
      <c r="AM62" s="3">
        <v>225</v>
      </c>
      <c r="AN62" s="3" t="str">
        <f>IFERROR(MID(VLOOKUP($B62,Seqs!$A:$B,2,FALSE),AO62,1),"")</f>
        <v>G</v>
      </c>
      <c r="AO62" s="3">
        <v>231</v>
      </c>
      <c r="AP62" s="3" t="str">
        <f>IFERROR(MID(VLOOKUP($B62,Seqs!$A:$B,2,FALSE),AQ62,1),"")</f>
        <v>E</v>
      </c>
      <c r="AQ62" s="3">
        <v>268</v>
      </c>
      <c r="AR62" s="3" t="str">
        <f>IFERROR(MID(VLOOKUP($B62,Seqs!$A:$B,2,FALSE),AS62,1),"")</f>
        <v>G</v>
      </c>
      <c r="AS62" s="3">
        <v>273</v>
      </c>
      <c r="AT62" s="3" t="str">
        <f>IFERROR(MID(VLOOKUP($B62,Seqs!$A:$B,2,FALSE),AU62,1),"")</f>
        <v>I</v>
      </c>
      <c r="AU62" s="3">
        <v>300</v>
      </c>
      <c r="AV62" s="3" t="str">
        <f>IFERROR(MID(VLOOKUP($B62,Seqs!$A:$B,2,FALSE),AW62,1),"")</f>
        <v/>
      </c>
      <c r="AW62" s="3" t="s">
        <v>129</v>
      </c>
      <c r="AX62" s="3" t="str">
        <f>IFERROR(MID(VLOOKUP($B62,Seqs!$A:$B,2,FALSE),AY62,1),"")</f>
        <v/>
      </c>
      <c r="AY62" s="3" t="s">
        <v>129</v>
      </c>
      <c r="AZ62" s="83" t="str">
        <f>VLOOKUP(B62,Classification!A:D,2,FALSE)</f>
        <v>A</v>
      </c>
      <c r="BB62" s="35" t="s">
        <v>1315</v>
      </c>
      <c r="BC62" s="57">
        <f t="shared" si="88"/>
        <v>230</v>
      </c>
      <c r="BD62" s="63" t="b">
        <f t="shared" si="89"/>
        <v>1</v>
      </c>
      <c r="BE62" s="68" t="s">
        <v>1514</v>
      </c>
      <c r="BF62" s="75" t="s">
        <v>1514</v>
      </c>
      <c r="BG62" s="75" t="s">
        <v>1514</v>
      </c>
      <c r="BH62" s="75" t="s">
        <v>1514</v>
      </c>
      <c r="BI62" s="75" t="s">
        <v>1514</v>
      </c>
      <c r="BJ62" s="75" t="s">
        <v>1514</v>
      </c>
      <c r="BK62" s="75" t="s">
        <v>1514</v>
      </c>
      <c r="BL62" s="75" t="s">
        <v>1514</v>
      </c>
      <c r="BM62" s="75" t="s">
        <v>1514</v>
      </c>
      <c r="BN62" s="75" t="s">
        <v>1514</v>
      </c>
      <c r="BO62" s="75" t="s">
        <v>1514</v>
      </c>
      <c r="BP62" s="75" t="s">
        <v>1514</v>
      </c>
      <c r="BQ62" s="68">
        <f t="shared" si="62"/>
        <v>34</v>
      </c>
      <c r="BR62" s="69" t="str">
        <f t="shared" si="63"/>
        <v>-</v>
      </c>
      <c r="BS62" s="70">
        <f t="shared" si="64"/>
        <v>71</v>
      </c>
      <c r="BT62" s="69">
        <f t="shared" si="65"/>
        <v>101</v>
      </c>
      <c r="BU62" s="70">
        <f t="shared" si="66"/>
        <v>105</v>
      </c>
      <c r="BV62" s="69" t="str">
        <f t="shared" si="67"/>
        <v>-</v>
      </c>
      <c r="BW62" s="70">
        <f t="shared" si="68"/>
        <v>154</v>
      </c>
      <c r="BX62" s="69">
        <f t="shared" si="69"/>
        <v>186</v>
      </c>
      <c r="BY62" s="70">
        <f t="shared" si="70"/>
        <v>193</v>
      </c>
      <c r="BZ62" s="69">
        <f t="shared" si="71"/>
        <v>231</v>
      </c>
      <c r="CA62" s="70">
        <f t="shared" si="72"/>
        <v>273</v>
      </c>
      <c r="CB62" s="69" t="str">
        <f t="shared" si="73"/>
        <v>-</v>
      </c>
      <c r="CC62" s="68">
        <f t="shared" si="74"/>
        <v>66</v>
      </c>
      <c r="CD62" s="69" t="str">
        <f t="shared" si="75"/>
        <v>-</v>
      </c>
      <c r="CE62" s="70">
        <f t="shared" si="76"/>
        <v>100</v>
      </c>
      <c r="CF62" s="70">
        <f t="shared" si="77"/>
        <v>104</v>
      </c>
      <c r="CG62" s="70">
        <f t="shared" si="78"/>
        <v>140</v>
      </c>
      <c r="CH62" s="70" t="str">
        <f t="shared" si="79"/>
        <v>-</v>
      </c>
      <c r="CI62" s="70">
        <f t="shared" si="80"/>
        <v>175</v>
      </c>
      <c r="CJ62" s="70">
        <f t="shared" si="81"/>
        <v>188</v>
      </c>
      <c r="CK62" s="70">
        <f t="shared" si="82"/>
        <v>225</v>
      </c>
      <c r="CL62" s="70">
        <f t="shared" si="83"/>
        <v>268</v>
      </c>
      <c r="CM62" s="70">
        <f t="shared" si="84"/>
        <v>300</v>
      </c>
      <c r="CN62" s="70" t="str">
        <f t="shared" si="85"/>
        <v>-</v>
      </c>
      <c r="CO62" s="57" t="e">
        <f t="shared" si="86"/>
        <v>#VALUE!</v>
      </c>
    </row>
    <row r="63" spans="1:93" x14ac:dyDescent="0.2">
      <c r="A63" s="3" t="str">
        <f t="shared" si="87"/>
        <v>cxcr4_human_3OE0</v>
      </c>
      <c r="B63" s="3" t="s">
        <v>1391</v>
      </c>
      <c r="C63" s="3" t="s">
        <v>1238</v>
      </c>
      <c r="D63" s="3" t="str">
        <f>IFERROR(MID(VLOOKUP($B63,Seqs!$A:$B,2,FALSE),E63,1),"")</f>
        <v>A</v>
      </c>
      <c r="E63" s="3">
        <v>34</v>
      </c>
      <c r="F63" s="3" t="str">
        <f>IFERROR(MID(VLOOKUP($B63,Seqs!$A:$B,2,FALSE),G63,1),"")</f>
        <v>Q</v>
      </c>
      <c r="G63" s="3">
        <v>66</v>
      </c>
      <c r="H63" s="3" t="str">
        <f>IFERROR(MID(VLOOKUP($B63,Seqs!$A:$B,2,FALSE),I63,1),"")</f>
        <v/>
      </c>
      <c r="I63" s="57" t="s">
        <v>129</v>
      </c>
      <c r="J63" s="3" t="str">
        <f>IFERROR(MID(VLOOKUP($B63,Seqs!$A:$B,2,FALSE),K63,1),"")</f>
        <v/>
      </c>
      <c r="K63" s="57" t="s">
        <v>129</v>
      </c>
      <c r="L63" s="3" t="str">
        <f>IFERROR(MID(VLOOKUP($B63,Seqs!$A:$B,2,FALSE),M63,1),"")</f>
        <v>S</v>
      </c>
      <c r="M63" s="3">
        <v>71</v>
      </c>
      <c r="N63" s="3" t="str">
        <f>IFERROR(MID(VLOOKUP($B63,Seqs!$A:$B,2,FALSE),O63,1),"")</f>
        <v>A</v>
      </c>
      <c r="O63" s="3">
        <v>100</v>
      </c>
      <c r="P63" s="3" t="str">
        <f>IFERROR(MID(VLOOKUP($B63,Seqs!$A:$B,2,FALSE),Q63,1),"")</f>
        <v>N</v>
      </c>
      <c r="Q63" s="3">
        <v>101</v>
      </c>
      <c r="R63" s="3" t="str">
        <f>IFERROR(MID(VLOOKUP($B63,Seqs!$A:$B,2,FALSE),S63,1),"")</f>
        <v>F</v>
      </c>
      <c r="S63" s="3">
        <v>104</v>
      </c>
      <c r="T63" s="3" t="str">
        <f>IFERROR(MID(VLOOKUP($B63,Seqs!$A:$B,2,FALSE),U63,1),"")</f>
        <v>G</v>
      </c>
      <c r="U63" s="3">
        <v>105</v>
      </c>
      <c r="V63" s="3" t="str">
        <f>IFERROR(MID(VLOOKUP($B63,Seqs!$A:$B,2,FALSE),W63,1),"")</f>
        <v>H</v>
      </c>
      <c r="W63" s="3">
        <v>140</v>
      </c>
      <c r="X63" s="3" t="str">
        <f>IFERROR(MID(VLOOKUP($B63,Seqs!$A:$B,2,FALSE),Y63,1),"")</f>
        <v/>
      </c>
      <c r="Y63" s="3" t="s">
        <v>129</v>
      </c>
      <c r="Z63" s="3" t="str">
        <f>IFERROR(MID(VLOOKUP($B63,Seqs!$A:$B,2,FALSE),AA63,1),"")</f>
        <v/>
      </c>
      <c r="AA63" s="3" t="s">
        <v>129</v>
      </c>
      <c r="AB63" s="3" t="str">
        <f>IFERROR(MID(VLOOKUP($B63,Seqs!$A:$B,2,FALSE),AC63,1),"")</f>
        <v>K</v>
      </c>
      <c r="AC63" s="3">
        <v>154</v>
      </c>
      <c r="AD63" s="3" t="str">
        <f>IFERROR(MID(VLOOKUP($B63,Seqs!$A:$B,2,FALSE),AE63,1),"")</f>
        <v>A</v>
      </c>
      <c r="AE63" s="3">
        <v>175</v>
      </c>
      <c r="AF63" s="3" t="str">
        <f>IFERROR(MID(VLOOKUP($B63,Seqs!$A:$B,2,FALSE),AG63,1),"")</f>
        <v>C</v>
      </c>
      <c r="AG63" s="3">
        <v>186</v>
      </c>
      <c r="AH63" s="3" t="str">
        <f>IFERROR(MID(VLOOKUP($B63,Seqs!$A:$B,2,FALSE),AI63,1),"")</f>
        <v>R</v>
      </c>
      <c r="AI63" s="3">
        <v>188</v>
      </c>
      <c r="AJ63" s="3" t="str">
        <f>IFERROR(MID(VLOOKUP($B63,Seqs!$A:$B,2,FALSE),AK63,1),"")</f>
        <v>D</v>
      </c>
      <c r="AK63" s="3">
        <v>193</v>
      </c>
      <c r="AL63" s="3" t="str">
        <f>IFERROR(MID(VLOOKUP($B63,Seqs!$A:$B,2,FALSE),AM63,1),"")</f>
        <v>H</v>
      </c>
      <c r="AM63" s="3">
        <v>228</v>
      </c>
      <c r="AN63" s="3" t="str">
        <f>IFERROR(MID(VLOOKUP($B63,Seqs!$A:$B,2,FALSE),AO63,1),"")</f>
        <v>K</v>
      </c>
      <c r="AO63" s="3">
        <v>239</v>
      </c>
      <c r="AP63" s="3" t="str">
        <f>IFERROR(MID(VLOOKUP($B63,Seqs!$A:$B,2,FALSE),AQ63,1),"")</f>
        <v>E</v>
      </c>
      <c r="AQ63" s="3">
        <v>268</v>
      </c>
      <c r="AR63" s="3" t="str">
        <f>IFERROR(MID(VLOOKUP($B63,Seqs!$A:$B,2,FALSE),AS63,1),"")</f>
        <v>G</v>
      </c>
      <c r="AS63" s="3">
        <v>273</v>
      </c>
      <c r="AT63" s="3" t="str">
        <f>IFERROR(MID(VLOOKUP($B63,Seqs!$A:$B,2,FALSE),AU63,1),"")</f>
        <v>I</v>
      </c>
      <c r="AU63" s="3">
        <v>300</v>
      </c>
      <c r="AV63" s="3" t="str">
        <f>IFERROR(MID(VLOOKUP($B63,Seqs!$A:$B,2,FALSE),AW63,1),"")</f>
        <v/>
      </c>
      <c r="AW63" s="3" t="s">
        <v>129</v>
      </c>
      <c r="AX63" s="3" t="str">
        <f>IFERROR(MID(VLOOKUP($B63,Seqs!$A:$B,2,FALSE),AY63,1),"")</f>
        <v/>
      </c>
      <c r="AY63" s="3" t="s">
        <v>129</v>
      </c>
      <c r="AZ63" s="83" t="str">
        <f>VLOOKUP(B63,Classification!A:D,2,FALSE)</f>
        <v>A</v>
      </c>
      <c r="BC63" s="57">
        <f t="shared" si="88"/>
        <v>225</v>
      </c>
      <c r="BD63" s="63" t="b">
        <f t="shared" si="89"/>
        <v>1</v>
      </c>
      <c r="BE63" s="68" t="s">
        <v>1514</v>
      </c>
      <c r="BF63" s="75" t="s">
        <v>1514</v>
      </c>
      <c r="BG63" s="75" t="s">
        <v>1514</v>
      </c>
      <c r="BH63" s="75" t="s">
        <v>1514</v>
      </c>
      <c r="BI63" s="75" t="s">
        <v>1514</v>
      </c>
      <c r="BJ63" s="75" t="s">
        <v>1514</v>
      </c>
      <c r="BK63" s="75" t="s">
        <v>1514</v>
      </c>
      <c r="BL63" s="75" t="s">
        <v>1514</v>
      </c>
      <c r="BM63" s="75" t="s">
        <v>1514</v>
      </c>
      <c r="BN63" s="75" t="s">
        <v>1514</v>
      </c>
      <c r="BO63" s="75" t="s">
        <v>1514</v>
      </c>
      <c r="BP63" s="75" t="s">
        <v>1514</v>
      </c>
      <c r="BQ63" s="68">
        <f t="shared" si="62"/>
        <v>34</v>
      </c>
      <c r="BR63" s="69" t="str">
        <f t="shared" si="63"/>
        <v>-</v>
      </c>
      <c r="BS63" s="70">
        <f t="shared" si="64"/>
        <v>71</v>
      </c>
      <c r="BT63" s="69">
        <f t="shared" si="65"/>
        <v>101</v>
      </c>
      <c r="BU63" s="70">
        <f t="shared" si="66"/>
        <v>105</v>
      </c>
      <c r="BV63" s="69" t="str">
        <f t="shared" si="67"/>
        <v>-</v>
      </c>
      <c r="BW63" s="70">
        <f t="shared" si="68"/>
        <v>154</v>
      </c>
      <c r="BX63" s="69">
        <f t="shared" si="69"/>
        <v>186</v>
      </c>
      <c r="BY63" s="70">
        <f t="shared" si="70"/>
        <v>193</v>
      </c>
      <c r="BZ63" s="69">
        <f t="shared" si="71"/>
        <v>239</v>
      </c>
      <c r="CA63" s="70">
        <f t="shared" si="72"/>
        <v>273</v>
      </c>
      <c r="CB63" s="69" t="str">
        <f t="shared" si="73"/>
        <v>-</v>
      </c>
      <c r="CC63" s="68">
        <f t="shared" si="74"/>
        <v>66</v>
      </c>
      <c r="CD63" s="69" t="str">
        <f t="shared" si="75"/>
        <v>-</v>
      </c>
      <c r="CE63" s="70">
        <f t="shared" si="76"/>
        <v>100</v>
      </c>
      <c r="CF63" s="70">
        <f t="shared" si="77"/>
        <v>104</v>
      </c>
      <c r="CG63" s="70">
        <f t="shared" si="78"/>
        <v>140</v>
      </c>
      <c r="CH63" s="70" t="str">
        <f t="shared" si="79"/>
        <v>-</v>
      </c>
      <c r="CI63" s="70">
        <f t="shared" si="80"/>
        <v>175</v>
      </c>
      <c r="CJ63" s="70">
        <f t="shared" si="81"/>
        <v>188</v>
      </c>
      <c r="CK63" s="70">
        <f t="shared" si="82"/>
        <v>228</v>
      </c>
      <c r="CL63" s="70">
        <f t="shared" si="83"/>
        <v>268</v>
      </c>
      <c r="CM63" s="70">
        <f t="shared" si="84"/>
        <v>300</v>
      </c>
      <c r="CN63" s="70" t="str">
        <f t="shared" si="85"/>
        <v>-</v>
      </c>
      <c r="CO63" s="57" t="e">
        <f t="shared" si="86"/>
        <v>#VALUE!</v>
      </c>
    </row>
    <row r="64" spans="1:93" x14ac:dyDescent="0.2">
      <c r="A64" s="3" t="str">
        <f t="shared" si="87"/>
        <v>cxcr4_human_4RWS</v>
      </c>
      <c r="B64" s="3" t="s">
        <v>1391</v>
      </c>
      <c r="C64" s="3" t="s">
        <v>1259</v>
      </c>
      <c r="D64" s="3" t="str">
        <f>IFERROR(MID(VLOOKUP($B64,Seqs!$A:$B,2,FALSE),E64,1),"")</f>
        <v>R</v>
      </c>
      <c r="E64" s="3">
        <v>30</v>
      </c>
      <c r="F64" s="3" t="str">
        <f>IFERROR(MID(VLOOKUP($B64,Seqs!$A:$B,2,FALSE),G64,1),"")</f>
        <v>Q</v>
      </c>
      <c r="G64" s="3">
        <v>66</v>
      </c>
      <c r="H64" s="3" t="str">
        <f>IFERROR(MID(VLOOKUP($B64,Seqs!$A:$B,2,FALSE),I64,1),"")</f>
        <v/>
      </c>
      <c r="I64" s="57" t="s">
        <v>129</v>
      </c>
      <c r="J64" s="3" t="str">
        <f>IFERROR(MID(VLOOKUP($B64,Seqs!$A:$B,2,FALSE),K64,1),"")</f>
        <v/>
      </c>
      <c r="K64" s="57" t="s">
        <v>129</v>
      </c>
      <c r="L64" s="3" t="str">
        <f>IFERROR(MID(VLOOKUP($B64,Seqs!$A:$B,2,FALSE),M64,1),"")</f>
        <v>S</v>
      </c>
      <c r="M64" s="3">
        <v>71</v>
      </c>
      <c r="N64" s="3" t="str">
        <f>IFERROR(MID(VLOOKUP($B64,Seqs!$A:$B,2,FALSE),O64,1),"")</f>
        <v>A</v>
      </c>
      <c r="O64" s="3">
        <v>100</v>
      </c>
      <c r="P64" s="3" t="str">
        <f>IFERROR(MID(VLOOKUP($B64,Seqs!$A:$B,2,FALSE),Q64,1),"")</f>
        <v>N</v>
      </c>
      <c r="Q64" s="3">
        <v>101</v>
      </c>
      <c r="R64" s="3" t="str">
        <f>IFERROR(MID(VLOOKUP($B64,Seqs!$A:$B,2,FALSE),S64,1),"")</f>
        <v>F</v>
      </c>
      <c r="S64" s="3">
        <v>104</v>
      </c>
      <c r="T64" s="3" t="str">
        <f>IFERROR(MID(VLOOKUP($B64,Seqs!$A:$B,2,FALSE),U64,1),"")</f>
        <v>G</v>
      </c>
      <c r="U64" s="3">
        <v>105</v>
      </c>
      <c r="V64" s="3" t="str">
        <f>IFERROR(MID(VLOOKUP($B64,Seqs!$A:$B,2,FALSE),W64,1),"")</f>
        <v>H</v>
      </c>
      <c r="W64" s="3">
        <v>140</v>
      </c>
      <c r="X64" s="3" t="str">
        <f>IFERROR(MID(VLOOKUP($B64,Seqs!$A:$B,2,FALSE),Y64,1),"")</f>
        <v/>
      </c>
      <c r="Y64" s="3" t="s">
        <v>129</v>
      </c>
      <c r="Z64" s="3" t="str">
        <f>IFERROR(MID(VLOOKUP($B64,Seqs!$A:$B,2,FALSE),AA64,1),"")</f>
        <v/>
      </c>
      <c r="AA64" s="3" t="s">
        <v>129</v>
      </c>
      <c r="AB64" s="3" t="str">
        <f>IFERROR(MID(VLOOKUP($B64,Seqs!$A:$B,2,FALSE),AC64,1),"")</f>
        <v>K</v>
      </c>
      <c r="AC64" s="3">
        <v>154</v>
      </c>
      <c r="AD64" s="3" t="str">
        <f>IFERROR(MID(VLOOKUP($B64,Seqs!$A:$B,2,FALSE),AE64,1),"")</f>
        <v>A</v>
      </c>
      <c r="AE64" s="3">
        <v>175</v>
      </c>
      <c r="AF64" s="3" t="str">
        <f>IFERROR(MID(VLOOKUP($B64,Seqs!$A:$B,2,FALSE),AG64,1),"")</f>
        <v>C</v>
      </c>
      <c r="AG64" s="3">
        <v>186</v>
      </c>
      <c r="AH64" s="3" t="str">
        <f>IFERROR(MID(VLOOKUP($B64,Seqs!$A:$B,2,FALSE),AI64,1),"")</f>
        <v>R</v>
      </c>
      <c r="AI64" s="3">
        <v>188</v>
      </c>
      <c r="AJ64" s="3" t="str">
        <f>IFERROR(MID(VLOOKUP($B64,Seqs!$A:$B,2,FALSE),AK64,1),"")</f>
        <v>D</v>
      </c>
      <c r="AK64" s="3">
        <v>193</v>
      </c>
      <c r="AL64" s="3" t="str">
        <f>IFERROR(MID(VLOOKUP($B64,Seqs!$A:$B,2,FALSE),AM64,1),"")</f>
        <v>S</v>
      </c>
      <c r="AM64" s="3">
        <v>227</v>
      </c>
      <c r="AN64" s="3" t="str">
        <f>IFERROR(MID(VLOOKUP($B64,Seqs!$A:$B,2,FALSE),AO64,1),"")</f>
        <v>K</v>
      </c>
      <c r="AO64" s="3">
        <v>239</v>
      </c>
      <c r="AP64" s="3" t="str">
        <f>IFERROR(MID(VLOOKUP($B64,Seqs!$A:$B,2,FALSE),AQ64,1),"")</f>
        <v>E</v>
      </c>
      <c r="AQ64" s="3">
        <v>268</v>
      </c>
      <c r="AR64" s="3" t="str">
        <f>IFERROR(MID(VLOOKUP($B64,Seqs!$A:$B,2,FALSE),AS64,1),"")</f>
        <v>G</v>
      </c>
      <c r="AS64" s="3">
        <v>273</v>
      </c>
      <c r="AT64" s="3" t="str">
        <f>IFERROR(MID(VLOOKUP($B64,Seqs!$A:$B,2,FALSE),AU64,1),"")</f>
        <v>I</v>
      </c>
      <c r="AU64" s="3">
        <v>300</v>
      </c>
      <c r="AV64" s="3" t="str">
        <f>IFERROR(MID(VLOOKUP($B64,Seqs!$A:$B,2,FALSE),AW64,1),"")</f>
        <v/>
      </c>
      <c r="AW64" s="3" t="s">
        <v>129</v>
      </c>
      <c r="AX64" s="3" t="str">
        <f>IFERROR(MID(VLOOKUP($B64,Seqs!$A:$B,2,FALSE),AY64,1),"")</f>
        <v/>
      </c>
      <c r="AY64" s="3" t="s">
        <v>129</v>
      </c>
      <c r="AZ64" s="83" t="str">
        <f>VLOOKUP(B64,Classification!A:D,2,FALSE)</f>
        <v>A</v>
      </c>
      <c r="BC64" s="57">
        <f t="shared" si="88"/>
        <v>228</v>
      </c>
      <c r="BD64" s="63" t="b">
        <f t="shared" si="89"/>
        <v>1</v>
      </c>
      <c r="BE64" s="68" t="s">
        <v>1514</v>
      </c>
      <c r="BF64" s="75" t="s">
        <v>1514</v>
      </c>
      <c r="BG64" s="75" t="s">
        <v>1514</v>
      </c>
      <c r="BH64" s="75" t="s">
        <v>1514</v>
      </c>
      <c r="BI64" s="75" t="s">
        <v>1514</v>
      </c>
      <c r="BJ64" s="75" t="s">
        <v>1514</v>
      </c>
      <c r="BK64" s="75" t="s">
        <v>1514</v>
      </c>
      <c r="BL64" s="75" t="s">
        <v>1514</v>
      </c>
      <c r="BM64" s="75" t="s">
        <v>1514</v>
      </c>
      <c r="BN64" s="75" t="s">
        <v>1514</v>
      </c>
      <c r="BO64" s="75" t="s">
        <v>1514</v>
      </c>
      <c r="BP64" s="75" t="s">
        <v>1514</v>
      </c>
      <c r="BQ64" s="68">
        <f t="shared" si="62"/>
        <v>30</v>
      </c>
      <c r="BR64" s="69" t="str">
        <f t="shared" si="63"/>
        <v>-</v>
      </c>
      <c r="BS64" s="70">
        <f t="shared" si="64"/>
        <v>71</v>
      </c>
      <c r="BT64" s="69">
        <f t="shared" si="65"/>
        <v>101</v>
      </c>
      <c r="BU64" s="70">
        <f t="shared" si="66"/>
        <v>105</v>
      </c>
      <c r="BV64" s="69" t="str">
        <f t="shared" si="67"/>
        <v>-</v>
      </c>
      <c r="BW64" s="70">
        <f t="shared" si="68"/>
        <v>154</v>
      </c>
      <c r="BX64" s="69">
        <f t="shared" si="69"/>
        <v>186</v>
      </c>
      <c r="BY64" s="70">
        <f t="shared" si="70"/>
        <v>193</v>
      </c>
      <c r="BZ64" s="69">
        <f t="shared" si="71"/>
        <v>239</v>
      </c>
      <c r="CA64" s="70">
        <f t="shared" si="72"/>
        <v>273</v>
      </c>
      <c r="CB64" s="69" t="str">
        <f t="shared" si="73"/>
        <v>-</v>
      </c>
      <c r="CC64" s="68">
        <f t="shared" si="74"/>
        <v>66</v>
      </c>
      <c r="CD64" s="69" t="str">
        <f t="shared" si="75"/>
        <v>-</v>
      </c>
      <c r="CE64" s="70">
        <f t="shared" si="76"/>
        <v>100</v>
      </c>
      <c r="CF64" s="70">
        <f t="shared" si="77"/>
        <v>104</v>
      </c>
      <c r="CG64" s="70">
        <f t="shared" si="78"/>
        <v>140</v>
      </c>
      <c r="CH64" s="70" t="str">
        <f t="shared" si="79"/>
        <v>-</v>
      </c>
      <c r="CI64" s="70">
        <f t="shared" si="80"/>
        <v>175</v>
      </c>
      <c r="CJ64" s="70">
        <f t="shared" si="81"/>
        <v>188</v>
      </c>
      <c r="CK64" s="70">
        <f t="shared" si="82"/>
        <v>227</v>
      </c>
      <c r="CL64" s="70">
        <f t="shared" si="83"/>
        <v>268</v>
      </c>
      <c r="CM64" s="70">
        <f t="shared" si="84"/>
        <v>300</v>
      </c>
      <c r="CN64" s="70" t="str">
        <f t="shared" si="85"/>
        <v>-</v>
      </c>
      <c r="CO64" s="57" t="e">
        <f t="shared" si="86"/>
        <v>#VALUE!</v>
      </c>
    </row>
    <row r="65" spans="1:93" x14ac:dyDescent="0.2">
      <c r="A65" s="3" t="str">
        <f t="shared" si="87"/>
        <v>drd3_human__wt</v>
      </c>
      <c r="B65" s="3" t="s">
        <v>386</v>
      </c>
      <c r="C65" s="3" t="s">
        <v>294</v>
      </c>
      <c r="D65" s="3" t="str">
        <f>IFERROR(MID(VLOOKUP($B65,Seqs!$A:$B,2,FALSE),E65,1),"")</f>
        <v>A</v>
      </c>
      <c r="E65" s="3">
        <v>26</v>
      </c>
      <c r="F65" s="3" t="str">
        <f>IFERROR(MID(VLOOKUP($B65,Seqs!$A:$B,2,FALSE),G65,1),"")</f>
        <v>E</v>
      </c>
      <c r="G65" s="3">
        <v>57</v>
      </c>
      <c r="H65" s="3" t="str">
        <f>IFERROR(MID(VLOOKUP($B65,Seqs!$A:$B,2,FALSE),I65,1),"")</f>
        <v>R</v>
      </c>
      <c r="I65" s="57">
        <v>58</v>
      </c>
      <c r="J65" s="3" t="str">
        <f>IFERROR(MID(VLOOKUP($B65,Seqs!$A:$B,2,FALSE),K65,1),"")</f>
        <v>Q</v>
      </c>
      <c r="K65" s="57">
        <v>61</v>
      </c>
      <c r="L65" s="3" t="str">
        <f>IFERROR(MID(VLOOKUP($B65,Seqs!$A:$B,2,FALSE),M65,1),"")</f>
        <v>T</v>
      </c>
      <c r="M65" s="3">
        <v>62</v>
      </c>
      <c r="N65" s="3" t="str">
        <f>IFERROR(MID(VLOOKUP($B65,Seqs!$A:$B,2,FALSE),O65,1),"")</f>
        <v>T</v>
      </c>
      <c r="O65" s="3">
        <v>92</v>
      </c>
      <c r="P65" s="3" t="str">
        <f>IFERROR(MID(VLOOKUP($B65,Seqs!$A:$B,2,FALSE),Q65,1),"")</f>
        <v>V</v>
      </c>
      <c r="Q65" s="3">
        <v>95</v>
      </c>
      <c r="R65" s="3" t="str">
        <f>IFERROR(MID(VLOOKUP($B65,Seqs!$A:$B,2,FALSE),S65,1),"")</f>
        <v>F</v>
      </c>
      <c r="S65" s="3">
        <v>98</v>
      </c>
      <c r="T65" s="3" t="str">
        <f>IFERROR(MID(VLOOKUP($B65,Seqs!$A:$B,2,FALSE),U65,1),"")</f>
        <v>S</v>
      </c>
      <c r="U65" s="3">
        <v>99</v>
      </c>
      <c r="V65" s="3" t="str">
        <f>IFERROR(MID(VLOOKUP($B65,Seqs!$A:$B,2,FALSE),W65,1),"")</f>
        <v>M</v>
      </c>
      <c r="W65" s="3">
        <v>134</v>
      </c>
      <c r="X65" s="3" t="str">
        <f>IFERROR(MID(VLOOKUP($B65,Seqs!$A:$B,2,FALSE),Y65,1),"")</f>
        <v>P</v>
      </c>
      <c r="Y65" s="3">
        <v>135</v>
      </c>
      <c r="Z65" s="3" t="str">
        <f>IFERROR(MID(VLOOKUP($B65,Seqs!$A:$B,2,FALSE),AA65,1),"")</f>
        <v>G</v>
      </c>
      <c r="AA65" s="3">
        <v>143</v>
      </c>
      <c r="AB65" s="3" t="str">
        <f>IFERROR(MID(VLOOKUP($B65,Seqs!$A:$B,2,FALSE),AC65,1),"")</f>
        <v>S</v>
      </c>
      <c r="AC65" s="3">
        <v>146</v>
      </c>
      <c r="AD65" s="3" t="str">
        <f>IFERROR(MID(VLOOKUP($B65,Seqs!$A:$B,2,FALSE),AE65,1),"")</f>
        <v>G</v>
      </c>
      <c r="AE65" s="3">
        <v>171</v>
      </c>
      <c r="AF65" s="3" t="str">
        <f>IFERROR(MID(VLOOKUP($B65,Seqs!$A:$B,2,FALSE),AG65,1),"")</f>
        <v>C</v>
      </c>
      <c r="AG65" s="3">
        <v>181</v>
      </c>
      <c r="AH65" s="3" t="str">
        <f>IFERROR(MID(VLOOKUP($B65,Seqs!$A:$B,2,FALSE),AI65,1),"")</f>
        <v>I</v>
      </c>
      <c r="AI65" s="3">
        <v>183</v>
      </c>
      <c r="AJ65" s="3" t="str">
        <f>IFERROR(MID(VLOOKUP($B65,Seqs!$A:$B,2,FALSE),AK65,1),"")</f>
        <v>N</v>
      </c>
      <c r="AK65" s="3">
        <v>185</v>
      </c>
      <c r="AL65" s="3" t="str">
        <f>IFERROR(MID(VLOOKUP($B65,Seqs!$A:$B,2,FALSE),AM65,1),"")</f>
        <v>R</v>
      </c>
      <c r="AM65" s="3">
        <v>226</v>
      </c>
      <c r="AN65" s="3" t="str">
        <f>IFERROR(MID(VLOOKUP($B65,Seqs!$A:$B,2,FALSE),AO65,1),"")</f>
        <v>R</v>
      </c>
      <c r="AO65" s="3">
        <v>318</v>
      </c>
      <c r="AP65" s="3" t="str">
        <f>IFERROR(MID(VLOOKUP($B65,Seqs!$A:$B,2,FALSE),AQ65,1),"")</f>
        <v>H</v>
      </c>
      <c r="AQ65" s="3">
        <v>354</v>
      </c>
      <c r="AR65" s="3" t="str">
        <f>IFERROR(MID(VLOOKUP($B65,Seqs!$A:$B,2,FALSE),AS65,1),"")</f>
        <v>S</v>
      </c>
      <c r="AS65" s="3">
        <v>361</v>
      </c>
      <c r="AT65" s="3" t="str">
        <f>IFERROR(MID(VLOOKUP($B65,Seqs!$A:$B,2,FALSE),AU65,1),"")</f>
        <v>F</v>
      </c>
      <c r="AU65" s="3">
        <v>386</v>
      </c>
      <c r="AV65" s="3" t="str">
        <f>IFERROR(MID(VLOOKUP($B65,Seqs!$A:$B,2,FALSE),AW65,1),"")</f>
        <v>N</v>
      </c>
      <c r="AW65" s="3">
        <v>387</v>
      </c>
      <c r="AX65" s="3" t="str">
        <f>IFERROR(MID(VLOOKUP($B65,Seqs!$A:$B,2,FALSE),AY65,1),"")</f>
        <v>S</v>
      </c>
      <c r="AY65" s="3">
        <v>399</v>
      </c>
      <c r="AZ65" s="83" t="str">
        <f>VLOOKUP(B65,Classification!A:D,2,FALSE)</f>
        <v>A</v>
      </c>
      <c r="BB65" s="82">
        <f>S65-Q65+1</f>
        <v>4</v>
      </c>
      <c r="BC65" s="57">
        <f t="shared" si="88"/>
        <v>263</v>
      </c>
      <c r="BD65" s="63" t="b">
        <f t="shared" si="89"/>
        <v>1</v>
      </c>
      <c r="BE65" s="68" t="s">
        <v>1514</v>
      </c>
      <c r="BF65" s="75" t="s">
        <v>1514</v>
      </c>
      <c r="BG65" s="75" t="s">
        <v>1514</v>
      </c>
      <c r="BH65" s="75" t="s">
        <v>1514</v>
      </c>
      <c r="BI65" s="75" t="s">
        <v>1514</v>
      </c>
      <c r="BJ65" s="75" t="s">
        <v>1514</v>
      </c>
      <c r="BK65" s="75" t="s">
        <v>1514</v>
      </c>
      <c r="BL65" s="75" t="s">
        <v>1514</v>
      </c>
      <c r="BM65" s="75" t="s">
        <v>1514</v>
      </c>
      <c r="BN65" s="75" t="s">
        <v>1514</v>
      </c>
      <c r="BO65" s="75" t="s">
        <v>1514</v>
      </c>
      <c r="BP65" s="75" t="s">
        <v>1514</v>
      </c>
      <c r="BQ65" s="68">
        <f t="shared" si="62"/>
        <v>26</v>
      </c>
      <c r="BR65" s="69">
        <f t="shared" si="63"/>
        <v>58</v>
      </c>
      <c r="BS65" s="70">
        <f t="shared" si="64"/>
        <v>62</v>
      </c>
      <c r="BT65" s="69">
        <f t="shared" si="65"/>
        <v>95</v>
      </c>
      <c r="BU65" s="70">
        <f t="shared" si="66"/>
        <v>99</v>
      </c>
      <c r="BV65" s="69">
        <f t="shared" si="67"/>
        <v>135</v>
      </c>
      <c r="BW65" s="70">
        <f t="shared" si="68"/>
        <v>146</v>
      </c>
      <c r="BX65" s="69">
        <f t="shared" si="69"/>
        <v>181</v>
      </c>
      <c r="BY65" s="70">
        <f t="shared" si="70"/>
        <v>185</v>
      </c>
      <c r="BZ65" s="69">
        <f t="shared" si="71"/>
        <v>318</v>
      </c>
      <c r="CA65" s="70">
        <f t="shared" si="72"/>
        <v>361</v>
      </c>
      <c r="CB65" s="69">
        <f t="shared" si="73"/>
        <v>387</v>
      </c>
      <c r="CC65" s="68">
        <f t="shared" si="74"/>
        <v>57</v>
      </c>
      <c r="CD65" s="69">
        <f t="shared" si="75"/>
        <v>61</v>
      </c>
      <c r="CE65" s="70">
        <f t="shared" si="76"/>
        <v>92</v>
      </c>
      <c r="CF65" s="70">
        <f t="shared" si="77"/>
        <v>98</v>
      </c>
      <c r="CG65" s="70">
        <f t="shared" si="78"/>
        <v>134</v>
      </c>
      <c r="CH65" s="70">
        <f t="shared" si="79"/>
        <v>143</v>
      </c>
      <c r="CI65" s="70">
        <f t="shared" si="80"/>
        <v>171</v>
      </c>
      <c r="CJ65" s="70">
        <f t="shared" si="81"/>
        <v>183</v>
      </c>
      <c r="CK65" s="70">
        <f t="shared" si="82"/>
        <v>226</v>
      </c>
      <c r="CL65" s="70">
        <f t="shared" si="83"/>
        <v>354</v>
      </c>
      <c r="CM65" s="70">
        <f t="shared" si="84"/>
        <v>386</v>
      </c>
      <c r="CN65" s="70">
        <f t="shared" si="85"/>
        <v>399</v>
      </c>
      <c r="CO65" s="57">
        <f t="shared" si="86"/>
        <v>1</v>
      </c>
    </row>
    <row r="66" spans="1:93" x14ac:dyDescent="0.2">
      <c r="A66" s="3" t="str">
        <f t="shared" si="87"/>
        <v>drd3_human_3PBL</v>
      </c>
      <c r="B66" s="3" t="s">
        <v>386</v>
      </c>
      <c r="C66" s="3" t="s">
        <v>263</v>
      </c>
      <c r="D66" s="3" t="str">
        <f>IFERROR(MID(VLOOKUP($B66,Seqs!$A:$B,2,FALSE),E66,1),"")</f>
        <v>Y</v>
      </c>
      <c r="E66" s="3">
        <v>32</v>
      </c>
      <c r="F66" s="3" t="str">
        <f>IFERROR(MID(VLOOKUP($B66,Seqs!$A:$B,2,FALSE),G66,1),"")</f>
        <v>E</v>
      </c>
      <c r="G66" s="3">
        <v>57</v>
      </c>
      <c r="H66" s="3" t="str">
        <f>IFERROR(MID(VLOOKUP($B66,Seqs!$A:$B,2,FALSE),I66,1),"")</f>
        <v>R</v>
      </c>
      <c r="I66" s="57">
        <v>58</v>
      </c>
      <c r="J66" s="3" t="str">
        <f>IFERROR(MID(VLOOKUP($B66,Seqs!$A:$B,2,FALSE),K66,1),"")</f>
        <v>Q</v>
      </c>
      <c r="K66" s="57">
        <v>61</v>
      </c>
      <c r="L66" s="3" t="str">
        <f>IFERROR(MID(VLOOKUP($B66,Seqs!$A:$B,2,FALSE),M66,1),"")</f>
        <v>T</v>
      </c>
      <c r="M66" s="3">
        <v>62</v>
      </c>
      <c r="N66" s="3" t="str">
        <f>IFERROR(MID(VLOOKUP($B66,Seqs!$A:$B,2,FALSE),O66,1),"")</f>
        <v>T</v>
      </c>
      <c r="O66" s="3">
        <v>92</v>
      </c>
      <c r="P66" s="3" t="str">
        <f>IFERROR(MID(VLOOKUP($B66,Seqs!$A:$B,2,FALSE),Q66,1),"")</f>
        <v>V</v>
      </c>
      <c r="Q66" s="3">
        <v>95</v>
      </c>
      <c r="R66" s="3" t="str">
        <f>IFERROR(MID(VLOOKUP($B66,Seqs!$A:$B,2,FALSE),S66,1),"")</f>
        <v>F</v>
      </c>
      <c r="S66" s="3">
        <v>98</v>
      </c>
      <c r="T66" s="3" t="str">
        <f>IFERROR(MID(VLOOKUP($B66,Seqs!$A:$B,2,FALSE),U66,1),"")</f>
        <v>S</v>
      </c>
      <c r="U66" s="3">
        <v>99</v>
      </c>
      <c r="V66" s="3" t="str">
        <f>IFERROR(MID(VLOOKUP($B66,Seqs!$A:$B,2,FALSE),W66,1),"")</f>
        <v>M</v>
      </c>
      <c r="W66" s="3">
        <v>134</v>
      </c>
      <c r="X66" s="3" t="str">
        <f>IFERROR(MID(VLOOKUP($B66,Seqs!$A:$B,2,FALSE),Y66,1),"")</f>
        <v>P</v>
      </c>
      <c r="Y66" s="3">
        <v>135</v>
      </c>
      <c r="Z66" s="3" t="str">
        <f>IFERROR(MID(VLOOKUP($B66,Seqs!$A:$B,2,FALSE),AA66,1),"")</f>
        <v>G</v>
      </c>
      <c r="AA66" s="3">
        <v>143</v>
      </c>
      <c r="AB66" s="3" t="str">
        <f>IFERROR(MID(VLOOKUP($B66,Seqs!$A:$B,2,FALSE),AC66,1),"")</f>
        <v>S</v>
      </c>
      <c r="AC66" s="3">
        <v>146</v>
      </c>
      <c r="AD66" s="3" t="str">
        <f>IFERROR(MID(VLOOKUP($B66,Seqs!$A:$B,2,FALSE),AE66,1),"")</f>
        <v>G</v>
      </c>
      <c r="AE66" s="3">
        <v>171</v>
      </c>
      <c r="AF66" s="3" t="str">
        <f>IFERROR(MID(VLOOKUP($B66,Seqs!$A:$B,2,FALSE),AG66,1),"")</f>
        <v>C</v>
      </c>
      <c r="AG66" s="3">
        <v>181</v>
      </c>
      <c r="AH66" s="3" t="str">
        <f>IFERROR(MID(VLOOKUP($B66,Seqs!$A:$B,2,FALSE),AI66,1),"")</f>
        <v>I</v>
      </c>
      <c r="AI66" s="3">
        <v>183</v>
      </c>
      <c r="AJ66" s="3" t="str">
        <f>IFERROR(MID(VLOOKUP($B66,Seqs!$A:$B,2,FALSE),AK66,1),"")</f>
        <v>N</v>
      </c>
      <c r="AK66" s="3">
        <v>185</v>
      </c>
      <c r="AL66" s="3" t="str">
        <f>IFERROR(MID(VLOOKUP($B66,Seqs!$A:$B,2,FALSE),AM66,1),"")</f>
        <v>K</v>
      </c>
      <c r="AM66" s="3">
        <v>216</v>
      </c>
      <c r="AN66" s="3" t="str">
        <f>IFERROR(MID(VLOOKUP($B66,Seqs!$A:$B,2,FALSE),AO66,1),"")</f>
        <v>R</v>
      </c>
      <c r="AO66" s="3">
        <v>323</v>
      </c>
      <c r="AP66" s="3" t="str">
        <f>IFERROR(MID(VLOOKUP($B66,Seqs!$A:$B,2,FALSE),AQ66,1),"")</f>
        <v>H</v>
      </c>
      <c r="AQ66" s="3">
        <v>354</v>
      </c>
      <c r="AR66" s="3" t="str">
        <f>IFERROR(MID(VLOOKUP($B66,Seqs!$A:$B,2,FALSE),AS66,1),"")</f>
        <v>S</v>
      </c>
      <c r="AS66" s="3">
        <v>361</v>
      </c>
      <c r="AT66" s="3" t="str">
        <f>IFERROR(MID(VLOOKUP($B66,Seqs!$A:$B,2,FALSE),AU66,1),"")</f>
        <v>F</v>
      </c>
      <c r="AU66" s="3">
        <v>386</v>
      </c>
      <c r="AV66" s="3" t="str">
        <f>IFERROR(MID(VLOOKUP($B66,Seqs!$A:$B,2,FALSE),AW66,1),"")</f>
        <v>N</v>
      </c>
      <c r="AW66" s="3">
        <v>387</v>
      </c>
      <c r="AX66" s="3" t="str">
        <f>IFERROR(MID(VLOOKUP($B66,Seqs!$A:$B,2,FALSE),AY66,1),"")</f>
        <v>S</v>
      </c>
      <c r="AY66" s="3">
        <v>399</v>
      </c>
      <c r="AZ66" s="83" t="str">
        <f>VLOOKUP(B66,Classification!A:D,2,FALSE)</f>
        <v>A</v>
      </c>
      <c r="BC66" s="57">
        <f t="shared" si="88"/>
        <v>242</v>
      </c>
      <c r="BD66" s="63" t="b">
        <f t="shared" si="89"/>
        <v>1</v>
      </c>
      <c r="BE66" s="68" t="s">
        <v>1514</v>
      </c>
      <c r="BF66" s="75" t="s">
        <v>1514</v>
      </c>
      <c r="BG66" s="75" t="s">
        <v>1514</v>
      </c>
      <c r="BH66" s="75" t="s">
        <v>1514</v>
      </c>
      <c r="BI66" s="75" t="s">
        <v>1514</v>
      </c>
      <c r="BJ66" s="75" t="s">
        <v>1514</v>
      </c>
      <c r="BK66" s="75" t="s">
        <v>1514</v>
      </c>
      <c r="BL66" s="75" t="s">
        <v>1514</v>
      </c>
      <c r="BM66" s="75" t="s">
        <v>1514</v>
      </c>
      <c r="BN66" s="75" t="s">
        <v>1514</v>
      </c>
      <c r="BO66" s="75" t="s">
        <v>1514</v>
      </c>
      <c r="BP66" s="75" t="s">
        <v>1514</v>
      </c>
      <c r="BQ66" s="68">
        <f t="shared" si="62"/>
        <v>32</v>
      </c>
      <c r="BR66" s="69">
        <f t="shared" si="63"/>
        <v>58</v>
      </c>
      <c r="BS66" s="70">
        <f t="shared" si="64"/>
        <v>62</v>
      </c>
      <c r="BT66" s="69">
        <f t="shared" si="65"/>
        <v>95</v>
      </c>
      <c r="BU66" s="70">
        <f t="shared" si="66"/>
        <v>99</v>
      </c>
      <c r="BV66" s="69">
        <f t="shared" si="67"/>
        <v>135</v>
      </c>
      <c r="BW66" s="70">
        <f t="shared" si="68"/>
        <v>146</v>
      </c>
      <c r="BX66" s="69">
        <f t="shared" si="69"/>
        <v>181</v>
      </c>
      <c r="BY66" s="70">
        <f t="shared" si="70"/>
        <v>185</v>
      </c>
      <c r="BZ66" s="69">
        <f t="shared" si="71"/>
        <v>323</v>
      </c>
      <c r="CA66" s="70">
        <f t="shared" si="72"/>
        <v>361</v>
      </c>
      <c r="CB66" s="69">
        <f t="shared" si="73"/>
        <v>387</v>
      </c>
      <c r="CC66" s="68">
        <f t="shared" si="74"/>
        <v>57</v>
      </c>
      <c r="CD66" s="69">
        <f t="shared" si="75"/>
        <v>61</v>
      </c>
      <c r="CE66" s="70">
        <f t="shared" si="76"/>
        <v>92</v>
      </c>
      <c r="CF66" s="70">
        <f t="shared" si="77"/>
        <v>98</v>
      </c>
      <c r="CG66" s="70">
        <f t="shared" si="78"/>
        <v>134</v>
      </c>
      <c r="CH66" s="70">
        <f t="shared" si="79"/>
        <v>143</v>
      </c>
      <c r="CI66" s="70">
        <f t="shared" si="80"/>
        <v>171</v>
      </c>
      <c r="CJ66" s="70">
        <f t="shared" si="81"/>
        <v>183</v>
      </c>
      <c r="CK66" s="70">
        <f t="shared" si="82"/>
        <v>216</v>
      </c>
      <c r="CL66" s="70">
        <f t="shared" si="83"/>
        <v>354</v>
      </c>
      <c r="CM66" s="70">
        <f t="shared" si="84"/>
        <v>386</v>
      </c>
      <c r="CN66" s="70">
        <f t="shared" si="85"/>
        <v>399</v>
      </c>
      <c r="CO66" s="57">
        <f t="shared" si="86"/>
        <v>1</v>
      </c>
    </row>
    <row r="67" spans="1:93" x14ac:dyDescent="0.2">
      <c r="A67" s="3" t="str">
        <f t="shared" si="87"/>
        <v>ffar1_human__wt</v>
      </c>
      <c r="B67" s="3" t="s">
        <v>1392</v>
      </c>
      <c r="C67" s="3" t="s">
        <v>294</v>
      </c>
      <c r="D67" s="3" t="str">
        <f>IFERROR(MID(VLOOKUP($B67,Seqs!$A:$B,2,FALSE),E67,1),"")</f>
        <v>Q</v>
      </c>
      <c r="E67" s="3">
        <v>6</v>
      </c>
      <c r="F67" s="3" t="str">
        <f>IFERROR(MID(VLOOKUP($B67,Seqs!$A:$B,2,FALSE),G67,1),"")</f>
        <v>R</v>
      </c>
      <c r="G67" s="3">
        <v>37</v>
      </c>
      <c r="H67" s="3" t="str">
        <f>IFERROR(MID(VLOOKUP($B67,Seqs!$A:$B,2,FALSE),I67,1),"")</f>
        <v/>
      </c>
      <c r="I67" s="57" t="s">
        <v>129</v>
      </c>
      <c r="J67" s="3" t="str">
        <f>IFERROR(MID(VLOOKUP($B67,Seqs!$A:$B,2,FALSE),K67,1),"")</f>
        <v/>
      </c>
      <c r="K67" s="57" t="s">
        <v>129</v>
      </c>
      <c r="L67" s="3" t="str">
        <f>IFERROR(MID(VLOOKUP($B67,Seqs!$A:$B,2,FALSE),M67,1),"")</f>
        <v>T</v>
      </c>
      <c r="M67" s="3">
        <v>39</v>
      </c>
      <c r="N67" s="3" t="str">
        <f>IFERROR(MID(VLOOKUP($B67,Seqs!$A:$B,2,FALSE),O67,1),"")</f>
        <v>A</v>
      </c>
      <c r="O67" s="3">
        <v>68</v>
      </c>
      <c r="P67" s="3" t="str">
        <f>IFERROR(MID(VLOOKUP($B67,Seqs!$A:$B,2,FALSE),Q67,1),"")</f>
        <v>A</v>
      </c>
      <c r="Q67" s="3">
        <v>71</v>
      </c>
      <c r="R67" s="3" t="str">
        <f>IFERROR(MID(VLOOKUP($B67,Seqs!$A:$B,2,FALSE),S67,1),"")</f>
        <v>L</v>
      </c>
      <c r="S67" s="3">
        <v>74</v>
      </c>
      <c r="T67" s="3" t="str">
        <f>IFERROR(MID(VLOOKUP($B67,Seqs!$A:$B,2,FALSE),U67,1),"")</f>
        <v>P</v>
      </c>
      <c r="U67" s="3">
        <v>75</v>
      </c>
      <c r="V67" s="3" t="str">
        <f>IFERROR(MID(VLOOKUP($B67,Seqs!$A:$B,2,FALSE),W67,1),"")</f>
        <v>F</v>
      </c>
      <c r="W67" s="3">
        <v>110</v>
      </c>
      <c r="X67" s="3" t="str">
        <f>IFERROR(MID(VLOOKUP($B67,Seqs!$A:$B,2,FALSE),Y67,1),"")</f>
        <v>P</v>
      </c>
      <c r="Y67" s="3">
        <v>111</v>
      </c>
      <c r="Z67" s="3" t="str">
        <f>IFERROR(MID(VLOOKUP($B67,Seqs!$A:$B,2,FALSE),AA67,1),"")</f>
        <v>R</v>
      </c>
      <c r="AA67" s="3">
        <v>118</v>
      </c>
      <c r="AB67" s="3" t="str">
        <f>IFERROR(MID(VLOOKUP($B67,Seqs!$A:$B,2,FALSE),AC67,1),"")</f>
        <v>P</v>
      </c>
      <c r="AC67" s="3">
        <v>120</v>
      </c>
      <c r="AD67" s="3" t="str">
        <f>IFERROR(MID(VLOOKUP($B67,Seqs!$A:$B,2,FALSE),AE67,1),"")</f>
        <v>E</v>
      </c>
      <c r="AE67" s="3">
        <v>145</v>
      </c>
      <c r="AF67" s="3" t="str">
        <f>IFERROR(MID(VLOOKUP($B67,Seqs!$A:$B,2,FALSE),AG67,1),"")</f>
        <v>C</v>
      </c>
      <c r="AG67" s="3">
        <v>170</v>
      </c>
      <c r="AH67" s="3" t="str">
        <f>IFERROR(MID(VLOOKUP($B67,Seqs!$A:$B,2,FALSE),AI67,1),"")</f>
        <v>E</v>
      </c>
      <c r="AI67" s="3">
        <v>172</v>
      </c>
      <c r="AJ67" s="3" t="str">
        <f>IFERROR(MID(VLOOKUP($B67,Seqs!$A:$B,2,FALSE),AK67,1),"")</f>
        <v>P</v>
      </c>
      <c r="AK67" s="3">
        <v>176</v>
      </c>
      <c r="AL67" s="3" t="str">
        <f>IFERROR(MID(VLOOKUP($B67,Seqs!$A:$B,2,FALSE),AM67,1),"")</f>
        <v>R</v>
      </c>
      <c r="AM67" s="3">
        <v>211</v>
      </c>
      <c r="AN67" s="3" t="str">
        <f>IFERROR(MID(VLOOKUP($B67,Seqs!$A:$B,2,FALSE),AO67,1),"")</f>
        <v>R</v>
      </c>
      <c r="AO67" s="3">
        <v>217</v>
      </c>
      <c r="AP67" s="3" t="str">
        <f>IFERROR(MID(VLOOKUP($B67,Seqs!$A:$B,2,FALSE),AQ67,1),"")</f>
        <v>Y</v>
      </c>
      <c r="AQ67" s="3">
        <v>250</v>
      </c>
      <c r="AR67" s="3" t="str">
        <f>IFERROR(MID(VLOOKUP($B67,Seqs!$A:$B,2,FALSE),AS67,1),"")</f>
        <v>G</v>
      </c>
      <c r="AS67" s="3">
        <v>255</v>
      </c>
      <c r="AT67" s="3" t="str">
        <f>IFERROR(MID(VLOOKUP($B67,Seqs!$A:$B,2,FALSE),AU67,1),"")</f>
        <v>L</v>
      </c>
      <c r="AU67" s="3">
        <v>279</v>
      </c>
      <c r="AV67" s="3" t="str">
        <f>IFERROR(MID(VLOOKUP($B67,Seqs!$A:$B,2,FALSE),AW67,1),"")</f>
        <v>G</v>
      </c>
      <c r="AW67" s="3">
        <v>280</v>
      </c>
      <c r="AX67" s="3" t="str">
        <f>IFERROR(MID(VLOOKUP($B67,Seqs!$A:$B,2,FALSE),AY67,1),"")</f>
        <v>Q</v>
      </c>
      <c r="AY67" s="3">
        <v>294</v>
      </c>
      <c r="AZ67" s="83" t="str">
        <f>VLOOKUP(B67,Classification!A:D,2,FALSE)</f>
        <v>A</v>
      </c>
      <c r="BB67" s="82">
        <f>S67-Q67+1</f>
        <v>4</v>
      </c>
      <c r="BC67" s="57">
        <f t="shared" si="88"/>
        <v>250</v>
      </c>
      <c r="BD67" s="63" t="b">
        <f t="shared" si="89"/>
        <v>1</v>
      </c>
      <c r="BE67" s="68" t="s">
        <v>1514</v>
      </c>
      <c r="BF67" s="75" t="s">
        <v>1514</v>
      </c>
      <c r="BG67" s="75" t="s">
        <v>1514</v>
      </c>
      <c r="BH67" s="75" t="s">
        <v>1514</v>
      </c>
      <c r="BI67" s="75" t="s">
        <v>1514</v>
      </c>
      <c r="BJ67" s="75" t="s">
        <v>1514</v>
      </c>
      <c r="BK67" s="75" t="s">
        <v>1514</v>
      </c>
      <c r="BL67" s="75" t="s">
        <v>1514</v>
      </c>
      <c r="BM67" s="75" t="s">
        <v>1514</v>
      </c>
      <c r="BN67" s="75" t="s">
        <v>1514</v>
      </c>
      <c r="BO67" s="75" t="s">
        <v>1514</v>
      </c>
      <c r="BP67" s="75" t="s">
        <v>1514</v>
      </c>
      <c r="BQ67" s="68">
        <f t="shared" ref="BQ67:BQ100" si="90">E67</f>
        <v>6</v>
      </c>
      <c r="BR67" s="69" t="str">
        <f t="shared" ref="BR67:BR100" si="91">I67</f>
        <v>-</v>
      </c>
      <c r="BS67" s="70">
        <f t="shared" ref="BS67:BS100" si="92">M67</f>
        <v>39</v>
      </c>
      <c r="BT67" s="69">
        <f t="shared" ref="BT67:BT100" si="93">Q67</f>
        <v>71</v>
      </c>
      <c r="BU67" s="70">
        <f t="shared" ref="BU67:BU100" si="94">U67</f>
        <v>75</v>
      </c>
      <c r="BV67" s="69">
        <f t="shared" ref="BV67:BV100" si="95">Y67</f>
        <v>111</v>
      </c>
      <c r="BW67" s="70">
        <f t="shared" ref="BW67:BW100" si="96">AC67</f>
        <v>120</v>
      </c>
      <c r="BX67" s="69">
        <f t="shared" ref="BX67:BX100" si="97">AG67</f>
        <v>170</v>
      </c>
      <c r="BY67" s="70">
        <f t="shared" ref="BY67:BY100" si="98">AK67</f>
        <v>176</v>
      </c>
      <c r="BZ67" s="69">
        <f t="shared" ref="BZ67:BZ100" si="99">AO67</f>
        <v>217</v>
      </c>
      <c r="CA67" s="70">
        <f t="shared" ref="CA67:CA100" si="100">AS67</f>
        <v>255</v>
      </c>
      <c r="CB67" s="69">
        <f t="shared" ref="CB67:CB100" si="101">AW67</f>
        <v>280</v>
      </c>
      <c r="CC67" s="68">
        <f t="shared" ref="CC67:CC100" si="102">G67</f>
        <v>37</v>
      </c>
      <c r="CD67" s="69" t="str">
        <f t="shared" ref="CD67:CD100" si="103">K67</f>
        <v>-</v>
      </c>
      <c r="CE67" s="70">
        <f t="shared" ref="CE67:CE100" si="104">O67</f>
        <v>68</v>
      </c>
      <c r="CF67" s="70">
        <f t="shared" ref="CF67:CF100" si="105">S67</f>
        <v>74</v>
      </c>
      <c r="CG67" s="70">
        <f t="shared" ref="CG67:CG100" si="106">W67</f>
        <v>110</v>
      </c>
      <c r="CH67" s="70">
        <f t="shared" ref="CH67:CH100" si="107">AA67</f>
        <v>118</v>
      </c>
      <c r="CI67" s="70">
        <f t="shared" ref="CI67:CI100" si="108">AE67</f>
        <v>145</v>
      </c>
      <c r="CJ67" s="70">
        <f t="shared" ref="CJ67:CJ100" si="109">AI67</f>
        <v>172</v>
      </c>
      <c r="CK67" s="70">
        <f t="shared" ref="CK67:CK100" si="110">AM67</f>
        <v>211</v>
      </c>
      <c r="CL67" s="70">
        <f t="shared" ref="CL67:CL100" si="111">AQ67</f>
        <v>250</v>
      </c>
      <c r="CM67" s="70">
        <f t="shared" ref="CM67:CM100" si="112">AU67</f>
        <v>279</v>
      </c>
      <c r="CN67" s="70">
        <f t="shared" ref="CN67:CN100" si="113">AY67</f>
        <v>294</v>
      </c>
      <c r="CO67" s="57" t="e">
        <f t="shared" ref="CO67:CO98" si="114">M67-K67</f>
        <v>#VALUE!</v>
      </c>
    </row>
    <row r="68" spans="1:93" x14ac:dyDescent="0.2">
      <c r="A68" s="3" t="str">
        <f t="shared" si="87"/>
        <v>ffar1_human_4PHU</v>
      </c>
      <c r="B68" s="3" t="s">
        <v>1392</v>
      </c>
      <c r="C68" s="3" t="s">
        <v>241</v>
      </c>
      <c r="D68" s="3" t="str">
        <f>IFERROR(MID(VLOOKUP($B68,Seqs!$A:$B,2,FALSE),E68,1),"")</f>
        <v>Q</v>
      </c>
      <c r="E68" s="3">
        <v>6</v>
      </c>
      <c r="F68" s="3" t="str">
        <f>IFERROR(MID(VLOOKUP($B68,Seqs!$A:$B,2,FALSE),G68,1),"")</f>
        <v>R</v>
      </c>
      <c r="G68" s="3">
        <v>37</v>
      </c>
      <c r="H68" s="3" t="str">
        <f>IFERROR(MID(VLOOKUP($B68,Seqs!$A:$B,2,FALSE),I68,1),"")</f>
        <v/>
      </c>
      <c r="I68" s="57" t="s">
        <v>129</v>
      </c>
      <c r="J68" s="3" t="str">
        <f>IFERROR(MID(VLOOKUP($B68,Seqs!$A:$B,2,FALSE),K68,1),"")</f>
        <v/>
      </c>
      <c r="K68" s="57" t="s">
        <v>129</v>
      </c>
      <c r="L68" s="3" t="str">
        <f>IFERROR(MID(VLOOKUP($B68,Seqs!$A:$B,2,FALSE),M68,1),"")</f>
        <v>T</v>
      </c>
      <c r="M68" s="3">
        <v>39</v>
      </c>
      <c r="N68" s="3" t="str">
        <f>IFERROR(MID(VLOOKUP($B68,Seqs!$A:$B,2,FALSE),O68,1),"")</f>
        <v>A</v>
      </c>
      <c r="O68" s="3">
        <v>68</v>
      </c>
      <c r="P68" s="3" t="str">
        <f>IFERROR(MID(VLOOKUP($B68,Seqs!$A:$B,2,FALSE),Q68,1),"")</f>
        <v>A</v>
      </c>
      <c r="Q68" s="3">
        <v>71</v>
      </c>
      <c r="R68" s="3" t="str">
        <f>IFERROR(MID(VLOOKUP($B68,Seqs!$A:$B,2,FALSE),S68,1),"")</f>
        <v>L</v>
      </c>
      <c r="S68" s="3">
        <v>74</v>
      </c>
      <c r="T68" s="3" t="str">
        <f>IFERROR(MID(VLOOKUP($B68,Seqs!$A:$B,2,FALSE),U68,1),"")</f>
        <v>P</v>
      </c>
      <c r="U68" s="3">
        <v>75</v>
      </c>
      <c r="V68" s="3" t="str">
        <f>IFERROR(MID(VLOOKUP($B68,Seqs!$A:$B,2,FALSE),W68,1),"")</f>
        <v>F</v>
      </c>
      <c r="W68" s="3">
        <v>110</v>
      </c>
      <c r="X68" s="3" t="str">
        <f>IFERROR(MID(VLOOKUP($B68,Seqs!$A:$B,2,FALSE),Y68,1),"")</f>
        <v/>
      </c>
      <c r="Y68" s="3" t="s">
        <v>129</v>
      </c>
      <c r="Z68" s="3" t="str">
        <f>IFERROR(MID(VLOOKUP($B68,Seqs!$A:$B,2,FALSE),AA68,1),"")</f>
        <v/>
      </c>
      <c r="AA68" s="3" t="s">
        <v>129</v>
      </c>
      <c r="AB68" s="3" t="str">
        <f>IFERROR(MID(VLOOKUP($B68,Seqs!$A:$B,2,FALSE),AC68,1),"")</f>
        <v>P</v>
      </c>
      <c r="AC68" s="3">
        <v>120</v>
      </c>
      <c r="AD68" s="3" t="str">
        <f>IFERROR(MID(VLOOKUP($B68,Seqs!$A:$B,2,FALSE),AE68,1),"")</f>
        <v>E</v>
      </c>
      <c r="AE68" s="3">
        <v>145</v>
      </c>
      <c r="AF68" s="3" t="str">
        <f>IFERROR(MID(VLOOKUP($B68,Seqs!$A:$B,2,FALSE),AG68,1),"")</f>
        <v>C</v>
      </c>
      <c r="AG68" s="3">
        <v>170</v>
      </c>
      <c r="AH68" s="3" t="str">
        <f>IFERROR(MID(VLOOKUP($B68,Seqs!$A:$B,2,FALSE),AI68,1),"")</f>
        <v>E</v>
      </c>
      <c r="AI68" s="3">
        <v>172</v>
      </c>
      <c r="AJ68" s="3" t="str">
        <f>IFERROR(MID(VLOOKUP($B68,Seqs!$A:$B,2,FALSE),AK68,1),"")</f>
        <v>P</v>
      </c>
      <c r="AK68" s="3">
        <v>176</v>
      </c>
      <c r="AL68" s="3" t="str">
        <f>IFERROR(MID(VLOOKUP($B68,Seqs!$A:$B,2,FALSE),AM68,1),"")</f>
        <v>A</v>
      </c>
      <c r="AM68" s="3">
        <v>210</v>
      </c>
      <c r="AN68" s="3" t="str">
        <f>IFERROR(MID(VLOOKUP($B68,Seqs!$A:$B,2,FALSE),AO68,1),"")</f>
        <v>L</v>
      </c>
      <c r="AO68" s="3">
        <v>214</v>
      </c>
      <c r="AP68" s="3" t="str">
        <f>IFERROR(MID(VLOOKUP($B68,Seqs!$A:$B,2,FALSE),AQ68,1),"")</f>
        <v>Y</v>
      </c>
      <c r="AQ68" s="3">
        <v>250</v>
      </c>
      <c r="AR68" s="3" t="str">
        <f>IFERROR(MID(VLOOKUP($B68,Seqs!$A:$B,2,FALSE),AS68,1),"")</f>
        <v>G</v>
      </c>
      <c r="AS68" s="3">
        <v>255</v>
      </c>
      <c r="AT68" s="3" t="str">
        <f>IFERROR(MID(VLOOKUP($B68,Seqs!$A:$B,2,FALSE),AU68,1),"")</f>
        <v>L</v>
      </c>
      <c r="AU68" s="3">
        <v>274</v>
      </c>
      <c r="AV68" s="3" t="str">
        <f>IFERROR(MID(VLOOKUP($B68,Seqs!$A:$B,2,FALSE),AW68,1),"")</f>
        <v/>
      </c>
      <c r="AW68" s="3" t="s">
        <v>129</v>
      </c>
      <c r="AX68" s="3" t="str">
        <f>IFERROR(MID(VLOOKUP($B68,Seqs!$A:$B,2,FALSE),AY68,1),"")</f>
        <v/>
      </c>
      <c r="AY68" s="3" t="s">
        <v>129</v>
      </c>
      <c r="AZ68" s="83" t="str">
        <f>VLOOKUP(B68,Classification!A:D,2,FALSE)</f>
        <v>A</v>
      </c>
      <c r="BC68" s="57">
        <f t="shared" si="88"/>
        <v>226</v>
      </c>
      <c r="BD68" s="63" t="b">
        <f t="shared" si="89"/>
        <v>1</v>
      </c>
      <c r="BE68" s="68" t="s">
        <v>1514</v>
      </c>
      <c r="BF68" s="75" t="s">
        <v>1514</v>
      </c>
      <c r="BG68" s="75" t="s">
        <v>1514</v>
      </c>
      <c r="BH68" s="75" t="s">
        <v>1514</v>
      </c>
      <c r="BI68" s="75" t="s">
        <v>1514</v>
      </c>
      <c r="BJ68" s="75" t="s">
        <v>1514</v>
      </c>
      <c r="BK68" s="75" t="s">
        <v>1514</v>
      </c>
      <c r="BL68" s="75" t="s">
        <v>1514</v>
      </c>
      <c r="BM68" s="75" t="s">
        <v>1514</v>
      </c>
      <c r="BN68" s="75" t="s">
        <v>1514</v>
      </c>
      <c r="BO68" s="75" t="s">
        <v>1514</v>
      </c>
      <c r="BP68" s="75" t="s">
        <v>1514</v>
      </c>
      <c r="BQ68" s="68">
        <f t="shared" si="90"/>
        <v>6</v>
      </c>
      <c r="BR68" s="69" t="str">
        <f t="shared" si="91"/>
        <v>-</v>
      </c>
      <c r="BS68" s="70">
        <f t="shared" si="92"/>
        <v>39</v>
      </c>
      <c r="BT68" s="69">
        <f t="shared" si="93"/>
        <v>71</v>
      </c>
      <c r="BU68" s="70">
        <f t="shared" si="94"/>
        <v>75</v>
      </c>
      <c r="BV68" s="69" t="str">
        <f t="shared" si="95"/>
        <v>-</v>
      </c>
      <c r="BW68" s="70">
        <f t="shared" si="96"/>
        <v>120</v>
      </c>
      <c r="BX68" s="69">
        <f t="shared" si="97"/>
        <v>170</v>
      </c>
      <c r="BY68" s="70">
        <f t="shared" si="98"/>
        <v>176</v>
      </c>
      <c r="BZ68" s="69">
        <f t="shared" si="99"/>
        <v>214</v>
      </c>
      <c r="CA68" s="70">
        <f t="shared" si="100"/>
        <v>255</v>
      </c>
      <c r="CB68" s="69" t="str">
        <f t="shared" si="101"/>
        <v>-</v>
      </c>
      <c r="CC68" s="68">
        <f t="shared" si="102"/>
        <v>37</v>
      </c>
      <c r="CD68" s="69" t="str">
        <f t="shared" si="103"/>
        <v>-</v>
      </c>
      <c r="CE68" s="70">
        <f t="shared" si="104"/>
        <v>68</v>
      </c>
      <c r="CF68" s="70">
        <f t="shared" si="105"/>
        <v>74</v>
      </c>
      <c r="CG68" s="70">
        <f t="shared" si="106"/>
        <v>110</v>
      </c>
      <c r="CH68" s="70" t="str">
        <f t="shared" si="107"/>
        <v>-</v>
      </c>
      <c r="CI68" s="70">
        <f t="shared" si="108"/>
        <v>145</v>
      </c>
      <c r="CJ68" s="70">
        <f t="shared" si="109"/>
        <v>172</v>
      </c>
      <c r="CK68" s="70">
        <f t="shared" si="110"/>
        <v>210</v>
      </c>
      <c r="CL68" s="70">
        <f t="shared" si="111"/>
        <v>250</v>
      </c>
      <c r="CM68" s="70">
        <f t="shared" si="112"/>
        <v>274</v>
      </c>
      <c r="CN68" s="70" t="str">
        <f t="shared" si="113"/>
        <v>-</v>
      </c>
      <c r="CO68" s="57" t="e">
        <f t="shared" si="114"/>
        <v>#VALUE!</v>
      </c>
    </row>
    <row r="69" spans="1:93" x14ac:dyDescent="0.2">
      <c r="A69" s="3" t="str">
        <f t="shared" ref="A69:A100" si="115">CONCATENATE(B69,"_",C69)</f>
        <v>hrh1_human__wt</v>
      </c>
      <c r="B69" s="3" t="s">
        <v>472</v>
      </c>
      <c r="C69" s="3" t="s">
        <v>294</v>
      </c>
      <c r="D69" s="3" t="str">
        <f>IFERROR(MID(VLOOKUP($B69,Seqs!$A:$B,2,FALSE),E69,1),"")</f>
        <v>P</v>
      </c>
      <c r="E69" s="3">
        <v>29</v>
      </c>
      <c r="F69" s="3" t="str">
        <f>IFERROR(MID(VLOOKUP($B69,Seqs!$A:$B,2,FALSE),G69,1),"")</f>
        <v>E</v>
      </c>
      <c r="G69" s="3">
        <v>55</v>
      </c>
      <c r="H69" s="3" t="str">
        <f>IFERROR(MID(VLOOKUP($B69,Seqs!$A:$B,2,FALSE),I69,1),"")</f>
        <v>R</v>
      </c>
      <c r="I69" s="57">
        <v>56</v>
      </c>
      <c r="J69" s="3" t="str">
        <f>IFERROR(MID(VLOOKUP($B69,Seqs!$A:$B,2,FALSE),K69,1),"")</f>
        <v>H</v>
      </c>
      <c r="K69" s="57">
        <v>59</v>
      </c>
      <c r="L69" s="3" t="str">
        <f>IFERROR(MID(VLOOKUP($B69,Seqs!$A:$B,2,FALSE),M69,1),"")</f>
        <v>T</v>
      </c>
      <c r="M69" s="3">
        <v>60</v>
      </c>
      <c r="N69" s="3" t="str">
        <f>IFERROR(MID(VLOOKUP($B69,Seqs!$A:$B,2,FALSE),O69,1),"")</f>
        <v>M</v>
      </c>
      <c r="O69" s="3">
        <v>90</v>
      </c>
      <c r="P69" s="3" t="str">
        <f>IFERROR(MID(VLOOKUP($B69,Seqs!$A:$B,2,FALSE),Q69,1),"")</f>
        <v>K</v>
      </c>
      <c r="Q69" s="3">
        <v>92</v>
      </c>
      <c r="R69" s="3" t="str">
        <f>IFERROR(MID(VLOOKUP($B69,Seqs!$A:$B,2,FALSE),S69,1),"")</f>
        <v>L</v>
      </c>
      <c r="S69" s="3">
        <v>95</v>
      </c>
      <c r="T69" s="3" t="str">
        <f>IFERROR(MID(VLOOKUP($B69,Seqs!$A:$B,2,FALSE),U69,1),"")</f>
        <v>G</v>
      </c>
      <c r="U69" s="3">
        <v>96</v>
      </c>
      <c r="V69" s="3" t="str">
        <f>IFERROR(MID(VLOOKUP($B69,Seqs!$A:$B,2,FALSE),W69,1),"")</f>
        <v>Q</v>
      </c>
      <c r="W69" s="3">
        <v>131</v>
      </c>
      <c r="X69" s="3" t="str">
        <f>IFERROR(MID(VLOOKUP($B69,Seqs!$A:$B,2,FALSE),Y69,1),"")</f>
        <v>P</v>
      </c>
      <c r="Y69" s="3">
        <v>132</v>
      </c>
      <c r="Z69" s="3" t="str">
        <f>IFERROR(MID(VLOOKUP($B69,Seqs!$A:$B,2,FALSE),AA69,1),"")</f>
        <v>R</v>
      </c>
      <c r="AA69" s="3">
        <v>139</v>
      </c>
      <c r="AB69" s="3" t="str">
        <f>IFERROR(MID(VLOOKUP($B69,Seqs!$A:$B,2,FALSE),AC69,1),"")</f>
        <v>K</v>
      </c>
      <c r="AC69" s="3">
        <v>141</v>
      </c>
      <c r="AD69" s="3" t="str">
        <f>IFERROR(MID(VLOOKUP($B69,Seqs!$A:$B,2,FALSE),AE69,1),"")</f>
        <v>G</v>
      </c>
      <c r="AE69" s="3">
        <v>164</v>
      </c>
      <c r="AF69" s="3" t="str">
        <f>IFERROR(MID(VLOOKUP($B69,Seqs!$A:$B,2,FALSE),AG69,1),"")</f>
        <v>C</v>
      </c>
      <c r="AG69" s="3">
        <v>180</v>
      </c>
      <c r="AH69" s="3" t="str">
        <f>IFERROR(MID(VLOOKUP($B69,Seqs!$A:$B,2,FALSE),AI69,1),"")</f>
        <v>T</v>
      </c>
      <c r="AI69" s="3">
        <v>182</v>
      </c>
      <c r="AJ69" s="3" t="str">
        <f>IFERROR(MID(VLOOKUP($B69,Seqs!$A:$B,2,FALSE),AK69,1),"")</f>
        <v>V</v>
      </c>
      <c r="AK69" s="3">
        <v>187</v>
      </c>
      <c r="AL69" s="3" t="str">
        <f>IFERROR(MID(VLOOKUP($B69,Seqs!$A:$B,2,FALSE),AM69,1),"")</f>
        <v>N</v>
      </c>
      <c r="AM69" s="3">
        <v>228</v>
      </c>
      <c r="AN69" s="3" t="str">
        <f>IFERROR(MID(VLOOKUP($B69,Seqs!$A:$B,2,FALSE),AO69,1),"")</f>
        <v>G</v>
      </c>
      <c r="AO69" s="3">
        <v>404</v>
      </c>
      <c r="AP69" s="3" t="str">
        <f>IFERROR(MID(VLOOKUP($B69,Seqs!$A:$B,2,FALSE),AQ69,1),"")</f>
        <v>C</v>
      </c>
      <c r="AQ69" s="3">
        <v>441</v>
      </c>
      <c r="AR69" s="3" t="str">
        <f>IFERROR(MID(VLOOKUP($B69,Seqs!$A:$B,2,FALSE),AS69,1),"")</f>
        <v>N</v>
      </c>
      <c r="AS69" s="3">
        <v>446</v>
      </c>
      <c r="AT69" s="3" t="str">
        <f>IFERROR(MID(VLOOKUP($B69,Seqs!$A:$B,2,FALSE),AU69,1),"")</f>
        <v>C</v>
      </c>
      <c r="AU69" s="3">
        <v>471</v>
      </c>
      <c r="AV69" s="3" t="str">
        <f>IFERROR(MID(VLOOKUP($B69,Seqs!$A:$B,2,FALSE),AW69,1),"")</f>
        <v>N</v>
      </c>
      <c r="AW69" s="3">
        <v>472</v>
      </c>
      <c r="AX69" s="3" t="str">
        <f>IFERROR(MID(VLOOKUP($B69,Seqs!$A:$B,2,FALSE),AY69,1),"")</f>
        <v>H</v>
      </c>
      <c r="AY69" s="3">
        <v>484</v>
      </c>
      <c r="AZ69" s="83" t="str">
        <f>VLOOKUP(B69,Classification!A:D,2,FALSE)</f>
        <v>A</v>
      </c>
      <c r="BB69" s="82">
        <f>S69-Q69+1</f>
        <v>4</v>
      </c>
      <c r="BC69" s="57">
        <f t="shared" ref="BC69:BC100" si="116">_xlfn.AGGREGATE(9,6,CC69:CN69)-_xlfn.AGGREGATE(9,6,BQ69:CB69)+12</f>
        <v>256</v>
      </c>
      <c r="BD69" s="63" t="b">
        <f t="shared" ref="BD69:BD100" si="117">AND(E69&lt;G69,OR(G69&lt;I69,I69="-"),OR(I69&lt;K69,I69="-"),OR(K69&lt;M69,K69="-"),M69&lt;O69,OR(O69&lt;Q69,Q69="-"),OR(Q69&lt;S69,Q69="-"),OR(S69&lt;U69,S69="-"),U69&lt;W69,OR(W69&lt;Y69,Y69="-"),OR(Y69&lt;AA69,Y69="-"),OR(AA69&lt;AC69,AA69="-"),AC69&lt;AE69,OR(AE69&lt;AG69,AG69="-"),OR(AG69&lt;AI69,AG69="-"),OR(AI69&lt;AK69,AI69="-"),AK69&lt;AM69,AM69&lt;AO69,AO69&lt;AQ69,AQ69&lt;AS69,AS69&lt;AU69,OR(AU69&lt;AW69,AW69="-"),OR(AW69&lt;AY69,AW69="-"))</f>
        <v>1</v>
      </c>
      <c r="BE69" s="68" t="s">
        <v>1514</v>
      </c>
      <c r="BF69" s="75" t="s">
        <v>1514</v>
      </c>
      <c r="BG69" s="75" t="s">
        <v>1514</v>
      </c>
      <c r="BH69" s="75" t="s">
        <v>1514</v>
      </c>
      <c r="BI69" s="75" t="s">
        <v>1514</v>
      </c>
      <c r="BJ69" s="75" t="s">
        <v>1514</v>
      </c>
      <c r="BK69" s="75" t="s">
        <v>1514</v>
      </c>
      <c r="BL69" s="75" t="s">
        <v>1514</v>
      </c>
      <c r="BM69" s="75" t="s">
        <v>1514</v>
      </c>
      <c r="BN69" s="75" t="s">
        <v>1514</v>
      </c>
      <c r="BO69" s="75" t="s">
        <v>1514</v>
      </c>
      <c r="BP69" s="75" t="s">
        <v>1514</v>
      </c>
      <c r="BQ69" s="68">
        <f t="shared" si="90"/>
        <v>29</v>
      </c>
      <c r="BR69" s="69">
        <f t="shared" si="91"/>
        <v>56</v>
      </c>
      <c r="BS69" s="70">
        <f t="shared" si="92"/>
        <v>60</v>
      </c>
      <c r="BT69" s="69">
        <f t="shared" si="93"/>
        <v>92</v>
      </c>
      <c r="BU69" s="70">
        <f t="shared" si="94"/>
        <v>96</v>
      </c>
      <c r="BV69" s="69">
        <f t="shared" si="95"/>
        <v>132</v>
      </c>
      <c r="BW69" s="70">
        <f t="shared" si="96"/>
        <v>141</v>
      </c>
      <c r="BX69" s="69">
        <f t="shared" si="97"/>
        <v>180</v>
      </c>
      <c r="BY69" s="70">
        <f t="shared" si="98"/>
        <v>187</v>
      </c>
      <c r="BZ69" s="69">
        <f t="shared" si="99"/>
        <v>404</v>
      </c>
      <c r="CA69" s="70">
        <f t="shared" si="100"/>
        <v>446</v>
      </c>
      <c r="CB69" s="69">
        <f t="shared" si="101"/>
        <v>472</v>
      </c>
      <c r="CC69" s="68">
        <f t="shared" si="102"/>
        <v>55</v>
      </c>
      <c r="CD69" s="69">
        <f t="shared" si="103"/>
        <v>59</v>
      </c>
      <c r="CE69" s="70">
        <f t="shared" si="104"/>
        <v>90</v>
      </c>
      <c r="CF69" s="70">
        <f t="shared" si="105"/>
        <v>95</v>
      </c>
      <c r="CG69" s="70">
        <f t="shared" si="106"/>
        <v>131</v>
      </c>
      <c r="CH69" s="70">
        <f t="shared" si="107"/>
        <v>139</v>
      </c>
      <c r="CI69" s="70">
        <f t="shared" si="108"/>
        <v>164</v>
      </c>
      <c r="CJ69" s="70">
        <f t="shared" si="109"/>
        <v>182</v>
      </c>
      <c r="CK69" s="70">
        <f t="shared" si="110"/>
        <v>228</v>
      </c>
      <c r="CL69" s="70">
        <f t="shared" si="111"/>
        <v>441</v>
      </c>
      <c r="CM69" s="70">
        <f t="shared" si="112"/>
        <v>471</v>
      </c>
      <c r="CN69" s="70">
        <f t="shared" si="113"/>
        <v>484</v>
      </c>
      <c r="CO69" s="57">
        <f t="shared" si="114"/>
        <v>1</v>
      </c>
    </row>
    <row r="70" spans="1:93" x14ac:dyDescent="0.2">
      <c r="A70" s="3" t="str">
        <f t="shared" si="115"/>
        <v>hrh1_human_3RZE</v>
      </c>
      <c r="B70" s="3" t="s">
        <v>472</v>
      </c>
      <c r="C70" s="3" t="s">
        <v>264</v>
      </c>
      <c r="D70" s="3" t="str">
        <f>IFERROR(MID(VLOOKUP($B70,Seqs!$A:$B,2,FALSE),E70,1),"")</f>
        <v>V</v>
      </c>
      <c r="E70" s="3">
        <v>33</v>
      </c>
      <c r="F70" s="3" t="str">
        <f>IFERROR(MID(VLOOKUP($B70,Seqs!$A:$B,2,FALSE),G70,1),"")</f>
        <v>E</v>
      </c>
      <c r="G70" s="3">
        <v>55</v>
      </c>
      <c r="H70" s="3" t="str">
        <f>IFERROR(MID(VLOOKUP($B70,Seqs!$A:$B,2,FALSE),I70,1),"")</f>
        <v>R</v>
      </c>
      <c r="I70" s="57">
        <v>56</v>
      </c>
      <c r="J70" s="3" t="str">
        <f>IFERROR(MID(VLOOKUP($B70,Seqs!$A:$B,2,FALSE),K70,1),"")</f>
        <v>H</v>
      </c>
      <c r="K70" s="57">
        <v>59</v>
      </c>
      <c r="L70" s="3" t="str">
        <f>IFERROR(MID(VLOOKUP($B70,Seqs!$A:$B,2,FALSE),M70,1),"")</f>
        <v>T</v>
      </c>
      <c r="M70" s="3">
        <v>60</v>
      </c>
      <c r="N70" s="3" t="str">
        <f>IFERROR(MID(VLOOKUP($B70,Seqs!$A:$B,2,FALSE),O70,1),"")</f>
        <v>M</v>
      </c>
      <c r="O70" s="3">
        <v>90</v>
      </c>
      <c r="P70" s="3" t="str">
        <f>IFERROR(MID(VLOOKUP($B70,Seqs!$A:$B,2,FALSE),Q70,1),"")</f>
        <v>K</v>
      </c>
      <c r="Q70" s="3">
        <v>92</v>
      </c>
      <c r="R70" s="3" t="str">
        <f>IFERROR(MID(VLOOKUP($B70,Seqs!$A:$B,2,FALSE),S70,1),"")</f>
        <v>L</v>
      </c>
      <c r="S70" s="3">
        <v>95</v>
      </c>
      <c r="T70" s="3" t="str">
        <f>IFERROR(MID(VLOOKUP($B70,Seqs!$A:$B,2,FALSE),U70,1),"")</f>
        <v>G</v>
      </c>
      <c r="U70" s="3">
        <v>96</v>
      </c>
      <c r="V70" s="3" t="str">
        <f>IFERROR(MID(VLOOKUP($B70,Seqs!$A:$B,2,FALSE),W70,1),"")</f>
        <v>Q</v>
      </c>
      <c r="W70" s="3">
        <v>131</v>
      </c>
      <c r="X70" s="3" t="str">
        <f>IFERROR(MID(VLOOKUP($B70,Seqs!$A:$B,2,FALSE),Y70,1),"")</f>
        <v/>
      </c>
      <c r="Y70" s="3" t="s">
        <v>129</v>
      </c>
      <c r="Z70" s="3" t="str">
        <f>IFERROR(MID(VLOOKUP($B70,Seqs!$A:$B,2,FALSE),AA70,1),"")</f>
        <v/>
      </c>
      <c r="AA70" s="3" t="s">
        <v>129</v>
      </c>
      <c r="AB70" s="3" t="str">
        <f>IFERROR(MID(VLOOKUP($B70,Seqs!$A:$B,2,FALSE),AC70,1),"")</f>
        <v>K</v>
      </c>
      <c r="AC70" s="3">
        <v>141</v>
      </c>
      <c r="AD70" s="3" t="str">
        <f>IFERROR(MID(VLOOKUP($B70,Seqs!$A:$B,2,FALSE),AE70,1),"")</f>
        <v>G</v>
      </c>
      <c r="AE70" s="3">
        <v>164</v>
      </c>
      <c r="AF70" s="3" t="str">
        <f>IFERROR(MID(VLOOKUP($B70,Seqs!$A:$B,2,FALSE),AG70,1),"")</f>
        <v>C</v>
      </c>
      <c r="AG70" s="3">
        <v>180</v>
      </c>
      <c r="AH70" s="3" t="str">
        <f>IFERROR(MID(VLOOKUP($B70,Seqs!$A:$B,2,FALSE),AI70,1),"")</f>
        <v>T</v>
      </c>
      <c r="AI70" s="3">
        <v>182</v>
      </c>
      <c r="AJ70" s="3" t="str">
        <f>IFERROR(MID(VLOOKUP($B70,Seqs!$A:$B,2,FALSE),AK70,1),"")</f>
        <v>V</v>
      </c>
      <c r="AK70" s="3">
        <v>187</v>
      </c>
      <c r="AL70" s="3" t="str">
        <f>IFERROR(MID(VLOOKUP($B70,Seqs!$A:$B,2,FALSE),AM70,1),"")</f>
        <v>V</v>
      </c>
      <c r="AM70" s="3">
        <v>217</v>
      </c>
      <c r="AN70" s="3" t="str">
        <f>IFERROR(MID(VLOOKUP($B70,Seqs!$A:$B,2,FALSE),AO70,1),"")</f>
        <v>N</v>
      </c>
      <c r="AO70" s="3">
        <v>408</v>
      </c>
      <c r="AP70" s="3" t="str">
        <f>IFERROR(MID(VLOOKUP($B70,Seqs!$A:$B,2,FALSE),AQ70,1),"")</f>
        <v>C</v>
      </c>
      <c r="AQ70" s="3">
        <v>441</v>
      </c>
      <c r="AR70" s="3" t="str">
        <f>IFERROR(MID(VLOOKUP($B70,Seqs!$A:$B,2,FALSE),AS70,1),"")</f>
        <v>N</v>
      </c>
      <c r="AS70" s="3">
        <v>446</v>
      </c>
      <c r="AT70" s="3" t="str">
        <f>IFERROR(MID(VLOOKUP($B70,Seqs!$A:$B,2,FALSE),AU70,1),"")</f>
        <v>C</v>
      </c>
      <c r="AU70" s="3">
        <v>471</v>
      </c>
      <c r="AV70" s="3" t="str">
        <f>IFERROR(MID(VLOOKUP($B70,Seqs!$A:$B,2,FALSE),AW70,1),"")</f>
        <v>N</v>
      </c>
      <c r="AW70" s="3">
        <v>472</v>
      </c>
      <c r="AX70" s="3" t="str">
        <f>IFERROR(MID(VLOOKUP($B70,Seqs!$A:$B,2,FALSE),AY70,1),"")</f>
        <v>H</v>
      </c>
      <c r="AY70" s="3">
        <v>484</v>
      </c>
      <c r="AZ70" s="83" t="str">
        <f>VLOOKUP(B70,Classification!A:D,2,FALSE)</f>
        <v>A</v>
      </c>
      <c r="BC70" s="57">
        <f t="shared" si="116"/>
        <v>230</v>
      </c>
      <c r="BD70" s="63" t="b">
        <f t="shared" si="117"/>
        <v>1</v>
      </c>
      <c r="BE70" s="68" t="s">
        <v>1514</v>
      </c>
      <c r="BF70" s="75" t="s">
        <v>1514</v>
      </c>
      <c r="BG70" s="75" t="s">
        <v>1514</v>
      </c>
      <c r="BH70" s="75" t="s">
        <v>1514</v>
      </c>
      <c r="BI70" s="75" t="s">
        <v>1514</v>
      </c>
      <c r="BJ70" s="75" t="s">
        <v>1514</v>
      </c>
      <c r="BK70" s="75" t="s">
        <v>1514</v>
      </c>
      <c r="BL70" s="75" t="s">
        <v>1514</v>
      </c>
      <c r="BM70" s="75" t="s">
        <v>1514</v>
      </c>
      <c r="BN70" s="75" t="s">
        <v>1514</v>
      </c>
      <c r="BO70" s="75" t="s">
        <v>1514</v>
      </c>
      <c r="BP70" s="75" t="s">
        <v>1514</v>
      </c>
      <c r="BQ70" s="68">
        <f t="shared" si="90"/>
        <v>33</v>
      </c>
      <c r="BR70" s="69">
        <f t="shared" si="91"/>
        <v>56</v>
      </c>
      <c r="BS70" s="70">
        <f t="shared" si="92"/>
        <v>60</v>
      </c>
      <c r="BT70" s="69">
        <f t="shared" si="93"/>
        <v>92</v>
      </c>
      <c r="BU70" s="70">
        <f t="shared" si="94"/>
        <v>96</v>
      </c>
      <c r="BV70" s="69" t="str">
        <f t="shared" si="95"/>
        <v>-</v>
      </c>
      <c r="BW70" s="70">
        <f t="shared" si="96"/>
        <v>141</v>
      </c>
      <c r="BX70" s="69">
        <f t="shared" si="97"/>
        <v>180</v>
      </c>
      <c r="BY70" s="70">
        <f t="shared" si="98"/>
        <v>187</v>
      </c>
      <c r="BZ70" s="69">
        <f t="shared" si="99"/>
        <v>408</v>
      </c>
      <c r="CA70" s="70">
        <f t="shared" si="100"/>
        <v>446</v>
      </c>
      <c r="CB70" s="69">
        <f t="shared" si="101"/>
        <v>472</v>
      </c>
      <c r="CC70" s="68">
        <f t="shared" si="102"/>
        <v>55</v>
      </c>
      <c r="CD70" s="69">
        <f t="shared" si="103"/>
        <v>59</v>
      </c>
      <c r="CE70" s="70">
        <f t="shared" si="104"/>
        <v>90</v>
      </c>
      <c r="CF70" s="70">
        <f t="shared" si="105"/>
        <v>95</v>
      </c>
      <c r="CG70" s="70">
        <f t="shared" si="106"/>
        <v>131</v>
      </c>
      <c r="CH70" s="70" t="str">
        <f t="shared" si="107"/>
        <v>-</v>
      </c>
      <c r="CI70" s="70">
        <f t="shared" si="108"/>
        <v>164</v>
      </c>
      <c r="CJ70" s="70">
        <f t="shared" si="109"/>
        <v>182</v>
      </c>
      <c r="CK70" s="70">
        <f t="shared" si="110"/>
        <v>217</v>
      </c>
      <c r="CL70" s="70">
        <f t="shared" si="111"/>
        <v>441</v>
      </c>
      <c r="CM70" s="70">
        <f t="shared" si="112"/>
        <v>471</v>
      </c>
      <c r="CN70" s="70">
        <f t="shared" si="113"/>
        <v>484</v>
      </c>
      <c r="CO70" s="57">
        <f t="shared" si="114"/>
        <v>1</v>
      </c>
    </row>
    <row r="71" spans="1:93" x14ac:dyDescent="0.2">
      <c r="A71" s="3" t="str">
        <f t="shared" si="115"/>
        <v>lpar1_human__wt</v>
      </c>
      <c r="B71" s="3" t="s">
        <v>297</v>
      </c>
      <c r="C71" s="3" t="s">
        <v>294</v>
      </c>
      <c r="D71" s="3" t="str">
        <f>IFERROR(MID(VLOOKUP($B71,Seqs!$A:$B,2,FALSE),E71,1),"")</f>
        <v>T</v>
      </c>
      <c r="E71" s="3">
        <v>47</v>
      </c>
      <c r="F71" s="3" t="str">
        <f>IFERROR(MID(VLOOKUP($B71,Seqs!$A:$B,2,FALSE),G71,1),"")</f>
        <v>N</v>
      </c>
      <c r="G71" s="3">
        <v>77</v>
      </c>
      <c r="H71" s="3" t="str">
        <f>IFERROR(MID(VLOOKUP($B71,Seqs!$A:$B,2,FALSE),I71,1),"")</f>
        <v>R</v>
      </c>
      <c r="I71" s="57">
        <v>78</v>
      </c>
      <c r="J71" s="3" t="str">
        <f>IFERROR(MID(VLOOKUP($B71,Seqs!$A:$B,2,FALSE),K71,1),"")</f>
        <v>H</v>
      </c>
      <c r="K71" s="57">
        <v>81</v>
      </c>
      <c r="L71" s="3" t="str">
        <f>IFERROR(MID(VLOOKUP($B71,Seqs!$A:$B,2,FALSE),M71,1),"")</f>
        <v>F</v>
      </c>
      <c r="M71" s="3">
        <v>82</v>
      </c>
      <c r="N71" s="3" t="str">
        <f>IFERROR(MID(VLOOKUP($B71,Seqs!$A:$B,2,FALSE),O71,1),"")</f>
        <v>N</v>
      </c>
      <c r="O71" s="3">
        <v>108</v>
      </c>
      <c r="P71" s="3" t="str">
        <f>IFERROR(MID(VLOOKUP($B71,Seqs!$A:$B,2,FALSE),Q71,1),"")</f>
        <v>G</v>
      </c>
      <c r="Q71" s="3">
        <v>110</v>
      </c>
      <c r="R71" s="3" t="str">
        <f>IFERROR(MID(VLOOKUP($B71,Seqs!$A:$B,2,FALSE),S71,1),"")</f>
        <v>L</v>
      </c>
      <c r="S71" s="3">
        <v>116</v>
      </c>
      <c r="T71" s="3" t="str">
        <f>IFERROR(MID(VLOOKUP($B71,Seqs!$A:$B,2,FALSE),U71,1),"")</f>
        <v>T</v>
      </c>
      <c r="U71" s="3">
        <v>117</v>
      </c>
      <c r="V71" s="3" t="str">
        <f>IFERROR(MID(VLOOKUP($B71,Seqs!$A:$B,2,FALSE),W71,1),"")</f>
        <v>R</v>
      </c>
      <c r="W71" s="3">
        <v>152</v>
      </c>
      <c r="X71" s="3" t="str">
        <f>IFERROR(MID(VLOOKUP($B71,Seqs!$A:$B,2,FALSE),Y71,1),"")</f>
        <v>M</v>
      </c>
      <c r="Y71" s="3">
        <v>153</v>
      </c>
      <c r="Z71" s="3" t="str">
        <f>IFERROR(MID(VLOOKUP($B71,Seqs!$A:$B,2,FALSE),AA71,1),"")</f>
        <v>S</v>
      </c>
      <c r="AA71" s="3">
        <v>160</v>
      </c>
      <c r="AB71" s="3" t="str">
        <f>IFERROR(MID(VLOOKUP($B71,Seqs!$A:$B,2,FALSE),AC71,1),"")</f>
        <v>N</v>
      </c>
      <c r="AC71" s="3">
        <v>161</v>
      </c>
      <c r="AD71" s="3" t="str">
        <f>IFERROR(MID(VLOOKUP($B71,Seqs!$A:$B,2,FALSE),AE71,1),"")</f>
        <v>G</v>
      </c>
      <c r="AE71" s="3">
        <v>185</v>
      </c>
      <c r="AF71" s="3" t="str">
        <f>IFERROR(MID(VLOOKUP($B71,Seqs!$A:$B,2,FALSE),AG71,1),"")</f>
        <v/>
      </c>
      <c r="AG71" s="3" t="s">
        <v>129</v>
      </c>
      <c r="AH71" s="3" t="str">
        <f>IFERROR(MID(VLOOKUP($B71,Seqs!$A:$B,2,FALSE),AI71,1),"")</f>
        <v/>
      </c>
      <c r="AI71" s="3" t="s">
        <v>129</v>
      </c>
      <c r="AJ71" s="3" t="str">
        <f>IFERROR(MID(VLOOKUP($B71,Seqs!$A:$B,2,FALSE),AK71,1),"")</f>
        <v>S</v>
      </c>
      <c r="AK71" s="3">
        <v>203</v>
      </c>
      <c r="AL71" s="3" t="str">
        <f>IFERROR(MID(VLOOKUP($B71,Seqs!$A:$B,2,FALSE),AM71,1),"")</f>
        <v>S</v>
      </c>
      <c r="AM71" s="3">
        <v>240</v>
      </c>
      <c r="AN71" s="3" t="str">
        <f>IFERROR(MID(VLOOKUP($B71,Seqs!$A:$B,2,FALSE),AO71,1),"")</f>
        <v>G</v>
      </c>
      <c r="AO71" s="3">
        <v>245</v>
      </c>
      <c r="AP71" s="3" t="str">
        <f>IFERROR(MID(VLOOKUP($B71,Seqs!$A:$B,2,FALSE),AQ71,1),"")</f>
        <v>C</v>
      </c>
      <c r="AQ71" s="3">
        <v>284</v>
      </c>
      <c r="AR71" s="3" t="str">
        <f>IFERROR(MID(VLOOKUP($B71,Seqs!$A:$B,2,FALSE),AS71,1),"")</f>
        <v>D</v>
      </c>
      <c r="AS71" s="3">
        <v>288</v>
      </c>
      <c r="AT71" s="3" t="str">
        <f>IFERROR(MID(VLOOKUP($B71,Seqs!$A:$B,2,FALSE),AU71,1),"")</f>
        <v>R</v>
      </c>
      <c r="AU71" s="3">
        <v>314</v>
      </c>
      <c r="AV71" s="3" t="str">
        <f>IFERROR(MID(VLOOKUP($B71,Seqs!$A:$B,2,FALSE),AW71,1),"")</f>
        <v>D</v>
      </c>
      <c r="AW71" s="3">
        <v>315</v>
      </c>
      <c r="AX71" s="3" t="str">
        <f>IFERROR(MID(VLOOKUP($B71,Seqs!$A:$B,2,FALSE),AY71,1),"")</f>
        <v>C</v>
      </c>
      <c r="AY71" s="3">
        <v>327</v>
      </c>
      <c r="AZ71" s="83" t="str">
        <f>VLOOKUP(B71,Classification!A:D,2,FALSE)</f>
        <v>A</v>
      </c>
      <c r="BB71" s="82">
        <f>S71-Q71+1</f>
        <v>7</v>
      </c>
      <c r="BC71" s="57">
        <f t="shared" si="116"/>
        <v>257</v>
      </c>
      <c r="BD71" s="63" t="b">
        <f t="shared" si="117"/>
        <v>1</v>
      </c>
      <c r="BE71" s="68" t="s">
        <v>1514</v>
      </c>
      <c r="BF71" s="75" t="s">
        <v>1514</v>
      </c>
      <c r="BG71" s="75" t="s">
        <v>1514</v>
      </c>
      <c r="BH71" s="75" t="s">
        <v>1514</v>
      </c>
      <c r="BI71" s="75" t="s">
        <v>1514</v>
      </c>
      <c r="BJ71" s="75" t="s">
        <v>1514</v>
      </c>
      <c r="BK71" s="75" t="s">
        <v>1514</v>
      </c>
      <c r="BL71" s="75" t="s">
        <v>1514</v>
      </c>
      <c r="BM71" s="75" t="s">
        <v>1514</v>
      </c>
      <c r="BN71" s="75" t="s">
        <v>1514</v>
      </c>
      <c r="BO71" s="75" t="s">
        <v>1514</v>
      </c>
      <c r="BP71" s="75" t="s">
        <v>1514</v>
      </c>
      <c r="BQ71" s="68">
        <f t="shared" si="90"/>
        <v>47</v>
      </c>
      <c r="BR71" s="69">
        <f t="shared" si="91"/>
        <v>78</v>
      </c>
      <c r="BS71" s="70">
        <f t="shared" si="92"/>
        <v>82</v>
      </c>
      <c r="BT71" s="69">
        <f t="shared" si="93"/>
        <v>110</v>
      </c>
      <c r="BU71" s="70">
        <f t="shared" si="94"/>
        <v>117</v>
      </c>
      <c r="BV71" s="69">
        <f t="shared" si="95"/>
        <v>153</v>
      </c>
      <c r="BW71" s="70">
        <f t="shared" si="96"/>
        <v>161</v>
      </c>
      <c r="BX71" s="69" t="str">
        <f t="shared" si="97"/>
        <v>-</v>
      </c>
      <c r="BY71" s="70">
        <f t="shared" si="98"/>
        <v>203</v>
      </c>
      <c r="BZ71" s="69">
        <f t="shared" si="99"/>
        <v>245</v>
      </c>
      <c r="CA71" s="70">
        <f t="shared" si="100"/>
        <v>288</v>
      </c>
      <c r="CB71" s="69">
        <f t="shared" si="101"/>
        <v>315</v>
      </c>
      <c r="CC71" s="68">
        <f t="shared" si="102"/>
        <v>77</v>
      </c>
      <c r="CD71" s="69">
        <f t="shared" si="103"/>
        <v>81</v>
      </c>
      <c r="CE71" s="70">
        <f t="shared" si="104"/>
        <v>108</v>
      </c>
      <c r="CF71" s="70">
        <f t="shared" si="105"/>
        <v>116</v>
      </c>
      <c r="CG71" s="70">
        <f t="shared" si="106"/>
        <v>152</v>
      </c>
      <c r="CH71" s="70">
        <f t="shared" si="107"/>
        <v>160</v>
      </c>
      <c r="CI71" s="70">
        <f t="shared" si="108"/>
        <v>185</v>
      </c>
      <c r="CJ71" s="70" t="str">
        <f t="shared" si="109"/>
        <v>-</v>
      </c>
      <c r="CK71" s="70">
        <f t="shared" si="110"/>
        <v>240</v>
      </c>
      <c r="CL71" s="70">
        <f t="shared" si="111"/>
        <v>284</v>
      </c>
      <c r="CM71" s="70">
        <f t="shared" si="112"/>
        <v>314</v>
      </c>
      <c r="CN71" s="70">
        <f t="shared" si="113"/>
        <v>327</v>
      </c>
      <c r="CO71" s="57">
        <f t="shared" si="114"/>
        <v>1</v>
      </c>
    </row>
    <row r="72" spans="1:93" x14ac:dyDescent="0.2">
      <c r="A72" s="3" t="str">
        <f t="shared" si="115"/>
        <v>lpar1_human_4Z34</v>
      </c>
      <c r="B72" s="3" t="s">
        <v>297</v>
      </c>
      <c r="C72" s="3" t="s">
        <v>1263</v>
      </c>
      <c r="D72" s="3" t="str">
        <f>IFERROR(MID(VLOOKUP($B72,Seqs!$A:$B,2,FALSE),E72,1),"")</f>
        <v>T</v>
      </c>
      <c r="E72" s="3">
        <v>47</v>
      </c>
      <c r="F72" s="3" t="str">
        <f>IFERROR(MID(VLOOKUP($B72,Seqs!$A:$B,2,FALSE),G72,1),"")</f>
        <v>N</v>
      </c>
      <c r="G72" s="3">
        <v>77</v>
      </c>
      <c r="H72" s="3" t="str">
        <f>IFERROR(MID(VLOOKUP($B72,Seqs!$A:$B,2,FALSE),I72,1),"")</f>
        <v>R</v>
      </c>
      <c r="I72" s="57">
        <v>78</v>
      </c>
      <c r="J72" s="3" t="str">
        <f>IFERROR(MID(VLOOKUP($B72,Seqs!$A:$B,2,FALSE),K72,1),"")</f>
        <v>H</v>
      </c>
      <c r="K72" s="57">
        <v>81</v>
      </c>
      <c r="L72" s="3" t="str">
        <f>IFERROR(MID(VLOOKUP($B72,Seqs!$A:$B,2,FALSE),M72,1),"")</f>
        <v>F</v>
      </c>
      <c r="M72" s="3">
        <v>82</v>
      </c>
      <c r="N72" s="3" t="str">
        <f>IFERROR(MID(VLOOKUP($B72,Seqs!$A:$B,2,FALSE),O72,1),"")</f>
        <v>N</v>
      </c>
      <c r="O72" s="3">
        <v>108</v>
      </c>
      <c r="P72" s="3" t="str">
        <f>IFERROR(MID(VLOOKUP($B72,Seqs!$A:$B,2,FALSE),Q72,1),"")</f>
        <v>G</v>
      </c>
      <c r="Q72" s="3">
        <v>110</v>
      </c>
      <c r="R72" s="3" t="str">
        <f>IFERROR(MID(VLOOKUP($B72,Seqs!$A:$B,2,FALSE),S72,1),"")</f>
        <v>L</v>
      </c>
      <c r="S72" s="3">
        <v>116</v>
      </c>
      <c r="T72" s="3" t="str">
        <f>IFERROR(MID(VLOOKUP($B72,Seqs!$A:$B,2,FALSE),U72,1),"")</f>
        <v>T</v>
      </c>
      <c r="U72" s="3">
        <v>117</v>
      </c>
      <c r="V72" s="3" t="str">
        <f>IFERROR(MID(VLOOKUP($B72,Seqs!$A:$B,2,FALSE),W72,1),"")</f>
        <v>R</v>
      </c>
      <c r="W72" s="3">
        <v>152</v>
      </c>
      <c r="X72" s="3" t="str">
        <f>IFERROR(MID(VLOOKUP($B72,Seqs!$A:$B,2,FALSE),Y72,1),"")</f>
        <v/>
      </c>
      <c r="Y72" s="3" t="s">
        <v>129</v>
      </c>
      <c r="Z72" s="3" t="str">
        <f>IFERROR(MID(VLOOKUP($B72,Seqs!$A:$B,2,FALSE),AA72,1),"")</f>
        <v/>
      </c>
      <c r="AA72" s="3" t="s">
        <v>129</v>
      </c>
      <c r="AB72" s="3" t="str">
        <f>IFERROR(MID(VLOOKUP($B72,Seqs!$A:$B,2,FALSE),AC72,1),"")</f>
        <v>R</v>
      </c>
      <c r="AC72" s="3">
        <v>158</v>
      </c>
      <c r="AD72" s="3" t="str">
        <f>IFERROR(MID(VLOOKUP($B72,Seqs!$A:$B,2,FALSE),AE72,1),"")</f>
        <v>G</v>
      </c>
      <c r="AE72" s="3">
        <v>185</v>
      </c>
      <c r="AF72" s="3" t="str">
        <f>IFERROR(MID(VLOOKUP($B72,Seqs!$A:$B,2,FALSE),AG72,1),"")</f>
        <v/>
      </c>
      <c r="AG72" s="3" t="s">
        <v>129</v>
      </c>
      <c r="AH72" s="3" t="str">
        <f>IFERROR(MID(VLOOKUP($B72,Seqs!$A:$B,2,FALSE),AI72,1),"")</f>
        <v/>
      </c>
      <c r="AI72" s="3" t="s">
        <v>129</v>
      </c>
      <c r="AJ72" s="3" t="str">
        <f>IFERROR(MID(VLOOKUP($B72,Seqs!$A:$B,2,FALSE),AK72,1),"")</f>
        <v>S</v>
      </c>
      <c r="AK72" s="3">
        <v>203</v>
      </c>
      <c r="AL72" s="3" t="str">
        <f>IFERROR(MID(VLOOKUP($B72,Seqs!$A:$B,2,FALSE),AM72,1),"")</f>
        <v>R</v>
      </c>
      <c r="AM72" s="3">
        <v>235</v>
      </c>
      <c r="AN72" s="3" t="str">
        <f>IFERROR(MID(VLOOKUP($B72,Seqs!$A:$B,2,FALSE),AO72,1),"")</f>
        <v>G</v>
      </c>
      <c r="AO72" s="3">
        <v>245</v>
      </c>
      <c r="AP72" s="3" t="str">
        <f>IFERROR(MID(VLOOKUP($B72,Seqs!$A:$B,2,FALSE),AQ72,1),"")</f>
        <v>C</v>
      </c>
      <c r="AQ72" s="3">
        <v>284</v>
      </c>
      <c r="AR72" s="3" t="str">
        <f>IFERROR(MID(VLOOKUP($B72,Seqs!$A:$B,2,FALSE),AS72,1),"")</f>
        <v>E</v>
      </c>
      <c r="AS72" s="3">
        <v>293</v>
      </c>
      <c r="AT72" s="3" t="str">
        <f>IFERROR(MID(VLOOKUP($B72,Seqs!$A:$B,2,FALSE),AU72,1),"")</f>
        <v>R</v>
      </c>
      <c r="AU72" s="3">
        <v>314</v>
      </c>
      <c r="AV72" s="3" t="str">
        <f>IFERROR(MID(VLOOKUP($B72,Seqs!$A:$B,2,FALSE),AW72,1),"")</f>
        <v>D</v>
      </c>
      <c r="AW72" s="3">
        <v>315</v>
      </c>
      <c r="AX72" s="3" t="str">
        <f>IFERROR(MID(VLOOKUP($B72,Seqs!$A:$B,2,FALSE),AY72,1),"")</f>
        <v>C</v>
      </c>
      <c r="AY72" s="3">
        <v>327</v>
      </c>
      <c r="AZ72" s="83" t="str">
        <f>VLOOKUP(B72,Classification!A:D,2,FALSE)</f>
        <v>A</v>
      </c>
      <c r="BB72" s="35" t="s">
        <v>1315</v>
      </c>
      <c r="BC72" s="57">
        <f t="shared" si="116"/>
        <v>243</v>
      </c>
      <c r="BD72" s="63" t="b">
        <f t="shared" si="117"/>
        <v>1</v>
      </c>
      <c r="BE72" s="68" t="s">
        <v>1514</v>
      </c>
      <c r="BF72" s="75" t="s">
        <v>1514</v>
      </c>
      <c r="BG72" s="75" t="s">
        <v>1514</v>
      </c>
      <c r="BH72" s="75" t="s">
        <v>1514</v>
      </c>
      <c r="BI72" s="75" t="s">
        <v>1514</v>
      </c>
      <c r="BJ72" s="75" t="s">
        <v>1514</v>
      </c>
      <c r="BK72" s="75" t="s">
        <v>1514</v>
      </c>
      <c r="BL72" s="75" t="s">
        <v>1514</v>
      </c>
      <c r="BM72" s="75" t="s">
        <v>1514</v>
      </c>
      <c r="BN72" s="75" t="s">
        <v>1514</v>
      </c>
      <c r="BO72" s="75" t="s">
        <v>1514</v>
      </c>
      <c r="BP72" s="75" t="s">
        <v>1514</v>
      </c>
      <c r="BQ72" s="68">
        <f t="shared" si="90"/>
        <v>47</v>
      </c>
      <c r="BR72" s="69">
        <f t="shared" si="91"/>
        <v>78</v>
      </c>
      <c r="BS72" s="70">
        <f t="shared" si="92"/>
        <v>82</v>
      </c>
      <c r="BT72" s="69">
        <f t="shared" si="93"/>
        <v>110</v>
      </c>
      <c r="BU72" s="70">
        <f t="shared" si="94"/>
        <v>117</v>
      </c>
      <c r="BV72" s="69" t="str">
        <f t="shared" si="95"/>
        <v>-</v>
      </c>
      <c r="BW72" s="70">
        <f t="shared" si="96"/>
        <v>158</v>
      </c>
      <c r="BX72" s="69" t="str">
        <f t="shared" si="97"/>
        <v>-</v>
      </c>
      <c r="BY72" s="70">
        <f t="shared" si="98"/>
        <v>203</v>
      </c>
      <c r="BZ72" s="69">
        <f t="shared" si="99"/>
        <v>245</v>
      </c>
      <c r="CA72" s="70">
        <f t="shared" si="100"/>
        <v>293</v>
      </c>
      <c r="CB72" s="69">
        <f t="shared" si="101"/>
        <v>315</v>
      </c>
      <c r="CC72" s="68">
        <f t="shared" si="102"/>
        <v>77</v>
      </c>
      <c r="CD72" s="69">
        <f t="shared" si="103"/>
        <v>81</v>
      </c>
      <c r="CE72" s="70">
        <f t="shared" si="104"/>
        <v>108</v>
      </c>
      <c r="CF72" s="70">
        <f t="shared" si="105"/>
        <v>116</v>
      </c>
      <c r="CG72" s="70">
        <f t="shared" si="106"/>
        <v>152</v>
      </c>
      <c r="CH72" s="70" t="str">
        <f t="shared" si="107"/>
        <v>-</v>
      </c>
      <c r="CI72" s="70">
        <f t="shared" si="108"/>
        <v>185</v>
      </c>
      <c r="CJ72" s="70" t="str">
        <f t="shared" si="109"/>
        <v>-</v>
      </c>
      <c r="CK72" s="70">
        <f t="shared" si="110"/>
        <v>235</v>
      </c>
      <c r="CL72" s="70">
        <f t="shared" si="111"/>
        <v>284</v>
      </c>
      <c r="CM72" s="70">
        <f t="shared" si="112"/>
        <v>314</v>
      </c>
      <c r="CN72" s="70">
        <f t="shared" si="113"/>
        <v>327</v>
      </c>
      <c r="CO72" s="57">
        <f t="shared" si="114"/>
        <v>1</v>
      </c>
    </row>
    <row r="73" spans="1:93" x14ac:dyDescent="0.2">
      <c r="A73" s="3" t="str">
        <f t="shared" si="115"/>
        <v>lpar1_human_4Z35</v>
      </c>
      <c r="B73" s="3" t="s">
        <v>297</v>
      </c>
      <c r="C73" s="3" t="s">
        <v>281</v>
      </c>
      <c r="D73" s="3" t="str">
        <f>IFERROR(MID(VLOOKUP($B73,Seqs!$A:$B,2,FALSE),E73,1),"")</f>
        <v>T</v>
      </c>
      <c r="E73" s="3">
        <v>47</v>
      </c>
      <c r="F73" s="3" t="str">
        <f>IFERROR(MID(VLOOKUP($B73,Seqs!$A:$B,2,FALSE),G73,1),"")</f>
        <v>N</v>
      </c>
      <c r="G73" s="3">
        <v>77</v>
      </c>
      <c r="H73" s="3" t="str">
        <f>IFERROR(MID(VLOOKUP($B73,Seqs!$A:$B,2,FALSE),I73,1),"")</f>
        <v>R</v>
      </c>
      <c r="I73" s="57">
        <v>78</v>
      </c>
      <c r="J73" s="3" t="str">
        <f>IFERROR(MID(VLOOKUP($B73,Seqs!$A:$B,2,FALSE),K73,1),"")</f>
        <v>H</v>
      </c>
      <c r="K73" s="57">
        <v>81</v>
      </c>
      <c r="L73" s="3" t="str">
        <f>IFERROR(MID(VLOOKUP($B73,Seqs!$A:$B,2,FALSE),M73,1),"")</f>
        <v>F</v>
      </c>
      <c r="M73" s="3">
        <v>82</v>
      </c>
      <c r="N73" s="3" t="str">
        <f>IFERROR(MID(VLOOKUP($B73,Seqs!$A:$B,2,FALSE),O73,1),"")</f>
        <v>N</v>
      </c>
      <c r="O73" s="3">
        <v>108</v>
      </c>
      <c r="P73" s="3" t="str">
        <f>IFERROR(MID(VLOOKUP($B73,Seqs!$A:$B,2,FALSE),Q73,1),"")</f>
        <v>G</v>
      </c>
      <c r="Q73" s="3">
        <v>110</v>
      </c>
      <c r="R73" s="3" t="str">
        <f>IFERROR(MID(VLOOKUP($B73,Seqs!$A:$B,2,FALSE),S73,1),"")</f>
        <v>L</v>
      </c>
      <c r="S73" s="3">
        <v>116</v>
      </c>
      <c r="T73" s="3" t="str">
        <f>IFERROR(MID(VLOOKUP($B73,Seqs!$A:$B,2,FALSE),U73,1),"")</f>
        <v>T</v>
      </c>
      <c r="U73" s="3">
        <v>117</v>
      </c>
      <c r="V73" s="3" t="str">
        <f>IFERROR(MID(VLOOKUP($B73,Seqs!$A:$B,2,FALSE),W73,1),"")</f>
        <v>R</v>
      </c>
      <c r="W73" s="3">
        <v>152</v>
      </c>
      <c r="X73" s="3" t="str">
        <f>IFERROR(MID(VLOOKUP($B73,Seqs!$A:$B,2,FALSE),Y73,1),"")</f>
        <v/>
      </c>
      <c r="Y73" s="3" t="s">
        <v>129</v>
      </c>
      <c r="Z73" s="3" t="str">
        <f>IFERROR(MID(VLOOKUP($B73,Seqs!$A:$B,2,FALSE),AA73,1),"")</f>
        <v/>
      </c>
      <c r="AA73" s="3" t="s">
        <v>129</v>
      </c>
      <c r="AB73" s="3" t="str">
        <f>IFERROR(MID(VLOOKUP($B73,Seqs!$A:$B,2,FALSE),AC73,1),"")</f>
        <v>R</v>
      </c>
      <c r="AC73" s="3">
        <v>158</v>
      </c>
      <c r="AD73" s="3" t="str">
        <f>IFERROR(MID(VLOOKUP($B73,Seqs!$A:$B,2,FALSE),AE73,1),"")</f>
        <v>G</v>
      </c>
      <c r="AE73" s="3">
        <v>185</v>
      </c>
      <c r="AF73" s="3" t="str">
        <f>IFERROR(MID(VLOOKUP($B73,Seqs!$A:$B,2,FALSE),AG73,1),"")</f>
        <v/>
      </c>
      <c r="AG73" s="3" t="s">
        <v>129</v>
      </c>
      <c r="AH73" s="3" t="str">
        <f>IFERROR(MID(VLOOKUP($B73,Seqs!$A:$B,2,FALSE),AI73,1),"")</f>
        <v/>
      </c>
      <c r="AI73" s="3" t="s">
        <v>129</v>
      </c>
      <c r="AJ73" s="3" t="str">
        <f>IFERROR(MID(VLOOKUP($B73,Seqs!$A:$B,2,FALSE),AK73,1),"")</f>
        <v>S</v>
      </c>
      <c r="AK73" s="3">
        <v>203</v>
      </c>
      <c r="AL73" s="3" t="str">
        <f>IFERROR(MID(VLOOKUP($B73,Seqs!$A:$B,2,FALSE),AM73,1),"")</f>
        <v>R</v>
      </c>
      <c r="AM73" s="3">
        <v>235</v>
      </c>
      <c r="AN73" s="3" t="str">
        <f>IFERROR(MID(VLOOKUP($B73,Seqs!$A:$B,2,FALSE),AO73,1),"")</f>
        <v>G</v>
      </c>
      <c r="AO73" s="3">
        <v>245</v>
      </c>
      <c r="AP73" s="3" t="str">
        <f>IFERROR(MID(VLOOKUP($B73,Seqs!$A:$B,2,FALSE),AQ73,1),"")</f>
        <v>C</v>
      </c>
      <c r="AQ73" s="3">
        <v>284</v>
      </c>
      <c r="AR73" s="3" t="str">
        <f>IFERROR(MID(VLOOKUP($B73,Seqs!$A:$B,2,FALSE),AS73,1),"")</f>
        <v>E</v>
      </c>
      <c r="AS73" s="3">
        <v>293</v>
      </c>
      <c r="AT73" s="3" t="str">
        <f>IFERROR(MID(VLOOKUP($B73,Seqs!$A:$B,2,FALSE),AU73,1),"")</f>
        <v>R</v>
      </c>
      <c r="AU73" s="3">
        <v>314</v>
      </c>
      <c r="AV73" s="3" t="str">
        <f>IFERROR(MID(VLOOKUP($B73,Seqs!$A:$B,2,FALSE),AW73,1),"")</f>
        <v>D</v>
      </c>
      <c r="AW73" s="3">
        <v>315</v>
      </c>
      <c r="AX73" s="3" t="str">
        <f>IFERROR(MID(VLOOKUP($B73,Seqs!$A:$B,2,FALSE),AY73,1),"")</f>
        <v>C</v>
      </c>
      <c r="AY73" s="3">
        <v>327</v>
      </c>
      <c r="AZ73" s="83" t="str">
        <f>VLOOKUP(B73,Classification!A:D,2,FALSE)</f>
        <v>A</v>
      </c>
      <c r="BC73" s="57">
        <f t="shared" si="116"/>
        <v>243</v>
      </c>
      <c r="BD73" s="63" t="b">
        <f t="shared" si="117"/>
        <v>1</v>
      </c>
      <c r="BE73" s="68" t="s">
        <v>1514</v>
      </c>
      <c r="BF73" s="75" t="s">
        <v>1514</v>
      </c>
      <c r="BG73" s="75" t="s">
        <v>1514</v>
      </c>
      <c r="BH73" s="75" t="s">
        <v>1514</v>
      </c>
      <c r="BI73" s="75" t="s">
        <v>1514</v>
      </c>
      <c r="BJ73" s="75" t="s">
        <v>1514</v>
      </c>
      <c r="BK73" s="75" t="s">
        <v>1514</v>
      </c>
      <c r="BL73" s="75" t="s">
        <v>1514</v>
      </c>
      <c r="BM73" s="75" t="s">
        <v>1514</v>
      </c>
      <c r="BN73" s="75" t="s">
        <v>1514</v>
      </c>
      <c r="BO73" s="75" t="s">
        <v>1514</v>
      </c>
      <c r="BP73" s="75" t="s">
        <v>1514</v>
      </c>
      <c r="BQ73" s="68">
        <f t="shared" si="90"/>
        <v>47</v>
      </c>
      <c r="BR73" s="69">
        <f t="shared" si="91"/>
        <v>78</v>
      </c>
      <c r="BS73" s="70">
        <f t="shared" si="92"/>
        <v>82</v>
      </c>
      <c r="BT73" s="69">
        <f t="shared" si="93"/>
        <v>110</v>
      </c>
      <c r="BU73" s="70">
        <f t="shared" si="94"/>
        <v>117</v>
      </c>
      <c r="BV73" s="69" t="str">
        <f t="shared" si="95"/>
        <v>-</v>
      </c>
      <c r="BW73" s="70">
        <f t="shared" si="96"/>
        <v>158</v>
      </c>
      <c r="BX73" s="69" t="str">
        <f t="shared" si="97"/>
        <v>-</v>
      </c>
      <c r="BY73" s="70">
        <f t="shared" si="98"/>
        <v>203</v>
      </c>
      <c r="BZ73" s="69">
        <f t="shared" si="99"/>
        <v>245</v>
      </c>
      <c r="CA73" s="70">
        <f t="shared" si="100"/>
        <v>293</v>
      </c>
      <c r="CB73" s="69">
        <f t="shared" si="101"/>
        <v>315</v>
      </c>
      <c r="CC73" s="68">
        <f t="shared" si="102"/>
        <v>77</v>
      </c>
      <c r="CD73" s="69">
        <f t="shared" si="103"/>
        <v>81</v>
      </c>
      <c r="CE73" s="70">
        <f t="shared" si="104"/>
        <v>108</v>
      </c>
      <c r="CF73" s="70">
        <f t="shared" si="105"/>
        <v>116</v>
      </c>
      <c r="CG73" s="70">
        <f t="shared" si="106"/>
        <v>152</v>
      </c>
      <c r="CH73" s="70" t="str">
        <f t="shared" si="107"/>
        <v>-</v>
      </c>
      <c r="CI73" s="70">
        <f t="shared" si="108"/>
        <v>185</v>
      </c>
      <c r="CJ73" s="70" t="str">
        <f t="shared" si="109"/>
        <v>-</v>
      </c>
      <c r="CK73" s="70">
        <f t="shared" si="110"/>
        <v>235</v>
      </c>
      <c r="CL73" s="70">
        <f t="shared" si="111"/>
        <v>284</v>
      </c>
      <c r="CM73" s="70">
        <f t="shared" si="112"/>
        <v>314</v>
      </c>
      <c r="CN73" s="70">
        <f t="shared" si="113"/>
        <v>327</v>
      </c>
      <c r="CO73" s="57">
        <f t="shared" si="114"/>
        <v>1</v>
      </c>
    </row>
    <row r="74" spans="1:93" x14ac:dyDescent="0.2">
      <c r="A74" s="3" t="str">
        <f t="shared" si="115"/>
        <v>lpar1_human_4Z36</v>
      </c>
      <c r="B74" s="3" t="s">
        <v>297</v>
      </c>
      <c r="C74" s="3" t="s">
        <v>1264</v>
      </c>
      <c r="D74" s="3" t="str">
        <f>IFERROR(MID(VLOOKUP($B74,Seqs!$A:$B,2,FALSE),E74,1),"")</f>
        <v>T</v>
      </c>
      <c r="E74" s="3">
        <v>47</v>
      </c>
      <c r="F74" s="3" t="str">
        <f>IFERROR(MID(VLOOKUP($B74,Seqs!$A:$B,2,FALSE),G74,1),"")</f>
        <v>N</v>
      </c>
      <c r="G74" s="3">
        <v>77</v>
      </c>
      <c r="H74" s="3" t="str">
        <f>IFERROR(MID(VLOOKUP($B74,Seqs!$A:$B,2,FALSE),I74,1),"")</f>
        <v>R</v>
      </c>
      <c r="I74" s="57">
        <v>78</v>
      </c>
      <c r="J74" s="3" t="str">
        <f>IFERROR(MID(VLOOKUP($B74,Seqs!$A:$B,2,FALSE),K74,1),"")</f>
        <v>H</v>
      </c>
      <c r="K74" s="57">
        <v>81</v>
      </c>
      <c r="L74" s="3" t="str">
        <f>IFERROR(MID(VLOOKUP($B74,Seqs!$A:$B,2,FALSE),M74,1),"")</f>
        <v>F</v>
      </c>
      <c r="M74" s="3">
        <v>82</v>
      </c>
      <c r="N74" s="3" t="str">
        <f>IFERROR(MID(VLOOKUP($B74,Seqs!$A:$B,2,FALSE),O74,1),"")</f>
        <v>N</v>
      </c>
      <c r="O74" s="3">
        <v>108</v>
      </c>
      <c r="P74" s="3" t="str">
        <f>IFERROR(MID(VLOOKUP($B74,Seqs!$A:$B,2,FALSE),Q74,1),"")</f>
        <v>G</v>
      </c>
      <c r="Q74" s="3">
        <v>110</v>
      </c>
      <c r="R74" s="3" t="str">
        <f>IFERROR(MID(VLOOKUP($B74,Seqs!$A:$B,2,FALSE),S74,1),"")</f>
        <v>L</v>
      </c>
      <c r="S74" s="3">
        <v>116</v>
      </c>
      <c r="T74" s="3" t="str">
        <f>IFERROR(MID(VLOOKUP($B74,Seqs!$A:$B,2,FALSE),U74,1),"")</f>
        <v>T</v>
      </c>
      <c r="U74" s="3">
        <v>117</v>
      </c>
      <c r="V74" s="3" t="str">
        <f>IFERROR(MID(VLOOKUP($B74,Seqs!$A:$B,2,FALSE),W74,1),"")</f>
        <v>R</v>
      </c>
      <c r="W74" s="3">
        <v>152</v>
      </c>
      <c r="X74" s="3" t="str">
        <f>IFERROR(MID(VLOOKUP($B74,Seqs!$A:$B,2,FALSE),Y74,1),"")</f>
        <v/>
      </c>
      <c r="Y74" s="3" t="s">
        <v>129</v>
      </c>
      <c r="Z74" s="3" t="str">
        <f>IFERROR(MID(VLOOKUP($B74,Seqs!$A:$B,2,FALSE),AA74,1),"")</f>
        <v/>
      </c>
      <c r="AA74" s="3" t="s">
        <v>129</v>
      </c>
      <c r="AB74" s="3" t="str">
        <f>IFERROR(MID(VLOOKUP($B74,Seqs!$A:$B,2,FALSE),AC74,1),"")</f>
        <v>R</v>
      </c>
      <c r="AC74" s="3">
        <v>158</v>
      </c>
      <c r="AD74" s="3" t="str">
        <f>IFERROR(MID(VLOOKUP($B74,Seqs!$A:$B,2,FALSE),AE74,1),"")</f>
        <v>G</v>
      </c>
      <c r="AE74" s="3">
        <v>185</v>
      </c>
      <c r="AF74" s="3" t="str">
        <f>IFERROR(MID(VLOOKUP($B74,Seqs!$A:$B,2,FALSE),AG74,1),"")</f>
        <v/>
      </c>
      <c r="AG74" s="3" t="s">
        <v>129</v>
      </c>
      <c r="AH74" s="3" t="str">
        <f>IFERROR(MID(VLOOKUP($B74,Seqs!$A:$B,2,FALSE),AI74,1),"")</f>
        <v/>
      </c>
      <c r="AI74" s="3" t="s">
        <v>129</v>
      </c>
      <c r="AJ74" s="3" t="str">
        <f>IFERROR(MID(VLOOKUP($B74,Seqs!$A:$B,2,FALSE),AK74,1),"")</f>
        <v>S</v>
      </c>
      <c r="AK74" s="3">
        <v>203</v>
      </c>
      <c r="AL74" s="3" t="str">
        <f>IFERROR(MID(VLOOKUP($B74,Seqs!$A:$B,2,FALSE),AM74,1),"")</f>
        <v>R</v>
      </c>
      <c r="AM74" s="3">
        <v>235</v>
      </c>
      <c r="AN74" s="3" t="str">
        <f>IFERROR(MID(VLOOKUP($B74,Seqs!$A:$B,2,FALSE),AO74,1),"")</f>
        <v>G</v>
      </c>
      <c r="AO74" s="3">
        <v>245</v>
      </c>
      <c r="AP74" s="3" t="str">
        <f>IFERROR(MID(VLOOKUP($B74,Seqs!$A:$B,2,FALSE),AQ74,1),"")</f>
        <v>C</v>
      </c>
      <c r="AQ74" s="3">
        <v>284</v>
      </c>
      <c r="AR74" s="3" t="str">
        <f>IFERROR(MID(VLOOKUP($B74,Seqs!$A:$B,2,FALSE),AS74,1),"")</f>
        <v>E</v>
      </c>
      <c r="AS74" s="3">
        <v>293</v>
      </c>
      <c r="AT74" s="3" t="str">
        <f>IFERROR(MID(VLOOKUP($B74,Seqs!$A:$B,2,FALSE),AU74,1),"")</f>
        <v>R</v>
      </c>
      <c r="AU74" s="3">
        <v>314</v>
      </c>
      <c r="AV74" s="3" t="str">
        <f>IFERROR(MID(VLOOKUP($B74,Seqs!$A:$B,2,FALSE),AW74,1),"")</f>
        <v>D</v>
      </c>
      <c r="AW74" s="3">
        <v>315</v>
      </c>
      <c r="AX74" s="3" t="str">
        <f>IFERROR(MID(VLOOKUP($B74,Seqs!$A:$B,2,FALSE),AY74,1),"")</f>
        <v>C</v>
      </c>
      <c r="AY74" s="3">
        <v>327</v>
      </c>
      <c r="AZ74" s="83" t="str">
        <f>VLOOKUP(B74,Classification!A:D,2,FALSE)</f>
        <v>A</v>
      </c>
      <c r="BC74" s="57">
        <f t="shared" si="116"/>
        <v>243</v>
      </c>
      <c r="BD74" s="63" t="b">
        <f t="shared" si="117"/>
        <v>1</v>
      </c>
      <c r="BE74" s="68" t="s">
        <v>1514</v>
      </c>
      <c r="BF74" s="75" t="s">
        <v>1514</v>
      </c>
      <c r="BG74" s="75" t="s">
        <v>1514</v>
      </c>
      <c r="BH74" s="75" t="s">
        <v>1514</v>
      </c>
      <c r="BI74" s="75" t="s">
        <v>1514</v>
      </c>
      <c r="BJ74" s="75" t="s">
        <v>1514</v>
      </c>
      <c r="BK74" s="75" t="s">
        <v>1514</v>
      </c>
      <c r="BL74" s="75" t="s">
        <v>1514</v>
      </c>
      <c r="BM74" s="75" t="s">
        <v>1514</v>
      </c>
      <c r="BN74" s="75" t="s">
        <v>1514</v>
      </c>
      <c r="BO74" s="75" t="s">
        <v>1514</v>
      </c>
      <c r="BP74" s="75" t="s">
        <v>1514</v>
      </c>
      <c r="BQ74" s="68">
        <f t="shared" si="90"/>
        <v>47</v>
      </c>
      <c r="BR74" s="69">
        <f t="shared" si="91"/>
        <v>78</v>
      </c>
      <c r="BS74" s="70">
        <f t="shared" si="92"/>
        <v>82</v>
      </c>
      <c r="BT74" s="69">
        <f t="shared" si="93"/>
        <v>110</v>
      </c>
      <c r="BU74" s="70">
        <f t="shared" si="94"/>
        <v>117</v>
      </c>
      <c r="BV74" s="69" t="str">
        <f t="shared" si="95"/>
        <v>-</v>
      </c>
      <c r="BW74" s="70">
        <f t="shared" si="96"/>
        <v>158</v>
      </c>
      <c r="BX74" s="69" t="str">
        <f t="shared" si="97"/>
        <v>-</v>
      </c>
      <c r="BY74" s="70">
        <f t="shared" si="98"/>
        <v>203</v>
      </c>
      <c r="BZ74" s="69">
        <f t="shared" si="99"/>
        <v>245</v>
      </c>
      <c r="CA74" s="70">
        <f t="shared" si="100"/>
        <v>293</v>
      </c>
      <c r="CB74" s="69">
        <f t="shared" si="101"/>
        <v>315</v>
      </c>
      <c r="CC74" s="68">
        <f t="shared" si="102"/>
        <v>77</v>
      </c>
      <c r="CD74" s="69">
        <f t="shared" si="103"/>
        <v>81</v>
      </c>
      <c r="CE74" s="70">
        <f t="shared" si="104"/>
        <v>108</v>
      </c>
      <c r="CF74" s="70">
        <f t="shared" si="105"/>
        <v>116</v>
      </c>
      <c r="CG74" s="70">
        <f t="shared" si="106"/>
        <v>152</v>
      </c>
      <c r="CH74" s="70" t="str">
        <f t="shared" si="107"/>
        <v>-</v>
      </c>
      <c r="CI74" s="70">
        <f t="shared" si="108"/>
        <v>185</v>
      </c>
      <c r="CJ74" s="70" t="str">
        <f t="shared" si="109"/>
        <v>-</v>
      </c>
      <c r="CK74" s="70">
        <f t="shared" si="110"/>
        <v>235</v>
      </c>
      <c r="CL74" s="70">
        <f t="shared" si="111"/>
        <v>284</v>
      </c>
      <c r="CM74" s="70">
        <f t="shared" si="112"/>
        <v>314</v>
      </c>
      <c r="CN74" s="70">
        <f t="shared" si="113"/>
        <v>327</v>
      </c>
      <c r="CO74" s="57">
        <f t="shared" si="114"/>
        <v>1</v>
      </c>
    </row>
    <row r="75" spans="1:93" x14ac:dyDescent="0.2">
      <c r="A75" s="3" t="str">
        <f t="shared" si="115"/>
        <v>ntr1_rat__wt</v>
      </c>
      <c r="B75" s="3" t="s">
        <v>1110</v>
      </c>
      <c r="C75" s="3" t="s">
        <v>294</v>
      </c>
      <c r="D75" s="3" t="str">
        <f>IFERROR(MID(VLOOKUP($B75,Seqs!$A:$B,2,FALSE),E75,1),"")</f>
        <v>I</v>
      </c>
      <c r="E75" s="3">
        <v>61</v>
      </c>
      <c r="F75" s="3" t="str">
        <f>IFERROR(MID(VLOOKUP($B75,Seqs!$A:$B,2,FALSE),G75,1),"")</f>
        <v>K</v>
      </c>
      <c r="G75" s="3">
        <v>92</v>
      </c>
      <c r="H75" s="3" t="str">
        <f>IFERROR(MID(VLOOKUP($B75,Seqs!$A:$B,2,FALSE),I75,1),"")</f>
        <v>K</v>
      </c>
      <c r="I75" s="57">
        <v>93</v>
      </c>
      <c r="J75" s="3" t="str">
        <f>IFERROR(MID(VLOOKUP($B75,Seqs!$A:$B,2,FALSE),K75,1),"")</f>
        <v>Q</v>
      </c>
      <c r="K75" s="57">
        <v>96</v>
      </c>
      <c r="L75" s="3" t="str">
        <f>IFERROR(MID(VLOOKUP($B75,Seqs!$A:$B,2,FALSE),M75,1),"")</f>
        <v>S</v>
      </c>
      <c r="M75" s="3">
        <v>97</v>
      </c>
      <c r="N75" s="3" t="str">
        <f>IFERROR(MID(VLOOKUP($B75,Seqs!$A:$B,2,FALSE),O75,1),"")</f>
        <v>V</v>
      </c>
      <c r="O75" s="3">
        <v>131</v>
      </c>
      <c r="P75" s="3" t="str">
        <f>IFERROR(MID(VLOOKUP($B75,Seqs!$A:$B,2,FALSE),Q75,1),"")</f>
        <v>P</v>
      </c>
      <c r="Q75" s="3">
        <v>134</v>
      </c>
      <c r="R75" s="3" t="str">
        <f>IFERROR(MID(VLOOKUP($B75,Seqs!$A:$B,2,FALSE),S75,1),"")</f>
        <v>F</v>
      </c>
      <c r="S75" s="3">
        <v>137</v>
      </c>
      <c r="T75" s="3" t="str">
        <f>IFERROR(MID(VLOOKUP($B75,Seqs!$A:$B,2,FALSE),U75,1),"")</f>
        <v>G</v>
      </c>
      <c r="U75" s="3">
        <v>138</v>
      </c>
      <c r="V75" s="3" t="str">
        <f>IFERROR(MID(VLOOKUP($B75,Seqs!$A:$B,2,FALSE),W75,1),"")</f>
        <v>H</v>
      </c>
      <c r="W75" s="3">
        <v>173</v>
      </c>
      <c r="X75" s="3" t="str">
        <f>IFERROR(MID(VLOOKUP($B75,Seqs!$A:$B,2,FALSE),Y75,1),"")</f>
        <v>P</v>
      </c>
      <c r="Y75" s="3">
        <v>174</v>
      </c>
      <c r="Z75" s="3" t="str">
        <f>IFERROR(MID(VLOOKUP($B75,Seqs!$A:$B,2,FALSE),AA75,1),"")</f>
        <v>M</v>
      </c>
      <c r="AA75" s="3">
        <v>181</v>
      </c>
      <c r="AB75" s="3" t="str">
        <f>IFERROR(MID(VLOOKUP($B75,Seqs!$A:$B,2,FALSE),AC75,1),"")</f>
        <v>R</v>
      </c>
      <c r="AC75" s="3">
        <v>183</v>
      </c>
      <c r="AD75" s="3" t="str">
        <f>IFERROR(MID(VLOOKUP($B75,Seqs!$A:$B,2,FALSE),AE75,1),"")</f>
        <v>M</v>
      </c>
      <c r="AE75" s="3">
        <v>208</v>
      </c>
      <c r="AF75" s="3" t="str">
        <f>IFERROR(MID(VLOOKUP($B75,Seqs!$A:$B,2,FALSE),AG75,1),"")</f>
        <v>C</v>
      </c>
      <c r="AG75" s="3">
        <v>225</v>
      </c>
      <c r="AH75" s="3" t="str">
        <f>IFERROR(MID(VLOOKUP($B75,Seqs!$A:$B,2,FALSE),AI75,1),"")</f>
        <v>P</v>
      </c>
      <c r="AI75" s="3">
        <v>227</v>
      </c>
      <c r="AJ75" s="3" t="str">
        <f>IFERROR(MID(VLOOKUP($B75,Seqs!$A:$B,2,FALSE),AK75,1),"")</f>
        <v>T</v>
      </c>
      <c r="AK75" s="3">
        <v>231</v>
      </c>
      <c r="AL75" s="3" t="str">
        <f>IFERROR(MID(VLOOKUP($B75,Seqs!$A:$B,2,FALSE),AM75,1),"")</f>
        <v>G</v>
      </c>
      <c r="AM75" s="3">
        <v>275</v>
      </c>
      <c r="AN75" s="3" t="str">
        <f>IFERROR(MID(VLOOKUP($B75,Seqs!$A:$B,2,FALSE),AO75,1),"")</f>
        <v>P</v>
      </c>
      <c r="AO75" s="3">
        <v>297</v>
      </c>
      <c r="AP75" s="3" t="str">
        <f>IFERROR(MID(VLOOKUP($B75,Seqs!$A:$B,2,FALSE),AQ75,1),"")</f>
        <v>I</v>
      </c>
      <c r="AQ75" s="3">
        <v>334</v>
      </c>
      <c r="AR75" s="3" t="str">
        <f>IFERROR(MID(VLOOKUP($B75,Seqs!$A:$B,2,FALSE),AS75,1),"")</f>
        <v>T</v>
      </c>
      <c r="AS75" s="3">
        <v>340</v>
      </c>
      <c r="AT75" s="3" t="str">
        <f>IFERROR(MID(VLOOKUP($B75,Seqs!$A:$B,2,FALSE),AU75,1),"")</f>
        <v>V</v>
      </c>
      <c r="AU75" s="3">
        <v>372</v>
      </c>
      <c r="AV75" s="3" t="str">
        <f>IFERROR(MID(VLOOKUP($B75,Seqs!$A:$B,2,FALSE),AW75,1),"")</f>
        <v>S</v>
      </c>
      <c r="AW75" s="3">
        <v>373</v>
      </c>
      <c r="AX75" s="3" t="str">
        <f>IFERROR(MID(VLOOKUP($B75,Seqs!$A:$B,2,FALSE),AY75,1),"")</f>
        <v>L</v>
      </c>
      <c r="AY75" s="3">
        <v>384</v>
      </c>
      <c r="AZ75" s="83" t="str">
        <f>VLOOKUP(B75,Classification!A:D,2,FALSE)</f>
        <v>A</v>
      </c>
      <c r="BA75" s="3" t="s">
        <v>1389</v>
      </c>
      <c r="BB75" s="82">
        <f>S75-Q75+1</f>
        <v>4</v>
      </c>
      <c r="BC75" s="57">
        <f t="shared" si="116"/>
        <v>276</v>
      </c>
      <c r="BD75" s="63" t="b">
        <f t="shared" si="117"/>
        <v>1</v>
      </c>
      <c r="BE75" s="68" t="s">
        <v>1514</v>
      </c>
      <c r="BF75" s="75" t="s">
        <v>1514</v>
      </c>
      <c r="BG75" s="75" t="s">
        <v>1514</v>
      </c>
      <c r="BH75" s="75" t="s">
        <v>1514</v>
      </c>
      <c r="BI75" s="75" t="s">
        <v>1514</v>
      </c>
      <c r="BJ75" s="75" t="s">
        <v>1514</v>
      </c>
      <c r="BK75" s="75" t="s">
        <v>1514</v>
      </c>
      <c r="BL75" s="75" t="s">
        <v>1514</v>
      </c>
      <c r="BM75" s="75" t="s">
        <v>1514</v>
      </c>
      <c r="BN75" s="75" t="s">
        <v>1514</v>
      </c>
      <c r="BO75" s="75" t="s">
        <v>1514</v>
      </c>
      <c r="BP75" s="75" t="s">
        <v>1514</v>
      </c>
      <c r="BQ75" s="68">
        <f t="shared" si="90"/>
        <v>61</v>
      </c>
      <c r="BR75" s="69">
        <f t="shared" si="91"/>
        <v>93</v>
      </c>
      <c r="BS75" s="70">
        <f t="shared" si="92"/>
        <v>97</v>
      </c>
      <c r="BT75" s="69">
        <f t="shared" si="93"/>
        <v>134</v>
      </c>
      <c r="BU75" s="70">
        <f t="shared" si="94"/>
        <v>138</v>
      </c>
      <c r="BV75" s="69">
        <f t="shared" si="95"/>
        <v>174</v>
      </c>
      <c r="BW75" s="70">
        <f t="shared" si="96"/>
        <v>183</v>
      </c>
      <c r="BX75" s="69">
        <f t="shared" si="97"/>
        <v>225</v>
      </c>
      <c r="BY75" s="70">
        <f t="shared" si="98"/>
        <v>231</v>
      </c>
      <c r="BZ75" s="69">
        <f t="shared" si="99"/>
        <v>297</v>
      </c>
      <c r="CA75" s="70">
        <f t="shared" si="100"/>
        <v>340</v>
      </c>
      <c r="CB75" s="69">
        <f t="shared" si="101"/>
        <v>373</v>
      </c>
      <c r="CC75" s="68">
        <f t="shared" si="102"/>
        <v>92</v>
      </c>
      <c r="CD75" s="69">
        <f t="shared" si="103"/>
        <v>96</v>
      </c>
      <c r="CE75" s="70">
        <f t="shared" si="104"/>
        <v>131</v>
      </c>
      <c r="CF75" s="70">
        <f t="shared" si="105"/>
        <v>137</v>
      </c>
      <c r="CG75" s="70">
        <f t="shared" si="106"/>
        <v>173</v>
      </c>
      <c r="CH75" s="70">
        <f t="shared" si="107"/>
        <v>181</v>
      </c>
      <c r="CI75" s="70">
        <f t="shared" si="108"/>
        <v>208</v>
      </c>
      <c r="CJ75" s="70">
        <f t="shared" si="109"/>
        <v>227</v>
      </c>
      <c r="CK75" s="70">
        <f t="shared" si="110"/>
        <v>275</v>
      </c>
      <c r="CL75" s="70">
        <f t="shared" si="111"/>
        <v>334</v>
      </c>
      <c r="CM75" s="70">
        <f t="shared" si="112"/>
        <v>372</v>
      </c>
      <c r="CN75" s="70">
        <f t="shared" si="113"/>
        <v>384</v>
      </c>
      <c r="CO75" s="57">
        <f t="shared" si="114"/>
        <v>1</v>
      </c>
    </row>
    <row r="76" spans="1:93" x14ac:dyDescent="0.2">
      <c r="A76" s="3" t="str">
        <f t="shared" si="115"/>
        <v>ntr1_rat_4BOU</v>
      </c>
      <c r="B76" s="3" t="s">
        <v>1110</v>
      </c>
      <c r="C76" s="3" t="s">
        <v>239</v>
      </c>
      <c r="D76" s="3" t="str">
        <f>IFERROR(MID(VLOOKUP($B76,Seqs!$A:$B,2,FALSE),E76,1),"")</f>
        <v>I</v>
      </c>
      <c r="E76" s="3">
        <v>61</v>
      </c>
      <c r="F76" s="3" t="str">
        <f>IFERROR(MID(VLOOKUP($B76,Seqs!$A:$B,2,FALSE),G76,1),"")</f>
        <v>R</v>
      </c>
      <c r="G76" s="3">
        <v>91</v>
      </c>
      <c r="H76" s="3" t="str">
        <f>IFERROR(MID(VLOOKUP($B76,Seqs!$A:$B,2,FALSE),I76,1),"")</f>
        <v/>
      </c>
      <c r="I76" s="57" t="s">
        <v>129</v>
      </c>
      <c r="J76" s="3" t="str">
        <f>IFERROR(MID(VLOOKUP($B76,Seqs!$A:$B,2,FALSE),K76,1),"")</f>
        <v/>
      </c>
      <c r="K76" s="57" t="s">
        <v>129</v>
      </c>
      <c r="L76" s="3" t="str">
        <f>IFERROR(MID(VLOOKUP($B76,Seqs!$A:$B,2,FALSE),M76,1),"")</f>
        <v>S</v>
      </c>
      <c r="M76" s="3">
        <v>97</v>
      </c>
      <c r="N76" s="3" t="str">
        <f>IFERROR(MID(VLOOKUP($B76,Seqs!$A:$B,2,FALSE),O76,1),"")</f>
        <v>V</v>
      </c>
      <c r="O76" s="3">
        <v>131</v>
      </c>
      <c r="P76" s="3" t="str">
        <f>IFERROR(MID(VLOOKUP($B76,Seqs!$A:$B,2,FALSE),Q76,1),"")</f>
        <v>P</v>
      </c>
      <c r="Q76" s="3">
        <v>134</v>
      </c>
      <c r="R76" s="3" t="str">
        <f>IFERROR(MID(VLOOKUP($B76,Seqs!$A:$B,2,FALSE),S76,1),"")</f>
        <v>F</v>
      </c>
      <c r="S76" s="3">
        <v>137</v>
      </c>
      <c r="T76" s="3" t="str">
        <f>IFERROR(MID(VLOOKUP($B76,Seqs!$A:$B,2,FALSE),U76,1),"")</f>
        <v>G</v>
      </c>
      <c r="U76" s="3">
        <v>138</v>
      </c>
      <c r="V76" s="3" t="str">
        <f>IFERROR(MID(VLOOKUP($B76,Seqs!$A:$B,2,FALSE),W76,1),"")</f>
        <v>H</v>
      </c>
      <c r="W76" s="3">
        <v>173</v>
      </c>
      <c r="X76" s="3" t="str">
        <f>IFERROR(MID(VLOOKUP($B76,Seqs!$A:$B,2,FALSE),Y76,1),"")</f>
        <v>P</v>
      </c>
      <c r="Y76" s="3">
        <v>174</v>
      </c>
      <c r="Z76" s="3" t="str">
        <f>IFERROR(MID(VLOOKUP($B76,Seqs!$A:$B,2,FALSE),AA76,1),"")</f>
        <v>K</v>
      </c>
      <c r="AA76" s="3">
        <v>178</v>
      </c>
      <c r="AB76" s="3" t="str">
        <f>IFERROR(MID(VLOOKUP($B76,Seqs!$A:$B,2,FALSE),AC76,1),"")</f>
        <v>R</v>
      </c>
      <c r="AC76" s="3">
        <v>183</v>
      </c>
      <c r="AD76" s="3" t="str">
        <f>IFERROR(MID(VLOOKUP($B76,Seqs!$A:$B,2,FALSE),AE76,1),"")</f>
        <v>M</v>
      </c>
      <c r="AE76" s="3">
        <v>208</v>
      </c>
      <c r="AF76" s="3" t="str">
        <f>IFERROR(MID(VLOOKUP($B76,Seqs!$A:$B,2,FALSE),AG76,1),"")</f>
        <v>C</v>
      </c>
      <c r="AG76" s="3">
        <v>225</v>
      </c>
      <c r="AH76" s="3" t="str">
        <f>IFERROR(MID(VLOOKUP($B76,Seqs!$A:$B,2,FALSE),AI76,1),"")</f>
        <v>P</v>
      </c>
      <c r="AI76" s="3">
        <v>227</v>
      </c>
      <c r="AJ76" s="3" t="str">
        <f>IFERROR(MID(VLOOKUP($B76,Seqs!$A:$B,2,FALSE),AK76,1),"")</f>
        <v>T</v>
      </c>
      <c r="AK76" s="3">
        <v>231</v>
      </c>
      <c r="AL76" s="3" t="str">
        <f>IFERROR(MID(VLOOKUP($B76,Seqs!$A:$B,2,FALSE),AM76,1),"")</f>
        <v>Q</v>
      </c>
      <c r="AM76" s="3">
        <v>270</v>
      </c>
      <c r="AN76" s="3" t="str">
        <f>IFERROR(MID(VLOOKUP($B76,Seqs!$A:$B,2,FALSE),AO76,1),"")</f>
        <v>G</v>
      </c>
      <c r="AO76" s="3">
        <v>298</v>
      </c>
      <c r="AP76" s="3" t="str">
        <f>IFERROR(MID(VLOOKUP($B76,Seqs!$A:$B,2,FALSE),AQ76,1),"")</f>
        <v>I</v>
      </c>
      <c r="AQ76" s="3">
        <v>334</v>
      </c>
      <c r="AR76" s="3" t="str">
        <f>IFERROR(MID(VLOOKUP($B76,Seqs!$A:$B,2,FALSE),AS76,1),"")</f>
        <v>T</v>
      </c>
      <c r="AS76" s="3">
        <v>340</v>
      </c>
      <c r="AT76" s="3" t="str">
        <f>IFERROR(MID(VLOOKUP($B76,Seqs!$A:$B,2,FALSE),AU76,1),"")</f>
        <v>V</v>
      </c>
      <c r="AU76" s="3">
        <v>372</v>
      </c>
      <c r="AV76" s="3" t="str">
        <f>IFERROR(MID(VLOOKUP($B76,Seqs!$A:$B,2,FALSE),AW76,1),"")</f>
        <v>S</v>
      </c>
      <c r="AW76" s="3">
        <v>373</v>
      </c>
      <c r="AX76" s="3" t="str">
        <f>IFERROR(MID(VLOOKUP($B76,Seqs!$A:$B,2,FALSE),AY76,1),"")</f>
        <v>L</v>
      </c>
      <c r="AY76" s="3">
        <v>384</v>
      </c>
      <c r="AZ76" s="83" t="str">
        <f>VLOOKUP(B76,Classification!A:D,2,FALSE)</f>
        <v>A</v>
      </c>
      <c r="BC76" s="57">
        <f t="shared" si="116"/>
        <v>263</v>
      </c>
      <c r="BD76" s="63" t="b">
        <f t="shared" si="117"/>
        <v>1</v>
      </c>
      <c r="BE76" s="68" t="s">
        <v>1514</v>
      </c>
      <c r="BF76" s="75" t="s">
        <v>1514</v>
      </c>
      <c r="BG76" s="75" t="s">
        <v>1514</v>
      </c>
      <c r="BH76" s="75" t="s">
        <v>1514</v>
      </c>
      <c r="BI76" s="75" t="s">
        <v>1514</v>
      </c>
      <c r="BJ76" s="75" t="s">
        <v>1514</v>
      </c>
      <c r="BK76" s="75" t="s">
        <v>1514</v>
      </c>
      <c r="BL76" s="75" t="s">
        <v>1514</v>
      </c>
      <c r="BM76" s="75" t="s">
        <v>1514</v>
      </c>
      <c r="BN76" s="75" t="s">
        <v>1514</v>
      </c>
      <c r="BO76" s="75" t="s">
        <v>1514</v>
      </c>
      <c r="BP76" s="75" t="s">
        <v>1514</v>
      </c>
      <c r="BQ76" s="68">
        <f t="shared" si="90"/>
        <v>61</v>
      </c>
      <c r="BR76" s="69" t="str">
        <f t="shared" si="91"/>
        <v>-</v>
      </c>
      <c r="BS76" s="70">
        <f t="shared" si="92"/>
        <v>97</v>
      </c>
      <c r="BT76" s="69">
        <f t="shared" si="93"/>
        <v>134</v>
      </c>
      <c r="BU76" s="70">
        <f t="shared" si="94"/>
        <v>138</v>
      </c>
      <c r="BV76" s="69">
        <f t="shared" si="95"/>
        <v>174</v>
      </c>
      <c r="BW76" s="70">
        <f t="shared" si="96"/>
        <v>183</v>
      </c>
      <c r="BX76" s="69">
        <f t="shared" si="97"/>
        <v>225</v>
      </c>
      <c r="BY76" s="70">
        <f t="shared" si="98"/>
        <v>231</v>
      </c>
      <c r="BZ76" s="69">
        <f t="shared" si="99"/>
        <v>298</v>
      </c>
      <c r="CA76" s="70">
        <f t="shared" si="100"/>
        <v>340</v>
      </c>
      <c r="CB76" s="69">
        <f t="shared" si="101"/>
        <v>373</v>
      </c>
      <c r="CC76" s="68">
        <f t="shared" si="102"/>
        <v>91</v>
      </c>
      <c r="CD76" s="69" t="str">
        <f t="shared" si="103"/>
        <v>-</v>
      </c>
      <c r="CE76" s="70">
        <f t="shared" si="104"/>
        <v>131</v>
      </c>
      <c r="CF76" s="70">
        <f t="shared" si="105"/>
        <v>137</v>
      </c>
      <c r="CG76" s="70">
        <f t="shared" si="106"/>
        <v>173</v>
      </c>
      <c r="CH76" s="70">
        <f t="shared" si="107"/>
        <v>178</v>
      </c>
      <c r="CI76" s="70">
        <f t="shared" si="108"/>
        <v>208</v>
      </c>
      <c r="CJ76" s="70">
        <f t="shared" si="109"/>
        <v>227</v>
      </c>
      <c r="CK76" s="70">
        <f t="shared" si="110"/>
        <v>270</v>
      </c>
      <c r="CL76" s="70">
        <f t="shared" si="111"/>
        <v>334</v>
      </c>
      <c r="CM76" s="70">
        <f t="shared" si="112"/>
        <v>372</v>
      </c>
      <c r="CN76" s="70">
        <f t="shared" si="113"/>
        <v>384</v>
      </c>
      <c r="CO76" s="57" t="e">
        <f t="shared" si="114"/>
        <v>#VALUE!</v>
      </c>
    </row>
    <row r="77" spans="1:93" x14ac:dyDescent="0.2">
      <c r="A77" s="3" t="str">
        <f t="shared" si="115"/>
        <v>ntr1_rat_4GRV</v>
      </c>
      <c r="B77" s="3" t="s">
        <v>1110</v>
      </c>
      <c r="C77" s="3" t="s">
        <v>238</v>
      </c>
      <c r="D77" s="3" t="str">
        <f>IFERROR(MID(VLOOKUP($B77,Seqs!$A:$B,2,FALSE),E77,1),"")</f>
        <v>I</v>
      </c>
      <c r="E77" s="3">
        <v>61</v>
      </c>
      <c r="F77" s="3" t="str">
        <f>IFERROR(MID(VLOOKUP($B77,Seqs!$A:$B,2,FALSE),G77,1),"")</f>
        <v>T</v>
      </c>
      <c r="G77" s="3">
        <v>88</v>
      </c>
      <c r="H77" s="3" t="str">
        <f>IFERROR(MID(VLOOKUP($B77,Seqs!$A:$B,2,FALSE),I77,1),"")</f>
        <v/>
      </c>
      <c r="I77" s="57" t="s">
        <v>129</v>
      </c>
      <c r="J77" s="3" t="str">
        <f>IFERROR(MID(VLOOKUP($B77,Seqs!$A:$B,2,FALSE),K77,1),"")</f>
        <v/>
      </c>
      <c r="K77" s="57" t="s">
        <v>129</v>
      </c>
      <c r="L77" s="3" t="str">
        <f>IFERROR(MID(VLOOKUP($B77,Seqs!$A:$B,2,FALSE),M77,1),"")</f>
        <v>Q</v>
      </c>
      <c r="M77" s="3">
        <v>99</v>
      </c>
      <c r="N77" s="3" t="str">
        <f>IFERROR(MID(VLOOKUP($B77,Seqs!$A:$B,2,FALSE),O77,1),"")</f>
        <v>V</v>
      </c>
      <c r="O77" s="3">
        <v>131</v>
      </c>
      <c r="P77" s="3" t="str">
        <f>IFERROR(MID(VLOOKUP($B77,Seqs!$A:$B,2,FALSE),Q77,1),"")</f>
        <v>P</v>
      </c>
      <c r="Q77" s="3">
        <v>134</v>
      </c>
      <c r="R77" s="3" t="str">
        <f>IFERROR(MID(VLOOKUP($B77,Seqs!$A:$B,2,FALSE),S77,1),"")</f>
        <v>F</v>
      </c>
      <c r="S77" s="3">
        <v>137</v>
      </c>
      <c r="T77" s="3" t="str">
        <f>IFERROR(MID(VLOOKUP($B77,Seqs!$A:$B,2,FALSE),U77,1),"")</f>
        <v>G</v>
      </c>
      <c r="U77" s="3">
        <v>138</v>
      </c>
      <c r="V77" s="3" t="str">
        <f>IFERROR(MID(VLOOKUP($B77,Seqs!$A:$B,2,FALSE),W77,1),"")</f>
        <v>H</v>
      </c>
      <c r="W77" s="3">
        <v>173</v>
      </c>
      <c r="X77" s="3" t="str">
        <f>IFERROR(MID(VLOOKUP($B77,Seqs!$A:$B,2,FALSE),Y77,1),"")</f>
        <v>P</v>
      </c>
      <c r="Y77" s="3">
        <v>174</v>
      </c>
      <c r="Z77" s="3" t="str">
        <f>IFERROR(MID(VLOOKUP($B77,Seqs!$A:$B,2,FALSE),AA77,1),"")</f>
        <v>S</v>
      </c>
      <c r="AA77" s="3">
        <v>182</v>
      </c>
      <c r="AB77" s="3" t="str">
        <f>IFERROR(MID(VLOOKUP($B77,Seqs!$A:$B,2,FALSE),AC77,1),"")</f>
        <v>T</v>
      </c>
      <c r="AC77" s="3">
        <v>186</v>
      </c>
      <c r="AD77" s="3" t="str">
        <f>IFERROR(MID(VLOOKUP($B77,Seqs!$A:$B,2,FALSE),AE77,1),"")</f>
        <v>M</v>
      </c>
      <c r="AE77" s="3">
        <v>208</v>
      </c>
      <c r="AF77" s="3" t="str">
        <f>IFERROR(MID(VLOOKUP($B77,Seqs!$A:$B,2,FALSE),AG77,1),"")</f>
        <v>C</v>
      </c>
      <c r="AG77" s="3">
        <v>225</v>
      </c>
      <c r="AH77" s="3" t="str">
        <f>IFERROR(MID(VLOOKUP($B77,Seqs!$A:$B,2,FALSE),AI77,1),"")</f>
        <v>P</v>
      </c>
      <c r="AI77" s="3">
        <v>227</v>
      </c>
      <c r="AJ77" s="3" t="str">
        <f>IFERROR(MID(VLOOKUP($B77,Seqs!$A:$B,2,FALSE),AK77,1),"")</f>
        <v>T</v>
      </c>
      <c r="AK77" s="3">
        <v>231</v>
      </c>
      <c r="AL77" s="3" t="str">
        <f>IFERROR(MID(VLOOKUP($B77,Seqs!$A:$B,2,FALSE),AM77,1),"")</f>
        <v>T</v>
      </c>
      <c r="AM77" s="3">
        <v>265</v>
      </c>
      <c r="AN77" s="3" t="str">
        <f>IFERROR(MID(VLOOKUP($B77,Seqs!$A:$B,2,FALSE),AO77,1),"")</f>
        <v>A</v>
      </c>
      <c r="AO77" s="3">
        <v>302</v>
      </c>
      <c r="AP77" s="3" t="str">
        <f>IFERROR(MID(VLOOKUP($B77,Seqs!$A:$B,2,FALSE),AQ77,1),"")</f>
        <v>I</v>
      </c>
      <c r="AQ77" s="3">
        <v>334</v>
      </c>
      <c r="AR77" s="3" t="str">
        <f>IFERROR(MID(VLOOKUP($B77,Seqs!$A:$B,2,FALSE),AS77,1),"")</f>
        <v>T</v>
      </c>
      <c r="AS77" s="3">
        <v>340</v>
      </c>
      <c r="AT77" s="3" t="str">
        <f>IFERROR(MID(VLOOKUP($B77,Seqs!$A:$B,2,FALSE),AU77,1),"")</f>
        <v>S</v>
      </c>
      <c r="AU77" s="3">
        <v>361</v>
      </c>
      <c r="AV77" s="3" t="str">
        <f>IFERROR(MID(VLOOKUP($B77,Seqs!$A:$B,2,FALSE),AW77,1),"")</f>
        <v/>
      </c>
      <c r="AW77" s="3" t="s">
        <v>129</v>
      </c>
      <c r="AX77" s="3" t="str">
        <f>IFERROR(MID(VLOOKUP($B77,Seqs!$A:$B,2,FALSE),AY77,1),"")</f>
        <v/>
      </c>
      <c r="AY77" s="3" t="s">
        <v>129</v>
      </c>
      <c r="AZ77" s="83" t="str">
        <f>VLOOKUP(B77,Classification!A:D,2,FALSE)</f>
        <v>A</v>
      </c>
      <c r="BC77" s="57">
        <f t="shared" si="116"/>
        <v>228</v>
      </c>
      <c r="BD77" s="63" t="b">
        <f t="shared" si="117"/>
        <v>1</v>
      </c>
      <c r="BE77" s="68" t="s">
        <v>1514</v>
      </c>
      <c r="BF77" s="75" t="s">
        <v>1514</v>
      </c>
      <c r="BG77" s="75" t="s">
        <v>1514</v>
      </c>
      <c r="BH77" s="75" t="s">
        <v>1514</v>
      </c>
      <c r="BI77" s="75" t="s">
        <v>1514</v>
      </c>
      <c r="BJ77" s="75" t="s">
        <v>1514</v>
      </c>
      <c r="BK77" s="75" t="s">
        <v>1514</v>
      </c>
      <c r="BL77" s="75" t="s">
        <v>1514</v>
      </c>
      <c r="BM77" s="75" t="s">
        <v>1514</v>
      </c>
      <c r="BN77" s="75" t="s">
        <v>1514</v>
      </c>
      <c r="BO77" s="75" t="s">
        <v>1514</v>
      </c>
      <c r="BP77" s="75" t="s">
        <v>1514</v>
      </c>
      <c r="BQ77" s="68">
        <f t="shared" si="90"/>
        <v>61</v>
      </c>
      <c r="BR77" s="69" t="str">
        <f t="shared" si="91"/>
        <v>-</v>
      </c>
      <c r="BS77" s="70">
        <f t="shared" si="92"/>
        <v>99</v>
      </c>
      <c r="BT77" s="69">
        <f t="shared" si="93"/>
        <v>134</v>
      </c>
      <c r="BU77" s="70">
        <f t="shared" si="94"/>
        <v>138</v>
      </c>
      <c r="BV77" s="69">
        <f t="shared" si="95"/>
        <v>174</v>
      </c>
      <c r="BW77" s="70">
        <f t="shared" si="96"/>
        <v>186</v>
      </c>
      <c r="BX77" s="69">
        <f t="shared" si="97"/>
        <v>225</v>
      </c>
      <c r="BY77" s="70">
        <f t="shared" si="98"/>
        <v>231</v>
      </c>
      <c r="BZ77" s="69">
        <f t="shared" si="99"/>
        <v>302</v>
      </c>
      <c r="CA77" s="70">
        <f t="shared" si="100"/>
        <v>340</v>
      </c>
      <c r="CB77" s="69" t="str">
        <f t="shared" si="101"/>
        <v>-</v>
      </c>
      <c r="CC77" s="68">
        <f t="shared" si="102"/>
        <v>88</v>
      </c>
      <c r="CD77" s="69" t="str">
        <f t="shared" si="103"/>
        <v>-</v>
      </c>
      <c r="CE77" s="70">
        <f t="shared" si="104"/>
        <v>131</v>
      </c>
      <c r="CF77" s="70">
        <f t="shared" si="105"/>
        <v>137</v>
      </c>
      <c r="CG77" s="70">
        <f t="shared" si="106"/>
        <v>173</v>
      </c>
      <c r="CH77" s="70">
        <f t="shared" si="107"/>
        <v>182</v>
      </c>
      <c r="CI77" s="70">
        <f t="shared" si="108"/>
        <v>208</v>
      </c>
      <c r="CJ77" s="70">
        <f t="shared" si="109"/>
        <v>227</v>
      </c>
      <c r="CK77" s="70">
        <f t="shared" si="110"/>
        <v>265</v>
      </c>
      <c r="CL77" s="70">
        <f t="shared" si="111"/>
        <v>334</v>
      </c>
      <c r="CM77" s="70">
        <f t="shared" si="112"/>
        <v>361</v>
      </c>
      <c r="CN77" s="70" t="str">
        <f t="shared" si="113"/>
        <v>-</v>
      </c>
      <c r="CO77" s="57" t="e">
        <f t="shared" si="114"/>
        <v>#VALUE!</v>
      </c>
    </row>
    <row r="78" spans="1:93" x14ac:dyDescent="0.2">
      <c r="A78" s="3" t="str">
        <f t="shared" si="115"/>
        <v>oprd_human__wt</v>
      </c>
      <c r="B78" s="3" t="s">
        <v>529</v>
      </c>
      <c r="C78" s="3" t="s">
        <v>294</v>
      </c>
      <c r="D78" s="3" t="str">
        <f>IFERROR(MID(VLOOKUP($B78,Seqs!$A:$B,2,FALSE),E78,1),"")</f>
        <v>G</v>
      </c>
      <c r="E78" s="3">
        <v>39</v>
      </c>
      <c r="F78" s="3" t="str">
        <f>IFERROR(MID(VLOOKUP($B78,Seqs!$A:$B,2,FALSE),G78,1),"")</f>
        <v>Y</v>
      </c>
      <c r="G78" s="3">
        <v>77</v>
      </c>
      <c r="H78" s="3" t="str">
        <f>IFERROR(MID(VLOOKUP($B78,Seqs!$A:$B,2,FALSE),I78,1),"")</f>
        <v>T</v>
      </c>
      <c r="I78" s="57">
        <v>78</v>
      </c>
      <c r="J78" s="3" t="str">
        <f>IFERROR(MID(VLOOKUP($B78,Seqs!$A:$B,2,FALSE),K78,1),"")</f>
        <v>K</v>
      </c>
      <c r="K78" s="57">
        <v>81</v>
      </c>
      <c r="L78" s="3" t="str">
        <f>IFERROR(MID(VLOOKUP($B78,Seqs!$A:$B,2,FALSE),M78,1),"")</f>
        <v>T</v>
      </c>
      <c r="M78" s="3">
        <v>82</v>
      </c>
      <c r="N78" s="3" t="str">
        <f>IFERROR(MID(VLOOKUP($B78,Seqs!$A:$B,2,FALSE),O78,1),"")</f>
        <v>M</v>
      </c>
      <c r="O78" s="3">
        <v>111</v>
      </c>
      <c r="P78" s="3" t="str">
        <f>IFERROR(MID(VLOOKUP($B78,Seqs!$A:$B,2,FALSE),Q78,1),"")</f>
        <v>T</v>
      </c>
      <c r="Q78" s="3">
        <v>113</v>
      </c>
      <c r="R78" s="3" t="str">
        <f>IFERROR(MID(VLOOKUP($B78,Seqs!$A:$B,2,FALSE),S78,1),"")</f>
        <v>F</v>
      </c>
      <c r="S78" s="3">
        <v>116</v>
      </c>
      <c r="T78" s="3" t="str">
        <f>IFERROR(MID(VLOOKUP($B78,Seqs!$A:$B,2,FALSE),U78,1),"")</f>
        <v>G</v>
      </c>
      <c r="U78" s="3">
        <v>117</v>
      </c>
      <c r="V78" s="3" t="str">
        <f>IFERROR(MID(VLOOKUP($B78,Seqs!$A:$B,2,FALSE),W78,1),"")</f>
        <v>H</v>
      </c>
      <c r="W78" s="3">
        <v>152</v>
      </c>
      <c r="X78" s="3" t="str">
        <f>IFERROR(MID(VLOOKUP($B78,Seqs!$A:$B,2,FALSE),Y78,1),"")</f>
        <v>P</v>
      </c>
      <c r="Y78" s="3">
        <v>153</v>
      </c>
      <c r="Z78" s="3" t="str">
        <f>IFERROR(MID(VLOOKUP($B78,Seqs!$A:$B,2,FALSE),AA78,1),"")</f>
        <v>R</v>
      </c>
      <c r="AA78" s="3">
        <v>160</v>
      </c>
      <c r="AB78" s="3" t="str">
        <f>IFERROR(MID(VLOOKUP($B78,Seqs!$A:$B,2,FALSE),AC78,1),"")</f>
        <v>P</v>
      </c>
      <c r="AC78" s="3">
        <v>162</v>
      </c>
      <c r="AD78" s="3" t="str">
        <f>IFERROR(MID(VLOOKUP($B78,Seqs!$A:$B,2,FALSE),AE78,1),"")</f>
        <v>A</v>
      </c>
      <c r="AE78" s="3">
        <v>187</v>
      </c>
      <c r="AF78" s="3" t="str">
        <f>IFERROR(MID(VLOOKUP($B78,Seqs!$A:$B,2,FALSE),AG78,1),"")</f>
        <v>C</v>
      </c>
      <c r="AG78" s="3">
        <v>198</v>
      </c>
      <c r="AH78" s="3" t="str">
        <f>IFERROR(MID(VLOOKUP($B78,Seqs!$A:$B,2,FALSE),AI78,1),"")</f>
        <v>L</v>
      </c>
      <c r="AI78" s="3">
        <v>200</v>
      </c>
      <c r="AJ78" s="3" t="str">
        <f>IFERROR(MID(VLOOKUP($B78,Seqs!$A:$B,2,FALSE),AK78,1),"")</f>
        <v>S</v>
      </c>
      <c r="AK78" s="3">
        <v>206</v>
      </c>
      <c r="AL78" s="3" t="str">
        <f>IFERROR(MID(VLOOKUP($B78,Seqs!$A:$B,2,FALSE),AM78,1),"")</f>
        <v>V</v>
      </c>
      <c r="AM78" s="3">
        <v>243</v>
      </c>
      <c r="AN78" s="3" t="str">
        <f>IFERROR(MID(VLOOKUP($B78,Seqs!$A:$B,2,FALSE),AO78,1),"")</f>
        <v>S</v>
      </c>
      <c r="AO78" s="3">
        <v>249</v>
      </c>
      <c r="AP78" s="3" t="str">
        <f>IFERROR(MID(VLOOKUP($B78,Seqs!$A:$B,2,FALSE),AQ78,1),"")</f>
        <v>V</v>
      </c>
      <c r="AQ78" s="3">
        <v>287</v>
      </c>
      <c r="AR78" s="3" t="str">
        <f>IFERROR(MID(VLOOKUP($B78,Seqs!$A:$B,2,FALSE),AS78,1),"")</f>
        <v>D</v>
      </c>
      <c r="AS78" s="3">
        <v>293</v>
      </c>
      <c r="AT78" s="3" t="str">
        <f>IFERROR(MID(VLOOKUP($B78,Seqs!$A:$B,2,FALSE),AU78,1),"")</f>
        <v>L</v>
      </c>
      <c r="AU78" s="3">
        <v>321</v>
      </c>
      <c r="AV78" s="3" t="str">
        <f>IFERROR(MID(VLOOKUP($B78,Seqs!$A:$B,2,FALSE),AW78,1),"")</f>
        <v>D</v>
      </c>
      <c r="AW78" s="3">
        <v>322</v>
      </c>
      <c r="AX78" s="3" t="str">
        <f>IFERROR(MID(VLOOKUP($B78,Seqs!$A:$B,2,FALSE),AY78,1),"")</f>
        <v>K</v>
      </c>
      <c r="AY78" s="3">
        <v>335</v>
      </c>
      <c r="AZ78" s="83" t="str">
        <f>VLOOKUP(B78,Classification!A:D,2,FALSE)</f>
        <v>A</v>
      </c>
      <c r="BB78" s="82">
        <f>S78-Q78+1</f>
        <v>4</v>
      </c>
      <c r="BC78" s="57">
        <f t="shared" si="116"/>
        <v>270</v>
      </c>
      <c r="BD78" s="63" t="b">
        <f t="shared" si="117"/>
        <v>1</v>
      </c>
      <c r="BE78" s="68" t="s">
        <v>1514</v>
      </c>
      <c r="BF78" s="75" t="s">
        <v>1514</v>
      </c>
      <c r="BG78" s="75" t="s">
        <v>1514</v>
      </c>
      <c r="BH78" s="75" t="s">
        <v>1514</v>
      </c>
      <c r="BI78" s="75" t="s">
        <v>1514</v>
      </c>
      <c r="BJ78" s="75" t="s">
        <v>1514</v>
      </c>
      <c r="BK78" s="75" t="s">
        <v>1514</v>
      </c>
      <c r="BL78" s="75" t="s">
        <v>1514</v>
      </c>
      <c r="BM78" s="75" t="s">
        <v>1514</v>
      </c>
      <c r="BN78" s="75" t="s">
        <v>1514</v>
      </c>
      <c r="BO78" s="75" t="s">
        <v>1514</v>
      </c>
      <c r="BP78" s="75" t="s">
        <v>1514</v>
      </c>
      <c r="BQ78" s="68">
        <f t="shared" si="90"/>
        <v>39</v>
      </c>
      <c r="BR78" s="69">
        <f t="shared" si="91"/>
        <v>78</v>
      </c>
      <c r="BS78" s="70">
        <f t="shared" si="92"/>
        <v>82</v>
      </c>
      <c r="BT78" s="69">
        <f t="shared" si="93"/>
        <v>113</v>
      </c>
      <c r="BU78" s="70">
        <f t="shared" si="94"/>
        <v>117</v>
      </c>
      <c r="BV78" s="69">
        <f t="shared" si="95"/>
        <v>153</v>
      </c>
      <c r="BW78" s="70">
        <f t="shared" si="96"/>
        <v>162</v>
      </c>
      <c r="BX78" s="69">
        <f t="shared" si="97"/>
        <v>198</v>
      </c>
      <c r="BY78" s="70">
        <f t="shared" si="98"/>
        <v>206</v>
      </c>
      <c r="BZ78" s="69">
        <f t="shared" si="99"/>
        <v>249</v>
      </c>
      <c r="CA78" s="70">
        <f t="shared" si="100"/>
        <v>293</v>
      </c>
      <c r="CB78" s="69">
        <f t="shared" si="101"/>
        <v>322</v>
      </c>
      <c r="CC78" s="68">
        <f t="shared" si="102"/>
        <v>77</v>
      </c>
      <c r="CD78" s="69">
        <f t="shared" si="103"/>
        <v>81</v>
      </c>
      <c r="CE78" s="70">
        <f t="shared" si="104"/>
        <v>111</v>
      </c>
      <c r="CF78" s="70">
        <f t="shared" si="105"/>
        <v>116</v>
      </c>
      <c r="CG78" s="70">
        <f t="shared" si="106"/>
        <v>152</v>
      </c>
      <c r="CH78" s="70">
        <f t="shared" si="107"/>
        <v>160</v>
      </c>
      <c r="CI78" s="70">
        <f t="shared" si="108"/>
        <v>187</v>
      </c>
      <c r="CJ78" s="70">
        <f t="shared" si="109"/>
        <v>200</v>
      </c>
      <c r="CK78" s="70">
        <f t="shared" si="110"/>
        <v>243</v>
      </c>
      <c r="CL78" s="70">
        <f t="shared" si="111"/>
        <v>287</v>
      </c>
      <c r="CM78" s="70">
        <f t="shared" si="112"/>
        <v>321</v>
      </c>
      <c r="CN78" s="70">
        <f t="shared" si="113"/>
        <v>335</v>
      </c>
      <c r="CO78" s="57">
        <f t="shared" si="114"/>
        <v>1</v>
      </c>
    </row>
    <row r="79" spans="1:93" s="16" customFormat="1" x14ac:dyDescent="0.2">
      <c r="A79" s="16" t="str">
        <f t="shared" si="115"/>
        <v>oprd_human_4N6H</v>
      </c>
      <c r="B79" s="16" t="s">
        <v>529</v>
      </c>
      <c r="C79" s="16" t="s">
        <v>279</v>
      </c>
      <c r="D79" s="16" t="str">
        <f>IFERROR(MID(VLOOKUP($B79,Seqs!$A:$B,2,FALSE),E79,1),"")</f>
        <v>G</v>
      </c>
      <c r="E79" s="122">
        <v>39</v>
      </c>
      <c r="F79" s="16" t="str">
        <f>IFERROR(MID(VLOOKUP($B79,Seqs!$A:$B,2,FALSE),G79,1),"")</f>
        <v>Y</v>
      </c>
      <c r="G79" s="16">
        <v>77</v>
      </c>
      <c r="H79" s="16" t="str">
        <f>IFERROR(MID(VLOOKUP($B79,Seqs!$A:$B,2,FALSE),I79,1),"")</f>
        <v>T</v>
      </c>
      <c r="I79" s="115">
        <v>78</v>
      </c>
      <c r="J79" s="16" t="str">
        <f>IFERROR(MID(VLOOKUP($B79,Seqs!$A:$B,2,FALSE),K79,1),"")</f>
        <v>K</v>
      </c>
      <c r="K79" s="115">
        <v>81</v>
      </c>
      <c r="L79" s="16" t="str">
        <f>IFERROR(MID(VLOOKUP($B79,Seqs!$A:$B,2,FALSE),M79,1),"")</f>
        <v>T</v>
      </c>
      <c r="M79" s="16">
        <v>82</v>
      </c>
      <c r="N79" s="16" t="str">
        <f>IFERROR(MID(VLOOKUP($B79,Seqs!$A:$B,2,FALSE),O79,1),"")</f>
        <v>M</v>
      </c>
      <c r="O79" s="16">
        <v>111</v>
      </c>
      <c r="P79" s="16" t="str">
        <f>IFERROR(MID(VLOOKUP($B79,Seqs!$A:$B,2,FALSE),Q79,1),"")</f>
        <v>T</v>
      </c>
      <c r="Q79" s="16">
        <v>113</v>
      </c>
      <c r="R79" s="16" t="str">
        <f>IFERROR(MID(VLOOKUP($B79,Seqs!$A:$B,2,FALSE),S79,1),"")</f>
        <v>F</v>
      </c>
      <c r="S79" s="16">
        <v>116</v>
      </c>
      <c r="T79" s="16" t="str">
        <f>IFERROR(MID(VLOOKUP($B79,Seqs!$A:$B,2,FALSE),U79,1),"")</f>
        <v>G</v>
      </c>
      <c r="U79" s="16">
        <v>117</v>
      </c>
      <c r="V79" s="16" t="str">
        <f>IFERROR(MID(VLOOKUP($B79,Seqs!$A:$B,2,FALSE),W79,1),"")</f>
        <v>H</v>
      </c>
      <c r="W79" s="16">
        <v>152</v>
      </c>
      <c r="X79" s="16" t="str">
        <f>IFERROR(MID(VLOOKUP($B79,Seqs!$A:$B,2,FALSE),Y79,1),"")</f>
        <v>P</v>
      </c>
      <c r="Y79" s="16">
        <v>153</v>
      </c>
      <c r="Z79" s="16" t="str">
        <f>IFERROR(MID(VLOOKUP($B79,Seqs!$A:$B,2,FALSE),AA79,1),"")</f>
        <v>R</v>
      </c>
      <c r="AA79" s="16">
        <v>160</v>
      </c>
      <c r="AB79" s="16" t="str">
        <f>IFERROR(MID(VLOOKUP($B79,Seqs!$A:$B,2,FALSE),AC79,1),"")</f>
        <v>P</v>
      </c>
      <c r="AC79" s="16">
        <v>162</v>
      </c>
      <c r="AD79" s="16" t="str">
        <f>IFERROR(MID(VLOOKUP($B79,Seqs!$A:$B,2,FALSE),AE79,1),"")</f>
        <v>A</v>
      </c>
      <c r="AE79" s="16">
        <v>187</v>
      </c>
      <c r="AF79" s="16" t="str">
        <f>IFERROR(MID(VLOOKUP($B79,Seqs!$A:$B,2,FALSE),AG79,1),"")</f>
        <v>C</v>
      </c>
      <c r="AG79" s="16">
        <v>198</v>
      </c>
      <c r="AH79" s="16" t="str">
        <f>IFERROR(MID(VLOOKUP($B79,Seqs!$A:$B,2,FALSE),AI79,1),"")</f>
        <v>L</v>
      </c>
      <c r="AI79" s="16">
        <v>200</v>
      </c>
      <c r="AJ79" s="16" t="str">
        <f>IFERROR(MID(VLOOKUP($B79,Seqs!$A:$B,2,FALSE),AK79,1),"")</f>
        <v>S</v>
      </c>
      <c r="AK79" s="16">
        <v>206</v>
      </c>
      <c r="AL79" s="16" t="str">
        <f>IFERROR(MID(VLOOKUP($B79,Seqs!$A:$B,2,FALSE),AM79,1),"")</f>
        <v>V</v>
      </c>
      <c r="AM79" s="16">
        <v>243</v>
      </c>
      <c r="AN79" s="16" t="str">
        <f>IFERROR(MID(VLOOKUP($B79,Seqs!$A:$B,2,FALSE),AO79,1),"")</f>
        <v>K</v>
      </c>
      <c r="AO79" s="16">
        <v>250</v>
      </c>
      <c r="AP79" s="16" t="str">
        <f>IFERROR(MID(VLOOKUP($B79,Seqs!$A:$B,2,FALSE),AQ79,1),"")</f>
        <v>V</v>
      </c>
      <c r="AQ79" s="16">
        <v>287</v>
      </c>
      <c r="AR79" s="16" t="str">
        <f>IFERROR(MID(VLOOKUP($B79,Seqs!$A:$B,2,FALSE),AS79,1),"")</f>
        <v>D</v>
      </c>
      <c r="AS79" s="16">
        <v>293</v>
      </c>
      <c r="AT79" s="16" t="str">
        <f>IFERROR(MID(VLOOKUP($B79,Seqs!$A:$B,2,FALSE),AU79,1),"")</f>
        <v>L</v>
      </c>
      <c r="AU79" s="16">
        <v>321</v>
      </c>
      <c r="AV79" s="16" t="str">
        <f>IFERROR(MID(VLOOKUP($B79,Seqs!$A:$B,2,FALSE),AW79,1),"")</f>
        <v>D</v>
      </c>
      <c r="AW79" s="16">
        <v>322</v>
      </c>
      <c r="AX79" s="16" t="str">
        <f>IFERROR(MID(VLOOKUP($B79,Seqs!$A:$B,2,FALSE),AY79,1),"")</f>
        <v>K</v>
      </c>
      <c r="AY79" s="16">
        <v>335</v>
      </c>
      <c r="AZ79" s="116" t="str">
        <f>VLOOKUP(B79,Classification!A:D,2,FALSE)</f>
        <v>A</v>
      </c>
      <c r="BB79" s="121"/>
      <c r="BC79" s="115">
        <f t="shared" si="116"/>
        <v>269</v>
      </c>
      <c r="BD79" s="85" t="b">
        <f t="shared" si="117"/>
        <v>1</v>
      </c>
      <c r="BE79" s="117" t="s">
        <v>1514</v>
      </c>
      <c r="BF79" s="118" t="s">
        <v>1514</v>
      </c>
      <c r="BG79" s="118" t="s">
        <v>1514</v>
      </c>
      <c r="BH79" s="118" t="s">
        <v>1514</v>
      </c>
      <c r="BI79" s="118" t="s">
        <v>1514</v>
      </c>
      <c r="BJ79" s="118" t="s">
        <v>1514</v>
      </c>
      <c r="BK79" s="118" t="s">
        <v>1514</v>
      </c>
      <c r="BL79" s="118" t="s">
        <v>1514</v>
      </c>
      <c r="BM79" s="118" t="s">
        <v>1514</v>
      </c>
      <c r="BN79" s="118" t="s">
        <v>1514</v>
      </c>
      <c r="BO79" s="118" t="s">
        <v>1514</v>
      </c>
      <c r="BP79" s="118" t="s">
        <v>1514</v>
      </c>
      <c r="BQ79" s="117">
        <f t="shared" si="90"/>
        <v>39</v>
      </c>
      <c r="BR79" s="119">
        <f t="shared" si="91"/>
        <v>78</v>
      </c>
      <c r="BS79" s="120">
        <f t="shared" si="92"/>
        <v>82</v>
      </c>
      <c r="BT79" s="119">
        <f t="shared" si="93"/>
        <v>113</v>
      </c>
      <c r="BU79" s="120">
        <f t="shared" si="94"/>
        <v>117</v>
      </c>
      <c r="BV79" s="119">
        <f t="shared" si="95"/>
        <v>153</v>
      </c>
      <c r="BW79" s="120">
        <f t="shared" si="96"/>
        <v>162</v>
      </c>
      <c r="BX79" s="119">
        <f t="shared" si="97"/>
        <v>198</v>
      </c>
      <c r="BY79" s="120">
        <f t="shared" si="98"/>
        <v>206</v>
      </c>
      <c r="BZ79" s="119">
        <f t="shared" si="99"/>
        <v>250</v>
      </c>
      <c r="CA79" s="120">
        <f t="shared" si="100"/>
        <v>293</v>
      </c>
      <c r="CB79" s="119">
        <f t="shared" si="101"/>
        <v>322</v>
      </c>
      <c r="CC79" s="117">
        <f t="shared" si="102"/>
        <v>77</v>
      </c>
      <c r="CD79" s="119">
        <f t="shared" si="103"/>
        <v>81</v>
      </c>
      <c r="CE79" s="120">
        <f t="shared" si="104"/>
        <v>111</v>
      </c>
      <c r="CF79" s="120">
        <f t="shared" si="105"/>
        <v>116</v>
      </c>
      <c r="CG79" s="120">
        <f t="shared" si="106"/>
        <v>152</v>
      </c>
      <c r="CH79" s="120">
        <f t="shared" si="107"/>
        <v>160</v>
      </c>
      <c r="CI79" s="120">
        <f t="shared" si="108"/>
        <v>187</v>
      </c>
      <c r="CJ79" s="120">
        <f t="shared" si="109"/>
        <v>200</v>
      </c>
      <c r="CK79" s="120">
        <f t="shared" si="110"/>
        <v>243</v>
      </c>
      <c r="CL79" s="120">
        <f t="shared" si="111"/>
        <v>287</v>
      </c>
      <c r="CM79" s="120">
        <f t="shared" si="112"/>
        <v>321</v>
      </c>
      <c r="CN79" s="120">
        <f t="shared" si="113"/>
        <v>335</v>
      </c>
      <c r="CO79" s="115">
        <f t="shared" si="114"/>
        <v>1</v>
      </c>
    </row>
    <row r="80" spans="1:93" x14ac:dyDescent="0.2">
      <c r="A80" s="3" t="str">
        <f t="shared" si="115"/>
        <v>oprd_mouse__wt</v>
      </c>
      <c r="B80" s="3" t="s">
        <v>1112</v>
      </c>
      <c r="C80" s="3" t="s">
        <v>294</v>
      </c>
      <c r="D80" s="3" t="str">
        <f>IFERROR(MID(VLOOKUP($B80,Seqs!$A:$B,2,FALSE),E80,1),"")</f>
        <v>R</v>
      </c>
      <c r="E80" s="3">
        <v>41</v>
      </c>
      <c r="F80" s="3" t="str">
        <f>IFERROR(MID(VLOOKUP($B80,Seqs!$A:$B,2,FALSE),G80,1),"")</f>
        <v>Y</v>
      </c>
      <c r="G80" s="3">
        <v>77</v>
      </c>
      <c r="H80" s="3" t="str">
        <f>IFERROR(MID(VLOOKUP($B80,Seqs!$A:$B,2,FALSE),I80,1),"")</f>
        <v>T</v>
      </c>
      <c r="I80" s="57">
        <v>78</v>
      </c>
      <c r="J80" s="3" t="str">
        <f>IFERROR(MID(VLOOKUP($B80,Seqs!$A:$B,2,FALSE),K80,1),"")</f>
        <v>K</v>
      </c>
      <c r="K80" s="57">
        <v>81</v>
      </c>
      <c r="L80" s="3" t="str">
        <f>IFERROR(MID(VLOOKUP($B80,Seqs!$A:$B,2,FALSE),M80,1),"")</f>
        <v>T</v>
      </c>
      <c r="M80" s="3">
        <v>82</v>
      </c>
      <c r="N80" s="3" t="str">
        <f>IFERROR(MID(VLOOKUP($B80,Seqs!$A:$B,2,FALSE),O80,1),"")</f>
        <v>M</v>
      </c>
      <c r="O80" s="3">
        <v>111</v>
      </c>
      <c r="P80" s="3" t="str">
        <f>IFERROR(MID(VLOOKUP($B80,Seqs!$A:$B,2,FALSE),Q80,1),"")</f>
        <v>T</v>
      </c>
      <c r="Q80" s="3">
        <v>113</v>
      </c>
      <c r="R80" s="3" t="str">
        <f>IFERROR(MID(VLOOKUP($B80,Seqs!$A:$B,2,FALSE),S80,1),"")</f>
        <v>F</v>
      </c>
      <c r="S80" s="3">
        <v>116</v>
      </c>
      <c r="T80" s="3" t="str">
        <f>IFERROR(MID(VLOOKUP($B80,Seqs!$A:$B,2,FALSE),U80,1),"")</f>
        <v>G</v>
      </c>
      <c r="U80" s="3">
        <v>117</v>
      </c>
      <c r="V80" s="3" t="str">
        <f>IFERROR(MID(VLOOKUP($B80,Seqs!$A:$B,2,FALSE),W80,1),"")</f>
        <v>H</v>
      </c>
      <c r="W80" s="3">
        <v>152</v>
      </c>
      <c r="X80" s="3" t="str">
        <f>IFERROR(MID(VLOOKUP($B80,Seqs!$A:$B,2,FALSE),Y80,1),"")</f>
        <v>P</v>
      </c>
      <c r="Y80" s="3">
        <v>153</v>
      </c>
      <c r="Z80" s="3" t="str">
        <f>IFERROR(MID(VLOOKUP($B80,Seqs!$A:$B,2,FALSE),AA80,1),"")</f>
        <v>R</v>
      </c>
      <c r="AA80" s="3">
        <v>160</v>
      </c>
      <c r="AB80" s="3" t="str">
        <f>IFERROR(MID(VLOOKUP($B80,Seqs!$A:$B,2,FALSE),AC80,1),"")</f>
        <v>P</v>
      </c>
      <c r="AC80" s="3">
        <v>162</v>
      </c>
      <c r="AD80" s="3" t="str">
        <f>IFERROR(MID(VLOOKUP($B80,Seqs!$A:$B,2,FALSE),AE80,1),"")</f>
        <v>A</v>
      </c>
      <c r="AE80" s="3">
        <v>187</v>
      </c>
      <c r="AF80" s="3" t="str">
        <f>IFERROR(MID(VLOOKUP($B80,Seqs!$A:$B,2,FALSE),AG80,1),"")</f>
        <v>C</v>
      </c>
      <c r="AG80" s="3">
        <v>198</v>
      </c>
      <c r="AH80" s="3" t="str">
        <f>IFERROR(MID(VLOOKUP($B80,Seqs!$A:$B,2,FALSE),AI80,1),"")</f>
        <v>L</v>
      </c>
      <c r="AI80" s="3">
        <v>200</v>
      </c>
      <c r="AJ80" s="3" t="str">
        <f>IFERROR(MID(VLOOKUP($B80,Seqs!$A:$B,2,FALSE),AK80,1),"")</f>
        <v>S</v>
      </c>
      <c r="AK80" s="3">
        <v>206</v>
      </c>
      <c r="AL80" s="3" t="str">
        <f>IFERROR(MID(VLOOKUP($B80,Seqs!$A:$B,2,FALSE),AM80,1),"")</f>
        <v>V</v>
      </c>
      <c r="AM80" s="3">
        <v>243</v>
      </c>
      <c r="AN80" s="3" t="str">
        <f>IFERROR(MID(VLOOKUP($B80,Seqs!$A:$B,2,FALSE),AO80,1),"")</f>
        <v>S</v>
      </c>
      <c r="AO80" s="3">
        <v>249</v>
      </c>
      <c r="AP80" s="3" t="str">
        <f>IFERROR(MID(VLOOKUP($B80,Seqs!$A:$B,2,FALSE),AQ80,1),"")</f>
        <v>V</v>
      </c>
      <c r="AQ80" s="3">
        <v>287</v>
      </c>
      <c r="AR80" s="3" t="str">
        <f>IFERROR(MID(VLOOKUP($B80,Seqs!$A:$B,2,FALSE),AS80,1),"")</f>
        <v>D</v>
      </c>
      <c r="AS80" s="3">
        <v>293</v>
      </c>
      <c r="AT80" s="3" t="str">
        <f>IFERROR(MID(VLOOKUP($B80,Seqs!$A:$B,2,FALSE),AU80,1),"")</f>
        <v>L</v>
      </c>
      <c r="AU80" s="3">
        <v>321</v>
      </c>
      <c r="AV80" s="3" t="str">
        <f>IFERROR(MID(VLOOKUP($B80,Seqs!$A:$B,2,FALSE),AW80,1),"")</f>
        <v>D</v>
      </c>
      <c r="AW80" s="3">
        <v>322</v>
      </c>
      <c r="AX80" s="3" t="str">
        <f>IFERROR(MID(VLOOKUP($B80,Seqs!$A:$B,2,FALSE),AY80,1),"")</f>
        <v>T</v>
      </c>
      <c r="AY80" s="3">
        <v>335</v>
      </c>
      <c r="AZ80" s="83" t="str">
        <f>VLOOKUP(B80,Classification!A:D,2,FALSE)</f>
        <v>A</v>
      </c>
      <c r="BB80" s="82">
        <f>S80-Q80+1</f>
        <v>4</v>
      </c>
      <c r="BC80" s="57">
        <f t="shared" si="116"/>
        <v>268</v>
      </c>
      <c r="BD80" s="63" t="b">
        <f t="shared" si="117"/>
        <v>1</v>
      </c>
      <c r="BE80" s="68" t="s">
        <v>1514</v>
      </c>
      <c r="BF80" s="75" t="s">
        <v>1514</v>
      </c>
      <c r="BG80" s="75" t="s">
        <v>1514</v>
      </c>
      <c r="BH80" s="75" t="s">
        <v>1514</v>
      </c>
      <c r="BI80" s="75" t="s">
        <v>1514</v>
      </c>
      <c r="BJ80" s="75" t="s">
        <v>1514</v>
      </c>
      <c r="BK80" s="75" t="s">
        <v>1514</v>
      </c>
      <c r="BL80" s="75" t="s">
        <v>1514</v>
      </c>
      <c r="BM80" s="75" t="s">
        <v>1514</v>
      </c>
      <c r="BN80" s="75" t="s">
        <v>1514</v>
      </c>
      <c r="BO80" s="75" t="s">
        <v>1514</v>
      </c>
      <c r="BP80" s="75" t="s">
        <v>1514</v>
      </c>
      <c r="BQ80" s="68">
        <f t="shared" si="90"/>
        <v>41</v>
      </c>
      <c r="BR80" s="69">
        <f t="shared" si="91"/>
        <v>78</v>
      </c>
      <c r="BS80" s="70">
        <f t="shared" si="92"/>
        <v>82</v>
      </c>
      <c r="BT80" s="69">
        <f t="shared" si="93"/>
        <v>113</v>
      </c>
      <c r="BU80" s="70">
        <f t="shared" si="94"/>
        <v>117</v>
      </c>
      <c r="BV80" s="69">
        <f t="shared" si="95"/>
        <v>153</v>
      </c>
      <c r="BW80" s="70">
        <f t="shared" si="96"/>
        <v>162</v>
      </c>
      <c r="BX80" s="69">
        <f t="shared" si="97"/>
        <v>198</v>
      </c>
      <c r="BY80" s="70">
        <f t="shared" si="98"/>
        <v>206</v>
      </c>
      <c r="BZ80" s="69">
        <f t="shared" si="99"/>
        <v>249</v>
      </c>
      <c r="CA80" s="70">
        <f t="shared" si="100"/>
        <v>293</v>
      </c>
      <c r="CB80" s="69">
        <f t="shared" si="101"/>
        <v>322</v>
      </c>
      <c r="CC80" s="68">
        <f t="shared" si="102"/>
        <v>77</v>
      </c>
      <c r="CD80" s="69">
        <f t="shared" si="103"/>
        <v>81</v>
      </c>
      <c r="CE80" s="70">
        <f t="shared" si="104"/>
        <v>111</v>
      </c>
      <c r="CF80" s="70">
        <f t="shared" si="105"/>
        <v>116</v>
      </c>
      <c r="CG80" s="70">
        <f t="shared" si="106"/>
        <v>152</v>
      </c>
      <c r="CH80" s="70">
        <f t="shared" si="107"/>
        <v>160</v>
      </c>
      <c r="CI80" s="70">
        <f t="shared" si="108"/>
        <v>187</v>
      </c>
      <c r="CJ80" s="70">
        <f t="shared" si="109"/>
        <v>200</v>
      </c>
      <c r="CK80" s="70">
        <f t="shared" si="110"/>
        <v>243</v>
      </c>
      <c r="CL80" s="70">
        <f t="shared" si="111"/>
        <v>287</v>
      </c>
      <c r="CM80" s="70">
        <f t="shared" si="112"/>
        <v>321</v>
      </c>
      <c r="CN80" s="70">
        <f t="shared" si="113"/>
        <v>335</v>
      </c>
      <c r="CO80" s="57">
        <f t="shared" si="114"/>
        <v>1</v>
      </c>
    </row>
    <row r="81" spans="1:93" x14ac:dyDescent="0.2">
      <c r="A81" s="3" t="str">
        <f t="shared" si="115"/>
        <v>oprd_mouse_4EJ4</v>
      </c>
      <c r="B81" s="3" t="s">
        <v>1112</v>
      </c>
      <c r="C81" s="3" t="s">
        <v>255</v>
      </c>
      <c r="D81" s="3" t="str">
        <f>IFERROR(MID(VLOOKUP($B81,Seqs!$A:$B,2,FALSE),E81,1),"")</f>
        <v>R</v>
      </c>
      <c r="E81" s="3">
        <v>41</v>
      </c>
      <c r="F81" s="3" t="str">
        <f>IFERROR(MID(VLOOKUP($B81,Seqs!$A:$B,2,FALSE),G81,1),"")</f>
        <v>Y</v>
      </c>
      <c r="G81" s="3">
        <v>77</v>
      </c>
      <c r="H81" s="3" t="str">
        <f>IFERROR(MID(VLOOKUP($B81,Seqs!$A:$B,2,FALSE),I81,1),"")</f>
        <v>T</v>
      </c>
      <c r="I81" s="57">
        <v>78</v>
      </c>
      <c r="J81" s="3" t="str">
        <f>IFERROR(MID(VLOOKUP($B81,Seqs!$A:$B,2,FALSE),K81,1),"")</f>
        <v>K</v>
      </c>
      <c r="K81" s="57">
        <v>81</v>
      </c>
      <c r="L81" s="3" t="str">
        <f>IFERROR(MID(VLOOKUP($B81,Seqs!$A:$B,2,FALSE),M81,1),"")</f>
        <v>T</v>
      </c>
      <c r="M81" s="3">
        <v>82</v>
      </c>
      <c r="N81" s="3" t="str">
        <f>IFERROR(MID(VLOOKUP($B81,Seqs!$A:$B,2,FALSE),O81,1),"")</f>
        <v>M</v>
      </c>
      <c r="O81" s="3">
        <v>111</v>
      </c>
      <c r="P81" s="3" t="str">
        <f>IFERROR(MID(VLOOKUP($B81,Seqs!$A:$B,2,FALSE),Q81,1),"")</f>
        <v>T</v>
      </c>
      <c r="Q81" s="3">
        <v>113</v>
      </c>
      <c r="R81" s="3" t="str">
        <f>IFERROR(MID(VLOOKUP($B81,Seqs!$A:$B,2,FALSE),S81,1),"")</f>
        <v>F</v>
      </c>
      <c r="S81" s="3">
        <v>116</v>
      </c>
      <c r="T81" s="3" t="str">
        <f>IFERROR(MID(VLOOKUP($B81,Seqs!$A:$B,2,FALSE),U81,1),"")</f>
        <v>G</v>
      </c>
      <c r="U81" s="3">
        <v>117</v>
      </c>
      <c r="V81" s="3" t="str">
        <f>IFERROR(MID(VLOOKUP($B81,Seqs!$A:$B,2,FALSE),W81,1),"")</f>
        <v>H</v>
      </c>
      <c r="W81" s="3">
        <v>152</v>
      </c>
      <c r="X81" s="3" t="str">
        <f>IFERROR(MID(VLOOKUP($B81,Seqs!$A:$B,2,FALSE),Y81,1),"")</f>
        <v>P</v>
      </c>
      <c r="Y81" s="3">
        <v>153</v>
      </c>
      <c r="Z81" s="3" t="str">
        <f>IFERROR(MID(VLOOKUP($B81,Seqs!$A:$B,2,FALSE),AA81,1),"")</f>
        <v>R</v>
      </c>
      <c r="AA81" s="3">
        <v>160</v>
      </c>
      <c r="AB81" s="3" t="str">
        <f>IFERROR(MID(VLOOKUP($B81,Seqs!$A:$B,2,FALSE),AC81,1),"")</f>
        <v>P</v>
      </c>
      <c r="AC81" s="3">
        <v>162</v>
      </c>
      <c r="AD81" s="3" t="str">
        <f>IFERROR(MID(VLOOKUP($B81,Seqs!$A:$B,2,FALSE),AE81,1),"")</f>
        <v>A</v>
      </c>
      <c r="AE81" s="3">
        <v>187</v>
      </c>
      <c r="AF81" s="3" t="str">
        <f>IFERROR(MID(VLOOKUP($B81,Seqs!$A:$B,2,FALSE),AG81,1),"")</f>
        <v>C</v>
      </c>
      <c r="AG81" s="3">
        <v>198</v>
      </c>
      <c r="AH81" s="3" t="str">
        <f>IFERROR(MID(VLOOKUP($B81,Seqs!$A:$B,2,FALSE),AI81,1),"")</f>
        <v>L</v>
      </c>
      <c r="AI81" s="3">
        <v>200</v>
      </c>
      <c r="AJ81" s="3" t="str">
        <f>IFERROR(MID(VLOOKUP($B81,Seqs!$A:$B,2,FALSE),AK81,1),"")</f>
        <v>S</v>
      </c>
      <c r="AK81" s="3">
        <v>206</v>
      </c>
      <c r="AL81" s="3" t="str">
        <f>IFERROR(MID(VLOOKUP($B81,Seqs!$A:$B,2,FALSE),AM81,1),"")</f>
        <v>L</v>
      </c>
      <c r="AM81" s="3">
        <v>238</v>
      </c>
      <c r="AN81" s="3" t="str">
        <f>IFERROR(MID(VLOOKUP($B81,Seqs!$A:$B,2,FALSE),AO81,1),"")</f>
        <v>R</v>
      </c>
      <c r="AO81" s="3">
        <v>258</v>
      </c>
      <c r="AP81" s="3" t="str">
        <f>IFERROR(MID(VLOOKUP($B81,Seqs!$A:$B,2,FALSE),AQ81,1),"")</f>
        <v>V</v>
      </c>
      <c r="AQ81" s="3">
        <v>287</v>
      </c>
      <c r="AR81" s="3" t="str">
        <f>IFERROR(MID(VLOOKUP($B81,Seqs!$A:$B,2,FALSE),AS81,1),"")</f>
        <v>D</v>
      </c>
      <c r="AS81" s="3">
        <v>293</v>
      </c>
      <c r="AT81" s="3" t="str">
        <f>IFERROR(MID(VLOOKUP($B81,Seqs!$A:$B,2,FALSE),AU81,1),"")</f>
        <v>L</v>
      </c>
      <c r="AU81" s="3">
        <v>321</v>
      </c>
      <c r="AV81" s="3" t="str">
        <f>IFERROR(MID(VLOOKUP($B81,Seqs!$A:$B,2,FALSE),AW81,1),"")</f>
        <v>D</v>
      </c>
      <c r="AW81" s="3">
        <v>322</v>
      </c>
      <c r="AX81" s="3" t="str">
        <f>IFERROR(MID(VLOOKUP($B81,Seqs!$A:$B,2,FALSE),AY81,1),"")</f>
        <v>C</v>
      </c>
      <c r="AY81" s="3">
        <v>328</v>
      </c>
      <c r="AZ81" s="83" t="str">
        <f>VLOOKUP(B81,Classification!A:D,2,FALSE)</f>
        <v>A</v>
      </c>
      <c r="BC81" s="57">
        <f t="shared" si="116"/>
        <v>247</v>
      </c>
      <c r="BD81" s="63" t="b">
        <f t="shared" si="117"/>
        <v>1</v>
      </c>
      <c r="BE81" s="68" t="s">
        <v>1514</v>
      </c>
      <c r="BF81" s="75" t="s">
        <v>1514</v>
      </c>
      <c r="BG81" s="75" t="s">
        <v>1514</v>
      </c>
      <c r="BH81" s="75" t="s">
        <v>1514</v>
      </c>
      <c r="BI81" s="75" t="s">
        <v>1514</v>
      </c>
      <c r="BJ81" s="75" t="s">
        <v>1514</v>
      </c>
      <c r="BK81" s="75" t="s">
        <v>1514</v>
      </c>
      <c r="BL81" s="75" t="s">
        <v>1514</v>
      </c>
      <c r="BM81" s="75" t="s">
        <v>1514</v>
      </c>
      <c r="BN81" s="75" t="s">
        <v>1514</v>
      </c>
      <c r="BO81" s="75" t="s">
        <v>1514</v>
      </c>
      <c r="BP81" s="75" t="s">
        <v>1514</v>
      </c>
      <c r="BQ81" s="68">
        <f t="shared" si="90"/>
        <v>41</v>
      </c>
      <c r="BR81" s="69">
        <f t="shared" si="91"/>
        <v>78</v>
      </c>
      <c r="BS81" s="70">
        <f t="shared" si="92"/>
        <v>82</v>
      </c>
      <c r="BT81" s="69">
        <f t="shared" si="93"/>
        <v>113</v>
      </c>
      <c r="BU81" s="70">
        <f t="shared" si="94"/>
        <v>117</v>
      </c>
      <c r="BV81" s="69">
        <f t="shared" si="95"/>
        <v>153</v>
      </c>
      <c r="BW81" s="70">
        <f t="shared" si="96"/>
        <v>162</v>
      </c>
      <c r="BX81" s="69">
        <f t="shared" si="97"/>
        <v>198</v>
      </c>
      <c r="BY81" s="70">
        <f t="shared" si="98"/>
        <v>206</v>
      </c>
      <c r="BZ81" s="69">
        <f t="shared" si="99"/>
        <v>258</v>
      </c>
      <c r="CA81" s="70">
        <f t="shared" si="100"/>
        <v>293</v>
      </c>
      <c r="CB81" s="69">
        <f t="shared" si="101"/>
        <v>322</v>
      </c>
      <c r="CC81" s="68">
        <f t="shared" si="102"/>
        <v>77</v>
      </c>
      <c r="CD81" s="69">
        <f t="shared" si="103"/>
        <v>81</v>
      </c>
      <c r="CE81" s="70">
        <f t="shared" si="104"/>
        <v>111</v>
      </c>
      <c r="CF81" s="70">
        <f t="shared" si="105"/>
        <v>116</v>
      </c>
      <c r="CG81" s="70">
        <f t="shared" si="106"/>
        <v>152</v>
      </c>
      <c r="CH81" s="70">
        <f t="shared" si="107"/>
        <v>160</v>
      </c>
      <c r="CI81" s="70">
        <f t="shared" si="108"/>
        <v>187</v>
      </c>
      <c r="CJ81" s="70">
        <f t="shared" si="109"/>
        <v>200</v>
      </c>
      <c r="CK81" s="70">
        <f t="shared" si="110"/>
        <v>238</v>
      </c>
      <c r="CL81" s="70">
        <f t="shared" si="111"/>
        <v>287</v>
      </c>
      <c r="CM81" s="70">
        <f t="shared" si="112"/>
        <v>321</v>
      </c>
      <c r="CN81" s="70">
        <f t="shared" si="113"/>
        <v>328</v>
      </c>
      <c r="CO81" s="57">
        <f t="shared" si="114"/>
        <v>1</v>
      </c>
    </row>
    <row r="82" spans="1:93" x14ac:dyDescent="0.2">
      <c r="A82" s="3" t="str">
        <f t="shared" si="115"/>
        <v>oprk_human__wt</v>
      </c>
      <c r="B82" s="3" t="s">
        <v>530</v>
      </c>
      <c r="C82" s="3" t="s">
        <v>294</v>
      </c>
      <c r="D82" s="3" t="str">
        <f>IFERROR(MID(VLOOKUP($B82,Seqs!$A:$B,2,FALSE),E82,1),"")</f>
        <v>A</v>
      </c>
      <c r="E82" s="3">
        <v>57</v>
      </c>
      <c r="F82" s="3" t="str">
        <f>IFERROR(MID(VLOOKUP($B82,Seqs!$A:$B,2,FALSE),G82,1),"")</f>
        <v>Y</v>
      </c>
      <c r="G82" s="3">
        <v>87</v>
      </c>
      <c r="H82" s="3" t="str">
        <f>IFERROR(MID(VLOOKUP($B82,Seqs!$A:$B,2,FALSE),I82,1),"")</f>
        <v>T</v>
      </c>
      <c r="I82" s="57">
        <v>88</v>
      </c>
      <c r="J82" s="3" t="str">
        <f>IFERROR(MID(VLOOKUP($B82,Seqs!$A:$B,2,FALSE),K82,1),"")</f>
        <v>K</v>
      </c>
      <c r="K82" s="57">
        <v>91</v>
      </c>
      <c r="L82" s="3" t="str">
        <f>IFERROR(MID(VLOOKUP($B82,Seqs!$A:$B,2,FALSE),M82,1),"")</f>
        <v>T</v>
      </c>
      <c r="M82" s="3">
        <v>92</v>
      </c>
      <c r="N82" s="3" t="str">
        <f>IFERROR(MID(VLOOKUP($B82,Seqs!$A:$B,2,FALSE),O82,1),"")</f>
        <v>M</v>
      </c>
      <c r="O82" s="3">
        <v>121</v>
      </c>
      <c r="P82" s="3" t="str">
        <f>IFERROR(MID(VLOOKUP($B82,Seqs!$A:$B,2,FALSE),Q82,1),"")</f>
        <v>S</v>
      </c>
      <c r="Q82" s="3">
        <v>123</v>
      </c>
      <c r="R82" s="3" t="str">
        <f>IFERROR(MID(VLOOKUP($B82,Seqs!$A:$B,2,FALSE),S82,1),"")</f>
        <v>F</v>
      </c>
      <c r="S82" s="3">
        <v>126</v>
      </c>
      <c r="T82" s="3" t="str">
        <f>IFERROR(MID(VLOOKUP($B82,Seqs!$A:$B,2,FALSE),U82,1),"")</f>
        <v>G</v>
      </c>
      <c r="U82" s="3">
        <v>127</v>
      </c>
      <c r="V82" s="3" t="str">
        <f>IFERROR(MID(VLOOKUP($B82,Seqs!$A:$B,2,FALSE),W82,1),"")</f>
        <v>H</v>
      </c>
      <c r="W82" s="3">
        <v>162</v>
      </c>
      <c r="X82" s="3" t="str">
        <f>IFERROR(MID(VLOOKUP($B82,Seqs!$A:$B,2,FALSE),Y82,1),"")</f>
        <v>P</v>
      </c>
      <c r="Y82" s="3">
        <v>163</v>
      </c>
      <c r="Z82" s="3" t="str">
        <f>IFERROR(MID(VLOOKUP($B82,Seqs!$A:$B,2,FALSE),AA82,1),"")</f>
        <v>R</v>
      </c>
      <c r="AA82" s="3">
        <v>170</v>
      </c>
      <c r="AB82" s="3" t="str">
        <f>IFERROR(MID(VLOOKUP($B82,Seqs!$A:$B,2,FALSE),AC82,1),"")</f>
        <v>P</v>
      </c>
      <c r="AC82" s="3">
        <v>172</v>
      </c>
      <c r="AD82" s="3" t="str">
        <f>IFERROR(MID(VLOOKUP($B82,Seqs!$A:$B,2,FALSE),AE82,1),"")</f>
        <v>G</v>
      </c>
      <c r="AE82" s="3">
        <v>197</v>
      </c>
      <c r="AF82" s="3" t="str">
        <f>IFERROR(MID(VLOOKUP($B82,Seqs!$A:$B,2,FALSE),AG82,1),"")</f>
        <v>C</v>
      </c>
      <c r="AG82" s="3">
        <v>210</v>
      </c>
      <c r="AH82" s="3" t="str">
        <f>IFERROR(MID(VLOOKUP($B82,Seqs!$A:$B,2,FALSE),AI82,1),"")</f>
        <v>L</v>
      </c>
      <c r="AI82" s="3">
        <v>212</v>
      </c>
      <c r="AJ82" s="3" t="str">
        <f>IFERROR(MID(VLOOKUP($B82,Seqs!$A:$B,2,FALSE),AK82,1),"")</f>
        <v>Y</v>
      </c>
      <c r="AK82" s="3">
        <v>219</v>
      </c>
      <c r="AL82" s="3" t="str">
        <f>IFERROR(MID(VLOOKUP($B82,Seqs!$A:$B,2,FALSE),AM82,1),"")</f>
        <v>V</v>
      </c>
      <c r="AM82" s="3">
        <v>256</v>
      </c>
      <c r="AN82" s="3" t="str">
        <f>IFERROR(MID(VLOOKUP($B82,Seqs!$A:$B,2,FALSE),AO82,1),"")</f>
        <v>S</v>
      </c>
      <c r="AO82" s="3">
        <v>262</v>
      </c>
      <c r="AP82" s="3" t="str">
        <f>IFERROR(MID(VLOOKUP($B82,Seqs!$A:$B,2,FALSE),AQ82,1),"")</f>
        <v>G</v>
      </c>
      <c r="AQ82" s="3">
        <v>300</v>
      </c>
      <c r="AR82" s="3" t="str">
        <f>IFERROR(MID(VLOOKUP($B82,Seqs!$A:$B,2,FALSE),AS82,1),"")</f>
        <v>S</v>
      </c>
      <c r="AS82" s="3">
        <v>305</v>
      </c>
      <c r="AT82" s="3" t="str">
        <f>IFERROR(MID(VLOOKUP($B82,Seqs!$A:$B,2,FALSE),AU82,1),"")</f>
        <v>L</v>
      </c>
      <c r="AU82" s="3">
        <v>333</v>
      </c>
      <c r="AV82" s="3" t="str">
        <f>IFERROR(MID(VLOOKUP($B82,Seqs!$A:$B,2,FALSE),AW82,1),"")</f>
        <v>D</v>
      </c>
      <c r="AW82" s="3">
        <v>334</v>
      </c>
      <c r="AX82" s="3" t="str">
        <f>IFERROR(MID(VLOOKUP($B82,Seqs!$A:$B,2,FALSE),AY82,1),"")</f>
        <v>F</v>
      </c>
      <c r="AY82" s="3">
        <v>346</v>
      </c>
      <c r="AZ82" s="83" t="str">
        <f>VLOOKUP(B82,Classification!A:D,2,FALSE)</f>
        <v>A</v>
      </c>
      <c r="BB82" s="82">
        <f>S82-Q82+1</f>
        <v>4</v>
      </c>
      <c r="BC82" s="57">
        <f t="shared" si="116"/>
        <v>261</v>
      </c>
      <c r="BD82" s="63" t="b">
        <f t="shared" si="117"/>
        <v>1</v>
      </c>
      <c r="BE82" s="68" t="s">
        <v>1514</v>
      </c>
      <c r="BF82" s="75" t="s">
        <v>1514</v>
      </c>
      <c r="BG82" s="75" t="s">
        <v>1514</v>
      </c>
      <c r="BH82" s="75" t="s">
        <v>1514</v>
      </c>
      <c r="BI82" s="75" t="s">
        <v>1514</v>
      </c>
      <c r="BJ82" s="75" t="s">
        <v>1514</v>
      </c>
      <c r="BK82" s="75" t="s">
        <v>1514</v>
      </c>
      <c r="BL82" s="75" t="s">
        <v>1514</v>
      </c>
      <c r="BM82" s="75" t="s">
        <v>1514</v>
      </c>
      <c r="BN82" s="75" t="s">
        <v>1514</v>
      </c>
      <c r="BO82" s="75" t="s">
        <v>1514</v>
      </c>
      <c r="BP82" s="75" t="s">
        <v>1514</v>
      </c>
      <c r="BQ82" s="68">
        <f t="shared" si="90"/>
        <v>57</v>
      </c>
      <c r="BR82" s="69">
        <f t="shared" si="91"/>
        <v>88</v>
      </c>
      <c r="BS82" s="70">
        <f t="shared" si="92"/>
        <v>92</v>
      </c>
      <c r="BT82" s="69">
        <f t="shared" si="93"/>
        <v>123</v>
      </c>
      <c r="BU82" s="70">
        <f t="shared" si="94"/>
        <v>127</v>
      </c>
      <c r="BV82" s="69">
        <f t="shared" si="95"/>
        <v>163</v>
      </c>
      <c r="BW82" s="70">
        <f t="shared" si="96"/>
        <v>172</v>
      </c>
      <c r="BX82" s="69">
        <f t="shared" si="97"/>
        <v>210</v>
      </c>
      <c r="BY82" s="70">
        <f t="shared" si="98"/>
        <v>219</v>
      </c>
      <c r="BZ82" s="69">
        <f t="shared" si="99"/>
        <v>262</v>
      </c>
      <c r="CA82" s="70">
        <f t="shared" si="100"/>
        <v>305</v>
      </c>
      <c r="CB82" s="69">
        <f t="shared" si="101"/>
        <v>334</v>
      </c>
      <c r="CC82" s="68">
        <f t="shared" si="102"/>
        <v>87</v>
      </c>
      <c r="CD82" s="69">
        <f t="shared" si="103"/>
        <v>91</v>
      </c>
      <c r="CE82" s="70">
        <f t="shared" si="104"/>
        <v>121</v>
      </c>
      <c r="CF82" s="70">
        <f t="shared" si="105"/>
        <v>126</v>
      </c>
      <c r="CG82" s="70">
        <f t="shared" si="106"/>
        <v>162</v>
      </c>
      <c r="CH82" s="70">
        <f t="shared" si="107"/>
        <v>170</v>
      </c>
      <c r="CI82" s="70">
        <f t="shared" si="108"/>
        <v>197</v>
      </c>
      <c r="CJ82" s="70">
        <f t="shared" si="109"/>
        <v>212</v>
      </c>
      <c r="CK82" s="70">
        <f t="shared" si="110"/>
        <v>256</v>
      </c>
      <c r="CL82" s="70">
        <f t="shared" si="111"/>
        <v>300</v>
      </c>
      <c r="CM82" s="70">
        <f t="shared" si="112"/>
        <v>333</v>
      </c>
      <c r="CN82" s="70">
        <f t="shared" si="113"/>
        <v>346</v>
      </c>
      <c r="CO82" s="57">
        <f t="shared" si="114"/>
        <v>1</v>
      </c>
    </row>
    <row r="83" spans="1:93" x14ac:dyDescent="0.2">
      <c r="A83" s="3" t="str">
        <f t="shared" si="115"/>
        <v>oprk_human_4DJH</v>
      </c>
      <c r="B83" s="3" t="s">
        <v>530</v>
      </c>
      <c r="C83" s="3" t="s">
        <v>280</v>
      </c>
      <c r="D83" s="3" t="str">
        <f>IFERROR(MID(VLOOKUP($B83,Seqs!$A:$B,2,FALSE),E83,1),"")</f>
        <v>A</v>
      </c>
      <c r="E83" s="3">
        <v>57</v>
      </c>
      <c r="F83" s="3" t="str">
        <f>IFERROR(MID(VLOOKUP($B83,Seqs!$A:$B,2,FALSE),G83,1),"")</f>
        <v>Y</v>
      </c>
      <c r="G83" s="3">
        <v>87</v>
      </c>
      <c r="H83" s="3" t="str">
        <f>IFERROR(MID(VLOOKUP($B83,Seqs!$A:$B,2,FALSE),I83,1),"")</f>
        <v>T</v>
      </c>
      <c r="I83" s="57">
        <v>88</v>
      </c>
      <c r="J83" s="3" t="str">
        <f>IFERROR(MID(VLOOKUP($B83,Seqs!$A:$B,2,FALSE),K83,1),"")</f>
        <v>K</v>
      </c>
      <c r="K83" s="57">
        <v>91</v>
      </c>
      <c r="L83" s="3" t="str">
        <f>IFERROR(MID(VLOOKUP($B83,Seqs!$A:$B,2,FALSE),M83,1),"")</f>
        <v>T</v>
      </c>
      <c r="M83" s="3">
        <v>92</v>
      </c>
      <c r="N83" s="3" t="str">
        <f>IFERROR(MID(VLOOKUP($B83,Seqs!$A:$B,2,FALSE),O83,1),"")</f>
        <v>M</v>
      </c>
      <c r="O83" s="3">
        <v>121</v>
      </c>
      <c r="P83" s="3" t="str">
        <f>IFERROR(MID(VLOOKUP($B83,Seqs!$A:$B,2,FALSE),Q83,1),"")</f>
        <v>S</v>
      </c>
      <c r="Q83" s="3">
        <v>123</v>
      </c>
      <c r="R83" s="3" t="str">
        <f>IFERROR(MID(VLOOKUP($B83,Seqs!$A:$B,2,FALSE),S83,1),"")</f>
        <v>F</v>
      </c>
      <c r="S83" s="3">
        <v>126</v>
      </c>
      <c r="T83" s="3" t="str">
        <f>IFERROR(MID(VLOOKUP($B83,Seqs!$A:$B,2,FALSE),U83,1),"")</f>
        <v>G</v>
      </c>
      <c r="U83" s="3">
        <v>127</v>
      </c>
      <c r="V83" s="3" t="str">
        <f>IFERROR(MID(VLOOKUP($B83,Seqs!$A:$B,2,FALSE),W83,1),"")</f>
        <v>H</v>
      </c>
      <c r="W83" s="3">
        <v>162</v>
      </c>
      <c r="X83" s="3" t="str">
        <f>IFERROR(MID(VLOOKUP($B83,Seqs!$A:$B,2,FALSE),Y83,1),"")</f>
        <v>P</v>
      </c>
      <c r="Y83" s="3">
        <v>163</v>
      </c>
      <c r="Z83" s="3" t="str">
        <f>IFERROR(MID(VLOOKUP($B83,Seqs!$A:$B,2,FALSE),AA83,1),"")</f>
        <v>L</v>
      </c>
      <c r="AA83" s="3">
        <v>167</v>
      </c>
      <c r="AB83" s="3" t="str">
        <f>IFERROR(MID(VLOOKUP($B83,Seqs!$A:$B,2,FALSE),AC83,1),"")</f>
        <v>R</v>
      </c>
      <c r="AC83" s="3">
        <v>170</v>
      </c>
      <c r="AD83" s="3" t="str">
        <f>IFERROR(MID(VLOOKUP($B83,Seqs!$A:$B,2,FALSE),AE83,1),"")</f>
        <v>G</v>
      </c>
      <c r="AE83" s="3">
        <v>197</v>
      </c>
      <c r="AF83" s="3" t="str">
        <f>IFERROR(MID(VLOOKUP($B83,Seqs!$A:$B,2,FALSE),AG83,1),"")</f>
        <v>C</v>
      </c>
      <c r="AG83" s="3">
        <v>210</v>
      </c>
      <c r="AH83" s="3" t="str">
        <f>IFERROR(MID(VLOOKUP($B83,Seqs!$A:$B,2,FALSE),AI83,1),"")</f>
        <v>L</v>
      </c>
      <c r="AI83" s="3">
        <v>212</v>
      </c>
      <c r="AJ83" s="3" t="str">
        <f>IFERROR(MID(VLOOKUP($B83,Seqs!$A:$B,2,FALSE),AK83,1),"")</f>
        <v>Y</v>
      </c>
      <c r="AK83" s="3">
        <v>219</v>
      </c>
      <c r="AL83" s="3" t="str">
        <f>IFERROR(MID(VLOOKUP($B83,Seqs!$A:$B,2,FALSE),AM83,1),"")</f>
        <v>V</v>
      </c>
      <c r="AM83" s="3">
        <v>256</v>
      </c>
      <c r="AN83" s="3" t="str">
        <f>IFERROR(MID(VLOOKUP($B83,Seqs!$A:$B,2,FALSE),AO83,1),"")</f>
        <v>R</v>
      </c>
      <c r="AO83" s="3">
        <v>267</v>
      </c>
      <c r="AP83" s="3" t="str">
        <f>IFERROR(MID(VLOOKUP($B83,Seqs!$A:$B,2,FALSE),AQ83,1),"")</f>
        <v>G</v>
      </c>
      <c r="AQ83" s="3">
        <v>300</v>
      </c>
      <c r="AR83" s="3" t="str">
        <f>IFERROR(MID(VLOOKUP($B83,Seqs!$A:$B,2,FALSE),AS83,1),"")</f>
        <v>A</v>
      </c>
      <c r="AS83" s="3">
        <v>308</v>
      </c>
      <c r="AT83" s="3" t="str">
        <f>IFERROR(MID(VLOOKUP($B83,Seqs!$A:$B,2,FALSE),AU83,1),"")</f>
        <v>L</v>
      </c>
      <c r="AU83" s="3">
        <v>333</v>
      </c>
      <c r="AV83" s="3" t="str">
        <f>IFERROR(MID(VLOOKUP($B83,Seqs!$A:$B,2,FALSE),AW83,1),"")</f>
        <v>D</v>
      </c>
      <c r="AW83" s="3">
        <v>334</v>
      </c>
      <c r="AX83" s="3" t="str">
        <f>IFERROR(MID(VLOOKUP($B83,Seqs!$A:$B,2,FALSE),AY83,1),"")</f>
        <v>F</v>
      </c>
      <c r="AY83" s="3">
        <v>346</v>
      </c>
      <c r="AZ83" s="83" t="str">
        <f>VLOOKUP(B83,Classification!A:D,2,FALSE)</f>
        <v>A</v>
      </c>
      <c r="BC83" s="57">
        <f t="shared" si="116"/>
        <v>252</v>
      </c>
      <c r="BD83" s="63" t="b">
        <f t="shared" si="117"/>
        <v>1</v>
      </c>
      <c r="BE83" s="68" t="s">
        <v>1514</v>
      </c>
      <c r="BF83" s="75" t="s">
        <v>1514</v>
      </c>
      <c r="BG83" s="75" t="s">
        <v>1514</v>
      </c>
      <c r="BH83" s="75" t="s">
        <v>1514</v>
      </c>
      <c r="BI83" s="75" t="s">
        <v>1514</v>
      </c>
      <c r="BJ83" s="75" t="s">
        <v>1514</v>
      </c>
      <c r="BK83" s="75" t="s">
        <v>1514</v>
      </c>
      <c r="BL83" s="75" t="s">
        <v>1514</v>
      </c>
      <c r="BM83" s="75" t="s">
        <v>1514</v>
      </c>
      <c r="BN83" s="75" t="s">
        <v>1514</v>
      </c>
      <c r="BO83" s="75" t="s">
        <v>1514</v>
      </c>
      <c r="BP83" s="75" t="s">
        <v>1514</v>
      </c>
      <c r="BQ83" s="68">
        <f t="shared" si="90"/>
        <v>57</v>
      </c>
      <c r="BR83" s="69">
        <f t="shared" si="91"/>
        <v>88</v>
      </c>
      <c r="BS83" s="70">
        <f t="shared" si="92"/>
        <v>92</v>
      </c>
      <c r="BT83" s="69">
        <f t="shared" si="93"/>
        <v>123</v>
      </c>
      <c r="BU83" s="70">
        <f t="shared" si="94"/>
        <v>127</v>
      </c>
      <c r="BV83" s="69">
        <f t="shared" si="95"/>
        <v>163</v>
      </c>
      <c r="BW83" s="70">
        <f t="shared" si="96"/>
        <v>170</v>
      </c>
      <c r="BX83" s="69">
        <f t="shared" si="97"/>
        <v>210</v>
      </c>
      <c r="BY83" s="70">
        <f t="shared" si="98"/>
        <v>219</v>
      </c>
      <c r="BZ83" s="69">
        <f t="shared" si="99"/>
        <v>267</v>
      </c>
      <c r="CA83" s="70">
        <f t="shared" si="100"/>
        <v>308</v>
      </c>
      <c r="CB83" s="69">
        <f t="shared" si="101"/>
        <v>334</v>
      </c>
      <c r="CC83" s="68">
        <f t="shared" si="102"/>
        <v>87</v>
      </c>
      <c r="CD83" s="69">
        <f t="shared" si="103"/>
        <v>91</v>
      </c>
      <c r="CE83" s="70">
        <f t="shared" si="104"/>
        <v>121</v>
      </c>
      <c r="CF83" s="70">
        <f t="shared" si="105"/>
        <v>126</v>
      </c>
      <c r="CG83" s="70">
        <f t="shared" si="106"/>
        <v>162</v>
      </c>
      <c r="CH83" s="70">
        <f t="shared" si="107"/>
        <v>167</v>
      </c>
      <c r="CI83" s="70">
        <f t="shared" si="108"/>
        <v>197</v>
      </c>
      <c r="CJ83" s="70">
        <f t="shared" si="109"/>
        <v>212</v>
      </c>
      <c r="CK83" s="70">
        <f t="shared" si="110"/>
        <v>256</v>
      </c>
      <c r="CL83" s="70">
        <f t="shared" si="111"/>
        <v>300</v>
      </c>
      <c r="CM83" s="70">
        <f t="shared" si="112"/>
        <v>333</v>
      </c>
      <c r="CN83" s="70">
        <f t="shared" si="113"/>
        <v>346</v>
      </c>
      <c r="CO83" s="57">
        <f t="shared" si="114"/>
        <v>1</v>
      </c>
    </row>
    <row r="84" spans="1:93" x14ac:dyDescent="0.2">
      <c r="A84" s="3" t="str">
        <f t="shared" si="115"/>
        <v>oprm_mouse__wt</v>
      </c>
      <c r="B84" s="3" t="s">
        <v>1114</v>
      </c>
      <c r="C84" s="3" t="s">
        <v>294</v>
      </c>
      <c r="D84" s="3" t="str">
        <f>IFERROR(MID(VLOOKUP($B84,Seqs!$A:$B,2,FALSE),E84,1),"")</f>
        <v>M</v>
      </c>
      <c r="E84" s="3">
        <v>65</v>
      </c>
      <c r="F84" s="3" t="str">
        <f>IFERROR(MID(VLOOKUP($B84,Seqs!$A:$B,2,FALSE),G84,1),"")</f>
        <v>Y</v>
      </c>
      <c r="G84" s="3">
        <v>96</v>
      </c>
      <c r="H84" s="3" t="str">
        <f>IFERROR(MID(VLOOKUP($B84,Seqs!$A:$B,2,FALSE),I84,1),"")</f>
        <v>T</v>
      </c>
      <c r="I84" s="57">
        <v>97</v>
      </c>
      <c r="J84" s="3" t="str">
        <f>IFERROR(MID(VLOOKUP($B84,Seqs!$A:$B,2,FALSE),K84,1),"")</f>
        <v>K</v>
      </c>
      <c r="K84" s="57">
        <v>100</v>
      </c>
      <c r="L84" s="3" t="str">
        <f>IFERROR(MID(VLOOKUP($B84,Seqs!$A:$B,2,FALSE),M84,1),"")</f>
        <v>T</v>
      </c>
      <c r="M84" s="3">
        <v>101</v>
      </c>
      <c r="N84" s="3" t="str">
        <f>IFERROR(MID(VLOOKUP($B84,Seqs!$A:$B,2,FALSE),O84,1),"")</f>
        <v>M</v>
      </c>
      <c r="O84" s="3">
        <v>130</v>
      </c>
      <c r="P84" s="3" t="str">
        <f>IFERROR(MID(VLOOKUP($B84,Seqs!$A:$B,2,FALSE),Q84,1),"")</f>
        <v>T</v>
      </c>
      <c r="Q84" s="3">
        <v>132</v>
      </c>
      <c r="R84" s="3" t="str">
        <f>IFERROR(MID(VLOOKUP($B84,Seqs!$A:$B,2,FALSE),S84,1),"")</f>
        <v>F</v>
      </c>
      <c r="S84" s="3">
        <v>135</v>
      </c>
      <c r="T84" s="3" t="str">
        <f>IFERROR(MID(VLOOKUP($B84,Seqs!$A:$B,2,FALSE),U84,1),"")</f>
        <v>G</v>
      </c>
      <c r="U84" s="3">
        <v>136</v>
      </c>
      <c r="V84" s="3" t="str">
        <f>IFERROR(MID(VLOOKUP($B84,Seqs!$A:$B,2,FALSE),W84,1),"")</f>
        <v>H</v>
      </c>
      <c r="W84" s="3">
        <v>171</v>
      </c>
      <c r="X84" s="3" t="str">
        <f>IFERROR(MID(VLOOKUP($B84,Seqs!$A:$B,2,FALSE),Y84,1),"")</f>
        <v>P</v>
      </c>
      <c r="Y84" s="3">
        <v>172</v>
      </c>
      <c r="Z84" s="3" t="str">
        <f>IFERROR(MID(VLOOKUP($B84,Seqs!$A:$B,2,FALSE),AA84,1),"")</f>
        <v>R</v>
      </c>
      <c r="AA84" s="3">
        <v>179</v>
      </c>
      <c r="AB84" s="3" t="str">
        <f>IFERROR(MID(VLOOKUP($B84,Seqs!$A:$B,2,FALSE),AC84,1),"")</f>
        <v>P</v>
      </c>
      <c r="AC84" s="3">
        <v>181</v>
      </c>
      <c r="AD84" s="3" t="str">
        <f>IFERROR(MID(VLOOKUP($B84,Seqs!$A:$B,2,FALSE),AE84,1),"")</f>
        <v>A</v>
      </c>
      <c r="AE84" s="3">
        <v>206</v>
      </c>
      <c r="AF84" s="3" t="str">
        <f>IFERROR(MID(VLOOKUP($B84,Seqs!$A:$B,2,FALSE),AG84,1),"")</f>
        <v>C</v>
      </c>
      <c r="AG84" s="3">
        <v>217</v>
      </c>
      <c r="AH84" s="3" t="str">
        <f>IFERROR(MID(VLOOKUP($B84,Seqs!$A:$B,2,FALSE),AI84,1),"")</f>
        <v>L</v>
      </c>
      <c r="AI84" s="3">
        <v>219</v>
      </c>
      <c r="AJ84" s="3" t="str">
        <f>IFERROR(MID(VLOOKUP($B84,Seqs!$A:$B,2,FALSE),AK84,1),"")</f>
        <v>T</v>
      </c>
      <c r="AK84" s="3">
        <v>225</v>
      </c>
      <c r="AL84" s="3" t="str">
        <f>IFERROR(MID(VLOOKUP($B84,Seqs!$A:$B,2,FALSE),AM84,1),"")</f>
        <v>V</v>
      </c>
      <c r="AM84" s="3">
        <v>262</v>
      </c>
      <c r="AN84" s="3" t="str">
        <f>IFERROR(MID(VLOOKUP($B84,Seqs!$A:$B,2,FALSE),AO84,1),"")</f>
        <v>S</v>
      </c>
      <c r="AO84" s="3">
        <v>268</v>
      </c>
      <c r="AP84" s="3" t="str">
        <f>IFERROR(MID(VLOOKUP($B84,Seqs!$A:$B,2,FALSE),AQ84,1),"")</f>
        <v>I</v>
      </c>
      <c r="AQ84" s="3">
        <v>306</v>
      </c>
      <c r="AR84" s="3" t="str">
        <f>IFERROR(MID(VLOOKUP($B84,Seqs!$A:$B,2,FALSE),AS84,1),"")</f>
        <v>T</v>
      </c>
      <c r="AS84" s="3">
        <v>311</v>
      </c>
      <c r="AT84" s="3" t="str">
        <f>IFERROR(MID(VLOOKUP($B84,Seqs!$A:$B,2,FALSE),AU84,1),"")</f>
        <v>L</v>
      </c>
      <c r="AU84" s="3">
        <v>339</v>
      </c>
      <c r="AV84" s="3" t="str">
        <f>IFERROR(MID(VLOOKUP($B84,Seqs!$A:$B,2,FALSE),AW84,1),"")</f>
        <v>D</v>
      </c>
      <c r="AW84" s="3">
        <v>340</v>
      </c>
      <c r="AX84" s="3" t="str">
        <f>IFERROR(MID(VLOOKUP($B84,Seqs!$A:$B,2,FALSE),AY84,1),"")</f>
        <v>I</v>
      </c>
      <c r="AY84" s="3">
        <v>352</v>
      </c>
      <c r="AZ84" s="83" t="str">
        <f>VLOOKUP(B84,Classification!A:D,2,FALSE)</f>
        <v>A</v>
      </c>
      <c r="BB84" s="82">
        <f>S84-Q84+1</f>
        <v>4</v>
      </c>
      <c r="BC84" s="57">
        <f t="shared" si="116"/>
        <v>262</v>
      </c>
      <c r="BD84" s="63" t="b">
        <f t="shared" si="117"/>
        <v>1</v>
      </c>
      <c r="BE84" s="68" t="s">
        <v>1514</v>
      </c>
      <c r="BF84" s="75" t="s">
        <v>1514</v>
      </c>
      <c r="BG84" s="75" t="s">
        <v>1514</v>
      </c>
      <c r="BH84" s="75" t="s">
        <v>1514</v>
      </c>
      <c r="BI84" s="75" t="s">
        <v>1514</v>
      </c>
      <c r="BJ84" s="75" t="s">
        <v>1514</v>
      </c>
      <c r="BK84" s="75" t="s">
        <v>1514</v>
      </c>
      <c r="BL84" s="75" t="s">
        <v>1514</v>
      </c>
      <c r="BM84" s="75" t="s">
        <v>1514</v>
      </c>
      <c r="BN84" s="75" t="s">
        <v>1514</v>
      </c>
      <c r="BO84" s="75" t="s">
        <v>1514</v>
      </c>
      <c r="BP84" s="75" t="s">
        <v>1514</v>
      </c>
      <c r="BQ84" s="68">
        <f t="shared" si="90"/>
        <v>65</v>
      </c>
      <c r="BR84" s="69">
        <f t="shared" si="91"/>
        <v>97</v>
      </c>
      <c r="BS84" s="70">
        <f t="shared" si="92"/>
        <v>101</v>
      </c>
      <c r="BT84" s="69">
        <f t="shared" si="93"/>
        <v>132</v>
      </c>
      <c r="BU84" s="70">
        <f t="shared" si="94"/>
        <v>136</v>
      </c>
      <c r="BV84" s="69">
        <f t="shared" si="95"/>
        <v>172</v>
      </c>
      <c r="BW84" s="70">
        <f t="shared" si="96"/>
        <v>181</v>
      </c>
      <c r="BX84" s="69">
        <f t="shared" si="97"/>
        <v>217</v>
      </c>
      <c r="BY84" s="70">
        <f t="shared" si="98"/>
        <v>225</v>
      </c>
      <c r="BZ84" s="69">
        <f t="shared" si="99"/>
        <v>268</v>
      </c>
      <c r="CA84" s="70">
        <f t="shared" si="100"/>
        <v>311</v>
      </c>
      <c r="CB84" s="69">
        <f t="shared" si="101"/>
        <v>340</v>
      </c>
      <c r="CC84" s="68">
        <f t="shared" si="102"/>
        <v>96</v>
      </c>
      <c r="CD84" s="69">
        <f t="shared" si="103"/>
        <v>100</v>
      </c>
      <c r="CE84" s="70">
        <f t="shared" si="104"/>
        <v>130</v>
      </c>
      <c r="CF84" s="70">
        <f t="shared" si="105"/>
        <v>135</v>
      </c>
      <c r="CG84" s="70">
        <f t="shared" si="106"/>
        <v>171</v>
      </c>
      <c r="CH84" s="70">
        <f t="shared" si="107"/>
        <v>179</v>
      </c>
      <c r="CI84" s="70">
        <f t="shared" si="108"/>
        <v>206</v>
      </c>
      <c r="CJ84" s="70">
        <f t="shared" si="109"/>
        <v>219</v>
      </c>
      <c r="CK84" s="70">
        <f t="shared" si="110"/>
        <v>262</v>
      </c>
      <c r="CL84" s="70">
        <f t="shared" si="111"/>
        <v>306</v>
      </c>
      <c r="CM84" s="70">
        <f t="shared" si="112"/>
        <v>339</v>
      </c>
      <c r="CN84" s="70">
        <f t="shared" si="113"/>
        <v>352</v>
      </c>
      <c r="CO84" s="57">
        <f t="shared" si="114"/>
        <v>1</v>
      </c>
    </row>
    <row r="85" spans="1:93" x14ac:dyDescent="0.2">
      <c r="A85" s="3" t="str">
        <f t="shared" si="115"/>
        <v>oprm_mouse_4DKL</v>
      </c>
      <c r="B85" s="3" t="s">
        <v>1114</v>
      </c>
      <c r="C85" s="3" t="s">
        <v>256</v>
      </c>
      <c r="D85" s="3" t="str">
        <f>IFERROR(MID(VLOOKUP($B85,Seqs!$A:$B,2,FALSE),E85,1),"")</f>
        <v>M</v>
      </c>
      <c r="E85" s="3">
        <v>65</v>
      </c>
      <c r="F85" s="3" t="str">
        <f>IFERROR(MID(VLOOKUP($B85,Seqs!$A:$B,2,FALSE),G85,1),"")</f>
        <v>Y</v>
      </c>
      <c r="G85" s="3">
        <v>96</v>
      </c>
      <c r="H85" s="3" t="str">
        <f>IFERROR(MID(VLOOKUP($B85,Seqs!$A:$B,2,FALSE),I85,1),"")</f>
        <v>T</v>
      </c>
      <c r="I85" s="57">
        <v>97</v>
      </c>
      <c r="J85" s="3" t="str">
        <f>IFERROR(MID(VLOOKUP($B85,Seqs!$A:$B,2,FALSE),K85,1),"")</f>
        <v>K</v>
      </c>
      <c r="K85" s="57">
        <v>100</v>
      </c>
      <c r="L85" s="3" t="str">
        <f>IFERROR(MID(VLOOKUP($B85,Seqs!$A:$B,2,FALSE),M85,1),"")</f>
        <v>T</v>
      </c>
      <c r="M85" s="3">
        <v>101</v>
      </c>
      <c r="N85" s="3" t="str">
        <f>IFERROR(MID(VLOOKUP($B85,Seqs!$A:$B,2,FALSE),O85,1),"")</f>
        <v>M</v>
      </c>
      <c r="O85" s="3">
        <v>130</v>
      </c>
      <c r="P85" s="3" t="str">
        <f>IFERROR(MID(VLOOKUP($B85,Seqs!$A:$B,2,FALSE),Q85,1),"")</f>
        <v>T</v>
      </c>
      <c r="Q85" s="3">
        <v>132</v>
      </c>
      <c r="R85" s="3" t="str">
        <f>IFERROR(MID(VLOOKUP($B85,Seqs!$A:$B,2,FALSE),S85,1),"")</f>
        <v>F</v>
      </c>
      <c r="S85" s="3">
        <v>135</v>
      </c>
      <c r="T85" s="3" t="str">
        <f>IFERROR(MID(VLOOKUP($B85,Seqs!$A:$B,2,FALSE),U85,1),"")</f>
        <v>G</v>
      </c>
      <c r="U85" s="3">
        <v>136</v>
      </c>
      <c r="V85" s="3" t="str">
        <f>IFERROR(MID(VLOOKUP($B85,Seqs!$A:$B,2,FALSE),W85,1),"")</f>
        <v>H</v>
      </c>
      <c r="W85" s="3">
        <v>171</v>
      </c>
      <c r="X85" s="3" t="str">
        <f>IFERROR(MID(VLOOKUP($B85,Seqs!$A:$B,2,FALSE),Y85,1),"")</f>
        <v>P</v>
      </c>
      <c r="Y85" s="3">
        <v>172</v>
      </c>
      <c r="Z85" s="3" t="str">
        <f>IFERROR(MID(VLOOKUP($B85,Seqs!$A:$B,2,FALSE),AA85,1),"")</f>
        <v>R</v>
      </c>
      <c r="AA85" s="3">
        <v>179</v>
      </c>
      <c r="AB85" s="3" t="str">
        <f>IFERROR(MID(VLOOKUP($B85,Seqs!$A:$B,2,FALSE),AC85,1),"")</f>
        <v>P</v>
      </c>
      <c r="AC85" s="3">
        <v>181</v>
      </c>
      <c r="AD85" s="3" t="str">
        <f>IFERROR(MID(VLOOKUP($B85,Seqs!$A:$B,2,FALSE),AE85,1),"")</f>
        <v>A</v>
      </c>
      <c r="AE85" s="3">
        <v>206</v>
      </c>
      <c r="AF85" s="3" t="str">
        <f>IFERROR(MID(VLOOKUP($B85,Seqs!$A:$B,2,FALSE),AG85,1),"")</f>
        <v>C</v>
      </c>
      <c r="AG85" s="3">
        <v>217</v>
      </c>
      <c r="AH85" s="3" t="str">
        <f>IFERROR(MID(VLOOKUP($B85,Seqs!$A:$B,2,FALSE),AI85,1),"")</f>
        <v>L</v>
      </c>
      <c r="AI85" s="3">
        <v>219</v>
      </c>
      <c r="AJ85" s="3" t="str">
        <f>IFERROR(MID(VLOOKUP($B85,Seqs!$A:$B,2,FALSE),AK85,1),"")</f>
        <v>T</v>
      </c>
      <c r="AK85" s="3">
        <v>225</v>
      </c>
      <c r="AL85" s="3" t="str">
        <f>IFERROR(MID(VLOOKUP($B85,Seqs!$A:$B,2,FALSE),AM85,1),"")</f>
        <v>L</v>
      </c>
      <c r="AM85" s="3">
        <v>257</v>
      </c>
      <c r="AN85" s="3" t="str">
        <f>IFERROR(MID(VLOOKUP($B85,Seqs!$A:$B,2,FALSE),AO85,1),"")</f>
        <v>N</v>
      </c>
      <c r="AO85" s="3">
        <v>274</v>
      </c>
      <c r="AP85" s="3" t="str">
        <f>IFERROR(MID(VLOOKUP($B85,Seqs!$A:$B,2,FALSE),AQ85,1),"")</f>
        <v>I</v>
      </c>
      <c r="AQ85" s="3">
        <v>306</v>
      </c>
      <c r="AR85" s="3" t="str">
        <f>IFERROR(MID(VLOOKUP($B85,Seqs!$A:$B,2,FALSE),AS85,1),"")</f>
        <v>T</v>
      </c>
      <c r="AS85" s="3">
        <v>311</v>
      </c>
      <c r="AT85" s="3" t="str">
        <f>IFERROR(MID(VLOOKUP($B85,Seqs!$A:$B,2,FALSE),AU85,1),"")</f>
        <v>L</v>
      </c>
      <c r="AU85" s="3">
        <v>339</v>
      </c>
      <c r="AV85" s="3" t="str">
        <f>IFERROR(MID(VLOOKUP($B85,Seqs!$A:$B,2,FALSE),AW85,1),"")</f>
        <v>D</v>
      </c>
      <c r="AW85" s="3">
        <v>340</v>
      </c>
      <c r="AX85" s="3" t="str">
        <f>IFERROR(MID(VLOOKUP($B85,Seqs!$A:$B,2,FALSE),AY85,1),"")</f>
        <v>I</v>
      </c>
      <c r="AY85" s="3">
        <v>352</v>
      </c>
      <c r="AZ85" s="83" t="str">
        <f>VLOOKUP(B85,Classification!A:D,2,FALSE)</f>
        <v>A</v>
      </c>
      <c r="BB85" s="35" t="s">
        <v>1330</v>
      </c>
      <c r="BC85" s="57">
        <f t="shared" si="116"/>
        <v>251</v>
      </c>
      <c r="BD85" s="63" t="b">
        <f t="shared" si="117"/>
        <v>1</v>
      </c>
      <c r="BE85" s="68" t="s">
        <v>1514</v>
      </c>
      <c r="BF85" s="75" t="s">
        <v>1514</v>
      </c>
      <c r="BG85" s="75" t="s">
        <v>1514</v>
      </c>
      <c r="BH85" s="75" t="s">
        <v>1514</v>
      </c>
      <c r="BI85" s="75" t="s">
        <v>1514</v>
      </c>
      <c r="BJ85" s="75" t="s">
        <v>1514</v>
      </c>
      <c r="BK85" s="75" t="s">
        <v>1514</v>
      </c>
      <c r="BL85" s="75" t="s">
        <v>1514</v>
      </c>
      <c r="BM85" s="75" t="s">
        <v>1514</v>
      </c>
      <c r="BN85" s="75" t="s">
        <v>1514</v>
      </c>
      <c r="BO85" s="75" t="s">
        <v>1514</v>
      </c>
      <c r="BP85" s="75" t="s">
        <v>1514</v>
      </c>
      <c r="BQ85" s="68">
        <f t="shared" si="90"/>
        <v>65</v>
      </c>
      <c r="BR85" s="69">
        <f t="shared" si="91"/>
        <v>97</v>
      </c>
      <c r="BS85" s="70">
        <f t="shared" si="92"/>
        <v>101</v>
      </c>
      <c r="BT85" s="69">
        <f t="shared" si="93"/>
        <v>132</v>
      </c>
      <c r="BU85" s="70">
        <f t="shared" si="94"/>
        <v>136</v>
      </c>
      <c r="BV85" s="69">
        <f t="shared" si="95"/>
        <v>172</v>
      </c>
      <c r="BW85" s="70">
        <f t="shared" si="96"/>
        <v>181</v>
      </c>
      <c r="BX85" s="69">
        <f t="shared" si="97"/>
        <v>217</v>
      </c>
      <c r="BY85" s="70">
        <f t="shared" si="98"/>
        <v>225</v>
      </c>
      <c r="BZ85" s="69">
        <f t="shared" si="99"/>
        <v>274</v>
      </c>
      <c r="CA85" s="70">
        <f t="shared" si="100"/>
        <v>311</v>
      </c>
      <c r="CB85" s="69">
        <f t="shared" si="101"/>
        <v>340</v>
      </c>
      <c r="CC85" s="68">
        <f t="shared" si="102"/>
        <v>96</v>
      </c>
      <c r="CD85" s="69">
        <f t="shared" si="103"/>
        <v>100</v>
      </c>
      <c r="CE85" s="70">
        <f t="shared" si="104"/>
        <v>130</v>
      </c>
      <c r="CF85" s="70">
        <f t="shared" si="105"/>
        <v>135</v>
      </c>
      <c r="CG85" s="70">
        <f t="shared" si="106"/>
        <v>171</v>
      </c>
      <c r="CH85" s="70">
        <f t="shared" si="107"/>
        <v>179</v>
      </c>
      <c r="CI85" s="70">
        <f t="shared" si="108"/>
        <v>206</v>
      </c>
      <c r="CJ85" s="70">
        <f t="shared" si="109"/>
        <v>219</v>
      </c>
      <c r="CK85" s="70">
        <f t="shared" si="110"/>
        <v>257</v>
      </c>
      <c r="CL85" s="70">
        <f t="shared" si="111"/>
        <v>306</v>
      </c>
      <c r="CM85" s="70">
        <f t="shared" si="112"/>
        <v>339</v>
      </c>
      <c r="CN85" s="70">
        <f t="shared" si="113"/>
        <v>352</v>
      </c>
      <c r="CO85" s="57">
        <f t="shared" si="114"/>
        <v>1</v>
      </c>
    </row>
    <row r="86" spans="1:93" x14ac:dyDescent="0.2">
      <c r="A86" s="3" t="str">
        <f t="shared" si="115"/>
        <v>oprm_mouse_5C1M</v>
      </c>
      <c r="B86" s="3" t="s">
        <v>1114</v>
      </c>
      <c r="C86" s="3" t="s">
        <v>276</v>
      </c>
      <c r="D86" s="3" t="str">
        <f>IFERROR(MID(VLOOKUP($B86,Seqs!$A:$B,2,FALSE),E86,1),"")</f>
        <v>M</v>
      </c>
      <c r="E86" s="3">
        <v>65</v>
      </c>
      <c r="F86" s="3" t="str">
        <f>IFERROR(MID(VLOOKUP($B86,Seqs!$A:$B,2,FALSE),G86,1),"")</f>
        <v>Y</v>
      </c>
      <c r="G86" s="3">
        <v>96</v>
      </c>
      <c r="H86" s="3" t="str">
        <f>IFERROR(MID(VLOOKUP($B86,Seqs!$A:$B,2,FALSE),I86,1),"")</f>
        <v/>
      </c>
      <c r="I86" s="57" t="s">
        <v>129</v>
      </c>
      <c r="J86" s="3" t="str">
        <f>IFERROR(MID(VLOOKUP($B86,Seqs!$A:$B,2,FALSE),K86,1),"")</f>
        <v/>
      </c>
      <c r="K86" s="57" t="s">
        <v>129</v>
      </c>
      <c r="L86" s="3" t="str">
        <f>IFERROR(MID(VLOOKUP($B86,Seqs!$A:$B,2,FALSE),M86,1),"")</f>
        <v>T</v>
      </c>
      <c r="M86" s="3">
        <v>101</v>
      </c>
      <c r="N86" s="3" t="str">
        <f>IFERROR(MID(VLOOKUP($B86,Seqs!$A:$B,2,FALSE),O86,1),"")</f>
        <v>M</v>
      </c>
      <c r="O86" s="3">
        <v>130</v>
      </c>
      <c r="P86" s="3" t="str">
        <f>IFERROR(MID(VLOOKUP($B86,Seqs!$A:$B,2,FALSE),Q86,1),"")</f>
        <v>T</v>
      </c>
      <c r="Q86" s="3">
        <v>132</v>
      </c>
      <c r="R86" s="3" t="str">
        <f>IFERROR(MID(VLOOKUP($B86,Seqs!$A:$B,2,FALSE),S86,1),"")</f>
        <v>F</v>
      </c>
      <c r="S86" s="3">
        <v>135</v>
      </c>
      <c r="T86" s="3" t="str">
        <f>IFERROR(MID(VLOOKUP($B86,Seqs!$A:$B,2,FALSE),U86,1),"")</f>
        <v>G</v>
      </c>
      <c r="U86" s="3">
        <v>136</v>
      </c>
      <c r="V86" s="3" t="str">
        <f>IFERROR(MID(VLOOKUP($B86,Seqs!$A:$B,2,FALSE),W86,1),"")</f>
        <v>H</v>
      </c>
      <c r="W86" s="3">
        <v>171</v>
      </c>
      <c r="X86" s="3" t="str">
        <f>IFERROR(MID(VLOOKUP($B86,Seqs!$A:$B,2,FALSE),Y86,1),"")</f>
        <v>P</v>
      </c>
      <c r="Y86" s="3">
        <v>172</v>
      </c>
      <c r="Z86" s="3" t="str">
        <f>IFERROR(MID(VLOOKUP($B86,Seqs!$A:$B,2,FALSE),AA86,1),"")</f>
        <v>R</v>
      </c>
      <c r="AA86" s="3">
        <v>179</v>
      </c>
      <c r="AB86" s="3" t="str">
        <f>IFERROR(MID(VLOOKUP($B86,Seqs!$A:$B,2,FALSE),AC86,1),"")</f>
        <v>P</v>
      </c>
      <c r="AC86" s="3">
        <v>181</v>
      </c>
      <c r="AD86" s="3" t="str">
        <f>IFERROR(MID(VLOOKUP($B86,Seqs!$A:$B,2,FALSE),AE86,1),"")</f>
        <v>A</v>
      </c>
      <c r="AE86" s="3">
        <v>206</v>
      </c>
      <c r="AF86" s="3" t="str">
        <f>IFERROR(MID(VLOOKUP($B86,Seqs!$A:$B,2,FALSE),AG86,1),"")</f>
        <v>C</v>
      </c>
      <c r="AG86" s="3">
        <v>217</v>
      </c>
      <c r="AH86" s="3" t="str">
        <f>IFERROR(MID(VLOOKUP($B86,Seqs!$A:$B,2,FALSE),AI86,1),"")</f>
        <v>L</v>
      </c>
      <c r="AI86" s="3">
        <v>219</v>
      </c>
      <c r="AJ86" s="3" t="str">
        <f>IFERROR(MID(VLOOKUP($B86,Seqs!$A:$B,2,FALSE),AK86,1),"")</f>
        <v>T</v>
      </c>
      <c r="AK86" s="3">
        <v>225</v>
      </c>
      <c r="AL86" s="3" t="str">
        <f>IFERROR(MID(VLOOKUP($B86,Seqs!$A:$B,2,FALSE),AM86,1),"")</f>
        <v>V</v>
      </c>
      <c r="AM86" s="3">
        <v>262</v>
      </c>
      <c r="AN86" s="3" t="str">
        <f>IFERROR(MID(VLOOKUP($B86,Seqs!$A:$B,2,FALSE),AO86,1),"")</f>
        <v>S</v>
      </c>
      <c r="AO86" s="3">
        <v>268</v>
      </c>
      <c r="AP86" s="3" t="str">
        <f>IFERROR(MID(VLOOKUP($B86,Seqs!$A:$B,2,FALSE),AQ86,1),"")</f>
        <v>I</v>
      </c>
      <c r="AQ86" s="3">
        <v>306</v>
      </c>
      <c r="AR86" s="3" t="str">
        <f>IFERROR(MID(VLOOKUP($B86,Seqs!$A:$B,2,FALSE),AS86,1),"")</f>
        <v>T</v>
      </c>
      <c r="AS86" s="3">
        <v>311</v>
      </c>
      <c r="AT86" s="3" t="str">
        <f>IFERROR(MID(VLOOKUP($B86,Seqs!$A:$B,2,FALSE),AU86,1),"")</f>
        <v>P</v>
      </c>
      <c r="AU86" s="3">
        <v>333</v>
      </c>
      <c r="AV86" s="3" t="str">
        <f>IFERROR(MID(VLOOKUP($B86,Seqs!$A:$B,2,FALSE),AW86,1),"")</f>
        <v/>
      </c>
      <c r="AW86" s="3" t="s">
        <v>129</v>
      </c>
      <c r="AX86" s="3" t="str">
        <f>IFERROR(MID(VLOOKUP($B86,Seqs!$A:$B,2,FALSE),AY86,1),"")</f>
        <v/>
      </c>
      <c r="AY86" s="3" t="s">
        <v>129</v>
      </c>
      <c r="AZ86" s="83" t="str">
        <f>VLOOKUP(B86,Classification!A:D,2,FALSE)</f>
        <v>A</v>
      </c>
      <c r="BC86" s="57">
        <f t="shared" si="116"/>
        <v>241</v>
      </c>
      <c r="BD86" s="63" t="b">
        <f t="shared" si="117"/>
        <v>1</v>
      </c>
      <c r="BE86" s="68" t="s">
        <v>1514</v>
      </c>
      <c r="BF86" s="75" t="s">
        <v>1514</v>
      </c>
      <c r="BG86" s="75" t="s">
        <v>1514</v>
      </c>
      <c r="BH86" s="75" t="s">
        <v>1514</v>
      </c>
      <c r="BI86" s="75" t="s">
        <v>1514</v>
      </c>
      <c r="BJ86" s="75" t="s">
        <v>1514</v>
      </c>
      <c r="BK86" s="75" t="s">
        <v>1514</v>
      </c>
      <c r="BL86" s="75" t="s">
        <v>1514</v>
      </c>
      <c r="BM86" s="75" t="s">
        <v>1514</v>
      </c>
      <c r="BN86" s="75" t="s">
        <v>1514</v>
      </c>
      <c r="BO86" s="75" t="s">
        <v>1514</v>
      </c>
      <c r="BP86" s="75" t="s">
        <v>1514</v>
      </c>
      <c r="BQ86" s="68">
        <f t="shared" si="90"/>
        <v>65</v>
      </c>
      <c r="BR86" s="69" t="str">
        <f t="shared" si="91"/>
        <v>-</v>
      </c>
      <c r="BS86" s="70">
        <f t="shared" si="92"/>
        <v>101</v>
      </c>
      <c r="BT86" s="69">
        <f t="shared" si="93"/>
        <v>132</v>
      </c>
      <c r="BU86" s="70">
        <f t="shared" si="94"/>
        <v>136</v>
      </c>
      <c r="BV86" s="69">
        <f t="shared" si="95"/>
        <v>172</v>
      </c>
      <c r="BW86" s="70">
        <f t="shared" si="96"/>
        <v>181</v>
      </c>
      <c r="BX86" s="69">
        <f t="shared" si="97"/>
        <v>217</v>
      </c>
      <c r="BY86" s="70">
        <f t="shared" si="98"/>
        <v>225</v>
      </c>
      <c r="BZ86" s="69">
        <f t="shared" si="99"/>
        <v>268</v>
      </c>
      <c r="CA86" s="70">
        <f t="shared" si="100"/>
        <v>311</v>
      </c>
      <c r="CB86" s="69" t="str">
        <f t="shared" si="101"/>
        <v>-</v>
      </c>
      <c r="CC86" s="68">
        <f t="shared" si="102"/>
        <v>96</v>
      </c>
      <c r="CD86" s="69" t="str">
        <f t="shared" si="103"/>
        <v>-</v>
      </c>
      <c r="CE86" s="70">
        <f t="shared" si="104"/>
        <v>130</v>
      </c>
      <c r="CF86" s="70">
        <f t="shared" si="105"/>
        <v>135</v>
      </c>
      <c r="CG86" s="70">
        <f t="shared" si="106"/>
        <v>171</v>
      </c>
      <c r="CH86" s="70">
        <f t="shared" si="107"/>
        <v>179</v>
      </c>
      <c r="CI86" s="70">
        <f t="shared" si="108"/>
        <v>206</v>
      </c>
      <c r="CJ86" s="70">
        <f t="shared" si="109"/>
        <v>219</v>
      </c>
      <c r="CK86" s="70">
        <f t="shared" si="110"/>
        <v>262</v>
      </c>
      <c r="CL86" s="70">
        <f t="shared" si="111"/>
        <v>306</v>
      </c>
      <c r="CM86" s="70">
        <f t="shared" si="112"/>
        <v>333</v>
      </c>
      <c r="CN86" s="70" t="str">
        <f t="shared" si="113"/>
        <v>-</v>
      </c>
      <c r="CO86" s="57" t="e">
        <f t="shared" si="114"/>
        <v>#VALUE!</v>
      </c>
    </row>
    <row r="87" spans="1:93" x14ac:dyDescent="0.2">
      <c r="A87" s="3" t="str">
        <f t="shared" si="115"/>
        <v>oprx_human__wt</v>
      </c>
      <c r="B87" s="3" t="s">
        <v>1393</v>
      </c>
      <c r="C87" s="3" t="s">
        <v>294</v>
      </c>
      <c r="D87" s="3" t="str">
        <f>IFERROR(MID(VLOOKUP($B87,Seqs!$A:$B,2,FALSE),E87,1),"")</f>
        <v>L</v>
      </c>
      <c r="E87" s="3">
        <v>48</v>
      </c>
      <c r="F87" s="3" t="str">
        <f>IFERROR(MID(VLOOKUP($B87,Seqs!$A:$B,2,FALSE),G87,1),"")</f>
        <v>H</v>
      </c>
      <c r="G87" s="3">
        <v>79</v>
      </c>
      <c r="H87" s="3" t="str">
        <f>IFERROR(MID(VLOOKUP($B87,Seqs!$A:$B,2,FALSE),I87,1),"")</f>
        <v>T</v>
      </c>
      <c r="I87" s="57">
        <v>80</v>
      </c>
      <c r="J87" s="3" t="str">
        <f>IFERROR(MID(VLOOKUP($B87,Seqs!$A:$B,2,FALSE),K87,1),"")</f>
        <v>K</v>
      </c>
      <c r="K87" s="57">
        <v>83</v>
      </c>
      <c r="L87" s="3" t="str">
        <f>IFERROR(MID(VLOOKUP($B87,Seqs!$A:$B,2,FALSE),M87,1),"")</f>
        <v>T</v>
      </c>
      <c r="M87" s="3">
        <v>84</v>
      </c>
      <c r="N87" s="3" t="str">
        <f>IFERROR(MID(VLOOKUP($B87,Seqs!$A:$B,2,FALSE),O87,1),"")</f>
        <v>L</v>
      </c>
      <c r="O87" s="3">
        <v>113</v>
      </c>
      <c r="P87" s="3" t="str">
        <f>IFERROR(MID(VLOOKUP($B87,Seqs!$A:$B,2,FALSE),Q87,1),"")</f>
        <v>F</v>
      </c>
      <c r="Q87" s="3">
        <v>115</v>
      </c>
      <c r="R87" s="3" t="str">
        <f>IFERROR(MID(VLOOKUP($B87,Seqs!$A:$B,2,FALSE),S87,1),"")</f>
        <v>F</v>
      </c>
      <c r="S87" s="3">
        <v>118</v>
      </c>
      <c r="T87" s="3" t="str">
        <f>IFERROR(MID(VLOOKUP($B87,Seqs!$A:$B,2,FALSE),U87,1),"")</f>
        <v>G</v>
      </c>
      <c r="U87" s="3">
        <v>119</v>
      </c>
      <c r="V87" s="3" t="str">
        <f>IFERROR(MID(VLOOKUP($B87,Seqs!$A:$B,2,FALSE),W87,1),"")</f>
        <v>H</v>
      </c>
      <c r="W87" s="3">
        <v>154</v>
      </c>
      <c r="X87" s="3" t="str">
        <f>IFERROR(MID(VLOOKUP($B87,Seqs!$A:$B,2,FALSE),Y87,1),"")</f>
        <v>P</v>
      </c>
      <c r="Y87" s="3">
        <v>155</v>
      </c>
      <c r="Z87" s="3" t="str">
        <f>IFERROR(MID(VLOOKUP($B87,Seqs!$A:$B,2,FALSE),AA87,1),"")</f>
        <v>R</v>
      </c>
      <c r="AA87" s="3">
        <v>162</v>
      </c>
      <c r="AB87" s="3" t="str">
        <f>IFERROR(MID(VLOOKUP($B87,Seqs!$A:$B,2,FALSE),AC87,1),"")</f>
        <v>S</v>
      </c>
      <c r="AC87" s="3">
        <v>164</v>
      </c>
      <c r="AD87" s="3" t="str">
        <f>IFERROR(MID(VLOOKUP($B87,Seqs!$A:$B,2,FALSE),AE87,1),"")</f>
        <v>G</v>
      </c>
      <c r="AE87" s="3">
        <v>189</v>
      </c>
      <c r="AF87" s="3" t="str">
        <f>IFERROR(MID(VLOOKUP($B87,Seqs!$A:$B,2,FALSE),AG87,1),"")</f>
        <v>C</v>
      </c>
      <c r="AG87" s="3">
        <v>200</v>
      </c>
      <c r="AH87" s="3" t="str">
        <f>IFERROR(MID(VLOOKUP($B87,Seqs!$A:$B,2,FALSE),AI87,1),"")</f>
        <v>V</v>
      </c>
      <c r="AI87" s="3">
        <v>202</v>
      </c>
      <c r="AJ87" s="3" t="str">
        <f>IFERROR(MID(VLOOKUP($B87,Seqs!$A:$B,2,FALSE),AK87,1),"")</f>
        <v>Q</v>
      </c>
      <c r="AK87" s="3">
        <v>208</v>
      </c>
      <c r="AL87" s="3" t="str">
        <f>IFERROR(MID(VLOOKUP($B87,Seqs!$A:$B,2,FALSE),AM87,1),"")</f>
        <v>V</v>
      </c>
      <c r="AM87" s="3">
        <v>245</v>
      </c>
      <c r="AN87" s="3" t="str">
        <f>IFERROR(MID(VLOOKUP($B87,Seqs!$A:$B,2,FALSE),AO87,1),"")</f>
        <v>S</v>
      </c>
      <c r="AO87" s="3">
        <v>251</v>
      </c>
      <c r="AP87" s="3" t="str">
        <f>IFERROR(MID(VLOOKUP($B87,Seqs!$A:$B,2,FALSE),AQ87,1),"")</f>
        <v>G</v>
      </c>
      <c r="AQ87" s="3">
        <v>289</v>
      </c>
      <c r="AR87" s="3" t="str">
        <f>IFERROR(MID(VLOOKUP($B87,Seqs!$A:$B,2,FALSE),AS87,1),"")</f>
        <v>S</v>
      </c>
      <c r="AS87" s="3">
        <v>294</v>
      </c>
      <c r="AT87" s="3" t="str">
        <f>IFERROR(MID(VLOOKUP($B87,Seqs!$A:$B,2,FALSE),AU87,1),"")</f>
        <v>L</v>
      </c>
      <c r="AU87" s="3">
        <v>322</v>
      </c>
      <c r="AV87" s="3" t="str">
        <f>IFERROR(MID(VLOOKUP($B87,Seqs!$A:$B,2,FALSE),AW87,1),"")</f>
        <v>D</v>
      </c>
      <c r="AW87" s="3">
        <v>323</v>
      </c>
      <c r="AX87" s="3" t="str">
        <f>IFERROR(MID(VLOOKUP($B87,Seqs!$A:$B,2,FALSE),AY87,1),"")</f>
        <v>C</v>
      </c>
      <c r="AY87" s="3">
        <v>335</v>
      </c>
      <c r="AZ87" s="83" t="str">
        <f>VLOOKUP(B87,Classification!A:D,2,FALSE)</f>
        <v>A</v>
      </c>
      <c r="BB87" s="82">
        <f>S87-Q87+1</f>
        <v>4</v>
      </c>
      <c r="BC87" s="57">
        <f t="shared" si="116"/>
        <v>262</v>
      </c>
      <c r="BD87" s="63" t="b">
        <f t="shared" si="117"/>
        <v>1</v>
      </c>
      <c r="BE87" s="68" t="s">
        <v>1514</v>
      </c>
      <c r="BF87" s="75" t="s">
        <v>1514</v>
      </c>
      <c r="BG87" s="75" t="s">
        <v>1514</v>
      </c>
      <c r="BH87" s="75" t="s">
        <v>1514</v>
      </c>
      <c r="BI87" s="75" t="s">
        <v>1514</v>
      </c>
      <c r="BJ87" s="75" t="s">
        <v>1514</v>
      </c>
      <c r="BK87" s="75" t="s">
        <v>1514</v>
      </c>
      <c r="BL87" s="75" t="s">
        <v>1514</v>
      </c>
      <c r="BM87" s="75" t="s">
        <v>1514</v>
      </c>
      <c r="BN87" s="75" t="s">
        <v>1514</v>
      </c>
      <c r="BO87" s="75" t="s">
        <v>1514</v>
      </c>
      <c r="BP87" s="75" t="s">
        <v>1514</v>
      </c>
      <c r="BQ87" s="68">
        <f t="shared" si="90"/>
        <v>48</v>
      </c>
      <c r="BR87" s="69">
        <f t="shared" si="91"/>
        <v>80</v>
      </c>
      <c r="BS87" s="70">
        <f t="shared" si="92"/>
        <v>84</v>
      </c>
      <c r="BT87" s="69">
        <f t="shared" si="93"/>
        <v>115</v>
      </c>
      <c r="BU87" s="70">
        <f t="shared" si="94"/>
        <v>119</v>
      </c>
      <c r="BV87" s="69">
        <f t="shared" si="95"/>
        <v>155</v>
      </c>
      <c r="BW87" s="70">
        <f t="shared" si="96"/>
        <v>164</v>
      </c>
      <c r="BX87" s="69">
        <f t="shared" si="97"/>
        <v>200</v>
      </c>
      <c r="BY87" s="70">
        <f t="shared" si="98"/>
        <v>208</v>
      </c>
      <c r="BZ87" s="69">
        <f t="shared" si="99"/>
        <v>251</v>
      </c>
      <c r="CA87" s="70">
        <f t="shared" si="100"/>
        <v>294</v>
      </c>
      <c r="CB87" s="69">
        <f t="shared" si="101"/>
        <v>323</v>
      </c>
      <c r="CC87" s="68">
        <f t="shared" si="102"/>
        <v>79</v>
      </c>
      <c r="CD87" s="69">
        <f t="shared" si="103"/>
        <v>83</v>
      </c>
      <c r="CE87" s="70">
        <f t="shared" si="104"/>
        <v>113</v>
      </c>
      <c r="CF87" s="70">
        <f t="shared" si="105"/>
        <v>118</v>
      </c>
      <c r="CG87" s="70">
        <f t="shared" si="106"/>
        <v>154</v>
      </c>
      <c r="CH87" s="70">
        <f t="shared" si="107"/>
        <v>162</v>
      </c>
      <c r="CI87" s="70">
        <f t="shared" si="108"/>
        <v>189</v>
      </c>
      <c r="CJ87" s="70">
        <f t="shared" si="109"/>
        <v>202</v>
      </c>
      <c r="CK87" s="70">
        <f t="shared" si="110"/>
        <v>245</v>
      </c>
      <c r="CL87" s="70">
        <f t="shared" si="111"/>
        <v>289</v>
      </c>
      <c r="CM87" s="70">
        <f t="shared" si="112"/>
        <v>322</v>
      </c>
      <c r="CN87" s="70">
        <f t="shared" si="113"/>
        <v>335</v>
      </c>
      <c r="CO87" s="57">
        <f t="shared" si="114"/>
        <v>1</v>
      </c>
    </row>
    <row r="88" spans="1:93" x14ac:dyDescent="0.2">
      <c r="A88" s="3" t="str">
        <f t="shared" si="115"/>
        <v>oprx_human_4EA3</v>
      </c>
      <c r="B88" s="3" t="s">
        <v>1393</v>
      </c>
      <c r="C88" s="3" t="s">
        <v>258</v>
      </c>
      <c r="D88" s="3" t="str">
        <f>IFERROR(MID(VLOOKUP($B88,Seqs!$A:$B,2,FALSE),E88,1),"")</f>
        <v>L</v>
      </c>
      <c r="E88" s="3">
        <v>48</v>
      </c>
      <c r="F88" s="3" t="str">
        <f>IFERROR(MID(VLOOKUP($B88,Seqs!$A:$B,2,FALSE),G88,1),"")</f>
        <v>H</v>
      </c>
      <c r="G88" s="3">
        <v>79</v>
      </c>
      <c r="H88" s="3" t="str">
        <f>IFERROR(MID(VLOOKUP($B88,Seqs!$A:$B,2,FALSE),I88,1),"")</f>
        <v/>
      </c>
      <c r="I88" s="57" t="s">
        <v>129</v>
      </c>
      <c r="J88" s="3" t="str">
        <f>IFERROR(MID(VLOOKUP($B88,Seqs!$A:$B,2,FALSE),K88,1),"")</f>
        <v/>
      </c>
      <c r="K88" s="57" t="s">
        <v>129</v>
      </c>
      <c r="L88" s="3" t="str">
        <f>IFERROR(MID(VLOOKUP($B88,Seqs!$A:$B,2,FALSE),M88,1),"")</f>
        <v>T</v>
      </c>
      <c r="M88" s="3">
        <v>84</v>
      </c>
      <c r="N88" s="3" t="str">
        <f>IFERROR(MID(VLOOKUP($B88,Seqs!$A:$B,2,FALSE),O88,1),"")</f>
        <v>L</v>
      </c>
      <c r="O88" s="3">
        <v>113</v>
      </c>
      <c r="P88" s="3" t="str">
        <f>IFERROR(MID(VLOOKUP($B88,Seqs!$A:$B,2,FALSE),Q88,1),"")</f>
        <v>F</v>
      </c>
      <c r="Q88" s="3">
        <v>115</v>
      </c>
      <c r="R88" s="3" t="str">
        <f>IFERROR(MID(VLOOKUP($B88,Seqs!$A:$B,2,FALSE),S88,1),"")</f>
        <v>F</v>
      </c>
      <c r="S88" s="3">
        <v>118</v>
      </c>
      <c r="T88" s="3" t="str">
        <f>IFERROR(MID(VLOOKUP($B88,Seqs!$A:$B,2,FALSE),U88,1),"")</f>
        <v>G</v>
      </c>
      <c r="U88" s="3">
        <v>119</v>
      </c>
      <c r="V88" s="3" t="str">
        <f>IFERROR(MID(VLOOKUP($B88,Seqs!$A:$B,2,FALSE),W88,1),"")</f>
        <v>H</v>
      </c>
      <c r="W88" s="3">
        <v>154</v>
      </c>
      <c r="X88" s="3" t="str">
        <f>IFERROR(MID(VLOOKUP($B88,Seqs!$A:$B,2,FALSE),Y88,1),"")</f>
        <v/>
      </c>
      <c r="Y88" s="3" t="s">
        <v>129</v>
      </c>
      <c r="Z88" s="3" t="str">
        <f>IFERROR(MID(VLOOKUP($B88,Seqs!$A:$B,2,FALSE),AA88,1),"")</f>
        <v/>
      </c>
      <c r="AA88" s="3" t="s">
        <v>129</v>
      </c>
      <c r="AB88" s="3" t="str">
        <f>IFERROR(MID(VLOOKUP($B88,Seqs!$A:$B,2,FALSE),AC88,1),"")</f>
        <v>S</v>
      </c>
      <c r="AC88" s="3">
        <v>164</v>
      </c>
      <c r="AD88" s="3" t="str">
        <f>IFERROR(MID(VLOOKUP($B88,Seqs!$A:$B,2,FALSE),AE88,1),"")</f>
        <v>G</v>
      </c>
      <c r="AE88" s="3">
        <v>189</v>
      </c>
      <c r="AF88" s="3" t="str">
        <f>IFERROR(MID(VLOOKUP($B88,Seqs!$A:$B,2,FALSE),AG88,1),"")</f>
        <v>C</v>
      </c>
      <c r="AG88" s="3">
        <v>200</v>
      </c>
      <c r="AH88" s="3" t="str">
        <f>IFERROR(MID(VLOOKUP($B88,Seqs!$A:$B,2,FALSE),AI88,1),"")</f>
        <v>V</v>
      </c>
      <c r="AI88" s="3">
        <v>202</v>
      </c>
      <c r="AJ88" s="3" t="str">
        <f>IFERROR(MID(VLOOKUP($B88,Seqs!$A:$B,2,FALSE),AK88,1),"")</f>
        <v>Q</v>
      </c>
      <c r="AK88" s="3">
        <v>208</v>
      </c>
      <c r="AL88" s="3" t="str">
        <f>IFERROR(MID(VLOOKUP($B88,Seqs!$A:$B,2,FALSE),AM88,1),"")</f>
        <v>L</v>
      </c>
      <c r="AM88" s="3">
        <v>242</v>
      </c>
      <c r="AN88" s="3" t="str">
        <f>IFERROR(MID(VLOOKUP($B88,Seqs!$A:$B,2,FALSE),AO88,1),"")</f>
        <v>R</v>
      </c>
      <c r="AO88" s="3">
        <v>252</v>
      </c>
      <c r="AP88" s="3" t="str">
        <f>IFERROR(MID(VLOOKUP($B88,Seqs!$A:$B,2,FALSE),AQ88,1),"")</f>
        <v>G</v>
      </c>
      <c r="AQ88" s="3">
        <v>289</v>
      </c>
      <c r="AR88" s="3" t="str">
        <f>IFERROR(MID(VLOOKUP($B88,Seqs!$A:$B,2,FALSE),AS88,1),"")</f>
        <v>S</v>
      </c>
      <c r="AS88" s="3">
        <v>294</v>
      </c>
      <c r="AT88" s="3" t="str">
        <f>IFERROR(MID(VLOOKUP($B88,Seqs!$A:$B,2,FALSE),AU88,1),"")</f>
        <v>L</v>
      </c>
      <c r="AU88" s="3">
        <v>322</v>
      </c>
      <c r="AV88" s="3" t="str">
        <f>IFERROR(MID(VLOOKUP($B88,Seqs!$A:$B,2,FALSE),AW88,1),"")</f>
        <v>D</v>
      </c>
      <c r="AW88" s="3">
        <v>323</v>
      </c>
      <c r="AX88" s="3" t="str">
        <f>IFERROR(MID(VLOOKUP($B88,Seqs!$A:$B,2,FALSE),AY88,1),"")</f>
        <v>R</v>
      </c>
      <c r="AY88" s="3">
        <v>331</v>
      </c>
      <c r="AZ88" s="83" t="str">
        <f>VLOOKUP(B88,Classification!A:D,2,FALSE)</f>
        <v>A</v>
      </c>
      <c r="BC88" s="57">
        <f t="shared" si="116"/>
        <v>244</v>
      </c>
      <c r="BD88" s="63" t="b">
        <f t="shared" si="117"/>
        <v>1</v>
      </c>
      <c r="BE88" s="68" t="s">
        <v>1514</v>
      </c>
      <c r="BF88" s="75" t="s">
        <v>1514</v>
      </c>
      <c r="BG88" s="75" t="s">
        <v>1514</v>
      </c>
      <c r="BH88" s="75" t="s">
        <v>1514</v>
      </c>
      <c r="BI88" s="75" t="s">
        <v>1514</v>
      </c>
      <c r="BJ88" s="75" t="s">
        <v>1514</v>
      </c>
      <c r="BK88" s="75" t="s">
        <v>1514</v>
      </c>
      <c r="BL88" s="75" t="s">
        <v>1514</v>
      </c>
      <c r="BM88" s="75" t="s">
        <v>1514</v>
      </c>
      <c r="BN88" s="75" t="s">
        <v>1514</v>
      </c>
      <c r="BO88" s="75" t="s">
        <v>1514</v>
      </c>
      <c r="BP88" s="75" t="s">
        <v>1514</v>
      </c>
      <c r="BQ88" s="68">
        <f t="shared" si="90"/>
        <v>48</v>
      </c>
      <c r="BR88" s="69" t="str">
        <f t="shared" si="91"/>
        <v>-</v>
      </c>
      <c r="BS88" s="70">
        <f t="shared" si="92"/>
        <v>84</v>
      </c>
      <c r="BT88" s="69">
        <f t="shared" si="93"/>
        <v>115</v>
      </c>
      <c r="BU88" s="70">
        <f t="shared" si="94"/>
        <v>119</v>
      </c>
      <c r="BV88" s="69" t="str">
        <f t="shared" si="95"/>
        <v>-</v>
      </c>
      <c r="BW88" s="70">
        <f t="shared" si="96"/>
        <v>164</v>
      </c>
      <c r="BX88" s="69">
        <f t="shared" si="97"/>
        <v>200</v>
      </c>
      <c r="BY88" s="70">
        <f t="shared" si="98"/>
        <v>208</v>
      </c>
      <c r="BZ88" s="69">
        <f t="shared" si="99"/>
        <v>252</v>
      </c>
      <c r="CA88" s="70">
        <f t="shared" si="100"/>
        <v>294</v>
      </c>
      <c r="CB88" s="69">
        <f t="shared" si="101"/>
        <v>323</v>
      </c>
      <c r="CC88" s="68">
        <f t="shared" si="102"/>
        <v>79</v>
      </c>
      <c r="CD88" s="69" t="str">
        <f t="shared" si="103"/>
        <v>-</v>
      </c>
      <c r="CE88" s="70">
        <f t="shared" si="104"/>
        <v>113</v>
      </c>
      <c r="CF88" s="70">
        <f t="shared" si="105"/>
        <v>118</v>
      </c>
      <c r="CG88" s="70">
        <f t="shared" si="106"/>
        <v>154</v>
      </c>
      <c r="CH88" s="70" t="str">
        <f t="shared" si="107"/>
        <v>-</v>
      </c>
      <c r="CI88" s="70">
        <f t="shared" si="108"/>
        <v>189</v>
      </c>
      <c r="CJ88" s="70">
        <f t="shared" si="109"/>
        <v>202</v>
      </c>
      <c r="CK88" s="70">
        <f t="shared" si="110"/>
        <v>242</v>
      </c>
      <c r="CL88" s="70">
        <f t="shared" si="111"/>
        <v>289</v>
      </c>
      <c r="CM88" s="70">
        <f t="shared" si="112"/>
        <v>322</v>
      </c>
      <c r="CN88" s="70">
        <f t="shared" si="113"/>
        <v>331</v>
      </c>
      <c r="CO88" s="57" t="e">
        <f t="shared" si="114"/>
        <v>#VALUE!</v>
      </c>
    </row>
    <row r="89" spans="1:93" x14ac:dyDescent="0.2">
      <c r="A89" s="3" t="str">
        <f t="shared" si="115"/>
        <v>opsd_bovin__wt</v>
      </c>
      <c r="B89" s="3" t="s">
        <v>1116</v>
      </c>
      <c r="C89" s="3" t="s">
        <v>294</v>
      </c>
      <c r="D89" s="3" t="str">
        <f>IFERROR(MID(VLOOKUP($B89,Seqs!$A:$B,2,FALSE),E89,1),"")</f>
        <v>P</v>
      </c>
      <c r="E89" s="3">
        <v>34</v>
      </c>
      <c r="F89" s="3" t="str">
        <f>IFERROR(MID(VLOOKUP($B89,Seqs!$A:$B,2,FALSE),G89,1),"")</f>
        <v>H</v>
      </c>
      <c r="G89" s="3">
        <v>65</v>
      </c>
      <c r="H89" s="3" t="str">
        <f>IFERROR(MID(VLOOKUP($B89,Seqs!$A:$B,2,FALSE),I89,1),"")</f>
        <v>K</v>
      </c>
      <c r="I89" s="57">
        <v>66</v>
      </c>
      <c r="J89" s="3" t="str">
        <f>IFERROR(MID(VLOOKUP($B89,Seqs!$A:$B,2,FALSE),K89,1),"")</f>
        <v>R</v>
      </c>
      <c r="K89" s="57">
        <v>69</v>
      </c>
      <c r="L89" s="3" t="str">
        <f>IFERROR(MID(VLOOKUP($B89,Seqs!$A:$B,2,FALSE),M89,1),"")</f>
        <v>T</v>
      </c>
      <c r="M89" s="3">
        <v>70</v>
      </c>
      <c r="N89" s="3" t="str">
        <f>IFERROR(MID(VLOOKUP($B89,Seqs!$A:$B,2,FALSE),O89,1),"")</f>
        <v>H</v>
      </c>
      <c r="O89" s="3">
        <v>100</v>
      </c>
      <c r="P89" s="3" t="str">
        <f>IFERROR(MID(VLOOKUP($B89,Seqs!$A:$B,2,FALSE),Q89,1),"")</f>
        <v>Y</v>
      </c>
      <c r="Q89" s="3">
        <v>102</v>
      </c>
      <c r="R89" s="3" t="str">
        <f>IFERROR(MID(VLOOKUP($B89,Seqs!$A:$B,2,FALSE),S89,1),"")</f>
        <v>F</v>
      </c>
      <c r="S89" s="3">
        <v>105</v>
      </c>
      <c r="T89" s="3" t="str">
        <f>IFERROR(MID(VLOOKUP($B89,Seqs!$A:$B,2,FALSE),U89,1),"")</f>
        <v>G</v>
      </c>
      <c r="U89" s="3">
        <v>106</v>
      </c>
      <c r="V89" s="3" t="str">
        <f>IFERROR(MID(VLOOKUP($B89,Seqs!$A:$B,2,FALSE),W89,1),"")</f>
        <v>K</v>
      </c>
      <c r="W89" s="3">
        <v>141</v>
      </c>
      <c r="X89" s="3" t="str">
        <f>IFERROR(MID(VLOOKUP($B89,Seqs!$A:$B,2,FALSE),Y89,1),"")</f>
        <v>P</v>
      </c>
      <c r="Y89" s="3">
        <v>142</v>
      </c>
      <c r="Z89" s="3" t="str">
        <f>IFERROR(MID(VLOOKUP($B89,Seqs!$A:$B,2,FALSE),AA89,1),"")</f>
        <v>G</v>
      </c>
      <c r="AA89" s="3">
        <v>149</v>
      </c>
      <c r="AB89" s="3" t="str">
        <f>IFERROR(MID(VLOOKUP($B89,Seqs!$A:$B,2,FALSE),AC89,1),"")</f>
        <v>E</v>
      </c>
      <c r="AC89" s="3">
        <v>150</v>
      </c>
      <c r="AD89" s="3" t="str">
        <f>IFERROR(MID(VLOOKUP($B89,Seqs!$A:$B,2,FALSE),AE89,1),"")</f>
        <v>V</v>
      </c>
      <c r="AE89" s="3">
        <v>173</v>
      </c>
      <c r="AF89" s="3" t="str">
        <f>IFERROR(MID(VLOOKUP($B89,Seqs!$A:$B,2,FALSE),AG89,1),"")</f>
        <v>C</v>
      </c>
      <c r="AG89" s="3">
        <v>187</v>
      </c>
      <c r="AH89" s="3" t="str">
        <f>IFERROR(MID(VLOOKUP($B89,Seqs!$A:$B,2,FALSE),AI89,1),"")</f>
        <v>I</v>
      </c>
      <c r="AI89" s="3">
        <v>189</v>
      </c>
      <c r="AJ89" s="3" t="str">
        <f>IFERROR(MID(VLOOKUP($B89,Seqs!$A:$B,2,FALSE),AK89,1),"")</f>
        <v>N</v>
      </c>
      <c r="AK89" s="3">
        <v>199</v>
      </c>
      <c r="AL89" s="3" t="str">
        <f>IFERROR(MID(VLOOKUP($B89,Seqs!$A:$B,2,FALSE),AM89,1),"")</f>
        <v>Q</v>
      </c>
      <c r="AM89" s="3">
        <v>237</v>
      </c>
      <c r="AN89" s="3" t="str">
        <f>IFERROR(MID(VLOOKUP($B89,Seqs!$A:$B,2,FALSE),AO89,1),"")</f>
        <v>A</v>
      </c>
      <c r="AO89" s="3">
        <v>241</v>
      </c>
      <c r="AP89" s="3" t="str">
        <f>IFERROR(MID(VLOOKUP($B89,Seqs!$A:$B,2,FALSE),AQ89,1),"")</f>
        <v>H</v>
      </c>
      <c r="AQ89" s="3">
        <v>278</v>
      </c>
      <c r="AR89" s="3" t="str">
        <f>IFERROR(MID(VLOOKUP($B89,Seqs!$A:$B,2,FALSE),AS89,1),"")</f>
        <v>G</v>
      </c>
      <c r="AS89" s="3">
        <v>284</v>
      </c>
      <c r="AT89" s="3" t="str">
        <f>IFERROR(MID(VLOOKUP($B89,Seqs!$A:$B,2,FALSE),AU89,1),"")</f>
        <v>M</v>
      </c>
      <c r="AU89" s="3">
        <v>309</v>
      </c>
      <c r="AV89" s="3" t="str">
        <f>IFERROR(MID(VLOOKUP($B89,Seqs!$A:$B,2,FALSE),AW89,1),"")</f>
        <v>N</v>
      </c>
      <c r="AW89" s="3">
        <v>310</v>
      </c>
      <c r="AX89" s="3" t="str">
        <f>IFERROR(MID(VLOOKUP($B89,Seqs!$A:$B,2,FALSE),AY89,1),"")</f>
        <v>C</v>
      </c>
      <c r="AY89" s="3">
        <v>322</v>
      </c>
      <c r="AZ89" s="83" t="str">
        <f>VLOOKUP(B89,Classification!A:D,2,FALSE)</f>
        <v>A</v>
      </c>
      <c r="BB89" s="82">
        <f>S89-Q89+1</f>
        <v>4</v>
      </c>
      <c r="BC89" s="57">
        <f t="shared" si="116"/>
        <v>258</v>
      </c>
      <c r="BD89" s="63" t="b">
        <f t="shared" si="117"/>
        <v>1</v>
      </c>
      <c r="BE89" s="68" t="s">
        <v>1514</v>
      </c>
      <c r="BF89" s="75" t="s">
        <v>1514</v>
      </c>
      <c r="BG89" s="75" t="s">
        <v>1514</v>
      </c>
      <c r="BH89" s="75" t="s">
        <v>1514</v>
      </c>
      <c r="BI89" s="75" t="s">
        <v>1514</v>
      </c>
      <c r="BJ89" s="75" t="s">
        <v>1514</v>
      </c>
      <c r="BK89" s="75" t="s">
        <v>1514</v>
      </c>
      <c r="BL89" s="75" t="s">
        <v>1514</v>
      </c>
      <c r="BM89" s="75" t="s">
        <v>1514</v>
      </c>
      <c r="BN89" s="75" t="s">
        <v>1514</v>
      </c>
      <c r="BO89" s="75" t="s">
        <v>1514</v>
      </c>
      <c r="BP89" s="75" t="s">
        <v>1514</v>
      </c>
      <c r="BQ89" s="68">
        <f t="shared" si="90"/>
        <v>34</v>
      </c>
      <c r="BR89" s="69">
        <f t="shared" si="91"/>
        <v>66</v>
      </c>
      <c r="BS89" s="70">
        <f t="shared" si="92"/>
        <v>70</v>
      </c>
      <c r="BT89" s="69">
        <f t="shared" si="93"/>
        <v>102</v>
      </c>
      <c r="BU89" s="70">
        <f t="shared" si="94"/>
        <v>106</v>
      </c>
      <c r="BV89" s="69">
        <f t="shared" si="95"/>
        <v>142</v>
      </c>
      <c r="BW89" s="70">
        <f t="shared" si="96"/>
        <v>150</v>
      </c>
      <c r="BX89" s="69">
        <f t="shared" si="97"/>
        <v>187</v>
      </c>
      <c r="BY89" s="70">
        <f t="shared" si="98"/>
        <v>199</v>
      </c>
      <c r="BZ89" s="69">
        <f t="shared" si="99"/>
        <v>241</v>
      </c>
      <c r="CA89" s="70">
        <f t="shared" si="100"/>
        <v>284</v>
      </c>
      <c r="CB89" s="69">
        <f t="shared" si="101"/>
        <v>310</v>
      </c>
      <c r="CC89" s="68">
        <f t="shared" si="102"/>
        <v>65</v>
      </c>
      <c r="CD89" s="69">
        <f t="shared" si="103"/>
        <v>69</v>
      </c>
      <c r="CE89" s="70">
        <f t="shared" si="104"/>
        <v>100</v>
      </c>
      <c r="CF89" s="70">
        <f t="shared" si="105"/>
        <v>105</v>
      </c>
      <c r="CG89" s="70">
        <f t="shared" si="106"/>
        <v>141</v>
      </c>
      <c r="CH89" s="70">
        <f t="shared" si="107"/>
        <v>149</v>
      </c>
      <c r="CI89" s="70">
        <f t="shared" si="108"/>
        <v>173</v>
      </c>
      <c r="CJ89" s="70">
        <f t="shared" si="109"/>
        <v>189</v>
      </c>
      <c r="CK89" s="70">
        <f t="shared" si="110"/>
        <v>237</v>
      </c>
      <c r="CL89" s="70">
        <f t="shared" si="111"/>
        <v>278</v>
      </c>
      <c r="CM89" s="70">
        <f t="shared" si="112"/>
        <v>309</v>
      </c>
      <c r="CN89" s="70">
        <f t="shared" si="113"/>
        <v>322</v>
      </c>
      <c r="CO89" s="57">
        <f t="shared" si="114"/>
        <v>1</v>
      </c>
    </row>
    <row r="90" spans="1:93" x14ac:dyDescent="0.2">
      <c r="A90" s="3" t="str">
        <f t="shared" si="115"/>
        <v>opsd_bovin_1U19</v>
      </c>
      <c r="B90" s="3" t="s">
        <v>1116</v>
      </c>
      <c r="C90" s="3" t="s">
        <v>244</v>
      </c>
      <c r="D90" s="3" t="str">
        <f>IFERROR(MID(VLOOKUP($B90,Seqs!$A:$B,2,FALSE),E90,1),"")</f>
        <v>P</v>
      </c>
      <c r="E90" s="3">
        <v>34</v>
      </c>
      <c r="F90" s="3" t="str">
        <f>IFERROR(MID(VLOOKUP($B90,Seqs!$A:$B,2,FALSE),G90,1),"")</f>
        <v>H</v>
      </c>
      <c r="G90" s="3">
        <v>65</v>
      </c>
      <c r="H90" s="3" t="str">
        <f>IFERROR(MID(VLOOKUP($B90,Seqs!$A:$B,2,FALSE),I90,1),"")</f>
        <v>K</v>
      </c>
      <c r="I90" s="57">
        <v>66</v>
      </c>
      <c r="J90" s="3" t="str">
        <f>IFERROR(MID(VLOOKUP($B90,Seqs!$A:$B,2,FALSE),K90,1),"")</f>
        <v>R</v>
      </c>
      <c r="K90" s="57">
        <v>69</v>
      </c>
      <c r="L90" s="3" t="str">
        <f>IFERROR(MID(VLOOKUP($B90,Seqs!$A:$B,2,FALSE),M90,1),"")</f>
        <v>T</v>
      </c>
      <c r="M90" s="3">
        <v>70</v>
      </c>
      <c r="N90" s="3" t="str">
        <f>IFERROR(MID(VLOOKUP($B90,Seqs!$A:$B,2,FALSE),O90,1),"")</f>
        <v>H</v>
      </c>
      <c r="O90" s="3">
        <v>100</v>
      </c>
      <c r="P90" s="3" t="str">
        <f>IFERROR(MID(VLOOKUP($B90,Seqs!$A:$B,2,FALSE),Q90,1),"")</f>
        <v>Y</v>
      </c>
      <c r="Q90" s="3">
        <v>102</v>
      </c>
      <c r="R90" s="3" t="str">
        <f>IFERROR(MID(VLOOKUP($B90,Seqs!$A:$B,2,FALSE),S90,1),"")</f>
        <v>F</v>
      </c>
      <c r="S90" s="3">
        <v>105</v>
      </c>
      <c r="T90" s="3" t="str">
        <f>IFERROR(MID(VLOOKUP($B90,Seqs!$A:$B,2,FALSE),U90,1),"")</f>
        <v>G</v>
      </c>
      <c r="U90" s="3">
        <v>106</v>
      </c>
      <c r="V90" s="3" t="str">
        <f>IFERROR(MID(VLOOKUP($B90,Seqs!$A:$B,2,FALSE),W90,1),"")</f>
        <v>K</v>
      </c>
      <c r="W90" s="3">
        <v>141</v>
      </c>
      <c r="X90" s="3" t="str">
        <f>IFERROR(MID(VLOOKUP($B90,Seqs!$A:$B,2,FALSE),Y90,1),"")</f>
        <v/>
      </c>
      <c r="Y90" s="3" t="s">
        <v>129</v>
      </c>
      <c r="Z90" s="3" t="str">
        <f>IFERROR(MID(VLOOKUP($B90,Seqs!$A:$B,2,FALSE),AA90,1),"")</f>
        <v/>
      </c>
      <c r="AA90" s="3" t="s">
        <v>129</v>
      </c>
      <c r="AB90" s="3" t="str">
        <f>IFERROR(MID(VLOOKUP($B90,Seqs!$A:$B,2,FALSE),AC90,1),"")</f>
        <v>E</v>
      </c>
      <c r="AC90" s="3">
        <v>150</v>
      </c>
      <c r="AD90" s="3" t="str">
        <f>IFERROR(MID(VLOOKUP($B90,Seqs!$A:$B,2,FALSE),AE90,1),"")</f>
        <v>V</v>
      </c>
      <c r="AE90" s="3">
        <v>173</v>
      </c>
      <c r="AF90" s="3" t="str">
        <f>IFERROR(MID(VLOOKUP($B90,Seqs!$A:$B,2,FALSE),AG90,1),"")</f>
        <v>C</v>
      </c>
      <c r="AG90" s="3">
        <v>187</v>
      </c>
      <c r="AH90" s="3" t="str">
        <f>IFERROR(MID(VLOOKUP($B90,Seqs!$A:$B,2,FALSE),AI90,1),"")</f>
        <v>I</v>
      </c>
      <c r="AI90" s="3">
        <v>189</v>
      </c>
      <c r="AJ90" s="3" t="str">
        <f>IFERROR(MID(VLOOKUP($B90,Seqs!$A:$B,2,FALSE),AK90,1),"")</f>
        <v>N</v>
      </c>
      <c r="AK90" s="3">
        <v>199</v>
      </c>
      <c r="AL90" s="3" t="str">
        <f>IFERROR(MID(VLOOKUP($B90,Seqs!$A:$B,2,FALSE),AM90,1),"")</f>
        <v>Q</v>
      </c>
      <c r="AM90" s="3">
        <v>225</v>
      </c>
      <c r="AN90" s="3" t="str">
        <f>IFERROR(MID(VLOOKUP($B90,Seqs!$A:$B,2,FALSE),AO90,1),"")</f>
        <v>T</v>
      </c>
      <c r="AO90" s="3">
        <v>243</v>
      </c>
      <c r="AP90" s="3" t="str">
        <f>IFERROR(MID(VLOOKUP($B90,Seqs!$A:$B,2,FALSE),AQ90,1),"")</f>
        <v>H</v>
      </c>
      <c r="AQ90" s="3">
        <v>278</v>
      </c>
      <c r="AR90" s="3" t="str">
        <f>IFERROR(MID(VLOOKUP($B90,Seqs!$A:$B,2,FALSE),AS90,1),"")</f>
        <v>G</v>
      </c>
      <c r="AS90" s="3">
        <v>284</v>
      </c>
      <c r="AT90" s="3" t="str">
        <f>IFERROR(MID(VLOOKUP($B90,Seqs!$A:$B,2,FALSE),AU90,1),"")</f>
        <v>M</v>
      </c>
      <c r="AU90" s="3">
        <v>309</v>
      </c>
      <c r="AV90" s="3" t="str">
        <f>IFERROR(MID(VLOOKUP($B90,Seqs!$A:$B,2,FALSE),AW90,1),"")</f>
        <v>N</v>
      </c>
      <c r="AW90" s="3">
        <v>310</v>
      </c>
      <c r="AX90" s="3" t="str">
        <f>IFERROR(MID(VLOOKUP($B90,Seqs!$A:$B,2,FALSE),AY90,1),"")</f>
        <v>C</v>
      </c>
      <c r="AY90" s="3">
        <v>322</v>
      </c>
      <c r="AZ90" s="83" t="str">
        <f>VLOOKUP(B90,Classification!A:D,2,FALSE)</f>
        <v>A</v>
      </c>
      <c r="BB90" s="82">
        <f>S90-Q90+1</f>
        <v>4</v>
      </c>
      <c r="BC90" s="57">
        <f t="shared" si="116"/>
        <v>237</v>
      </c>
      <c r="BD90" s="63" t="b">
        <f t="shared" si="117"/>
        <v>1</v>
      </c>
      <c r="BE90" s="68" t="s">
        <v>1514</v>
      </c>
      <c r="BF90" s="75" t="s">
        <v>1514</v>
      </c>
      <c r="BG90" s="75" t="s">
        <v>1514</v>
      </c>
      <c r="BH90" s="75" t="s">
        <v>1514</v>
      </c>
      <c r="BI90" s="75" t="s">
        <v>1514</v>
      </c>
      <c r="BJ90" s="75" t="s">
        <v>1514</v>
      </c>
      <c r="BK90" s="75" t="s">
        <v>1514</v>
      </c>
      <c r="BL90" s="75" t="s">
        <v>1514</v>
      </c>
      <c r="BM90" s="75" t="s">
        <v>1514</v>
      </c>
      <c r="BN90" s="75" t="s">
        <v>1514</v>
      </c>
      <c r="BO90" s="75" t="s">
        <v>1514</v>
      </c>
      <c r="BP90" s="75" t="s">
        <v>1514</v>
      </c>
      <c r="BQ90" s="68">
        <f t="shared" si="90"/>
        <v>34</v>
      </c>
      <c r="BR90" s="69">
        <f t="shared" si="91"/>
        <v>66</v>
      </c>
      <c r="BS90" s="70">
        <f t="shared" si="92"/>
        <v>70</v>
      </c>
      <c r="BT90" s="69">
        <f t="shared" si="93"/>
        <v>102</v>
      </c>
      <c r="BU90" s="70">
        <f t="shared" si="94"/>
        <v>106</v>
      </c>
      <c r="BV90" s="69" t="str">
        <f t="shared" si="95"/>
        <v>-</v>
      </c>
      <c r="BW90" s="70">
        <f t="shared" si="96"/>
        <v>150</v>
      </c>
      <c r="BX90" s="69">
        <f t="shared" si="97"/>
        <v>187</v>
      </c>
      <c r="BY90" s="70">
        <f t="shared" si="98"/>
        <v>199</v>
      </c>
      <c r="BZ90" s="69">
        <f t="shared" si="99"/>
        <v>243</v>
      </c>
      <c r="CA90" s="70">
        <f t="shared" si="100"/>
        <v>284</v>
      </c>
      <c r="CB90" s="69">
        <f t="shared" si="101"/>
        <v>310</v>
      </c>
      <c r="CC90" s="68">
        <f t="shared" si="102"/>
        <v>65</v>
      </c>
      <c r="CD90" s="69">
        <f t="shared" si="103"/>
        <v>69</v>
      </c>
      <c r="CE90" s="70">
        <f t="shared" si="104"/>
        <v>100</v>
      </c>
      <c r="CF90" s="70">
        <f t="shared" si="105"/>
        <v>105</v>
      </c>
      <c r="CG90" s="70">
        <f t="shared" si="106"/>
        <v>141</v>
      </c>
      <c r="CH90" s="70" t="str">
        <f t="shared" si="107"/>
        <v>-</v>
      </c>
      <c r="CI90" s="70">
        <f t="shared" si="108"/>
        <v>173</v>
      </c>
      <c r="CJ90" s="70">
        <f t="shared" si="109"/>
        <v>189</v>
      </c>
      <c r="CK90" s="70">
        <f t="shared" si="110"/>
        <v>225</v>
      </c>
      <c r="CL90" s="70">
        <f t="shared" si="111"/>
        <v>278</v>
      </c>
      <c r="CM90" s="70">
        <f t="shared" si="112"/>
        <v>309</v>
      </c>
      <c r="CN90" s="70">
        <f t="shared" si="113"/>
        <v>322</v>
      </c>
      <c r="CO90" s="57">
        <f t="shared" si="114"/>
        <v>1</v>
      </c>
    </row>
    <row r="91" spans="1:93" x14ac:dyDescent="0.2">
      <c r="A91" s="3" t="str">
        <f t="shared" si="115"/>
        <v>opsd_bovin_3DQB</v>
      </c>
      <c r="B91" s="3" t="s">
        <v>1116</v>
      </c>
      <c r="C91" s="3" t="s">
        <v>245</v>
      </c>
      <c r="D91" s="3" t="str">
        <f>IFERROR(MID(VLOOKUP($B91,Seqs!$A:$B,2,FALSE),E91,1),"")</f>
        <v>P</v>
      </c>
      <c r="E91" s="3">
        <v>34</v>
      </c>
      <c r="F91" s="3" t="str">
        <f>IFERROR(MID(VLOOKUP($B91,Seqs!$A:$B,2,FALSE),G91,1),"")</f>
        <v>H</v>
      </c>
      <c r="G91" s="3">
        <v>65</v>
      </c>
      <c r="H91" s="3" t="str">
        <f>IFERROR(MID(VLOOKUP($B91,Seqs!$A:$B,2,FALSE),I91,1),"")</f>
        <v>K</v>
      </c>
      <c r="I91" s="57">
        <v>66</v>
      </c>
      <c r="J91" s="3" t="str">
        <f>IFERROR(MID(VLOOKUP($B91,Seqs!$A:$B,2,FALSE),K91,1),"")</f>
        <v>R</v>
      </c>
      <c r="K91" s="57">
        <v>69</v>
      </c>
      <c r="L91" s="3" t="str">
        <f>IFERROR(MID(VLOOKUP($B91,Seqs!$A:$B,2,FALSE),M91,1),"")</f>
        <v>T</v>
      </c>
      <c r="M91" s="3">
        <v>70</v>
      </c>
      <c r="N91" s="3" t="str">
        <f>IFERROR(MID(VLOOKUP($B91,Seqs!$A:$B,2,FALSE),O91,1),"")</f>
        <v>H</v>
      </c>
      <c r="O91" s="3">
        <v>100</v>
      </c>
      <c r="P91" s="3" t="str">
        <f>IFERROR(MID(VLOOKUP($B91,Seqs!$A:$B,2,FALSE),Q91,1),"")</f>
        <v>Y</v>
      </c>
      <c r="Q91" s="3">
        <v>102</v>
      </c>
      <c r="R91" s="3" t="str">
        <f>IFERROR(MID(VLOOKUP($B91,Seqs!$A:$B,2,FALSE),S91,1),"")</f>
        <v>F</v>
      </c>
      <c r="S91" s="3">
        <v>105</v>
      </c>
      <c r="T91" s="3" t="str">
        <f>IFERROR(MID(VLOOKUP($B91,Seqs!$A:$B,2,FALSE),U91,1),"")</f>
        <v>G</v>
      </c>
      <c r="U91" s="3">
        <v>106</v>
      </c>
      <c r="V91" s="3" t="str">
        <f>IFERROR(MID(VLOOKUP($B91,Seqs!$A:$B,2,FALSE),W91,1),"")</f>
        <v>K</v>
      </c>
      <c r="W91" s="3">
        <v>141</v>
      </c>
      <c r="X91" s="3" t="str">
        <f>IFERROR(MID(VLOOKUP($B91,Seqs!$A:$B,2,FALSE),Y91,1),"")</f>
        <v/>
      </c>
      <c r="Y91" s="3" t="s">
        <v>129</v>
      </c>
      <c r="Z91" s="3" t="str">
        <f>IFERROR(MID(VLOOKUP($B91,Seqs!$A:$B,2,FALSE),AA91,1),"")</f>
        <v/>
      </c>
      <c r="AA91" s="3" t="s">
        <v>129</v>
      </c>
      <c r="AB91" s="3" t="str">
        <f>IFERROR(MID(VLOOKUP($B91,Seqs!$A:$B,2,FALSE),AC91,1),"")</f>
        <v>E</v>
      </c>
      <c r="AC91" s="3">
        <v>150</v>
      </c>
      <c r="AD91" s="3" t="str">
        <f>IFERROR(MID(VLOOKUP($B91,Seqs!$A:$B,2,FALSE),AE91,1),"")</f>
        <v>V</v>
      </c>
      <c r="AE91" s="3">
        <v>173</v>
      </c>
      <c r="AF91" s="3" t="str">
        <f>IFERROR(MID(VLOOKUP($B91,Seqs!$A:$B,2,FALSE),AG91,1),"")</f>
        <v>C</v>
      </c>
      <c r="AG91" s="3">
        <v>187</v>
      </c>
      <c r="AH91" s="3" t="str">
        <f>IFERROR(MID(VLOOKUP($B91,Seqs!$A:$B,2,FALSE),AI91,1),"")</f>
        <v>I</v>
      </c>
      <c r="AI91" s="3">
        <v>189</v>
      </c>
      <c r="AJ91" s="3" t="str">
        <f>IFERROR(MID(VLOOKUP($B91,Seqs!$A:$B,2,FALSE),AK91,1),"")</f>
        <v>N</v>
      </c>
      <c r="AK91" s="3">
        <v>199</v>
      </c>
      <c r="AL91" s="3" t="str">
        <f>IFERROR(MID(VLOOKUP($B91,Seqs!$A:$B,2,FALSE),AM91,1),"")</f>
        <v>Q</v>
      </c>
      <c r="AM91" s="3">
        <v>237</v>
      </c>
      <c r="AN91" s="3" t="str">
        <f>IFERROR(MID(VLOOKUP($B91,Seqs!$A:$B,2,FALSE),AO91,1),"")</f>
        <v>A</v>
      </c>
      <c r="AO91" s="3">
        <v>241</v>
      </c>
      <c r="AP91" s="3" t="str">
        <f>IFERROR(MID(VLOOKUP($B91,Seqs!$A:$B,2,FALSE),AQ91,1),"")</f>
        <v>H</v>
      </c>
      <c r="AQ91" s="3">
        <v>278</v>
      </c>
      <c r="AR91" s="3" t="str">
        <f>IFERROR(MID(VLOOKUP($B91,Seqs!$A:$B,2,FALSE),AS91,1),"")</f>
        <v>G</v>
      </c>
      <c r="AS91" s="3">
        <v>284</v>
      </c>
      <c r="AT91" s="3" t="str">
        <f>IFERROR(MID(VLOOKUP($B91,Seqs!$A:$B,2,FALSE),AU91,1),"")</f>
        <v>M</v>
      </c>
      <c r="AU91" s="3">
        <v>309</v>
      </c>
      <c r="AV91" s="3" t="str">
        <f>IFERROR(MID(VLOOKUP($B91,Seqs!$A:$B,2,FALSE),AW91,1),"")</f>
        <v>N</v>
      </c>
      <c r="AW91" s="3">
        <v>310</v>
      </c>
      <c r="AX91" s="3" t="str">
        <f>IFERROR(MID(VLOOKUP($B91,Seqs!$A:$B,2,FALSE),AY91,1),"")</f>
        <v>C</v>
      </c>
      <c r="AY91" s="3">
        <v>322</v>
      </c>
      <c r="AZ91" s="83" t="str">
        <f>VLOOKUP(B91,Classification!A:D,2,FALSE)</f>
        <v>A</v>
      </c>
      <c r="BC91" s="57">
        <f t="shared" si="116"/>
        <v>251</v>
      </c>
      <c r="BD91" s="63" t="b">
        <f t="shared" si="117"/>
        <v>1</v>
      </c>
      <c r="BE91" s="68" t="s">
        <v>1514</v>
      </c>
      <c r="BF91" s="75" t="s">
        <v>1514</v>
      </c>
      <c r="BG91" s="75" t="s">
        <v>1514</v>
      </c>
      <c r="BH91" s="75" t="s">
        <v>1514</v>
      </c>
      <c r="BI91" s="75" t="s">
        <v>1514</v>
      </c>
      <c r="BJ91" s="75" t="s">
        <v>1514</v>
      </c>
      <c r="BK91" s="75" t="s">
        <v>1514</v>
      </c>
      <c r="BL91" s="75" t="s">
        <v>1514</v>
      </c>
      <c r="BM91" s="75" t="s">
        <v>1514</v>
      </c>
      <c r="BN91" s="75" t="s">
        <v>1514</v>
      </c>
      <c r="BO91" s="75" t="s">
        <v>1514</v>
      </c>
      <c r="BP91" s="75" t="s">
        <v>1514</v>
      </c>
      <c r="BQ91" s="68">
        <f t="shared" si="90"/>
        <v>34</v>
      </c>
      <c r="BR91" s="69">
        <f t="shared" si="91"/>
        <v>66</v>
      </c>
      <c r="BS91" s="70">
        <f t="shared" si="92"/>
        <v>70</v>
      </c>
      <c r="BT91" s="69">
        <f t="shared" si="93"/>
        <v>102</v>
      </c>
      <c r="BU91" s="70">
        <f t="shared" si="94"/>
        <v>106</v>
      </c>
      <c r="BV91" s="69" t="str">
        <f t="shared" si="95"/>
        <v>-</v>
      </c>
      <c r="BW91" s="70">
        <f t="shared" si="96"/>
        <v>150</v>
      </c>
      <c r="BX91" s="69">
        <f t="shared" si="97"/>
        <v>187</v>
      </c>
      <c r="BY91" s="70">
        <f t="shared" si="98"/>
        <v>199</v>
      </c>
      <c r="BZ91" s="69">
        <f t="shared" si="99"/>
        <v>241</v>
      </c>
      <c r="CA91" s="70">
        <f t="shared" si="100"/>
        <v>284</v>
      </c>
      <c r="CB91" s="69">
        <f t="shared" si="101"/>
        <v>310</v>
      </c>
      <c r="CC91" s="68">
        <f t="shared" si="102"/>
        <v>65</v>
      </c>
      <c r="CD91" s="69">
        <f t="shared" si="103"/>
        <v>69</v>
      </c>
      <c r="CE91" s="70">
        <f t="shared" si="104"/>
        <v>100</v>
      </c>
      <c r="CF91" s="70">
        <f t="shared" si="105"/>
        <v>105</v>
      </c>
      <c r="CG91" s="70">
        <f t="shared" si="106"/>
        <v>141</v>
      </c>
      <c r="CH91" s="70" t="str">
        <f t="shared" si="107"/>
        <v>-</v>
      </c>
      <c r="CI91" s="70">
        <f t="shared" si="108"/>
        <v>173</v>
      </c>
      <c r="CJ91" s="70">
        <f t="shared" si="109"/>
        <v>189</v>
      </c>
      <c r="CK91" s="70">
        <f t="shared" si="110"/>
        <v>237</v>
      </c>
      <c r="CL91" s="70">
        <f t="shared" si="111"/>
        <v>278</v>
      </c>
      <c r="CM91" s="70">
        <f t="shared" si="112"/>
        <v>309</v>
      </c>
      <c r="CN91" s="70">
        <f t="shared" si="113"/>
        <v>322</v>
      </c>
      <c r="CO91" s="57">
        <f t="shared" si="114"/>
        <v>1</v>
      </c>
    </row>
    <row r="92" spans="1:93" x14ac:dyDescent="0.2">
      <c r="A92" s="3" t="str">
        <f t="shared" si="115"/>
        <v>opsd_bovin_3PQR</v>
      </c>
      <c r="B92" s="3" t="s">
        <v>1116</v>
      </c>
      <c r="C92" s="3" t="s">
        <v>1239</v>
      </c>
      <c r="D92" s="3" t="str">
        <f>IFERROR(MID(VLOOKUP($B92,Seqs!$A:$B,2,FALSE),E92,1),"")</f>
        <v>P</v>
      </c>
      <c r="E92" s="3">
        <v>34</v>
      </c>
      <c r="F92" s="3" t="str">
        <f>IFERROR(MID(VLOOKUP($B92,Seqs!$A:$B,2,FALSE),G92,1),"")</f>
        <v>H</v>
      </c>
      <c r="G92" s="3">
        <v>65</v>
      </c>
      <c r="H92" s="3" t="str">
        <f>IFERROR(MID(VLOOKUP($B92,Seqs!$A:$B,2,FALSE),I92,1),"")</f>
        <v>K</v>
      </c>
      <c r="I92" s="57">
        <v>66</v>
      </c>
      <c r="J92" s="3" t="str">
        <f>IFERROR(MID(VLOOKUP($B92,Seqs!$A:$B,2,FALSE),K92,1),"")</f>
        <v>R</v>
      </c>
      <c r="K92" s="57">
        <v>69</v>
      </c>
      <c r="L92" s="3" t="str">
        <f>IFERROR(MID(VLOOKUP($B92,Seqs!$A:$B,2,FALSE),M92,1),"")</f>
        <v>T</v>
      </c>
      <c r="M92" s="3">
        <v>70</v>
      </c>
      <c r="N92" s="3" t="str">
        <f>IFERROR(MID(VLOOKUP($B92,Seqs!$A:$B,2,FALSE),O92,1),"")</f>
        <v>H</v>
      </c>
      <c r="O92" s="3">
        <v>100</v>
      </c>
      <c r="P92" s="3" t="str">
        <f>IFERROR(MID(VLOOKUP($B92,Seqs!$A:$B,2,FALSE),Q92,1),"")</f>
        <v>Y</v>
      </c>
      <c r="Q92" s="3">
        <v>102</v>
      </c>
      <c r="R92" s="3" t="str">
        <f>IFERROR(MID(VLOOKUP($B92,Seqs!$A:$B,2,FALSE),S92,1),"")</f>
        <v>F</v>
      </c>
      <c r="S92" s="3">
        <v>105</v>
      </c>
      <c r="T92" s="3" t="str">
        <f>IFERROR(MID(VLOOKUP($B92,Seqs!$A:$B,2,FALSE),U92,1),"")</f>
        <v>G</v>
      </c>
      <c r="U92" s="3">
        <v>106</v>
      </c>
      <c r="V92" s="3" t="str">
        <f>IFERROR(MID(VLOOKUP($B92,Seqs!$A:$B,2,FALSE),W92,1),"")</f>
        <v>K</v>
      </c>
      <c r="W92" s="3">
        <v>141</v>
      </c>
      <c r="X92" s="3" t="str">
        <f>IFERROR(MID(VLOOKUP($B92,Seqs!$A:$B,2,FALSE),Y92,1),"")</f>
        <v/>
      </c>
      <c r="Y92" s="3" t="s">
        <v>129</v>
      </c>
      <c r="Z92" s="3" t="str">
        <f>IFERROR(MID(VLOOKUP($B92,Seqs!$A:$B,2,FALSE),AA92,1),"")</f>
        <v/>
      </c>
      <c r="AA92" s="3" t="s">
        <v>129</v>
      </c>
      <c r="AB92" s="3" t="str">
        <f>IFERROR(MID(VLOOKUP($B92,Seqs!$A:$B,2,FALSE),AC92,1),"")</f>
        <v>E</v>
      </c>
      <c r="AC92" s="3">
        <v>150</v>
      </c>
      <c r="AD92" s="3" t="str">
        <f>IFERROR(MID(VLOOKUP($B92,Seqs!$A:$B,2,FALSE),AE92,1),"")</f>
        <v>V</v>
      </c>
      <c r="AE92" s="3">
        <v>173</v>
      </c>
      <c r="AF92" s="3" t="str">
        <f>IFERROR(MID(VLOOKUP($B92,Seqs!$A:$B,2,FALSE),AG92,1),"")</f>
        <v>C</v>
      </c>
      <c r="AG92" s="3">
        <v>187</v>
      </c>
      <c r="AH92" s="3" t="str">
        <f>IFERROR(MID(VLOOKUP($B92,Seqs!$A:$B,2,FALSE),AI92,1),"")</f>
        <v>I</v>
      </c>
      <c r="AI92" s="3">
        <v>189</v>
      </c>
      <c r="AJ92" s="3" t="str">
        <f>IFERROR(MID(VLOOKUP($B92,Seqs!$A:$B,2,FALSE),AK92,1),"")</f>
        <v>N</v>
      </c>
      <c r="AK92" s="3">
        <v>199</v>
      </c>
      <c r="AL92" s="3" t="str">
        <f>IFERROR(MID(VLOOKUP($B92,Seqs!$A:$B,2,FALSE),AM92,1),"")</f>
        <v>Q</v>
      </c>
      <c r="AM92" s="3">
        <v>237</v>
      </c>
      <c r="AN92" s="3" t="str">
        <f>IFERROR(MID(VLOOKUP($B92,Seqs!$A:$B,2,FALSE),AO92,1),"")</f>
        <v>A</v>
      </c>
      <c r="AO92" s="3">
        <v>241</v>
      </c>
      <c r="AP92" s="3" t="str">
        <f>IFERROR(MID(VLOOKUP($B92,Seqs!$A:$B,2,FALSE),AQ92,1),"")</f>
        <v>H</v>
      </c>
      <c r="AQ92" s="3">
        <v>278</v>
      </c>
      <c r="AR92" s="3" t="str">
        <f>IFERROR(MID(VLOOKUP($B92,Seqs!$A:$B,2,FALSE),AS92,1),"")</f>
        <v>G</v>
      </c>
      <c r="AS92" s="3">
        <v>284</v>
      </c>
      <c r="AT92" s="3" t="str">
        <f>IFERROR(MID(VLOOKUP($B92,Seqs!$A:$B,2,FALSE),AU92,1),"")</f>
        <v>M</v>
      </c>
      <c r="AU92" s="3">
        <v>309</v>
      </c>
      <c r="AV92" s="3" t="str">
        <f>IFERROR(MID(VLOOKUP($B92,Seqs!$A:$B,2,FALSE),AW92,1),"")</f>
        <v>N</v>
      </c>
      <c r="AW92" s="3">
        <v>310</v>
      </c>
      <c r="AX92" s="3" t="str">
        <f>IFERROR(MID(VLOOKUP($B92,Seqs!$A:$B,2,FALSE),AY92,1),"")</f>
        <v>C</v>
      </c>
      <c r="AY92" s="3">
        <v>322</v>
      </c>
      <c r="AZ92" s="83" t="str">
        <f>VLOOKUP(B92,Classification!A:D,2,FALSE)</f>
        <v>A</v>
      </c>
      <c r="BC92" s="57">
        <f t="shared" si="116"/>
        <v>251</v>
      </c>
      <c r="BD92" s="63" t="b">
        <f t="shared" si="117"/>
        <v>1</v>
      </c>
      <c r="BE92" s="68" t="s">
        <v>1514</v>
      </c>
      <c r="BF92" s="75" t="s">
        <v>1514</v>
      </c>
      <c r="BG92" s="75" t="s">
        <v>1514</v>
      </c>
      <c r="BH92" s="75" t="s">
        <v>1514</v>
      </c>
      <c r="BI92" s="75" t="s">
        <v>1514</v>
      </c>
      <c r="BJ92" s="75" t="s">
        <v>1514</v>
      </c>
      <c r="BK92" s="75" t="s">
        <v>1514</v>
      </c>
      <c r="BL92" s="75" t="s">
        <v>1514</v>
      </c>
      <c r="BM92" s="75" t="s">
        <v>1514</v>
      </c>
      <c r="BN92" s="75" t="s">
        <v>1514</v>
      </c>
      <c r="BO92" s="75" t="s">
        <v>1514</v>
      </c>
      <c r="BP92" s="75" t="s">
        <v>1514</v>
      </c>
      <c r="BQ92" s="68">
        <f t="shared" si="90"/>
        <v>34</v>
      </c>
      <c r="BR92" s="69">
        <f t="shared" si="91"/>
        <v>66</v>
      </c>
      <c r="BS92" s="70">
        <f t="shared" si="92"/>
        <v>70</v>
      </c>
      <c r="BT92" s="69">
        <f t="shared" si="93"/>
        <v>102</v>
      </c>
      <c r="BU92" s="70">
        <f t="shared" si="94"/>
        <v>106</v>
      </c>
      <c r="BV92" s="69" t="str">
        <f t="shared" si="95"/>
        <v>-</v>
      </c>
      <c r="BW92" s="70">
        <f t="shared" si="96"/>
        <v>150</v>
      </c>
      <c r="BX92" s="69">
        <f t="shared" si="97"/>
        <v>187</v>
      </c>
      <c r="BY92" s="70">
        <f t="shared" si="98"/>
        <v>199</v>
      </c>
      <c r="BZ92" s="69">
        <f t="shared" si="99"/>
        <v>241</v>
      </c>
      <c r="CA92" s="70">
        <f t="shared" si="100"/>
        <v>284</v>
      </c>
      <c r="CB92" s="69">
        <f t="shared" si="101"/>
        <v>310</v>
      </c>
      <c r="CC92" s="68">
        <f t="shared" si="102"/>
        <v>65</v>
      </c>
      <c r="CD92" s="69">
        <f t="shared" si="103"/>
        <v>69</v>
      </c>
      <c r="CE92" s="70">
        <f t="shared" si="104"/>
        <v>100</v>
      </c>
      <c r="CF92" s="70">
        <f t="shared" si="105"/>
        <v>105</v>
      </c>
      <c r="CG92" s="70">
        <f t="shared" si="106"/>
        <v>141</v>
      </c>
      <c r="CH92" s="70" t="str">
        <f t="shared" si="107"/>
        <v>-</v>
      </c>
      <c r="CI92" s="70">
        <f t="shared" si="108"/>
        <v>173</v>
      </c>
      <c r="CJ92" s="70">
        <f t="shared" si="109"/>
        <v>189</v>
      </c>
      <c r="CK92" s="70">
        <f t="shared" si="110"/>
        <v>237</v>
      </c>
      <c r="CL92" s="70">
        <f t="shared" si="111"/>
        <v>278</v>
      </c>
      <c r="CM92" s="70">
        <f t="shared" si="112"/>
        <v>309</v>
      </c>
      <c r="CN92" s="70">
        <f t="shared" si="113"/>
        <v>322</v>
      </c>
      <c r="CO92" s="57">
        <f t="shared" si="114"/>
        <v>1</v>
      </c>
    </row>
    <row r="93" spans="1:93" x14ac:dyDescent="0.2">
      <c r="A93" s="3" t="str">
        <f t="shared" si="115"/>
        <v>opsd_bovin_4J4Q</v>
      </c>
      <c r="B93" s="3" t="s">
        <v>1116</v>
      </c>
      <c r="C93" s="3" t="s">
        <v>1250</v>
      </c>
      <c r="D93" s="3" t="str">
        <f>IFERROR(MID(VLOOKUP($B93,Seqs!$A:$B,2,FALSE),E93,1),"")</f>
        <v>P</v>
      </c>
      <c r="E93" s="3">
        <v>34</v>
      </c>
      <c r="F93" s="3" t="str">
        <f>IFERROR(MID(VLOOKUP($B93,Seqs!$A:$B,2,FALSE),G93,1),"")</f>
        <v>H</v>
      </c>
      <c r="G93" s="3">
        <v>65</v>
      </c>
      <c r="H93" s="3" t="str">
        <f>IFERROR(MID(VLOOKUP($B93,Seqs!$A:$B,2,FALSE),I93,1),"")</f>
        <v>K</v>
      </c>
      <c r="I93" s="57">
        <v>66</v>
      </c>
      <c r="J93" s="3" t="str">
        <f>IFERROR(MID(VLOOKUP($B93,Seqs!$A:$B,2,FALSE),K93,1),"")</f>
        <v>R</v>
      </c>
      <c r="K93" s="57">
        <v>69</v>
      </c>
      <c r="L93" s="3" t="str">
        <f>IFERROR(MID(VLOOKUP($B93,Seqs!$A:$B,2,FALSE),M93,1),"")</f>
        <v>T</v>
      </c>
      <c r="M93" s="3">
        <v>70</v>
      </c>
      <c r="N93" s="3" t="str">
        <f>IFERROR(MID(VLOOKUP($B93,Seqs!$A:$B,2,FALSE),O93,1),"")</f>
        <v>H</v>
      </c>
      <c r="O93" s="3">
        <v>100</v>
      </c>
      <c r="P93" s="3" t="str">
        <f>IFERROR(MID(VLOOKUP($B93,Seqs!$A:$B,2,FALSE),Q93,1),"")</f>
        <v>Y</v>
      </c>
      <c r="Q93" s="3">
        <v>102</v>
      </c>
      <c r="R93" s="3" t="str">
        <f>IFERROR(MID(VLOOKUP($B93,Seqs!$A:$B,2,FALSE),S93,1),"")</f>
        <v>F</v>
      </c>
      <c r="S93" s="3">
        <v>105</v>
      </c>
      <c r="T93" s="3" t="str">
        <f>IFERROR(MID(VLOOKUP($B93,Seqs!$A:$B,2,FALSE),U93,1),"")</f>
        <v>G</v>
      </c>
      <c r="U93" s="3">
        <v>106</v>
      </c>
      <c r="V93" s="3" t="str">
        <f>IFERROR(MID(VLOOKUP($B93,Seqs!$A:$B,2,FALSE),W93,1),"")</f>
        <v>K</v>
      </c>
      <c r="W93" s="3">
        <v>141</v>
      </c>
      <c r="X93" s="3" t="str">
        <f>IFERROR(MID(VLOOKUP($B93,Seqs!$A:$B,2,FALSE),Y93,1),"")</f>
        <v/>
      </c>
      <c r="Y93" s="3" t="s">
        <v>129</v>
      </c>
      <c r="Z93" s="3" t="str">
        <f>IFERROR(MID(VLOOKUP($B93,Seqs!$A:$B,2,FALSE),AA93,1),"")</f>
        <v/>
      </c>
      <c r="AA93" s="3" t="s">
        <v>129</v>
      </c>
      <c r="AB93" s="3" t="str">
        <f>IFERROR(MID(VLOOKUP($B93,Seqs!$A:$B,2,FALSE),AC93,1),"")</f>
        <v>E</v>
      </c>
      <c r="AC93" s="3">
        <v>150</v>
      </c>
      <c r="AD93" s="3" t="str">
        <f>IFERROR(MID(VLOOKUP($B93,Seqs!$A:$B,2,FALSE),AE93,1),"")</f>
        <v>V</v>
      </c>
      <c r="AE93" s="3">
        <v>173</v>
      </c>
      <c r="AF93" s="3" t="str">
        <f>IFERROR(MID(VLOOKUP($B93,Seqs!$A:$B,2,FALSE),AG93,1),"")</f>
        <v>C</v>
      </c>
      <c r="AG93" s="3">
        <v>187</v>
      </c>
      <c r="AH93" s="3" t="str">
        <f>IFERROR(MID(VLOOKUP($B93,Seqs!$A:$B,2,FALSE),AI93,1),"")</f>
        <v>I</v>
      </c>
      <c r="AI93" s="3">
        <v>189</v>
      </c>
      <c r="AJ93" s="3" t="str">
        <f>IFERROR(MID(VLOOKUP($B93,Seqs!$A:$B,2,FALSE),AK93,1),"")</f>
        <v>N</v>
      </c>
      <c r="AK93" s="3">
        <v>199</v>
      </c>
      <c r="AL93" s="3" t="str">
        <f>IFERROR(MID(VLOOKUP($B93,Seqs!$A:$B,2,FALSE),AM93,1),"")</f>
        <v>Q</v>
      </c>
      <c r="AM93" s="3">
        <v>237</v>
      </c>
      <c r="AN93" s="3" t="str">
        <f>IFERROR(MID(VLOOKUP($B93,Seqs!$A:$B,2,FALSE),AO93,1),"")</f>
        <v>A</v>
      </c>
      <c r="AO93" s="3">
        <v>241</v>
      </c>
      <c r="AP93" s="3" t="str">
        <f>IFERROR(MID(VLOOKUP($B93,Seqs!$A:$B,2,FALSE),AQ93,1),"")</f>
        <v>H</v>
      </c>
      <c r="AQ93" s="3">
        <v>278</v>
      </c>
      <c r="AR93" s="3" t="str">
        <f>IFERROR(MID(VLOOKUP($B93,Seqs!$A:$B,2,FALSE),AS93,1),"")</f>
        <v>G</v>
      </c>
      <c r="AS93" s="3">
        <v>284</v>
      </c>
      <c r="AT93" s="3" t="str">
        <f>IFERROR(MID(VLOOKUP($B93,Seqs!$A:$B,2,FALSE),AU93,1),"")</f>
        <v>M</v>
      </c>
      <c r="AU93" s="3">
        <v>309</v>
      </c>
      <c r="AV93" s="3" t="str">
        <f>IFERROR(MID(VLOOKUP($B93,Seqs!$A:$B,2,FALSE),AW93,1),"")</f>
        <v>N</v>
      </c>
      <c r="AW93" s="3">
        <v>310</v>
      </c>
      <c r="AX93" s="3" t="str">
        <f>IFERROR(MID(VLOOKUP($B93,Seqs!$A:$B,2,FALSE),AY93,1),"")</f>
        <v>C</v>
      </c>
      <c r="AY93" s="3">
        <v>322</v>
      </c>
      <c r="AZ93" s="83" t="str">
        <f>VLOOKUP(B93,Classification!A:D,2,FALSE)</f>
        <v>A</v>
      </c>
      <c r="BC93" s="57">
        <f t="shared" si="116"/>
        <v>251</v>
      </c>
      <c r="BD93" s="63" t="b">
        <f t="shared" si="117"/>
        <v>1</v>
      </c>
      <c r="BE93" s="68" t="s">
        <v>1514</v>
      </c>
      <c r="BF93" s="75" t="s">
        <v>1514</v>
      </c>
      <c r="BG93" s="75" t="s">
        <v>1514</v>
      </c>
      <c r="BH93" s="75" t="s">
        <v>1514</v>
      </c>
      <c r="BI93" s="75" t="s">
        <v>1514</v>
      </c>
      <c r="BJ93" s="75" t="s">
        <v>1514</v>
      </c>
      <c r="BK93" s="75" t="s">
        <v>1514</v>
      </c>
      <c r="BL93" s="75" t="s">
        <v>1514</v>
      </c>
      <c r="BM93" s="75" t="s">
        <v>1514</v>
      </c>
      <c r="BN93" s="75" t="s">
        <v>1514</v>
      </c>
      <c r="BO93" s="75" t="s">
        <v>1514</v>
      </c>
      <c r="BP93" s="75" t="s">
        <v>1514</v>
      </c>
      <c r="BQ93" s="68">
        <f t="shared" si="90"/>
        <v>34</v>
      </c>
      <c r="BR93" s="69">
        <f t="shared" si="91"/>
        <v>66</v>
      </c>
      <c r="BS93" s="70">
        <f t="shared" si="92"/>
        <v>70</v>
      </c>
      <c r="BT93" s="69">
        <f t="shared" si="93"/>
        <v>102</v>
      </c>
      <c r="BU93" s="70">
        <f t="shared" si="94"/>
        <v>106</v>
      </c>
      <c r="BV93" s="69" t="str">
        <f t="shared" si="95"/>
        <v>-</v>
      </c>
      <c r="BW93" s="70">
        <f t="shared" si="96"/>
        <v>150</v>
      </c>
      <c r="BX93" s="69">
        <f t="shared" si="97"/>
        <v>187</v>
      </c>
      <c r="BY93" s="70">
        <f t="shared" si="98"/>
        <v>199</v>
      </c>
      <c r="BZ93" s="69">
        <f t="shared" si="99"/>
        <v>241</v>
      </c>
      <c r="CA93" s="70">
        <f t="shared" si="100"/>
        <v>284</v>
      </c>
      <c r="CB93" s="69">
        <f t="shared" si="101"/>
        <v>310</v>
      </c>
      <c r="CC93" s="68">
        <f t="shared" si="102"/>
        <v>65</v>
      </c>
      <c r="CD93" s="69">
        <f t="shared" si="103"/>
        <v>69</v>
      </c>
      <c r="CE93" s="70">
        <f t="shared" si="104"/>
        <v>100</v>
      </c>
      <c r="CF93" s="70">
        <f t="shared" si="105"/>
        <v>105</v>
      </c>
      <c r="CG93" s="70">
        <f t="shared" si="106"/>
        <v>141</v>
      </c>
      <c r="CH93" s="70" t="str">
        <f t="shared" si="107"/>
        <v>-</v>
      </c>
      <c r="CI93" s="70">
        <f t="shared" si="108"/>
        <v>173</v>
      </c>
      <c r="CJ93" s="70">
        <f t="shared" si="109"/>
        <v>189</v>
      </c>
      <c r="CK93" s="70">
        <f t="shared" si="110"/>
        <v>237</v>
      </c>
      <c r="CL93" s="70">
        <f t="shared" si="111"/>
        <v>278</v>
      </c>
      <c r="CM93" s="70">
        <f t="shared" si="112"/>
        <v>309</v>
      </c>
      <c r="CN93" s="70">
        <f t="shared" si="113"/>
        <v>322</v>
      </c>
      <c r="CO93" s="57">
        <f t="shared" si="114"/>
        <v>1</v>
      </c>
    </row>
    <row r="94" spans="1:93" x14ac:dyDescent="0.2">
      <c r="A94" s="3" t="str">
        <f t="shared" si="115"/>
        <v>opsd_human__wt</v>
      </c>
      <c r="B94" s="3" t="s">
        <v>533</v>
      </c>
      <c r="C94" s="3" t="s">
        <v>294</v>
      </c>
      <c r="D94" s="3" t="str">
        <f>IFERROR(MID(VLOOKUP($B94,Seqs!$A:$B,2,FALSE),E94,1),"")</f>
        <v>P</v>
      </c>
      <c r="E94" s="3">
        <v>34</v>
      </c>
      <c r="F94" s="3" t="str">
        <f>IFERROR(MID(VLOOKUP($B94,Seqs!$A:$B,2,FALSE),G94,1),"")</f>
        <v>H</v>
      </c>
      <c r="G94" s="3">
        <v>65</v>
      </c>
      <c r="H94" s="3" t="str">
        <f>IFERROR(MID(VLOOKUP($B94,Seqs!$A:$B,2,FALSE),I94,1),"")</f>
        <v>K</v>
      </c>
      <c r="I94" s="57">
        <v>66</v>
      </c>
      <c r="J94" s="3" t="str">
        <f>IFERROR(MID(VLOOKUP($B94,Seqs!$A:$B,2,FALSE),K94,1),"")</f>
        <v>R</v>
      </c>
      <c r="K94" s="57">
        <v>69</v>
      </c>
      <c r="L94" s="3" t="str">
        <f>IFERROR(MID(VLOOKUP($B94,Seqs!$A:$B,2,FALSE),M94,1),"")</f>
        <v>T</v>
      </c>
      <c r="M94" s="3">
        <v>70</v>
      </c>
      <c r="N94" s="3" t="str">
        <f>IFERROR(MID(VLOOKUP($B94,Seqs!$A:$B,2,FALSE),O94,1),"")</f>
        <v>H</v>
      </c>
      <c r="O94" s="3">
        <v>100</v>
      </c>
      <c r="P94" s="3" t="str">
        <f>IFERROR(MID(VLOOKUP($B94,Seqs!$A:$B,2,FALSE),Q94,1),"")</f>
        <v>Y</v>
      </c>
      <c r="Q94" s="3">
        <v>102</v>
      </c>
      <c r="R94" s="3" t="str">
        <f>IFERROR(MID(VLOOKUP($B94,Seqs!$A:$B,2,FALSE),S94,1),"")</f>
        <v>F</v>
      </c>
      <c r="S94" s="3">
        <v>105</v>
      </c>
      <c r="T94" s="3" t="str">
        <f>IFERROR(MID(VLOOKUP($B94,Seqs!$A:$B,2,FALSE),U94,1),"")</f>
        <v>G</v>
      </c>
      <c r="U94" s="3">
        <v>106</v>
      </c>
      <c r="V94" s="3" t="str">
        <f>IFERROR(MID(VLOOKUP($B94,Seqs!$A:$B,2,FALSE),W94,1),"")</f>
        <v>K</v>
      </c>
      <c r="W94" s="3">
        <v>141</v>
      </c>
      <c r="X94" s="3" t="str">
        <f>IFERROR(MID(VLOOKUP($B94,Seqs!$A:$B,2,FALSE),Y94,1),"")</f>
        <v>P</v>
      </c>
      <c r="Y94" s="3">
        <v>142</v>
      </c>
      <c r="Z94" s="3" t="str">
        <f>IFERROR(MID(VLOOKUP($B94,Seqs!$A:$B,2,FALSE),AA94,1),"")</f>
        <v>G</v>
      </c>
      <c r="AA94" s="3">
        <v>149</v>
      </c>
      <c r="AB94" s="3" t="str">
        <f>IFERROR(MID(VLOOKUP($B94,Seqs!$A:$B,2,FALSE),AC94,1),"")</f>
        <v>E</v>
      </c>
      <c r="AC94" s="3">
        <v>150</v>
      </c>
      <c r="AD94" s="3" t="str">
        <f>IFERROR(MID(VLOOKUP($B94,Seqs!$A:$B,2,FALSE),AE94,1),"")</f>
        <v>A</v>
      </c>
      <c r="AE94" s="3">
        <v>173</v>
      </c>
      <c r="AF94" s="3" t="str">
        <f>IFERROR(MID(VLOOKUP($B94,Seqs!$A:$B,2,FALSE),AG94,1),"")</f>
        <v>C</v>
      </c>
      <c r="AG94" s="3">
        <v>187</v>
      </c>
      <c r="AH94" s="3" t="str">
        <f>IFERROR(MID(VLOOKUP($B94,Seqs!$A:$B,2,FALSE),AI94,1),"")</f>
        <v>I</v>
      </c>
      <c r="AI94" s="3">
        <v>189</v>
      </c>
      <c r="AJ94" s="3" t="str">
        <f>IFERROR(MID(VLOOKUP($B94,Seqs!$A:$B,2,FALSE),AK94,1),"")</f>
        <v>N</v>
      </c>
      <c r="AK94" s="3">
        <v>199</v>
      </c>
      <c r="AL94" s="3" t="str">
        <f>IFERROR(MID(VLOOKUP($B94,Seqs!$A:$B,2,FALSE),AM94,1),"")</f>
        <v>Q</v>
      </c>
      <c r="AM94" s="3">
        <v>237</v>
      </c>
      <c r="AN94" s="3" t="str">
        <f>IFERROR(MID(VLOOKUP($B94,Seqs!$A:$B,2,FALSE),AO94,1),"")</f>
        <v>A</v>
      </c>
      <c r="AO94" s="3">
        <v>241</v>
      </c>
      <c r="AP94" s="3" t="str">
        <f>IFERROR(MID(VLOOKUP($B94,Seqs!$A:$B,2,FALSE),AQ94,1),"")</f>
        <v>H</v>
      </c>
      <c r="AQ94" s="3">
        <v>278</v>
      </c>
      <c r="AR94" s="3" t="str">
        <f>IFERROR(MID(VLOOKUP($B94,Seqs!$A:$B,2,FALSE),AS94,1),"")</f>
        <v>G</v>
      </c>
      <c r="AS94" s="3">
        <v>284</v>
      </c>
      <c r="AT94" s="3" t="str">
        <f>IFERROR(MID(VLOOKUP($B94,Seqs!$A:$B,2,FALSE),AU94,1),"")</f>
        <v>M</v>
      </c>
      <c r="AU94" s="3">
        <v>309</v>
      </c>
      <c r="AV94" s="3" t="str">
        <f>IFERROR(MID(VLOOKUP($B94,Seqs!$A:$B,2,FALSE),AW94,1),"")</f>
        <v>N</v>
      </c>
      <c r="AW94" s="3">
        <v>310</v>
      </c>
      <c r="AX94" s="3" t="str">
        <f>IFERROR(MID(VLOOKUP($B94,Seqs!$A:$B,2,FALSE),AY94,1),"")</f>
        <v>C</v>
      </c>
      <c r="AY94" s="3">
        <v>322</v>
      </c>
      <c r="AZ94" s="83" t="str">
        <f>VLOOKUP(B94,Classification!A:D,2,FALSE)</f>
        <v>A</v>
      </c>
      <c r="BB94" s="82">
        <f>S94-Q94+1</f>
        <v>4</v>
      </c>
      <c r="BC94" s="57">
        <f t="shared" si="116"/>
        <v>258</v>
      </c>
      <c r="BD94" s="63" t="b">
        <f t="shared" si="117"/>
        <v>1</v>
      </c>
      <c r="BE94" s="68" t="s">
        <v>1514</v>
      </c>
      <c r="BF94" s="75" t="s">
        <v>1514</v>
      </c>
      <c r="BG94" s="75" t="s">
        <v>1514</v>
      </c>
      <c r="BH94" s="75" t="s">
        <v>1514</v>
      </c>
      <c r="BI94" s="75" t="s">
        <v>1514</v>
      </c>
      <c r="BJ94" s="75" t="s">
        <v>1514</v>
      </c>
      <c r="BK94" s="75" t="s">
        <v>1514</v>
      </c>
      <c r="BL94" s="75" t="s">
        <v>1514</v>
      </c>
      <c r="BM94" s="75" t="s">
        <v>1514</v>
      </c>
      <c r="BN94" s="75" t="s">
        <v>1514</v>
      </c>
      <c r="BO94" s="75" t="s">
        <v>1514</v>
      </c>
      <c r="BP94" s="75" t="s">
        <v>1514</v>
      </c>
      <c r="BQ94" s="68">
        <f t="shared" si="90"/>
        <v>34</v>
      </c>
      <c r="BR94" s="69">
        <f t="shared" si="91"/>
        <v>66</v>
      </c>
      <c r="BS94" s="70">
        <f t="shared" si="92"/>
        <v>70</v>
      </c>
      <c r="BT94" s="69">
        <f t="shared" si="93"/>
        <v>102</v>
      </c>
      <c r="BU94" s="70">
        <f t="shared" si="94"/>
        <v>106</v>
      </c>
      <c r="BV94" s="69">
        <f t="shared" si="95"/>
        <v>142</v>
      </c>
      <c r="BW94" s="70">
        <f t="shared" si="96"/>
        <v>150</v>
      </c>
      <c r="BX94" s="69">
        <f t="shared" si="97"/>
        <v>187</v>
      </c>
      <c r="BY94" s="70">
        <f t="shared" si="98"/>
        <v>199</v>
      </c>
      <c r="BZ94" s="69">
        <f t="shared" si="99"/>
        <v>241</v>
      </c>
      <c r="CA94" s="70">
        <f t="shared" si="100"/>
        <v>284</v>
      </c>
      <c r="CB94" s="69">
        <f t="shared" si="101"/>
        <v>310</v>
      </c>
      <c r="CC94" s="68">
        <f t="shared" si="102"/>
        <v>65</v>
      </c>
      <c r="CD94" s="69">
        <f t="shared" si="103"/>
        <v>69</v>
      </c>
      <c r="CE94" s="70">
        <f t="shared" si="104"/>
        <v>100</v>
      </c>
      <c r="CF94" s="70">
        <f t="shared" si="105"/>
        <v>105</v>
      </c>
      <c r="CG94" s="70">
        <f t="shared" si="106"/>
        <v>141</v>
      </c>
      <c r="CH94" s="70">
        <f t="shared" si="107"/>
        <v>149</v>
      </c>
      <c r="CI94" s="70">
        <f t="shared" si="108"/>
        <v>173</v>
      </c>
      <c r="CJ94" s="70">
        <f t="shared" si="109"/>
        <v>189</v>
      </c>
      <c r="CK94" s="70">
        <f t="shared" si="110"/>
        <v>237</v>
      </c>
      <c r="CL94" s="70">
        <f t="shared" si="111"/>
        <v>278</v>
      </c>
      <c r="CM94" s="70">
        <f t="shared" si="112"/>
        <v>309</v>
      </c>
      <c r="CN94" s="70">
        <f t="shared" si="113"/>
        <v>322</v>
      </c>
      <c r="CO94" s="57">
        <f t="shared" si="114"/>
        <v>1</v>
      </c>
    </row>
    <row r="95" spans="1:93" x14ac:dyDescent="0.2">
      <c r="A95" s="3" t="str">
        <f t="shared" si="115"/>
        <v>opsd_human_4ZWJ</v>
      </c>
      <c r="B95" s="3" t="s">
        <v>533</v>
      </c>
      <c r="C95" s="3" t="s">
        <v>246</v>
      </c>
      <c r="D95" s="3" t="str">
        <f>IFERROR(MID(VLOOKUP($B95,Seqs!$A:$B,2,FALSE),E95,1),"")</f>
        <v>P</v>
      </c>
      <c r="E95" s="3">
        <v>34</v>
      </c>
      <c r="F95" s="3" t="str">
        <f>IFERROR(MID(VLOOKUP($B95,Seqs!$A:$B,2,FALSE),G95,1),"")</f>
        <v>H</v>
      </c>
      <c r="G95" s="3">
        <v>65</v>
      </c>
      <c r="H95" s="3" t="str">
        <f>IFERROR(MID(VLOOKUP($B95,Seqs!$A:$B,2,FALSE),I95,1),"")</f>
        <v>K</v>
      </c>
      <c r="I95" s="57">
        <v>66</v>
      </c>
      <c r="J95" s="3" t="str">
        <f>IFERROR(MID(VLOOKUP($B95,Seqs!$A:$B,2,FALSE),K95,1),"")</f>
        <v>R</v>
      </c>
      <c r="K95" s="57">
        <v>69</v>
      </c>
      <c r="L95" s="3" t="str">
        <f>IFERROR(MID(VLOOKUP($B95,Seqs!$A:$B,2,FALSE),M95,1),"")</f>
        <v>T</v>
      </c>
      <c r="M95" s="3">
        <v>70</v>
      </c>
      <c r="N95" s="3" t="str">
        <f>IFERROR(MID(VLOOKUP($B95,Seqs!$A:$B,2,FALSE),O95,1),"")</f>
        <v>H</v>
      </c>
      <c r="O95" s="3">
        <v>100</v>
      </c>
      <c r="P95" s="3" t="str">
        <f>IFERROR(MID(VLOOKUP($B95,Seqs!$A:$B,2,FALSE),Q95,1),"")</f>
        <v>Y</v>
      </c>
      <c r="Q95" s="3">
        <v>102</v>
      </c>
      <c r="R95" s="3" t="str">
        <f>IFERROR(MID(VLOOKUP($B95,Seqs!$A:$B,2,FALSE),S95,1),"")</f>
        <v>F</v>
      </c>
      <c r="S95" s="3">
        <v>105</v>
      </c>
      <c r="T95" s="3" t="str">
        <f>IFERROR(MID(VLOOKUP($B95,Seqs!$A:$B,2,FALSE),U95,1),"")</f>
        <v>G</v>
      </c>
      <c r="U95" s="3">
        <v>106</v>
      </c>
      <c r="V95" s="3" t="str">
        <f>IFERROR(MID(VLOOKUP($B95,Seqs!$A:$B,2,FALSE),W95,1),"")</f>
        <v>K</v>
      </c>
      <c r="W95" s="3">
        <v>141</v>
      </c>
      <c r="X95" s="3" t="str">
        <f>IFERROR(MID(VLOOKUP($B95,Seqs!$A:$B,2,FALSE),Y95,1),"")</f>
        <v>P</v>
      </c>
      <c r="Y95" s="3">
        <v>142</v>
      </c>
      <c r="Z95" s="3" t="str">
        <f>IFERROR(MID(VLOOKUP($B95,Seqs!$A:$B,2,FALSE),AA95,1),"")</f>
        <v>G</v>
      </c>
      <c r="AA95" s="3">
        <v>149</v>
      </c>
      <c r="AB95" s="3" t="str">
        <f>IFERROR(MID(VLOOKUP($B95,Seqs!$A:$B,2,FALSE),AC95,1),"")</f>
        <v>E</v>
      </c>
      <c r="AC95" s="3">
        <v>150</v>
      </c>
      <c r="AD95" s="3" t="str">
        <f>IFERROR(MID(VLOOKUP($B95,Seqs!$A:$B,2,FALSE),AE95,1),"")</f>
        <v>A</v>
      </c>
      <c r="AE95" s="3">
        <v>173</v>
      </c>
      <c r="AF95" s="3" t="str">
        <f>IFERROR(MID(VLOOKUP($B95,Seqs!$A:$B,2,FALSE),AG95,1),"")</f>
        <v>C</v>
      </c>
      <c r="AG95" s="3">
        <v>187</v>
      </c>
      <c r="AH95" s="3" t="str">
        <f>IFERROR(MID(VLOOKUP($B95,Seqs!$A:$B,2,FALSE),AI95,1),"")</f>
        <v>I</v>
      </c>
      <c r="AI95" s="3">
        <v>189</v>
      </c>
      <c r="AJ95" s="3" t="str">
        <f>IFERROR(MID(VLOOKUP($B95,Seqs!$A:$B,2,FALSE),AK95,1),"")</f>
        <v>N</v>
      </c>
      <c r="AK95" s="3">
        <v>199</v>
      </c>
      <c r="AL95" s="3" t="str">
        <f>IFERROR(MID(VLOOKUP($B95,Seqs!$A:$B,2,FALSE),AM95,1),"")</f>
        <v>Q</v>
      </c>
      <c r="AM95" s="3">
        <v>237</v>
      </c>
      <c r="AN95" s="3" t="str">
        <f>IFERROR(MID(VLOOKUP($B95,Seqs!$A:$B,2,FALSE),AO95,1),"")</f>
        <v>A</v>
      </c>
      <c r="AO95" s="3">
        <v>241</v>
      </c>
      <c r="AP95" s="3" t="str">
        <f>IFERROR(MID(VLOOKUP($B95,Seqs!$A:$B,2,FALSE),AQ95,1),"")</f>
        <v>H</v>
      </c>
      <c r="AQ95" s="3">
        <v>278</v>
      </c>
      <c r="AR95" s="3" t="str">
        <f>IFERROR(MID(VLOOKUP($B95,Seqs!$A:$B,2,FALSE),AS95,1),"")</f>
        <v>G</v>
      </c>
      <c r="AS95" s="3">
        <v>284</v>
      </c>
      <c r="AT95" s="3" t="str">
        <f>IFERROR(MID(VLOOKUP($B95,Seqs!$A:$B,2,FALSE),AU95,1),"")</f>
        <v>M</v>
      </c>
      <c r="AU95" s="3">
        <v>309</v>
      </c>
      <c r="AV95" s="3" t="str">
        <f>IFERROR(MID(VLOOKUP($B95,Seqs!$A:$B,2,FALSE),AW95,1),"")</f>
        <v>N</v>
      </c>
      <c r="AW95" s="3">
        <v>310</v>
      </c>
      <c r="AX95" s="3" t="str">
        <f>IFERROR(MID(VLOOKUP($B95,Seqs!$A:$B,2,FALSE),AY95,1),"")</f>
        <v>C</v>
      </c>
      <c r="AY95" s="3">
        <v>322</v>
      </c>
      <c r="AZ95" s="83" t="str">
        <f>VLOOKUP(B95,Classification!A:D,2,FALSE)</f>
        <v>A</v>
      </c>
      <c r="BB95" s="35" t="s">
        <v>1330</v>
      </c>
      <c r="BC95" s="57">
        <f t="shared" si="116"/>
        <v>258</v>
      </c>
      <c r="BD95" s="63" t="b">
        <f t="shared" si="117"/>
        <v>1</v>
      </c>
      <c r="BE95" s="68" t="s">
        <v>1514</v>
      </c>
      <c r="BF95" s="75" t="s">
        <v>1514</v>
      </c>
      <c r="BG95" s="75" t="s">
        <v>1514</v>
      </c>
      <c r="BH95" s="75" t="s">
        <v>1514</v>
      </c>
      <c r="BI95" s="75" t="s">
        <v>1514</v>
      </c>
      <c r="BJ95" s="75" t="s">
        <v>1514</v>
      </c>
      <c r="BK95" s="75" t="s">
        <v>1514</v>
      </c>
      <c r="BL95" s="75" t="s">
        <v>1514</v>
      </c>
      <c r="BM95" s="75" t="s">
        <v>1514</v>
      </c>
      <c r="BN95" s="75" t="s">
        <v>1514</v>
      </c>
      <c r="BO95" s="75" t="s">
        <v>1514</v>
      </c>
      <c r="BP95" s="75" t="s">
        <v>1514</v>
      </c>
      <c r="BQ95" s="68">
        <f t="shared" si="90"/>
        <v>34</v>
      </c>
      <c r="BR95" s="69">
        <f t="shared" si="91"/>
        <v>66</v>
      </c>
      <c r="BS95" s="70">
        <f t="shared" si="92"/>
        <v>70</v>
      </c>
      <c r="BT95" s="69">
        <f t="shared" si="93"/>
        <v>102</v>
      </c>
      <c r="BU95" s="70">
        <f t="shared" si="94"/>
        <v>106</v>
      </c>
      <c r="BV95" s="69">
        <f t="shared" si="95"/>
        <v>142</v>
      </c>
      <c r="BW95" s="70">
        <f t="shared" si="96"/>
        <v>150</v>
      </c>
      <c r="BX95" s="69">
        <f t="shared" si="97"/>
        <v>187</v>
      </c>
      <c r="BY95" s="70">
        <f t="shared" si="98"/>
        <v>199</v>
      </c>
      <c r="BZ95" s="69">
        <f t="shared" si="99"/>
        <v>241</v>
      </c>
      <c r="CA95" s="70">
        <f t="shared" si="100"/>
        <v>284</v>
      </c>
      <c r="CB95" s="69">
        <f t="shared" si="101"/>
        <v>310</v>
      </c>
      <c r="CC95" s="68">
        <f t="shared" si="102"/>
        <v>65</v>
      </c>
      <c r="CD95" s="69">
        <f t="shared" si="103"/>
        <v>69</v>
      </c>
      <c r="CE95" s="70">
        <f t="shared" si="104"/>
        <v>100</v>
      </c>
      <c r="CF95" s="70">
        <f t="shared" si="105"/>
        <v>105</v>
      </c>
      <c r="CG95" s="70">
        <f t="shared" si="106"/>
        <v>141</v>
      </c>
      <c r="CH95" s="70">
        <f t="shared" si="107"/>
        <v>149</v>
      </c>
      <c r="CI95" s="70">
        <f t="shared" si="108"/>
        <v>173</v>
      </c>
      <c r="CJ95" s="70">
        <f t="shared" si="109"/>
        <v>189</v>
      </c>
      <c r="CK95" s="70">
        <f t="shared" si="110"/>
        <v>237</v>
      </c>
      <c r="CL95" s="70">
        <f t="shared" si="111"/>
        <v>278</v>
      </c>
      <c r="CM95" s="70">
        <f t="shared" si="112"/>
        <v>309</v>
      </c>
      <c r="CN95" s="70">
        <f t="shared" si="113"/>
        <v>322</v>
      </c>
      <c r="CO95" s="57">
        <f t="shared" si="114"/>
        <v>1</v>
      </c>
    </row>
    <row r="96" spans="1:93" x14ac:dyDescent="0.2">
      <c r="A96" s="3" t="str">
        <f t="shared" si="115"/>
        <v>opsd_todpa__wt</v>
      </c>
      <c r="B96" s="3" t="s">
        <v>1118</v>
      </c>
      <c r="C96" s="3" t="s">
        <v>294</v>
      </c>
      <c r="D96" s="3" t="str">
        <f>IFERROR(MID(VLOOKUP($B96,Seqs!$A:$B,2,FALSE),E96,1),"")</f>
        <v>D</v>
      </c>
      <c r="E96" s="3">
        <v>31</v>
      </c>
      <c r="F96" s="3" t="str">
        <f>IFERROR(MID(VLOOKUP($B96,Seqs!$A:$B,2,FALSE),G96,1),"")</f>
        <v>T</v>
      </c>
      <c r="G96" s="3">
        <v>62</v>
      </c>
      <c r="H96" s="3" t="str">
        <f>IFERROR(MID(VLOOKUP($B96,Seqs!$A:$B,2,FALSE),I96,1),"")</f>
        <v>K</v>
      </c>
      <c r="I96" s="57">
        <v>63</v>
      </c>
      <c r="J96" s="3" t="str">
        <f>IFERROR(MID(VLOOKUP($B96,Seqs!$A:$B,2,FALSE),K96,1),"")</f>
        <v>Q</v>
      </c>
      <c r="K96" s="57">
        <v>66</v>
      </c>
      <c r="L96" s="3" t="str">
        <f>IFERROR(MID(VLOOKUP($B96,Seqs!$A:$B,2,FALSE),M96,1),"")</f>
        <v>T</v>
      </c>
      <c r="M96" s="3">
        <v>67</v>
      </c>
      <c r="N96" s="3" t="str">
        <f>IFERROR(MID(VLOOKUP($B96,Seqs!$A:$B,2,FALSE),O96,1),"")</f>
        <v>K</v>
      </c>
      <c r="O96" s="3">
        <v>99</v>
      </c>
      <c r="P96" s="3" t="str">
        <f>IFERROR(MID(VLOOKUP($B96,Seqs!$A:$B,2,FALSE),Q96,1),"")</f>
        <v>K</v>
      </c>
      <c r="Q96" s="3">
        <v>100</v>
      </c>
      <c r="R96" s="3" t="str">
        <f>IFERROR(MID(VLOOKUP($B96,Seqs!$A:$B,2,FALSE),S96,1),"")</f>
        <v>F</v>
      </c>
      <c r="S96" s="3">
        <v>103</v>
      </c>
      <c r="T96" s="3" t="str">
        <f>IFERROR(MID(VLOOKUP($B96,Seqs!$A:$B,2,FALSE),U96,1),"")</f>
        <v>G</v>
      </c>
      <c r="U96" s="3">
        <v>104</v>
      </c>
      <c r="V96" s="3" t="str">
        <f>IFERROR(MID(VLOOKUP($B96,Seqs!$A:$B,2,FALSE),W96,1),"")</f>
        <v>R</v>
      </c>
      <c r="W96" s="3">
        <v>139</v>
      </c>
      <c r="X96" s="3" t="str">
        <f>IFERROR(MID(VLOOKUP($B96,Seqs!$A:$B,2,FALSE),Y96,1),"")</f>
        <v>P</v>
      </c>
      <c r="Y96" s="3">
        <v>140</v>
      </c>
      <c r="Z96" s="3" t="str">
        <f>IFERROR(MID(VLOOKUP($B96,Seqs!$A:$B,2,FALSE),AA96,1),"")</f>
        <v>M</v>
      </c>
      <c r="AA96" s="3">
        <v>147</v>
      </c>
      <c r="AB96" s="3" t="str">
        <f>IFERROR(MID(VLOOKUP($B96,Seqs!$A:$B,2,FALSE),AC96,1),"")</f>
        <v>H</v>
      </c>
      <c r="AC96" s="3">
        <v>149</v>
      </c>
      <c r="AD96" s="3" t="str">
        <f>IFERROR(MID(VLOOKUP($B96,Seqs!$A:$B,2,FALSE),AE96,1),"")</f>
        <v>F</v>
      </c>
      <c r="AE96" s="3">
        <v>172</v>
      </c>
      <c r="AF96" s="3" t="str">
        <f>IFERROR(MID(VLOOKUP($B96,Seqs!$A:$B,2,FALSE),AG96,1),"")</f>
        <v>C</v>
      </c>
      <c r="AG96" s="3">
        <v>186</v>
      </c>
      <c r="AH96" s="3" t="str">
        <f>IFERROR(MID(VLOOKUP($B96,Seqs!$A:$B,2,FALSE),AI96,1),"")</f>
        <v>F</v>
      </c>
      <c r="AI96" s="3">
        <v>188</v>
      </c>
      <c r="AJ96" s="3" t="str">
        <f>IFERROR(MID(VLOOKUP($B96,Seqs!$A:$B,2,FALSE),AK96,1),"")</f>
        <v>D</v>
      </c>
      <c r="AK96" s="3">
        <v>194</v>
      </c>
      <c r="AL96" s="3" t="str">
        <f>IFERROR(MID(VLOOKUP($B96,Seqs!$A:$B,2,FALSE),AM96,1),"")</f>
        <v>K</v>
      </c>
      <c r="AM96" s="3">
        <v>239</v>
      </c>
      <c r="AN96" s="3" t="str">
        <f>IFERROR(MID(VLOOKUP($B96,Seqs!$A:$B,2,FALSE),AO96,1),"")</f>
        <v>K</v>
      </c>
      <c r="AO96" s="3">
        <v>244</v>
      </c>
      <c r="AP96" s="3" t="str">
        <f>IFERROR(MID(VLOOKUP($B96,Seqs!$A:$B,2,FALSE),AQ96,1),"")</f>
        <v>G</v>
      </c>
      <c r="AQ96" s="3">
        <v>287</v>
      </c>
      <c r="AR96" s="3" t="str">
        <f>IFERROR(MID(VLOOKUP($B96,Seqs!$A:$B,2,FALSE),AS96,1),"")</f>
        <v>T</v>
      </c>
      <c r="AS96" s="3">
        <v>293</v>
      </c>
      <c r="AT96" s="3" t="str">
        <f>IFERROR(MID(VLOOKUP($B96,Seqs!$A:$B,2,FALSE),AU96,1),"")</f>
        <v>S</v>
      </c>
      <c r="AU96" s="3">
        <v>318</v>
      </c>
      <c r="AV96" s="3" t="str">
        <f>IFERROR(MID(VLOOKUP($B96,Seqs!$A:$B,2,FALSE),AW96,1),"")</f>
        <v>H</v>
      </c>
      <c r="AW96" s="3">
        <v>319</v>
      </c>
      <c r="AX96" s="3" t="str">
        <f>IFERROR(MID(VLOOKUP($B96,Seqs!$A:$B,2,FALSE),AY96,1),"")</f>
        <v>F</v>
      </c>
      <c r="AY96" s="3">
        <v>330</v>
      </c>
      <c r="AZ96" s="83" t="str">
        <f>VLOOKUP(B96,Classification!A:D,2,FALSE)</f>
        <v>A</v>
      </c>
      <c r="BB96" s="82">
        <f>S96-Q96+1</f>
        <v>4</v>
      </c>
      <c r="BC96" s="57">
        <f t="shared" si="116"/>
        <v>272</v>
      </c>
      <c r="BD96" s="63" t="b">
        <f t="shared" si="117"/>
        <v>1</v>
      </c>
      <c r="BE96" s="68" t="s">
        <v>1514</v>
      </c>
      <c r="BF96" s="75" t="s">
        <v>1514</v>
      </c>
      <c r="BG96" s="75" t="s">
        <v>1514</v>
      </c>
      <c r="BH96" s="75" t="s">
        <v>1514</v>
      </c>
      <c r="BI96" s="75" t="s">
        <v>1514</v>
      </c>
      <c r="BJ96" s="75" t="s">
        <v>1514</v>
      </c>
      <c r="BK96" s="75" t="s">
        <v>1514</v>
      </c>
      <c r="BL96" s="75" t="s">
        <v>1514</v>
      </c>
      <c r="BM96" s="75" t="s">
        <v>1514</v>
      </c>
      <c r="BN96" s="75" t="s">
        <v>1514</v>
      </c>
      <c r="BO96" s="75" t="s">
        <v>1514</v>
      </c>
      <c r="BP96" s="75" t="s">
        <v>1514</v>
      </c>
      <c r="BQ96" s="68">
        <f t="shared" si="90"/>
        <v>31</v>
      </c>
      <c r="BR96" s="69">
        <f t="shared" si="91"/>
        <v>63</v>
      </c>
      <c r="BS96" s="70">
        <f t="shared" si="92"/>
        <v>67</v>
      </c>
      <c r="BT96" s="69">
        <f t="shared" si="93"/>
        <v>100</v>
      </c>
      <c r="BU96" s="70">
        <f t="shared" si="94"/>
        <v>104</v>
      </c>
      <c r="BV96" s="69">
        <f t="shared" si="95"/>
        <v>140</v>
      </c>
      <c r="BW96" s="70">
        <f t="shared" si="96"/>
        <v>149</v>
      </c>
      <c r="BX96" s="69">
        <f t="shared" si="97"/>
        <v>186</v>
      </c>
      <c r="BY96" s="70">
        <f t="shared" si="98"/>
        <v>194</v>
      </c>
      <c r="BZ96" s="69">
        <f t="shared" si="99"/>
        <v>244</v>
      </c>
      <c r="CA96" s="70">
        <f t="shared" si="100"/>
        <v>293</v>
      </c>
      <c r="CB96" s="69">
        <f t="shared" si="101"/>
        <v>319</v>
      </c>
      <c r="CC96" s="68">
        <f t="shared" si="102"/>
        <v>62</v>
      </c>
      <c r="CD96" s="69">
        <f t="shared" si="103"/>
        <v>66</v>
      </c>
      <c r="CE96" s="70">
        <f t="shared" si="104"/>
        <v>99</v>
      </c>
      <c r="CF96" s="70">
        <f t="shared" si="105"/>
        <v>103</v>
      </c>
      <c r="CG96" s="70">
        <f t="shared" si="106"/>
        <v>139</v>
      </c>
      <c r="CH96" s="70">
        <f t="shared" si="107"/>
        <v>147</v>
      </c>
      <c r="CI96" s="70">
        <f t="shared" si="108"/>
        <v>172</v>
      </c>
      <c r="CJ96" s="70">
        <f t="shared" si="109"/>
        <v>188</v>
      </c>
      <c r="CK96" s="70">
        <f t="shared" si="110"/>
        <v>239</v>
      </c>
      <c r="CL96" s="70">
        <f t="shared" si="111"/>
        <v>287</v>
      </c>
      <c r="CM96" s="70">
        <f t="shared" si="112"/>
        <v>318</v>
      </c>
      <c r="CN96" s="70">
        <f t="shared" si="113"/>
        <v>330</v>
      </c>
      <c r="CO96" s="57">
        <f t="shared" si="114"/>
        <v>1</v>
      </c>
    </row>
    <row r="97" spans="1:93" x14ac:dyDescent="0.2">
      <c r="A97" s="3" t="str">
        <f t="shared" si="115"/>
        <v>opsd_todpa_2Z73</v>
      </c>
      <c r="B97" s="3" t="s">
        <v>1118</v>
      </c>
      <c r="C97" s="3" t="s">
        <v>290</v>
      </c>
      <c r="D97" s="3" t="str">
        <f>IFERROR(MID(VLOOKUP($B97,Seqs!$A:$B,2,FALSE),E97,1),"")</f>
        <v>D</v>
      </c>
      <c r="E97" s="3">
        <v>31</v>
      </c>
      <c r="F97" s="3" t="str">
        <f>IFERROR(MID(VLOOKUP($B97,Seqs!$A:$B,2,FALSE),G97,1),"")</f>
        <v>T</v>
      </c>
      <c r="G97" s="3">
        <v>62</v>
      </c>
      <c r="H97" s="3" t="str">
        <f>IFERROR(MID(VLOOKUP($B97,Seqs!$A:$B,2,FALSE),I97,1),"")</f>
        <v>K</v>
      </c>
      <c r="I97" s="57">
        <v>63</v>
      </c>
      <c r="J97" s="3" t="str">
        <f>IFERROR(MID(VLOOKUP($B97,Seqs!$A:$B,2,FALSE),K97,1),"")</f>
        <v>Q</v>
      </c>
      <c r="K97" s="57">
        <v>66</v>
      </c>
      <c r="L97" s="3" t="str">
        <f>IFERROR(MID(VLOOKUP($B97,Seqs!$A:$B,2,FALSE),M97,1),"")</f>
        <v>T</v>
      </c>
      <c r="M97" s="3">
        <v>67</v>
      </c>
      <c r="N97" s="3" t="str">
        <f>IFERROR(MID(VLOOKUP($B97,Seqs!$A:$B,2,FALSE),O97,1),"")</f>
        <v>K</v>
      </c>
      <c r="O97" s="3">
        <v>99</v>
      </c>
      <c r="P97" s="3" t="str">
        <f>IFERROR(MID(VLOOKUP($B97,Seqs!$A:$B,2,FALSE),Q97,1),"")</f>
        <v>K</v>
      </c>
      <c r="Q97" s="3">
        <v>100</v>
      </c>
      <c r="R97" s="3" t="str">
        <f>IFERROR(MID(VLOOKUP($B97,Seqs!$A:$B,2,FALSE),S97,1),"")</f>
        <v>F</v>
      </c>
      <c r="S97" s="3">
        <v>103</v>
      </c>
      <c r="T97" s="3" t="str">
        <f>IFERROR(MID(VLOOKUP($B97,Seqs!$A:$B,2,FALSE),U97,1),"")</f>
        <v>G</v>
      </c>
      <c r="U97" s="3">
        <v>104</v>
      </c>
      <c r="V97" s="3" t="str">
        <f>IFERROR(MID(VLOOKUP($B97,Seqs!$A:$B,2,FALSE),W97,1),"")</f>
        <v>R</v>
      </c>
      <c r="W97" s="3">
        <v>139</v>
      </c>
      <c r="X97" s="3" t="str">
        <f>IFERROR(MID(VLOOKUP($B97,Seqs!$A:$B,2,FALSE),Y97,1),"")</f>
        <v/>
      </c>
      <c r="Y97" s="3" t="s">
        <v>129</v>
      </c>
      <c r="Z97" s="3" t="str">
        <f>IFERROR(MID(VLOOKUP($B97,Seqs!$A:$B,2,FALSE),AA97,1),"")</f>
        <v/>
      </c>
      <c r="AA97" s="3" t="s">
        <v>129</v>
      </c>
      <c r="AB97" s="3" t="str">
        <f>IFERROR(MID(VLOOKUP($B97,Seqs!$A:$B,2,FALSE),AC97,1),"")</f>
        <v>H</v>
      </c>
      <c r="AC97" s="3">
        <v>149</v>
      </c>
      <c r="AD97" s="3" t="str">
        <f>IFERROR(MID(VLOOKUP($B97,Seqs!$A:$B,2,FALSE),AE97,1),"")</f>
        <v>F</v>
      </c>
      <c r="AE97" s="3">
        <v>172</v>
      </c>
      <c r="AF97" s="3" t="str">
        <f>IFERROR(MID(VLOOKUP($B97,Seqs!$A:$B,2,FALSE),AG97,1),"")</f>
        <v>C</v>
      </c>
      <c r="AG97" s="3">
        <v>186</v>
      </c>
      <c r="AH97" s="3" t="str">
        <f>IFERROR(MID(VLOOKUP($B97,Seqs!$A:$B,2,FALSE),AI97,1),"")</f>
        <v>F</v>
      </c>
      <c r="AI97" s="3">
        <v>188</v>
      </c>
      <c r="AJ97" s="3" t="str">
        <f>IFERROR(MID(VLOOKUP($B97,Seqs!$A:$B,2,FALSE),AK97,1),"")</f>
        <v>D</v>
      </c>
      <c r="AK97" s="3">
        <v>194</v>
      </c>
      <c r="AL97" s="3" t="str">
        <f>IFERROR(MID(VLOOKUP($B97,Seqs!$A:$B,2,FALSE),AM97,1),"")</f>
        <v>K</v>
      </c>
      <c r="AM97" s="3">
        <v>239</v>
      </c>
      <c r="AN97" s="3" t="str">
        <f>IFERROR(MID(VLOOKUP($B97,Seqs!$A:$B,2,FALSE),AO97,1),"")</f>
        <v>K</v>
      </c>
      <c r="AO97" s="3">
        <v>244</v>
      </c>
      <c r="AP97" s="3" t="str">
        <f>IFERROR(MID(VLOOKUP($B97,Seqs!$A:$B,2,FALSE),AQ97,1),"")</f>
        <v>G</v>
      </c>
      <c r="AQ97" s="3">
        <v>287</v>
      </c>
      <c r="AR97" s="3" t="str">
        <f>IFERROR(MID(VLOOKUP($B97,Seqs!$A:$B,2,FALSE),AS97,1),"")</f>
        <v>T</v>
      </c>
      <c r="AS97" s="3">
        <v>293</v>
      </c>
      <c r="AT97" s="3" t="str">
        <f>IFERROR(MID(VLOOKUP($B97,Seqs!$A:$B,2,FALSE),AU97,1),"")</f>
        <v>S</v>
      </c>
      <c r="AU97" s="3">
        <v>318</v>
      </c>
      <c r="AV97" s="3" t="str">
        <f>IFERROR(MID(VLOOKUP($B97,Seqs!$A:$B,2,FALSE),AW97,1),"")</f>
        <v>H</v>
      </c>
      <c r="AW97" s="3">
        <v>319</v>
      </c>
      <c r="AX97" s="3" t="str">
        <f>IFERROR(MID(VLOOKUP($B97,Seqs!$A:$B,2,FALSE),AY97,1),"")</f>
        <v>F</v>
      </c>
      <c r="AY97" s="3">
        <v>330</v>
      </c>
      <c r="AZ97" s="83" t="str">
        <f>VLOOKUP(B97,Classification!A:D,2,FALSE)</f>
        <v>A</v>
      </c>
      <c r="BC97" s="57">
        <f t="shared" si="116"/>
        <v>265</v>
      </c>
      <c r="BD97" s="63" t="b">
        <f t="shared" si="117"/>
        <v>1</v>
      </c>
      <c r="BE97" s="68" t="s">
        <v>1514</v>
      </c>
      <c r="BF97" s="75" t="s">
        <v>1514</v>
      </c>
      <c r="BG97" s="75" t="s">
        <v>1514</v>
      </c>
      <c r="BH97" s="75" t="s">
        <v>1514</v>
      </c>
      <c r="BI97" s="75" t="s">
        <v>1514</v>
      </c>
      <c r="BJ97" s="75" t="s">
        <v>1514</v>
      </c>
      <c r="BK97" s="75" t="s">
        <v>1514</v>
      </c>
      <c r="BL97" s="75" t="s">
        <v>1514</v>
      </c>
      <c r="BM97" s="75" t="s">
        <v>1514</v>
      </c>
      <c r="BN97" s="75" t="s">
        <v>1514</v>
      </c>
      <c r="BO97" s="75" t="s">
        <v>1514</v>
      </c>
      <c r="BP97" s="75" t="s">
        <v>1514</v>
      </c>
      <c r="BQ97" s="68">
        <f t="shared" si="90"/>
        <v>31</v>
      </c>
      <c r="BR97" s="69">
        <f t="shared" si="91"/>
        <v>63</v>
      </c>
      <c r="BS97" s="70">
        <f t="shared" si="92"/>
        <v>67</v>
      </c>
      <c r="BT97" s="69">
        <f t="shared" si="93"/>
        <v>100</v>
      </c>
      <c r="BU97" s="70">
        <f t="shared" si="94"/>
        <v>104</v>
      </c>
      <c r="BV97" s="69" t="str">
        <f t="shared" si="95"/>
        <v>-</v>
      </c>
      <c r="BW97" s="70">
        <f t="shared" si="96"/>
        <v>149</v>
      </c>
      <c r="BX97" s="69">
        <f t="shared" si="97"/>
        <v>186</v>
      </c>
      <c r="BY97" s="70">
        <f t="shared" si="98"/>
        <v>194</v>
      </c>
      <c r="BZ97" s="69">
        <f t="shared" si="99"/>
        <v>244</v>
      </c>
      <c r="CA97" s="70">
        <f t="shared" si="100"/>
        <v>293</v>
      </c>
      <c r="CB97" s="69">
        <f t="shared" si="101"/>
        <v>319</v>
      </c>
      <c r="CC97" s="68">
        <f t="shared" si="102"/>
        <v>62</v>
      </c>
      <c r="CD97" s="69">
        <f t="shared" si="103"/>
        <v>66</v>
      </c>
      <c r="CE97" s="70">
        <f t="shared" si="104"/>
        <v>99</v>
      </c>
      <c r="CF97" s="70">
        <f t="shared" si="105"/>
        <v>103</v>
      </c>
      <c r="CG97" s="70">
        <f t="shared" si="106"/>
        <v>139</v>
      </c>
      <c r="CH97" s="70" t="str">
        <f t="shared" si="107"/>
        <v>-</v>
      </c>
      <c r="CI97" s="70">
        <f t="shared" si="108"/>
        <v>172</v>
      </c>
      <c r="CJ97" s="70">
        <f t="shared" si="109"/>
        <v>188</v>
      </c>
      <c r="CK97" s="70">
        <f t="shared" si="110"/>
        <v>239</v>
      </c>
      <c r="CL97" s="70">
        <f t="shared" si="111"/>
        <v>287</v>
      </c>
      <c r="CM97" s="70">
        <f t="shared" si="112"/>
        <v>318</v>
      </c>
      <c r="CN97" s="70">
        <f t="shared" si="113"/>
        <v>330</v>
      </c>
      <c r="CO97" s="57">
        <f t="shared" si="114"/>
        <v>1</v>
      </c>
    </row>
    <row r="98" spans="1:93" x14ac:dyDescent="0.2">
      <c r="A98" s="3" t="str">
        <f t="shared" si="115"/>
        <v>ox1r_human__wt</v>
      </c>
      <c r="B98" s="3" t="s">
        <v>1394</v>
      </c>
      <c r="C98" s="3" t="s">
        <v>294</v>
      </c>
      <c r="D98" s="3" t="str">
        <f>IFERROR(MID(VLOOKUP($B98,Seqs!$A:$B,2,FALSE),E98,1),"")</f>
        <v>E</v>
      </c>
      <c r="E98" s="3">
        <v>46</v>
      </c>
      <c r="F98" s="3" t="str">
        <f>IFERROR(MID(VLOOKUP($B98,Seqs!$A:$B,2,FALSE),G98,1),"")</f>
        <v>N</v>
      </c>
      <c r="G98" s="3">
        <v>74</v>
      </c>
      <c r="H98" s="3" t="str">
        <f>IFERROR(MID(VLOOKUP($B98,Seqs!$A:$B,2,FALSE),I98,1),"")</f>
        <v>H</v>
      </c>
      <c r="I98" s="57">
        <v>75</v>
      </c>
      <c r="J98" s="3" t="str">
        <f>IFERROR(MID(VLOOKUP($B98,Seqs!$A:$B,2,FALSE),K98,1),"")</f>
        <v>R</v>
      </c>
      <c r="K98" s="57">
        <v>78</v>
      </c>
      <c r="L98" s="3" t="str">
        <f>IFERROR(MID(VLOOKUP($B98,Seqs!$A:$B,2,FALSE),M98,1),"")</f>
        <v>T</v>
      </c>
      <c r="M98" s="3">
        <v>79</v>
      </c>
      <c r="N98" s="3" t="str">
        <f>IFERROR(MID(VLOOKUP($B98,Seqs!$A:$B,2,FALSE),O98,1),"")</f>
        <v>T</v>
      </c>
      <c r="O98" s="3">
        <v>109</v>
      </c>
      <c r="P98" s="3" t="str">
        <f>IFERROR(MID(VLOOKUP($B98,Seqs!$A:$B,2,FALSE),Q98,1),"")</f>
        <v>S</v>
      </c>
      <c r="Q98" s="3">
        <v>111</v>
      </c>
      <c r="R98" s="3" t="str">
        <f>IFERROR(MID(VLOOKUP($B98,Seqs!$A:$B,2,FALSE),S98,1),"")</f>
        <v>F</v>
      </c>
      <c r="S98" s="3">
        <v>114</v>
      </c>
      <c r="T98" s="3" t="str">
        <f>IFERROR(MID(VLOOKUP($B98,Seqs!$A:$B,2,FALSE),U98,1),"")</f>
        <v>G</v>
      </c>
      <c r="U98" s="3">
        <v>115</v>
      </c>
      <c r="V98" s="3" t="str">
        <f>IFERROR(MID(VLOOKUP($B98,Seqs!$A:$B,2,FALSE),W98,1),"")</f>
        <v>H</v>
      </c>
      <c r="W98" s="3">
        <v>150</v>
      </c>
      <c r="X98" s="3" t="str">
        <f>IFERROR(MID(VLOOKUP($B98,Seqs!$A:$B,2,FALSE),Y98,1),"")</f>
        <v>P</v>
      </c>
      <c r="Y98" s="3">
        <v>151</v>
      </c>
      <c r="Z98" s="3" t="str">
        <f>IFERROR(MID(VLOOKUP($B98,Seqs!$A:$B,2,FALSE),AA98,1),"")</f>
        <v>T</v>
      </c>
      <c r="AA98" s="81">
        <v>157</v>
      </c>
      <c r="AB98" s="3" t="str">
        <f>IFERROR(MID(VLOOKUP($B98,Seqs!$A:$B,2,FALSE),AC98,1),"")</f>
        <v>A</v>
      </c>
      <c r="AC98" s="3">
        <v>158</v>
      </c>
      <c r="AD98" s="3" t="str">
        <f>IFERROR(MID(VLOOKUP($B98,Seqs!$A:$B,2,FALSE),AE98,1),"")</f>
        <v>M</v>
      </c>
      <c r="AE98" s="3">
        <v>183</v>
      </c>
      <c r="AF98" s="3" t="str">
        <f>IFERROR(MID(VLOOKUP($B98,Seqs!$A:$B,2,FALSE),AG98,1),"")</f>
        <v>C</v>
      </c>
      <c r="AG98" s="3">
        <v>202</v>
      </c>
      <c r="AH98" s="3" t="str">
        <f>IFERROR(MID(VLOOKUP($B98,Seqs!$A:$B,2,FALSE),AI98,1),"")</f>
        <v>E</v>
      </c>
      <c r="AI98" s="3">
        <v>204</v>
      </c>
      <c r="AJ98" s="3" t="str">
        <f>IFERROR(MID(VLOOKUP($B98,Seqs!$A:$B,2,FALSE),AK98,1),"")</f>
        <v>D</v>
      </c>
      <c r="AK98" s="3">
        <v>209</v>
      </c>
      <c r="AL98" s="3" t="str">
        <f>IFERROR(MID(VLOOKUP($B98,Seqs!$A:$B,2,FALSE),AM98,1),"")</f>
        <v>P</v>
      </c>
      <c r="AM98" s="3">
        <v>248</v>
      </c>
      <c r="AN98" s="3" t="str">
        <f>IFERROR(MID(VLOOKUP($B98,Seqs!$A:$B,2,FALSE),AO98,1),"")</f>
        <v>F</v>
      </c>
      <c r="AO98" s="3">
        <v>283</v>
      </c>
      <c r="AP98" s="3" t="str">
        <f>IFERROR(MID(VLOOKUP($B98,Seqs!$A:$B,2,FALSE),AQ98,1),"")</f>
        <v>F</v>
      </c>
      <c r="AQ98" s="3">
        <v>324</v>
      </c>
      <c r="AR98" s="3" t="str">
        <f>IFERROR(MID(VLOOKUP($B98,Seqs!$A:$B,2,FALSE),AS98,1),"")</f>
        <v>R</v>
      </c>
      <c r="AS98" s="3">
        <v>333</v>
      </c>
      <c r="AT98" s="3" t="str">
        <f>IFERROR(MID(VLOOKUP($B98,Seqs!$A:$B,2,FALSE),AU98,1),"")</f>
        <v>L</v>
      </c>
      <c r="AU98" s="3">
        <v>361</v>
      </c>
      <c r="AV98" s="3" t="str">
        <f>IFERROR(MID(VLOOKUP($B98,Seqs!$A:$B,2,FALSE),AW98,1),"")</f>
        <v>S</v>
      </c>
      <c r="AW98" s="3">
        <v>362</v>
      </c>
      <c r="AX98" s="3" t="str">
        <f>IFERROR(MID(VLOOKUP($B98,Seqs!$A:$B,2,FALSE),AY98,1),"")</f>
        <v>F</v>
      </c>
      <c r="AY98" s="3">
        <v>373</v>
      </c>
      <c r="AZ98" s="83" t="str">
        <f>VLOOKUP(B98,Classification!A:D,2,FALSE)</f>
        <v>A</v>
      </c>
      <c r="BB98" s="82">
        <f>S98-Q98+1</f>
        <v>4</v>
      </c>
      <c r="BC98" s="57">
        <f t="shared" si="116"/>
        <v>263</v>
      </c>
      <c r="BD98" s="63" t="b">
        <f t="shared" si="117"/>
        <v>1</v>
      </c>
      <c r="BE98" s="68" t="s">
        <v>1514</v>
      </c>
      <c r="BF98" s="75" t="s">
        <v>1514</v>
      </c>
      <c r="BG98" s="75" t="s">
        <v>1514</v>
      </c>
      <c r="BH98" s="75" t="s">
        <v>1514</v>
      </c>
      <c r="BI98" s="75" t="s">
        <v>1514</v>
      </c>
      <c r="BJ98" s="75" t="s">
        <v>1514</v>
      </c>
      <c r="BK98" s="75" t="s">
        <v>1514</v>
      </c>
      <c r="BL98" s="75" t="s">
        <v>1514</v>
      </c>
      <c r="BM98" s="75" t="s">
        <v>1514</v>
      </c>
      <c r="BN98" s="75" t="s">
        <v>1514</v>
      </c>
      <c r="BO98" s="75" t="s">
        <v>1514</v>
      </c>
      <c r="BP98" s="75" t="s">
        <v>1514</v>
      </c>
      <c r="BQ98" s="68">
        <f t="shared" si="90"/>
        <v>46</v>
      </c>
      <c r="BR98" s="69">
        <f t="shared" si="91"/>
        <v>75</v>
      </c>
      <c r="BS98" s="70">
        <f t="shared" si="92"/>
        <v>79</v>
      </c>
      <c r="BT98" s="69">
        <f t="shared" si="93"/>
        <v>111</v>
      </c>
      <c r="BU98" s="70">
        <f t="shared" si="94"/>
        <v>115</v>
      </c>
      <c r="BV98" s="69">
        <f t="shared" si="95"/>
        <v>151</v>
      </c>
      <c r="BW98" s="70">
        <f t="shared" si="96"/>
        <v>158</v>
      </c>
      <c r="BX98" s="69">
        <f t="shared" si="97"/>
        <v>202</v>
      </c>
      <c r="BY98" s="70">
        <f t="shared" si="98"/>
        <v>209</v>
      </c>
      <c r="BZ98" s="69">
        <f t="shared" si="99"/>
        <v>283</v>
      </c>
      <c r="CA98" s="70">
        <f t="shared" si="100"/>
        <v>333</v>
      </c>
      <c r="CB98" s="69">
        <f t="shared" si="101"/>
        <v>362</v>
      </c>
      <c r="CC98" s="68">
        <f t="shared" si="102"/>
        <v>74</v>
      </c>
      <c r="CD98" s="69">
        <f t="shared" si="103"/>
        <v>78</v>
      </c>
      <c r="CE98" s="70">
        <f t="shared" si="104"/>
        <v>109</v>
      </c>
      <c r="CF98" s="70">
        <f t="shared" si="105"/>
        <v>114</v>
      </c>
      <c r="CG98" s="70">
        <f t="shared" si="106"/>
        <v>150</v>
      </c>
      <c r="CH98" s="70">
        <f t="shared" si="107"/>
        <v>157</v>
      </c>
      <c r="CI98" s="70">
        <f t="shared" si="108"/>
        <v>183</v>
      </c>
      <c r="CJ98" s="70">
        <f t="shared" si="109"/>
        <v>204</v>
      </c>
      <c r="CK98" s="70">
        <f t="shared" si="110"/>
        <v>248</v>
      </c>
      <c r="CL98" s="70">
        <f t="shared" si="111"/>
        <v>324</v>
      </c>
      <c r="CM98" s="70">
        <f t="shared" si="112"/>
        <v>361</v>
      </c>
      <c r="CN98" s="70">
        <f t="shared" si="113"/>
        <v>373</v>
      </c>
      <c r="CO98" s="57">
        <f t="shared" si="114"/>
        <v>1</v>
      </c>
    </row>
    <row r="99" spans="1:93" x14ac:dyDescent="0.2">
      <c r="A99" s="3" t="str">
        <f t="shared" si="115"/>
        <v>ox1r_human_4ZJ8</v>
      </c>
      <c r="B99" s="3" t="s">
        <v>1394</v>
      </c>
      <c r="C99" s="3" t="s">
        <v>282</v>
      </c>
      <c r="D99" s="3" t="str">
        <f>IFERROR(MID(VLOOKUP($B99,Seqs!$A:$B,2,FALSE),E99,1),"")</f>
        <v>E</v>
      </c>
      <c r="E99" s="3">
        <v>46</v>
      </c>
      <c r="F99" s="3" t="str">
        <f>IFERROR(MID(VLOOKUP($B99,Seqs!$A:$B,2,FALSE),G99,1),"")</f>
        <v>N</v>
      </c>
      <c r="G99" s="3">
        <v>74</v>
      </c>
      <c r="H99" s="3" t="str">
        <f>IFERROR(MID(VLOOKUP($B99,Seqs!$A:$B,2,FALSE),I99,1),"")</f>
        <v>H</v>
      </c>
      <c r="I99" s="57">
        <v>75</v>
      </c>
      <c r="J99" s="3" t="str">
        <f>IFERROR(MID(VLOOKUP($B99,Seqs!$A:$B,2,FALSE),K99,1),"")</f>
        <v>R</v>
      </c>
      <c r="K99" s="57">
        <v>78</v>
      </c>
      <c r="L99" s="3" t="str">
        <f>IFERROR(MID(VLOOKUP($B99,Seqs!$A:$B,2,FALSE),M99,1),"")</f>
        <v>T</v>
      </c>
      <c r="M99" s="3">
        <v>79</v>
      </c>
      <c r="N99" s="3" t="str">
        <f>IFERROR(MID(VLOOKUP($B99,Seqs!$A:$B,2,FALSE),O99,1),"")</f>
        <v>T</v>
      </c>
      <c r="O99" s="3">
        <v>109</v>
      </c>
      <c r="P99" s="3" t="str">
        <f>IFERROR(MID(VLOOKUP($B99,Seqs!$A:$B,2,FALSE),Q99,1),"")</f>
        <v>S</v>
      </c>
      <c r="Q99" s="3">
        <v>111</v>
      </c>
      <c r="R99" s="3" t="str">
        <f>IFERROR(MID(VLOOKUP($B99,Seqs!$A:$B,2,FALSE),S99,1),"")</f>
        <v>F</v>
      </c>
      <c r="S99" s="3">
        <v>114</v>
      </c>
      <c r="T99" s="3" t="str">
        <f>IFERROR(MID(VLOOKUP($B99,Seqs!$A:$B,2,FALSE),U99,1),"")</f>
        <v>G</v>
      </c>
      <c r="U99" s="3">
        <v>115</v>
      </c>
      <c r="V99" s="3" t="str">
        <f>IFERROR(MID(VLOOKUP($B99,Seqs!$A:$B,2,FALSE),W99,1),"")</f>
        <v>H</v>
      </c>
      <c r="W99" s="3">
        <v>150</v>
      </c>
      <c r="X99" s="3" t="str">
        <f>IFERROR(MID(VLOOKUP($B99,Seqs!$A:$B,2,FALSE),Y99,1),"")</f>
        <v/>
      </c>
      <c r="Y99" s="3" t="s">
        <v>129</v>
      </c>
      <c r="Z99" s="3" t="str">
        <f>IFERROR(MID(VLOOKUP($B99,Seqs!$A:$B,2,FALSE),AA99,1),"")</f>
        <v/>
      </c>
      <c r="AA99" s="3" t="s">
        <v>129</v>
      </c>
      <c r="AB99" s="3" t="str">
        <f>IFERROR(MID(VLOOKUP($B99,Seqs!$A:$B,2,FALSE),AC99,1),"")</f>
        <v>A</v>
      </c>
      <c r="AC99" s="3">
        <v>158</v>
      </c>
      <c r="AD99" s="3" t="str">
        <f>IFERROR(MID(VLOOKUP($B99,Seqs!$A:$B,2,FALSE),AE99,1),"")</f>
        <v>M</v>
      </c>
      <c r="AE99" s="3">
        <v>183</v>
      </c>
      <c r="AF99" s="3" t="str">
        <f>IFERROR(MID(VLOOKUP($B99,Seqs!$A:$B,2,FALSE),AG99,1),"")</f>
        <v>C</v>
      </c>
      <c r="AG99" s="3">
        <v>202</v>
      </c>
      <c r="AH99" s="3" t="str">
        <f>IFERROR(MID(VLOOKUP($B99,Seqs!$A:$B,2,FALSE),AI99,1),"")</f>
        <v>E</v>
      </c>
      <c r="AI99" s="3">
        <v>204</v>
      </c>
      <c r="AJ99" s="3" t="str">
        <f>IFERROR(MID(VLOOKUP($B99,Seqs!$A:$B,2,FALSE),AK99,1),"")</f>
        <v>D</v>
      </c>
      <c r="AK99" s="3">
        <v>209</v>
      </c>
      <c r="AL99" s="3" t="str">
        <f>IFERROR(MID(VLOOKUP($B99,Seqs!$A:$B,2,FALSE),AM99,1),"")</f>
        <v>L</v>
      </c>
      <c r="AM99" s="3">
        <v>242</v>
      </c>
      <c r="AN99" s="3" t="str">
        <f>IFERROR(MID(VLOOKUP($B99,Seqs!$A:$B,2,FALSE),AO99,1),"")</f>
        <v>K</v>
      </c>
      <c r="AO99" s="3">
        <v>288</v>
      </c>
      <c r="AP99" s="3" t="str">
        <f>IFERROR(MID(VLOOKUP($B99,Seqs!$A:$B,2,FALSE),AQ99,1),"")</f>
        <v>F</v>
      </c>
      <c r="AQ99" s="3">
        <v>324</v>
      </c>
      <c r="AR99" s="3" t="str">
        <f>IFERROR(MID(VLOOKUP($B99,Seqs!$A:$B,2,FALSE),AS99,1),"")</f>
        <v>R</v>
      </c>
      <c r="AS99" s="3">
        <v>333</v>
      </c>
      <c r="AT99" s="3" t="str">
        <f>IFERROR(MID(VLOOKUP($B99,Seqs!$A:$B,2,FALSE),AU99,1),"")</f>
        <v>L</v>
      </c>
      <c r="AU99" s="3">
        <v>361</v>
      </c>
      <c r="AV99" s="3" t="str">
        <f>IFERROR(MID(VLOOKUP($B99,Seqs!$A:$B,2,FALSE),AW99,1),"")</f>
        <v>S</v>
      </c>
      <c r="AW99" s="3">
        <v>362</v>
      </c>
      <c r="AX99" s="3" t="str">
        <f>IFERROR(MID(VLOOKUP($B99,Seqs!$A:$B,2,FALSE),AY99,1),"")</f>
        <v>F</v>
      </c>
      <c r="AY99" s="3">
        <v>373</v>
      </c>
      <c r="AZ99" s="83" t="str">
        <f>VLOOKUP(B99,Classification!A:D,2,FALSE)</f>
        <v>A</v>
      </c>
      <c r="BC99" s="57">
        <f t="shared" si="116"/>
        <v>246</v>
      </c>
      <c r="BD99" s="63" t="b">
        <f t="shared" si="117"/>
        <v>1</v>
      </c>
      <c r="BE99" s="68" t="s">
        <v>1514</v>
      </c>
      <c r="BF99" s="75" t="s">
        <v>1514</v>
      </c>
      <c r="BG99" s="75" t="s">
        <v>1514</v>
      </c>
      <c r="BH99" s="75" t="s">
        <v>1514</v>
      </c>
      <c r="BI99" s="75" t="s">
        <v>1514</v>
      </c>
      <c r="BJ99" s="75" t="s">
        <v>1514</v>
      </c>
      <c r="BK99" s="75" t="s">
        <v>1514</v>
      </c>
      <c r="BL99" s="75" t="s">
        <v>1514</v>
      </c>
      <c r="BM99" s="75" t="s">
        <v>1514</v>
      </c>
      <c r="BN99" s="75" t="s">
        <v>1514</v>
      </c>
      <c r="BO99" s="75" t="s">
        <v>1514</v>
      </c>
      <c r="BP99" s="75" t="s">
        <v>1514</v>
      </c>
      <c r="BQ99" s="68">
        <f t="shared" si="90"/>
        <v>46</v>
      </c>
      <c r="BR99" s="69">
        <f t="shared" si="91"/>
        <v>75</v>
      </c>
      <c r="BS99" s="70">
        <f t="shared" si="92"/>
        <v>79</v>
      </c>
      <c r="BT99" s="69">
        <f t="shared" si="93"/>
        <v>111</v>
      </c>
      <c r="BU99" s="70">
        <f t="shared" si="94"/>
        <v>115</v>
      </c>
      <c r="BV99" s="69" t="str">
        <f t="shared" si="95"/>
        <v>-</v>
      </c>
      <c r="BW99" s="70">
        <f t="shared" si="96"/>
        <v>158</v>
      </c>
      <c r="BX99" s="69">
        <f t="shared" si="97"/>
        <v>202</v>
      </c>
      <c r="BY99" s="70">
        <f t="shared" si="98"/>
        <v>209</v>
      </c>
      <c r="BZ99" s="69">
        <f t="shared" si="99"/>
        <v>288</v>
      </c>
      <c r="CA99" s="70">
        <f t="shared" si="100"/>
        <v>333</v>
      </c>
      <c r="CB99" s="69">
        <f t="shared" si="101"/>
        <v>362</v>
      </c>
      <c r="CC99" s="68">
        <f t="shared" si="102"/>
        <v>74</v>
      </c>
      <c r="CD99" s="69">
        <f t="shared" si="103"/>
        <v>78</v>
      </c>
      <c r="CE99" s="70">
        <f t="shared" si="104"/>
        <v>109</v>
      </c>
      <c r="CF99" s="70">
        <f t="shared" si="105"/>
        <v>114</v>
      </c>
      <c r="CG99" s="70">
        <f t="shared" si="106"/>
        <v>150</v>
      </c>
      <c r="CH99" s="70" t="str">
        <f t="shared" si="107"/>
        <v>-</v>
      </c>
      <c r="CI99" s="70">
        <f t="shared" si="108"/>
        <v>183</v>
      </c>
      <c r="CJ99" s="70">
        <f t="shared" si="109"/>
        <v>204</v>
      </c>
      <c r="CK99" s="70">
        <f t="shared" si="110"/>
        <v>242</v>
      </c>
      <c r="CL99" s="70">
        <f t="shared" si="111"/>
        <v>324</v>
      </c>
      <c r="CM99" s="70">
        <f t="shared" si="112"/>
        <v>361</v>
      </c>
      <c r="CN99" s="70">
        <f t="shared" si="113"/>
        <v>373</v>
      </c>
      <c r="CO99" s="57">
        <f t="shared" ref="CO99:CO136" si="118">M99-K99</f>
        <v>1</v>
      </c>
    </row>
    <row r="100" spans="1:93" x14ac:dyDescent="0.2">
      <c r="A100" s="3" t="str">
        <f t="shared" si="115"/>
        <v>ox1r_human_4ZJC</v>
      </c>
      <c r="B100" s="3" t="s">
        <v>1394</v>
      </c>
      <c r="C100" s="3" t="s">
        <v>283</v>
      </c>
      <c r="D100" s="3" t="str">
        <f>IFERROR(MID(VLOOKUP($B100,Seqs!$A:$B,2,FALSE),E100,1),"")</f>
        <v>E</v>
      </c>
      <c r="E100" s="3">
        <v>46</v>
      </c>
      <c r="F100" s="3" t="str">
        <f>IFERROR(MID(VLOOKUP($B100,Seqs!$A:$B,2,FALSE),G100,1),"")</f>
        <v>N</v>
      </c>
      <c r="G100" s="3">
        <v>74</v>
      </c>
      <c r="H100" s="3" t="str">
        <f>IFERROR(MID(VLOOKUP($B100,Seqs!$A:$B,2,FALSE),I100,1),"")</f>
        <v>H</v>
      </c>
      <c r="I100" s="57">
        <v>75</v>
      </c>
      <c r="J100" s="3" t="str">
        <f>IFERROR(MID(VLOOKUP($B100,Seqs!$A:$B,2,FALSE),K100,1),"")</f>
        <v>R</v>
      </c>
      <c r="K100" s="57">
        <v>78</v>
      </c>
      <c r="L100" s="3" t="str">
        <f>IFERROR(MID(VLOOKUP($B100,Seqs!$A:$B,2,FALSE),M100,1),"")</f>
        <v>T</v>
      </c>
      <c r="M100" s="3">
        <v>79</v>
      </c>
      <c r="N100" s="3" t="str">
        <f>IFERROR(MID(VLOOKUP($B100,Seqs!$A:$B,2,FALSE),O100,1),"")</f>
        <v>T</v>
      </c>
      <c r="O100" s="3">
        <v>109</v>
      </c>
      <c r="P100" s="3" t="str">
        <f>IFERROR(MID(VLOOKUP($B100,Seqs!$A:$B,2,FALSE),Q100,1),"")</f>
        <v>S</v>
      </c>
      <c r="Q100" s="3">
        <v>111</v>
      </c>
      <c r="R100" s="3" t="str">
        <f>IFERROR(MID(VLOOKUP($B100,Seqs!$A:$B,2,FALSE),S100,1),"")</f>
        <v>F</v>
      </c>
      <c r="S100" s="3">
        <v>114</v>
      </c>
      <c r="T100" s="3" t="str">
        <f>IFERROR(MID(VLOOKUP($B100,Seqs!$A:$B,2,FALSE),U100,1),"")</f>
        <v>G</v>
      </c>
      <c r="U100" s="3">
        <v>115</v>
      </c>
      <c r="V100" s="3" t="str">
        <f>IFERROR(MID(VLOOKUP($B100,Seqs!$A:$B,2,FALSE),W100,1),"")</f>
        <v>H</v>
      </c>
      <c r="W100" s="3">
        <v>150</v>
      </c>
      <c r="X100" s="3" t="str">
        <f>IFERROR(MID(VLOOKUP($B100,Seqs!$A:$B,2,FALSE),Y100,1),"")</f>
        <v/>
      </c>
      <c r="Y100" s="3" t="s">
        <v>129</v>
      </c>
      <c r="Z100" s="3" t="str">
        <f>IFERROR(MID(VLOOKUP($B100,Seqs!$A:$B,2,FALSE),AA100,1),"")</f>
        <v/>
      </c>
      <c r="AA100" s="3" t="s">
        <v>129</v>
      </c>
      <c r="AB100" s="3" t="str">
        <f>IFERROR(MID(VLOOKUP($B100,Seqs!$A:$B,2,FALSE),AC100,1),"")</f>
        <v>A</v>
      </c>
      <c r="AC100" s="3">
        <v>158</v>
      </c>
      <c r="AD100" s="3" t="str">
        <f>IFERROR(MID(VLOOKUP($B100,Seqs!$A:$B,2,FALSE),AE100,1),"")</f>
        <v>M</v>
      </c>
      <c r="AE100" s="3">
        <v>183</v>
      </c>
      <c r="AF100" s="3" t="str">
        <f>IFERROR(MID(VLOOKUP($B100,Seqs!$A:$B,2,FALSE),AG100,1),"")</f>
        <v>C</v>
      </c>
      <c r="AG100" s="3">
        <v>202</v>
      </c>
      <c r="AH100" s="3" t="str">
        <f>IFERROR(MID(VLOOKUP($B100,Seqs!$A:$B,2,FALSE),AI100,1),"")</f>
        <v>E</v>
      </c>
      <c r="AI100" s="3">
        <v>204</v>
      </c>
      <c r="AJ100" s="3" t="str">
        <f>IFERROR(MID(VLOOKUP($B100,Seqs!$A:$B,2,FALSE),AK100,1),"")</f>
        <v>D</v>
      </c>
      <c r="AK100" s="3">
        <v>209</v>
      </c>
      <c r="AL100" s="3" t="str">
        <f>IFERROR(MID(VLOOKUP($B100,Seqs!$A:$B,2,FALSE),AM100,1),"")</f>
        <v>L</v>
      </c>
      <c r="AM100" s="3">
        <v>242</v>
      </c>
      <c r="AN100" s="3" t="str">
        <f>IFERROR(MID(VLOOKUP($B100,Seqs!$A:$B,2,FALSE),AO100,1),"")</f>
        <v>K</v>
      </c>
      <c r="AO100" s="3">
        <v>288</v>
      </c>
      <c r="AP100" s="3" t="str">
        <f>IFERROR(MID(VLOOKUP($B100,Seqs!$A:$B,2,FALSE),AQ100,1),"")</f>
        <v>F</v>
      </c>
      <c r="AQ100" s="3">
        <v>324</v>
      </c>
      <c r="AR100" s="3" t="str">
        <f>IFERROR(MID(VLOOKUP($B100,Seqs!$A:$B,2,FALSE),AS100,1),"")</f>
        <v>R</v>
      </c>
      <c r="AS100" s="3">
        <v>333</v>
      </c>
      <c r="AT100" s="3" t="str">
        <f>IFERROR(MID(VLOOKUP($B100,Seqs!$A:$B,2,FALSE),AU100,1),"")</f>
        <v>L</v>
      </c>
      <c r="AU100" s="3">
        <v>361</v>
      </c>
      <c r="AV100" s="3" t="str">
        <f>IFERROR(MID(VLOOKUP($B100,Seqs!$A:$B,2,FALSE),AW100,1),"")</f>
        <v>S</v>
      </c>
      <c r="AW100" s="3">
        <v>362</v>
      </c>
      <c r="AX100" s="3" t="str">
        <f>IFERROR(MID(VLOOKUP($B100,Seqs!$A:$B,2,FALSE),AY100,1),"")</f>
        <v>F</v>
      </c>
      <c r="AY100" s="3">
        <v>373</v>
      </c>
      <c r="AZ100" s="83" t="str">
        <f>VLOOKUP(B100,Classification!A:D,2,FALSE)</f>
        <v>A</v>
      </c>
      <c r="BC100" s="57">
        <f t="shared" si="116"/>
        <v>246</v>
      </c>
      <c r="BD100" s="63" t="b">
        <f t="shared" si="117"/>
        <v>1</v>
      </c>
      <c r="BE100" s="68" t="s">
        <v>1514</v>
      </c>
      <c r="BF100" s="75" t="s">
        <v>1514</v>
      </c>
      <c r="BG100" s="75" t="s">
        <v>1514</v>
      </c>
      <c r="BH100" s="75" t="s">
        <v>1514</v>
      </c>
      <c r="BI100" s="75" t="s">
        <v>1514</v>
      </c>
      <c r="BJ100" s="75" t="s">
        <v>1514</v>
      </c>
      <c r="BK100" s="75" t="s">
        <v>1514</v>
      </c>
      <c r="BL100" s="75" t="s">
        <v>1514</v>
      </c>
      <c r="BM100" s="75" t="s">
        <v>1514</v>
      </c>
      <c r="BN100" s="75" t="s">
        <v>1514</v>
      </c>
      <c r="BO100" s="75" t="s">
        <v>1514</v>
      </c>
      <c r="BP100" s="75" t="s">
        <v>1514</v>
      </c>
      <c r="BQ100" s="68">
        <f t="shared" si="90"/>
        <v>46</v>
      </c>
      <c r="BR100" s="69">
        <f t="shared" si="91"/>
        <v>75</v>
      </c>
      <c r="BS100" s="70">
        <f t="shared" si="92"/>
        <v>79</v>
      </c>
      <c r="BT100" s="69">
        <f t="shared" si="93"/>
        <v>111</v>
      </c>
      <c r="BU100" s="70">
        <f t="shared" si="94"/>
        <v>115</v>
      </c>
      <c r="BV100" s="69" t="str">
        <f t="shared" si="95"/>
        <v>-</v>
      </c>
      <c r="BW100" s="70">
        <f t="shared" si="96"/>
        <v>158</v>
      </c>
      <c r="BX100" s="69">
        <f t="shared" si="97"/>
        <v>202</v>
      </c>
      <c r="BY100" s="70">
        <f t="shared" si="98"/>
        <v>209</v>
      </c>
      <c r="BZ100" s="69">
        <f t="shared" si="99"/>
        <v>288</v>
      </c>
      <c r="CA100" s="70">
        <f t="shared" si="100"/>
        <v>333</v>
      </c>
      <c r="CB100" s="69">
        <f t="shared" si="101"/>
        <v>362</v>
      </c>
      <c r="CC100" s="68">
        <f t="shared" si="102"/>
        <v>74</v>
      </c>
      <c r="CD100" s="69">
        <f t="shared" si="103"/>
        <v>78</v>
      </c>
      <c r="CE100" s="70">
        <f t="shared" si="104"/>
        <v>109</v>
      </c>
      <c r="CF100" s="70">
        <f t="shared" si="105"/>
        <v>114</v>
      </c>
      <c r="CG100" s="70">
        <f t="shared" si="106"/>
        <v>150</v>
      </c>
      <c r="CH100" s="70" t="str">
        <f t="shared" si="107"/>
        <v>-</v>
      </c>
      <c r="CI100" s="70">
        <f t="shared" si="108"/>
        <v>183</v>
      </c>
      <c r="CJ100" s="70">
        <f t="shared" si="109"/>
        <v>204</v>
      </c>
      <c r="CK100" s="70">
        <f t="shared" si="110"/>
        <v>242</v>
      </c>
      <c r="CL100" s="70">
        <f t="shared" si="111"/>
        <v>324</v>
      </c>
      <c r="CM100" s="70">
        <f t="shared" si="112"/>
        <v>361</v>
      </c>
      <c r="CN100" s="70">
        <f t="shared" si="113"/>
        <v>373</v>
      </c>
      <c r="CO100" s="57">
        <f t="shared" si="118"/>
        <v>1</v>
      </c>
    </row>
    <row r="101" spans="1:93" x14ac:dyDescent="0.2">
      <c r="A101" s="3" t="str">
        <f t="shared" ref="A101:A135" si="119">CONCATENATE(B101,"_",C101)</f>
        <v>ox2r_human__wt</v>
      </c>
      <c r="B101" s="3" t="s">
        <v>1395</v>
      </c>
      <c r="C101" s="3" t="s">
        <v>294</v>
      </c>
      <c r="D101" s="3" t="str">
        <f>IFERROR(MID(VLOOKUP($B101,Seqs!$A:$B,2,FALSE),E101,1),"")</f>
        <v>Y</v>
      </c>
      <c r="E101" s="3">
        <v>53</v>
      </c>
      <c r="F101" s="3" t="str">
        <f>IFERROR(MID(VLOOKUP($B101,Seqs!$A:$B,2,FALSE),G101,1),"")</f>
        <v>N</v>
      </c>
      <c r="G101" s="3">
        <v>82</v>
      </c>
      <c r="H101" s="3" t="str">
        <f>IFERROR(MID(VLOOKUP($B101,Seqs!$A:$B,2,FALSE),I101,1),"")</f>
        <v>H</v>
      </c>
      <c r="I101" s="57">
        <v>83</v>
      </c>
      <c r="J101" s="3" t="str">
        <f>IFERROR(MID(VLOOKUP($B101,Seqs!$A:$B,2,FALSE),K101,1),"")</f>
        <v>R</v>
      </c>
      <c r="K101" s="57">
        <v>86</v>
      </c>
      <c r="L101" s="3" t="str">
        <f>IFERROR(MID(VLOOKUP($B101,Seqs!$A:$B,2,FALSE),M101,1),"")</f>
        <v>T</v>
      </c>
      <c r="M101" s="3">
        <v>87</v>
      </c>
      <c r="N101" s="3" t="str">
        <f>IFERROR(MID(VLOOKUP($B101,Seqs!$A:$B,2,FALSE),O101,1),"")</f>
        <v>T</v>
      </c>
      <c r="O101" s="3">
        <v>117</v>
      </c>
      <c r="P101" s="3" t="str">
        <f>IFERROR(MID(VLOOKUP($B101,Seqs!$A:$B,2,FALSE),Q101,1),"")</f>
        <v>T</v>
      </c>
      <c r="Q101" s="3">
        <v>119</v>
      </c>
      <c r="R101" s="3" t="str">
        <f>IFERROR(MID(VLOOKUP($B101,Seqs!$A:$B,2,FALSE),S101,1),"")</f>
        <v>F</v>
      </c>
      <c r="S101" s="3">
        <v>122</v>
      </c>
      <c r="T101" s="3" t="str">
        <f>IFERROR(MID(VLOOKUP($B101,Seqs!$A:$B,2,FALSE),U101,1),"")</f>
        <v>G</v>
      </c>
      <c r="U101" s="3">
        <v>123</v>
      </c>
      <c r="V101" s="3" t="str">
        <f>IFERROR(MID(VLOOKUP($B101,Seqs!$A:$B,2,FALSE),W101,1),"")</f>
        <v>H</v>
      </c>
      <c r="W101" s="3">
        <v>158</v>
      </c>
      <c r="X101" s="3" t="str">
        <f>IFERROR(MID(VLOOKUP($B101,Seqs!$A:$B,2,FALSE),Y101,1),"")</f>
        <v>P</v>
      </c>
      <c r="Y101" s="3">
        <v>159</v>
      </c>
      <c r="Z101" s="3" t="str">
        <f>IFERROR(MID(VLOOKUP($B101,Seqs!$A:$B,2,FALSE),AA101,1),"")</f>
        <v>T</v>
      </c>
      <c r="AA101" s="81">
        <v>165</v>
      </c>
      <c r="AB101" s="3" t="str">
        <f>IFERROR(MID(VLOOKUP($B101,Seqs!$A:$B,2,FALSE),AC101,1),"")</f>
        <v>A</v>
      </c>
      <c r="AC101" s="3">
        <v>166</v>
      </c>
      <c r="AD101" s="3" t="str">
        <f>IFERROR(MID(VLOOKUP($B101,Seqs!$A:$B,2,FALSE),AE101,1),"")</f>
        <v>M</v>
      </c>
      <c r="AE101" s="3">
        <v>191</v>
      </c>
      <c r="AF101" s="3" t="str">
        <f>IFERROR(MID(VLOOKUP($B101,Seqs!$A:$B,2,FALSE),AG101,1),"")</f>
        <v>C</v>
      </c>
      <c r="AG101" s="3">
        <v>210</v>
      </c>
      <c r="AH101" s="3" t="str">
        <f>IFERROR(MID(VLOOKUP($B101,Seqs!$A:$B,2,FALSE),AI101,1),"")</f>
        <v>E</v>
      </c>
      <c r="AI101" s="3">
        <v>212</v>
      </c>
      <c r="AJ101" s="3" t="str">
        <f>IFERROR(MID(VLOOKUP($B101,Seqs!$A:$B,2,FALSE),AK101,1),"")</f>
        <v>E</v>
      </c>
      <c r="AK101" s="3">
        <v>217</v>
      </c>
      <c r="AL101" s="3" t="str">
        <f>IFERROR(MID(VLOOKUP($B101,Seqs!$A:$B,2,FALSE),AM101,1),"")</f>
        <v>P</v>
      </c>
      <c r="AM101" s="3">
        <v>256</v>
      </c>
      <c r="AN101" s="3" t="str">
        <f>IFERROR(MID(VLOOKUP($B101,Seqs!$A:$B,2,FALSE),AO101,1),"")</f>
        <v>V</v>
      </c>
      <c r="AO101" s="3">
        <v>289</v>
      </c>
      <c r="AP101" s="3" t="str">
        <f>IFERROR(MID(VLOOKUP($B101,Seqs!$A:$B,2,FALSE),AQ101,1),"")</f>
        <v>F</v>
      </c>
      <c r="AQ101" s="3">
        <v>330</v>
      </c>
      <c r="AR101" s="3" t="str">
        <f>IFERROR(MID(VLOOKUP($B101,Seqs!$A:$B,2,FALSE),AS101,1),"")</f>
        <v>R</v>
      </c>
      <c r="AS101" s="3">
        <v>339</v>
      </c>
      <c r="AT101" s="3" t="str">
        <f>IFERROR(MID(VLOOKUP($B101,Seqs!$A:$B,2,FALSE),AU101,1),"")</f>
        <v>L</v>
      </c>
      <c r="AU101" s="3">
        <v>367</v>
      </c>
      <c r="AV101" s="3" t="str">
        <f>IFERROR(MID(VLOOKUP($B101,Seqs!$A:$B,2,FALSE),AW101,1),"")</f>
        <v>S</v>
      </c>
      <c r="AW101" s="3">
        <v>368</v>
      </c>
      <c r="AX101" s="3" t="str">
        <f>IFERROR(MID(VLOOKUP($B101,Seqs!$A:$B,2,FALSE),AY101,1),"")</f>
        <v>F</v>
      </c>
      <c r="AY101" s="3">
        <v>379</v>
      </c>
      <c r="AZ101" s="83" t="str">
        <f>VLOOKUP(B101,Classification!A:D,2,FALSE)</f>
        <v>A</v>
      </c>
      <c r="BB101" s="82">
        <f>S101-Q101+1</f>
        <v>4</v>
      </c>
      <c r="BC101" s="57">
        <f t="shared" ref="BC101:BC139" si="120">_xlfn.AGGREGATE(9,6,CC101:CN101)-_xlfn.AGGREGATE(9,6,BQ101:CB101)+12</f>
        <v>264</v>
      </c>
      <c r="BD101" s="63" t="b">
        <f t="shared" ref="BD101:BD139" si="121">AND(E101&lt;G101,OR(G101&lt;I101,I101="-"),OR(I101&lt;K101,I101="-"),OR(K101&lt;M101,K101="-"),M101&lt;O101,OR(O101&lt;Q101,Q101="-"),OR(Q101&lt;S101,Q101="-"),OR(S101&lt;U101,S101="-"),U101&lt;W101,OR(W101&lt;Y101,Y101="-"),OR(Y101&lt;AA101,Y101="-"),OR(AA101&lt;AC101,AA101="-"),AC101&lt;AE101,OR(AE101&lt;AG101,AG101="-"),OR(AG101&lt;AI101,AG101="-"),OR(AI101&lt;AK101,AI101="-"),AK101&lt;AM101,AM101&lt;AO101,AO101&lt;AQ101,AQ101&lt;AS101,AS101&lt;AU101,OR(AU101&lt;AW101,AW101="-"),OR(AW101&lt;AY101,AW101="-"))</f>
        <v>1</v>
      </c>
      <c r="BE101" s="68" t="s">
        <v>1514</v>
      </c>
      <c r="BF101" s="75" t="s">
        <v>1514</v>
      </c>
      <c r="BG101" s="75" t="s">
        <v>1514</v>
      </c>
      <c r="BH101" s="75" t="s">
        <v>1514</v>
      </c>
      <c r="BI101" s="75" t="s">
        <v>1514</v>
      </c>
      <c r="BJ101" s="75" t="s">
        <v>1514</v>
      </c>
      <c r="BK101" s="75" t="s">
        <v>1514</v>
      </c>
      <c r="BL101" s="75" t="s">
        <v>1514</v>
      </c>
      <c r="BM101" s="75" t="s">
        <v>1514</v>
      </c>
      <c r="BN101" s="75" t="s">
        <v>1514</v>
      </c>
      <c r="BO101" s="75" t="s">
        <v>1514</v>
      </c>
      <c r="BP101" s="75" t="s">
        <v>1514</v>
      </c>
      <c r="BQ101" s="68">
        <f t="shared" ref="BQ101:BQ139" si="122">E101</f>
        <v>53</v>
      </c>
      <c r="BR101" s="69">
        <f t="shared" ref="BR101:BR139" si="123">I101</f>
        <v>83</v>
      </c>
      <c r="BS101" s="70">
        <f t="shared" ref="BS101:BS139" si="124">M101</f>
        <v>87</v>
      </c>
      <c r="BT101" s="69">
        <f t="shared" ref="BT101:BT139" si="125">Q101</f>
        <v>119</v>
      </c>
      <c r="BU101" s="70">
        <f t="shared" ref="BU101:BU139" si="126">U101</f>
        <v>123</v>
      </c>
      <c r="BV101" s="69">
        <f t="shared" ref="BV101:BV139" si="127">Y101</f>
        <v>159</v>
      </c>
      <c r="BW101" s="70">
        <f t="shared" ref="BW101:BW139" si="128">AC101</f>
        <v>166</v>
      </c>
      <c r="BX101" s="69">
        <f t="shared" ref="BX101:BX139" si="129">AG101</f>
        <v>210</v>
      </c>
      <c r="BY101" s="70">
        <f t="shared" ref="BY101:BY139" si="130">AK101</f>
        <v>217</v>
      </c>
      <c r="BZ101" s="69">
        <f t="shared" ref="BZ101:BZ139" si="131">AO101</f>
        <v>289</v>
      </c>
      <c r="CA101" s="70">
        <f t="shared" ref="CA101:CA139" si="132">AS101</f>
        <v>339</v>
      </c>
      <c r="CB101" s="69">
        <f t="shared" ref="CB101:CB139" si="133">AW101</f>
        <v>368</v>
      </c>
      <c r="CC101" s="68">
        <f t="shared" ref="CC101:CC139" si="134">G101</f>
        <v>82</v>
      </c>
      <c r="CD101" s="69">
        <f t="shared" ref="CD101:CD139" si="135">K101</f>
        <v>86</v>
      </c>
      <c r="CE101" s="70">
        <f t="shared" ref="CE101:CE139" si="136">O101</f>
        <v>117</v>
      </c>
      <c r="CF101" s="70">
        <f t="shared" ref="CF101:CF139" si="137">S101</f>
        <v>122</v>
      </c>
      <c r="CG101" s="70">
        <f t="shared" ref="CG101:CG139" si="138">W101</f>
        <v>158</v>
      </c>
      <c r="CH101" s="70">
        <f t="shared" ref="CH101:CH139" si="139">AA101</f>
        <v>165</v>
      </c>
      <c r="CI101" s="70">
        <f t="shared" ref="CI101:CI139" si="140">AE101</f>
        <v>191</v>
      </c>
      <c r="CJ101" s="70">
        <f t="shared" ref="CJ101:CJ139" si="141">AI101</f>
        <v>212</v>
      </c>
      <c r="CK101" s="70">
        <f t="shared" ref="CK101:CK139" si="142">AM101</f>
        <v>256</v>
      </c>
      <c r="CL101" s="70">
        <f t="shared" ref="CL101:CL139" si="143">AQ101</f>
        <v>330</v>
      </c>
      <c r="CM101" s="70">
        <f t="shared" ref="CM101:CM139" si="144">AU101</f>
        <v>367</v>
      </c>
      <c r="CN101" s="70">
        <f t="shared" ref="CN101:CN139" si="145">AY101</f>
        <v>379</v>
      </c>
      <c r="CO101" s="57">
        <f t="shared" si="118"/>
        <v>1</v>
      </c>
    </row>
    <row r="102" spans="1:93" x14ac:dyDescent="0.2">
      <c r="A102" s="3" t="str">
        <f t="shared" si="119"/>
        <v>ox2r_human_4S0V</v>
      </c>
      <c r="B102" s="3" t="s">
        <v>1395</v>
      </c>
      <c r="C102" s="3" t="s">
        <v>284</v>
      </c>
      <c r="D102" s="3" t="str">
        <f>IFERROR(MID(VLOOKUP($B102,Seqs!$A:$B,2,FALSE),E102,1),"")</f>
        <v>Y</v>
      </c>
      <c r="E102" s="3">
        <v>53</v>
      </c>
      <c r="F102" s="3" t="str">
        <f>IFERROR(MID(VLOOKUP($B102,Seqs!$A:$B,2,FALSE),G102,1),"")</f>
        <v>N</v>
      </c>
      <c r="G102" s="3">
        <v>82</v>
      </c>
      <c r="H102" s="3" t="str">
        <f>IFERROR(MID(VLOOKUP($B102,Seqs!$A:$B,2,FALSE),I102,1),"")</f>
        <v>H</v>
      </c>
      <c r="I102" s="57">
        <v>83</v>
      </c>
      <c r="J102" s="3" t="str">
        <f>IFERROR(MID(VLOOKUP($B102,Seqs!$A:$B,2,FALSE),K102,1),"")</f>
        <v>R</v>
      </c>
      <c r="K102" s="57">
        <v>86</v>
      </c>
      <c r="L102" s="3" t="str">
        <f>IFERROR(MID(VLOOKUP($B102,Seqs!$A:$B,2,FALSE),M102,1),"")</f>
        <v>T</v>
      </c>
      <c r="M102" s="3">
        <v>87</v>
      </c>
      <c r="N102" s="3" t="str">
        <f>IFERROR(MID(VLOOKUP($B102,Seqs!$A:$B,2,FALSE),O102,1),"")</f>
        <v>T</v>
      </c>
      <c r="O102" s="3">
        <v>117</v>
      </c>
      <c r="P102" s="3" t="str">
        <f>IFERROR(MID(VLOOKUP($B102,Seqs!$A:$B,2,FALSE),Q102,1),"")</f>
        <v>T</v>
      </c>
      <c r="Q102" s="3">
        <v>119</v>
      </c>
      <c r="R102" s="3" t="str">
        <f>IFERROR(MID(VLOOKUP($B102,Seqs!$A:$B,2,FALSE),S102,1),"")</f>
        <v>F</v>
      </c>
      <c r="S102" s="3">
        <v>122</v>
      </c>
      <c r="T102" s="3" t="str">
        <f>IFERROR(MID(VLOOKUP($B102,Seqs!$A:$B,2,FALSE),U102,1),"")</f>
        <v>G</v>
      </c>
      <c r="U102" s="3">
        <v>123</v>
      </c>
      <c r="V102" s="3" t="str">
        <f>IFERROR(MID(VLOOKUP($B102,Seqs!$A:$B,2,FALSE),W102,1),"")</f>
        <v>H</v>
      </c>
      <c r="W102" s="3">
        <v>158</v>
      </c>
      <c r="X102" s="3" t="str">
        <f>IFERROR(MID(VLOOKUP($B102,Seqs!$A:$B,2,FALSE),Y102,1),"")</f>
        <v/>
      </c>
      <c r="Y102" s="3" t="s">
        <v>129</v>
      </c>
      <c r="Z102" s="3" t="str">
        <f>IFERROR(MID(VLOOKUP($B102,Seqs!$A:$B,2,FALSE),AA102,1),"")</f>
        <v/>
      </c>
      <c r="AA102" s="3" t="s">
        <v>129</v>
      </c>
      <c r="AB102" s="3" t="str">
        <f>IFERROR(MID(VLOOKUP($B102,Seqs!$A:$B,2,FALSE),AC102,1),"")</f>
        <v>A</v>
      </c>
      <c r="AC102" s="3">
        <v>166</v>
      </c>
      <c r="AD102" s="3" t="str">
        <f>IFERROR(MID(VLOOKUP($B102,Seqs!$A:$B,2,FALSE),AE102,1),"")</f>
        <v>M</v>
      </c>
      <c r="AE102" s="3">
        <v>191</v>
      </c>
      <c r="AF102" s="3" t="str">
        <f>IFERROR(MID(VLOOKUP($B102,Seqs!$A:$B,2,FALSE),AG102,1),"")</f>
        <v>C</v>
      </c>
      <c r="AG102" s="3">
        <v>210</v>
      </c>
      <c r="AH102" s="3" t="str">
        <f>IFERROR(MID(VLOOKUP($B102,Seqs!$A:$B,2,FALSE),AI102,1),"")</f>
        <v>E</v>
      </c>
      <c r="AI102" s="3">
        <v>212</v>
      </c>
      <c r="AJ102" s="3" t="str">
        <f>IFERROR(MID(VLOOKUP($B102,Seqs!$A:$B,2,FALSE),AK102,1),"")</f>
        <v>E</v>
      </c>
      <c r="AK102" s="3">
        <v>217</v>
      </c>
      <c r="AL102" s="3" t="str">
        <f>IFERROR(MID(VLOOKUP($B102,Seqs!$A:$B,2,FALSE),AM102,1),"")</f>
        <v>Q</v>
      </c>
      <c r="AM102" s="3">
        <v>254</v>
      </c>
      <c r="AN102" s="3" t="str">
        <f>IFERROR(MID(VLOOKUP($B102,Seqs!$A:$B,2,FALSE),AO102,1),"")</f>
        <v>K</v>
      </c>
      <c r="AO102" s="3">
        <v>294</v>
      </c>
      <c r="AP102" s="3" t="str">
        <f>IFERROR(MID(VLOOKUP($B102,Seqs!$A:$B,2,FALSE),AQ102,1),"")</f>
        <v>F</v>
      </c>
      <c r="AQ102" s="3">
        <v>330</v>
      </c>
      <c r="AR102" s="3" t="str">
        <f>IFERROR(MID(VLOOKUP($B102,Seqs!$A:$B,2,FALSE),AS102,1),"")</f>
        <v>R</v>
      </c>
      <c r="AS102" s="3">
        <v>339</v>
      </c>
      <c r="AT102" s="3" t="str">
        <f>IFERROR(MID(VLOOKUP($B102,Seqs!$A:$B,2,FALSE),AU102,1),"")</f>
        <v>L</v>
      </c>
      <c r="AU102" s="3">
        <v>367</v>
      </c>
      <c r="AV102" s="3" t="str">
        <f>IFERROR(MID(VLOOKUP($B102,Seqs!$A:$B,2,FALSE),AW102,1),"")</f>
        <v>S</v>
      </c>
      <c r="AW102" s="3">
        <v>368</v>
      </c>
      <c r="AX102" s="3" t="str">
        <f>IFERROR(MID(VLOOKUP($B102,Seqs!$A:$B,2,FALSE),AY102,1),"")</f>
        <v>F</v>
      </c>
      <c r="AY102" s="3">
        <v>379</v>
      </c>
      <c r="AZ102" s="83" t="str">
        <f>VLOOKUP(B102,Classification!A:D,2,FALSE)</f>
        <v>A</v>
      </c>
      <c r="BC102" s="57">
        <f t="shared" si="120"/>
        <v>251</v>
      </c>
      <c r="BD102" s="63" t="b">
        <f t="shared" si="121"/>
        <v>1</v>
      </c>
      <c r="BE102" s="68" t="s">
        <v>1514</v>
      </c>
      <c r="BF102" s="75" t="s">
        <v>1514</v>
      </c>
      <c r="BG102" s="75" t="s">
        <v>1514</v>
      </c>
      <c r="BH102" s="75" t="s">
        <v>1514</v>
      </c>
      <c r="BI102" s="75" t="s">
        <v>1514</v>
      </c>
      <c r="BJ102" s="75" t="s">
        <v>1514</v>
      </c>
      <c r="BK102" s="75" t="s">
        <v>1514</v>
      </c>
      <c r="BL102" s="75" t="s">
        <v>1514</v>
      </c>
      <c r="BM102" s="75" t="s">
        <v>1514</v>
      </c>
      <c r="BN102" s="75" t="s">
        <v>1514</v>
      </c>
      <c r="BO102" s="75" t="s">
        <v>1514</v>
      </c>
      <c r="BP102" s="75" t="s">
        <v>1514</v>
      </c>
      <c r="BQ102" s="68">
        <f t="shared" si="122"/>
        <v>53</v>
      </c>
      <c r="BR102" s="69">
        <f t="shared" si="123"/>
        <v>83</v>
      </c>
      <c r="BS102" s="70">
        <f t="shared" si="124"/>
        <v>87</v>
      </c>
      <c r="BT102" s="69">
        <f t="shared" si="125"/>
        <v>119</v>
      </c>
      <c r="BU102" s="70">
        <f t="shared" si="126"/>
        <v>123</v>
      </c>
      <c r="BV102" s="69" t="str">
        <f t="shared" si="127"/>
        <v>-</v>
      </c>
      <c r="BW102" s="70">
        <f t="shared" si="128"/>
        <v>166</v>
      </c>
      <c r="BX102" s="69">
        <f t="shared" si="129"/>
        <v>210</v>
      </c>
      <c r="BY102" s="70">
        <f t="shared" si="130"/>
        <v>217</v>
      </c>
      <c r="BZ102" s="69">
        <f t="shared" si="131"/>
        <v>294</v>
      </c>
      <c r="CA102" s="70">
        <f t="shared" si="132"/>
        <v>339</v>
      </c>
      <c r="CB102" s="69">
        <f t="shared" si="133"/>
        <v>368</v>
      </c>
      <c r="CC102" s="68">
        <f t="shared" si="134"/>
        <v>82</v>
      </c>
      <c r="CD102" s="69">
        <f t="shared" si="135"/>
        <v>86</v>
      </c>
      <c r="CE102" s="70">
        <f t="shared" si="136"/>
        <v>117</v>
      </c>
      <c r="CF102" s="70">
        <f t="shared" si="137"/>
        <v>122</v>
      </c>
      <c r="CG102" s="70">
        <f t="shared" si="138"/>
        <v>158</v>
      </c>
      <c r="CH102" s="70" t="str">
        <f t="shared" si="139"/>
        <v>-</v>
      </c>
      <c r="CI102" s="70">
        <f t="shared" si="140"/>
        <v>191</v>
      </c>
      <c r="CJ102" s="70">
        <f t="shared" si="141"/>
        <v>212</v>
      </c>
      <c r="CK102" s="70">
        <f t="shared" si="142"/>
        <v>254</v>
      </c>
      <c r="CL102" s="70">
        <f t="shared" si="143"/>
        <v>330</v>
      </c>
      <c r="CM102" s="70">
        <f t="shared" si="144"/>
        <v>367</v>
      </c>
      <c r="CN102" s="70">
        <f t="shared" si="145"/>
        <v>379</v>
      </c>
      <c r="CO102" s="57">
        <f t="shared" si="118"/>
        <v>1</v>
      </c>
    </row>
    <row r="103" spans="1:93" s="2" customFormat="1" x14ac:dyDescent="0.2">
      <c r="A103" s="2" t="s">
        <v>1562</v>
      </c>
      <c r="B103" s="2" t="s">
        <v>390</v>
      </c>
      <c r="C103" s="2" t="s">
        <v>294</v>
      </c>
      <c r="D103" s="3" t="str">
        <f>IFERROR(MID(VLOOKUP($B103,Seqs!$A:$B,2,FALSE),E103,1),"")</f>
        <v>Q</v>
      </c>
      <c r="E103" s="2">
        <v>91</v>
      </c>
      <c r="F103" s="3" t="str">
        <f>IFERROR(MID(VLOOKUP($B103,Seqs!$A:$B,2,FALSE),G103,1),"")</f>
        <v>N</v>
      </c>
      <c r="G103" s="2">
        <v>129</v>
      </c>
      <c r="H103" s="3" t="str">
        <f>IFERROR(MID(VLOOKUP($B103,Seqs!$A:$B,2,FALSE),I103,1),"")</f>
        <v>K</v>
      </c>
      <c r="I103" s="113">
        <v>130</v>
      </c>
      <c r="J103" s="3" t="str">
        <f>IFERROR(MID(VLOOKUP($B103,Seqs!$A:$B,2,FALSE),K103,1),"")</f>
        <v>N</v>
      </c>
      <c r="K103" s="113">
        <v>134</v>
      </c>
      <c r="L103" s="3" t="str">
        <f>IFERROR(MID(VLOOKUP($B103,Seqs!$A:$B,2,FALSE),M103,1),"")</f>
        <v>G</v>
      </c>
      <c r="M103" s="2">
        <v>135</v>
      </c>
      <c r="N103" s="3" t="str">
        <f>IFERROR(MID(VLOOKUP($B103,Seqs!$A:$B,2,FALSE),O103,1),"")</f>
        <v>A</v>
      </c>
      <c r="O103" s="2">
        <v>164</v>
      </c>
      <c r="P103" s="3" t="str">
        <f>IFERROR(MID(VLOOKUP($B103,Seqs!$A:$B,2,FALSE),Q103,1),"")</f>
        <v>D</v>
      </c>
      <c r="Q103" s="2">
        <v>166</v>
      </c>
      <c r="R103" s="3" t="str">
        <f>IFERROR(MID(VLOOKUP($B103,Seqs!$A:$B,2,FALSE),S103,1),"")</f>
        <v>F</v>
      </c>
      <c r="S103" s="2">
        <v>169</v>
      </c>
      <c r="T103" s="3" t="str">
        <f>IFERROR(MID(VLOOKUP($B103,Seqs!$A:$B,2,FALSE),U103,1),"")</f>
        <v>G</v>
      </c>
      <c r="U103" s="4">
        <v>170</v>
      </c>
      <c r="V103" s="3" t="str">
        <f>IFERROR(MID(VLOOKUP($B103,Seqs!$A:$B,2,FALSE),W103,1),"")</f>
        <v>S</v>
      </c>
      <c r="W103" s="2">
        <v>205</v>
      </c>
      <c r="X103" s="3" t="str">
        <f>IFERROR(MID(VLOOKUP($B103,Seqs!$A:$B,2,FALSE),Y103,1),"")</f>
        <v>W</v>
      </c>
      <c r="Y103" s="2">
        <v>206</v>
      </c>
      <c r="Z103" s="3" t="str">
        <f>IFERROR(MID(VLOOKUP($B103,Seqs!$A:$B,2,FALSE),AA103,1),"")</f>
        <v>G</v>
      </c>
      <c r="AA103" s="2">
        <v>213</v>
      </c>
      <c r="AB103" s="3" t="str">
        <f>IFERROR(MID(VLOOKUP($B103,Seqs!$A:$B,2,FALSE),AC103,1),"")</f>
        <v>P</v>
      </c>
      <c r="AC103" s="2">
        <v>215</v>
      </c>
      <c r="AD103" s="3" t="str">
        <f>IFERROR(MID(VLOOKUP($B103,Seqs!$A:$B,2,FALSE),AE103,1),"")</f>
        <v>F</v>
      </c>
      <c r="AE103" s="2">
        <v>240</v>
      </c>
      <c r="AF103" s="3" t="str">
        <f>IFERROR(MID(VLOOKUP($B103,Seqs!$A:$B,2,FALSE),AG103,1),"")</f>
        <v>C</v>
      </c>
      <c r="AG103" s="2">
        <v>255</v>
      </c>
      <c r="AH103" s="3" t="str">
        <f>IFERROR(MID(VLOOKUP($B103,Seqs!$A:$B,2,FALSE),AI103,1),"")</f>
        <v>L</v>
      </c>
      <c r="AI103" s="2">
        <v>257</v>
      </c>
      <c r="AJ103" s="3" t="str">
        <f>IFERROR(MID(VLOOKUP($B103,Seqs!$A:$B,2,FALSE),AK103,1),"")</f>
        <v>A</v>
      </c>
      <c r="AK103" s="2">
        <v>264</v>
      </c>
      <c r="AL103" s="3" t="str">
        <f>IFERROR(MID(VLOOKUP($B103,Seqs!$A:$B,2,FALSE),AM103,1),"")</f>
        <v>M</v>
      </c>
      <c r="AM103" s="2">
        <v>307</v>
      </c>
      <c r="AN103" s="3" t="str">
        <f>IFERROR(MID(VLOOKUP($B103,Seqs!$A:$B,2,FALSE),AO103,1),"")</f>
        <v>N</v>
      </c>
      <c r="AO103" s="2">
        <v>312</v>
      </c>
      <c r="AP103" s="3" t="str">
        <f>IFERROR(MID(VLOOKUP($B103,Seqs!$A:$B,2,FALSE),AQ103,1),"")</f>
        <v>Y</v>
      </c>
      <c r="AQ103" s="2">
        <v>350</v>
      </c>
      <c r="AR103" s="3" t="str">
        <f>IFERROR(MID(VLOOKUP($B103,Seqs!$A:$B,2,FALSE),AS103,1),"")</f>
        <v>R</v>
      </c>
      <c r="AS103" s="2">
        <v>357</v>
      </c>
      <c r="AT103" s="3" t="str">
        <f>IFERROR(MID(VLOOKUP($B103,Seqs!$A:$B,2,FALSE),AU103,1),"")</f>
        <v>V</v>
      </c>
      <c r="AU103" s="2">
        <v>389</v>
      </c>
      <c r="AV103" s="3" t="str">
        <f>IFERROR(MID(VLOOKUP($B103,Seqs!$A:$B,2,FALSE),AW103,1),"")</f>
        <v>S</v>
      </c>
      <c r="AW103" s="2">
        <v>390</v>
      </c>
      <c r="AX103" s="3" t="str">
        <f>IFERROR(MID(VLOOKUP($B103,Seqs!$A:$B,2,FALSE),AY103,1),"")</f>
        <v>C</v>
      </c>
      <c r="AY103" s="2">
        <v>403</v>
      </c>
      <c r="AZ103" s="83" t="str">
        <f>VLOOKUP(B103,Classification!A:D,2,FALSE)</f>
        <v>A</v>
      </c>
      <c r="BD103" s="103"/>
      <c r="BE103" s="114"/>
      <c r="BF103" s="114"/>
      <c r="BG103" s="114"/>
      <c r="BH103" s="114"/>
      <c r="BI103" s="114"/>
      <c r="BJ103" s="114"/>
      <c r="BK103" s="114"/>
      <c r="BL103" s="114"/>
      <c r="BM103" s="114"/>
      <c r="BN103" s="114"/>
      <c r="BO103" s="114"/>
      <c r="BP103" s="114"/>
      <c r="BQ103" s="114"/>
      <c r="BR103" s="114"/>
      <c r="BS103" s="114"/>
      <c r="BT103" s="114"/>
      <c r="BU103" s="114"/>
      <c r="BV103" s="114"/>
      <c r="BW103" s="114"/>
      <c r="BX103" s="114"/>
      <c r="BY103" s="114"/>
      <c r="BZ103" s="114"/>
      <c r="CA103" s="114"/>
      <c r="CB103" s="114"/>
      <c r="CC103" s="114"/>
      <c r="CD103" s="114"/>
      <c r="CE103" s="114"/>
      <c r="CF103" s="114"/>
      <c r="CG103" s="114"/>
      <c r="CH103" s="114"/>
      <c r="CI103" s="114"/>
      <c r="CJ103" s="114"/>
      <c r="CK103" s="114"/>
      <c r="CL103" s="114"/>
      <c r="CM103" s="114"/>
      <c r="CN103" s="114"/>
    </row>
    <row r="104" spans="1:93" s="2" customFormat="1" x14ac:dyDescent="0.2">
      <c r="A104" s="2" t="s">
        <v>1559</v>
      </c>
      <c r="B104" s="2" t="s">
        <v>390</v>
      </c>
      <c r="C104" s="2" t="s">
        <v>1560</v>
      </c>
      <c r="D104" s="3" t="str">
        <f>IFERROR(MID(VLOOKUP($B104,Seqs!$A:$B,2,FALSE),E104,1),"")</f>
        <v>Q</v>
      </c>
      <c r="E104" s="2">
        <v>91</v>
      </c>
      <c r="F104" s="3" t="str">
        <f>IFERROR(MID(VLOOKUP($B104,Seqs!$A:$B,2,FALSE),G104,1),"")</f>
        <v>N</v>
      </c>
      <c r="G104" s="2">
        <v>129</v>
      </c>
      <c r="H104" s="3" t="str">
        <f>IFERROR(MID(VLOOKUP($B104,Seqs!$A:$B,2,FALSE),I104,1),"")</f>
        <v>K</v>
      </c>
      <c r="I104" s="113">
        <v>130</v>
      </c>
      <c r="J104" s="3" t="str">
        <f>IFERROR(MID(VLOOKUP($B104,Seqs!$A:$B,2,FALSE),K104,1),"")</f>
        <v>N</v>
      </c>
      <c r="K104" s="113">
        <v>134</v>
      </c>
      <c r="L104" s="3" t="str">
        <f>IFERROR(MID(VLOOKUP($B104,Seqs!$A:$B,2,FALSE),M104,1),"")</f>
        <v>G</v>
      </c>
      <c r="M104" s="2">
        <v>135</v>
      </c>
      <c r="N104" s="3" t="str">
        <f>IFERROR(MID(VLOOKUP($B104,Seqs!$A:$B,2,FALSE),O104,1),"")</f>
        <v>A</v>
      </c>
      <c r="O104" s="2">
        <v>164</v>
      </c>
      <c r="P104" s="3" t="str">
        <f>IFERROR(MID(VLOOKUP($B104,Seqs!$A:$B,2,FALSE),Q104,1),"")</f>
        <v>D</v>
      </c>
      <c r="Q104" s="2">
        <v>166</v>
      </c>
      <c r="R104" s="3" t="str">
        <f>IFERROR(MID(VLOOKUP($B104,Seqs!$A:$B,2,FALSE),S104,1),"")</f>
        <v>F</v>
      </c>
      <c r="S104" s="2">
        <v>169</v>
      </c>
      <c r="T104" s="3" t="str">
        <f>IFERROR(MID(VLOOKUP($B104,Seqs!$A:$B,2,FALSE),U104,1),"")</f>
        <v>G</v>
      </c>
      <c r="U104" s="4">
        <v>170</v>
      </c>
      <c r="V104" s="3" t="str">
        <f>IFERROR(MID(VLOOKUP($B104,Seqs!$A:$B,2,FALSE),W104,1),"")</f>
        <v>S</v>
      </c>
      <c r="W104" s="2">
        <v>205</v>
      </c>
      <c r="X104" s="3" t="str">
        <f>IFERROR(MID(VLOOKUP($B104,Seqs!$A:$B,2,FALSE),Y104,1),"")</f>
        <v/>
      </c>
      <c r="Y104" s="2" t="s">
        <v>129</v>
      </c>
      <c r="Z104" s="3" t="str">
        <f>IFERROR(MID(VLOOKUP($B104,Seqs!$A:$B,2,FALSE),AA104,1),"")</f>
        <v/>
      </c>
      <c r="AA104" s="2" t="s">
        <v>129</v>
      </c>
      <c r="AB104" s="3" t="str">
        <f>IFERROR(MID(VLOOKUP($B104,Seqs!$A:$B,2,FALSE),AC104,1),"")</f>
        <v>P</v>
      </c>
      <c r="AC104" s="2">
        <v>215</v>
      </c>
      <c r="AD104" s="3" t="str">
        <f>IFERROR(MID(VLOOKUP($B104,Seqs!$A:$B,2,FALSE),AE104,1),"")</f>
        <v>F</v>
      </c>
      <c r="AE104" s="2">
        <v>240</v>
      </c>
      <c r="AF104" s="3" t="str">
        <f>IFERROR(MID(VLOOKUP($B104,Seqs!$A:$B,2,FALSE),AG104,1),"")</f>
        <v>C</v>
      </c>
      <c r="AG104" s="2">
        <v>255</v>
      </c>
      <c r="AH104" s="3" t="str">
        <f>IFERROR(MID(VLOOKUP($B104,Seqs!$A:$B,2,FALSE),AI104,1),"")</f>
        <v>L</v>
      </c>
      <c r="AI104" s="2">
        <v>257</v>
      </c>
      <c r="AJ104" s="3" t="str">
        <f>IFERROR(MID(VLOOKUP($B104,Seqs!$A:$B,2,FALSE),AK104,1),"")</f>
        <v>A</v>
      </c>
      <c r="AK104" s="2">
        <v>264</v>
      </c>
      <c r="AL104" s="3" t="str">
        <f>IFERROR(MID(VLOOKUP($B104,Seqs!$A:$B,2,FALSE),AM104,1),"")</f>
        <v>K</v>
      </c>
      <c r="AM104" s="2">
        <v>303</v>
      </c>
      <c r="AN104" s="3" t="str">
        <f>IFERROR(MID(VLOOKUP($B104,Seqs!$A:$B,2,FALSE),AO104,1),"")</f>
        <v>N</v>
      </c>
      <c r="AO104" s="2">
        <v>312</v>
      </c>
      <c r="AP104" s="3" t="str">
        <f>IFERROR(MID(VLOOKUP($B104,Seqs!$A:$B,2,FALSE),AQ104,1),"")</f>
        <v>Y</v>
      </c>
      <c r="AQ104" s="2">
        <v>350</v>
      </c>
      <c r="AR104" s="3" t="str">
        <f>IFERROR(MID(VLOOKUP($B104,Seqs!$A:$B,2,FALSE),AS104,1),"")</f>
        <v>R</v>
      </c>
      <c r="AS104" s="2">
        <v>357</v>
      </c>
      <c r="AT104" s="3" t="str">
        <f>IFERROR(MID(VLOOKUP($B104,Seqs!$A:$B,2,FALSE),AU104,1),"")</f>
        <v>V</v>
      </c>
      <c r="AU104" s="2">
        <v>389</v>
      </c>
      <c r="AV104" s="3" t="str">
        <f>IFERROR(MID(VLOOKUP($B104,Seqs!$A:$B,2,FALSE),AW104,1),"")</f>
        <v>S</v>
      </c>
      <c r="AW104" s="2">
        <v>390</v>
      </c>
      <c r="AX104" s="3" t="str">
        <f>IFERROR(MID(VLOOKUP($B104,Seqs!$A:$B,2,FALSE),AY104,1),"")</f>
        <v>C</v>
      </c>
      <c r="AY104" s="2">
        <v>403</v>
      </c>
      <c r="AZ104" s="83" t="str">
        <f>VLOOKUP(B104,Classification!A:D,2,FALSE)</f>
        <v>A</v>
      </c>
      <c r="BD104" s="103"/>
      <c r="BE104" s="114"/>
      <c r="BF104" s="114"/>
      <c r="BG104" s="114"/>
      <c r="BH104" s="114"/>
      <c r="BI104" s="114"/>
      <c r="BJ104" s="114"/>
      <c r="BK104" s="114"/>
      <c r="BL104" s="114"/>
      <c r="BM104" s="114"/>
      <c r="BN104" s="114"/>
      <c r="BO104" s="114"/>
      <c r="BP104" s="114"/>
      <c r="BQ104" s="114"/>
      <c r="BR104" s="114"/>
      <c r="BS104" s="114"/>
      <c r="BT104" s="114"/>
      <c r="BU104" s="114"/>
      <c r="BV104" s="114"/>
      <c r="BW104" s="114"/>
      <c r="BX104" s="114"/>
      <c r="BY104" s="114"/>
      <c r="BZ104" s="114"/>
      <c r="CA104" s="114"/>
      <c r="CB104" s="114"/>
      <c r="CC104" s="114"/>
      <c r="CD104" s="114"/>
      <c r="CE104" s="114"/>
      <c r="CF104" s="114"/>
      <c r="CG104" s="114"/>
      <c r="CH104" s="114"/>
      <c r="CI104" s="114"/>
      <c r="CJ104" s="114"/>
      <c r="CK104" s="114"/>
      <c r="CL104" s="114"/>
      <c r="CM104" s="114"/>
      <c r="CN104" s="114"/>
    </row>
    <row r="105" spans="1:93" s="2" customFormat="1" x14ac:dyDescent="0.2">
      <c r="A105" s="2" t="s">
        <v>1566</v>
      </c>
      <c r="B105" s="2" t="s">
        <v>390</v>
      </c>
      <c r="C105" s="2" t="s">
        <v>1561</v>
      </c>
      <c r="D105" s="3" t="str">
        <f>IFERROR(MID(VLOOKUP($B105,Seqs!$A:$B,2,FALSE),E105,1),"")</f>
        <v>K</v>
      </c>
      <c r="E105" s="2">
        <v>97</v>
      </c>
      <c r="F105" s="3" t="str">
        <f>IFERROR(MID(VLOOKUP($B105,Seqs!$A:$B,2,FALSE),G105,1),"")</f>
        <v>N</v>
      </c>
      <c r="G105" s="2">
        <v>129</v>
      </c>
      <c r="H105" s="3" t="str">
        <f>IFERROR(MID(VLOOKUP($B105,Seqs!$A:$B,2,FALSE),I105,1),"")</f>
        <v/>
      </c>
      <c r="I105" s="113" t="s">
        <v>129</v>
      </c>
      <c r="J105" s="3" t="str">
        <f>IFERROR(MID(VLOOKUP($B105,Seqs!$A:$B,2,FALSE),K105,1),"")</f>
        <v/>
      </c>
      <c r="K105" s="113" t="s">
        <v>129</v>
      </c>
      <c r="L105" s="3" t="str">
        <f>IFERROR(MID(VLOOKUP($B105,Seqs!$A:$B,2,FALSE),M105,1),"")</f>
        <v>P</v>
      </c>
      <c r="M105" s="2">
        <v>136</v>
      </c>
      <c r="N105" s="3" t="str">
        <f>IFERROR(MID(VLOOKUP($B105,Seqs!$A:$B,2,FALSE),O105,1),"")</f>
        <v>A</v>
      </c>
      <c r="O105" s="2">
        <v>164</v>
      </c>
      <c r="P105" s="3" t="str">
        <f>IFERROR(MID(VLOOKUP($B105,Seqs!$A:$B,2,FALSE),Q105,1),"")</f>
        <v>D</v>
      </c>
      <c r="Q105" s="2">
        <v>166</v>
      </c>
      <c r="R105" s="3" t="str">
        <f>IFERROR(MID(VLOOKUP($B105,Seqs!$A:$B,2,FALSE),S105,1),"")</f>
        <v>F</v>
      </c>
      <c r="S105" s="2">
        <v>169</v>
      </c>
      <c r="T105" s="3" t="str">
        <f>IFERROR(MID(VLOOKUP($B105,Seqs!$A:$B,2,FALSE),U105,1),"")</f>
        <v>G</v>
      </c>
      <c r="U105" s="4">
        <v>170</v>
      </c>
      <c r="V105" s="3" t="str">
        <f>IFERROR(MID(VLOOKUP($B105,Seqs!$A:$B,2,FALSE),W105,1),"")</f>
        <v>S</v>
      </c>
      <c r="W105" s="2">
        <v>205</v>
      </c>
      <c r="X105" s="3" t="str">
        <f>IFERROR(MID(VLOOKUP($B105,Seqs!$A:$B,2,FALSE),Y105,1),"")</f>
        <v/>
      </c>
      <c r="Y105" s="2" t="s">
        <v>129</v>
      </c>
      <c r="Z105" s="3" t="str">
        <f>IFERROR(MID(VLOOKUP($B105,Seqs!$A:$B,2,FALSE),AA105,1),"")</f>
        <v/>
      </c>
      <c r="AA105" s="2" t="s">
        <v>129</v>
      </c>
      <c r="AB105" s="3" t="str">
        <f>IFERROR(MID(VLOOKUP($B105,Seqs!$A:$B,2,FALSE),AC105,1),"")</f>
        <v>T</v>
      </c>
      <c r="AC105" s="2">
        <v>218</v>
      </c>
      <c r="AD105" s="3" t="str">
        <f>IFERROR(MID(VLOOKUP($B105,Seqs!$A:$B,2,FALSE),AE105,1),"")</f>
        <v>F</v>
      </c>
      <c r="AE105" s="2">
        <v>240</v>
      </c>
      <c r="AF105" s="3" t="str">
        <f>IFERROR(MID(VLOOKUP($B105,Seqs!$A:$B,2,FALSE),AG105,1),"")</f>
        <v>C</v>
      </c>
      <c r="AG105" s="2">
        <v>255</v>
      </c>
      <c r="AH105" s="3" t="str">
        <f>IFERROR(MID(VLOOKUP($B105,Seqs!$A:$B,2,FALSE),AI105,1),"")</f>
        <v>L</v>
      </c>
      <c r="AI105" s="2">
        <v>257</v>
      </c>
      <c r="AJ105" s="3" t="str">
        <f>IFERROR(MID(VLOOKUP($B105,Seqs!$A:$B,2,FALSE),AK105,1),"")</f>
        <v>A</v>
      </c>
      <c r="AK105" s="2">
        <v>264</v>
      </c>
      <c r="AL105" s="3" t="str">
        <f>IFERROR(MID(VLOOKUP($B105,Seqs!$A:$B,2,FALSE),AM105,1),"")</f>
        <v>K</v>
      </c>
      <c r="AM105" s="2">
        <v>303</v>
      </c>
      <c r="AN105" s="3" t="str">
        <f>IFERROR(MID(VLOOKUP($B105,Seqs!$A:$B,2,FALSE),AO105,1),"")</f>
        <v>N</v>
      </c>
      <c r="AO105" s="2">
        <v>312</v>
      </c>
      <c r="AP105" s="3" t="str">
        <f>IFERROR(MID(VLOOKUP($B105,Seqs!$A:$B,2,FALSE),AQ105,1),"")</f>
        <v>Y</v>
      </c>
      <c r="AQ105" s="2">
        <v>350</v>
      </c>
      <c r="AR105" s="3" t="str">
        <f>IFERROR(MID(VLOOKUP($B105,Seqs!$A:$B,2,FALSE),AS105,1),"")</f>
        <v>R</v>
      </c>
      <c r="AS105" s="2">
        <v>357</v>
      </c>
      <c r="AT105" s="3" t="str">
        <f>IFERROR(MID(VLOOKUP($B105,Seqs!$A:$B,2,FALSE),AU105,1),"")</f>
        <v>V</v>
      </c>
      <c r="AU105" s="2">
        <v>389</v>
      </c>
      <c r="AV105" s="3" t="str">
        <f>IFERROR(MID(VLOOKUP($B105,Seqs!$A:$B,2,FALSE),AW105,1),"")</f>
        <v>S</v>
      </c>
      <c r="AW105" s="2">
        <v>390</v>
      </c>
      <c r="AX105" s="3" t="str">
        <f>IFERROR(MID(VLOOKUP($B105,Seqs!$A:$B,2,FALSE),AY105,1),"")</f>
        <v>L</v>
      </c>
      <c r="AY105" s="2">
        <v>401</v>
      </c>
      <c r="AZ105" s="83" t="str">
        <f>VLOOKUP(B105,Classification!A:D,2,FALSE)</f>
        <v>A</v>
      </c>
      <c r="BD105" s="103"/>
      <c r="BE105" s="114"/>
      <c r="BF105" s="114"/>
      <c r="BG105" s="114"/>
      <c r="BH105" s="114"/>
      <c r="BI105" s="114"/>
      <c r="BJ105" s="114"/>
      <c r="BK105" s="114"/>
      <c r="BL105" s="114"/>
      <c r="BM105" s="114"/>
      <c r="BN105" s="114"/>
      <c r="BO105" s="114"/>
      <c r="BP105" s="114"/>
      <c r="BQ105" s="114"/>
      <c r="BR105" s="114"/>
      <c r="BS105" s="114"/>
      <c r="BT105" s="114"/>
      <c r="BU105" s="114"/>
      <c r="BV105" s="114"/>
      <c r="BW105" s="114"/>
      <c r="BX105" s="114"/>
      <c r="BY105" s="114"/>
      <c r="BZ105" s="114"/>
      <c r="CA105" s="114"/>
      <c r="CB105" s="114"/>
      <c r="CC105" s="114"/>
      <c r="CD105" s="114"/>
      <c r="CE105" s="114"/>
      <c r="CF105" s="114"/>
      <c r="CG105" s="114"/>
      <c r="CH105" s="114"/>
      <c r="CI105" s="114"/>
      <c r="CJ105" s="114"/>
      <c r="CK105" s="114"/>
      <c r="CL105" s="114"/>
      <c r="CM105" s="114"/>
      <c r="CN105" s="114"/>
    </row>
    <row r="106" spans="1:93" x14ac:dyDescent="0.2">
      <c r="A106" s="3" t="str">
        <f t="shared" si="119"/>
        <v>p2ry1_human__wt</v>
      </c>
      <c r="B106" s="3" t="s">
        <v>539</v>
      </c>
      <c r="C106" s="3" t="s">
        <v>294</v>
      </c>
      <c r="D106" s="3" t="str">
        <f>IFERROR(MID(VLOOKUP($B106,Seqs!$A:$B,2,FALSE),E106,1),"")</f>
        <v>F</v>
      </c>
      <c r="E106" s="3">
        <v>49</v>
      </c>
      <c r="F106" s="3" t="str">
        <f>IFERROR(MID(VLOOKUP($B106,Seqs!$A:$B,2,FALSE),G106,1),"")</f>
        <v>H</v>
      </c>
      <c r="G106" s="3">
        <v>79</v>
      </c>
      <c r="H106" s="3" t="str">
        <f>IFERROR(MID(VLOOKUP($B106,Seqs!$A:$B,2,FALSE),I106,1),"")</f>
        <v/>
      </c>
      <c r="I106" s="57" t="s">
        <v>129</v>
      </c>
      <c r="J106" s="3" t="str">
        <f>IFERROR(MID(VLOOKUP($B106,Seqs!$A:$B,2,FALSE),K106,1),"")</f>
        <v/>
      </c>
      <c r="K106" s="57" t="s">
        <v>129</v>
      </c>
      <c r="L106" s="3" t="str">
        <f>IFERROR(MID(VLOOKUP($B106,Seqs!$A:$B,2,FALSE),M106,1),"")</f>
        <v>S</v>
      </c>
      <c r="M106" s="3">
        <v>84</v>
      </c>
      <c r="N106" s="3" t="str">
        <f>IFERROR(MID(VLOOKUP($B106,Seqs!$A:$B,2,FALSE),O106,1),"")</f>
        <v>N</v>
      </c>
      <c r="O106" s="3">
        <v>113</v>
      </c>
      <c r="P106" s="3" t="str">
        <f>IFERROR(MID(VLOOKUP($B106,Seqs!$A:$B,2,FALSE),Q106,1),"")</f>
        <v>D</v>
      </c>
      <c r="Q106" s="3">
        <v>116</v>
      </c>
      <c r="R106" s="3" t="str">
        <f>IFERROR(MID(VLOOKUP($B106,Seqs!$A:$B,2,FALSE),S106,1),"")</f>
        <v>F</v>
      </c>
      <c r="S106" s="3">
        <v>119</v>
      </c>
      <c r="T106" s="3" t="str">
        <f>IFERROR(MID(VLOOKUP($B106,Seqs!$A:$B,2,FALSE),U106,1),"")</f>
        <v>G</v>
      </c>
      <c r="U106" s="3">
        <v>120</v>
      </c>
      <c r="V106" s="3" t="str">
        <f>IFERROR(MID(VLOOKUP($B106,Seqs!$A:$B,2,FALSE),W106,1),"")</f>
        <v>Y</v>
      </c>
      <c r="W106" s="3">
        <v>155</v>
      </c>
      <c r="X106" s="3" t="str">
        <f>IFERROR(MID(VLOOKUP($B106,Seqs!$A:$B,2,FALSE),Y106,1),"")</f>
        <v>P</v>
      </c>
      <c r="Y106" s="3">
        <v>156</v>
      </c>
      <c r="Z106" s="3" t="str">
        <f>IFERROR(MID(VLOOKUP($B106,Seqs!$A:$B,2,FALSE),AA106,1),"")</f>
        <v>L</v>
      </c>
      <c r="AA106" s="3">
        <v>163</v>
      </c>
      <c r="AB106" s="3" t="str">
        <f>IFERROR(MID(VLOOKUP($B106,Seqs!$A:$B,2,FALSE),AC106,1),"")</f>
        <v>K</v>
      </c>
      <c r="AC106" s="3">
        <v>165</v>
      </c>
      <c r="AD106" s="3" t="str">
        <f>IFERROR(MID(VLOOKUP($B106,Seqs!$A:$B,2,FALSE),AE106,1),"")</f>
        <v>S</v>
      </c>
      <c r="AE106" s="3">
        <v>190</v>
      </c>
      <c r="AF106" s="3" t="str">
        <f>IFERROR(MID(VLOOKUP($B106,Seqs!$A:$B,2,FALSE),AG106,1),"")</f>
        <v>C</v>
      </c>
      <c r="AG106" s="3">
        <v>202</v>
      </c>
      <c r="AH106" s="3" t="str">
        <f>IFERROR(MID(VLOOKUP($B106,Seqs!$A:$B,2,FALSE),AI106,1),"")</f>
        <v>D</v>
      </c>
      <c r="AI106" s="3">
        <v>204</v>
      </c>
      <c r="AJ106" s="3" t="str">
        <f>IFERROR(MID(VLOOKUP($B106,Seqs!$A:$B,2,FALSE),AK106,1),"")</f>
        <v>L</v>
      </c>
      <c r="AK106" s="3">
        <v>211</v>
      </c>
      <c r="AL106" s="3" t="str">
        <f>IFERROR(MID(VLOOKUP($B106,Seqs!$A:$B,2,FALSE),AM106,1),"")</f>
        <v>K</v>
      </c>
      <c r="AM106" s="3">
        <v>247</v>
      </c>
      <c r="AN106" s="3" t="str">
        <f>IFERROR(MID(VLOOKUP($B106,Seqs!$A:$B,2,FALSE),AO106,1),"")</f>
        <v>P</v>
      </c>
      <c r="AO106" s="3">
        <v>253</v>
      </c>
      <c r="AP106" s="3" t="str">
        <f>IFERROR(MID(VLOOKUP($B106,Seqs!$A:$B,2,FALSE),AQ106,1),"")</f>
        <v>D</v>
      </c>
      <c r="AQ106" s="3">
        <v>289</v>
      </c>
      <c r="AR106" s="3" t="str">
        <f>IFERROR(MID(VLOOKUP($B106,Seqs!$A:$B,2,FALSE),AS106,1),"")</f>
        <v>M</v>
      </c>
      <c r="AS106" s="3">
        <v>295</v>
      </c>
      <c r="AT106" s="3" t="str">
        <f>IFERROR(MID(VLOOKUP($B106,Seqs!$A:$B,2,FALSE),AU106,1),"")</f>
        <v>A</v>
      </c>
      <c r="AU106" s="3">
        <v>327</v>
      </c>
      <c r="AV106" s="3" t="str">
        <f>IFERROR(MID(VLOOKUP($B106,Seqs!$A:$B,2,FALSE),AW106,1),"")</f>
        <v>G</v>
      </c>
      <c r="AW106" s="3">
        <v>328</v>
      </c>
      <c r="AX106" s="3" t="str">
        <f>IFERROR(MID(VLOOKUP($B106,Seqs!$A:$B,2,FALSE),AY106,1),"")</f>
        <v>R</v>
      </c>
      <c r="AY106" s="3">
        <v>340</v>
      </c>
      <c r="AZ106" s="83" t="str">
        <f>VLOOKUP(B106,Classification!A:D,2,FALSE)</f>
        <v>A</v>
      </c>
      <c r="BB106" s="82">
        <f>S106-Q106+1</f>
        <v>4</v>
      </c>
      <c r="BC106" s="57">
        <f t="shared" si="120"/>
        <v>259</v>
      </c>
      <c r="BD106" s="63" t="b">
        <f t="shared" si="121"/>
        <v>1</v>
      </c>
      <c r="BE106" s="68" t="s">
        <v>1514</v>
      </c>
      <c r="BF106" s="75" t="s">
        <v>1514</v>
      </c>
      <c r="BG106" s="75" t="s">
        <v>1514</v>
      </c>
      <c r="BH106" s="75" t="s">
        <v>1514</v>
      </c>
      <c r="BI106" s="75" t="s">
        <v>1514</v>
      </c>
      <c r="BJ106" s="75" t="s">
        <v>1514</v>
      </c>
      <c r="BK106" s="75" t="s">
        <v>1514</v>
      </c>
      <c r="BL106" s="75" t="s">
        <v>1514</v>
      </c>
      <c r="BM106" s="75" t="s">
        <v>1514</v>
      </c>
      <c r="BN106" s="75" t="s">
        <v>1514</v>
      </c>
      <c r="BO106" s="75" t="s">
        <v>1514</v>
      </c>
      <c r="BP106" s="75" t="s">
        <v>1514</v>
      </c>
      <c r="BQ106" s="68">
        <f t="shared" si="122"/>
        <v>49</v>
      </c>
      <c r="BR106" s="69" t="str">
        <f t="shared" si="123"/>
        <v>-</v>
      </c>
      <c r="BS106" s="70">
        <f t="shared" si="124"/>
        <v>84</v>
      </c>
      <c r="BT106" s="69">
        <f t="shared" si="125"/>
        <v>116</v>
      </c>
      <c r="BU106" s="70">
        <f t="shared" si="126"/>
        <v>120</v>
      </c>
      <c r="BV106" s="69">
        <f t="shared" si="127"/>
        <v>156</v>
      </c>
      <c r="BW106" s="70">
        <f t="shared" si="128"/>
        <v>165</v>
      </c>
      <c r="BX106" s="69">
        <f t="shared" si="129"/>
        <v>202</v>
      </c>
      <c r="BY106" s="70">
        <f t="shared" si="130"/>
        <v>211</v>
      </c>
      <c r="BZ106" s="69">
        <f t="shared" si="131"/>
        <v>253</v>
      </c>
      <c r="CA106" s="70">
        <f t="shared" si="132"/>
        <v>295</v>
      </c>
      <c r="CB106" s="69">
        <f t="shared" si="133"/>
        <v>328</v>
      </c>
      <c r="CC106" s="68">
        <f t="shared" si="134"/>
        <v>79</v>
      </c>
      <c r="CD106" s="69" t="str">
        <f t="shared" si="135"/>
        <v>-</v>
      </c>
      <c r="CE106" s="70">
        <f t="shared" si="136"/>
        <v>113</v>
      </c>
      <c r="CF106" s="70">
        <f t="shared" si="137"/>
        <v>119</v>
      </c>
      <c r="CG106" s="70">
        <f t="shared" si="138"/>
        <v>155</v>
      </c>
      <c r="CH106" s="70">
        <f t="shared" si="139"/>
        <v>163</v>
      </c>
      <c r="CI106" s="70">
        <f t="shared" si="140"/>
        <v>190</v>
      </c>
      <c r="CJ106" s="70">
        <f t="shared" si="141"/>
        <v>204</v>
      </c>
      <c r="CK106" s="70">
        <f t="shared" si="142"/>
        <v>247</v>
      </c>
      <c r="CL106" s="70">
        <f t="shared" si="143"/>
        <v>289</v>
      </c>
      <c r="CM106" s="70">
        <f t="shared" si="144"/>
        <v>327</v>
      </c>
      <c r="CN106" s="70">
        <f t="shared" si="145"/>
        <v>340</v>
      </c>
      <c r="CO106" s="57" t="e">
        <f t="shared" si="118"/>
        <v>#VALUE!</v>
      </c>
    </row>
    <row r="107" spans="1:93" x14ac:dyDescent="0.2">
      <c r="A107" s="3" t="str">
        <f t="shared" si="119"/>
        <v>p2ry1_human_4XNV</v>
      </c>
      <c r="B107" s="3" t="s">
        <v>539</v>
      </c>
      <c r="C107" s="3" t="s">
        <v>1371</v>
      </c>
      <c r="D107" s="3" t="str">
        <f>IFERROR(MID(VLOOKUP($B107,Seqs!$A:$B,2,FALSE),E107,1),"")</f>
        <v>F</v>
      </c>
      <c r="E107" s="3">
        <v>49</v>
      </c>
      <c r="F107" s="3" t="str">
        <f>IFERROR(MID(VLOOKUP($B107,Seqs!$A:$B,2,FALSE),G107,1),"")</f>
        <v>H</v>
      </c>
      <c r="G107" s="3">
        <v>79</v>
      </c>
      <c r="H107" s="3" t="str">
        <f>IFERROR(MID(VLOOKUP($B107,Seqs!$A:$B,2,FALSE),I107,1),"")</f>
        <v/>
      </c>
      <c r="I107" s="57" t="s">
        <v>129</v>
      </c>
      <c r="J107" s="3" t="str">
        <f>IFERROR(MID(VLOOKUP($B107,Seqs!$A:$B,2,FALSE),K107,1),"")</f>
        <v/>
      </c>
      <c r="K107" s="57" t="s">
        <v>129</v>
      </c>
      <c r="L107" s="3" t="str">
        <f>IFERROR(MID(VLOOKUP($B107,Seqs!$A:$B,2,FALSE),M107,1),"")</f>
        <v>S</v>
      </c>
      <c r="M107" s="3">
        <v>84</v>
      </c>
      <c r="N107" s="3" t="str">
        <f>IFERROR(MID(VLOOKUP($B107,Seqs!$A:$B,2,FALSE),O107,1),"")</f>
        <v>N</v>
      </c>
      <c r="O107" s="3">
        <v>113</v>
      </c>
      <c r="P107" s="3" t="str">
        <f>IFERROR(MID(VLOOKUP($B107,Seqs!$A:$B,2,FALSE),Q107,1),"")</f>
        <v>D</v>
      </c>
      <c r="Q107" s="3">
        <v>116</v>
      </c>
      <c r="R107" s="3" t="str">
        <f>IFERROR(MID(VLOOKUP($B107,Seqs!$A:$B,2,FALSE),S107,1),"")</f>
        <v>F</v>
      </c>
      <c r="S107" s="3">
        <v>119</v>
      </c>
      <c r="T107" s="3" t="str">
        <f>IFERROR(MID(VLOOKUP($B107,Seqs!$A:$B,2,FALSE),U107,1),"")</f>
        <v>G</v>
      </c>
      <c r="U107" s="3">
        <v>120</v>
      </c>
      <c r="V107" s="3" t="str">
        <f>IFERROR(MID(VLOOKUP($B107,Seqs!$A:$B,2,FALSE),W107,1),"")</f>
        <v>Y</v>
      </c>
      <c r="W107" s="3">
        <v>155</v>
      </c>
      <c r="X107" s="3" t="str">
        <f>IFERROR(MID(VLOOKUP($B107,Seqs!$A:$B,2,FALSE),Y107,1),"")</f>
        <v/>
      </c>
      <c r="Y107" s="3" t="s">
        <v>129</v>
      </c>
      <c r="Z107" s="3" t="str">
        <f>IFERROR(MID(VLOOKUP($B107,Seqs!$A:$B,2,FALSE),AA107,1),"")</f>
        <v/>
      </c>
      <c r="AA107" s="3" t="s">
        <v>129</v>
      </c>
      <c r="AB107" s="3" t="str">
        <f>IFERROR(MID(VLOOKUP($B107,Seqs!$A:$B,2,FALSE),AC107,1),"")</f>
        <v>G</v>
      </c>
      <c r="AC107" s="3">
        <v>161</v>
      </c>
      <c r="AD107" s="3" t="str">
        <f>IFERROR(MID(VLOOKUP($B107,Seqs!$A:$B,2,FALSE),AE107,1),"")</f>
        <v>S</v>
      </c>
      <c r="AE107" s="3">
        <v>190</v>
      </c>
      <c r="AF107" s="3" t="str">
        <f>IFERROR(MID(VLOOKUP($B107,Seqs!$A:$B,2,FALSE),AG107,1),"")</f>
        <v>C</v>
      </c>
      <c r="AG107" s="3">
        <v>202</v>
      </c>
      <c r="AH107" s="3" t="str">
        <f>IFERROR(MID(VLOOKUP($B107,Seqs!$A:$B,2,FALSE),AI107,1),"")</f>
        <v>D</v>
      </c>
      <c r="AI107" s="3">
        <v>204</v>
      </c>
      <c r="AJ107" s="3" t="str">
        <f>IFERROR(MID(VLOOKUP($B107,Seqs!$A:$B,2,FALSE),AK107,1),"")</f>
        <v>L</v>
      </c>
      <c r="AK107" s="3">
        <v>211</v>
      </c>
      <c r="AL107" s="3" t="str">
        <f>IFERROR(MID(VLOOKUP($B107,Seqs!$A:$B,2,FALSE),AM107,1),"")</f>
        <v>K</v>
      </c>
      <c r="AM107" s="3">
        <v>247</v>
      </c>
      <c r="AN107" s="3" t="str">
        <f>IFERROR(MID(VLOOKUP($B107,Seqs!$A:$B,2,FALSE),AO107,1),"")</f>
        <v>P</v>
      </c>
      <c r="AO107" s="3">
        <v>253</v>
      </c>
      <c r="AP107" s="3" t="str">
        <f>IFERROR(MID(VLOOKUP($B107,Seqs!$A:$B,2,FALSE),AQ107,1),"")</f>
        <v>D</v>
      </c>
      <c r="AQ107" s="3">
        <v>289</v>
      </c>
      <c r="AR107" s="3" t="str">
        <f>IFERROR(MID(VLOOKUP($B107,Seqs!$A:$B,2,FALSE),AS107,1),"")</f>
        <v>M</v>
      </c>
      <c r="AS107" s="3">
        <v>295</v>
      </c>
      <c r="AT107" s="3" t="str">
        <f>IFERROR(MID(VLOOKUP($B107,Seqs!$A:$B,2,FALSE),AU107,1),"")</f>
        <v>L</v>
      </c>
      <c r="AU107" s="3">
        <v>326</v>
      </c>
      <c r="AV107" s="3" t="str">
        <f>IFERROR(MID(VLOOKUP($B107,Seqs!$A:$B,2,FALSE),AW107,1),"")</f>
        <v/>
      </c>
      <c r="AW107" s="3" t="s">
        <v>129</v>
      </c>
      <c r="AX107" s="3" t="str">
        <f>IFERROR(MID(VLOOKUP($B107,Seqs!$A:$B,2,FALSE),AY107,1),"")</f>
        <v/>
      </c>
      <c r="AY107" s="3" t="s">
        <v>129</v>
      </c>
      <c r="AZ107" s="83" t="str">
        <f>VLOOKUP(B107,Classification!A:D,2,FALSE)</f>
        <v>A</v>
      </c>
      <c r="BA107" s="3" t="s">
        <v>1388</v>
      </c>
      <c r="BC107" s="57">
        <f t="shared" si="120"/>
        <v>243</v>
      </c>
      <c r="BD107" s="63" t="b">
        <f t="shared" si="121"/>
        <v>1</v>
      </c>
      <c r="BE107" s="68" t="s">
        <v>1514</v>
      </c>
      <c r="BF107" s="75" t="s">
        <v>1514</v>
      </c>
      <c r="BG107" s="75" t="s">
        <v>1514</v>
      </c>
      <c r="BH107" s="75" t="s">
        <v>1514</v>
      </c>
      <c r="BI107" s="75" t="s">
        <v>1514</v>
      </c>
      <c r="BJ107" s="75" t="s">
        <v>1514</v>
      </c>
      <c r="BK107" s="75" t="s">
        <v>1514</v>
      </c>
      <c r="BL107" s="75" t="s">
        <v>1514</v>
      </c>
      <c r="BM107" s="75" t="s">
        <v>1514</v>
      </c>
      <c r="BN107" s="75" t="s">
        <v>1514</v>
      </c>
      <c r="BO107" s="75" t="s">
        <v>1514</v>
      </c>
      <c r="BP107" s="75" t="s">
        <v>1514</v>
      </c>
      <c r="BQ107" s="68">
        <f t="shared" si="122"/>
        <v>49</v>
      </c>
      <c r="BR107" s="69" t="str">
        <f t="shared" si="123"/>
        <v>-</v>
      </c>
      <c r="BS107" s="70">
        <f t="shared" si="124"/>
        <v>84</v>
      </c>
      <c r="BT107" s="69">
        <f t="shared" si="125"/>
        <v>116</v>
      </c>
      <c r="BU107" s="70">
        <f t="shared" si="126"/>
        <v>120</v>
      </c>
      <c r="BV107" s="69" t="str">
        <f t="shared" si="127"/>
        <v>-</v>
      </c>
      <c r="BW107" s="70">
        <f t="shared" si="128"/>
        <v>161</v>
      </c>
      <c r="BX107" s="69">
        <f t="shared" si="129"/>
        <v>202</v>
      </c>
      <c r="BY107" s="70">
        <f t="shared" si="130"/>
        <v>211</v>
      </c>
      <c r="BZ107" s="69">
        <f t="shared" si="131"/>
        <v>253</v>
      </c>
      <c r="CA107" s="70">
        <f t="shared" si="132"/>
        <v>295</v>
      </c>
      <c r="CB107" s="69" t="str">
        <f t="shared" si="133"/>
        <v>-</v>
      </c>
      <c r="CC107" s="68">
        <f t="shared" si="134"/>
        <v>79</v>
      </c>
      <c r="CD107" s="69" t="str">
        <f t="shared" si="135"/>
        <v>-</v>
      </c>
      <c r="CE107" s="70">
        <f t="shared" si="136"/>
        <v>113</v>
      </c>
      <c r="CF107" s="70">
        <f t="shared" si="137"/>
        <v>119</v>
      </c>
      <c r="CG107" s="70">
        <f t="shared" si="138"/>
        <v>155</v>
      </c>
      <c r="CH107" s="70" t="str">
        <f t="shared" si="139"/>
        <v>-</v>
      </c>
      <c r="CI107" s="70">
        <f t="shared" si="140"/>
        <v>190</v>
      </c>
      <c r="CJ107" s="70">
        <f t="shared" si="141"/>
        <v>204</v>
      </c>
      <c r="CK107" s="70">
        <f t="shared" si="142"/>
        <v>247</v>
      </c>
      <c r="CL107" s="70">
        <f t="shared" si="143"/>
        <v>289</v>
      </c>
      <c r="CM107" s="70">
        <f t="shared" si="144"/>
        <v>326</v>
      </c>
      <c r="CN107" s="70" t="str">
        <f t="shared" si="145"/>
        <v>-</v>
      </c>
      <c r="CO107" s="57" t="e">
        <f t="shared" si="118"/>
        <v>#VALUE!</v>
      </c>
    </row>
    <row r="108" spans="1:93" x14ac:dyDescent="0.2">
      <c r="A108" s="3" t="str">
        <f t="shared" si="119"/>
        <v>p2ry1_human_4XNW</v>
      </c>
      <c r="B108" s="3" t="s">
        <v>539</v>
      </c>
      <c r="C108" s="3" t="s">
        <v>1262</v>
      </c>
      <c r="D108" s="3" t="str">
        <f>IFERROR(MID(VLOOKUP($B108,Seqs!$A:$B,2,FALSE),E108,1),"")</f>
        <v>F</v>
      </c>
      <c r="E108" s="3">
        <v>49</v>
      </c>
      <c r="F108" s="3" t="str">
        <f>IFERROR(MID(VLOOKUP($B108,Seqs!$A:$B,2,FALSE),G108,1),"")</f>
        <v>H</v>
      </c>
      <c r="G108" s="3">
        <v>79</v>
      </c>
      <c r="H108" s="3" t="str">
        <f>IFERROR(MID(VLOOKUP($B108,Seqs!$A:$B,2,FALSE),I108,1),"")</f>
        <v/>
      </c>
      <c r="I108" s="57" t="s">
        <v>129</v>
      </c>
      <c r="J108" s="3" t="str">
        <f>IFERROR(MID(VLOOKUP($B108,Seqs!$A:$B,2,FALSE),K108,1),"")</f>
        <v/>
      </c>
      <c r="K108" s="57" t="s">
        <v>129</v>
      </c>
      <c r="L108" s="3" t="str">
        <f>IFERROR(MID(VLOOKUP($B108,Seqs!$A:$B,2,FALSE),M108,1),"")</f>
        <v>S</v>
      </c>
      <c r="M108" s="3">
        <v>84</v>
      </c>
      <c r="N108" s="3" t="str">
        <f>IFERROR(MID(VLOOKUP($B108,Seqs!$A:$B,2,FALSE),O108,1),"")</f>
        <v>N</v>
      </c>
      <c r="O108" s="3">
        <v>113</v>
      </c>
      <c r="P108" s="3" t="str">
        <f>IFERROR(MID(VLOOKUP($B108,Seqs!$A:$B,2,FALSE),Q108,1),"")</f>
        <v>D</v>
      </c>
      <c r="Q108" s="3">
        <v>116</v>
      </c>
      <c r="R108" s="3" t="str">
        <f>IFERROR(MID(VLOOKUP($B108,Seqs!$A:$B,2,FALSE),S108,1),"")</f>
        <v>F</v>
      </c>
      <c r="S108" s="3">
        <v>119</v>
      </c>
      <c r="T108" s="3" t="str">
        <f>IFERROR(MID(VLOOKUP($B108,Seqs!$A:$B,2,FALSE),U108,1),"")</f>
        <v>G</v>
      </c>
      <c r="U108" s="3">
        <v>120</v>
      </c>
      <c r="V108" s="3" t="str">
        <f>IFERROR(MID(VLOOKUP($B108,Seqs!$A:$B,2,FALSE),W108,1),"")</f>
        <v>Y</v>
      </c>
      <c r="W108" s="3">
        <v>155</v>
      </c>
      <c r="X108" s="3" t="str">
        <f>IFERROR(MID(VLOOKUP($B108,Seqs!$A:$B,2,FALSE),Y108,1),"")</f>
        <v>P</v>
      </c>
      <c r="Y108" s="3">
        <v>156</v>
      </c>
      <c r="Z108" s="3" t="str">
        <f>IFERROR(MID(VLOOKUP($B108,Seqs!$A:$B,2,FALSE),AA108,1),"")</f>
        <v>L</v>
      </c>
      <c r="AA108" s="3">
        <v>163</v>
      </c>
      <c r="AB108" s="3" t="str">
        <f>IFERROR(MID(VLOOKUP($B108,Seqs!$A:$B,2,FALSE),AC108,1),"")</f>
        <v>K</v>
      </c>
      <c r="AC108" s="3">
        <v>165</v>
      </c>
      <c r="AD108" s="3" t="str">
        <f>IFERROR(MID(VLOOKUP($B108,Seqs!$A:$B,2,FALSE),AE108,1),"")</f>
        <v>S</v>
      </c>
      <c r="AE108" s="3">
        <v>190</v>
      </c>
      <c r="AF108" s="3" t="str">
        <f>IFERROR(MID(VLOOKUP($B108,Seqs!$A:$B,2,FALSE),AG108,1),"")</f>
        <v>C</v>
      </c>
      <c r="AG108" s="3">
        <v>202</v>
      </c>
      <c r="AH108" s="3" t="str">
        <f>IFERROR(MID(VLOOKUP($B108,Seqs!$A:$B,2,FALSE),AI108,1),"")</f>
        <v>D</v>
      </c>
      <c r="AI108" s="3">
        <v>204</v>
      </c>
      <c r="AJ108" s="3" t="str">
        <f>IFERROR(MID(VLOOKUP($B108,Seqs!$A:$B,2,FALSE),AK108,1),"")</f>
        <v>L</v>
      </c>
      <c r="AK108" s="3">
        <v>211</v>
      </c>
      <c r="AL108" s="3" t="str">
        <f>IFERROR(MID(VLOOKUP($B108,Seqs!$A:$B,2,FALSE),AM108,1),"")</f>
        <v>K</v>
      </c>
      <c r="AM108" s="3">
        <v>247</v>
      </c>
      <c r="AN108" s="3" t="str">
        <f>IFERROR(MID(VLOOKUP($B108,Seqs!$A:$B,2,FALSE),AO108,1),"")</f>
        <v>P</v>
      </c>
      <c r="AO108" s="3">
        <v>253</v>
      </c>
      <c r="AP108" s="3" t="str">
        <f>IFERROR(MID(VLOOKUP($B108,Seqs!$A:$B,2,FALSE),AQ108,1),"")</f>
        <v>D</v>
      </c>
      <c r="AQ108" s="3">
        <v>289</v>
      </c>
      <c r="AR108" s="3" t="str">
        <f>IFERROR(MID(VLOOKUP($B108,Seqs!$A:$B,2,FALSE),AS108,1),"")</f>
        <v>M</v>
      </c>
      <c r="AS108" s="3">
        <v>295</v>
      </c>
      <c r="AT108" s="3" t="str">
        <f>IFERROR(MID(VLOOKUP($B108,Seqs!$A:$B,2,FALSE),AU108,1),"")</f>
        <v>L</v>
      </c>
      <c r="AU108" s="3">
        <v>326</v>
      </c>
      <c r="AV108" s="3" t="str">
        <f>IFERROR(MID(VLOOKUP($B108,Seqs!$A:$B,2,FALSE),AW108,1),"")</f>
        <v/>
      </c>
      <c r="AW108" s="3" t="s">
        <v>129</v>
      </c>
      <c r="AX108" s="3" t="str">
        <f>IFERROR(MID(VLOOKUP($B108,Seqs!$A:$B,2,FALSE),AY108,1),"")</f>
        <v/>
      </c>
      <c r="AY108" s="3" t="s">
        <v>129</v>
      </c>
      <c r="AZ108" s="83" t="str">
        <f>VLOOKUP(B108,Classification!A:D,2,FALSE)</f>
        <v>A</v>
      </c>
      <c r="BB108" s="35" t="s">
        <v>1330</v>
      </c>
      <c r="BC108" s="57">
        <f t="shared" si="120"/>
        <v>246</v>
      </c>
      <c r="BD108" s="63" t="b">
        <f t="shared" si="121"/>
        <v>1</v>
      </c>
      <c r="BE108" s="68" t="s">
        <v>1514</v>
      </c>
      <c r="BF108" s="75" t="s">
        <v>1514</v>
      </c>
      <c r="BG108" s="75" t="s">
        <v>1514</v>
      </c>
      <c r="BH108" s="75" t="s">
        <v>1514</v>
      </c>
      <c r="BI108" s="75" t="s">
        <v>1514</v>
      </c>
      <c r="BJ108" s="75" t="s">
        <v>1514</v>
      </c>
      <c r="BK108" s="75" t="s">
        <v>1514</v>
      </c>
      <c r="BL108" s="75" t="s">
        <v>1514</v>
      </c>
      <c r="BM108" s="75" t="s">
        <v>1514</v>
      </c>
      <c r="BN108" s="75" t="s">
        <v>1514</v>
      </c>
      <c r="BO108" s="75" t="s">
        <v>1514</v>
      </c>
      <c r="BP108" s="75" t="s">
        <v>1514</v>
      </c>
      <c r="BQ108" s="68">
        <f t="shared" si="122"/>
        <v>49</v>
      </c>
      <c r="BR108" s="69" t="str">
        <f t="shared" si="123"/>
        <v>-</v>
      </c>
      <c r="BS108" s="70">
        <f t="shared" si="124"/>
        <v>84</v>
      </c>
      <c r="BT108" s="69">
        <f t="shared" si="125"/>
        <v>116</v>
      </c>
      <c r="BU108" s="70">
        <f t="shared" si="126"/>
        <v>120</v>
      </c>
      <c r="BV108" s="69">
        <f t="shared" si="127"/>
        <v>156</v>
      </c>
      <c r="BW108" s="70">
        <f t="shared" si="128"/>
        <v>165</v>
      </c>
      <c r="BX108" s="69">
        <f t="shared" si="129"/>
        <v>202</v>
      </c>
      <c r="BY108" s="70">
        <f t="shared" si="130"/>
        <v>211</v>
      </c>
      <c r="BZ108" s="69">
        <f t="shared" si="131"/>
        <v>253</v>
      </c>
      <c r="CA108" s="70">
        <f t="shared" si="132"/>
        <v>295</v>
      </c>
      <c r="CB108" s="69" t="str">
        <f t="shared" si="133"/>
        <v>-</v>
      </c>
      <c r="CC108" s="68">
        <f t="shared" si="134"/>
        <v>79</v>
      </c>
      <c r="CD108" s="69" t="str">
        <f t="shared" si="135"/>
        <v>-</v>
      </c>
      <c r="CE108" s="70">
        <f t="shared" si="136"/>
        <v>113</v>
      </c>
      <c r="CF108" s="70">
        <f t="shared" si="137"/>
        <v>119</v>
      </c>
      <c r="CG108" s="70">
        <f t="shared" si="138"/>
        <v>155</v>
      </c>
      <c r="CH108" s="70">
        <f t="shared" si="139"/>
        <v>163</v>
      </c>
      <c r="CI108" s="70">
        <f t="shared" si="140"/>
        <v>190</v>
      </c>
      <c r="CJ108" s="70">
        <f t="shared" si="141"/>
        <v>204</v>
      </c>
      <c r="CK108" s="70">
        <f t="shared" si="142"/>
        <v>247</v>
      </c>
      <c r="CL108" s="70">
        <f t="shared" si="143"/>
        <v>289</v>
      </c>
      <c r="CM108" s="70">
        <f t="shared" si="144"/>
        <v>326</v>
      </c>
      <c r="CN108" s="70" t="str">
        <f t="shared" si="145"/>
        <v>-</v>
      </c>
      <c r="CO108" s="57" t="e">
        <f t="shared" si="118"/>
        <v>#VALUE!</v>
      </c>
    </row>
    <row r="109" spans="1:93" x14ac:dyDescent="0.2">
      <c r="A109" s="3" t="str">
        <f t="shared" si="119"/>
        <v>p2y12_human__wt</v>
      </c>
      <c r="B109" s="3" t="s">
        <v>546</v>
      </c>
      <c r="C109" s="3" t="s">
        <v>294</v>
      </c>
      <c r="D109" s="3" t="str">
        <f>IFERROR(MID(VLOOKUP($B109,Seqs!$A:$B,2,FALSE),E109,1),"")</f>
        <v>Y</v>
      </c>
      <c r="E109" s="3">
        <v>21</v>
      </c>
      <c r="F109" s="3" t="str">
        <f>IFERROR(MID(VLOOKUP($B109,Seqs!$A:$B,2,FALSE),G109,1),"")</f>
        <v>I</v>
      </c>
      <c r="G109" s="3">
        <v>53</v>
      </c>
      <c r="H109" s="3" t="str">
        <f>IFERROR(MID(VLOOKUP($B109,Seqs!$A:$B,2,FALSE),I109,1),"")</f>
        <v/>
      </c>
      <c r="I109" s="57" t="s">
        <v>129</v>
      </c>
      <c r="J109" s="3" t="str">
        <f>IFERROR(MID(VLOOKUP($B109,Seqs!$A:$B,2,FALSE),K109,1),"")</f>
        <v/>
      </c>
      <c r="K109" s="57" t="s">
        <v>129</v>
      </c>
      <c r="L109" s="3" t="str">
        <f>IFERROR(MID(VLOOKUP($B109,Seqs!$A:$B,2,FALSE),M109,1),"")</f>
        <v>S</v>
      </c>
      <c r="M109" s="3">
        <v>57</v>
      </c>
      <c r="N109" s="3" t="str">
        <f>IFERROR(MID(VLOOKUP($B109,Seqs!$A:$B,2,FALSE),O109,1),"")</f>
        <v>K</v>
      </c>
      <c r="O109" s="3">
        <v>86</v>
      </c>
      <c r="P109" s="3" t="str">
        <f>IFERROR(MID(VLOOKUP($B109,Seqs!$A:$B,2,FALSE),Q109,1),"")</f>
        <v/>
      </c>
      <c r="Q109" s="3" t="s">
        <v>129</v>
      </c>
      <c r="R109" s="3" t="str">
        <f>IFERROR(MID(VLOOKUP($B109,Seqs!$A:$B,2,FALSE),S109,1),"")</f>
        <v/>
      </c>
      <c r="S109" s="3" t="s">
        <v>129</v>
      </c>
      <c r="T109" s="3" t="str">
        <f>IFERROR(MID(VLOOKUP($B109,Seqs!$A:$B,2,FALSE),U109,1),"")</f>
        <v>G</v>
      </c>
      <c r="U109" s="3">
        <v>90</v>
      </c>
      <c r="V109" s="3" t="str">
        <f>IFERROR(MID(VLOOKUP($B109,Seqs!$A:$B,2,FALSE),W109,1),"")</f>
        <v>R</v>
      </c>
      <c r="W109" s="3">
        <v>128</v>
      </c>
      <c r="X109" s="3" t="str">
        <f>IFERROR(MID(VLOOKUP($B109,Seqs!$A:$B,2,FALSE),Y109,1),"")</f>
        <v>P</v>
      </c>
      <c r="Y109" s="3">
        <v>129</v>
      </c>
      <c r="Z109" s="3" t="str">
        <f>IFERROR(MID(VLOOKUP($B109,Seqs!$A:$B,2,FALSE),AA109,1),"")</f>
        <v>K</v>
      </c>
      <c r="AA109" s="81">
        <v>136</v>
      </c>
      <c r="AB109" s="3" t="str">
        <f>IFERROR(MID(VLOOKUP($B109,Seqs!$A:$B,2,FALSE),AC109,1),"")</f>
        <v>L</v>
      </c>
      <c r="AC109" s="3">
        <v>138</v>
      </c>
      <c r="AD109" s="3" t="str">
        <f>IFERROR(MID(VLOOKUP($B109,Seqs!$A:$B,2,FALSE),AE109,1),"")</f>
        <v>T</v>
      </c>
      <c r="AE109" s="3">
        <v>163</v>
      </c>
      <c r="AF109" s="3" t="str">
        <f>IFERROR(MID(VLOOKUP($B109,Seqs!$A:$B,2,FALSE),AG109,1),"")</f>
        <v>C</v>
      </c>
      <c r="AG109" s="3">
        <v>175</v>
      </c>
      <c r="AH109" s="3" t="str">
        <f>IFERROR(MID(VLOOKUP($B109,Seqs!$A:$B,2,FALSE),AI109,1),"")</f>
        <v>F</v>
      </c>
      <c r="AI109" s="3">
        <v>177</v>
      </c>
      <c r="AJ109" s="3" t="str">
        <f>IFERROR(MID(VLOOKUP($B109,Seqs!$A:$B,2,FALSE),AK109,1),"")</f>
        <v>E</v>
      </c>
      <c r="AK109" s="3">
        <v>181</v>
      </c>
      <c r="AL109" s="3" t="str">
        <f>IFERROR(MID(VLOOKUP($B109,Seqs!$A:$B,2,FALSE),AM109,1),"")</f>
        <v>T</v>
      </c>
      <c r="AM109" s="3">
        <v>223</v>
      </c>
      <c r="AN109" s="3" t="str">
        <f>IFERROR(MID(VLOOKUP($B109,Seqs!$A:$B,2,FALSE),AO109,1),"")</f>
        <v>P</v>
      </c>
      <c r="AO109" s="3">
        <v>230</v>
      </c>
      <c r="AP109" s="3" t="str">
        <f>IFERROR(MID(VLOOKUP($B109,Seqs!$A:$B,2,FALSE),AQ109,1),"")</f>
        <v>R</v>
      </c>
      <c r="AQ109" s="3">
        <v>265</v>
      </c>
      <c r="AR109" s="3" t="str">
        <f>IFERROR(MID(VLOOKUP($B109,Seqs!$A:$B,2,FALSE),AS109,1),"")</f>
        <v>D</v>
      </c>
      <c r="AS109" s="3">
        <v>269</v>
      </c>
      <c r="AT109" s="3" t="str">
        <f>IFERROR(MID(VLOOKUP($B109,Seqs!$A:$B,2,FALSE),AU109,1),"")</f>
        <v>L</v>
      </c>
      <c r="AU109" s="3">
        <v>301</v>
      </c>
      <c r="AV109" s="3" t="str">
        <f>IFERROR(MID(VLOOKUP($B109,Seqs!$A:$B,2,FALSE),AW109,1),"")</f>
        <v>C</v>
      </c>
      <c r="AW109" s="3">
        <v>302</v>
      </c>
      <c r="AX109" s="3" t="str">
        <f>IFERROR(MID(VLOOKUP($B109,Seqs!$A:$B,2,FALSE),AY109,1),"")</f>
        <v>M</v>
      </c>
      <c r="AY109" s="3">
        <v>312</v>
      </c>
      <c r="AZ109" s="83" t="str">
        <f>VLOOKUP(B109,Classification!A:D,2,FALSE)</f>
        <v>A</v>
      </c>
      <c r="BB109" s="82" t="e">
        <f>S109-Q109+1</f>
        <v>#VALUE!</v>
      </c>
      <c r="BC109" s="57">
        <f t="shared" si="120"/>
        <v>264</v>
      </c>
      <c r="BD109" s="63" t="b">
        <f t="shared" si="121"/>
        <v>1</v>
      </c>
      <c r="BE109" s="68" t="s">
        <v>1514</v>
      </c>
      <c r="BF109" s="75" t="s">
        <v>1514</v>
      </c>
      <c r="BG109" s="75" t="s">
        <v>1514</v>
      </c>
      <c r="BH109" s="75" t="s">
        <v>1514</v>
      </c>
      <c r="BI109" s="75" t="s">
        <v>1514</v>
      </c>
      <c r="BJ109" s="75" t="s">
        <v>1514</v>
      </c>
      <c r="BK109" s="75" t="s">
        <v>1514</v>
      </c>
      <c r="BL109" s="75" t="s">
        <v>1514</v>
      </c>
      <c r="BM109" s="75" t="s">
        <v>1514</v>
      </c>
      <c r="BN109" s="75" t="s">
        <v>1514</v>
      </c>
      <c r="BO109" s="75" t="s">
        <v>1514</v>
      </c>
      <c r="BP109" s="75" t="s">
        <v>1514</v>
      </c>
      <c r="BQ109" s="68">
        <f t="shared" si="122"/>
        <v>21</v>
      </c>
      <c r="BR109" s="69" t="str">
        <f t="shared" si="123"/>
        <v>-</v>
      </c>
      <c r="BS109" s="70">
        <f t="shared" si="124"/>
        <v>57</v>
      </c>
      <c r="BT109" s="69" t="str">
        <f t="shared" si="125"/>
        <v>-</v>
      </c>
      <c r="BU109" s="70">
        <f t="shared" si="126"/>
        <v>90</v>
      </c>
      <c r="BV109" s="69">
        <f t="shared" si="127"/>
        <v>129</v>
      </c>
      <c r="BW109" s="70">
        <f t="shared" si="128"/>
        <v>138</v>
      </c>
      <c r="BX109" s="69">
        <f t="shared" si="129"/>
        <v>175</v>
      </c>
      <c r="BY109" s="70">
        <f t="shared" si="130"/>
        <v>181</v>
      </c>
      <c r="BZ109" s="69">
        <f t="shared" si="131"/>
        <v>230</v>
      </c>
      <c r="CA109" s="70">
        <f t="shared" si="132"/>
        <v>269</v>
      </c>
      <c r="CB109" s="69">
        <f t="shared" si="133"/>
        <v>302</v>
      </c>
      <c r="CC109" s="68">
        <f t="shared" si="134"/>
        <v>53</v>
      </c>
      <c r="CD109" s="69" t="str">
        <f t="shared" si="135"/>
        <v>-</v>
      </c>
      <c r="CE109" s="70">
        <f t="shared" si="136"/>
        <v>86</v>
      </c>
      <c r="CF109" s="70" t="str">
        <f t="shared" si="137"/>
        <v>-</v>
      </c>
      <c r="CG109" s="70">
        <f t="shared" si="138"/>
        <v>128</v>
      </c>
      <c r="CH109" s="70">
        <f t="shared" si="139"/>
        <v>136</v>
      </c>
      <c r="CI109" s="70">
        <f t="shared" si="140"/>
        <v>163</v>
      </c>
      <c r="CJ109" s="70">
        <f t="shared" si="141"/>
        <v>177</v>
      </c>
      <c r="CK109" s="70">
        <f t="shared" si="142"/>
        <v>223</v>
      </c>
      <c r="CL109" s="70">
        <f t="shared" si="143"/>
        <v>265</v>
      </c>
      <c r="CM109" s="70">
        <f t="shared" si="144"/>
        <v>301</v>
      </c>
      <c r="CN109" s="70">
        <f t="shared" si="145"/>
        <v>312</v>
      </c>
      <c r="CO109" s="57" t="e">
        <f t="shared" si="118"/>
        <v>#VALUE!</v>
      </c>
    </row>
    <row r="110" spans="1:93" x14ac:dyDescent="0.2">
      <c r="A110" s="3" t="str">
        <f t="shared" si="119"/>
        <v>p2y12_human_4NTJ</v>
      </c>
      <c r="B110" s="3" t="s">
        <v>546</v>
      </c>
      <c r="C110" s="3" t="s">
        <v>1255</v>
      </c>
      <c r="D110" s="3" t="str">
        <f>IFERROR(MID(VLOOKUP($B110,Seqs!$A:$B,2,FALSE),E110,1),"")</f>
        <v>Y</v>
      </c>
      <c r="E110" s="3">
        <v>21</v>
      </c>
      <c r="F110" s="3" t="str">
        <f>IFERROR(MID(VLOOKUP($B110,Seqs!$A:$B,2,FALSE),G110,1),"")</f>
        <v>I</v>
      </c>
      <c r="G110" s="3">
        <v>53</v>
      </c>
      <c r="H110" s="3" t="str">
        <f>IFERROR(MID(VLOOKUP($B110,Seqs!$A:$B,2,FALSE),I110,1),"")</f>
        <v/>
      </c>
      <c r="I110" s="57" t="s">
        <v>129</v>
      </c>
      <c r="J110" s="3" t="str">
        <f>IFERROR(MID(VLOOKUP($B110,Seqs!$A:$B,2,FALSE),K110,1),"")</f>
        <v/>
      </c>
      <c r="K110" s="57" t="s">
        <v>129</v>
      </c>
      <c r="L110" s="3" t="str">
        <f>IFERROR(MID(VLOOKUP($B110,Seqs!$A:$B,2,FALSE),M110,1),"")</f>
        <v>S</v>
      </c>
      <c r="M110" s="3">
        <v>57</v>
      </c>
      <c r="N110" s="3" t="str">
        <f>IFERROR(MID(VLOOKUP($B110,Seqs!$A:$B,2,FALSE),O110,1),"")</f>
        <v>K</v>
      </c>
      <c r="O110" s="3">
        <v>86</v>
      </c>
      <c r="P110" s="3" t="str">
        <f>IFERROR(MID(VLOOKUP($B110,Seqs!$A:$B,2,FALSE),Q110,1),"")</f>
        <v/>
      </c>
      <c r="Q110" s="3" t="s">
        <v>129</v>
      </c>
      <c r="R110" s="3" t="str">
        <f>IFERROR(MID(VLOOKUP($B110,Seqs!$A:$B,2,FALSE),S110,1),"")</f>
        <v/>
      </c>
      <c r="S110" s="3" t="s">
        <v>129</v>
      </c>
      <c r="T110" s="3" t="str">
        <f>IFERROR(MID(VLOOKUP($B110,Seqs!$A:$B,2,FALSE),U110,1),"")</f>
        <v>L</v>
      </c>
      <c r="U110" s="3">
        <v>92</v>
      </c>
      <c r="V110" s="3" t="str">
        <f>IFERROR(MID(VLOOKUP($B110,Seqs!$A:$B,2,FALSE),W110,1),"")</f>
        <v>R</v>
      </c>
      <c r="W110" s="3">
        <v>128</v>
      </c>
      <c r="X110" s="3" t="str">
        <f>IFERROR(MID(VLOOKUP($B110,Seqs!$A:$B,2,FALSE),Y110,1),"")</f>
        <v/>
      </c>
      <c r="Y110" s="3" t="s">
        <v>129</v>
      </c>
      <c r="Z110" s="3" t="str">
        <f>IFERROR(MID(VLOOKUP($B110,Seqs!$A:$B,2,FALSE),AA110,1),"")</f>
        <v/>
      </c>
      <c r="AA110" s="3" t="s">
        <v>129</v>
      </c>
      <c r="AB110" s="3" t="str">
        <f>IFERROR(MID(VLOOKUP($B110,Seqs!$A:$B,2,FALSE),AC110,1),"")</f>
        <v>N</v>
      </c>
      <c r="AC110" s="3">
        <v>137</v>
      </c>
      <c r="AD110" s="3" t="str">
        <f>IFERROR(MID(VLOOKUP($B110,Seqs!$A:$B,2,FALSE),AE110,1),"")</f>
        <v>L</v>
      </c>
      <c r="AE110" s="3">
        <v>162</v>
      </c>
      <c r="AF110" s="3" t="str">
        <f>IFERROR(MID(VLOOKUP($B110,Seqs!$A:$B,2,FALSE),AG110,1),"")</f>
        <v>C</v>
      </c>
      <c r="AG110" s="3">
        <v>175</v>
      </c>
      <c r="AH110" s="3" t="str">
        <f>IFERROR(MID(VLOOKUP($B110,Seqs!$A:$B,2,FALSE),AI110,1),"")</f>
        <v>F</v>
      </c>
      <c r="AI110" s="3">
        <v>177</v>
      </c>
      <c r="AJ110" s="3" t="str">
        <f>IFERROR(MID(VLOOKUP($B110,Seqs!$A:$B,2,FALSE),AK110,1),"")</f>
        <v>E</v>
      </c>
      <c r="AK110" s="3">
        <v>181</v>
      </c>
      <c r="AL110" s="3" t="str">
        <f>IFERROR(MID(VLOOKUP($B110,Seqs!$A:$B,2,FALSE),AM110,1),"")</f>
        <v>T</v>
      </c>
      <c r="AM110" s="3">
        <v>223</v>
      </c>
      <c r="AN110" s="3" t="str">
        <f>IFERROR(MID(VLOOKUP($B110,Seqs!$A:$B,2,FALSE),AO110,1),"")</f>
        <v>I</v>
      </c>
      <c r="AO110" s="3">
        <v>240</v>
      </c>
      <c r="AP110" s="3" t="str">
        <f>IFERROR(MID(VLOOKUP($B110,Seqs!$A:$B,2,FALSE),AQ110,1),"")</f>
        <v>L</v>
      </c>
      <c r="AQ110" s="3">
        <v>261</v>
      </c>
      <c r="AR110" s="3" t="str">
        <f>IFERROR(MID(VLOOKUP($B110,Seqs!$A:$B,2,FALSE),AS110,1),"")</f>
        <v>D</v>
      </c>
      <c r="AS110" s="3">
        <v>269</v>
      </c>
      <c r="AT110" s="3" t="str">
        <f>IFERROR(MID(VLOOKUP($B110,Seqs!$A:$B,2,FALSE),AU110,1),"")</f>
        <v>L</v>
      </c>
      <c r="AU110" s="3">
        <v>301</v>
      </c>
      <c r="AV110" s="3" t="str">
        <f>IFERROR(MID(VLOOKUP($B110,Seqs!$A:$B,2,FALSE),AW110,1),"")</f>
        <v>C</v>
      </c>
      <c r="AW110" s="3">
        <v>302</v>
      </c>
      <c r="AX110" s="3" t="str">
        <f>IFERROR(MID(VLOOKUP($B110,Seqs!$A:$B,2,FALSE),AY110,1),"")</f>
        <v>M</v>
      </c>
      <c r="AY110" s="3">
        <v>312</v>
      </c>
      <c r="AZ110" s="83" t="str">
        <f>VLOOKUP(B110,Classification!A:D,2,FALSE)</f>
        <v>A</v>
      </c>
      <c r="BA110" s="3" t="s">
        <v>1390</v>
      </c>
      <c r="BB110" s="35" t="s">
        <v>1330</v>
      </c>
      <c r="BC110" s="57">
        <f t="shared" si="120"/>
        <v>241</v>
      </c>
      <c r="BD110" s="63" t="b">
        <f t="shared" si="121"/>
        <v>1</v>
      </c>
      <c r="BE110" s="68" t="s">
        <v>1514</v>
      </c>
      <c r="BF110" s="75" t="s">
        <v>1514</v>
      </c>
      <c r="BG110" s="75" t="s">
        <v>1514</v>
      </c>
      <c r="BH110" s="75" t="s">
        <v>1514</v>
      </c>
      <c r="BI110" s="75" t="s">
        <v>1514</v>
      </c>
      <c r="BJ110" s="75" t="s">
        <v>1514</v>
      </c>
      <c r="BK110" s="75" t="s">
        <v>1514</v>
      </c>
      <c r="BL110" s="75" t="s">
        <v>1514</v>
      </c>
      <c r="BM110" s="75" t="s">
        <v>1514</v>
      </c>
      <c r="BN110" s="75" t="s">
        <v>1514</v>
      </c>
      <c r="BO110" s="75" t="s">
        <v>1514</v>
      </c>
      <c r="BP110" s="75" t="s">
        <v>1514</v>
      </c>
      <c r="BQ110" s="68">
        <f t="shared" si="122"/>
        <v>21</v>
      </c>
      <c r="BR110" s="69" t="str">
        <f t="shared" si="123"/>
        <v>-</v>
      </c>
      <c r="BS110" s="70">
        <f t="shared" si="124"/>
        <v>57</v>
      </c>
      <c r="BT110" s="69" t="str">
        <f t="shared" si="125"/>
        <v>-</v>
      </c>
      <c r="BU110" s="70">
        <f t="shared" si="126"/>
        <v>92</v>
      </c>
      <c r="BV110" s="69" t="str">
        <f t="shared" si="127"/>
        <v>-</v>
      </c>
      <c r="BW110" s="70">
        <f t="shared" si="128"/>
        <v>137</v>
      </c>
      <c r="BX110" s="69">
        <f t="shared" si="129"/>
        <v>175</v>
      </c>
      <c r="BY110" s="70">
        <f t="shared" si="130"/>
        <v>181</v>
      </c>
      <c r="BZ110" s="69">
        <f t="shared" si="131"/>
        <v>240</v>
      </c>
      <c r="CA110" s="70">
        <f t="shared" si="132"/>
        <v>269</v>
      </c>
      <c r="CB110" s="69">
        <f t="shared" si="133"/>
        <v>302</v>
      </c>
      <c r="CC110" s="68">
        <f t="shared" si="134"/>
        <v>53</v>
      </c>
      <c r="CD110" s="69" t="str">
        <f t="shared" si="135"/>
        <v>-</v>
      </c>
      <c r="CE110" s="70">
        <f t="shared" si="136"/>
        <v>86</v>
      </c>
      <c r="CF110" s="70" t="str">
        <f t="shared" si="137"/>
        <v>-</v>
      </c>
      <c r="CG110" s="70">
        <f t="shared" si="138"/>
        <v>128</v>
      </c>
      <c r="CH110" s="70" t="str">
        <f t="shared" si="139"/>
        <v>-</v>
      </c>
      <c r="CI110" s="70">
        <f t="shared" si="140"/>
        <v>162</v>
      </c>
      <c r="CJ110" s="70">
        <f t="shared" si="141"/>
        <v>177</v>
      </c>
      <c r="CK110" s="70">
        <f t="shared" si="142"/>
        <v>223</v>
      </c>
      <c r="CL110" s="70">
        <f t="shared" si="143"/>
        <v>261</v>
      </c>
      <c r="CM110" s="70">
        <f t="shared" si="144"/>
        <v>301</v>
      </c>
      <c r="CN110" s="70">
        <f t="shared" si="145"/>
        <v>312</v>
      </c>
      <c r="CO110" s="57" t="e">
        <f t="shared" si="118"/>
        <v>#VALUE!</v>
      </c>
    </row>
    <row r="111" spans="1:93" x14ac:dyDescent="0.2">
      <c r="A111" s="3" t="str">
        <f t="shared" si="119"/>
        <v>p2y12_human_4PXZ</v>
      </c>
      <c r="B111" s="3" t="s">
        <v>546</v>
      </c>
      <c r="C111" s="3" t="s">
        <v>1372</v>
      </c>
      <c r="D111" s="3" t="str">
        <f>IFERROR(MID(VLOOKUP($B111,Seqs!$A:$B,2,FALSE),E111,1),"")</f>
        <v>I</v>
      </c>
      <c r="E111" s="3">
        <v>23</v>
      </c>
      <c r="F111" s="3" t="str">
        <f>IFERROR(MID(VLOOKUP($B111,Seqs!$A:$B,2,FALSE),G111,1),"")</f>
        <v>I</v>
      </c>
      <c r="G111" s="3">
        <v>53</v>
      </c>
      <c r="H111" s="3" t="str">
        <f>IFERROR(MID(VLOOKUP($B111,Seqs!$A:$B,2,FALSE),I111,1),"")</f>
        <v/>
      </c>
      <c r="I111" s="57" t="s">
        <v>129</v>
      </c>
      <c r="J111" s="3" t="str">
        <f>IFERROR(MID(VLOOKUP($B111,Seqs!$A:$B,2,FALSE),K111,1),"")</f>
        <v/>
      </c>
      <c r="K111" s="57" t="s">
        <v>129</v>
      </c>
      <c r="L111" s="3" t="str">
        <f>IFERROR(MID(VLOOKUP($B111,Seqs!$A:$B,2,FALSE),M111,1),"")</f>
        <v>S</v>
      </c>
      <c r="M111" s="3">
        <v>57</v>
      </c>
      <c r="N111" s="3" t="str">
        <f>IFERROR(MID(VLOOKUP($B111,Seqs!$A:$B,2,FALSE),O111,1),"")</f>
        <v>K</v>
      </c>
      <c r="O111" s="3">
        <v>86</v>
      </c>
      <c r="P111" s="3" t="str">
        <f>IFERROR(MID(VLOOKUP($B111,Seqs!$A:$B,2,FALSE),Q111,1),"")</f>
        <v/>
      </c>
      <c r="Q111" s="3" t="s">
        <v>129</v>
      </c>
      <c r="R111" s="3" t="str">
        <f>IFERROR(MID(VLOOKUP($B111,Seqs!$A:$B,2,FALSE),S111,1),"")</f>
        <v/>
      </c>
      <c r="S111" s="3" t="s">
        <v>129</v>
      </c>
      <c r="T111" s="3" t="str">
        <f>IFERROR(MID(VLOOKUP($B111,Seqs!$A:$B,2,FALSE),U111,1),"")</f>
        <v>G</v>
      </c>
      <c r="U111" s="3">
        <v>90</v>
      </c>
      <c r="V111" s="3" t="str">
        <f>IFERROR(MID(VLOOKUP($B111,Seqs!$A:$B,2,FALSE),W111,1),"")</f>
        <v>R</v>
      </c>
      <c r="W111" s="3">
        <v>128</v>
      </c>
      <c r="X111" s="3" t="str">
        <f>IFERROR(MID(VLOOKUP($B111,Seqs!$A:$B,2,FALSE),Y111,1),"")</f>
        <v/>
      </c>
      <c r="Y111" s="3" t="s">
        <v>129</v>
      </c>
      <c r="Z111" s="3" t="str">
        <f>IFERROR(MID(VLOOKUP($B111,Seqs!$A:$B,2,FALSE),AA111,1),"")</f>
        <v/>
      </c>
      <c r="AA111" s="3" t="s">
        <v>129</v>
      </c>
      <c r="AB111" s="3" t="str">
        <f>IFERROR(MID(VLOOKUP($B111,Seqs!$A:$B,2,FALSE),AC111,1),"")</f>
        <v>N</v>
      </c>
      <c r="AC111" s="3">
        <v>137</v>
      </c>
      <c r="AD111" s="3" t="str">
        <f>IFERROR(MID(VLOOKUP($B111,Seqs!$A:$B,2,FALSE),AE111,1),"")</f>
        <v>T</v>
      </c>
      <c r="AE111" s="3">
        <v>163</v>
      </c>
      <c r="AF111" s="3" t="str">
        <f>IFERROR(MID(VLOOKUP($B111,Seqs!$A:$B,2,FALSE),AG111,1),"")</f>
        <v>C</v>
      </c>
      <c r="AG111" s="3">
        <v>175</v>
      </c>
      <c r="AH111" s="3" t="str">
        <f>IFERROR(MID(VLOOKUP($B111,Seqs!$A:$B,2,FALSE),AI111,1),"")</f>
        <v>F</v>
      </c>
      <c r="AI111" s="3">
        <v>177</v>
      </c>
      <c r="AJ111" s="3" t="str">
        <f>IFERROR(MID(VLOOKUP($B111,Seqs!$A:$B,2,FALSE),AK111,1),"")</f>
        <v>E</v>
      </c>
      <c r="AK111" s="3">
        <v>181</v>
      </c>
      <c r="AL111" s="3" t="str">
        <f>IFERROR(MID(VLOOKUP($B111,Seqs!$A:$B,2,FALSE),AM111,1),"")</f>
        <v>S</v>
      </c>
      <c r="AM111" s="3">
        <v>219</v>
      </c>
      <c r="AN111" s="3" t="str">
        <f>IFERROR(MID(VLOOKUP($B111,Seqs!$A:$B,2,FALSE),AO111,1),"")</f>
        <v>V</v>
      </c>
      <c r="AO111" s="3">
        <v>236</v>
      </c>
      <c r="AP111" s="3" t="str">
        <f>IFERROR(MID(VLOOKUP($B111,Seqs!$A:$B,2,FALSE),AQ111,1),"")</f>
        <v>R</v>
      </c>
      <c r="AQ111" s="3">
        <v>265</v>
      </c>
      <c r="AR111" s="3" t="str">
        <f>IFERROR(MID(VLOOKUP($B111,Seqs!$A:$B,2,FALSE),AS111,1),"")</f>
        <v>D</v>
      </c>
      <c r="AS111" s="3">
        <v>269</v>
      </c>
      <c r="AT111" s="3" t="str">
        <f>IFERROR(MID(VLOOKUP($B111,Seqs!$A:$B,2,FALSE),AU111,1),"")</f>
        <v>C</v>
      </c>
      <c r="AU111" s="3">
        <v>292</v>
      </c>
      <c r="AV111" s="3" t="str">
        <f>IFERROR(MID(VLOOKUP($B111,Seqs!$A:$B,2,FALSE),AW111,1),"")</f>
        <v/>
      </c>
      <c r="AW111" s="3" t="s">
        <v>129</v>
      </c>
      <c r="AX111" s="3" t="str">
        <f>IFERROR(MID(VLOOKUP($B111,Seqs!$A:$B,2,FALSE),AY111,1),"")</f>
        <v/>
      </c>
      <c r="AY111" s="3" t="s">
        <v>129</v>
      </c>
      <c r="AZ111" s="83" t="str">
        <f>VLOOKUP(B111,Classification!A:D,2,FALSE)</f>
        <v>A</v>
      </c>
      <c r="BC111" s="57">
        <f t="shared" si="120"/>
        <v>227</v>
      </c>
      <c r="BD111" s="63" t="b">
        <f t="shared" si="121"/>
        <v>1</v>
      </c>
      <c r="BE111" s="68" t="s">
        <v>1514</v>
      </c>
      <c r="BF111" s="75" t="s">
        <v>1514</v>
      </c>
      <c r="BG111" s="75" t="s">
        <v>1514</v>
      </c>
      <c r="BH111" s="75" t="s">
        <v>1514</v>
      </c>
      <c r="BI111" s="75" t="s">
        <v>1514</v>
      </c>
      <c r="BJ111" s="75" t="s">
        <v>1514</v>
      </c>
      <c r="BK111" s="75" t="s">
        <v>1514</v>
      </c>
      <c r="BL111" s="75" t="s">
        <v>1514</v>
      </c>
      <c r="BM111" s="75" t="s">
        <v>1514</v>
      </c>
      <c r="BN111" s="75" t="s">
        <v>1514</v>
      </c>
      <c r="BO111" s="75" t="s">
        <v>1514</v>
      </c>
      <c r="BP111" s="75" t="s">
        <v>1514</v>
      </c>
      <c r="BQ111" s="68">
        <f t="shared" si="122"/>
        <v>23</v>
      </c>
      <c r="BR111" s="69" t="str">
        <f t="shared" si="123"/>
        <v>-</v>
      </c>
      <c r="BS111" s="70">
        <f t="shared" si="124"/>
        <v>57</v>
      </c>
      <c r="BT111" s="69" t="str">
        <f t="shared" si="125"/>
        <v>-</v>
      </c>
      <c r="BU111" s="70">
        <f t="shared" si="126"/>
        <v>90</v>
      </c>
      <c r="BV111" s="69" t="str">
        <f t="shared" si="127"/>
        <v>-</v>
      </c>
      <c r="BW111" s="70">
        <f t="shared" si="128"/>
        <v>137</v>
      </c>
      <c r="BX111" s="69">
        <f t="shared" si="129"/>
        <v>175</v>
      </c>
      <c r="BY111" s="70">
        <f t="shared" si="130"/>
        <v>181</v>
      </c>
      <c r="BZ111" s="69">
        <f t="shared" si="131"/>
        <v>236</v>
      </c>
      <c r="CA111" s="70">
        <f t="shared" si="132"/>
        <v>269</v>
      </c>
      <c r="CB111" s="69" t="str">
        <f t="shared" si="133"/>
        <v>-</v>
      </c>
      <c r="CC111" s="68">
        <f t="shared" si="134"/>
        <v>53</v>
      </c>
      <c r="CD111" s="69" t="str">
        <f t="shared" si="135"/>
        <v>-</v>
      </c>
      <c r="CE111" s="70">
        <f t="shared" si="136"/>
        <v>86</v>
      </c>
      <c r="CF111" s="70" t="str">
        <f t="shared" si="137"/>
        <v>-</v>
      </c>
      <c r="CG111" s="70">
        <f t="shared" si="138"/>
        <v>128</v>
      </c>
      <c r="CH111" s="70" t="str">
        <f t="shared" si="139"/>
        <v>-</v>
      </c>
      <c r="CI111" s="70">
        <f t="shared" si="140"/>
        <v>163</v>
      </c>
      <c r="CJ111" s="70">
        <f t="shared" si="141"/>
        <v>177</v>
      </c>
      <c r="CK111" s="70">
        <f t="shared" si="142"/>
        <v>219</v>
      </c>
      <c r="CL111" s="70">
        <f t="shared" si="143"/>
        <v>265</v>
      </c>
      <c r="CM111" s="70">
        <f t="shared" si="144"/>
        <v>292</v>
      </c>
      <c r="CN111" s="70" t="str">
        <f t="shared" si="145"/>
        <v>-</v>
      </c>
      <c r="CO111" s="57" t="e">
        <f t="shared" si="118"/>
        <v>#VALUE!</v>
      </c>
    </row>
    <row r="112" spans="1:93" x14ac:dyDescent="0.2">
      <c r="A112" s="3" t="str">
        <f t="shared" si="119"/>
        <v>p2y12_human_4PY0</v>
      </c>
      <c r="B112" s="3" t="s">
        <v>546</v>
      </c>
      <c r="C112" s="3" t="s">
        <v>1257</v>
      </c>
      <c r="D112" s="3" t="str">
        <f>IFERROR(MID(VLOOKUP($B112,Seqs!$A:$B,2,FALSE),E112,1),"")</f>
        <v>I</v>
      </c>
      <c r="E112" s="3">
        <v>23</v>
      </c>
      <c r="F112" s="3" t="str">
        <f>IFERROR(MID(VLOOKUP($B112,Seqs!$A:$B,2,FALSE),G112,1),"")</f>
        <v>I</v>
      </c>
      <c r="G112" s="3">
        <v>53</v>
      </c>
      <c r="H112" s="3" t="str">
        <f>IFERROR(MID(VLOOKUP($B112,Seqs!$A:$B,2,FALSE),I112,1),"")</f>
        <v/>
      </c>
      <c r="I112" s="57" t="s">
        <v>129</v>
      </c>
      <c r="J112" s="3" t="str">
        <f>IFERROR(MID(VLOOKUP($B112,Seqs!$A:$B,2,FALSE),K112,1),"")</f>
        <v/>
      </c>
      <c r="K112" s="57" t="s">
        <v>129</v>
      </c>
      <c r="L112" s="3" t="str">
        <f>IFERROR(MID(VLOOKUP($B112,Seqs!$A:$B,2,FALSE),M112,1),"")</f>
        <v>S</v>
      </c>
      <c r="M112" s="3">
        <v>57</v>
      </c>
      <c r="N112" s="3" t="str">
        <f>IFERROR(MID(VLOOKUP($B112,Seqs!$A:$B,2,FALSE),O112,1),"")</f>
        <v>K</v>
      </c>
      <c r="O112" s="3">
        <v>86</v>
      </c>
      <c r="P112" s="3" t="str">
        <f>IFERROR(MID(VLOOKUP($B112,Seqs!$A:$B,2,FALSE),Q112,1),"")</f>
        <v/>
      </c>
      <c r="Q112" s="3" t="s">
        <v>129</v>
      </c>
      <c r="R112" s="3" t="str">
        <f>IFERROR(MID(VLOOKUP($B112,Seqs!$A:$B,2,FALSE),S112,1),"")</f>
        <v/>
      </c>
      <c r="S112" s="3" t="s">
        <v>129</v>
      </c>
      <c r="T112" s="3" t="str">
        <f>IFERROR(MID(VLOOKUP($B112,Seqs!$A:$B,2,FALSE),U112,1),"")</f>
        <v>G</v>
      </c>
      <c r="U112" s="3">
        <v>90</v>
      </c>
      <c r="V112" s="3" t="str">
        <f>IFERROR(MID(VLOOKUP($B112,Seqs!$A:$B,2,FALSE),W112,1),"")</f>
        <v>R</v>
      </c>
      <c r="W112" s="3">
        <v>128</v>
      </c>
      <c r="X112" s="3" t="str">
        <f>IFERROR(MID(VLOOKUP($B112,Seqs!$A:$B,2,FALSE),Y112,1),"")</f>
        <v/>
      </c>
      <c r="Y112" s="3" t="s">
        <v>129</v>
      </c>
      <c r="Z112" s="3" t="str">
        <f>IFERROR(MID(VLOOKUP($B112,Seqs!$A:$B,2,FALSE),AA112,1),"")</f>
        <v/>
      </c>
      <c r="AA112" s="3" t="s">
        <v>129</v>
      </c>
      <c r="AB112" s="3" t="str">
        <f>IFERROR(MID(VLOOKUP($B112,Seqs!$A:$B,2,FALSE),AC112,1),"")</f>
        <v>N</v>
      </c>
      <c r="AC112" s="3">
        <v>137</v>
      </c>
      <c r="AD112" s="3" t="str">
        <f>IFERROR(MID(VLOOKUP($B112,Seqs!$A:$B,2,FALSE),AE112,1),"")</f>
        <v>T</v>
      </c>
      <c r="AE112" s="3">
        <v>163</v>
      </c>
      <c r="AF112" s="3" t="str">
        <f>IFERROR(MID(VLOOKUP($B112,Seqs!$A:$B,2,FALSE),AG112,1),"")</f>
        <v>C</v>
      </c>
      <c r="AG112" s="3">
        <v>175</v>
      </c>
      <c r="AH112" s="3" t="str">
        <f>IFERROR(MID(VLOOKUP($B112,Seqs!$A:$B,2,FALSE),AI112,1),"")</f>
        <v>F</v>
      </c>
      <c r="AI112" s="3">
        <v>177</v>
      </c>
      <c r="AJ112" s="3" t="str">
        <f>IFERROR(MID(VLOOKUP($B112,Seqs!$A:$B,2,FALSE),AK112,1),"")</f>
        <v>E</v>
      </c>
      <c r="AK112" s="3">
        <v>181</v>
      </c>
      <c r="AL112" s="3" t="str">
        <f>IFERROR(MID(VLOOKUP($B112,Seqs!$A:$B,2,FALSE),AM112,1),"")</f>
        <v>S</v>
      </c>
      <c r="AM112" s="3">
        <v>219</v>
      </c>
      <c r="AN112" s="3" t="str">
        <f>IFERROR(MID(VLOOKUP($B112,Seqs!$A:$B,2,FALSE),AO112,1),"")</f>
        <v>V</v>
      </c>
      <c r="AO112" s="3">
        <v>236</v>
      </c>
      <c r="AP112" s="3" t="str">
        <f>IFERROR(MID(VLOOKUP($B112,Seqs!$A:$B,2,FALSE),AQ112,1),"")</f>
        <v>R</v>
      </c>
      <c r="AQ112" s="3">
        <v>265</v>
      </c>
      <c r="AR112" s="3" t="str">
        <f>IFERROR(MID(VLOOKUP($B112,Seqs!$A:$B,2,FALSE),AS112,1),"")</f>
        <v>D</v>
      </c>
      <c r="AS112" s="3">
        <v>269</v>
      </c>
      <c r="AT112" s="3" t="str">
        <f>IFERROR(MID(VLOOKUP($B112,Seqs!$A:$B,2,FALSE),AU112,1),"")</f>
        <v>C</v>
      </c>
      <c r="AU112" s="3">
        <v>292</v>
      </c>
      <c r="AV112" s="3" t="str">
        <f>IFERROR(MID(VLOOKUP($B112,Seqs!$A:$B,2,FALSE),AW112,1),"")</f>
        <v/>
      </c>
      <c r="AW112" s="3" t="s">
        <v>129</v>
      </c>
      <c r="AX112" s="3" t="str">
        <f>IFERROR(MID(VLOOKUP($B112,Seqs!$A:$B,2,FALSE),AY112,1),"")</f>
        <v/>
      </c>
      <c r="AY112" s="3" t="s">
        <v>129</v>
      </c>
      <c r="AZ112" s="83" t="str">
        <f>VLOOKUP(B112,Classification!A:D,2,FALSE)</f>
        <v>A</v>
      </c>
      <c r="BC112" s="57">
        <f t="shared" si="120"/>
        <v>227</v>
      </c>
      <c r="BD112" s="63" t="b">
        <f t="shared" si="121"/>
        <v>1</v>
      </c>
      <c r="BE112" s="68" t="s">
        <v>1514</v>
      </c>
      <c r="BF112" s="75" t="s">
        <v>1514</v>
      </c>
      <c r="BG112" s="75" t="s">
        <v>1514</v>
      </c>
      <c r="BH112" s="75" t="s">
        <v>1514</v>
      </c>
      <c r="BI112" s="75" t="s">
        <v>1514</v>
      </c>
      <c r="BJ112" s="75" t="s">
        <v>1514</v>
      </c>
      <c r="BK112" s="75" t="s">
        <v>1514</v>
      </c>
      <c r="BL112" s="75" t="s">
        <v>1514</v>
      </c>
      <c r="BM112" s="75" t="s">
        <v>1514</v>
      </c>
      <c r="BN112" s="75" t="s">
        <v>1514</v>
      </c>
      <c r="BO112" s="75" t="s">
        <v>1514</v>
      </c>
      <c r="BP112" s="75" t="s">
        <v>1514</v>
      </c>
      <c r="BQ112" s="68">
        <f t="shared" si="122"/>
        <v>23</v>
      </c>
      <c r="BR112" s="69" t="str">
        <f t="shared" si="123"/>
        <v>-</v>
      </c>
      <c r="BS112" s="70">
        <f t="shared" si="124"/>
        <v>57</v>
      </c>
      <c r="BT112" s="69" t="str">
        <f t="shared" si="125"/>
        <v>-</v>
      </c>
      <c r="BU112" s="70">
        <f t="shared" si="126"/>
        <v>90</v>
      </c>
      <c r="BV112" s="69" t="str">
        <f t="shared" si="127"/>
        <v>-</v>
      </c>
      <c r="BW112" s="70">
        <f t="shared" si="128"/>
        <v>137</v>
      </c>
      <c r="BX112" s="69">
        <f t="shared" si="129"/>
        <v>175</v>
      </c>
      <c r="BY112" s="70">
        <f t="shared" si="130"/>
        <v>181</v>
      </c>
      <c r="BZ112" s="69">
        <f t="shared" si="131"/>
        <v>236</v>
      </c>
      <c r="CA112" s="70">
        <f t="shared" si="132"/>
        <v>269</v>
      </c>
      <c r="CB112" s="69" t="str">
        <f t="shared" si="133"/>
        <v>-</v>
      </c>
      <c r="CC112" s="68">
        <f t="shared" si="134"/>
        <v>53</v>
      </c>
      <c r="CD112" s="69" t="str">
        <f t="shared" si="135"/>
        <v>-</v>
      </c>
      <c r="CE112" s="70">
        <f t="shared" si="136"/>
        <v>86</v>
      </c>
      <c r="CF112" s="70" t="str">
        <f t="shared" si="137"/>
        <v>-</v>
      </c>
      <c r="CG112" s="70">
        <f t="shared" si="138"/>
        <v>128</v>
      </c>
      <c r="CH112" s="70" t="str">
        <f t="shared" si="139"/>
        <v>-</v>
      </c>
      <c r="CI112" s="70">
        <f t="shared" si="140"/>
        <v>163</v>
      </c>
      <c r="CJ112" s="70">
        <f t="shared" si="141"/>
        <v>177</v>
      </c>
      <c r="CK112" s="70">
        <f t="shared" si="142"/>
        <v>219</v>
      </c>
      <c r="CL112" s="70">
        <f t="shared" si="143"/>
        <v>265</v>
      </c>
      <c r="CM112" s="70">
        <f t="shared" si="144"/>
        <v>292</v>
      </c>
      <c r="CN112" s="70" t="str">
        <f t="shared" si="145"/>
        <v>-</v>
      </c>
      <c r="CO112" s="57" t="e">
        <f t="shared" si="118"/>
        <v>#VALUE!</v>
      </c>
    </row>
    <row r="113" spans="1:93" x14ac:dyDescent="0.2">
      <c r="A113" s="3" t="str">
        <f t="shared" si="119"/>
        <v>par1_human__wt</v>
      </c>
      <c r="B113" s="3" t="s">
        <v>549</v>
      </c>
      <c r="C113" s="3" t="s">
        <v>294</v>
      </c>
      <c r="D113" s="3" t="str">
        <f>IFERROR(MID(VLOOKUP($B113,Seqs!$A:$B,2,FALSE),E113,1),"")</f>
        <v>S</v>
      </c>
      <c r="E113" s="3">
        <v>99</v>
      </c>
      <c r="F113" s="3" t="str">
        <f>IFERROR(MID(VLOOKUP($B113,Seqs!$A:$B,2,FALSE),G113,1),"")</f>
        <v>K</v>
      </c>
      <c r="G113" s="3">
        <v>130</v>
      </c>
      <c r="H113" s="3" t="str">
        <f>IFERROR(MID(VLOOKUP($B113,Seqs!$A:$B,2,FALSE),I113,1),"")</f>
        <v>M</v>
      </c>
      <c r="I113" s="57">
        <v>131</v>
      </c>
      <c r="J113" s="3" t="str">
        <f>IFERROR(MID(VLOOKUP($B113,Seqs!$A:$B,2,FALSE),K113,1),"")</f>
        <v>K</v>
      </c>
      <c r="K113" s="57">
        <v>134</v>
      </c>
      <c r="L113" s="3" t="str">
        <f>IFERROR(MID(VLOOKUP($B113,Seqs!$A:$B,2,FALSE),M113,1),"")</f>
        <v>K</v>
      </c>
      <c r="M113" s="3">
        <v>135</v>
      </c>
      <c r="N113" s="3" t="str">
        <f>IFERROR(MID(VLOOKUP($B113,Seqs!$A:$B,2,FALSE),O113,1),"")</f>
        <v>S</v>
      </c>
      <c r="O113" s="3">
        <v>164</v>
      </c>
      <c r="P113" s="3" t="str">
        <f>IFERROR(MID(VLOOKUP($B113,Seqs!$A:$B,2,FALSE),Q113,1),"")</f>
        <v>D</v>
      </c>
      <c r="Q113" s="3">
        <v>167</v>
      </c>
      <c r="R113" s="3" t="str">
        <f>IFERROR(MID(VLOOKUP($B113,Seqs!$A:$B,2,FALSE),S113,1),"")</f>
        <v>F</v>
      </c>
      <c r="S113" s="3">
        <v>170</v>
      </c>
      <c r="T113" s="3" t="str">
        <f>IFERROR(MID(VLOOKUP($B113,Seqs!$A:$B,2,FALSE),U113,1),"")</f>
        <v>G</v>
      </c>
      <c r="U113" s="3">
        <v>171</v>
      </c>
      <c r="V113" s="3" t="str">
        <f>IFERROR(MID(VLOOKUP($B113,Seqs!$A:$B,2,FALSE),W113,1),"")</f>
        <v>Y</v>
      </c>
      <c r="W113" s="3">
        <v>206</v>
      </c>
      <c r="X113" s="3" t="str">
        <f>IFERROR(MID(VLOOKUP($B113,Seqs!$A:$B,2,FALSE),Y113,1),"")</f>
        <v>P</v>
      </c>
      <c r="Y113" s="3">
        <v>207</v>
      </c>
      <c r="Z113" s="3" t="str">
        <f>IFERROR(MID(VLOOKUP($B113,Seqs!$A:$B,2,FALSE),AA113,1),"")</f>
        <v>R</v>
      </c>
      <c r="AA113" s="3">
        <v>214</v>
      </c>
      <c r="AB113" s="3" t="str">
        <f>IFERROR(MID(VLOOKUP($B113,Seqs!$A:$B,2,FALSE),AC113,1),"")</f>
        <v>L</v>
      </c>
      <c r="AC113" s="3">
        <v>216</v>
      </c>
      <c r="AD113" s="3" t="str">
        <f>IFERROR(MID(VLOOKUP($B113,Seqs!$A:$B,2,FALSE),AE113,1),"")</f>
        <v>K</v>
      </c>
      <c r="AE113" s="3">
        <v>240</v>
      </c>
      <c r="AF113" s="3" t="str">
        <f>IFERROR(MID(VLOOKUP($B113,Seqs!$A:$B,2,FALSE),AG113,1),"")</f>
        <v>C</v>
      </c>
      <c r="AG113" s="3">
        <v>254</v>
      </c>
      <c r="AH113" s="3" t="str">
        <f>IFERROR(MID(VLOOKUP($B113,Seqs!$A:$B,2,FALSE),AI113,1),"")</f>
        <v>D</v>
      </c>
      <c r="AI113" s="3">
        <v>256</v>
      </c>
      <c r="AJ113" s="3" t="str">
        <f>IFERROR(MID(VLOOKUP($B113,Seqs!$A:$B,2,FALSE),AK113,1),"")</f>
        <v>E</v>
      </c>
      <c r="AK113" s="3">
        <v>264</v>
      </c>
      <c r="AL113" s="3" t="str">
        <f>IFERROR(MID(VLOOKUP($B113,Seqs!$A:$B,2,FALSE),AM113,1),"")</f>
        <v>S</v>
      </c>
      <c r="AM113" s="3">
        <v>299</v>
      </c>
      <c r="AN113" s="3" t="str">
        <f>IFERROR(MID(VLOOKUP($B113,Seqs!$A:$B,2,FALSE),AO113,1),"")</f>
        <v>N</v>
      </c>
      <c r="AO113" s="3">
        <v>304</v>
      </c>
      <c r="AP113" s="3" t="str">
        <f>IFERROR(MID(VLOOKUP($B113,Seqs!$A:$B,2,FALSE),AQ113,1),"")</f>
        <v>L</v>
      </c>
      <c r="AQ113" s="3">
        <v>340</v>
      </c>
      <c r="AR113" s="3" t="str">
        <f>IFERROR(MID(VLOOKUP($B113,Seqs!$A:$B,2,FALSE),AS113,1),"")</f>
        <v>T</v>
      </c>
      <c r="AS113" s="3">
        <v>346</v>
      </c>
      <c r="AT113" s="3" t="str">
        <f>IFERROR(MID(VLOOKUP($B113,Seqs!$A:$B,2,FALSE),AU113,1),"")</f>
        <v>A</v>
      </c>
      <c r="AU113" s="3">
        <v>374</v>
      </c>
      <c r="AV113" s="3" t="str">
        <f>IFERROR(MID(VLOOKUP($B113,Seqs!$A:$B,2,FALSE),AW113,1),"")</f>
        <v>S</v>
      </c>
      <c r="AW113" s="3">
        <v>375</v>
      </c>
      <c r="AX113" s="3" t="str">
        <f>IFERROR(MID(VLOOKUP($B113,Seqs!$A:$B,2,FALSE),AY113,1),"")</f>
        <v>K</v>
      </c>
      <c r="AY113" s="3">
        <v>389</v>
      </c>
      <c r="AZ113" s="83" t="str">
        <f>VLOOKUP(B113,Classification!A:D,2,FALSE)</f>
        <v>A</v>
      </c>
      <c r="BB113" s="82">
        <f>S113-Q113+1</f>
        <v>4</v>
      </c>
      <c r="BC113" s="57">
        <f t="shared" si="120"/>
        <v>259</v>
      </c>
      <c r="BD113" s="63" t="b">
        <f t="shared" si="121"/>
        <v>1</v>
      </c>
      <c r="BE113" s="68" t="s">
        <v>1514</v>
      </c>
      <c r="BF113" s="75" t="s">
        <v>1514</v>
      </c>
      <c r="BG113" s="75" t="s">
        <v>1514</v>
      </c>
      <c r="BH113" s="75" t="s">
        <v>1514</v>
      </c>
      <c r="BI113" s="75" t="s">
        <v>1514</v>
      </c>
      <c r="BJ113" s="75" t="s">
        <v>1514</v>
      </c>
      <c r="BK113" s="75" t="s">
        <v>1514</v>
      </c>
      <c r="BL113" s="75" t="s">
        <v>1514</v>
      </c>
      <c r="BM113" s="75" t="s">
        <v>1514</v>
      </c>
      <c r="BN113" s="75" t="s">
        <v>1514</v>
      </c>
      <c r="BO113" s="75" t="s">
        <v>1514</v>
      </c>
      <c r="BP113" s="75" t="s">
        <v>1514</v>
      </c>
      <c r="BQ113" s="68">
        <f t="shared" si="122"/>
        <v>99</v>
      </c>
      <c r="BR113" s="69">
        <f t="shared" si="123"/>
        <v>131</v>
      </c>
      <c r="BS113" s="70">
        <f t="shared" si="124"/>
        <v>135</v>
      </c>
      <c r="BT113" s="69">
        <f t="shared" si="125"/>
        <v>167</v>
      </c>
      <c r="BU113" s="70">
        <f t="shared" si="126"/>
        <v>171</v>
      </c>
      <c r="BV113" s="69">
        <f t="shared" si="127"/>
        <v>207</v>
      </c>
      <c r="BW113" s="70">
        <f t="shared" si="128"/>
        <v>216</v>
      </c>
      <c r="BX113" s="69">
        <f t="shared" si="129"/>
        <v>254</v>
      </c>
      <c r="BY113" s="70">
        <f t="shared" si="130"/>
        <v>264</v>
      </c>
      <c r="BZ113" s="69">
        <f t="shared" si="131"/>
        <v>304</v>
      </c>
      <c r="CA113" s="70">
        <f t="shared" si="132"/>
        <v>346</v>
      </c>
      <c r="CB113" s="69">
        <f t="shared" si="133"/>
        <v>375</v>
      </c>
      <c r="CC113" s="68">
        <f t="shared" si="134"/>
        <v>130</v>
      </c>
      <c r="CD113" s="69">
        <f t="shared" si="135"/>
        <v>134</v>
      </c>
      <c r="CE113" s="70">
        <f t="shared" si="136"/>
        <v>164</v>
      </c>
      <c r="CF113" s="70">
        <f t="shared" si="137"/>
        <v>170</v>
      </c>
      <c r="CG113" s="70">
        <f t="shared" si="138"/>
        <v>206</v>
      </c>
      <c r="CH113" s="70">
        <f t="shared" si="139"/>
        <v>214</v>
      </c>
      <c r="CI113" s="70">
        <f t="shared" si="140"/>
        <v>240</v>
      </c>
      <c r="CJ113" s="70">
        <f t="shared" si="141"/>
        <v>256</v>
      </c>
      <c r="CK113" s="70">
        <f t="shared" si="142"/>
        <v>299</v>
      </c>
      <c r="CL113" s="70">
        <f t="shared" si="143"/>
        <v>340</v>
      </c>
      <c r="CM113" s="70">
        <f t="shared" si="144"/>
        <v>374</v>
      </c>
      <c r="CN113" s="70">
        <f t="shared" si="145"/>
        <v>389</v>
      </c>
      <c r="CO113" s="57">
        <f t="shared" si="118"/>
        <v>1</v>
      </c>
    </row>
    <row r="114" spans="1:93" x14ac:dyDescent="0.2">
      <c r="A114" s="3" t="str">
        <f t="shared" si="119"/>
        <v>par1_human_3VW7</v>
      </c>
      <c r="B114" s="3" t="s">
        <v>549</v>
      </c>
      <c r="C114" s="3" t="s">
        <v>285</v>
      </c>
      <c r="D114" s="3" t="str">
        <f>IFERROR(MID(VLOOKUP($B114,Seqs!$A:$B,2,FALSE),E114,1),"")</f>
        <v>S</v>
      </c>
      <c r="E114" s="3">
        <v>99</v>
      </c>
      <c r="F114" s="3" t="str">
        <f>IFERROR(MID(VLOOKUP($B114,Seqs!$A:$B,2,FALSE),G114,1),"")</f>
        <v>K</v>
      </c>
      <c r="G114" s="3">
        <v>130</v>
      </c>
      <c r="H114" s="3" t="str">
        <f>IFERROR(MID(VLOOKUP($B114,Seqs!$A:$B,2,FALSE),I114,1),"")</f>
        <v/>
      </c>
      <c r="I114" s="57" t="s">
        <v>129</v>
      </c>
      <c r="J114" s="3" t="str">
        <f>IFERROR(MID(VLOOKUP($B114,Seqs!$A:$B,2,FALSE),K114,1),"")</f>
        <v/>
      </c>
      <c r="K114" s="57" t="s">
        <v>129</v>
      </c>
      <c r="L114" s="3" t="str">
        <f>IFERROR(MID(VLOOKUP($B114,Seqs!$A:$B,2,FALSE),M114,1),"")</f>
        <v>K</v>
      </c>
      <c r="M114" s="3">
        <v>135</v>
      </c>
      <c r="N114" s="3" t="str">
        <f>IFERROR(MID(VLOOKUP($B114,Seqs!$A:$B,2,FALSE),O114,1),"")</f>
        <v>S</v>
      </c>
      <c r="O114" s="3">
        <v>164</v>
      </c>
      <c r="P114" s="3" t="str">
        <f>IFERROR(MID(VLOOKUP($B114,Seqs!$A:$B,2,FALSE),Q114,1),"")</f>
        <v>D</v>
      </c>
      <c r="Q114" s="3">
        <v>167</v>
      </c>
      <c r="R114" s="3" t="str">
        <f>IFERROR(MID(VLOOKUP($B114,Seqs!$A:$B,2,FALSE),S114,1),"")</f>
        <v>F</v>
      </c>
      <c r="S114" s="3">
        <v>170</v>
      </c>
      <c r="T114" s="3" t="str">
        <f>IFERROR(MID(VLOOKUP($B114,Seqs!$A:$B,2,FALSE),U114,1),"")</f>
        <v>G</v>
      </c>
      <c r="U114" s="3">
        <v>171</v>
      </c>
      <c r="V114" s="3" t="str">
        <f>IFERROR(MID(VLOOKUP($B114,Seqs!$A:$B,2,FALSE),W114,1),"")</f>
        <v>Y</v>
      </c>
      <c r="W114" s="3">
        <v>206</v>
      </c>
      <c r="X114" s="3" t="str">
        <f>IFERROR(MID(VLOOKUP($B114,Seqs!$A:$B,2,FALSE),Y114,1),"")</f>
        <v/>
      </c>
      <c r="Y114" s="3" t="s">
        <v>129</v>
      </c>
      <c r="Z114" s="3" t="str">
        <f>IFERROR(MID(VLOOKUP($B114,Seqs!$A:$B,2,FALSE),AA114,1),"")</f>
        <v/>
      </c>
      <c r="AA114" s="3" t="s">
        <v>129</v>
      </c>
      <c r="AB114" s="3" t="str">
        <f>IFERROR(MID(VLOOKUP($B114,Seqs!$A:$B,2,FALSE),AC114,1),"")</f>
        <v>L</v>
      </c>
      <c r="AC114" s="3">
        <v>216</v>
      </c>
      <c r="AD114" s="3" t="str">
        <f>IFERROR(MID(VLOOKUP($B114,Seqs!$A:$B,2,FALSE),AE114,1),"")</f>
        <v>K</v>
      </c>
      <c r="AE114" s="3">
        <v>240</v>
      </c>
      <c r="AF114" s="3" t="str">
        <f>IFERROR(MID(VLOOKUP($B114,Seqs!$A:$B,2,FALSE),AG114,1),"")</f>
        <v>C</v>
      </c>
      <c r="AG114" s="3">
        <v>254</v>
      </c>
      <c r="AH114" s="3" t="str">
        <f>IFERROR(MID(VLOOKUP($B114,Seqs!$A:$B,2,FALSE),AI114,1),"")</f>
        <v>D</v>
      </c>
      <c r="AI114" s="3">
        <v>256</v>
      </c>
      <c r="AJ114" s="3" t="str">
        <f>IFERROR(MID(VLOOKUP($B114,Seqs!$A:$B,2,FALSE),AK114,1),"")</f>
        <v>E</v>
      </c>
      <c r="AK114" s="3">
        <v>264</v>
      </c>
      <c r="AL114" s="3" t="str">
        <f>IFERROR(MID(VLOOKUP($B114,Seqs!$A:$B,2,FALSE),AM114,1),"")</f>
        <v>S</v>
      </c>
      <c r="AM114" s="3">
        <v>300</v>
      </c>
      <c r="AN114" s="3" t="str">
        <f>IFERROR(MID(VLOOKUP($B114,Seqs!$A:$B,2,FALSE),AO114,1),"")</f>
        <v>N</v>
      </c>
      <c r="AO114" s="3">
        <v>304</v>
      </c>
      <c r="AP114" s="3" t="str">
        <f>IFERROR(MID(VLOOKUP($B114,Seqs!$A:$B,2,FALSE),AQ114,1),"")</f>
        <v>L</v>
      </c>
      <c r="AQ114" s="3">
        <v>340</v>
      </c>
      <c r="AR114" s="3" t="str">
        <f>IFERROR(MID(VLOOKUP($B114,Seqs!$A:$B,2,FALSE),AS114,1),"")</f>
        <v>T</v>
      </c>
      <c r="AS114" s="3">
        <v>346</v>
      </c>
      <c r="AT114" s="3" t="str">
        <f>IFERROR(MID(VLOOKUP($B114,Seqs!$A:$B,2,FALSE),AU114,1),"")</f>
        <v>Y</v>
      </c>
      <c r="AU114" s="3">
        <v>372</v>
      </c>
      <c r="AV114" s="3" t="str">
        <f>IFERROR(MID(VLOOKUP($B114,Seqs!$A:$B,2,FALSE),AW114,1),"")</f>
        <v/>
      </c>
      <c r="AW114" s="3" t="s">
        <v>129</v>
      </c>
      <c r="AX114" s="3" t="str">
        <f>IFERROR(MID(VLOOKUP($B114,Seqs!$A:$B,2,FALSE),AY114,1),"")</f>
        <v/>
      </c>
      <c r="AY114" s="3" t="s">
        <v>129</v>
      </c>
      <c r="AZ114" s="83" t="str">
        <f>VLOOKUP(B114,Classification!A:D,2,FALSE)</f>
        <v>A</v>
      </c>
      <c r="BC114" s="57">
        <f t="shared" si="120"/>
        <v>234</v>
      </c>
      <c r="BD114" s="63" t="b">
        <f t="shared" si="121"/>
        <v>1</v>
      </c>
      <c r="BE114" s="68" t="s">
        <v>1514</v>
      </c>
      <c r="BF114" s="75" t="s">
        <v>1514</v>
      </c>
      <c r="BG114" s="75" t="s">
        <v>1514</v>
      </c>
      <c r="BH114" s="75" t="s">
        <v>1514</v>
      </c>
      <c r="BI114" s="75" t="s">
        <v>1514</v>
      </c>
      <c r="BJ114" s="75" t="s">
        <v>1514</v>
      </c>
      <c r="BK114" s="75" t="s">
        <v>1514</v>
      </c>
      <c r="BL114" s="75" t="s">
        <v>1514</v>
      </c>
      <c r="BM114" s="75" t="s">
        <v>1514</v>
      </c>
      <c r="BN114" s="75" t="s">
        <v>1514</v>
      </c>
      <c r="BO114" s="75" t="s">
        <v>1514</v>
      </c>
      <c r="BP114" s="75" t="s">
        <v>1514</v>
      </c>
      <c r="BQ114" s="68">
        <f t="shared" si="122"/>
        <v>99</v>
      </c>
      <c r="BR114" s="69" t="str">
        <f t="shared" si="123"/>
        <v>-</v>
      </c>
      <c r="BS114" s="70">
        <f t="shared" si="124"/>
        <v>135</v>
      </c>
      <c r="BT114" s="69">
        <f t="shared" si="125"/>
        <v>167</v>
      </c>
      <c r="BU114" s="70">
        <f t="shared" si="126"/>
        <v>171</v>
      </c>
      <c r="BV114" s="69" t="str">
        <f t="shared" si="127"/>
        <v>-</v>
      </c>
      <c r="BW114" s="70">
        <f t="shared" si="128"/>
        <v>216</v>
      </c>
      <c r="BX114" s="69">
        <f t="shared" si="129"/>
        <v>254</v>
      </c>
      <c r="BY114" s="70">
        <f t="shared" si="130"/>
        <v>264</v>
      </c>
      <c r="BZ114" s="69">
        <f t="shared" si="131"/>
        <v>304</v>
      </c>
      <c r="CA114" s="70">
        <f t="shared" si="132"/>
        <v>346</v>
      </c>
      <c r="CB114" s="69" t="str">
        <f t="shared" si="133"/>
        <v>-</v>
      </c>
      <c r="CC114" s="68">
        <f t="shared" si="134"/>
        <v>130</v>
      </c>
      <c r="CD114" s="69" t="str">
        <f t="shared" si="135"/>
        <v>-</v>
      </c>
      <c r="CE114" s="70">
        <f t="shared" si="136"/>
        <v>164</v>
      </c>
      <c r="CF114" s="70">
        <f t="shared" si="137"/>
        <v>170</v>
      </c>
      <c r="CG114" s="70">
        <f t="shared" si="138"/>
        <v>206</v>
      </c>
      <c r="CH114" s="70" t="str">
        <f t="shared" si="139"/>
        <v>-</v>
      </c>
      <c r="CI114" s="70">
        <f t="shared" si="140"/>
        <v>240</v>
      </c>
      <c r="CJ114" s="70">
        <f t="shared" si="141"/>
        <v>256</v>
      </c>
      <c r="CK114" s="70">
        <f t="shared" si="142"/>
        <v>300</v>
      </c>
      <c r="CL114" s="70">
        <f t="shared" si="143"/>
        <v>340</v>
      </c>
      <c r="CM114" s="70">
        <f t="shared" si="144"/>
        <v>372</v>
      </c>
      <c r="CN114" s="70" t="str">
        <f t="shared" si="145"/>
        <v>-</v>
      </c>
      <c r="CO114" s="57" t="e">
        <f t="shared" si="118"/>
        <v>#VALUE!</v>
      </c>
    </row>
    <row r="115" spans="1:93" x14ac:dyDescent="0.2">
      <c r="A115" s="3" t="str">
        <f t="shared" si="119"/>
        <v>s1pr1_human__wt</v>
      </c>
      <c r="B115" s="3" t="s">
        <v>298</v>
      </c>
      <c r="C115" s="3" t="s">
        <v>294</v>
      </c>
      <c r="D115" s="3" t="str">
        <f>IFERROR(MID(VLOOKUP($B115,Seqs!$A:$B,2,FALSE),E115,1),"")</f>
        <v>E</v>
      </c>
      <c r="E115" s="3">
        <v>42</v>
      </c>
      <c r="F115" s="3" t="str">
        <f>IFERROR(MID(VLOOKUP($B115,Seqs!$A:$B,2,FALSE),G115,1),"")</f>
        <v>T</v>
      </c>
      <c r="G115" s="3">
        <v>73</v>
      </c>
      <c r="H115" s="3" t="str">
        <f>IFERROR(MID(VLOOKUP($B115,Seqs!$A:$B,2,FALSE),I115,1),"")</f>
        <v>K</v>
      </c>
      <c r="I115" s="57">
        <v>74</v>
      </c>
      <c r="J115" s="3" t="str">
        <f>IFERROR(MID(VLOOKUP($B115,Seqs!$A:$B,2,FALSE),K115,1),"")</f>
        <v>H</v>
      </c>
      <c r="K115" s="57">
        <v>77</v>
      </c>
      <c r="L115" s="3" t="str">
        <f>IFERROR(MID(VLOOKUP($B115,Seqs!$A:$B,2,FALSE),M115,1),"")</f>
        <v>R</v>
      </c>
      <c r="M115" s="3">
        <v>78</v>
      </c>
      <c r="N115" s="3" t="str">
        <f>IFERROR(MID(VLOOKUP($B115,Seqs!$A:$B,2,FALSE),O115,1),"")</f>
        <v>L</v>
      </c>
      <c r="O115" s="3">
        <v>104</v>
      </c>
      <c r="P115" s="3" t="str">
        <f>IFERROR(MID(VLOOKUP($B115,Seqs!$A:$B,2,FALSE),Q115,1),"")</f>
        <v>G</v>
      </c>
      <c r="Q115" s="3">
        <v>106</v>
      </c>
      <c r="R115" s="3" t="str">
        <f>IFERROR(MID(VLOOKUP($B115,Seqs!$A:$B,2,FALSE),S115,1),"")</f>
        <v>L</v>
      </c>
      <c r="S115" s="3">
        <v>112</v>
      </c>
      <c r="T115" s="3" t="str">
        <f>IFERROR(MID(VLOOKUP($B115,Seqs!$A:$B,2,FALSE),U115,1),"")</f>
        <v>T</v>
      </c>
      <c r="U115" s="3">
        <v>113</v>
      </c>
      <c r="V115" s="3" t="str">
        <f>IFERROR(MID(VLOOKUP($B115,Seqs!$A:$B,2,FALSE),W115,1),"")</f>
        <v>K</v>
      </c>
      <c r="W115" s="3">
        <v>148</v>
      </c>
      <c r="X115" s="3" t="str">
        <f>IFERROR(MID(VLOOKUP($B115,Seqs!$A:$B,2,FALSE),Y115,1),"")</f>
        <v>M</v>
      </c>
      <c r="Y115" s="3">
        <v>149</v>
      </c>
      <c r="Z115" s="3" t="str">
        <f>IFERROR(MID(VLOOKUP($B115,Seqs!$A:$B,2,FALSE),AA115,1),"")</f>
        <v>N</v>
      </c>
      <c r="AA115" s="3">
        <v>156</v>
      </c>
      <c r="AB115" s="3" t="str">
        <f>IFERROR(MID(VLOOKUP($B115,Seqs!$A:$B,2,FALSE),AC115,1),"")</f>
        <v>N</v>
      </c>
      <c r="AC115" s="3">
        <v>157</v>
      </c>
      <c r="AD115" s="3" t="str">
        <f>IFERROR(MID(VLOOKUP($B115,Seqs!$A:$B,2,FALSE),AE115,1),"")</f>
        <v>G</v>
      </c>
      <c r="AE115" s="3">
        <v>181</v>
      </c>
      <c r="AF115" s="3" t="str">
        <f>IFERROR(MID(VLOOKUP($B115,Seqs!$A:$B,2,FALSE),AG115,1),"")</f>
        <v/>
      </c>
      <c r="AG115" s="3" t="s">
        <v>129</v>
      </c>
      <c r="AH115" s="3" t="str">
        <f>IFERROR(MID(VLOOKUP($B115,Seqs!$A:$B,2,FALSE),AI115,1),"")</f>
        <v/>
      </c>
      <c r="AI115" s="3" t="s">
        <v>129</v>
      </c>
      <c r="AJ115" s="3" t="str">
        <f>IFERROR(MID(VLOOKUP($B115,Seqs!$A:$B,2,FALSE),AK115,1),"")</f>
        <v>H</v>
      </c>
      <c r="AK115" s="3">
        <v>199</v>
      </c>
      <c r="AL115" s="3" t="str">
        <f>IFERROR(MID(VLOOKUP($B115,Seqs!$A:$B,2,FALSE),AM115,1),"")</f>
        <v>T</v>
      </c>
      <c r="AM115" s="3">
        <v>236</v>
      </c>
      <c r="AN115" s="3" t="str">
        <f>IFERROR(MID(VLOOKUP($B115,Seqs!$A:$B,2,FALSE),AO115,1),"")</f>
        <v>S</v>
      </c>
      <c r="AO115" s="3">
        <v>245</v>
      </c>
      <c r="AP115" s="3" t="str">
        <f>IFERROR(MID(VLOOKUP($B115,Seqs!$A:$B,2,FALSE),AQ115,1),"")</f>
        <v>C</v>
      </c>
      <c r="AQ115" s="3">
        <v>282</v>
      </c>
      <c r="AR115" s="3" t="str">
        <f>IFERROR(MID(VLOOKUP($B115,Seqs!$A:$B,2,FALSE),AS115,1),"")</f>
        <v>D</v>
      </c>
      <c r="AS115" s="3">
        <v>288</v>
      </c>
      <c r="AT115" s="3" t="str">
        <f>IFERROR(MID(VLOOKUP($B115,Seqs!$A:$B,2,FALSE),AU115,1),"")</f>
        <v>T</v>
      </c>
      <c r="AU115" s="3">
        <v>314</v>
      </c>
      <c r="AV115" s="3" t="str">
        <f>IFERROR(MID(VLOOKUP($B115,Seqs!$A:$B,2,FALSE),AW115,1),"")</f>
        <v>N</v>
      </c>
      <c r="AW115" s="3">
        <v>315</v>
      </c>
      <c r="AX115" s="3" t="str">
        <f>IFERROR(MID(VLOOKUP($B115,Seqs!$A:$B,2,FALSE),AY115,1),"")</f>
        <v>S</v>
      </c>
      <c r="AY115" s="3">
        <v>327</v>
      </c>
      <c r="AZ115" s="83" t="str">
        <f>VLOOKUP(B115,Classification!A:D,2,FALSE)</f>
        <v>A</v>
      </c>
      <c r="BB115" s="82">
        <f>S115-Q115+1</f>
        <v>7</v>
      </c>
      <c r="BC115" s="57">
        <f t="shared" si="120"/>
        <v>256</v>
      </c>
      <c r="BD115" s="63" t="b">
        <f t="shared" si="121"/>
        <v>1</v>
      </c>
      <c r="BE115" s="68" t="s">
        <v>1514</v>
      </c>
      <c r="BF115" s="75" t="s">
        <v>1514</v>
      </c>
      <c r="BG115" s="75" t="s">
        <v>1514</v>
      </c>
      <c r="BH115" s="75" t="s">
        <v>1514</v>
      </c>
      <c r="BI115" s="75" t="s">
        <v>1514</v>
      </c>
      <c r="BJ115" s="75" t="s">
        <v>1514</v>
      </c>
      <c r="BK115" s="75" t="s">
        <v>1514</v>
      </c>
      <c r="BL115" s="75" t="s">
        <v>1514</v>
      </c>
      <c r="BM115" s="75" t="s">
        <v>1514</v>
      </c>
      <c r="BN115" s="75" t="s">
        <v>1514</v>
      </c>
      <c r="BO115" s="75" t="s">
        <v>1514</v>
      </c>
      <c r="BP115" s="75" t="s">
        <v>1514</v>
      </c>
      <c r="BQ115" s="68">
        <f t="shared" si="122"/>
        <v>42</v>
      </c>
      <c r="BR115" s="69">
        <f t="shared" si="123"/>
        <v>74</v>
      </c>
      <c r="BS115" s="70">
        <f t="shared" si="124"/>
        <v>78</v>
      </c>
      <c r="BT115" s="69">
        <f t="shared" si="125"/>
        <v>106</v>
      </c>
      <c r="BU115" s="70">
        <f t="shared" si="126"/>
        <v>113</v>
      </c>
      <c r="BV115" s="69">
        <f t="shared" si="127"/>
        <v>149</v>
      </c>
      <c r="BW115" s="70">
        <f t="shared" si="128"/>
        <v>157</v>
      </c>
      <c r="BX115" s="69" t="str">
        <f t="shared" si="129"/>
        <v>-</v>
      </c>
      <c r="BY115" s="70">
        <f t="shared" si="130"/>
        <v>199</v>
      </c>
      <c r="BZ115" s="69">
        <f t="shared" si="131"/>
        <v>245</v>
      </c>
      <c r="CA115" s="70">
        <f t="shared" si="132"/>
        <v>288</v>
      </c>
      <c r="CB115" s="69">
        <f t="shared" si="133"/>
        <v>315</v>
      </c>
      <c r="CC115" s="68">
        <f t="shared" si="134"/>
        <v>73</v>
      </c>
      <c r="CD115" s="69">
        <f t="shared" si="135"/>
        <v>77</v>
      </c>
      <c r="CE115" s="70">
        <f t="shared" si="136"/>
        <v>104</v>
      </c>
      <c r="CF115" s="70">
        <f t="shared" si="137"/>
        <v>112</v>
      </c>
      <c r="CG115" s="70">
        <f t="shared" si="138"/>
        <v>148</v>
      </c>
      <c r="CH115" s="70">
        <f t="shared" si="139"/>
        <v>156</v>
      </c>
      <c r="CI115" s="70">
        <f t="shared" si="140"/>
        <v>181</v>
      </c>
      <c r="CJ115" s="70" t="str">
        <f t="shared" si="141"/>
        <v>-</v>
      </c>
      <c r="CK115" s="70">
        <f t="shared" si="142"/>
        <v>236</v>
      </c>
      <c r="CL115" s="70">
        <f t="shared" si="143"/>
        <v>282</v>
      </c>
      <c r="CM115" s="70">
        <f t="shared" si="144"/>
        <v>314</v>
      </c>
      <c r="CN115" s="70">
        <f t="shared" si="145"/>
        <v>327</v>
      </c>
      <c r="CO115" s="57">
        <f t="shared" si="118"/>
        <v>1</v>
      </c>
    </row>
    <row r="116" spans="1:93" x14ac:dyDescent="0.2">
      <c r="A116" s="3" t="str">
        <f t="shared" si="119"/>
        <v>s1pr1_human_3V2Y</v>
      </c>
      <c r="B116" s="3" t="s">
        <v>298</v>
      </c>
      <c r="C116" s="3" t="s">
        <v>286</v>
      </c>
      <c r="D116" s="3" t="str">
        <f>IFERROR(MID(VLOOKUP($B116,Seqs!$A:$B,2,FALSE),E116,1),"")</f>
        <v>E</v>
      </c>
      <c r="E116" s="3">
        <v>42</v>
      </c>
      <c r="F116" s="3" t="str">
        <f>IFERROR(MID(VLOOKUP($B116,Seqs!$A:$B,2,FALSE),G116,1),"")</f>
        <v>T</v>
      </c>
      <c r="G116" s="3">
        <v>73</v>
      </c>
      <c r="H116" s="3" t="str">
        <f>IFERROR(MID(VLOOKUP($B116,Seqs!$A:$B,2,FALSE),I116,1),"")</f>
        <v>K</v>
      </c>
      <c r="I116" s="57">
        <v>74</v>
      </c>
      <c r="J116" s="3" t="str">
        <f>IFERROR(MID(VLOOKUP($B116,Seqs!$A:$B,2,FALSE),K116,1),"")</f>
        <v>H</v>
      </c>
      <c r="K116" s="57">
        <v>77</v>
      </c>
      <c r="L116" s="3" t="str">
        <f>IFERROR(MID(VLOOKUP($B116,Seqs!$A:$B,2,FALSE),M116,1),"")</f>
        <v>R</v>
      </c>
      <c r="M116" s="3">
        <v>78</v>
      </c>
      <c r="N116" s="3" t="str">
        <f>IFERROR(MID(VLOOKUP($B116,Seqs!$A:$B,2,FALSE),O116,1),"")</f>
        <v>L</v>
      </c>
      <c r="O116" s="3">
        <v>104</v>
      </c>
      <c r="P116" s="3" t="str">
        <f>IFERROR(MID(VLOOKUP($B116,Seqs!$A:$B,2,FALSE),Q116,1),"")</f>
        <v>G</v>
      </c>
      <c r="Q116" s="3">
        <v>106</v>
      </c>
      <c r="R116" s="3" t="str">
        <f>IFERROR(MID(VLOOKUP($B116,Seqs!$A:$B,2,FALSE),S116,1),"")</f>
        <v>L</v>
      </c>
      <c r="S116" s="3">
        <v>112</v>
      </c>
      <c r="T116" s="3" t="str">
        <f>IFERROR(MID(VLOOKUP($B116,Seqs!$A:$B,2,FALSE),U116,1),"")</f>
        <v>T</v>
      </c>
      <c r="U116" s="3">
        <v>113</v>
      </c>
      <c r="V116" s="3" t="str">
        <f>IFERROR(MID(VLOOKUP($B116,Seqs!$A:$B,2,FALSE),W116,1),"")</f>
        <v>L</v>
      </c>
      <c r="W116" s="3">
        <v>147</v>
      </c>
      <c r="X116" s="3" t="str">
        <f>IFERROR(MID(VLOOKUP($B116,Seqs!$A:$B,2,FALSE),Y116,1),"")</f>
        <v/>
      </c>
      <c r="Y116" s="3" t="s">
        <v>129</v>
      </c>
      <c r="Z116" s="3" t="str">
        <f>IFERROR(MID(VLOOKUP($B116,Seqs!$A:$B,2,FALSE),AA116,1),"")</f>
        <v/>
      </c>
      <c r="AA116" s="3" t="s">
        <v>129</v>
      </c>
      <c r="AB116" s="3" t="str">
        <f>IFERROR(MID(VLOOKUP($B116,Seqs!$A:$B,2,FALSE),AC116,1),"")</f>
        <v>N</v>
      </c>
      <c r="AC116" s="3">
        <v>157</v>
      </c>
      <c r="AD116" s="3" t="str">
        <f>IFERROR(MID(VLOOKUP($B116,Seqs!$A:$B,2,FALSE),AE116,1),"")</f>
        <v>G</v>
      </c>
      <c r="AE116" s="3">
        <v>181</v>
      </c>
      <c r="AF116" s="3" t="str">
        <f>IFERROR(MID(VLOOKUP($B116,Seqs!$A:$B,2,FALSE),AG116,1),"")</f>
        <v/>
      </c>
      <c r="AG116" s="3" t="s">
        <v>129</v>
      </c>
      <c r="AH116" s="3" t="str">
        <f>IFERROR(MID(VLOOKUP($B116,Seqs!$A:$B,2,FALSE),AI116,1),"")</f>
        <v/>
      </c>
      <c r="AI116" s="3" t="s">
        <v>129</v>
      </c>
      <c r="AJ116" s="3" t="str">
        <f>IFERROR(MID(VLOOKUP($B116,Seqs!$A:$B,2,FALSE),AK116,1),"")</f>
        <v>H</v>
      </c>
      <c r="AK116" s="3">
        <v>199</v>
      </c>
      <c r="AL116" s="3" t="str">
        <f>IFERROR(MID(VLOOKUP($B116,Seqs!$A:$B,2,FALSE),AM116,1),"")</f>
        <v>R</v>
      </c>
      <c r="AM116" s="3">
        <v>231</v>
      </c>
      <c r="AN116" s="3" t="str">
        <f>IFERROR(MID(VLOOKUP($B116,Seqs!$A:$B,2,FALSE),AO116,1),"")</f>
        <v>S</v>
      </c>
      <c r="AO116" s="3">
        <v>251</v>
      </c>
      <c r="AP116" s="3" t="str">
        <f>IFERROR(MID(VLOOKUP($B116,Seqs!$A:$B,2,FALSE),AQ116,1),"")</f>
        <v>C</v>
      </c>
      <c r="AQ116" s="3">
        <v>282</v>
      </c>
      <c r="AR116" s="3" t="str">
        <f>IFERROR(MID(VLOOKUP($B116,Seqs!$A:$B,2,FALSE),AS116,1),"")</f>
        <v>D</v>
      </c>
      <c r="AS116" s="3">
        <v>288</v>
      </c>
      <c r="AT116" s="3" t="str">
        <f>IFERROR(MID(VLOOKUP($B116,Seqs!$A:$B,2,FALSE),AU116,1),"")</f>
        <v>T</v>
      </c>
      <c r="AU116" s="3">
        <v>314</v>
      </c>
      <c r="AV116" s="3" t="str">
        <f>IFERROR(MID(VLOOKUP($B116,Seqs!$A:$B,2,FALSE),AW116,1),"")</f>
        <v>N</v>
      </c>
      <c r="AW116" s="3">
        <v>315</v>
      </c>
      <c r="AX116" s="3" t="str">
        <f>IFERROR(MID(VLOOKUP($B116,Seqs!$A:$B,2,FALSE),AY116,1),"")</f>
        <v>I</v>
      </c>
      <c r="AY116" s="3">
        <v>323</v>
      </c>
      <c r="AZ116" s="83" t="str">
        <f>VLOOKUP(B116,Classification!A:D,2,FALSE)</f>
        <v>A</v>
      </c>
      <c r="BC116" s="57">
        <f t="shared" si="120"/>
        <v>233</v>
      </c>
      <c r="BD116" s="63" t="b">
        <f t="shared" si="121"/>
        <v>1</v>
      </c>
      <c r="BE116" s="68" t="s">
        <v>1514</v>
      </c>
      <c r="BF116" s="75" t="s">
        <v>1514</v>
      </c>
      <c r="BG116" s="75" t="s">
        <v>1514</v>
      </c>
      <c r="BH116" s="75" t="s">
        <v>1514</v>
      </c>
      <c r="BI116" s="75" t="s">
        <v>1514</v>
      </c>
      <c r="BJ116" s="75" t="s">
        <v>1514</v>
      </c>
      <c r="BK116" s="75" t="s">
        <v>1514</v>
      </c>
      <c r="BL116" s="75" t="s">
        <v>1514</v>
      </c>
      <c r="BM116" s="75" t="s">
        <v>1514</v>
      </c>
      <c r="BN116" s="75" t="s">
        <v>1514</v>
      </c>
      <c r="BO116" s="75" t="s">
        <v>1514</v>
      </c>
      <c r="BP116" s="75" t="s">
        <v>1514</v>
      </c>
      <c r="BQ116" s="68">
        <f t="shared" si="122"/>
        <v>42</v>
      </c>
      <c r="BR116" s="69">
        <f t="shared" si="123"/>
        <v>74</v>
      </c>
      <c r="BS116" s="70">
        <f t="shared" si="124"/>
        <v>78</v>
      </c>
      <c r="BT116" s="69">
        <f t="shared" si="125"/>
        <v>106</v>
      </c>
      <c r="BU116" s="70">
        <f t="shared" si="126"/>
        <v>113</v>
      </c>
      <c r="BV116" s="69" t="str">
        <f t="shared" si="127"/>
        <v>-</v>
      </c>
      <c r="BW116" s="70">
        <f t="shared" si="128"/>
        <v>157</v>
      </c>
      <c r="BX116" s="69" t="str">
        <f t="shared" si="129"/>
        <v>-</v>
      </c>
      <c r="BY116" s="70">
        <f t="shared" si="130"/>
        <v>199</v>
      </c>
      <c r="BZ116" s="69">
        <f t="shared" si="131"/>
        <v>251</v>
      </c>
      <c r="CA116" s="70">
        <f t="shared" si="132"/>
        <v>288</v>
      </c>
      <c r="CB116" s="69">
        <f t="shared" si="133"/>
        <v>315</v>
      </c>
      <c r="CC116" s="68">
        <f t="shared" si="134"/>
        <v>73</v>
      </c>
      <c r="CD116" s="69">
        <f t="shared" si="135"/>
        <v>77</v>
      </c>
      <c r="CE116" s="70">
        <f t="shared" si="136"/>
        <v>104</v>
      </c>
      <c r="CF116" s="70">
        <f t="shared" si="137"/>
        <v>112</v>
      </c>
      <c r="CG116" s="70">
        <f t="shared" si="138"/>
        <v>147</v>
      </c>
      <c r="CH116" s="70" t="str">
        <f t="shared" si="139"/>
        <v>-</v>
      </c>
      <c r="CI116" s="70">
        <f t="shared" si="140"/>
        <v>181</v>
      </c>
      <c r="CJ116" s="70" t="str">
        <f t="shared" si="141"/>
        <v>-</v>
      </c>
      <c r="CK116" s="70">
        <f t="shared" si="142"/>
        <v>231</v>
      </c>
      <c r="CL116" s="70">
        <f t="shared" si="143"/>
        <v>282</v>
      </c>
      <c r="CM116" s="70">
        <f t="shared" si="144"/>
        <v>314</v>
      </c>
      <c r="CN116" s="70">
        <f t="shared" si="145"/>
        <v>323</v>
      </c>
      <c r="CO116" s="57">
        <f t="shared" si="118"/>
        <v>1</v>
      </c>
    </row>
    <row r="117" spans="1:93" x14ac:dyDescent="0.2">
      <c r="A117" s="3" t="str">
        <f t="shared" si="119"/>
        <v>us28_hcmva__wt</v>
      </c>
      <c r="B117" s="3" t="s">
        <v>1120</v>
      </c>
      <c r="C117" s="3" t="s">
        <v>294</v>
      </c>
      <c r="D117" s="3" t="str">
        <f>IFERROR(MID(VLOOKUP($B117,Seqs!$A:$B,2,FALSE),E117,1),"")</f>
        <v>T</v>
      </c>
      <c r="E117" s="3">
        <v>26</v>
      </c>
      <c r="F117" s="3" t="str">
        <f>IFERROR(MID(VLOOKUP($B117,Seqs!$A:$B,2,FALSE),G117,1),"")</f>
        <v>R</v>
      </c>
      <c r="G117" s="3">
        <v>61</v>
      </c>
      <c r="H117" s="3" t="str">
        <f>IFERROR(MID(VLOOKUP($B117,Seqs!$A:$B,2,FALSE),I117,1),"")</f>
        <v>R</v>
      </c>
      <c r="I117" s="57">
        <v>62</v>
      </c>
      <c r="J117" s="3" t="str">
        <f>IFERROR(MID(VLOOKUP($B117,Seqs!$A:$B,2,FALSE),K117,1),"")</f>
        <v>Q</v>
      </c>
      <c r="K117" s="57">
        <v>65</v>
      </c>
      <c r="L117" s="3" t="str">
        <f>IFERROR(MID(VLOOKUP($B117,Seqs!$A:$B,2,FALSE),M117,1),"")</f>
        <v>C</v>
      </c>
      <c r="M117" s="3">
        <v>66</v>
      </c>
      <c r="N117" s="3" t="str">
        <f>IFERROR(MID(VLOOKUP($B117,Seqs!$A:$B,2,FALSE),O117,1),"")</f>
        <v>D</v>
      </c>
      <c r="O117" s="3">
        <v>95</v>
      </c>
      <c r="P117" s="3" t="str">
        <f>IFERROR(MID(VLOOKUP($B117,Seqs!$A:$B,2,FALSE),Q117,1),"")</f>
        <v/>
      </c>
      <c r="Q117" s="3" t="s">
        <v>129</v>
      </c>
      <c r="R117" s="3" t="str">
        <f>IFERROR(MID(VLOOKUP($B117,Seqs!$A:$B,2,FALSE),S117,1),"")</f>
        <v/>
      </c>
      <c r="S117" s="3" t="s">
        <v>129</v>
      </c>
      <c r="T117" s="3" t="str">
        <f>IFERROR(MID(VLOOKUP($B117,Seqs!$A:$B,2,FALSE),U117,1),"")</f>
        <v>P</v>
      </c>
      <c r="U117" s="3">
        <v>103</v>
      </c>
      <c r="V117" s="3" t="str">
        <f>IFERROR(MID(VLOOKUP($B117,Seqs!$A:$B,2,FALSE),W117,1),"")</f>
        <v>Y</v>
      </c>
      <c r="W117" s="3">
        <v>135</v>
      </c>
      <c r="X117" s="3" t="str">
        <f>IFERROR(MID(VLOOKUP($B117,Seqs!$A:$B,2,FALSE),Y117,1),"")</f>
        <v/>
      </c>
      <c r="Y117" s="3" t="s">
        <v>129</v>
      </c>
      <c r="Z117" s="3" t="str">
        <f>IFERROR(MID(VLOOKUP($B117,Seqs!$A:$B,2,FALSE),AA117,1),"")</f>
        <v/>
      </c>
      <c r="AA117" s="3" t="s">
        <v>129</v>
      </c>
      <c r="AB117" s="3" t="str">
        <f>IFERROR(MID(VLOOKUP($B117,Seqs!$A:$B,2,FALSE),AC117,1),"")</f>
        <v>V</v>
      </c>
      <c r="AC117" s="3">
        <v>141</v>
      </c>
      <c r="AD117" s="3" t="str">
        <f>IFERROR(MID(VLOOKUP($B117,Seqs!$A:$B,2,FALSE),AE117,1),"")</f>
        <v>V</v>
      </c>
      <c r="AE117" s="3">
        <v>165</v>
      </c>
      <c r="AF117" s="3" t="str">
        <f>IFERROR(MID(VLOOKUP($B117,Seqs!$A:$B,2,FALSE),AG117,1),"")</f>
        <v>C</v>
      </c>
      <c r="AG117" s="3">
        <v>173</v>
      </c>
      <c r="AH117" s="3" t="str">
        <f>IFERROR(MID(VLOOKUP($B117,Seqs!$A:$B,2,FALSE),AI117,1),"")</f>
        <v>T</v>
      </c>
      <c r="AI117" s="3">
        <v>175</v>
      </c>
      <c r="AJ117" s="3" t="str">
        <f>IFERROR(MID(VLOOKUP($B117,Seqs!$A:$B,2,FALSE),AK117,1),"")</f>
        <v>V</v>
      </c>
      <c r="AK117" s="3">
        <v>182</v>
      </c>
      <c r="AL117" s="3" t="str">
        <f>IFERROR(MID(VLOOKUP($B117,Seqs!$A:$B,2,FALSE),AM117,1),"")</f>
        <v>S</v>
      </c>
      <c r="AM117" s="3">
        <v>218</v>
      </c>
      <c r="AN117" s="3" t="str">
        <f>IFERROR(MID(VLOOKUP($B117,Seqs!$A:$B,2,FALSE),AO117,1),"")</f>
        <v>H</v>
      </c>
      <c r="AO117" s="3">
        <v>222</v>
      </c>
      <c r="AP117" s="3" t="str">
        <f>IFERROR(MID(VLOOKUP($B117,Seqs!$A:$B,2,FALSE),AQ117,1),"")</f>
        <v>K</v>
      </c>
      <c r="AQ117" s="3">
        <v>257</v>
      </c>
      <c r="AR117" s="3" t="str">
        <f>IFERROR(MID(VLOOKUP($B117,Seqs!$A:$B,2,FALSE),AS117,1),"")</f>
        <v>S</v>
      </c>
      <c r="AS117" s="3">
        <v>262</v>
      </c>
      <c r="AT117" s="3" t="str">
        <f>IFERROR(MID(VLOOKUP($B117,Seqs!$A:$B,2,FALSE),AU117,1),"")</f>
        <v>V</v>
      </c>
      <c r="AU117" s="3">
        <v>294</v>
      </c>
      <c r="AV117" s="3" t="str">
        <f>IFERROR(MID(VLOOKUP($B117,Seqs!$A:$B,2,FALSE),AW117,1),"")</f>
        <v>G</v>
      </c>
      <c r="AW117" s="3">
        <v>295</v>
      </c>
      <c r="AX117" s="3" t="str">
        <f>IFERROR(MID(VLOOKUP($B117,Seqs!$A:$B,2,FALSE),AY117,1),"")</f>
        <v>R</v>
      </c>
      <c r="AY117" s="3">
        <v>310</v>
      </c>
      <c r="AZ117" s="83" t="str">
        <f>VLOOKUP(B117,Classification!A:D,2,FALSE)</f>
        <v>A</v>
      </c>
      <c r="BB117" s="82" t="e">
        <f>S117-Q117+1</f>
        <v>#VALUE!</v>
      </c>
      <c r="BC117" s="57">
        <f t="shared" si="120"/>
        <v>255</v>
      </c>
      <c r="BD117" s="63" t="b">
        <f t="shared" si="121"/>
        <v>1</v>
      </c>
      <c r="BE117" s="68" t="s">
        <v>1514</v>
      </c>
      <c r="BF117" s="75" t="s">
        <v>1514</v>
      </c>
      <c r="BG117" s="75" t="s">
        <v>1514</v>
      </c>
      <c r="BH117" s="75" t="s">
        <v>1514</v>
      </c>
      <c r="BI117" s="75" t="s">
        <v>1514</v>
      </c>
      <c r="BJ117" s="75" t="s">
        <v>1514</v>
      </c>
      <c r="BK117" s="75" t="s">
        <v>1514</v>
      </c>
      <c r="BL117" s="75" t="s">
        <v>1514</v>
      </c>
      <c r="BM117" s="75" t="s">
        <v>1514</v>
      </c>
      <c r="BN117" s="75" t="s">
        <v>1514</v>
      </c>
      <c r="BO117" s="75" t="s">
        <v>1514</v>
      </c>
      <c r="BP117" s="75" t="s">
        <v>1514</v>
      </c>
      <c r="BQ117" s="68">
        <f t="shared" si="122"/>
        <v>26</v>
      </c>
      <c r="BR117" s="69">
        <f t="shared" si="123"/>
        <v>62</v>
      </c>
      <c r="BS117" s="70">
        <f t="shared" si="124"/>
        <v>66</v>
      </c>
      <c r="BT117" s="69" t="str">
        <f t="shared" si="125"/>
        <v>-</v>
      </c>
      <c r="BU117" s="70">
        <f t="shared" si="126"/>
        <v>103</v>
      </c>
      <c r="BV117" s="69" t="str">
        <f t="shared" si="127"/>
        <v>-</v>
      </c>
      <c r="BW117" s="70">
        <f t="shared" si="128"/>
        <v>141</v>
      </c>
      <c r="BX117" s="69">
        <f t="shared" si="129"/>
        <v>173</v>
      </c>
      <c r="BY117" s="70">
        <f t="shared" si="130"/>
        <v>182</v>
      </c>
      <c r="BZ117" s="69">
        <f t="shared" si="131"/>
        <v>222</v>
      </c>
      <c r="CA117" s="70">
        <f t="shared" si="132"/>
        <v>262</v>
      </c>
      <c r="CB117" s="69">
        <f t="shared" si="133"/>
        <v>295</v>
      </c>
      <c r="CC117" s="68">
        <f t="shared" si="134"/>
        <v>61</v>
      </c>
      <c r="CD117" s="69">
        <f t="shared" si="135"/>
        <v>65</v>
      </c>
      <c r="CE117" s="70">
        <f t="shared" si="136"/>
        <v>95</v>
      </c>
      <c r="CF117" s="70" t="str">
        <f t="shared" si="137"/>
        <v>-</v>
      </c>
      <c r="CG117" s="70">
        <f t="shared" si="138"/>
        <v>135</v>
      </c>
      <c r="CH117" s="70" t="str">
        <f t="shared" si="139"/>
        <v>-</v>
      </c>
      <c r="CI117" s="70">
        <f t="shared" si="140"/>
        <v>165</v>
      </c>
      <c r="CJ117" s="70">
        <f t="shared" si="141"/>
        <v>175</v>
      </c>
      <c r="CK117" s="70">
        <f t="shared" si="142"/>
        <v>218</v>
      </c>
      <c r="CL117" s="70">
        <f t="shared" si="143"/>
        <v>257</v>
      </c>
      <c r="CM117" s="70">
        <f t="shared" si="144"/>
        <v>294</v>
      </c>
      <c r="CN117" s="70">
        <f t="shared" si="145"/>
        <v>310</v>
      </c>
      <c r="CO117" s="57">
        <f t="shared" si="118"/>
        <v>1</v>
      </c>
    </row>
    <row r="118" spans="1:93" x14ac:dyDescent="0.2">
      <c r="A118" s="3" t="str">
        <f t="shared" si="119"/>
        <v>us28_hcmva_4xT1</v>
      </c>
      <c r="B118" s="3" t="s">
        <v>1120</v>
      </c>
      <c r="C118" s="3" t="s">
        <v>287</v>
      </c>
      <c r="D118" s="3" t="str">
        <f>IFERROR(MID(VLOOKUP($B118,Seqs!$A:$B,2,FALSE),E118,1),"")</f>
        <v>T</v>
      </c>
      <c r="E118" s="3">
        <v>26</v>
      </c>
      <c r="F118" s="3" t="str">
        <f>IFERROR(MID(VLOOKUP($B118,Seqs!$A:$B,2,FALSE),G118,1),"")</f>
        <v>R</v>
      </c>
      <c r="G118" s="3">
        <v>61</v>
      </c>
      <c r="H118" s="3" t="str">
        <f>IFERROR(MID(VLOOKUP($B118,Seqs!$A:$B,2,FALSE),I118,1),"")</f>
        <v/>
      </c>
      <c r="I118" s="57" t="s">
        <v>129</v>
      </c>
      <c r="J118" s="3" t="str">
        <f>IFERROR(MID(VLOOKUP($B118,Seqs!$A:$B,2,FALSE),K118,1),"")</f>
        <v/>
      </c>
      <c r="K118" s="57" t="s">
        <v>129</v>
      </c>
      <c r="L118" s="3" t="str">
        <f>IFERROR(MID(VLOOKUP($B118,Seqs!$A:$B,2,FALSE),M118,1),"")</f>
        <v>C</v>
      </c>
      <c r="M118" s="3">
        <v>66</v>
      </c>
      <c r="N118" s="3" t="str">
        <f>IFERROR(MID(VLOOKUP($B118,Seqs!$A:$B,2,FALSE),O118,1),"")</f>
        <v>D</v>
      </c>
      <c r="O118" s="3">
        <v>95</v>
      </c>
      <c r="P118" s="3" t="str">
        <f>IFERROR(MID(VLOOKUP($B118,Seqs!$A:$B,2,FALSE),Q118,1),"")</f>
        <v/>
      </c>
      <c r="Q118" s="3" t="s">
        <v>129</v>
      </c>
      <c r="R118" s="3" t="str">
        <f>IFERROR(MID(VLOOKUP($B118,Seqs!$A:$B,2,FALSE),S118,1),"")</f>
        <v/>
      </c>
      <c r="S118" s="3" t="s">
        <v>129</v>
      </c>
      <c r="T118" s="3" t="str">
        <f>IFERROR(MID(VLOOKUP($B118,Seqs!$A:$B,2,FALSE),U118,1),"")</f>
        <v>P</v>
      </c>
      <c r="U118" s="3">
        <v>103</v>
      </c>
      <c r="V118" s="3" t="str">
        <f>IFERROR(MID(VLOOKUP($B118,Seqs!$A:$B,2,FALSE),W118,1),"")</f>
        <v>Y</v>
      </c>
      <c r="W118" s="3">
        <v>135</v>
      </c>
      <c r="X118" s="3" t="str">
        <f>IFERROR(MID(VLOOKUP($B118,Seqs!$A:$B,2,FALSE),Y118,1),"")</f>
        <v/>
      </c>
      <c r="Y118" s="3" t="s">
        <v>129</v>
      </c>
      <c r="Z118" s="3" t="str">
        <f>IFERROR(MID(VLOOKUP($B118,Seqs!$A:$B,2,FALSE),AA118,1),"")</f>
        <v/>
      </c>
      <c r="AA118" s="3" t="s">
        <v>129</v>
      </c>
      <c r="AB118" s="3" t="str">
        <f>IFERROR(MID(VLOOKUP($B118,Seqs!$A:$B,2,FALSE),AC118,1),"")</f>
        <v>V</v>
      </c>
      <c r="AC118" s="3">
        <v>141</v>
      </c>
      <c r="AD118" s="3" t="str">
        <f>IFERROR(MID(VLOOKUP($B118,Seqs!$A:$B,2,FALSE),AE118,1),"")</f>
        <v>V</v>
      </c>
      <c r="AE118" s="3">
        <v>165</v>
      </c>
      <c r="AF118" s="3" t="str">
        <f>IFERROR(MID(VLOOKUP($B118,Seqs!$A:$B,2,FALSE),AG118,1),"")</f>
        <v>C</v>
      </c>
      <c r="AG118" s="3">
        <v>173</v>
      </c>
      <c r="AH118" s="3" t="str">
        <f>IFERROR(MID(VLOOKUP($B118,Seqs!$A:$B,2,FALSE),AI118,1),"")</f>
        <v>T</v>
      </c>
      <c r="AI118" s="3">
        <v>175</v>
      </c>
      <c r="AJ118" s="3" t="str">
        <f>IFERROR(MID(VLOOKUP($B118,Seqs!$A:$B,2,FALSE),AK118,1),"")</f>
        <v>V</v>
      </c>
      <c r="AK118" s="3">
        <v>182</v>
      </c>
      <c r="AL118" s="3" t="str">
        <f>IFERROR(MID(VLOOKUP($B118,Seqs!$A:$B,2,FALSE),AM118,1),"")</f>
        <v>S</v>
      </c>
      <c r="AM118" s="3">
        <v>218</v>
      </c>
      <c r="AN118" s="3" t="str">
        <f>IFERROR(MID(VLOOKUP($B118,Seqs!$A:$B,2,FALSE),AO118,1),"")</f>
        <v>H</v>
      </c>
      <c r="AO118" s="3">
        <v>222</v>
      </c>
      <c r="AP118" s="3" t="str">
        <f>IFERROR(MID(VLOOKUP($B118,Seqs!$A:$B,2,FALSE),AQ118,1),"")</f>
        <v>K</v>
      </c>
      <c r="AQ118" s="3">
        <v>257</v>
      </c>
      <c r="AR118" s="3" t="str">
        <f>IFERROR(MID(VLOOKUP($B118,Seqs!$A:$B,2,FALSE),AS118,1),"")</f>
        <v>C</v>
      </c>
      <c r="AS118" s="3">
        <v>263</v>
      </c>
      <c r="AT118" s="3" t="str">
        <f>IFERROR(MID(VLOOKUP($B118,Seqs!$A:$B,2,FALSE),AU118,1),"")</f>
        <v>V</v>
      </c>
      <c r="AU118" s="3">
        <v>294</v>
      </c>
      <c r="AV118" s="3" t="str">
        <f>IFERROR(MID(VLOOKUP($B118,Seqs!$A:$B,2,FALSE),AW118,1),"")</f>
        <v>G</v>
      </c>
      <c r="AW118" s="3">
        <v>295</v>
      </c>
      <c r="AX118" s="3" t="str">
        <f>IFERROR(MID(VLOOKUP($B118,Seqs!$A:$B,2,FALSE),AY118,1),"")</f>
        <v>R</v>
      </c>
      <c r="AY118" s="3">
        <v>310</v>
      </c>
      <c r="AZ118" s="83" t="str">
        <f>VLOOKUP(B118,Classification!A:D,2,FALSE)</f>
        <v>A</v>
      </c>
      <c r="BC118" s="57">
        <f t="shared" si="120"/>
        <v>251</v>
      </c>
      <c r="BD118" s="63" t="b">
        <f t="shared" si="121"/>
        <v>1</v>
      </c>
      <c r="BE118" s="68" t="s">
        <v>1514</v>
      </c>
      <c r="BF118" s="75" t="s">
        <v>1514</v>
      </c>
      <c r="BG118" s="75" t="s">
        <v>1514</v>
      </c>
      <c r="BH118" s="75" t="s">
        <v>1514</v>
      </c>
      <c r="BI118" s="75" t="s">
        <v>1514</v>
      </c>
      <c r="BJ118" s="75" t="s">
        <v>1514</v>
      </c>
      <c r="BK118" s="75" t="s">
        <v>1514</v>
      </c>
      <c r="BL118" s="75" t="s">
        <v>1514</v>
      </c>
      <c r="BM118" s="75" t="s">
        <v>1514</v>
      </c>
      <c r="BN118" s="75" t="s">
        <v>1514</v>
      </c>
      <c r="BO118" s="75" t="s">
        <v>1514</v>
      </c>
      <c r="BP118" s="75" t="s">
        <v>1514</v>
      </c>
      <c r="BQ118" s="68">
        <f t="shared" si="122"/>
        <v>26</v>
      </c>
      <c r="BR118" s="69" t="str">
        <f t="shared" si="123"/>
        <v>-</v>
      </c>
      <c r="BS118" s="70">
        <f t="shared" si="124"/>
        <v>66</v>
      </c>
      <c r="BT118" s="69" t="str">
        <f t="shared" si="125"/>
        <v>-</v>
      </c>
      <c r="BU118" s="70">
        <f t="shared" si="126"/>
        <v>103</v>
      </c>
      <c r="BV118" s="69" t="str">
        <f t="shared" si="127"/>
        <v>-</v>
      </c>
      <c r="BW118" s="70">
        <f t="shared" si="128"/>
        <v>141</v>
      </c>
      <c r="BX118" s="69">
        <f t="shared" si="129"/>
        <v>173</v>
      </c>
      <c r="BY118" s="70">
        <f t="shared" si="130"/>
        <v>182</v>
      </c>
      <c r="BZ118" s="69">
        <f t="shared" si="131"/>
        <v>222</v>
      </c>
      <c r="CA118" s="70">
        <f t="shared" si="132"/>
        <v>263</v>
      </c>
      <c r="CB118" s="69">
        <f t="shared" si="133"/>
        <v>295</v>
      </c>
      <c r="CC118" s="68">
        <f t="shared" si="134"/>
        <v>61</v>
      </c>
      <c r="CD118" s="69" t="str">
        <f t="shared" si="135"/>
        <v>-</v>
      </c>
      <c r="CE118" s="70">
        <f t="shared" si="136"/>
        <v>95</v>
      </c>
      <c r="CF118" s="70" t="str">
        <f t="shared" si="137"/>
        <v>-</v>
      </c>
      <c r="CG118" s="70">
        <f t="shared" si="138"/>
        <v>135</v>
      </c>
      <c r="CH118" s="70" t="str">
        <f t="shared" si="139"/>
        <v>-</v>
      </c>
      <c r="CI118" s="70">
        <f t="shared" si="140"/>
        <v>165</v>
      </c>
      <c r="CJ118" s="70">
        <f t="shared" si="141"/>
        <v>175</v>
      </c>
      <c r="CK118" s="70">
        <f t="shared" si="142"/>
        <v>218</v>
      </c>
      <c r="CL118" s="70">
        <f t="shared" si="143"/>
        <v>257</v>
      </c>
      <c r="CM118" s="70">
        <f t="shared" si="144"/>
        <v>294</v>
      </c>
      <c r="CN118" s="70">
        <f t="shared" si="145"/>
        <v>310</v>
      </c>
      <c r="CO118" s="57" t="e">
        <f t="shared" si="118"/>
        <v>#VALUE!</v>
      </c>
    </row>
    <row r="119" spans="1:93" x14ac:dyDescent="0.2">
      <c r="A119" s="3" t="str">
        <f t="shared" si="119"/>
        <v>crfr1_human__wt</v>
      </c>
      <c r="B119" s="3" t="s">
        <v>213</v>
      </c>
      <c r="C119" s="3" t="s">
        <v>294</v>
      </c>
      <c r="D119" s="3" t="str">
        <f>IFERROR(MID(VLOOKUP($B119,Seqs!$A:$B,2,FALSE),E119,1),"")</f>
        <v>Q</v>
      </c>
      <c r="E119" s="3">
        <v>103</v>
      </c>
      <c r="F119" s="3" t="str">
        <f>IFERROR(MID(VLOOKUP($B119,Seqs!$A:$B,2,FALSE),G119,1),"")</f>
        <v>L</v>
      </c>
      <c r="G119" s="3">
        <v>144</v>
      </c>
      <c r="H119" s="3" t="str">
        <f>IFERROR(MID(VLOOKUP($B119,Seqs!$A:$B,2,FALSE),I119,1),"")</f>
        <v>R</v>
      </c>
      <c r="I119" s="57">
        <v>145</v>
      </c>
      <c r="J119" s="3" t="str">
        <f>IFERROR(MID(VLOOKUP($B119,Seqs!$A:$B,2,FALSE),K119,1),"")</f>
        <v>R</v>
      </c>
      <c r="K119" s="57">
        <v>148</v>
      </c>
      <c r="L119" s="3" t="str">
        <f>IFERROR(MID(VLOOKUP($B119,Seqs!$A:$B,2,FALSE),M119,1),"")</f>
        <v>C</v>
      </c>
      <c r="M119" s="57">
        <v>149</v>
      </c>
      <c r="N119" s="3" t="str">
        <f>IFERROR(MID(VLOOKUP($B119,Seqs!$A:$B,2,FALSE),O119,1),"")</f>
        <v>T</v>
      </c>
      <c r="O119" s="3">
        <v>175</v>
      </c>
      <c r="P119" s="3" t="str">
        <f>IFERROR(MID(VLOOKUP($B119,Seqs!$A:$B,2,FALSE),Q119,1),"")</f>
        <v/>
      </c>
      <c r="Q119" s="3" t="s">
        <v>129</v>
      </c>
      <c r="R119" s="3" t="str">
        <f>IFERROR(MID(VLOOKUP($B119,Seqs!$A:$B,2,FALSE),S119,1),"")</f>
        <v/>
      </c>
      <c r="S119" s="3" t="s">
        <v>129</v>
      </c>
      <c r="T119" s="3" t="str">
        <f>IFERROR(MID(VLOOKUP($B119,Seqs!$A:$B,2,FALSE),U119,1),"")</f>
        <v>G</v>
      </c>
      <c r="U119" s="3">
        <v>186</v>
      </c>
      <c r="V119" s="3" t="str">
        <f>IFERROR(MID(VLOOKUP($B119,Seqs!$A:$B,2,FALSE),W119,1),"")</f>
        <v>L</v>
      </c>
      <c r="W119" s="3">
        <v>219</v>
      </c>
      <c r="X119" s="3" t="str">
        <f>IFERROR(MID(VLOOKUP($B119,Seqs!$A:$B,2,FALSE),Y119,1),"")</f>
        <v/>
      </c>
      <c r="Y119" s="3" t="s">
        <v>129</v>
      </c>
      <c r="Z119" s="3" t="str">
        <f>IFERROR(MID(VLOOKUP($B119,Seqs!$A:$B,2,FALSE),AA119,1),"")</f>
        <v/>
      </c>
      <c r="AA119" s="3" t="s">
        <v>129</v>
      </c>
      <c r="AB119" s="3" t="str">
        <f>IFERROR(MID(VLOOKUP($B119,Seqs!$A:$B,2,FALSE),AC119,1),"")</f>
        <v>L</v>
      </c>
      <c r="AC119" s="3">
        <v>226</v>
      </c>
      <c r="AD119" s="3" t="str">
        <f>IFERROR(MID(VLOOKUP($B119,Seqs!$A:$B,2,FALSE),AE119,1),"")</f>
        <v>D</v>
      </c>
      <c r="AE119" s="3">
        <v>254</v>
      </c>
      <c r="AF119" s="3" t="str">
        <f>IFERROR(MID(VLOOKUP($B119,Seqs!$A:$B,2,FALSE),AG119,1),"")</f>
        <v>C</v>
      </c>
      <c r="AG119" s="3">
        <v>258</v>
      </c>
      <c r="AH119" s="3" t="str">
        <f>IFERROR(MID(VLOOKUP($B119,Seqs!$A:$B,2,FALSE),AI119,1),"")</f>
        <v>F</v>
      </c>
      <c r="AI119" s="3">
        <v>260</v>
      </c>
      <c r="AJ119" s="3" t="str">
        <f>IFERROR(MID(VLOOKUP($B119,Seqs!$A:$B,2,FALSE),AK119,1),"")</f>
        <v>T</v>
      </c>
      <c r="AK119" s="3">
        <v>268</v>
      </c>
      <c r="AL119" s="3" t="str">
        <f>IFERROR(MID(VLOOKUP($B119,Seqs!$A:$B,2,FALSE),AM119,1),"")</f>
        <v>L</v>
      </c>
      <c r="AM119" s="3">
        <v>298</v>
      </c>
      <c r="AN119" s="3" t="str">
        <f>IFERROR(MID(VLOOKUP($B119,Seqs!$A:$B,2,FALSE),AO119,1),"")</f>
        <v>S</v>
      </c>
      <c r="AO119" s="3">
        <v>304</v>
      </c>
      <c r="AP119" s="3" t="str">
        <f>IFERROR(MID(VLOOKUP($B119,Seqs!$A:$B,2,FALSE),AQ119,1),"")</f>
        <v>V</v>
      </c>
      <c r="AQ119" s="3">
        <v>332</v>
      </c>
      <c r="AR119" s="3" t="str">
        <f>IFERROR(MID(VLOOKUP($B119,Seqs!$A:$B,2,FALSE),AS119,1),"")</f>
        <v>V</v>
      </c>
      <c r="AS119" s="3">
        <v>339</v>
      </c>
      <c r="AT119" s="3" t="str">
        <f>IFERROR(MID(VLOOKUP($B119,Seqs!$A:$B,2,FALSE),AU119,1),"")</f>
        <v>L</v>
      </c>
      <c r="AU119" s="3">
        <v>366</v>
      </c>
      <c r="AV119" s="3" t="str">
        <f>IFERROR(MID(VLOOKUP($B119,Seqs!$A:$B,2,FALSE),AW119,1),"")</f>
        <v>N</v>
      </c>
      <c r="AW119" s="3">
        <v>367</v>
      </c>
      <c r="AX119" s="3" t="str">
        <f>IFERROR(MID(VLOOKUP($B119,Seqs!$A:$B,2,FALSE),AY119,1),"")</f>
        <v>A</v>
      </c>
      <c r="AY119" s="3">
        <v>392</v>
      </c>
      <c r="AZ119" s="83" t="str">
        <f>VLOOKUP(B119,Classification!A:D,2,FALSE)</f>
        <v>B1</v>
      </c>
      <c r="BB119" s="82" t="e">
        <f>S119-Q119+1</f>
        <v>#VALUE!</v>
      </c>
      <c r="BC119" s="57">
        <f t="shared" si="120"/>
        <v>255</v>
      </c>
      <c r="BD119" s="63" t="b">
        <f t="shared" si="121"/>
        <v>1</v>
      </c>
      <c r="BE119" s="68" t="s">
        <v>1514</v>
      </c>
      <c r="BF119" s="75" t="s">
        <v>1514</v>
      </c>
      <c r="BG119" s="75" t="s">
        <v>1514</v>
      </c>
      <c r="BH119" s="75" t="s">
        <v>1514</v>
      </c>
      <c r="BI119" s="75" t="s">
        <v>1514</v>
      </c>
      <c r="BJ119" s="75" t="s">
        <v>1514</v>
      </c>
      <c r="BK119" s="75" t="s">
        <v>1514</v>
      </c>
      <c r="BL119" s="75" t="s">
        <v>1514</v>
      </c>
      <c r="BM119" s="75" t="s">
        <v>1514</v>
      </c>
      <c r="BN119" s="75" t="s">
        <v>1514</v>
      </c>
      <c r="BO119" s="75" t="s">
        <v>1514</v>
      </c>
      <c r="BP119" s="75" t="s">
        <v>1514</v>
      </c>
      <c r="BQ119" s="68">
        <f t="shared" si="122"/>
        <v>103</v>
      </c>
      <c r="BR119" s="69">
        <f t="shared" si="123"/>
        <v>145</v>
      </c>
      <c r="BS119" s="70">
        <f t="shared" si="124"/>
        <v>149</v>
      </c>
      <c r="BT119" s="69" t="str">
        <f t="shared" si="125"/>
        <v>-</v>
      </c>
      <c r="BU119" s="70">
        <f t="shared" si="126"/>
        <v>186</v>
      </c>
      <c r="BV119" s="69" t="str">
        <f t="shared" si="127"/>
        <v>-</v>
      </c>
      <c r="BW119" s="70">
        <f t="shared" si="128"/>
        <v>226</v>
      </c>
      <c r="BX119" s="69">
        <f t="shared" si="129"/>
        <v>258</v>
      </c>
      <c r="BY119" s="70">
        <f t="shared" si="130"/>
        <v>268</v>
      </c>
      <c r="BZ119" s="69">
        <f t="shared" si="131"/>
        <v>304</v>
      </c>
      <c r="CA119" s="70">
        <f t="shared" si="132"/>
        <v>339</v>
      </c>
      <c r="CB119" s="69">
        <f t="shared" si="133"/>
        <v>367</v>
      </c>
      <c r="CC119" s="68">
        <f t="shared" si="134"/>
        <v>144</v>
      </c>
      <c r="CD119" s="69">
        <f t="shared" si="135"/>
        <v>148</v>
      </c>
      <c r="CE119" s="70">
        <f t="shared" si="136"/>
        <v>175</v>
      </c>
      <c r="CF119" s="70" t="str">
        <f t="shared" si="137"/>
        <v>-</v>
      </c>
      <c r="CG119" s="70">
        <f t="shared" si="138"/>
        <v>219</v>
      </c>
      <c r="CH119" s="70" t="str">
        <f t="shared" si="139"/>
        <v>-</v>
      </c>
      <c r="CI119" s="70">
        <f t="shared" si="140"/>
        <v>254</v>
      </c>
      <c r="CJ119" s="70">
        <f t="shared" si="141"/>
        <v>260</v>
      </c>
      <c r="CK119" s="70">
        <f t="shared" si="142"/>
        <v>298</v>
      </c>
      <c r="CL119" s="70">
        <f t="shared" si="143"/>
        <v>332</v>
      </c>
      <c r="CM119" s="70">
        <f t="shared" si="144"/>
        <v>366</v>
      </c>
      <c r="CN119" s="70">
        <f t="shared" si="145"/>
        <v>392</v>
      </c>
      <c r="CO119" s="57">
        <f t="shared" si="118"/>
        <v>1</v>
      </c>
    </row>
    <row r="120" spans="1:93" x14ac:dyDescent="0.2">
      <c r="A120" s="3" t="str">
        <f t="shared" si="119"/>
        <v>crfr1_human_4K5Y</v>
      </c>
      <c r="B120" s="3" t="s">
        <v>213</v>
      </c>
      <c r="C120" s="3" t="s">
        <v>288</v>
      </c>
      <c r="D120" s="3" t="str">
        <f>IFERROR(MID(VLOOKUP($B120,Seqs!$A:$B,2,FALSE),E120,1),"")</f>
        <v>H</v>
      </c>
      <c r="E120" s="3">
        <v>117</v>
      </c>
      <c r="F120" s="3" t="str">
        <f>IFERROR(MID(VLOOKUP($B120,Seqs!$A:$B,2,FALSE),G120,1),"")</f>
        <v>L</v>
      </c>
      <c r="G120" s="3">
        <v>144</v>
      </c>
      <c r="H120" s="3" t="str">
        <f>IFERROR(MID(VLOOKUP($B120,Seqs!$A:$B,2,FALSE),I120,1),"")</f>
        <v>R</v>
      </c>
      <c r="I120" s="57">
        <v>145</v>
      </c>
      <c r="J120" s="3" t="str">
        <f>IFERROR(MID(VLOOKUP($B120,Seqs!$A:$B,2,FALSE),K120,1),"")</f>
        <v>R</v>
      </c>
      <c r="K120" s="57">
        <v>148</v>
      </c>
      <c r="L120" s="3" t="str">
        <f>IFERROR(MID(VLOOKUP($B120,Seqs!$A:$B,2,FALSE),M120,1),"")</f>
        <v>C</v>
      </c>
      <c r="M120" s="57">
        <v>149</v>
      </c>
      <c r="N120" s="3" t="str">
        <f>IFERROR(MID(VLOOKUP($B120,Seqs!$A:$B,2,FALSE),O120,1),"")</f>
        <v>F</v>
      </c>
      <c r="O120" s="3">
        <v>204</v>
      </c>
      <c r="P120" s="3" t="str">
        <f>IFERROR(MID(VLOOKUP($B120,Seqs!$A:$B,2,FALSE),Q120,1),"")</f>
        <v/>
      </c>
      <c r="Q120" s="3" t="s">
        <v>129</v>
      </c>
      <c r="R120" s="3" t="str">
        <f>IFERROR(MID(VLOOKUP($B120,Seqs!$A:$B,2,FALSE),S120,1),"")</f>
        <v/>
      </c>
      <c r="S120" s="3" t="s">
        <v>129</v>
      </c>
      <c r="T120" s="3" t="str">
        <f>IFERROR(MID(VLOOKUP($B120,Seqs!$A:$B,2,FALSE),U120,1),"")</f>
        <v>G</v>
      </c>
      <c r="U120" s="3">
        <v>186</v>
      </c>
      <c r="V120" s="3" t="str">
        <f>IFERROR(MID(VLOOKUP($B120,Seqs!$A:$B,2,FALSE),W120,1),"")</f>
        <v>L</v>
      </c>
      <c r="W120" s="3">
        <v>219</v>
      </c>
      <c r="X120" s="3" t="str">
        <f>IFERROR(MID(VLOOKUP($B120,Seqs!$A:$B,2,FALSE),Y120,1),"")</f>
        <v/>
      </c>
      <c r="Y120" s="3" t="s">
        <v>129</v>
      </c>
      <c r="Z120" s="3" t="str">
        <f>IFERROR(MID(VLOOKUP($B120,Seqs!$A:$B,2,FALSE),AA120,1),"")</f>
        <v/>
      </c>
      <c r="AA120" s="3" t="s">
        <v>129</v>
      </c>
      <c r="AB120" s="3" t="str">
        <f>IFERROR(MID(VLOOKUP($B120,Seqs!$A:$B,2,FALSE),AC120,1),"")</f>
        <v>L</v>
      </c>
      <c r="AC120" s="3">
        <v>226</v>
      </c>
      <c r="AD120" s="3" t="str">
        <f>IFERROR(MID(VLOOKUP($B120,Seqs!$A:$B,2,FALSE),AE120,1),"")</f>
        <v>D</v>
      </c>
      <c r="AE120" s="3">
        <v>254</v>
      </c>
      <c r="AF120" s="3" t="str">
        <f>IFERROR(MID(VLOOKUP($B120,Seqs!$A:$B,2,FALSE),AG120,1),"")</f>
        <v>C</v>
      </c>
      <c r="AG120" s="3">
        <v>258</v>
      </c>
      <c r="AH120" s="3" t="str">
        <f>IFERROR(MID(VLOOKUP($B120,Seqs!$A:$B,2,FALSE),AI120,1),"")</f>
        <v>F</v>
      </c>
      <c r="AI120" s="3">
        <v>260</v>
      </c>
      <c r="AJ120" s="3" t="str">
        <f>IFERROR(MID(VLOOKUP($B120,Seqs!$A:$B,2,FALSE),AK120,1),"")</f>
        <v>T</v>
      </c>
      <c r="AK120" s="3">
        <v>268</v>
      </c>
      <c r="AL120" s="3" t="str">
        <f>IFERROR(MID(VLOOKUP($B120,Seqs!$A:$B,2,FALSE),AM120,1),"")</f>
        <v>L</v>
      </c>
      <c r="AM120" s="3">
        <v>298</v>
      </c>
      <c r="AN120" s="3" t="str">
        <f>IFERROR(MID(VLOOKUP($B120,Seqs!$A:$B,2,FALSE),AO120,1),"")</f>
        <v>S</v>
      </c>
      <c r="AO120" s="3">
        <v>304</v>
      </c>
      <c r="AP120" s="3" t="str">
        <f>IFERROR(MID(VLOOKUP($B120,Seqs!$A:$B,2,FALSE),AQ120,1),"")</f>
        <v>V</v>
      </c>
      <c r="AQ120" s="3">
        <v>332</v>
      </c>
      <c r="AR120" s="3" t="str">
        <f>IFERROR(MID(VLOOKUP($B120,Seqs!$A:$B,2,FALSE),AS120,1),"")</f>
        <v>V</v>
      </c>
      <c r="AS120" s="3">
        <v>339</v>
      </c>
      <c r="AT120" s="3" t="str">
        <f>IFERROR(MID(VLOOKUP($B120,Seqs!$A:$B,2,FALSE),AU120,1),"")</f>
        <v>F</v>
      </c>
      <c r="AU120" s="3">
        <v>362</v>
      </c>
      <c r="AV120" s="3" t="str">
        <f>IFERROR(MID(VLOOKUP($B120,Seqs!$A:$B,2,FALSE),AW120,1),"")</f>
        <v/>
      </c>
      <c r="AW120" s="3" t="s">
        <v>129</v>
      </c>
      <c r="AX120" s="3" t="str">
        <f>IFERROR(MID(VLOOKUP($B120,Seqs!$A:$B,2,FALSE),AY120,1),"")</f>
        <v/>
      </c>
      <c r="AY120" s="3" t="s">
        <v>129</v>
      </c>
      <c r="AZ120" s="83" t="str">
        <f>VLOOKUP(B120,Classification!A:D,2,FALSE)</f>
        <v>B1</v>
      </c>
      <c r="BC120" s="57">
        <f t="shared" si="120"/>
        <v>241</v>
      </c>
      <c r="BD120" s="63" t="b">
        <f t="shared" si="121"/>
        <v>1</v>
      </c>
      <c r="BE120" s="68" t="s">
        <v>1514</v>
      </c>
      <c r="BF120" s="75" t="s">
        <v>1514</v>
      </c>
      <c r="BG120" s="75" t="s">
        <v>1514</v>
      </c>
      <c r="BH120" s="75" t="s">
        <v>1514</v>
      </c>
      <c r="BI120" s="75" t="s">
        <v>1514</v>
      </c>
      <c r="BJ120" s="75" t="s">
        <v>1514</v>
      </c>
      <c r="BK120" s="75" t="s">
        <v>1514</v>
      </c>
      <c r="BL120" s="75" t="s">
        <v>1514</v>
      </c>
      <c r="BM120" s="75" t="s">
        <v>1514</v>
      </c>
      <c r="BN120" s="75" t="s">
        <v>1514</v>
      </c>
      <c r="BO120" s="75" t="s">
        <v>1514</v>
      </c>
      <c r="BP120" s="75" t="s">
        <v>1514</v>
      </c>
      <c r="BQ120" s="68">
        <f t="shared" si="122"/>
        <v>117</v>
      </c>
      <c r="BR120" s="69">
        <f t="shared" si="123"/>
        <v>145</v>
      </c>
      <c r="BS120" s="70">
        <f t="shared" si="124"/>
        <v>149</v>
      </c>
      <c r="BT120" s="69" t="str">
        <f t="shared" si="125"/>
        <v>-</v>
      </c>
      <c r="BU120" s="70">
        <f t="shared" si="126"/>
        <v>186</v>
      </c>
      <c r="BV120" s="69" t="str">
        <f t="shared" si="127"/>
        <v>-</v>
      </c>
      <c r="BW120" s="70">
        <f t="shared" si="128"/>
        <v>226</v>
      </c>
      <c r="BX120" s="69">
        <f t="shared" si="129"/>
        <v>258</v>
      </c>
      <c r="BY120" s="70">
        <f t="shared" si="130"/>
        <v>268</v>
      </c>
      <c r="BZ120" s="69">
        <f t="shared" si="131"/>
        <v>304</v>
      </c>
      <c r="CA120" s="70">
        <f t="shared" si="132"/>
        <v>339</v>
      </c>
      <c r="CB120" s="69" t="str">
        <f t="shared" si="133"/>
        <v>-</v>
      </c>
      <c r="CC120" s="68">
        <f t="shared" si="134"/>
        <v>144</v>
      </c>
      <c r="CD120" s="69">
        <f t="shared" si="135"/>
        <v>148</v>
      </c>
      <c r="CE120" s="70">
        <f t="shared" si="136"/>
        <v>204</v>
      </c>
      <c r="CF120" s="70" t="str">
        <f t="shared" si="137"/>
        <v>-</v>
      </c>
      <c r="CG120" s="70">
        <f t="shared" si="138"/>
        <v>219</v>
      </c>
      <c r="CH120" s="70" t="str">
        <f t="shared" si="139"/>
        <v>-</v>
      </c>
      <c r="CI120" s="70">
        <f t="shared" si="140"/>
        <v>254</v>
      </c>
      <c r="CJ120" s="70">
        <f t="shared" si="141"/>
        <v>260</v>
      </c>
      <c r="CK120" s="70">
        <f t="shared" si="142"/>
        <v>298</v>
      </c>
      <c r="CL120" s="70">
        <f t="shared" si="143"/>
        <v>332</v>
      </c>
      <c r="CM120" s="70">
        <f t="shared" si="144"/>
        <v>362</v>
      </c>
      <c r="CN120" s="70" t="str">
        <f t="shared" si="145"/>
        <v>-</v>
      </c>
      <c r="CO120" s="57">
        <f t="shared" si="118"/>
        <v>1</v>
      </c>
    </row>
    <row r="121" spans="1:93" x14ac:dyDescent="0.2">
      <c r="A121" s="3" t="str">
        <f t="shared" si="119"/>
        <v>crfr1_human_4K5Y_dist</v>
      </c>
      <c r="B121" s="3" t="s">
        <v>213</v>
      </c>
      <c r="C121" s="3" t="s">
        <v>1380</v>
      </c>
      <c r="D121" s="3" t="str">
        <f>IFERROR(MID(VLOOKUP($B121,Seqs!$A:$B,2,FALSE),E121,1),"")</f>
        <v>H</v>
      </c>
      <c r="E121" s="3">
        <v>117</v>
      </c>
      <c r="F121" s="3" t="str">
        <f>IFERROR(MID(VLOOKUP($B121,Seqs!$A:$B,2,FALSE),G121,1),"")</f>
        <v>L</v>
      </c>
      <c r="G121" s="3">
        <v>144</v>
      </c>
      <c r="H121" s="3" t="str">
        <f>IFERROR(MID(VLOOKUP($B121,Seqs!$A:$B,2,FALSE),I121,1),"")</f>
        <v>R</v>
      </c>
      <c r="I121" s="57">
        <v>145</v>
      </c>
      <c r="J121" s="3" t="str">
        <f>IFERROR(MID(VLOOKUP($B121,Seqs!$A:$B,2,FALSE),K121,1),"")</f>
        <v>R</v>
      </c>
      <c r="K121" s="57">
        <v>148</v>
      </c>
      <c r="L121" s="3" t="str">
        <f>IFERROR(MID(VLOOKUP($B121,Seqs!$A:$B,2,FALSE),M121,1),"")</f>
        <v>C</v>
      </c>
      <c r="M121" s="57">
        <v>149</v>
      </c>
      <c r="N121" s="3" t="str">
        <f>IFERROR(MID(VLOOKUP($B121,Seqs!$A:$B,2,FALSE),O121,1),"")</f>
        <v>F</v>
      </c>
      <c r="O121" s="3">
        <v>204</v>
      </c>
      <c r="P121" s="3" t="str">
        <f>IFERROR(MID(VLOOKUP($B121,Seqs!$A:$B,2,FALSE),Q121,1),"")</f>
        <v/>
      </c>
      <c r="Q121" s="3" t="s">
        <v>129</v>
      </c>
      <c r="R121" s="3" t="str">
        <f>IFERROR(MID(VLOOKUP($B121,Seqs!$A:$B,2,FALSE),S121,1),"")</f>
        <v/>
      </c>
      <c r="S121" s="3" t="s">
        <v>129</v>
      </c>
      <c r="T121" s="3" t="str">
        <f>IFERROR(MID(VLOOKUP($B121,Seqs!$A:$B,2,FALSE),U121,1),"")</f>
        <v>G</v>
      </c>
      <c r="U121" s="3">
        <v>186</v>
      </c>
      <c r="V121" s="3" t="str">
        <f>IFERROR(MID(VLOOKUP($B121,Seqs!$A:$B,2,FALSE),W121,1),"")</f>
        <v>L</v>
      </c>
      <c r="W121" s="3">
        <v>219</v>
      </c>
      <c r="X121" s="3" t="str">
        <f>IFERROR(MID(VLOOKUP($B121,Seqs!$A:$B,2,FALSE),Y121,1),"")</f>
        <v/>
      </c>
      <c r="Y121" s="3" t="s">
        <v>129</v>
      </c>
      <c r="Z121" s="3" t="str">
        <f>IFERROR(MID(VLOOKUP($B121,Seqs!$A:$B,2,FALSE),AA121,1),"")</f>
        <v/>
      </c>
      <c r="AA121" s="3" t="s">
        <v>129</v>
      </c>
      <c r="AB121" s="3" t="str">
        <f>IFERROR(MID(VLOOKUP($B121,Seqs!$A:$B,2,FALSE),AC121,1),"")</f>
        <v>L</v>
      </c>
      <c r="AC121" s="3">
        <v>226</v>
      </c>
      <c r="AD121" s="3" t="str">
        <f>IFERROR(MID(VLOOKUP($B121,Seqs!$A:$B,2,FALSE),AE121,1),"")</f>
        <v>D</v>
      </c>
      <c r="AE121" s="3">
        <v>254</v>
      </c>
      <c r="AF121" s="3" t="str">
        <f>IFERROR(MID(VLOOKUP($B121,Seqs!$A:$B,2,FALSE),AG121,1),"")</f>
        <v>C</v>
      </c>
      <c r="AG121" s="3">
        <v>258</v>
      </c>
      <c r="AH121" s="3" t="str">
        <f>IFERROR(MID(VLOOKUP($B121,Seqs!$A:$B,2,FALSE),AI121,1),"")</f>
        <v>F</v>
      </c>
      <c r="AI121" s="3">
        <v>260</v>
      </c>
      <c r="AJ121" s="3" t="str">
        <f>IFERROR(MID(VLOOKUP($B121,Seqs!$A:$B,2,FALSE),AK121,1),"")</f>
        <v>T</v>
      </c>
      <c r="AK121" s="3">
        <v>268</v>
      </c>
      <c r="AL121" s="3" t="str">
        <f>IFERROR(MID(VLOOKUP($B121,Seqs!$A:$B,2,FALSE),AM121,1),"")</f>
        <v>L</v>
      </c>
      <c r="AM121" s="3">
        <v>298</v>
      </c>
      <c r="AN121" s="3" t="str">
        <f>IFERROR(MID(VLOOKUP($B121,Seqs!$A:$B,2,FALSE),AO121,1),"")</f>
        <v>S</v>
      </c>
      <c r="AO121" s="3">
        <v>304</v>
      </c>
      <c r="AP121" s="3" t="str">
        <f>IFERROR(MID(VLOOKUP($B121,Seqs!$A:$B,2,FALSE),AQ121,1),"")</f>
        <v>V</v>
      </c>
      <c r="AQ121" s="3">
        <v>332</v>
      </c>
      <c r="AR121" s="3" t="str">
        <f>IFERROR(MID(VLOOKUP($B121,Seqs!$A:$B,2,FALSE),AS121,1),"")</f>
        <v>V</v>
      </c>
      <c r="AS121" s="3">
        <v>339</v>
      </c>
      <c r="AT121" s="3" t="str">
        <f>IFERROR(MID(VLOOKUP($B121,Seqs!$A:$B,2,FALSE),AU121,1),"")</f>
        <v>L</v>
      </c>
      <c r="AU121" s="3">
        <v>366</v>
      </c>
      <c r="AV121" s="3" t="str">
        <f>IFERROR(MID(VLOOKUP($B121,Seqs!$A:$B,2,FALSE),AW121,1),"")</f>
        <v/>
      </c>
      <c r="AW121" s="3" t="s">
        <v>129</v>
      </c>
      <c r="AX121" s="3" t="str">
        <f>IFERROR(MID(VLOOKUP($B121,Seqs!$A:$B,2,FALSE),AY121,1),"")</f>
        <v/>
      </c>
      <c r="AY121" s="3" t="s">
        <v>129</v>
      </c>
      <c r="AZ121" s="83" t="str">
        <f>VLOOKUP(B121,Classification!A:D,2,FALSE)</f>
        <v>B1</v>
      </c>
      <c r="BA121" s="3" t="s">
        <v>1382</v>
      </c>
      <c r="BC121" s="57">
        <f t="shared" si="120"/>
        <v>245</v>
      </c>
      <c r="BD121" s="63" t="b">
        <f t="shared" si="121"/>
        <v>1</v>
      </c>
      <c r="BE121" s="68" t="s">
        <v>1514</v>
      </c>
      <c r="BF121" s="75" t="s">
        <v>1514</v>
      </c>
      <c r="BG121" s="75" t="s">
        <v>1514</v>
      </c>
      <c r="BH121" s="75" t="s">
        <v>1514</v>
      </c>
      <c r="BI121" s="75" t="s">
        <v>1514</v>
      </c>
      <c r="BJ121" s="75" t="s">
        <v>1514</v>
      </c>
      <c r="BK121" s="75" t="s">
        <v>1514</v>
      </c>
      <c r="BL121" s="75" t="s">
        <v>1514</v>
      </c>
      <c r="BM121" s="75" t="s">
        <v>1514</v>
      </c>
      <c r="BN121" s="75" t="s">
        <v>1514</v>
      </c>
      <c r="BO121" s="75" t="s">
        <v>1514</v>
      </c>
      <c r="BP121" s="75" t="s">
        <v>1514</v>
      </c>
      <c r="BQ121" s="68">
        <f t="shared" si="122"/>
        <v>117</v>
      </c>
      <c r="BR121" s="69">
        <f t="shared" si="123"/>
        <v>145</v>
      </c>
      <c r="BS121" s="70">
        <f t="shared" si="124"/>
        <v>149</v>
      </c>
      <c r="BT121" s="69" t="str">
        <f t="shared" si="125"/>
        <v>-</v>
      </c>
      <c r="BU121" s="70">
        <f t="shared" si="126"/>
        <v>186</v>
      </c>
      <c r="BV121" s="69" t="str">
        <f t="shared" si="127"/>
        <v>-</v>
      </c>
      <c r="BW121" s="70">
        <f t="shared" si="128"/>
        <v>226</v>
      </c>
      <c r="BX121" s="69">
        <f t="shared" si="129"/>
        <v>258</v>
      </c>
      <c r="BY121" s="70">
        <f t="shared" si="130"/>
        <v>268</v>
      </c>
      <c r="BZ121" s="69">
        <f t="shared" si="131"/>
        <v>304</v>
      </c>
      <c r="CA121" s="70">
        <f t="shared" si="132"/>
        <v>339</v>
      </c>
      <c r="CB121" s="69" t="str">
        <f t="shared" si="133"/>
        <v>-</v>
      </c>
      <c r="CC121" s="68">
        <f t="shared" si="134"/>
        <v>144</v>
      </c>
      <c r="CD121" s="69">
        <f t="shared" si="135"/>
        <v>148</v>
      </c>
      <c r="CE121" s="70">
        <f t="shared" si="136"/>
        <v>204</v>
      </c>
      <c r="CF121" s="70" t="str">
        <f t="shared" si="137"/>
        <v>-</v>
      </c>
      <c r="CG121" s="70">
        <f t="shared" si="138"/>
        <v>219</v>
      </c>
      <c r="CH121" s="70" t="str">
        <f t="shared" si="139"/>
        <v>-</v>
      </c>
      <c r="CI121" s="70">
        <f t="shared" si="140"/>
        <v>254</v>
      </c>
      <c r="CJ121" s="70">
        <f t="shared" si="141"/>
        <v>260</v>
      </c>
      <c r="CK121" s="70">
        <f t="shared" si="142"/>
        <v>298</v>
      </c>
      <c r="CL121" s="70">
        <f t="shared" si="143"/>
        <v>332</v>
      </c>
      <c r="CM121" s="70">
        <f t="shared" si="144"/>
        <v>366</v>
      </c>
      <c r="CN121" s="70" t="str">
        <f t="shared" si="145"/>
        <v>-</v>
      </c>
      <c r="CO121" s="57">
        <f t="shared" si="118"/>
        <v>1</v>
      </c>
    </row>
    <row r="122" spans="1:93" x14ac:dyDescent="0.2">
      <c r="A122" s="3" t="str">
        <f t="shared" si="119"/>
        <v>crfr1_human_4Z9G</v>
      </c>
      <c r="B122" s="3" t="s">
        <v>213</v>
      </c>
      <c r="C122" s="3" t="s">
        <v>1266</v>
      </c>
      <c r="D122" s="3" t="str">
        <f>IFERROR(MID(VLOOKUP($B122,Seqs!$A:$B,2,FALSE),E122,1),"")</f>
        <v>S</v>
      </c>
      <c r="E122" s="3">
        <v>112</v>
      </c>
      <c r="F122" s="3" t="str">
        <f>IFERROR(MID(VLOOKUP($B122,Seqs!$A:$B,2,FALSE),G122,1),"")</f>
        <v>L</v>
      </c>
      <c r="G122" s="3">
        <v>144</v>
      </c>
      <c r="H122" s="3" t="str">
        <f>IFERROR(MID(VLOOKUP($B122,Seqs!$A:$B,2,FALSE),I122,1),"")</f>
        <v>R</v>
      </c>
      <c r="I122" s="57">
        <v>145</v>
      </c>
      <c r="J122" s="3" t="str">
        <f>IFERROR(MID(VLOOKUP($B122,Seqs!$A:$B,2,FALSE),K122,1),"")</f>
        <v>R</v>
      </c>
      <c r="K122" s="57">
        <v>148</v>
      </c>
      <c r="L122" s="3" t="str">
        <f>IFERROR(MID(VLOOKUP($B122,Seqs!$A:$B,2,FALSE),M122,1),"")</f>
        <v>C</v>
      </c>
      <c r="M122" s="57">
        <v>149</v>
      </c>
      <c r="N122" s="3" t="str">
        <f>IFERROR(MID(VLOOKUP($B122,Seqs!$A:$B,2,FALSE),O122,1),"")</f>
        <v>F</v>
      </c>
      <c r="O122" s="3">
        <v>204</v>
      </c>
      <c r="P122" s="3" t="str">
        <f>IFERROR(MID(VLOOKUP($B122,Seqs!$A:$B,2,FALSE),Q122,1),"")</f>
        <v/>
      </c>
      <c r="Q122" s="3" t="s">
        <v>129</v>
      </c>
      <c r="R122" s="3" t="str">
        <f>IFERROR(MID(VLOOKUP($B122,Seqs!$A:$B,2,FALSE),S122,1),"")</f>
        <v/>
      </c>
      <c r="S122" s="3" t="s">
        <v>129</v>
      </c>
      <c r="T122" s="3" t="str">
        <f>IFERROR(MID(VLOOKUP($B122,Seqs!$A:$B,2,FALSE),U122,1),"")</f>
        <v>G</v>
      </c>
      <c r="U122" s="3">
        <v>186</v>
      </c>
      <c r="V122" s="3" t="str">
        <f>IFERROR(MID(VLOOKUP($B122,Seqs!$A:$B,2,FALSE),W122,1),"")</f>
        <v>L</v>
      </c>
      <c r="W122" s="3">
        <v>219</v>
      </c>
      <c r="X122" s="3" t="str">
        <f>IFERROR(MID(VLOOKUP($B122,Seqs!$A:$B,2,FALSE),Y122,1),"")</f>
        <v/>
      </c>
      <c r="Y122" s="3" t="s">
        <v>129</v>
      </c>
      <c r="Z122" s="3" t="str">
        <f>IFERROR(MID(VLOOKUP($B122,Seqs!$A:$B,2,FALSE),AA122,1),"")</f>
        <v/>
      </c>
      <c r="AA122" s="3" t="s">
        <v>129</v>
      </c>
      <c r="AB122" s="3" t="str">
        <f>IFERROR(MID(VLOOKUP($B122,Seqs!$A:$B,2,FALSE),AC122,1),"")</f>
        <v>L</v>
      </c>
      <c r="AC122" s="3">
        <v>226</v>
      </c>
      <c r="AD122" s="3" t="str">
        <f>IFERROR(MID(VLOOKUP($B122,Seqs!$A:$B,2,FALSE),AE122,1),"")</f>
        <v>D</v>
      </c>
      <c r="AE122" s="3">
        <v>254</v>
      </c>
      <c r="AF122" s="3" t="str">
        <f>IFERROR(MID(VLOOKUP($B122,Seqs!$A:$B,2,FALSE),AG122,1),"")</f>
        <v>C</v>
      </c>
      <c r="AG122" s="3">
        <v>258</v>
      </c>
      <c r="AH122" s="3" t="str">
        <f>IFERROR(MID(VLOOKUP($B122,Seqs!$A:$B,2,FALSE),AI122,1),"")</f>
        <v>F</v>
      </c>
      <c r="AI122" s="3">
        <v>260</v>
      </c>
      <c r="AJ122" s="3" t="str">
        <f>IFERROR(MID(VLOOKUP($B122,Seqs!$A:$B,2,FALSE),AK122,1),"")</f>
        <v>T</v>
      </c>
      <c r="AK122" s="3">
        <v>268</v>
      </c>
      <c r="AL122" s="3" t="str">
        <f>IFERROR(MID(VLOOKUP($B122,Seqs!$A:$B,2,FALSE),AM122,1),"")</f>
        <v>L</v>
      </c>
      <c r="AM122" s="3">
        <v>298</v>
      </c>
      <c r="AN122" s="3" t="str">
        <f>IFERROR(MID(VLOOKUP($B122,Seqs!$A:$B,2,FALSE),AO122,1),"")</f>
        <v>S</v>
      </c>
      <c r="AO122" s="3">
        <v>304</v>
      </c>
      <c r="AP122" s="3" t="str">
        <f>IFERROR(MID(VLOOKUP($B122,Seqs!$A:$B,2,FALSE),AQ122,1),"")</f>
        <v>V</v>
      </c>
      <c r="AQ122" s="3">
        <v>332</v>
      </c>
      <c r="AR122" s="3" t="str">
        <f>IFERROR(MID(VLOOKUP($B122,Seqs!$A:$B,2,FALSE),AS122,1),"")</f>
        <v>V</v>
      </c>
      <c r="AS122" s="3">
        <v>339</v>
      </c>
      <c r="AT122" s="3" t="str">
        <f>IFERROR(MID(VLOOKUP($B122,Seqs!$A:$B,2,FALSE),AU122,1),"")</f>
        <v>F</v>
      </c>
      <c r="AU122" s="3">
        <v>362</v>
      </c>
      <c r="AV122" s="3" t="str">
        <f>IFERROR(MID(VLOOKUP($B122,Seqs!$A:$B,2,FALSE),AW122,1),"")</f>
        <v/>
      </c>
      <c r="AW122" s="3" t="s">
        <v>129</v>
      </c>
      <c r="AX122" s="3" t="str">
        <f>IFERROR(MID(VLOOKUP($B122,Seqs!$A:$B,2,FALSE),AY122,1),"")</f>
        <v/>
      </c>
      <c r="AY122" s="3" t="s">
        <v>129</v>
      </c>
      <c r="AZ122" s="83" t="str">
        <f>VLOOKUP(B122,Classification!A:D,2,FALSE)</f>
        <v>B1</v>
      </c>
      <c r="BB122" s="35" t="s">
        <v>1330</v>
      </c>
      <c r="BC122" s="57">
        <f t="shared" si="120"/>
        <v>246</v>
      </c>
      <c r="BD122" s="63" t="b">
        <f t="shared" si="121"/>
        <v>1</v>
      </c>
      <c r="BE122" s="68" t="s">
        <v>1514</v>
      </c>
      <c r="BF122" s="75" t="s">
        <v>1514</v>
      </c>
      <c r="BG122" s="75" t="s">
        <v>1514</v>
      </c>
      <c r="BH122" s="75" t="s">
        <v>1514</v>
      </c>
      <c r="BI122" s="75" t="s">
        <v>1514</v>
      </c>
      <c r="BJ122" s="75" t="s">
        <v>1514</v>
      </c>
      <c r="BK122" s="75" t="s">
        <v>1514</v>
      </c>
      <c r="BL122" s="75" t="s">
        <v>1514</v>
      </c>
      <c r="BM122" s="75" t="s">
        <v>1514</v>
      </c>
      <c r="BN122" s="75" t="s">
        <v>1514</v>
      </c>
      <c r="BO122" s="75" t="s">
        <v>1514</v>
      </c>
      <c r="BP122" s="75" t="s">
        <v>1514</v>
      </c>
      <c r="BQ122" s="68">
        <f t="shared" si="122"/>
        <v>112</v>
      </c>
      <c r="BR122" s="69">
        <f t="shared" si="123"/>
        <v>145</v>
      </c>
      <c r="BS122" s="70">
        <f t="shared" si="124"/>
        <v>149</v>
      </c>
      <c r="BT122" s="69" t="str">
        <f t="shared" si="125"/>
        <v>-</v>
      </c>
      <c r="BU122" s="70">
        <f t="shared" si="126"/>
        <v>186</v>
      </c>
      <c r="BV122" s="69" t="str">
        <f t="shared" si="127"/>
        <v>-</v>
      </c>
      <c r="BW122" s="70">
        <f t="shared" si="128"/>
        <v>226</v>
      </c>
      <c r="BX122" s="69">
        <f t="shared" si="129"/>
        <v>258</v>
      </c>
      <c r="BY122" s="70">
        <f t="shared" si="130"/>
        <v>268</v>
      </c>
      <c r="BZ122" s="69">
        <f t="shared" si="131"/>
        <v>304</v>
      </c>
      <c r="CA122" s="70">
        <f t="shared" si="132"/>
        <v>339</v>
      </c>
      <c r="CB122" s="69" t="str">
        <f t="shared" si="133"/>
        <v>-</v>
      </c>
      <c r="CC122" s="68">
        <f t="shared" si="134"/>
        <v>144</v>
      </c>
      <c r="CD122" s="69">
        <f t="shared" si="135"/>
        <v>148</v>
      </c>
      <c r="CE122" s="70">
        <f t="shared" si="136"/>
        <v>204</v>
      </c>
      <c r="CF122" s="70" t="str">
        <f t="shared" si="137"/>
        <v>-</v>
      </c>
      <c r="CG122" s="70">
        <f t="shared" si="138"/>
        <v>219</v>
      </c>
      <c r="CH122" s="70" t="str">
        <f t="shared" si="139"/>
        <v>-</v>
      </c>
      <c r="CI122" s="70">
        <f t="shared" si="140"/>
        <v>254</v>
      </c>
      <c r="CJ122" s="70">
        <f t="shared" si="141"/>
        <v>260</v>
      </c>
      <c r="CK122" s="70">
        <f t="shared" si="142"/>
        <v>298</v>
      </c>
      <c r="CL122" s="70">
        <f t="shared" si="143"/>
        <v>332</v>
      </c>
      <c r="CM122" s="70">
        <f t="shared" si="144"/>
        <v>362</v>
      </c>
      <c r="CN122" s="70" t="str">
        <f t="shared" si="145"/>
        <v>-</v>
      </c>
      <c r="CO122" s="57">
        <f t="shared" si="118"/>
        <v>1</v>
      </c>
    </row>
    <row r="123" spans="1:93" x14ac:dyDescent="0.2">
      <c r="A123" s="3" t="str">
        <f t="shared" si="119"/>
        <v>crfr1_human_4Z9G_dist</v>
      </c>
      <c r="B123" s="3" t="s">
        <v>213</v>
      </c>
      <c r="C123" s="3" t="s">
        <v>1381</v>
      </c>
      <c r="D123" s="3" t="str">
        <f>IFERROR(MID(VLOOKUP($B123,Seqs!$A:$B,2,FALSE),E123,1),"")</f>
        <v>S</v>
      </c>
      <c r="E123" s="3">
        <v>112</v>
      </c>
      <c r="F123" s="3" t="str">
        <f>IFERROR(MID(VLOOKUP($B123,Seqs!$A:$B,2,FALSE),G123,1),"")</f>
        <v>L</v>
      </c>
      <c r="G123" s="3">
        <v>144</v>
      </c>
      <c r="H123" s="3" t="str">
        <f>IFERROR(MID(VLOOKUP($B123,Seqs!$A:$B,2,FALSE),I123,1),"")</f>
        <v>R</v>
      </c>
      <c r="I123" s="57">
        <v>145</v>
      </c>
      <c r="J123" s="3" t="str">
        <f>IFERROR(MID(VLOOKUP($B123,Seqs!$A:$B,2,FALSE),K123,1),"")</f>
        <v>R</v>
      </c>
      <c r="K123" s="57">
        <v>148</v>
      </c>
      <c r="L123" s="3" t="str">
        <f>IFERROR(MID(VLOOKUP($B123,Seqs!$A:$B,2,FALSE),M123,1),"")</f>
        <v>C</v>
      </c>
      <c r="M123" s="57">
        <v>149</v>
      </c>
      <c r="N123" s="3" t="str">
        <f>IFERROR(MID(VLOOKUP($B123,Seqs!$A:$B,2,FALSE),O123,1),"")</f>
        <v>F</v>
      </c>
      <c r="O123" s="3">
        <v>204</v>
      </c>
      <c r="P123" s="3" t="str">
        <f>IFERROR(MID(VLOOKUP($B123,Seqs!$A:$B,2,FALSE),Q123,1),"")</f>
        <v/>
      </c>
      <c r="Q123" s="3" t="s">
        <v>129</v>
      </c>
      <c r="R123" s="3" t="str">
        <f>IFERROR(MID(VLOOKUP($B123,Seqs!$A:$B,2,FALSE),S123,1),"")</f>
        <v/>
      </c>
      <c r="S123" s="3" t="s">
        <v>129</v>
      </c>
      <c r="T123" s="3" t="str">
        <f>IFERROR(MID(VLOOKUP($B123,Seqs!$A:$B,2,FALSE),U123,1),"")</f>
        <v>G</v>
      </c>
      <c r="U123" s="3">
        <v>186</v>
      </c>
      <c r="V123" s="3" t="str">
        <f>IFERROR(MID(VLOOKUP($B123,Seqs!$A:$B,2,FALSE),W123,1),"")</f>
        <v>L</v>
      </c>
      <c r="W123" s="3">
        <v>219</v>
      </c>
      <c r="X123" s="3" t="str">
        <f>IFERROR(MID(VLOOKUP($B123,Seqs!$A:$B,2,FALSE),Y123,1),"")</f>
        <v/>
      </c>
      <c r="Y123" s="3" t="s">
        <v>129</v>
      </c>
      <c r="Z123" s="3" t="str">
        <f>IFERROR(MID(VLOOKUP($B123,Seqs!$A:$B,2,FALSE),AA123,1),"")</f>
        <v/>
      </c>
      <c r="AA123" s="3" t="s">
        <v>129</v>
      </c>
      <c r="AB123" s="3" t="str">
        <f>IFERROR(MID(VLOOKUP($B123,Seqs!$A:$B,2,FALSE),AC123,1),"")</f>
        <v>L</v>
      </c>
      <c r="AC123" s="3">
        <v>226</v>
      </c>
      <c r="AD123" s="3" t="str">
        <f>IFERROR(MID(VLOOKUP($B123,Seqs!$A:$B,2,FALSE),AE123,1),"")</f>
        <v>D</v>
      </c>
      <c r="AE123" s="3">
        <v>254</v>
      </c>
      <c r="AF123" s="3" t="str">
        <f>IFERROR(MID(VLOOKUP($B123,Seqs!$A:$B,2,FALSE),AG123,1),"")</f>
        <v>C</v>
      </c>
      <c r="AG123" s="3">
        <v>258</v>
      </c>
      <c r="AH123" s="3" t="str">
        <f>IFERROR(MID(VLOOKUP($B123,Seqs!$A:$B,2,FALSE),AI123,1),"")</f>
        <v>F</v>
      </c>
      <c r="AI123" s="3">
        <v>260</v>
      </c>
      <c r="AJ123" s="3" t="str">
        <f>IFERROR(MID(VLOOKUP($B123,Seqs!$A:$B,2,FALSE),AK123,1),"")</f>
        <v>T</v>
      </c>
      <c r="AK123" s="3">
        <v>268</v>
      </c>
      <c r="AL123" s="3" t="str">
        <f>IFERROR(MID(VLOOKUP($B123,Seqs!$A:$B,2,FALSE),AM123,1),"")</f>
        <v>L</v>
      </c>
      <c r="AM123" s="3">
        <v>298</v>
      </c>
      <c r="AN123" s="3" t="str">
        <f>IFERROR(MID(VLOOKUP($B123,Seqs!$A:$B,2,FALSE),AO123,1),"")</f>
        <v>S</v>
      </c>
      <c r="AO123" s="3">
        <v>304</v>
      </c>
      <c r="AP123" s="3" t="str">
        <f>IFERROR(MID(VLOOKUP($B123,Seqs!$A:$B,2,FALSE),AQ123,1),"")</f>
        <v>V</v>
      </c>
      <c r="AQ123" s="3">
        <v>332</v>
      </c>
      <c r="AR123" s="3" t="str">
        <f>IFERROR(MID(VLOOKUP($B123,Seqs!$A:$B,2,FALSE),AS123,1),"")</f>
        <v>V</v>
      </c>
      <c r="AS123" s="3">
        <v>339</v>
      </c>
      <c r="AT123" s="3" t="str">
        <f>IFERROR(MID(VLOOKUP($B123,Seqs!$A:$B,2,FALSE),AU123,1),"")</f>
        <v>E</v>
      </c>
      <c r="AU123" s="3">
        <v>369</v>
      </c>
      <c r="AV123" s="3" t="str">
        <f>IFERROR(MID(VLOOKUP($B123,Seqs!$A:$B,2,FALSE),AW123,1),"")</f>
        <v/>
      </c>
      <c r="AW123" s="3" t="s">
        <v>129</v>
      </c>
      <c r="AX123" s="3" t="str">
        <f>IFERROR(MID(VLOOKUP($B123,Seqs!$A:$B,2,FALSE),AY123,1),"")</f>
        <v/>
      </c>
      <c r="AY123" s="3" t="s">
        <v>129</v>
      </c>
      <c r="AZ123" s="83" t="str">
        <f>VLOOKUP(B123,Classification!A:D,2,FALSE)</f>
        <v>B1</v>
      </c>
      <c r="BA123" s="3" t="s">
        <v>1382</v>
      </c>
      <c r="BC123" s="57">
        <f t="shared" si="120"/>
        <v>253</v>
      </c>
      <c r="BD123" s="63" t="b">
        <f t="shared" si="121"/>
        <v>1</v>
      </c>
      <c r="BE123" s="68" t="s">
        <v>1514</v>
      </c>
      <c r="BF123" s="75" t="s">
        <v>1514</v>
      </c>
      <c r="BG123" s="75" t="s">
        <v>1514</v>
      </c>
      <c r="BH123" s="75" t="s">
        <v>1514</v>
      </c>
      <c r="BI123" s="75" t="s">
        <v>1514</v>
      </c>
      <c r="BJ123" s="75" t="s">
        <v>1514</v>
      </c>
      <c r="BK123" s="75" t="s">
        <v>1514</v>
      </c>
      <c r="BL123" s="75" t="s">
        <v>1514</v>
      </c>
      <c r="BM123" s="75" t="s">
        <v>1514</v>
      </c>
      <c r="BN123" s="75" t="s">
        <v>1514</v>
      </c>
      <c r="BO123" s="75" t="s">
        <v>1514</v>
      </c>
      <c r="BP123" s="75" t="s">
        <v>1514</v>
      </c>
      <c r="BQ123" s="68">
        <f t="shared" si="122"/>
        <v>112</v>
      </c>
      <c r="BR123" s="69">
        <f t="shared" si="123"/>
        <v>145</v>
      </c>
      <c r="BS123" s="70">
        <f t="shared" si="124"/>
        <v>149</v>
      </c>
      <c r="BT123" s="69" t="str">
        <f t="shared" si="125"/>
        <v>-</v>
      </c>
      <c r="BU123" s="70">
        <f t="shared" si="126"/>
        <v>186</v>
      </c>
      <c r="BV123" s="69" t="str">
        <f t="shared" si="127"/>
        <v>-</v>
      </c>
      <c r="BW123" s="70">
        <f t="shared" si="128"/>
        <v>226</v>
      </c>
      <c r="BX123" s="69">
        <f t="shared" si="129"/>
        <v>258</v>
      </c>
      <c r="BY123" s="70">
        <f t="shared" si="130"/>
        <v>268</v>
      </c>
      <c r="BZ123" s="69">
        <f t="shared" si="131"/>
        <v>304</v>
      </c>
      <c r="CA123" s="70">
        <f t="shared" si="132"/>
        <v>339</v>
      </c>
      <c r="CB123" s="69" t="str">
        <f t="shared" si="133"/>
        <v>-</v>
      </c>
      <c r="CC123" s="68">
        <f t="shared" si="134"/>
        <v>144</v>
      </c>
      <c r="CD123" s="69">
        <f t="shared" si="135"/>
        <v>148</v>
      </c>
      <c r="CE123" s="70">
        <f t="shared" si="136"/>
        <v>204</v>
      </c>
      <c r="CF123" s="70" t="str">
        <f t="shared" si="137"/>
        <v>-</v>
      </c>
      <c r="CG123" s="70">
        <f t="shared" si="138"/>
        <v>219</v>
      </c>
      <c r="CH123" s="70" t="str">
        <f t="shared" si="139"/>
        <v>-</v>
      </c>
      <c r="CI123" s="70">
        <f t="shared" si="140"/>
        <v>254</v>
      </c>
      <c r="CJ123" s="70">
        <f t="shared" si="141"/>
        <v>260</v>
      </c>
      <c r="CK123" s="70">
        <f t="shared" si="142"/>
        <v>298</v>
      </c>
      <c r="CL123" s="70">
        <f t="shared" si="143"/>
        <v>332</v>
      </c>
      <c r="CM123" s="70">
        <f t="shared" si="144"/>
        <v>369</v>
      </c>
      <c r="CN123" s="70" t="str">
        <f t="shared" si="145"/>
        <v>-</v>
      </c>
      <c r="CO123" s="57">
        <f t="shared" si="118"/>
        <v>1</v>
      </c>
    </row>
    <row r="124" spans="1:93" x14ac:dyDescent="0.2">
      <c r="A124" s="3" t="str">
        <f t="shared" si="119"/>
        <v>glr_human__wt</v>
      </c>
      <c r="B124" s="3" t="s">
        <v>206</v>
      </c>
      <c r="C124" s="3" t="s">
        <v>294</v>
      </c>
      <c r="D124" s="3" t="str">
        <f>IFERROR(MID(VLOOKUP($B124,Seqs!$A:$B,2,FALSE),E124,1),"")</f>
        <v>G</v>
      </c>
      <c r="E124" s="3">
        <v>125</v>
      </c>
      <c r="F124" s="3" t="str">
        <f>IFERROR(MID(VLOOKUP($B124,Seqs!$A:$B,2,FALSE),G124,1),"")</f>
        <v>L</v>
      </c>
      <c r="G124" s="3">
        <v>166</v>
      </c>
      <c r="H124" s="3" t="str">
        <f>IFERROR(MID(VLOOKUP($B124,Seqs!$A:$B,2,FALSE),I124,1),"")</f>
        <v>S</v>
      </c>
      <c r="I124" s="57">
        <v>167</v>
      </c>
      <c r="J124" s="3" t="str">
        <f>IFERROR(MID(VLOOKUP($B124,Seqs!$A:$B,2,FALSE),K124,1),"")</f>
        <v>H</v>
      </c>
      <c r="K124" s="57">
        <v>170</v>
      </c>
      <c r="L124" s="3" t="str">
        <f>IFERROR(MID(VLOOKUP($B124,Seqs!$A:$B,2,FALSE),M124,1),"")</f>
        <v>C</v>
      </c>
      <c r="M124" s="57">
        <v>171</v>
      </c>
      <c r="N124" s="3" t="str">
        <f>IFERROR(MID(VLOOKUP($B124,Seqs!$A:$B,2,FALSE),O124,1),"")</f>
        <v>R</v>
      </c>
      <c r="O124" s="3">
        <v>199</v>
      </c>
      <c r="P124" s="3" t="str">
        <f>IFERROR(MID(VLOOKUP($B124,Seqs!$A:$B,2,FALSE),Q124,1),"")</f>
        <v/>
      </c>
      <c r="Q124" s="3" t="s">
        <v>129</v>
      </c>
      <c r="R124" s="3" t="str">
        <f>IFERROR(MID(VLOOKUP($B124,Seqs!$A:$B,2,FALSE),S124,1),"")</f>
        <v/>
      </c>
      <c r="S124" s="3" t="s">
        <v>129</v>
      </c>
      <c r="T124" s="3" t="str">
        <f>IFERROR(MID(VLOOKUP($B124,Seqs!$A:$B,2,FALSE),U124,1),"")</f>
        <v>S</v>
      </c>
      <c r="U124" s="3">
        <v>217</v>
      </c>
      <c r="V124" s="3" t="str">
        <f>IFERROR(MID(VLOOKUP($B124,Seqs!$A:$B,2,FALSE),W124,1),"")</f>
        <v>L</v>
      </c>
      <c r="W124" s="3">
        <v>255</v>
      </c>
      <c r="X124" s="3" t="str">
        <f>IFERROR(MID(VLOOKUP($B124,Seqs!$A:$B,2,FALSE),Y124,1),"")</f>
        <v/>
      </c>
      <c r="Y124" s="3" t="s">
        <v>129</v>
      </c>
      <c r="Z124" s="3" t="str">
        <f>IFERROR(MID(VLOOKUP($B124,Seqs!$A:$B,2,FALSE),AA124,1),"")</f>
        <v/>
      </c>
      <c r="AA124" s="3" t="s">
        <v>129</v>
      </c>
      <c r="AB124" s="3" t="str">
        <f>IFERROR(MID(VLOOKUP($B124,Seqs!$A:$B,2,FALSE),AC124,1),"")</f>
        <v>S</v>
      </c>
      <c r="AC124" s="3">
        <v>262</v>
      </c>
      <c r="AD124" s="3" t="str">
        <f>IFERROR(MID(VLOOKUP($B124,Seqs!$A:$B,2,FALSE),AE124,1),"")</f>
        <v>E</v>
      </c>
      <c r="AE124" s="3">
        <v>290</v>
      </c>
      <c r="AF124" s="3" t="str">
        <f>IFERROR(MID(VLOOKUP($B124,Seqs!$A:$B,2,FALSE),AG124,1),"")</f>
        <v>C</v>
      </c>
      <c r="AG124" s="3">
        <v>294</v>
      </c>
      <c r="AH124" s="3" t="str">
        <f>IFERROR(MID(VLOOKUP($B124,Seqs!$A:$B,2,FALSE),AI124,1),"")</f>
        <v>T</v>
      </c>
      <c r="AI124" s="3">
        <v>296</v>
      </c>
      <c r="AJ124" s="3" t="str">
        <f>IFERROR(MID(VLOOKUP($B124,Seqs!$A:$B,2,FALSE),AK124,1),"")</f>
        <v>N</v>
      </c>
      <c r="AK124" s="3">
        <v>300</v>
      </c>
      <c r="AL124" s="3" t="str">
        <f>IFERROR(MID(VLOOKUP($B124,Seqs!$A:$B,2,FALSE),AM124,1),"")</f>
        <v>A</v>
      </c>
      <c r="AM124" s="3">
        <v>335</v>
      </c>
      <c r="AN124" s="3" t="str">
        <f>IFERROR(MID(VLOOKUP($B124,Seqs!$A:$B,2,FALSE),AO124,1),"")</f>
        <v>Y</v>
      </c>
      <c r="AO124" s="3">
        <v>343</v>
      </c>
      <c r="AP124" s="3" t="str">
        <f>IFERROR(MID(VLOOKUP($B124,Seqs!$A:$B,2,FALSE),AQ124,1),"")</f>
        <v>F</v>
      </c>
      <c r="AQ124" s="3">
        <v>367</v>
      </c>
      <c r="AR124" s="3" t="str">
        <f>IFERROR(MID(VLOOKUP($B124,Seqs!$A:$B,2,FALSE),AS124,1),"")</f>
        <v>Q</v>
      </c>
      <c r="AS124" s="3">
        <v>374</v>
      </c>
      <c r="AT124" s="3" t="str">
        <f>IFERROR(MID(VLOOKUP($B124,Seqs!$A:$B,2,FALSE),AU124,1),"")</f>
        <v>L</v>
      </c>
      <c r="AU124" s="3">
        <v>403</v>
      </c>
      <c r="AV124" s="3" t="str">
        <f>IFERROR(MID(VLOOKUP($B124,Seqs!$A:$B,2,FALSE),AW124,1),"")</f>
        <v>N</v>
      </c>
      <c r="AW124" s="3">
        <v>404</v>
      </c>
      <c r="AX124" s="3" t="str">
        <f>IFERROR(MID(VLOOKUP($B124,Seqs!$A:$B,2,FALSE),AY124,1),"")</f>
        <v>N</v>
      </c>
      <c r="AY124" s="3">
        <v>429</v>
      </c>
      <c r="AZ124" s="83" t="str">
        <f>VLOOKUP(B124,Classification!A:D,2,FALSE)</f>
        <v>B1</v>
      </c>
      <c r="BB124" s="82" t="e">
        <f>S124-Q124+1</f>
        <v>#VALUE!</v>
      </c>
      <c r="BC124" s="57">
        <f t="shared" si="120"/>
        <v>265</v>
      </c>
      <c r="BD124" s="63" t="b">
        <f t="shared" si="121"/>
        <v>1</v>
      </c>
      <c r="BE124" s="68" t="s">
        <v>1514</v>
      </c>
      <c r="BF124" s="75" t="s">
        <v>1514</v>
      </c>
      <c r="BG124" s="75" t="s">
        <v>1514</v>
      </c>
      <c r="BH124" s="75" t="s">
        <v>1514</v>
      </c>
      <c r="BI124" s="75" t="s">
        <v>1514</v>
      </c>
      <c r="BJ124" s="75" t="s">
        <v>1514</v>
      </c>
      <c r="BK124" s="75" t="s">
        <v>1514</v>
      </c>
      <c r="BL124" s="75" t="s">
        <v>1514</v>
      </c>
      <c r="BM124" s="75" t="s">
        <v>1514</v>
      </c>
      <c r="BN124" s="75" t="s">
        <v>1514</v>
      </c>
      <c r="BO124" s="75" t="s">
        <v>1514</v>
      </c>
      <c r="BP124" s="75" t="s">
        <v>1514</v>
      </c>
      <c r="BQ124" s="68">
        <f t="shared" si="122"/>
        <v>125</v>
      </c>
      <c r="BR124" s="69">
        <f t="shared" si="123"/>
        <v>167</v>
      </c>
      <c r="BS124" s="70">
        <f t="shared" si="124"/>
        <v>171</v>
      </c>
      <c r="BT124" s="69" t="str">
        <f t="shared" si="125"/>
        <v>-</v>
      </c>
      <c r="BU124" s="70">
        <f t="shared" si="126"/>
        <v>217</v>
      </c>
      <c r="BV124" s="69" t="str">
        <f t="shared" si="127"/>
        <v>-</v>
      </c>
      <c r="BW124" s="70">
        <f t="shared" si="128"/>
        <v>262</v>
      </c>
      <c r="BX124" s="69">
        <f t="shared" si="129"/>
        <v>294</v>
      </c>
      <c r="BY124" s="70">
        <f t="shared" si="130"/>
        <v>300</v>
      </c>
      <c r="BZ124" s="69">
        <f t="shared" si="131"/>
        <v>343</v>
      </c>
      <c r="CA124" s="70">
        <f t="shared" si="132"/>
        <v>374</v>
      </c>
      <c r="CB124" s="69">
        <f t="shared" si="133"/>
        <v>404</v>
      </c>
      <c r="CC124" s="68">
        <f t="shared" si="134"/>
        <v>166</v>
      </c>
      <c r="CD124" s="69">
        <f t="shared" si="135"/>
        <v>170</v>
      </c>
      <c r="CE124" s="70">
        <f t="shared" si="136"/>
        <v>199</v>
      </c>
      <c r="CF124" s="70" t="str">
        <f t="shared" si="137"/>
        <v>-</v>
      </c>
      <c r="CG124" s="70">
        <f t="shared" si="138"/>
        <v>255</v>
      </c>
      <c r="CH124" s="70" t="str">
        <f t="shared" si="139"/>
        <v>-</v>
      </c>
      <c r="CI124" s="70">
        <f t="shared" si="140"/>
        <v>290</v>
      </c>
      <c r="CJ124" s="70">
        <f t="shared" si="141"/>
        <v>296</v>
      </c>
      <c r="CK124" s="70">
        <f t="shared" si="142"/>
        <v>335</v>
      </c>
      <c r="CL124" s="70">
        <f t="shared" si="143"/>
        <v>367</v>
      </c>
      <c r="CM124" s="70">
        <f t="shared" si="144"/>
        <v>403</v>
      </c>
      <c r="CN124" s="70">
        <f t="shared" si="145"/>
        <v>429</v>
      </c>
      <c r="CO124" s="57">
        <f t="shared" si="118"/>
        <v>1</v>
      </c>
    </row>
    <row r="125" spans="1:93" x14ac:dyDescent="0.2">
      <c r="A125" s="3" t="str">
        <f t="shared" si="119"/>
        <v>glr_human_4L6R</v>
      </c>
      <c r="B125" s="3" t="s">
        <v>206</v>
      </c>
      <c r="C125" s="3" t="s">
        <v>240</v>
      </c>
      <c r="D125" s="3" t="str">
        <f>IFERROR(MID(VLOOKUP($B125,Seqs!$A:$B,2,FALSE),E125,1),"")</f>
        <v>G</v>
      </c>
      <c r="E125" s="3">
        <v>125</v>
      </c>
      <c r="F125" s="3" t="str">
        <f>IFERROR(MID(VLOOKUP($B125,Seqs!$A:$B,2,FALSE),G125,1),"")</f>
        <v>G</v>
      </c>
      <c r="G125" s="3">
        <v>164</v>
      </c>
      <c r="H125" s="3" t="str">
        <f>IFERROR(MID(VLOOKUP($B125,Seqs!$A:$B,2,FALSE),I125,1),"")</f>
        <v>S</v>
      </c>
      <c r="I125" s="57">
        <v>167</v>
      </c>
      <c r="J125" s="3" t="str">
        <f>IFERROR(MID(VLOOKUP($B125,Seqs!$A:$B,2,FALSE),K125,1),"")</f>
        <v>H</v>
      </c>
      <c r="K125" s="57">
        <v>170</v>
      </c>
      <c r="L125" s="3" t="str">
        <f>IFERROR(MID(VLOOKUP($B125,Seqs!$A:$B,2,FALSE),M125,1),"")</f>
        <v>C</v>
      </c>
      <c r="M125" s="57">
        <v>171</v>
      </c>
      <c r="N125" s="3" t="str">
        <f>IFERROR(MID(VLOOKUP($B125,Seqs!$A:$B,2,FALSE),O125,1),"")</f>
        <v>R</v>
      </c>
      <c r="O125" s="3">
        <v>199</v>
      </c>
      <c r="P125" s="3" t="str">
        <f>IFERROR(MID(VLOOKUP($B125,Seqs!$A:$B,2,FALSE),Q125,1),"")</f>
        <v/>
      </c>
      <c r="Q125" s="3" t="s">
        <v>129</v>
      </c>
      <c r="R125" s="3" t="str">
        <f>IFERROR(MID(VLOOKUP($B125,Seqs!$A:$B,2,FALSE),S125,1),"")</f>
        <v/>
      </c>
      <c r="S125" s="3" t="s">
        <v>129</v>
      </c>
      <c r="T125" s="3" t="str">
        <f>IFERROR(MID(VLOOKUP($B125,Seqs!$A:$B,2,FALSE),U125,1),"")</f>
        <v>S</v>
      </c>
      <c r="U125" s="3">
        <v>217</v>
      </c>
      <c r="V125" s="3" t="str">
        <f>IFERROR(MID(VLOOKUP($B125,Seqs!$A:$B,2,FALSE),W125,1),"")</f>
        <v>L</v>
      </c>
      <c r="W125" s="3">
        <v>255</v>
      </c>
      <c r="X125" s="3" t="str">
        <f>IFERROR(MID(VLOOKUP($B125,Seqs!$A:$B,2,FALSE),Y125,1),"")</f>
        <v/>
      </c>
      <c r="Y125" s="3" t="s">
        <v>129</v>
      </c>
      <c r="Z125" s="3" t="str">
        <f>IFERROR(MID(VLOOKUP($B125,Seqs!$A:$B,2,FALSE),AA125,1),"")</f>
        <v/>
      </c>
      <c r="AA125" s="3" t="s">
        <v>129</v>
      </c>
      <c r="AB125" s="3" t="str">
        <f>IFERROR(MID(VLOOKUP($B125,Seqs!$A:$B,2,FALSE),AC125,1),"")</f>
        <v>A</v>
      </c>
      <c r="AC125" s="3">
        <v>274</v>
      </c>
      <c r="AD125" s="3" t="str">
        <f>IFERROR(MID(VLOOKUP($B125,Seqs!$A:$B,2,FALSE),AE125,1),"")</f>
        <v>E</v>
      </c>
      <c r="AE125" s="3">
        <v>290</v>
      </c>
      <c r="AF125" s="3" t="str">
        <f>IFERROR(MID(VLOOKUP($B125,Seqs!$A:$B,2,FALSE),AG125,1),"")</f>
        <v>C</v>
      </c>
      <c r="AG125" s="3">
        <v>294</v>
      </c>
      <c r="AH125" s="3" t="str">
        <f>IFERROR(MID(VLOOKUP($B125,Seqs!$A:$B,2,FALSE),AI125,1),"")</f>
        <v>T</v>
      </c>
      <c r="AI125" s="3">
        <v>296</v>
      </c>
      <c r="AJ125" s="3" t="str">
        <f>IFERROR(MID(VLOOKUP($B125,Seqs!$A:$B,2,FALSE),AK125,1),"")</f>
        <v>N</v>
      </c>
      <c r="AK125" s="3">
        <v>300</v>
      </c>
      <c r="AL125" s="3" t="str">
        <f>IFERROR(MID(VLOOKUP($B125,Seqs!$A:$B,2,FALSE),AM125,1),"")</f>
        <v>A</v>
      </c>
      <c r="AM125" s="3">
        <v>335</v>
      </c>
      <c r="AN125" s="3" t="str">
        <f>IFERROR(MID(VLOOKUP($B125,Seqs!$A:$B,2,FALSE),AO125,1),"")</f>
        <v>Y</v>
      </c>
      <c r="AO125" s="3">
        <v>343</v>
      </c>
      <c r="AP125" s="3" t="str">
        <f>IFERROR(MID(VLOOKUP($B125,Seqs!$A:$B,2,FALSE),AQ125,1),"")</f>
        <v>F</v>
      </c>
      <c r="AQ125" s="3">
        <v>367</v>
      </c>
      <c r="AR125" s="3" t="str">
        <f>IFERROR(MID(VLOOKUP($B125,Seqs!$A:$B,2,FALSE),AS125,1),"")</f>
        <v>Q</v>
      </c>
      <c r="AS125" s="3">
        <v>374</v>
      </c>
      <c r="AT125" s="3" t="str">
        <f>IFERROR(MID(VLOOKUP($B125,Seqs!$A:$B,2,FALSE),AU125,1),"")</f>
        <v>L</v>
      </c>
      <c r="AU125" s="3">
        <v>403</v>
      </c>
      <c r="AV125" s="3" t="str">
        <f>IFERROR(MID(VLOOKUP($B125,Seqs!$A:$B,2,FALSE),AW125,1),"")</f>
        <v>N</v>
      </c>
      <c r="AW125" s="3">
        <v>404</v>
      </c>
      <c r="AX125" s="3" t="str">
        <f>IFERROR(MID(VLOOKUP($B125,Seqs!$A:$B,2,FALSE),AY125,1),"")</f>
        <v>N</v>
      </c>
      <c r="AY125" s="3">
        <v>429</v>
      </c>
      <c r="AZ125" s="83" t="str">
        <f>VLOOKUP(B125,Classification!A:D,2,FALSE)</f>
        <v>B1</v>
      </c>
      <c r="BB125" s="35" t="s">
        <v>1315</v>
      </c>
      <c r="BC125" s="57">
        <f t="shared" si="120"/>
        <v>251</v>
      </c>
      <c r="BD125" s="63" t="b">
        <f t="shared" si="121"/>
        <v>1</v>
      </c>
      <c r="BE125" s="68" t="s">
        <v>1514</v>
      </c>
      <c r="BF125" s="75" t="s">
        <v>1514</v>
      </c>
      <c r="BG125" s="75" t="s">
        <v>1514</v>
      </c>
      <c r="BH125" s="75" t="s">
        <v>1514</v>
      </c>
      <c r="BI125" s="75" t="s">
        <v>1514</v>
      </c>
      <c r="BJ125" s="75" t="s">
        <v>1514</v>
      </c>
      <c r="BK125" s="75" t="s">
        <v>1514</v>
      </c>
      <c r="BL125" s="75" t="s">
        <v>1514</v>
      </c>
      <c r="BM125" s="75" t="s">
        <v>1514</v>
      </c>
      <c r="BN125" s="75" t="s">
        <v>1514</v>
      </c>
      <c r="BO125" s="75" t="s">
        <v>1514</v>
      </c>
      <c r="BP125" s="75" t="s">
        <v>1514</v>
      </c>
      <c r="BQ125" s="68">
        <f t="shared" si="122"/>
        <v>125</v>
      </c>
      <c r="BR125" s="69">
        <f t="shared" si="123"/>
        <v>167</v>
      </c>
      <c r="BS125" s="70">
        <f t="shared" si="124"/>
        <v>171</v>
      </c>
      <c r="BT125" s="69" t="str">
        <f t="shared" si="125"/>
        <v>-</v>
      </c>
      <c r="BU125" s="70">
        <f t="shared" si="126"/>
        <v>217</v>
      </c>
      <c r="BV125" s="69" t="str">
        <f t="shared" si="127"/>
        <v>-</v>
      </c>
      <c r="BW125" s="70">
        <f t="shared" si="128"/>
        <v>274</v>
      </c>
      <c r="BX125" s="69">
        <f t="shared" si="129"/>
        <v>294</v>
      </c>
      <c r="BY125" s="70">
        <f t="shared" si="130"/>
        <v>300</v>
      </c>
      <c r="BZ125" s="69">
        <f t="shared" si="131"/>
        <v>343</v>
      </c>
      <c r="CA125" s="70">
        <f t="shared" si="132"/>
        <v>374</v>
      </c>
      <c r="CB125" s="69">
        <f t="shared" si="133"/>
        <v>404</v>
      </c>
      <c r="CC125" s="68">
        <f t="shared" si="134"/>
        <v>164</v>
      </c>
      <c r="CD125" s="69">
        <f t="shared" si="135"/>
        <v>170</v>
      </c>
      <c r="CE125" s="70">
        <f t="shared" si="136"/>
        <v>199</v>
      </c>
      <c r="CF125" s="70" t="str">
        <f t="shared" si="137"/>
        <v>-</v>
      </c>
      <c r="CG125" s="70">
        <f t="shared" si="138"/>
        <v>255</v>
      </c>
      <c r="CH125" s="70" t="str">
        <f t="shared" si="139"/>
        <v>-</v>
      </c>
      <c r="CI125" s="70">
        <f t="shared" si="140"/>
        <v>290</v>
      </c>
      <c r="CJ125" s="70">
        <f t="shared" si="141"/>
        <v>296</v>
      </c>
      <c r="CK125" s="70">
        <f t="shared" si="142"/>
        <v>335</v>
      </c>
      <c r="CL125" s="70">
        <f t="shared" si="143"/>
        <v>367</v>
      </c>
      <c r="CM125" s="70">
        <f t="shared" si="144"/>
        <v>403</v>
      </c>
      <c r="CN125" s="70">
        <f t="shared" si="145"/>
        <v>429</v>
      </c>
      <c r="CO125" s="57">
        <f t="shared" si="118"/>
        <v>1</v>
      </c>
    </row>
    <row r="126" spans="1:93" x14ac:dyDescent="0.2">
      <c r="A126" s="3" t="str">
        <f t="shared" si="119"/>
        <v>glr_human_4L6R_dist</v>
      </c>
      <c r="B126" s="3" t="s">
        <v>206</v>
      </c>
      <c r="C126" s="3" t="s">
        <v>1503</v>
      </c>
      <c r="D126" s="3" t="str">
        <f>IFERROR(MID(VLOOKUP($B126,Seqs!$A:$B,2,FALSE),E126,1),"")</f>
        <v>G</v>
      </c>
      <c r="E126" s="3">
        <v>125</v>
      </c>
      <c r="F126" s="3" t="str">
        <f>IFERROR(MID(VLOOKUP($B126,Seqs!$A:$B,2,FALSE),G126,1),"")</f>
        <v>G</v>
      </c>
      <c r="G126" s="3">
        <v>164</v>
      </c>
      <c r="H126" s="3" t="str">
        <f>IFERROR(MID(VLOOKUP($B126,Seqs!$A:$B,2,FALSE),I126,1),"")</f>
        <v>S</v>
      </c>
      <c r="I126" s="57">
        <v>167</v>
      </c>
      <c r="J126" s="3" t="str">
        <f>IFERROR(MID(VLOOKUP($B126,Seqs!$A:$B,2,FALSE),K126,1),"")</f>
        <v>H</v>
      </c>
      <c r="K126" s="57">
        <v>170</v>
      </c>
      <c r="L126" s="3" t="str">
        <f>IFERROR(MID(VLOOKUP($B126,Seqs!$A:$B,2,FALSE),M126,1),"")</f>
        <v>C</v>
      </c>
      <c r="M126" s="57">
        <v>171</v>
      </c>
      <c r="N126" s="3" t="str">
        <f>IFERROR(MID(VLOOKUP($B126,Seqs!$A:$B,2,FALSE),O126,1),"")</f>
        <v>R</v>
      </c>
      <c r="O126" s="3">
        <v>199</v>
      </c>
      <c r="P126" s="3" t="str">
        <f>IFERROR(MID(VLOOKUP($B126,Seqs!$A:$B,2,FALSE),Q126,1),"")</f>
        <v/>
      </c>
      <c r="Q126" s="3" t="s">
        <v>129</v>
      </c>
      <c r="R126" s="3" t="str">
        <f>IFERROR(MID(VLOOKUP($B126,Seqs!$A:$B,2,FALSE),S126,1),"")</f>
        <v/>
      </c>
      <c r="S126" s="3" t="s">
        <v>129</v>
      </c>
      <c r="T126" s="3" t="str">
        <f>IFERROR(MID(VLOOKUP($B126,Seqs!$A:$B,2,FALSE),U126,1),"")</f>
        <v>S</v>
      </c>
      <c r="U126" s="3">
        <v>217</v>
      </c>
      <c r="V126" s="3" t="str">
        <f>IFERROR(MID(VLOOKUP($B126,Seqs!$A:$B,2,FALSE),W126,1),"")</f>
        <v>L</v>
      </c>
      <c r="W126" s="3">
        <v>255</v>
      </c>
      <c r="X126" s="3" t="str">
        <f>IFERROR(MID(VLOOKUP($B126,Seqs!$A:$B,2,FALSE),Y126,1),"")</f>
        <v/>
      </c>
      <c r="Y126" s="3" t="s">
        <v>129</v>
      </c>
      <c r="Z126" s="3" t="str">
        <f>IFERROR(MID(VLOOKUP($B126,Seqs!$A:$B,2,FALSE),AA126,1),"")</f>
        <v/>
      </c>
      <c r="AA126" s="3" t="s">
        <v>129</v>
      </c>
      <c r="AB126" s="3" t="str">
        <f>IFERROR(MID(VLOOKUP($B126,Seqs!$A:$B,2,FALSE),AC126,1),"")</f>
        <v>S</v>
      </c>
      <c r="AC126" s="3">
        <v>262</v>
      </c>
      <c r="AD126" s="3" t="str">
        <f>IFERROR(MID(VLOOKUP($B126,Seqs!$A:$B,2,FALSE),AE126,1),"")</f>
        <v>E</v>
      </c>
      <c r="AE126" s="3">
        <v>290</v>
      </c>
      <c r="AF126" s="3" t="str">
        <f>IFERROR(MID(VLOOKUP($B126,Seqs!$A:$B,2,FALSE),AG126,1),"")</f>
        <v>C</v>
      </c>
      <c r="AG126" s="3">
        <v>294</v>
      </c>
      <c r="AH126" s="3" t="str">
        <f>IFERROR(MID(VLOOKUP($B126,Seqs!$A:$B,2,FALSE),AI126,1),"")</f>
        <v>T</v>
      </c>
      <c r="AI126" s="3">
        <v>296</v>
      </c>
      <c r="AJ126" s="3" t="str">
        <f>IFERROR(MID(VLOOKUP($B126,Seqs!$A:$B,2,FALSE),AK126,1),"")</f>
        <v>N</v>
      </c>
      <c r="AK126" s="3">
        <v>300</v>
      </c>
      <c r="AL126" s="3" t="str">
        <f>IFERROR(MID(VLOOKUP($B126,Seqs!$A:$B,2,FALSE),AM126,1),"")</f>
        <v>A</v>
      </c>
      <c r="AM126" s="3">
        <v>335</v>
      </c>
      <c r="AN126" s="3" t="str">
        <f>IFERROR(MID(VLOOKUP($B126,Seqs!$A:$B,2,FALSE),AO126,1),"")</f>
        <v>Y</v>
      </c>
      <c r="AO126" s="3">
        <v>343</v>
      </c>
      <c r="AP126" s="3" t="str">
        <f>IFERROR(MID(VLOOKUP($B126,Seqs!$A:$B,2,FALSE),AQ126,1),"")</f>
        <v>F</v>
      </c>
      <c r="AQ126" s="3">
        <v>367</v>
      </c>
      <c r="AR126" s="3" t="str">
        <f>IFERROR(MID(VLOOKUP($B126,Seqs!$A:$B,2,FALSE),AS126,1),"")</f>
        <v>Q</v>
      </c>
      <c r="AS126" s="3">
        <v>374</v>
      </c>
      <c r="AT126" s="3" t="str">
        <f>IFERROR(MID(VLOOKUP($B126,Seqs!$A:$B,2,FALSE),AU126,1),"")</f>
        <v>L</v>
      </c>
      <c r="AU126" s="3">
        <v>403</v>
      </c>
      <c r="AV126" s="3" t="str">
        <f>IFERROR(MID(VLOOKUP($B126,Seqs!$A:$B,2,FALSE),AW126,1),"")</f>
        <v>N</v>
      </c>
      <c r="AW126" s="3">
        <v>404</v>
      </c>
      <c r="AX126" s="3" t="str">
        <f>IFERROR(MID(VLOOKUP($B126,Seqs!$A:$B,2,FALSE),AY126,1),"")</f>
        <v>N</v>
      </c>
      <c r="AY126" s="3">
        <v>429</v>
      </c>
      <c r="AZ126" s="83" t="str">
        <f>VLOOKUP(B126,Classification!A:D,2,FALSE)</f>
        <v>B1</v>
      </c>
      <c r="BB126" s="35" t="s">
        <v>1315</v>
      </c>
      <c r="BC126" s="57">
        <f t="shared" si="120"/>
        <v>263</v>
      </c>
      <c r="BD126" s="63" t="b">
        <f t="shared" si="121"/>
        <v>1</v>
      </c>
      <c r="BE126" s="68" t="s">
        <v>1514</v>
      </c>
      <c r="BF126" s="75" t="s">
        <v>1514</v>
      </c>
      <c r="BG126" s="75" t="s">
        <v>1514</v>
      </c>
      <c r="BH126" s="75" t="s">
        <v>1514</v>
      </c>
      <c r="BI126" s="75" t="s">
        <v>1514</v>
      </c>
      <c r="BJ126" s="75" t="s">
        <v>1514</v>
      </c>
      <c r="BK126" s="75" t="s">
        <v>1514</v>
      </c>
      <c r="BL126" s="75" t="s">
        <v>1514</v>
      </c>
      <c r="BM126" s="75" t="s">
        <v>1514</v>
      </c>
      <c r="BN126" s="75" t="s">
        <v>1514</v>
      </c>
      <c r="BO126" s="75" t="s">
        <v>1514</v>
      </c>
      <c r="BP126" s="75" t="s">
        <v>1514</v>
      </c>
      <c r="BQ126" s="68">
        <f t="shared" si="122"/>
        <v>125</v>
      </c>
      <c r="BR126" s="69">
        <f t="shared" si="123"/>
        <v>167</v>
      </c>
      <c r="BS126" s="70">
        <f t="shared" si="124"/>
        <v>171</v>
      </c>
      <c r="BT126" s="69" t="str">
        <f t="shared" si="125"/>
        <v>-</v>
      </c>
      <c r="BU126" s="70">
        <f t="shared" si="126"/>
        <v>217</v>
      </c>
      <c r="BV126" s="69" t="str">
        <f t="shared" si="127"/>
        <v>-</v>
      </c>
      <c r="BW126" s="70">
        <f t="shared" si="128"/>
        <v>262</v>
      </c>
      <c r="BX126" s="69">
        <f t="shared" si="129"/>
        <v>294</v>
      </c>
      <c r="BY126" s="70">
        <f t="shared" si="130"/>
        <v>300</v>
      </c>
      <c r="BZ126" s="69">
        <f t="shared" si="131"/>
        <v>343</v>
      </c>
      <c r="CA126" s="70">
        <f t="shared" si="132"/>
        <v>374</v>
      </c>
      <c r="CB126" s="69">
        <f t="shared" si="133"/>
        <v>404</v>
      </c>
      <c r="CC126" s="68">
        <f t="shared" si="134"/>
        <v>164</v>
      </c>
      <c r="CD126" s="69">
        <f t="shared" si="135"/>
        <v>170</v>
      </c>
      <c r="CE126" s="70">
        <f t="shared" si="136"/>
        <v>199</v>
      </c>
      <c r="CF126" s="70" t="str">
        <f t="shared" si="137"/>
        <v>-</v>
      </c>
      <c r="CG126" s="70">
        <f t="shared" si="138"/>
        <v>255</v>
      </c>
      <c r="CH126" s="70" t="str">
        <f t="shared" si="139"/>
        <v>-</v>
      </c>
      <c r="CI126" s="70">
        <f t="shared" si="140"/>
        <v>290</v>
      </c>
      <c r="CJ126" s="70">
        <f t="shared" si="141"/>
        <v>296</v>
      </c>
      <c r="CK126" s="70">
        <f t="shared" si="142"/>
        <v>335</v>
      </c>
      <c r="CL126" s="70">
        <f t="shared" si="143"/>
        <v>367</v>
      </c>
      <c r="CM126" s="70">
        <f t="shared" si="144"/>
        <v>403</v>
      </c>
      <c r="CN126" s="70">
        <f t="shared" si="145"/>
        <v>429</v>
      </c>
      <c r="CO126" s="57">
        <f t="shared" si="118"/>
        <v>1</v>
      </c>
    </row>
    <row r="127" spans="1:93" x14ac:dyDescent="0.2">
      <c r="A127" s="3" t="str">
        <f t="shared" si="119"/>
        <v>glr_human_5EE7</v>
      </c>
      <c r="B127" s="3" t="s">
        <v>206</v>
      </c>
      <c r="C127" s="3" t="s">
        <v>237</v>
      </c>
      <c r="D127" s="3" t="str">
        <f>IFERROR(MID(VLOOKUP($B127,Seqs!$A:$B,2,FALSE),E127,1),"")</f>
        <v>Y</v>
      </c>
      <c r="E127" s="3">
        <v>138</v>
      </c>
      <c r="F127" s="3" t="str">
        <f>IFERROR(MID(VLOOKUP($B127,Seqs!$A:$B,2,FALSE),G127,1),"")</f>
        <v>L</v>
      </c>
      <c r="G127" s="3">
        <v>166</v>
      </c>
      <c r="H127" s="3" t="str">
        <f>IFERROR(MID(VLOOKUP($B127,Seqs!$A:$B,2,FALSE),I127,1),"")</f>
        <v>S</v>
      </c>
      <c r="I127" s="57">
        <v>167</v>
      </c>
      <c r="J127" s="3" t="str">
        <f>IFERROR(MID(VLOOKUP($B127,Seqs!$A:$B,2,FALSE),K127,1),"")</f>
        <v>H</v>
      </c>
      <c r="K127" s="57">
        <v>170</v>
      </c>
      <c r="L127" s="3" t="str">
        <f>IFERROR(MID(VLOOKUP($B127,Seqs!$A:$B,2,FALSE),M127,1),"")</f>
        <v>C</v>
      </c>
      <c r="M127" s="57">
        <v>171</v>
      </c>
      <c r="N127" s="3" t="str">
        <f>IFERROR(MID(VLOOKUP($B127,Seqs!$A:$B,2,FALSE),O127,1),"")</f>
        <v>R</v>
      </c>
      <c r="O127" s="3">
        <v>199</v>
      </c>
      <c r="P127" s="3" t="str">
        <f>IFERROR(MID(VLOOKUP($B127,Seqs!$A:$B,2,FALSE),Q127,1),"")</f>
        <v/>
      </c>
      <c r="Q127" s="3" t="s">
        <v>129</v>
      </c>
      <c r="R127" s="3" t="str">
        <f>IFERROR(MID(VLOOKUP($B127,Seqs!$A:$B,2,FALSE),S127,1),"")</f>
        <v/>
      </c>
      <c r="S127" s="3" t="s">
        <v>129</v>
      </c>
      <c r="T127" s="3" t="str">
        <f>IFERROR(MID(VLOOKUP($B127,Seqs!$A:$B,2,FALSE),U127,1),"")</f>
        <v>D</v>
      </c>
      <c r="U127" s="3">
        <v>218</v>
      </c>
      <c r="V127" s="3" t="str">
        <f>IFERROR(MID(VLOOKUP($B127,Seqs!$A:$B,2,FALSE),W127,1),"")</f>
        <v>G</v>
      </c>
      <c r="W127" s="3">
        <v>254</v>
      </c>
      <c r="X127" s="3" t="str">
        <f>IFERROR(MID(VLOOKUP($B127,Seqs!$A:$B,2,FALSE),Y127,1),"")</f>
        <v/>
      </c>
      <c r="Y127" s="3" t="s">
        <v>129</v>
      </c>
      <c r="Z127" s="3" t="str">
        <f>IFERROR(MID(VLOOKUP($B127,Seqs!$A:$B,2,FALSE),AA127,1),"")</f>
        <v/>
      </c>
      <c r="AA127" s="3" t="s">
        <v>129</v>
      </c>
      <c r="AB127" s="3" t="str">
        <f>IFERROR(MID(VLOOKUP($B127,Seqs!$A:$B,2,FALSE),AC127,1),"")</f>
        <v>S</v>
      </c>
      <c r="AC127" s="3">
        <v>262</v>
      </c>
      <c r="AD127" s="3" t="str">
        <f>IFERROR(MID(VLOOKUP($B127,Seqs!$A:$B,2,FALSE),AE127,1),"")</f>
        <v>E</v>
      </c>
      <c r="AE127" s="3">
        <v>290</v>
      </c>
      <c r="AF127" s="3" t="str">
        <f>IFERROR(MID(VLOOKUP($B127,Seqs!$A:$B,2,FALSE),AG127,1),"")</f>
        <v>C</v>
      </c>
      <c r="AG127" s="3">
        <v>294</v>
      </c>
      <c r="AH127" s="3" t="str">
        <f>IFERROR(MID(VLOOKUP($B127,Seqs!$A:$B,2,FALSE),AI127,1),"")</f>
        <v>T</v>
      </c>
      <c r="AI127" s="3">
        <v>296</v>
      </c>
      <c r="AJ127" s="3" t="str">
        <f>IFERROR(MID(VLOOKUP($B127,Seqs!$A:$B,2,FALSE),AK127,1),"")</f>
        <v>W</v>
      </c>
      <c r="AK127" s="3">
        <v>305</v>
      </c>
      <c r="AL127" s="3" t="str">
        <f>IFERROR(MID(VLOOKUP($B127,Seqs!$A:$B,2,FALSE),AM127,1),"")</f>
        <v>A</v>
      </c>
      <c r="AM127" s="3">
        <v>335</v>
      </c>
      <c r="AN127" s="3" t="str">
        <f>IFERROR(MID(VLOOKUP($B127,Seqs!$A:$B,2,FALSE),AO127,1),"")</f>
        <v>Y</v>
      </c>
      <c r="AO127" s="3">
        <v>343</v>
      </c>
      <c r="AP127" s="3" t="str">
        <f>IFERROR(MID(VLOOKUP($B127,Seqs!$A:$B,2,FALSE),AQ127,1),"")</f>
        <v>D</v>
      </c>
      <c r="AQ127" s="3">
        <v>370</v>
      </c>
      <c r="AR127" s="3" t="str">
        <f>IFERROR(MID(VLOOKUP($B127,Seqs!$A:$B,2,FALSE),AS127,1),"")</f>
        <v>S</v>
      </c>
      <c r="AS127" s="3">
        <v>379</v>
      </c>
      <c r="AT127" s="3" t="str">
        <f>IFERROR(MID(VLOOKUP($B127,Seqs!$A:$B,2,FALSE),AU127,1),"")</f>
        <v>F</v>
      </c>
      <c r="AU127" s="3">
        <v>402</v>
      </c>
      <c r="AV127" s="3" t="str">
        <f>IFERROR(MID(VLOOKUP($B127,Seqs!$A:$B,2,FALSE),AW127,1),"")</f>
        <v>N</v>
      </c>
      <c r="AW127" s="3">
        <v>404</v>
      </c>
      <c r="AX127" s="3" t="str">
        <f>IFERROR(MID(VLOOKUP($B127,Seqs!$A:$B,2,FALSE),AY127,1),"")</f>
        <v>R</v>
      </c>
      <c r="AY127" s="3">
        <v>417</v>
      </c>
      <c r="AZ127" s="83" t="str">
        <f>VLOOKUP(B127,Classification!A:D,2,FALSE)</f>
        <v>B1</v>
      </c>
      <c r="BC127" s="57">
        <f t="shared" si="120"/>
        <v>230</v>
      </c>
      <c r="BD127" s="63" t="b">
        <f t="shared" si="121"/>
        <v>1</v>
      </c>
      <c r="BE127" s="68" t="s">
        <v>1514</v>
      </c>
      <c r="BF127" s="75" t="s">
        <v>1514</v>
      </c>
      <c r="BG127" s="75" t="s">
        <v>1514</v>
      </c>
      <c r="BH127" s="75" t="s">
        <v>1514</v>
      </c>
      <c r="BI127" s="75" t="s">
        <v>1514</v>
      </c>
      <c r="BJ127" s="75" t="s">
        <v>1514</v>
      </c>
      <c r="BK127" s="75" t="s">
        <v>1514</v>
      </c>
      <c r="BL127" s="75" t="s">
        <v>1514</v>
      </c>
      <c r="BM127" s="75" t="s">
        <v>1514</v>
      </c>
      <c r="BN127" s="75" t="s">
        <v>1514</v>
      </c>
      <c r="BO127" s="75" t="s">
        <v>1514</v>
      </c>
      <c r="BP127" s="75" t="s">
        <v>1514</v>
      </c>
      <c r="BQ127" s="68">
        <f t="shared" si="122"/>
        <v>138</v>
      </c>
      <c r="BR127" s="69">
        <f t="shared" si="123"/>
        <v>167</v>
      </c>
      <c r="BS127" s="70">
        <f t="shared" si="124"/>
        <v>171</v>
      </c>
      <c r="BT127" s="69" t="str">
        <f t="shared" si="125"/>
        <v>-</v>
      </c>
      <c r="BU127" s="70">
        <f t="shared" si="126"/>
        <v>218</v>
      </c>
      <c r="BV127" s="69" t="str">
        <f t="shared" si="127"/>
        <v>-</v>
      </c>
      <c r="BW127" s="70">
        <f t="shared" si="128"/>
        <v>262</v>
      </c>
      <c r="BX127" s="69">
        <f t="shared" si="129"/>
        <v>294</v>
      </c>
      <c r="BY127" s="70">
        <f t="shared" si="130"/>
        <v>305</v>
      </c>
      <c r="BZ127" s="69">
        <f t="shared" si="131"/>
        <v>343</v>
      </c>
      <c r="CA127" s="70">
        <f t="shared" si="132"/>
        <v>379</v>
      </c>
      <c r="CB127" s="69">
        <f t="shared" si="133"/>
        <v>404</v>
      </c>
      <c r="CC127" s="68">
        <f t="shared" si="134"/>
        <v>166</v>
      </c>
      <c r="CD127" s="69">
        <f t="shared" si="135"/>
        <v>170</v>
      </c>
      <c r="CE127" s="70">
        <f t="shared" si="136"/>
        <v>199</v>
      </c>
      <c r="CF127" s="70" t="str">
        <f t="shared" si="137"/>
        <v>-</v>
      </c>
      <c r="CG127" s="70">
        <f t="shared" si="138"/>
        <v>254</v>
      </c>
      <c r="CH127" s="70" t="str">
        <f t="shared" si="139"/>
        <v>-</v>
      </c>
      <c r="CI127" s="70">
        <f t="shared" si="140"/>
        <v>290</v>
      </c>
      <c r="CJ127" s="70">
        <f t="shared" si="141"/>
        <v>296</v>
      </c>
      <c r="CK127" s="70">
        <f t="shared" si="142"/>
        <v>335</v>
      </c>
      <c r="CL127" s="70">
        <f t="shared" si="143"/>
        <v>370</v>
      </c>
      <c r="CM127" s="70">
        <f t="shared" si="144"/>
        <v>402</v>
      </c>
      <c r="CN127" s="70">
        <f t="shared" si="145"/>
        <v>417</v>
      </c>
      <c r="CO127" s="57">
        <f t="shared" si="118"/>
        <v>1</v>
      </c>
    </row>
    <row r="128" spans="1:93" x14ac:dyDescent="0.2">
      <c r="A128" s="3" t="str">
        <f t="shared" si="119"/>
        <v>grm1_human__wt</v>
      </c>
      <c r="B128" s="3" t="s">
        <v>223</v>
      </c>
      <c r="C128" s="3" t="s">
        <v>294</v>
      </c>
      <c r="D128" s="3" t="str">
        <f>IFERROR(MID(VLOOKUP($B128,Seqs!$A:$B,2,FALSE),E128,1),"")</f>
        <v>I</v>
      </c>
      <c r="E128" s="3">
        <v>591</v>
      </c>
      <c r="F128" s="3" t="str">
        <f>IFERROR(MID(VLOOKUP($B128,Seqs!$A:$B,2,FALSE),G128,1),"")</f>
        <v>Y</v>
      </c>
      <c r="G128" s="3">
        <v>617</v>
      </c>
      <c r="H128" s="3" t="str">
        <f>IFERROR(MID(VLOOKUP($B128,Seqs!$A:$B,2,FALSE),I128,1),"")</f>
        <v>T</v>
      </c>
      <c r="I128" s="57">
        <v>620</v>
      </c>
      <c r="J128" s="3" t="str">
        <f>IFERROR(MID(VLOOKUP($B128,Seqs!$A:$B,2,FALSE),K128,1),"")</f>
        <v>S</v>
      </c>
      <c r="K128" s="57">
        <v>626</v>
      </c>
      <c r="L128" s="3" t="str">
        <f>IFERROR(MID(VLOOKUP($B128,Seqs!$A:$B,2,FALSE),M128,1),"")</f>
        <v>S</v>
      </c>
      <c r="M128" s="3">
        <v>627</v>
      </c>
      <c r="N128" s="3" t="str">
        <f>IFERROR(MID(VLOOKUP($B128,Seqs!$A:$B,2,FALSE),O128,1),"")</f>
        <v>I</v>
      </c>
      <c r="O128" s="3">
        <v>649</v>
      </c>
      <c r="P128" s="3" t="str">
        <f>IFERROR(MID(VLOOKUP($B128,Seqs!$A:$B,2,FALSE),Q128,1),"")</f>
        <v/>
      </c>
      <c r="Q128" s="3" t="s">
        <v>129</v>
      </c>
      <c r="R128" s="3" t="str">
        <f>IFERROR(MID(VLOOKUP($B128,Seqs!$A:$B,2,FALSE),S128,1),"")</f>
        <v/>
      </c>
      <c r="S128" s="3" t="s">
        <v>129</v>
      </c>
      <c r="T128" s="3" t="str">
        <f>IFERROR(MID(VLOOKUP($B128,Seqs!$A:$B,2,FALSE),U128,1),"")</f>
        <v>T</v>
      </c>
      <c r="U128" s="3">
        <v>654</v>
      </c>
      <c r="V128" s="3" t="str">
        <f>IFERROR(MID(VLOOKUP($B128,Seqs!$A:$B,2,FALSE),W128,1),"")</f>
        <v>L</v>
      </c>
      <c r="W128" s="3">
        <v>686</v>
      </c>
      <c r="X128" s="3" t="str">
        <f>IFERROR(MID(VLOOKUP($B128,Seqs!$A:$B,2,FALSE),Y128,1),"")</f>
        <v/>
      </c>
      <c r="Y128" s="3" t="s">
        <v>129</v>
      </c>
      <c r="Z128" s="3" t="str">
        <f>IFERROR(MID(VLOOKUP($B128,Seqs!$A:$B,2,FALSE),AA128,1),"")</f>
        <v/>
      </c>
      <c r="AA128" s="3" t="s">
        <v>129</v>
      </c>
      <c r="AB128" s="3" t="str">
        <f>IFERROR(MID(VLOOKUP($B128,Seqs!$A:$B,2,FALSE),AC128,1),"")</f>
        <v>A</v>
      </c>
      <c r="AC128" s="3">
        <v>703</v>
      </c>
      <c r="AD128" s="3" t="str">
        <f>IFERROR(MID(VLOOKUP($B128,Seqs!$A:$B,2,FALSE),AE128,1),"")</f>
        <v>E</v>
      </c>
      <c r="AE128" s="3">
        <v>728</v>
      </c>
      <c r="AF128" s="3" t="str">
        <f>IFERROR(MID(VLOOKUP($B128,Seqs!$A:$B,2,FALSE),AG128,1),"")</f>
        <v>C</v>
      </c>
      <c r="AG128" s="3">
        <v>746</v>
      </c>
      <c r="AH128" s="3" t="str">
        <f>IFERROR(MID(VLOOKUP($B128,Seqs!$A:$B,2,FALSE),AI128,1),"")</f>
        <v>T</v>
      </c>
      <c r="AI128" s="3">
        <v>748</v>
      </c>
      <c r="AJ128" s="3" t="str">
        <f>IFERROR(MID(VLOOKUP($B128,Seqs!$A:$B,2,FALSE),AK128,1),"")</f>
        <v>N</v>
      </c>
      <c r="AK128" s="3">
        <v>750</v>
      </c>
      <c r="AL128" s="3" t="str">
        <f>IFERROR(MID(VLOOKUP($B128,Seqs!$A:$B,2,FALSE),AM128,1),"")</f>
        <v>T</v>
      </c>
      <c r="AM128" s="3">
        <v>774</v>
      </c>
      <c r="AN128" s="3" t="str">
        <f>IFERROR(MID(VLOOKUP($B128,Seqs!$A:$B,2,FALSE),AO128,1),"")</f>
        <v>E</v>
      </c>
      <c r="AO128" s="3">
        <v>783</v>
      </c>
      <c r="AP128" s="3" t="str">
        <f>IFERROR(MID(VLOOKUP($B128,Seqs!$A:$B,2,FALSE),AQ128,1),"")</f>
        <v>G</v>
      </c>
      <c r="AQ128" s="3">
        <v>807</v>
      </c>
      <c r="AR128" s="3" t="str">
        <f>IFERROR(MID(VLOOKUP($B128,Seqs!$A:$B,2,FALSE),AS128,1),"")</f>
        <v>K</v>
      </c>
      <c r="AS128" s="3">
        <v>811</v>
      </c>
      <c r="AT128" s="3" t="str">
        <f>IFERROR(MID(VLOOKUP($B128,Seqs!$A:$B,2,FALSE),AU128,1),"")</f>
        <v>A</v>
      </c>
      <c r="AU128" s="3">
        <v>840</v>
      </c>
      <c r="AV128" s="3" t="str">
        <f>IFERROR(MID(VLOOKUP($B128,Seqs!$A:$B,2,FALSE),AW128,1),"")</f>
        <v>K</v>
      </c>
      <c r="AW128" s="3">
        <v>841</v>
      </c>
      <c r="AX128" s="3" t="str">
        <f>IFERROR(MID(VLOOKUP($B128,Seqs!$A:$B,2,FALSE),AY128,1),"")</f>
        <v>S</v>
      </c>
      <c r="AY128" s="3">
        <v>853</v>
      </c>
      <c r="AZ128" s="83" t="str">
        <f>VLOOKUP(B128,Classification!A:D,2,FALSE)</f>
        <v>C</v>
      </c>
      <c r="BA128" s="3" t="s">
        <v>1383</v>
      </c>
      <c r="BB128" s="82" t="e">
        <f>S128-Q128+1</f>
        <v>#VALUE!</v>
      </c>
      <c r="BC128" s="57">
        <f t="shared" si="120"/>
        <v>214</v>
      </c>
      <c r="BD128" s="63" t="b">
        <f t="shared" si="121"/>
        <v>1</v>
      </c>
      <c r="BE128" s="68" t="s">
        <v>1514</v>
      </c>
      <c r="BF128" s="75" t="s">
        <v>1514</v>
      </c>
      <c r="BG128" s="75" t="s">
        <v>1514</v>
      </c>
      <c r="BH128" s="75" t="s">
        <v>1514</v>
      </c>
      <c r="BI128" s="75" t="s">
        <v>1514</v>
      </c>
      <c r="BJ128" s="75" t="s">
        <v>1514</v>
      </c>
      <c r="BK128" s="75" t="s">
        <v>1514</v>
      </c>
      <c r="BL128" s="75" t="s">
        <v>1514</v>
      </c>
      <c r="BM128" s="75" t="s">
        <v>1514</v>
      </c>
      <c r="BN128" s="75" t="s">
        <v>1514</v>
      </c>
      <c r="BO128" s="75" t="s">
        <v>1514</v>
      </c>
      <c r="BP128" s="75" t="s">
        <v>1514</v>
      </c>
      <c r="BQ128" s="68">
        <f t="shared" si="122"/>
        <v>591</v>
      </c>
      <c r="BR128" s="69">
        <f t="shared" si="123"/>
        <v>620</v>
      </c>
      <c r="BS128" s="70">
        <f t="shared" si="124"/>
        <v>627</v>
      </c>
      <c r="BT128" s="69" t="str">
        <f t="shared" si="125"/>
        <v>-</v>
      </c>
      <c r="BU128" s="70">
        <f t="shared" si="126"/>
        <v>654</v>
      </c>
      <c r="BV128" s="69" t="str">
        <f t="shared" si="127"/>
        <v>-</v>
      </c>
      <c r="BW128" s="70">
        <f t="shared" si="128"/>
        <v>703</v>
      </c>
      <c r="BX128" s="69">
        <f t="shared" si="129"/>
        <v>746</v>
      </c>
      <c r="BY128" s="70">
        <f t="shared" si="130"/>
        <v>750</v>
      </c>
      <c r="BZ128" s="69">
        <f t="shared" si="131"/>
        <v>783</v>
      </c>
      <c r="CA128" s="70">
        <f t="shared" si="132"/>
        <v>811</v>
      </c>
      <c r="CB128" s="69">
        <f t="shared" si="133"/>
        <v>841</v>
      </c>
      <c r="CC128" s="68">
        <f t="shared" si="134"/>
        <v>617</v>
      </c>
      <c r="CD128" s="69">
        <f t="shared" si="135"/>
        <v>626</v>
      </c>
      <c r="CE128" s="70">
        <f t="shared" si="136"/>
        <v>649</v>
      </c>
      <c r="CF128" s="70" t="str">
        <f t="shared" si="137"/>
        <v>-</v>
      </c>
      <c r="CG128" s="70">
        <f t="shared" si="138"/>
        <v>686</v>
      </c>
      <c r="CH128" s="70" t="str">
        <f t="shared" si="139"/>
        <v>-</v>
      </c>
      <c r="CI128" s="70">
        <f t="shared" si="140"/>
        <v>728</v>
      </c>
      <c r="CJ128" s="70">
        <f t="shared" si="141"/>
        <v>748</v>
      </c>
      <c r="CK128" s="70">
        <f t="shared" si="142"/>
        <v>774</v>
      </c>
      <c r="CL128" s="70">
        <f t="shared" si="143"/>
        <v>807</v>
      </c>
      <c r="CM128" s="70">
        <f t="shared" si="144"/>
        <v>840</v>
      </c>
      <c r="CN128" s="70">
        <f t="shared" si="145"/>
        <v>853</v>
      </c>
      <c r="CO128" s="57">
        <f t="shared" si="118"/>
        <v>1</v>
      </c>
    </row>
    <row r="129" spans="1:93" x14ac:dyDescent="0.2">
      <c r="A129" s="3" t="str">
        <f t="shared" si="119"/>
        <v>grm1_human_4OR2</v>
      </c>
      <c r="B129" s="3" t="s">
        <v>223</v>
      </c>
      <c r="C129" s="3" t="s">
        <v>289</v>
      </c>
      <c r="D129" s="3" t="str">
        <f>IFERROR(MID(VLOOKUP($B129,Seqs!$A:$B,2,FALSE),E129,1),"")</f>
        <v>I</v>
      </c>
      <c r="E129" s="3">
        <v>591</v>
      </c>
      <c r="F129" s="3" t="str">
        <f>IFERROR(MID(VLOOKUP($B129,Seqs!$A:$B,2,FALSE),G129,1),"")</f>
        <v>Y</v>
      </c>
      <c r="G129" s="3">
        <v>617</v>
      </c>
      <c r="H129" s="3" t="str">
        <f>IFERROR(MID(VLOOKUP($B129,Seqs!$A:$B,2,FALSE),I129,1),"")</f>
        <v>T</v>
      </c>
      <c r="I129" s="57">
        <v>620</v>
      </c>
      <c r="J129" s="3" t="str">
        <f>IFERROR(MID(VLOOKUP($B129,Seqs!$A:$B,2,FALSE),K129,1),"")</f>
        <v>S</v>
      </c>
      <c r="K129" s="57">
        <v>626</v>
      </c>
      <c r="L129" s="3" t="str">
        <f>IFERROR(MID(VLOOKUP($B129,Seqs!$A:$B,2,FALSE),M129,1),"")</f>
        <v>S</v>
      </c>
      <c r="M129" s="3">
        <v>627</v>
      </c>
      <c r="N129" s="3" t="str">
        <f>IFERROR(MID(VLOOKUP($B129,Seqs!$A:$B,2,FALSE),O129,1),"")</f>
        <v>I</v>
      </c>
      <c r="O129" s="3">
        <v>649</v>
      </c>
      <c r="P129" s="3" t="str">
        <f>IFERROR(MID(VLOOKUP($B129,Seqs!$A:$B,2,FALSE),Q129,1),"")</f>
        <v/>
      </c>
      <c r="Q129" s="3" t="s">
        <v>129</v>
      </c>
      <c r="R129" s="3" t="str">
        <f>IFERROR(MID(VLOOKUP($B129,Seqs!$A:$B,2,FALSE),S129,1),"")</f>
        <v/>
      </c>
      <c r="S129" s="3" t="s">
        <v>129</v>
      </c>
      <c r="T129" s="3" t="str">
        <f>IFERROR(MID(VLOOKUP($B129,Seqs!$A:$B,2,FALSE),U129,1),"")</f>
        <v>T</v>
      </c>
      <c r="U129" s="3">
        <v>654</v>
      </c>
      <c r="V129" s="3" t="str">
        <f>IFERROR(MID(VLOOKUP($B129,Seqs!$A:$B,2,FALSE),W129,1),"")</f>
        <v>L</v>
      </c>
      <c r="W129" s="3">
        <v>686</v>
      </c>
      <c r="X129" s="3" t="str">
        <f>IFERROR(MID(VLOOKUP($B129,Seqs!$A:$B,2,FALSE),Y129,1),"")</f>
        <v/>
      </c>
      <c r="Y129" s="3" t="s">
        <v>129</v>
      </c>
      <c r="Z129" s="3" t="str">
        <f>IFERROR(MID(VLOOKUP($B129,Seqs!$A:$B,2,FALSE),AA129,1),"")</f>
        <v/>
      </c>
      <c r="AA129" s="3" t="s">
        <v>129</v>
      </c>
      <c r="AB129" s="3" t="str">
        <f>IFERROR(MID(VLOOKUP($B129,Seqs!$A:$B,2,FALSE),AC129,1),"")</f>
        <v>A</v>
      </c>
      <c r="AC129" s="3">
        <v>703</v>
      </c>
      <c r="AD129" s="3" t="str">
        <f>IFERROR(MID(VLOOKUP($B129,Seqs!$A:$B,2,FALSE),AE129,1),"")</f>
        <v>E</v>
      </c>
      <c r="AE129" s="3">
        <v>728</v>
      </c>
      <c r="AF129" s="3" t="str">
        <f>IFERROR(MID(VLOOKUP($B129,Seqs!$A:$B,2,FALSE),AG129,1),"")</f>
        <v>C</v>
      </c>
      <c r="AG129" s="3">
        <v>746</v>
      </c>
      <c r="AH129" s="3" t="str">
        <f>IFERROR(MID(VLOOKUP($B129,Seqs!$A:$B,2,FALSE),AI129,1),"")</f>
        <v>T</v>
      </c>
      <c r="AI129" s="3">
        <v>748</v>
      </c>
      <c r="AJ129" s="3" t="str">
        <f>IFERROR(MID(VLOOKUP($B129,Seqs!$A:$B,2,FALSE),AK129,1),"")</f>
        <v>N</v>
      </c>
      <c r="AK129" s="3">
        <v>750</v>
      </c>
      <c r="AL129" s="3" t="str">
        <f>IFERROR(MID(VLOOKUP($B129,Seqs!$A:$B,2,FALSE),AM129,1),"")</f>
        <v>T</v>
      </c>
      <c r="AM129" s="3">
        <v>774</v>
      </c>
      <c r="AN129" s="3" t="str">
        <f>IFERROR(MID(VLOOKUP($B129,Seqs!$A:$B,2,FALSE),AO129,1),"")</f>
        <v>E</v>
      </c>
      <c r="AO129" s="3">
        <v>783</v>
      </c>
      <c r="AP129" s="3" t="str">
        <f>IFERROR(MID(VLOOKUP($B129,Seqs!$A:$B,2,FALSE),AQ129,1),"")</f>
        <v>G</v>
      </c>
      <c r="AQ129" s="3">
        <v>807</v>
      </c>
      <c r="AR129" s="3" t="str">
        <f>IFERROR(MID(VLOOKUP($B129,Seqs!$A:$B,2,FALSE),AS129,1),"")</f>
        <v>K</v>
      </c>
      <c r="AS129" s="3">
        <v>811</v>
      </c>
      <c r="AT129" s="3" t="str">
        <f>IFERROR(MID(VLOOKUP($B129,Seqs!$A:$B,2,FALSE),AU129,1),"")</f>
        <v>A</v>
      </c>
      <c r="AU129" s="3">
        <v>840</v>
      </c>
      <c r="AV129" s="3" t="str">
        <f>IFERROR(MID(VLOOKUP($B129,Seqs!$A:$B,2,FALSE),AW129,1),"")</f>
        <v/>
      </c>
      <c r="AW129" s="3" t="s">
        <v>129</v>
      </c>
      <c r="AX129" s="3" t="str">
        <f>IFERROR(MID(VLOOKUP($B129,Seqs!$A:$B,2,FALSE),AY129,1),"")</f>
        <v/>
      </c>
      <c r="AY129" s="3" t="s">
        <v>129</v>
      </c>
      <c r="AZ129" s="83" t="str">
        <f>VLOOKUP(B129,Classification!A:D,2,FALSE)</f>
        <v>C</v>
      </c>
      <c r="BC129" s="57">
        <f t="shared" si="120"/>
        <v>202</v>
      </c>
      <c r="BD129" s="63" t="b">
        <f t="shared" si="121"/>
        <v>1</v>
      </c>
      <c r="BE129" s="68" t="s">
        <v>1514</v>
      </c>
      <c r="BF129" s="75" t="s">
        <v>1514</v>
      </c>
      <c r="BG129" s="75" t="s">
        <v>1514</v>
      </c>
      <c r="BH129" s="75" t="s">
        <v>1514</v>
      </c>
      <c r="BI129" s="75" t="s">
        <v>1514</v>
      </c>
      <c r="BJ129" s="75" t="s">
        <v>1514</v>
      </c>
      <c r="BK129" s="75" t="s">
        <v>1514</v>
      </c>
      <c r="BL129" s="75" t="s">
        <v>1514</v>
      </c>
      <c r="BM129" s="75" t="s">
        <v>1514</v>
      </c>
      <c r="BN129" s="75" t="s">
        <v>1514</v>
      </c>
      <c r="BO129" s="75" t="s">
        <v>1514</v>
      </c>
      <c r="BP129" s="75" t="s">
        <v>1514</v>
      </c>
      <c r="BQ129" s="68">
        <f t="shared" si="122"/>
        <v>591</v>
      </c>
      <c r="BR129" s="69">
        <f t="shared" si="123"/>
        <v>620</v>
      </c>
      <c r="BS129" s="70">
        <f t="shared" si="124"/>
        <v>627</v>
      </c>
      <c r="BT129" s="69" t="str">
        <f t="shared" si="125"/>
        <v>-</v>
      </c>
      <c r="BU129" s="70">
        <f t="shared" si="126"/>
        <v>654</v>
      </c>
      <c r="BV129" s="69" t="str">
        <f t="shared" si="127"/>
        <v>-</v>
      </c>
      <c r="BW129" s="70">
        <f t="shared" si="128"/>
        <v>703</v>
      </c>
      <c r="BX129" s="69">
        <f t="shared" si="129"/>
        <v>746</v>
      </c>
      <c r="BY129" s="70">
        <f t="shared" si="130"/>
        <v>750</v>
      </c>
      <c r="BZ129" s="69">
        <f t="shared" si="131"/>
        <v>783</v>
      </c>
      <c r="CA129" s="70">
        <f t="shared" si="132"/>
        <v>811</v>
      </c>
      <c r="CB129" s="69" t="str">
        <f t="shared" si="133"/>
        <v>-</v>
      </c>
      <c r="CC129" s="68">
        <f t="shared" si="134"/>
        <v>617</v>
      </c>
      <c r="CD129" s="69">
        <f t="shared" si="135"/>
        <v>626</v>
      </c>
      <c r="CE129" s="70">
        <f t="shared" si="136"/>
        <v>649</v>
      </c>
      <c r="CF129" s="70" t="str">
        <f t="shared" si="137"/>
        <v>-</v>
      </c>
      <c r="CG129" s="70">
        <f t="shared" si="138"/>
        <v>686</v>
      </c>
      <c r="CH129" s="70" t="str">
        <f t="shared" si="139"/>
        <v>-</v>
      </c>
      <c r="CI129" s="70">
        <f t="shared" si="140"/>
        <v>728</v>
      </c>
      <c r="CJ129" s="70">
        <f t="shared" si="141"/>
        <v>748</v>
      </c>
      <c r="CK129" s="70">
        <f t="shared" si="142"/>
        <v>774</v>
      </c>
      <c r="CL129" s="70">
        <f t="shared" si="143"/>
        <v>807</v>
      </c>
      <c r="CM129" s="70">
        <f t="shared" si="144"/>
        <v>840</v>
      </c>
      <c r="CN129" s="70" t="str">
        <f t="shared" si="145"/>
        <v>-</v>
      </c>
      <c r="CO129" s="57">
        <f t="shared" si="118"/>
        <v>1</v>
      </c>
    </row>
    <row r="130" spans="1:93" x14ac:dyDescent="0.2">
      <c r="A130" s="3" t="str">
        <f t="shared" si="119"/>
        <v>grm5_human__wt</v>
      </c>
      <c r="B130" s="3" t="s">
        <v>224</v>
      </c>
      <c r="C130" s="3" t="s">
        <v>294</v>
      </c>
      <c r="D130" s="3" t="str">
        <f>IFERROR(MID(VLOOKUP($B130,Seqs!$A:$B,2,FALSE),E130,1),"")</f>
        <v>P</v>
      </c>
      <c r="E130" s="3">
        <v>578</v>
      </c>
      <c r="F130" s="3" t="str">
        <f>IFERROR(MID(VLOOKUP($B130,Seqs!$A:$B,2,FALSE),G130,1),"")</f>
        <v>Y</v>
      </c>
      <c r="G130" s="3">
        <v>604</v>
      </c>
      <c r="H130" s="3" t="str">
        <f>IFERROR(MID(VLOOKUP($B130,Seqs!$A:$B,2,FALSE),I130,1),"")</f>
        <v>T</v>
      </c>
      <c r="I130" s="57">
        <v>607</v>
      </c>
      <c r="J130" s="3" t="str">
        <f>IFERROR(MID(VLOOKUP($B130,Seqs!$A:$B,2,FALSE),K130,1),"")</f>
        <v>S</v>
      </c>
      <c r="K130" s="57">
        <v>613</v>
      </c>
      <c r="L130" s="3" t="str">
        <f>IFERROR(MID(VLOOKUP($B130,Seqs!$A:$B,2,FALSE),M130,1),"")</f>
        <v>S</v>
      </c>
      <c r="M130" s="3">
        <v>614</v>
      </c>
      <c r="N130" s="3" t="str">
        <f>IFERROR(MID(VLOOKUP($B130,Seqs!$A:$B,2,FALSE),O130,1),"")</f>
        <v>I</v>
      </c>
      <c r="O130" s="3">
        <v>636</v>
      </c>
      <c r="P130" s="3" t="str">
        <f>IFERROR(MID(VLOOKUP($B130,Seqs!$A:$B,2,FALSE),Q130,1),"")</f>
        <v/>
      </c>
      <c r="Q130" s="3" t="s">
        <v>129</v>
      </c>
      <c r="R130" s="3" t="str">
        <f>IFERROR(MID(VLOOKUP($B130,Seqs!$A:$B,2,FALSE),S130,1),"")</f>
        <v/>
      </c>
      <c r="S130" s="3" t="s">
        <v>129</v>
      </c>
      <c r="T130" s="3" t="str">
        <f>IFERROR(MID(VLOOKUP($B130,Seqs!$A:$B,2,FALSE),U130,1),"")</f>
        <v>Q</v>
      </c>
      <c r="U130" s="3">
        <v>641</v>
      </c>
      <c r="V130" s="3" t="str">
        <f>IFERROR(MID(VLOOKUP($B130,Seqs!$A:$B,2,FALSE),W130,1),"")</f>
        <v>L</v>
      </c>
      <c r="W130" s="3">
        <v>673</v>
      </c>
      <c r="X130" s="3" t="str">
        <f>IFERROR(MID(VLOOKUP($B130,Seqs!$A:$B,2,FALSE),Y130,1),"")</f>
        <v/>
      </c>
      <c r="Y130" s="3" t="s">
        <v>129</v>
      </c>
      <c r="Z130" s="3" t="str">
        <f>IFERROR(MID(VLOOKUP($B130,Seqs!$A:$B,2,FALSE),AA130,1),"")</f>
        <v/>
      </c>
      <c r="AA130" s="3" t="s">
        <v>129</v>
      </c>
      <c r="AB130" s="3" t="str">
        <f>IFERROR(MID(VLOOKUP($B130,Seqs!$A:$B,2,FALSE),AC130,1),"")</f>
        <v>A</v>
      </c>
      <c r="AC130" s="3">
        <v>690</v>
      </c>
      <c r="AD130" s="3" t="str">
        <f>IFERROR(MID(VLOOKUP($B130,Seqs!$A:$B,2,FALSE),AE130,1),"")</f>
        <v>E</v>
      </c>
      <c r="AE130" s="3">
        <v>715</v>
      </c>
      <c r="AF130" s="3" t="str">
        <f>IFERROR(MID(VLOOKUP($B130,Seqs!$A:$B,2,FALSE),AG130,1),"")</f>
        <v>C</v>
      </c>
      <c r="AG130" s="3">
        <v>733</v>
      </c>
      <c r="AH130" s="3" t="str">
        <f>IFERROR(MID(VLOOKUP($B130,Seqs!$A:$B,2,FALSE),AI130,1),"")</f>
        <v>T</v>
      </c>
      <c r="AI130" s="3">
        <v>735</v>
      </c>
      <c r="AJ130" s="3" t="str">
        <f>IFERROR(MID(VLOOKUP($B130,Seqs!$A:$B,2,FALSE),AK130,1),"")</f>
        <v>N</v>
      </c>
      <c r="AK130" s="3">
        <v>737</v>
      </c>
      <c r="AL130" s="3" t="str">
        <f>IFERROR(MID(VLOOKUP($B130,Seqs!$A:$B,2,FALSE),AM130,1),"")</f>
        <v>T</v>
      </c>
      <c r="AM130" s="3">
        <v>761</v>
      </c>
      <c r="AN130" s="3" t="str">
        <f>IFERROR(MID(VLOOKUP($B130,Seqs!$A:$B,2,FALSE),AO130,1),"")</f>
        <v>E</v>
      </c>
      <c r="AO130" s="3">
        <v>770</v>
      </c>
      <c r="AP130" s="3" t="str">
        <f>IFERROR(MID(VLOOKUP($B130,Seqs!$A:$B,2,FALSE),AQ130,1),"")</f>
        <v>G</v>
      </c>
      <c r="AQ130" s="3">
        <v>794</v>
      </c>
      <c r="AR130" s="3" t="str">
        <f>IFERROR(MID(VLOOKUP($B130,Seqs!$A:$B,2,FALSE),AS130,1),"")</f>
        <v>K</v>
      </c>
      <c r="AS130" s="3">
        <v>798</v>
      </c>
      <c r="AT130" s="3" t="str">
        <f>IFERROR(MID(VLOOKUP($B130,Seqs!$A:$B,2,FALSE),AU130,1),"")</f>
        <v>A</v>
      </c>
      <c r="AU130" s="3">
        <v>827</v>
      </c>
      <c r="AV130" s="3" t="str">
        <f>IFERROR(MID(VLOOKUP($B130,Seqs!$A:$B,2,FALSE),AW130,1),"")</f>
        <v>K</v>
      </c>
      <c r="AW130" s="3">
        <v>828</v>
      </c>
      <c r="AX130" s="3" t="str">
        <f>IFERROR(MID(VLOOKUP($B130,Seqs!$A:$B,2,FALSE),AY130,1),"")</f>
        <v>S</v>
      </c>
      <c r="AY130" s="3">
        <v>840</v>
      </c>
      <c r="AZ130" s="83" t="str">
        <f>VLOOKUP(B130,Classification!A:D,2,FALSE)</f>
        <v>C</v>
      </c>
      <c r="BB130" s="82" t="e">
        <f>S130-Q130+1</f>
        <v>#VALUE!</v>
      </c>
      <c r="BC130" s="57">
        <f t="shared" si="120"/>
        <v>214</v>
      </c>
      <c r="BD130" s="63" t="b">
        <f t="shared" si="121"/>
        <v>1</v>
      </c>
      <c r="BE130" s="68" t="s">
        <v>1514</v>
      </c>
      <c r="BF130" s="75" t="s">
        <v>1514</v>
      </c>
      <c r="BG130" s="75" t="s">
        <v>1514</v>
      </c>
      <c r="BH130" s="75" t="s">
        <v>1514</v>
      </c>
      <c r="BI130" s="75" t="s">
        <v>1514</v>
      </c>
      <c r="BJ130" s="75" t="s">
        <v>1514</v>
      </c>
      <c r="BK130" s="75" t="s">
        <v>1514</v>
      </c>
      <c r="BL130" s="75" t="s">
        <v>1514</v>
      </c>
      <c r="BM130" s="75" t="s">
        <v>1514</v>
      </c>
      <c r="BN130" s="75" t="s">
        <v>1514</v>
      </c>
      <c r="BO130" s="75" t="s">
        <v>1514</v>
      </c>
      <c r="BP130" s="75" t="s">
        <v>1514</v>
      </c>
      <c r="BQ130" s="68">
        <f t="shared" si="122"/>
        <v>578</v>
      </c>
      <c r="BR130" s="69">
        <f t="shared" si="123"/>
        <v>607</v>
      </c>
      <c r="BS130" s="70">
        <f t="shared" si="124"/>
        <v>614</v>
      </c>
      <c r="BT130" s="69" t="str">
        <f t="shared" si="125"/>
        <v>-</v>
      </c>
      <c r="BU130" s="70">
        <f t="shared" si="126"/>
        <v>641</v>
      </c>
      <c r="BV130" s="69" t="str">
        <f t="shared" si="127"/>
        <v>-</v>
      </c>
      <c r="BW130" s="70">
        <f t="shared" si="128"/>
        <v>690</v>
      </c>
      <c r="BX130" s="69">
        <f t="shared" si="129"/>
        <v>733</v>
      </c>
      <c r="BY130" s="70">
        <f t="shared" si="130"/>
        <v>737</v>
      </c>
      <c r="BZ130" s="69">
        <f t="shared" si="131"/>
        <v>770</v>
      </c>
      <c r="CA130" s="70">
        <f t="shared" si="132"/>
        <v>798</v>
      </c>
      <c r="CB130" s="69">
        <f t="shared" si="133"/>
        <v>828</v>
      </c>
      <c r="CC130" s="68">
        <f t="shared" si="134"/>
        <v>604</v>
      </c>
      <c r="CD130" s="69">
        <f t="shared" si="135"/>
        <v>613</v>
      </c>
      <c r="CE130" s="70">
        <f t="shared" si="136"/>
        <v>636</v>
      </c>
      <c r="CF130" s="70" t="str">
        <f t="shared" si="137"/>
        <v>-</v>
      </c>
      <c r="CG130" s="70">
        <f t="shared" si="138"/>
        <v>673</v>
      </c>
      <c r="CH130" s="70" t="str">
        <f t="shared" si="139"/>
        <v>-</v>
      </c>
      <c r="CI130" s="70">
        <f t="shared" si="140"/>
        <v>715</v>
      </c>
      <c r="CJ130" s="70">
        <f t="shared" si="141"/>
        <v>735</v>
      </c>
      <c r="CK130" s="70">
        <f t="shared" si="142"/>
        <v>761</v>
      </c>
      <c r="CL130" s="70">
        <f t="shared" si="143"/>
        <v>794</v>
      </c>
      <c r="CM130" s="70">
        <f t="shared" si="144"/>
        <v>827</v>
      </c>
      <c r="CN130" s="70">
        <f t="shared" si="145"/>
        <v>840</v>
      </c>
      <c r="CO130" s="57">
        <f t="shared" si="118"/>
        <v>1</v>
      </c>
    </row>
    <row r="131" spans="1:93" x14ac:dyDescent="0.2">
      <c r="A131" s="3" t="str">
        <f t="shared" si="119"/>
        <v>grm5_human_4OO9</v>
      </c>
      <c r="B131" s="3" t="s">
        <v>224</v>
      </c>
      <c r="C131" s="3" t="s">
        <v>248</v>
      </c>
      <c r="D131" s="3" t="str">
        <f>IFERROR(MID(VLOOKUP($B131,Seqs!$A:$B,2,FALSE),E131,1),"")</f>
        <v>P</v>
      </c>
      <c r="E131" s="3">
        <v>578</v>
      </c>
      <c r="F131" s="3" t="str">
        <f>IFERROR(MID(VLOOKUP($B131,Seqs!$A:$B,2,FALSE),G131,1),"")</f>
        <v>Y</v>
      </c>
      <c r="G131" s="3">
        <v>604</v>
      </c>
      <c r="H131" s="3" t="str">
        <f>IFERROR(MID(VLOOKUP($B131,Seqs!$A:$B,2,FALSE),I131,1),"")</f>
        <v>T</v>
      </c>
      <c r="I131" s="57">
        <v>607</v>
      </c>
      <c r="J131" s="3" t="str">
        <f>IFERROR(MID(VLOOKUP($B131,Seqs!$A:$B,2,FALSE),K131,1),"")</f>
        <v>S</v>
      </c>
      <c r="K131" s="57">
        <v>613</v>
      </c>
      <c r="L131" s="3" t="str">
        <f>IFERROR(MID(VLOOKUP($B131,Seqs!$A:$B,2,FALSE),M131,1),"")</f>
        <v>S</v>
      </c>
      <c r="M131" s="3">
        <v>614</v>
      </c>
      <c r="N131" s="3" t="str">
        <f>IFERROR(MID(VLOOKUP($B131,Seqs!$A:$B,2,FALSE),O131,1),"")</f>
        <v>I</v>
      </c>
      <c r="O131" s="3">
        <v>636</v>
      </c>
      <c r="P131" s="3" t="str">
        <f>IFERROR(MID(VLOOKUP($B131,Seqs!$A:$B,2,FALSE),Q131,1),"")</f>
        <v/>
      </c>
      <c r="Q131" s="3" t="s">
        <v>129</v>
      </c>
      <c r="R131" s="3" t="str">
        <f>IFERROR(MID(VLOOKUP($B131,Seqs!$A:$B,2,FALSE),S131,1),"")</f>
        <v/>
      </c>
      <c r="S131" s="3" t="s">
        <v>129</v>
      </c>
      <c r="T131" s="3" t="str">
        <f>IFERROR(MID(VLOOKUP($B131,Seqs!$A:$B,2,FALSE),U131,1),"")</f>
        <v>Q</v>
      </c>
      <c r="U131" s="3">
        <v>641</v>
      </c>
      <c r="V131" s="3" t="str">
        <f>IFERROR(MID(VLOOKUP($B131,Seqs!$A:$B,2,FALSE),W131,1),"")</f>
        <v>K</v>
      </c>
      <c r="W131" s="3">
        <v>678</v>
      </c>
      <c r="X131" s="3" t="str">
        <f>IFERROR(MID(VLOOKUP($B131,Seqs!$A:$B,2,FALSE),Y131,1),"")</f>
        <v/>
      </c>
      <c r="Y131" s="3" t="s">
        <v>129</v>
      </c>
      <c r="Z131" s="3" t="str">
        <f>IFERROR(MID(VLOOKUP($B131,Seqs!$A:$B,2,FALSE),AA131,1),"")</f>
        <v/>
      </c>
      <c r="AA131" s="3" t="s">
        <v>129</v>
      </c>
      <c r="AB131" s="3" t="str">
        <f>IFERROR(MID(VLOOKUP($B131,Seqs!$A:$B,2,FALSE),AC131,1),"")</f>
        <v>A</v>
      </c>
      <c r="AC131" s="3">
        <v>690</v>
      </c>
      <c r="AD131" s="3" t="str">
        <f>IFERROR(MID(VLOOKUP($B131,Seqs!$A:$B,2,FALSE),AE131,1),"")</f>
        <v>E</v>
      </c>
      <c r="AE131" s="3">
        <v>715</v>
      </c>
      <c r="AF131" s="3" t="str">
        <f>IFERROR(MID(VLOOKUP($B131,Seqs!$A:$B,2,FALSE),AG131,1),"")</f>
        <v>C</v>
      </c>
      <c r="AG131" s="3">
        <v>733</v>
      </c>
      <c r="AH131" s="3" t="str">
        <f>IFERROR(MID(VLOOKUP($B131,Seqs!$A:$B,2,FALSE),AI131,1),"")</f>
        <v>T</v>
      </c>
      <c r="AI131" s="3">
        <v>735</v>
      </c>
      <c r="AJ131" s="3" t="str">
        <f>IFERROR(MID(VLOOKUP($B131,Seqs!$A:$B,2,FALSE),AK131,1),"")</f>
        <v>N</v>
      </c>
      <c r="AK131" s="3">
        <v>737</v>
      </c>
      <c r="AL131" s="3" t="str">
        <f>IFERROR(MID(VLOOKUP($B131,Seqs!$A:$B,2,FALSE),AM131,1),"")</f>
        <v>T</v>
      </c>
      <c r="AM131" s="3">
        <v>761</v>
      </c>
      <c r="AN131" s="3" t="str">
        <f>IFERROR(MID(VLOOKUP($B131,Seqs!$A:$B,2,FALSE),AO131,1),"")</f>
        <v>E</v>
      </c>
      <c r="AO131" s="3">
        <v>770</v>
      </c>
      <c r="AP131" s="3" t="str">
        <f>IFERROR(MID(VLOOKUP($B131,Seqs!$A:$B,2,FALSE),AQ131,1),"")</f>
        <v>G</v>
      </c>
      <c r="AQ131" s="3">
        <v>794</v>
      </c>
      <c r="AR131" s="3" t="str">
        <f>IFERROR(MID(VLOOKUP($B131,Seqs!$A:$B,2,FALSE),AS131,1),"")</f>
        <v>K</v>
      </c>
      <c r="AS131" s="3">
        <v>798</v>
      </c>
      <c r="AT131" s="3" t="str">
        <f>IFERROR(MID(VLOOKUP($B131,Seqs!$A:$B,2,FALSE),AU131,1),"")</f>
        <v>A</v>
      </c>
      <c r="AU131" s="3">
        <v>827</v>
      </c>
      <c r="AV131" s="3" t="str">
        <f>IFERROR(MID(VLOOKUP($B131,Seqs!$A:$B,2,FALSE),AW131,1),"")</f>
        <v/>
      </c>
      <c r="AW131" s="3" t="s">
        <v>129</v>
      </c>
      <c r="AX131" s="3" t="str">
        <f>IFERROR(MID(VLOOKUP($B131,Seqs!$A:$B,2,FALSE),AY131,1),"")</f>
        <v/>
      </c>
      <c r="AY131" s="3" t="s">
        <v>129</v>
      </c>
      <c r="AZ131" s="83" t="str">
        <f>VLOOKUP(B131,Classification!A:D,2,FALSE)</f>
        <v>C</v>
      </c>
      <c r="BB131" s="35" t="s">
        <v>1315</v>
      </c>
      <c r="BC131" s="57">
        <f t="shared" si="120"/>
        <v>207</v>
      </c>
      <c r="BD131" s="63" t="b">
        <f t="shared" si="121"/>
        <v>1</v>
      </c>
      <c r="BE131" s="68" t="s">
        <v>1514</v>
      </c>
      <c r="BF131" s="75" t="s">
        <v>1514</v>
      </c>
      <c r="BG131" s="75" t="s">
        <v>1514</v>
      </c>
      <c r="BH131" s="75" t="s">
        <v>1514</v>
      </c>
      <c r="BI131" s="75" t="s">
        <v>1514</v>
      </c>
      <c r="BJ131" s="75" t="s">
        <v>1514</v>
      </c>
      <c r="BK131" s="75" t="s">
        <v>1514</v>
      </c>
      <c r="BL131" s="75" t="s">
        <v>1514</v>
      </c>
      <c r="BM131" s="75" t="s">
        <v>1514</v>
      </c>
      <c r="BN131" s="75" t="s">
        <v>1514</v>
      </c>
      <c r="BO131" s="75" t="s">
        <v>1514</v>
      </c>
      <c r="BP131" s="75" t="s">
        <v>1514</v>
      </c>
      <c r="BQ131" s="68">
        <f t="shared" si="122"/>
        <v>578</v>
      </c>
      <c r="BR131" s="69">
        <f t="shared" si="123"/>
        <v>607</v>
      </c>
      <c r="BS131" s="70">
        <f t="shared" si="124"/>
        <v>614</v>
      </c>
      <c r="BT131" s="69" t="str">
        <f t="shared" si="125"/>
        <v>-</v>
      </c>
      <c r="BU131" s="70">
        <f t="shared" si="126"/>
        <v>641</v>
      </c>
      <c r="BV131" s="69" t="str">
        <f t="shared" si="127"/>
        <v>-</v>
      </c>
      <c r="BW131" s="70">
        <f t="shared" si="128"/>
        <v>690</v>
      </c>
      <c r="BX131" s="69">
        <f t="shared" si="129"/>
        <v>733</v>
      </c>
      <c r="BY131" s="70">
        <f t="shared" si="130"/>
        <v>737</v>
      </c>
      <c r="BZ131" s="69">
        <f t="shared" si="131"/>
        <v>770</v>
      </c>
      <c r="CA131" s="70">
        <f t="shared" si="132"/>
        <v>798</v>
      </c>
      <c r="CB131" s="69" t="str">
        <f t="shared" si="133"/>
        <v>-</v>
      </c>
      <c r="CC131" s="68">
        <f t="shared" si="134"/>
        <v>604</v>
      </c>
      <c r="CD131" s="69">
        <f t="shared" si="135"/>
        <v>613</v>
      </c>
      <c r="CE131" s="70">
        <f t="shared" si="136"/>
        <v>636</v>
      </c>
      <c r="CF131" s="70" t="str">
        <f t="shared" si="137"/>
        <v>-</v>
      </c>
      <c r="CG131" s="70">
        <f t="shared" si="138"/>
        <v>678</v>
      </c>
      <c r="CH131" s="70" t="str">
        <f t="shared" si="139"/>
        <v>-</v>
      </c>
      <c r="CI131" s="70">
        <f t="shared" si="140"/>
        <v>715</v>
      </c>
      <c r="CJ131" s="70">
        <f t="shared" si="141"/>
        <v>735</v>
      </c>
      <c r="CK131" s="70">
        <f t="shared" si="142"/>
        <v>761</v>
      </c>
      <c r="CL131" s="70">
        <f t="shared" si="143"/>
        <v>794</v>
      </c>
      <c r="CM131" s="70">
        <f t="shared" si="144"/>
        <v>827</v>
      </c>
      <c r="CN131" s="70" t="str">
        <f t="shared" si="145"/>
        <v>-</v>
      </c>
      <c r="CO131" s="57">
        <f t="shared" si="118"/>
        <v>1</v>
      </c>
    </row>
    <row r="132" spans="1:93" x14ac:dyDescent="0.2">
      <c r="A132" s="3" t="str">
        <f t="shared" si="119"/>
        <v>grm5_human_5CGC</v>
      </c>
      <c r="B132" s="3" t="s">
        <v>224</v>
      </c>
      <c r="C132" s="3" t="s">
        <v>249</v>
      </c>
      <c r="D132" s="3" t="str">
        <f>IFERROR(MID(VLOOKUP($B132,Seqs!$A:$B,2,FALSE),E132,1),"")</f>
        <v>P</v>
      </c>
      <c r="E132" s="3">
        <v>578</v>
      </c>
      <c r="F132" s="3" t="str">
        <f>IFERROR(MID(VLOOKUP($B132,Seqs!$A:$B,2,FALSE),G132,1),"")</f>
        <v>Y</v>
      </c>
      <c r="G132" s="3">
        <v>604</v>
      </c>
      <c r="H132" s="3" t="str">
        <f>IFERROR(MID(VLOOKUP($B132,Seqs!$A:$B,2,FALSE),I132,1),"")</f>
        <v>T</v>
      </c>
      <c r="I132" s="57">
        <v>607</v>
      </c>
      <c r="J132" s="3" t="str">
        <f>IFERROR(MID(VLOOKUP($B132,Seqs!$A:$B,2,FALSE),K132,1),"")</f>
        <v>S</v>
      </c>
      <c r="K132" s="57">
        <v>613</v>
      </c>
      <c r="L132" s="3" t="str">
        <f>IFERROR(MID(VLOOKUP($B132,Seqs!$A:$B,2,FALSE),M132,1),"")</f>
        <v>S</v>
      </c>
      <c r="M132" s="3">
        <v>614</v>
      </c>
      <c r="N132" s="3" t="str">
        <f>IFERROR(MID(VLOOKUP($B132,Seqs!$A:$B,2,FALSE),O132,1),"")</f>
        <v>I</v>
      </c>
      <c r="O132" s="3">
        <v>636</v>
      </c>
      <c r="P132" s="3" t="str">
        <f>IFERROR(MID(VLOOKUP($B132,Seqs!$A:$B,2,FALSE),Q132,1),"")</f>
        <v/>
      </c>
      <c r="Q132" s="3" t="s">
        <v>129</v>
      </c>
      <c r="R132" s="3" t="str">
        <f>IFERROR(MID(VLOOKUP($B132,Seqs!$A:$B,2,FALSE),S132,1),"")</f>
        <v/>
      </c>
      <c r="S132" s="3" t="s">
        <v>129</v>
      </c>
      <c r="T132" s="3" t="str">
        <f>IFERROR(MID(VLOOKUP($B132,Seqs!$A:$B,2,FALSE),U132,1),"")</f>
        <v>Q</v>
      </c>
      <c r="U132" s="3">
        <v>641</v>
      </c>
      <c r="V132" s="3" t="str">
        <f>IFERROR(MID(VLOOKUP($B132,Seqs!$A:$B,2,FALSE),W132,1),"")</f>
        <v>K</v>
      </c>
      <c r="W132" s="3">
        <v>678</v>
      </c>
      <c r="X132" s="3" t="str">
        <f>IFERROR(MID(VLOOKUP($B132,Seqs!$A:$B,2,FALSE),Y132,1),"")</f>
        <v/>
      </c>
      <c r="Y132" s="3" t="s">
        <v>129</v>
      </c>
      <c r="Z132" s="3" t="str">
        <f>IFERROR(MID(VLOOKUP($B132,Seqs!$A:$B,2,FALSE),AA132,1),"")</f>
        <v/>
      </c>
      <c r="AA132" s="3" t="s">
        <v>129</v>
      </c>
      <c r="AB132" s="3" t="str">
        <f>IFERROR(MID(VLOOKUP($B132,Seqs!$A:$B,2,FALSE),AC132,1),"")</f>
        <v>A</v>
      </c>
      <c r="AC132" s="3">
        <v>690</v>
      </c>
      <c r="AD132" s="3" t="str">
        <f>IFERROR(MID(VLOOKUP($B132,Seqs!$A:$B,2,FALSE),AE132,1),"")</f>
        <v>E</v>
      </c>
      <c r="AE132" s="3">
        <v>715</v>
      </c>
      <c r="AF132" s="3" t="str">
        <f>IFERROR(MID(VLOOKUP($B132,Seqs!$A:$B,2,FALSE),AG132,1),"")</f>
        <v>C</v>
      </c>
      <c r="AG132" s="3">
        <v>733</v>
      </c>
      <c r="AH132" s="3" t="str">
        <f>IFERROR(MID(VLOOKUP($B132,Seqs!$A:$B,2,FALSE),AI132,1),"")</f>
        <v>T</v>
      </c>
      <c r="AI132" s="3">
        <v>735</v>
      </c>
      <c r="AJ132" s="3" t="str">
        <f>IFERROR(MID(VLOOKUP($B132,Seqs!$A:$B,2,FALSE),AK132,1),"")</f>
        <v>N</v>
      </c>
      <c r="AK132" s="3">
        <v>737</v>
      </c>
      <c r="AL132" s="3" t="str">
        <f>IFERROR(MID(VLOOKUP($B132,Seqs!$A:$B,2,FALSE),AM132,1),"")</f>
        <v>T</v>
      </c>
      <c r="AM132" s="3">
        <v>761</v>
      </c>
      <c r="AN132" s="3" t="str">
        <f>IFERROR(MID(VLOOKUP($B132,Seqs!$A:$B,2,FALSE),AO132,1),"")</f>
        <v>E</v>
      </c>
      <c r="AO132" s="3">
        <v>770</v>
      </c>
      <c r="AP132" s="3" t="str">
        <f>IFERROR(MID(VLOOKUP($B132,Seqs!$A:$B,2,FALSE),AQ132,1),"")</f>
        <v>G</v>
      </c>
      <c r="AQ132" s="3">
        <v>794</v>
      </c>
      <c r="AR132" s="3" t="str">
        <f>IFERROR(MID(VLOOKUP($B132,Seqs!$A:$B,2,FALSE),AS132,1),"")</f>
        <v>K</v>
      </c>
      <c r="AS132" s="3">
        <v>798</v>
      </c>
      <c r="AT132" s="3" t="str">
        <f>IFERROR(MID(VLOOKUP($B132,Seqs!$A:$B,2,FALSE),AU132,1),"")</f>
        <v>A</v>
      </c>
      <c r="AU132" s="3">
        <v>827</v>
      </c>
      <c r="AV132" s="3" t="str">
        <f>IFERROR(MID(VLOOKUP($B132,Seqs!$A:$B,2,FALSE),AW132,1),"")</f>
        <v/>
      </c>
      <c r="AW132" s="3" t="s">
        <v>129</v>
      </c>
      <c r="AX132" s="3" t="str">
        <f>IFERROR(MID(VLOOKUP($B132,Seqs!$A:$B,2,FALSE),AY132,1),"")</f>
        <v/>
      </c>
      <c r="AY132" s="3" t="s">
        <v>129</v>
      </c>
      <c r="AZ132" s="83" t="str">
        <f>VLOOKUP(B132,Classification!A:D,2,FALSE)</f>
        <v>C</v>
      </c>
      <c r="BC132" s="57">
        <f t="shared" si="120"/>
        <v>207</v>
      </c>
      <c r="BD132" s="63" t="b">
        <f t="shared" si="121"/>
        <v>1</v>
      </c>
      <c r="BE132" s="68" t="s">
        <v>1514</v>
      </c>
      <c r="BF132" s="75" t="s">
        <v>1514</v>
      </c>
      <c r="BG132" s="75" t="s">
        <v>1514</v>
      </c>
      <c r="BH132" s="75" t="s">
        <v>1514</v>
      </c>
      <c r="BI132" s="75" t="s">
        <v>1514</v>
      </c>
      <c r="BJ132" s="75" t="s">
        <v>1514</v>
      </c>
      <c r="BK132" s="75" t="s">
        <v>1514</v>
      </c>
      <c r="BL132" s="75" t="s">
        <v>1514</v>
      </c>
      <c r="BM132" s="75" t="s">
        <v>1514</v>
      </c>
      <c r="BN132" s="75" t="s">
        <v>1514</v>
      </c>
      <c r="BO132" s="75" t="s">
        <v>1514</v>
      </c>
      <c r="BP132" s="75" t="s">
        <v>1514</v>
      </c>
      <c r="BQ132" s="68">
        <f t="shared" si="122"/>
        <v>578</v>
      </c>
      <c r="BR132" s="69">
        <f t="shared" si="123"/>
        <v>607</v>
      </c>
      <c r="BS132" s="70">
        <f t="shared" si="124"/>
        <v>614</v>
      </c>
      <c r="BT132" s="69" t="str">
        <f t="shared" si="125"/>
        <v>-</v>
      </c>
      <c r="BU132" s="70">
        <f t="shared" si="126"/>
        <v>641</v>
      </c>
      <c r="BV132" s="69" t="str">
        <f t="shared" si="127"/>
        <v>-</v>
      </c>
      <c r="BW132" s="70">
        <f t="shared" si="128"/>
        <v>690</v>
      </c>
      <c r="BX132" s="69">
        <f t="shared" si="129"/>
        <v>733</v>
      </c>
      <c r="BY132" s="70">
        <f t="shared" si="130"/>
        <v>737</v>
      </c>
      <c r="BZ132" s="69">
        <f t="shared" si="131"/>
        <v>770</v>
      </c>
      <c r="CA132" s="70">
        <f t="shared" si="132"/>
        <v>798</v>
      </c>
      <c r="CB132" s="69" t="str">
        <f t="shared" si="133"/>
        <v>-</v>
      </c>
      <c r="CC132" s="68">
        <f t="shared" si="134"/>
        <v>604</v>
      </c>
      <c r="CD132" s="69">
        <f t="shared" si="135"/>
        <v>613</v>
      </c>
      <c r="CE132" s="70">
        <f t="shared" si="136"/>
        <v>636</v>
      </c>
      <c r="CF132" s="70" t="str">
        <f t="shared" si="137"/>
        <v>-</v>
      </c>
      <c r="CG132" s="70">
        <f t="shared" si="138"/>
        <v>678</v>
      </c>
      <c r="CH132" s="70" t="str">
        <f t="shared" si="139"/>
        <v>-</v>
      </c>
      <c r="CI132" s="70">
        <f t="shared" si="140"/>
        <v>715</v>
      </c>
      <c r="CJ132" s="70">
        <f t="shared" si="141"/>
        <v>735</v>
      </c>
      <c r="CK132" s="70">
        <f t="shared" si="142"/>
        <v>761</v>
      </c>
      <c r="CL132" s="70">
        <f t="shared" si="143"/>
        <v>794</v>
      </c>
      <c r="CM132" s="70">
        <f t="shared" si="144"/>
        <v>827</v>
      </c>
      <c r="CN132" s="70" t="str">
        <f t="shared" si="145"/>
        <v>-</v>
      </c>
      <c r="CO132" s="57">
        <f t="shared" si="118"/>
        <v>1</v>
      </c>
    </row>
    <row r="133" spans="1:93" x14ac:dyDescent="0.2">
      <c r="A133" s="3" t="str">
        <f t="shared" si="119"/>
        <v>grm5_human_5CGD</v>
      </c>
      <c r="B133" s="3" t="s">
        <v>224</v>
      </c>
      <c r="C133" s="3" t="s">
        <v>250</v>
      </c>
      <c r="D133" s="3" t="str">
        <f>IFERROR(MID(VLOOKUP($B133,Seqs!$A:$B,2,FALSE),E133,1),"")</f>
        <v>P</v>
      </c>
      <c r="E133" s="3">
        <v>578</v>
      </c>
      <c r="F133" s="3" t="str">
        <f>IFERROR(MID(VLOOKUP($B133,Seqs!$A:$B,2,FALSE),G133,1),"")</f>
        <v>Y</v>
      </c>
      <c r="G133" s="3">
        <v>604</v>
      </c>
      <c r="H133" s="3" t="str">
        <f>IFERROR(MID(VLOOKUP($B133,Seqs!$A:$B,2,FALSE),I133,1),"")</f>
        <v>T</v>
      </c>
      <c r="I133" s="57">
        <v>607</v>
      </c>
      <c r="J133" s="3" t="str">
        <f>IFERROR(MID(VLOOKUP($B133,Seqs!$A:$B,2,FALSE),K133,1),"")</f>
        <v>S</v>
      </c>
      <c r="K133" s="57">
        <v>613</v>
      </c>
      <c r="L133" s="3" t="str">
        <f>IFERROR(MID(VLOOKUP($B133,Seqs!$A:$B,2,FALSE),M133,1),"")</f>
        <v>S</v>
      </c>
      <c r="M133" s="3">
        <v>614</v>
      </c>
      <c r="N133" s="3" t="str">
        <f>IFERROR(MID(VLOOKUP($B133,Seqs!$A:$B,2,FALSE),O133,1),"")</f>
        <v>I</v>
      </c>
      <c r="O133" s="3">
        <v>636</v>
      </c>
      <c r="P133" s="3" t="str">
        <f>IFERROR(MID(VLOOKUP($B133,Seqs!$A:$B,2,FALSE),Q133,1),"")</f>
        <v/>
      </c>
      <c r="Q133" s="3" t="s">
        <v>129</v>
      </c>
      <c r="R133" s="3" t="str">
        <f>IFERROR(MID(VLOOKUP($B133,Seqs!$A:$B,2,FALSE),S133,1),"")</f>
        <v/>
      </c>
      <c r="S133" s="3" t="s">
        <v>129</v>
      </c>
      <c r="T133" s="3" t="str">
        <f>IFERROR(MID(VLOOKUP($B133,Seqs!$A:$B,2,FALSE),U133,1),"")</f>
        <v>Q</v>
      </c>
      <c r="U133" s="3">
        <v>641</v>
      </c>
      <c r="V133" s="3" t="str">
        <f>IFERROR(MID(VLOOKUP($B133,Seqs!$A:$B,2,FALSE),W133,1),"")</f>
        <v>K</v>
      </c>
      <c r="W133" s="3">
        <v>678</v>
      </c>
      <c r="X133" s="3" t="str">
        <f>IFERROR(MID(VLOOKUP($B133,Seqs!$A:$B,2,FALSE),Y133,1),"")</f>
        <v/>
      </c>
      <c r="Y133" s="3" t="s">
        <v>129</v>
      </c>
      <c r="Z133" s="3" t="str">
        <f>IFERROR(MID(VLOOKUP($B133,Seqs!$A:$B,2,FALSE),AA133,1),"")</f>
        <v/>
      </c>
      <c r="AA133" s="3" t="s">
        <v>129</v>
      </c>
      <c r="AB133" s="3" t="str">
        <f>IFERROR(MID(VLOOKUP($B133,Seqs!$A:$B,2,FALSE),AC133,1),"")</f>
        <v>A</v>
      </c>
      <c r="AC133" s="3">
        <v>690</v>
      </c>
      <c r="AD133" s="3" t="str">
        <f>IFERROR(MID(VLOOKUP($B133,Seqs!$A:$B,2,FALSE),AE133,1),"")</f>
        <v>E</v>
      </c>
      <c r="AE133" s="3">
        <v>715</v>
      </c>
      <c r="AF133" s="3" t="str">
        <f>IFERROR(MID(VLOOKUP($B133,Seqs!$A:$B,2,FALSE),AG133,1),"")</f>
        <v>C</v>
      </c>
      <c r="AG133" s="3">
        <v>733</v>
      </c>
      <c r="AH133" s="3" t="str">
        <f>IFERROR(MID(VLOOKUP($B133,Seqs!$A:$B,2,FALSE),AI133,1),"")</f>
        <v>T</v>
      </c>
      <c r="AI133" s="3">
        <v>735</v>
      </c>
      <c r="AJ133" s="3" t="str">
        <f>IFERROR(MID(VLOOKUP($B133,Seqs!$A:$B,2,FALSE),AK133,1),"")</f>
        <v>N</v>
      </c>
      <c r="AK133" s="3">
        <v>737</v>
      </c>
      <c r="AL133" s="3" t="str">
        <f>IFERROR(MID(VLOOKUP($B133,Seqs!$A:$B,2,FALSE),AM133,1),"")</f>
        <v>T</v>
      </c>
      <c r="AM133" s="3">
        <v>761</v>
      </c>
      <c r="AN133" s="3" t="str">
        <f>IFERROR(MID(VLOOKUP($B133,Seqs!$A:$B,2,FALSE),AO133,1),"")</f>
        <v>E</v>
      </c>
      <c r="AO133" s="3">
        <v>770</v>
      </c>
      <c r="AP133" s="3" t="str">
        <f>IFERROR(MID(VLOOKUP($B133,Seqs!$A:$B,2,FALSE),AQ133,1),"")</f>
        <v>G</v>
      </c>
      <c r="AQ133" s="3">
        <v>794</v>
      </c>
      <c r="AR133" s="3" t="str">
        <f>IFERROR(MID(VLOOKUP($B133,Seqs!$A:$B,2,FALSE),AS133,1),"")</f>
        <v>K</v>
      </c>
      <c r="AS133" s="3">
        <v>798</v>
      </c>
      <c r="AT133" s="3" t="str">
        <f>IFERROR(MID(VLOOKUP($B133,Seqs!$A:$B,2,FALSE),AU133,1),"")</f>
        <v>A</v>
      </c>
      <c r="AU133" s="3">
        <v>827</v>
      </c>
      <c r="AV133" s="3" t="str">
        <f>IFERROR(MID(VLOOKUP($B133,Seqs!$A:$B,2,FALSE),AW133,1),"")</f>
        <v/>
      </c>
      <c r="AW133" s="3" t="s">
        <v>129</v>
      </c>
      <c r="AX133" s="3" t="str">
        <f>IFERROR(MID(VLOOKUP($B133,Seqs!$A:$B,2,FALSE),AY133,1),"")</f>
        <v/>
      </c>
      <c r="AY133" s="3" t="s">
        <v>129</v>
      </c>
      <c r="AZ133" s="83" t="str">
        <f>VLOOKUP(B133,Classification!A:D,2,FALSE)</f>
        <v>C</v>
      </c>
      <c r="BC133" s="57">
        <f t="shared" si="120"/>
        <v>207</v>
      </c>
      <c r="BD133" s="63" t="b">
        <f t="shared" si="121"/>
        <v>1</v>
      </c>
      <c r="BE133" s="68" t="s">
        <v>1514</v>
      </c>
      <c r="BF133" s="75" t="s">
        <v>1514</v>
      </c>
      <c r="BG133" s="75" t="s">
        <v>1514</v>
      </c>
      <c r="BH133" s="75" t="s">
        <v>1514</v>
      </c>
      <c r="BI133" s="75" t="s">
        <v>1514</v>
      </c>
      <c r="BJ133" s="75" t="s">
        <v>1514</v>
      </c>
      <c r="BK133" s="75" t="s">
        <v>1514</v>
      </c>
      <c r="BL133" s="75" t="s">
        <v>1514</v>
      </c>
      <c r="BM133" s="75" t="s">
        <v>1514</v>
      </c>
      <c r="BN133" s="75" t="s">
        <v>1514</v>
      </c>
      <c r="BO133" s="75" t="s">
        <v>1514</v>
      </c>
      <c r="BP133" s="75" t="s">
        <v>1514</v>
      </c>
      <c r="BQ133" s="68">
        <f t="shared" si="122"/>
        <v>578</v>
      </c>
      <c r="BR133" s="69">
        <f t="shared" si="123"/>
        <v>607</v>
      </c>
      <c r="BS133" s="70">
        <f t="shared" si="124"/>
        <v>614</v>
      </c>
      <c r="BT133" s="69" t="str">
        <f t="shared" si="125"/>
        <v>-</v>
      </c>
      <c r="BU133" s="70">
        <f t="shared" si="126"/>
        <v>641</v>
      </c>
      <c r="BV133" s="69" t="str">
        <f t="shared" si="127"/>
        <v>-</v>
      </c>
      <c r="BW133" s="70">
        <f t="shared" si="128"/>
        <v>690</v>
      </c>
      <c r="BX133" s="69">
        <f t="shared" si="129"/>
        <v>733</v>
      </c>
      <c r="BY133" s="70">
        <f t="shared" si="130"/>
        <v>737</v>
      </c>
      <c r="BZ133" s="69">
        <f t="shared" si="131"/>
        <v>770</v>
      </c>
      <c r="CA133" s="70">
        <f t="shared" si="132"/>
        <v>798</v>
      </c>
      <c r="CB133" s="69" t="str">
        <f t="shared" si="133"/>
        <v>-</v>
      </c>
      <c r="CC133" s="68">
        <f t="shared" si="134"/>
        <v>604</v>
      </c>
      <c r="CD133" s="69">
        <f t="shared" si="135"/>
        <v>613</v>
      </c>
      <c r="CE133" s="70">
        <f t="shared" si="136"/>
        <v>636</v>
      </c>
      <c r="CF133" s="70" t="str">
        <f t="shared" si="137"/>
        <v>-</v>
      </c>
      <c r="CG133" s="70">
        <f t="shared" si="138"/>
        <v>678</v>
      </c>
      <c r="CH133" s="70" t="str">
        <f t="shared" si="139"/>
        <v>-</v>
      </c>
      <c r="CI133" s="70">
        <f t="shared" si="140"/>
        <v>715</v>
      </c>
      <c r="CJ133" s="70">
        <f t="shared" si="141"/>
        <v>735</v>
      </c>
      <c r="CK133" s="70">
        <f t="shared" si="142"/>
        <v>761</v>
      </c>
      <c r="CL133" s="70">
        <f t="shared" si="143"/>
        <v>794</v>
      </c>
      <c r="CM133" s="70">
        <f t="shared" si="144"/>
        <v>827</v>
      </c>
      <c r="CN133" s="70" t="str">
        <f t="shared" si="145"/>
        <v>-</v>
      </c>
      <c r="CO133" s="57">
        <f t="shared" si="118"/>
        <v>1</v>
      </c>
    </row>
    <row r="134" spans="1:93" x14ac:dyDescent="0.2">
      <c r="A134" s="3" t="str">
        <f t="shared" si="119"/>
        <v>smo_human__wt</v>
      </c>
      <c r="B134" s="3" t="s">
        <v>207</v>
      </c>
      <c r="C134" s="3" t="s">
        <v>294</v>
      </c>
      <c r="D134" s="3" t="str">
        <f>IFERROR(MID(VLOOKUP($B134,Seqs!$A:$B,2,FALSE),E134,1),"")</f>
        <v>E</v>
      </c>
      <c r="E134" s="3">
        <v>224</v>
      </c>
      <c r="F134" s="3" t="str">
        <f>IFERROR(MID(VLOOKUP($B134,Seqs!$A:$B,2,FALSE),G134,1),"")</f>
        <v>D</v>
      </c>
      <c r="G134" s="3">
        <v>255</v>
      </c>
      <c r="H134" s="3" t="str">
        <f>IFERROR(MID(VLOOKUP($B134,Seqs!$A:$B,2,FALSE),I134,1),"")</f>
        <v>W</v>
      </c>
      <c r="I134" s="57">
        <v>256</v>
      </c>
      <c r="J134" s="3" t="str">
        <f>IFERROR(MID(VLOOKUP($B134,Seqs!$A:$B,2,FALSE),K134,1),"")</f>
        <v>N</v>
      </c>
      <c r="K134" s="57">
        <v>260</v>
      </c>
      <c r="L134" s="3" t="str">
        <f>IFERROR(MID(VLOOKUP($B134,Seqs!$A:$B,2,FALSE),M134,1),"")</f>
        <v>R</v>
      </c>
      <c r="M134" s="3">
        <v>261</v>
      </c>
      <c r="N134" s="3" t="str">
        <f>IFERROR(MID(VLOOKUP($B134,Seqs!$A:$B,2,FALSE),O134,1),"")</f>
        <v>F</v>
      </c>
      <c r="O134" s="3">
        <v>285</v>
      </c>
      <c r="P134" s="3" t="str">
        <f>IFERROR(MID(VLOOKUP($B134,Seqs!$A:$B,2,FALSE),Q134,1),"")</f>
        <v/>
      </c>
      <c r="Q134" s="3" t="s">
        <v>129</v>
      </c>
      <c r="R134" s="3" t="str">
        <f>IFERROR(MID(VLOOKUP($B134,Seqs!$A:$B,2,FALSE),S134,1),"")</f>
        <v/>
      </c>
      <c r="S134" s="3" t="s">
        <v>129</v>
      </c>
      <c r="T134" s="3" t="str">
        <f>IFERROR(MID(VLOOKUP($B134,Seqs!$A:$B,2,FALSE),U134,1),"")</f>
        <v>L</v>
      </c>
      <c r="U134" s="3">
        <v>312</v>
      </c>
      <c r="V134" s="3" t="str">
        <f>IFERROR(MID(VLOOKUP($B134,Seqs!$A:$B,2,FALSE),W134,1),"")</f>
        <v>T</v>
      </c>
      <c r="W134" s="3">
        <v>348</v>
      </c>
      <c r="X134" s="3" t="str">
        <f>IFERROR(MID(VLOOKUP($B134,Seqs!$A:$B,2,FALSE),Y134,1),"")</f>
        <v/>
      </c>
      <c r="Y134" s="3" t="s">
        <v>129</v>
      </c>
      <c r="Z134" s="3" t="str">
        <f>IFERROR(MID(VLOOKUP($B134,Seqs!$A:$B,2,FALSE),AA134,1),"")</f>
        <v/>
      </c>
      <c r="AA134" s="3" t="s">
        <v>129</v>
      </c>
      <c r="AB134" s="3" t="str">
        <f>IFERROR(MID(VLOOKUP($B134,Seqs!$A:$B,2,FALSE),AC134,1),"")</f>
        <v>L</v>
      </c>
      <c r="AC134" s="3">
        <v>353</v>
      </c>
      <c r="AD134" s="3" t="str">
        <f>IFERROR(MID(VLOOKUP($B134,Seqs!$A:$B,2,FALSE),AE134,1),"")</f>
        <v>V</v>
      </c>
      <c r="AE134" s="3">
        <v>378</v>
      </c>
      <c r="AF134" s="3" t="str">
        <f>IFERROR(MID(VLOOKUP($B134,Seqs!$A:$B,2,FALSE),AG134,1),"")</f>
        <v>C</v>
      </c>
      <c r="AG134" s="3">
        <v>390</v>
      </c>
      <c r="AH134" s="3" t="str">
        <f>IFERROR(MID(VLOOKUP($B134,Seqs!$A:$B,2,FALSE),AI134,1),"")</f>
        <v>V</v>
      </c>
      <c r="AI134" s="3">
        <v>392</v>
      </c>
      <c r="AJ134" s="3" t="str">
        <f>IFERROR(MID(VLOOKUP($B134,Seqs!$A:$B,2,FALSE),AK134,1),"")</f>
        <v>Y</v>
      </c>
      <c r="AK134" s="3">
        <v>397</v>
      </c>
      <c r="AL134" s="3" t="str">
        <f>IFERROR(MID(VLOOKUP($B134,Seqs!$A:$B,2,FALSE),AM134,1),"")</f>
        <v>H</v>
      </c>
      <c r="AM134" s="3">
        <v>433</v>
      </c>
      <c r="AN134" s="3" t="str">
        <f>IFERROR(MID(VLOOKUP($B134,Seqs!$A:$B,2,FALSE),AO134,1),"")</f>
        <v>S</v>
      </c>
      <c r="AO134" s="3">
        <v>443</v>
      </c>
      <c r="AP134" s="3" t="str">
        <f>IFERROR(MID(VLOOKUP($B134,Seqs!$A:$B,2,FALSE),AQ134,1),"")</f>
        <v>N</v>
      </c>
      <c r="AQ134" s="3">
        <v>493</v>
      </c>
      <c r="AR134" s="3" t="str">
        <f>IFERROR(MID(VLOOKUP($B134,Seqs!$A:$B,2,FALSE),AS134,1),"")</f>
        <v>L</v>
      </c>
      <c r="AS134" s="3">
        <v>515</v>
      </c>
      <c r="AT134" s="3" t="str">
        <f>IFERROR(MID(VLOOKUP($B134,Seqs!$A:$B,2,FALSE),AU134,1),"")</f>
        <v>W</v>
      </c>
      <c r="AU134" s="3">
        <v>537</v>
      </c>
      <c r="AV134" s="3" t="str">
        <f>IFERROR(MID(VLOOKUP($B134,Seqs!$A:$B,2,FALSE),AW134,1),"")</f>
        <v>T</v>
      </c>
      <c r="AW134" s="3">
        <v>538</v>
      </c>
      <c r="AX134" s="3" t="str">
        <f>IFERROR(MID(VLOOKUP($B134,Seqs!$A:$B,2,FALSE),AY134,1),"")</f>
        <v>T</v>
      </c>
      <c r="AY134" s="3">
        <v>553</v>
      </c>
      <c r="AZ134" s="83" t="str">
        <f>VLOOKUP(B134,Classification!A:D,2,FALSE)</f>
        <v>F</v>
      </c>
      <c r="BB134" s="82" t="e">
        <f>S134-Q134+1</f>
        <v>#VALUE!</v>
      </c>
      <c r="BC134" s="57">
        <f t="shared" si="120"/>
        <v>257</v>
      </c>
      <c r="BD134" s="63" t="b">
        <f t="shared" si="121"/>
        <v>1</v>
      </c>
      <c r="BE134" s="68" t="s">
        <v>1514</v>
      </c>
      <c r="BF134" s="75" t="s">
        <v>1514</v>
      </c>
      <c r="BG134" s="75" t="s">
        <v>1514</v>
      </c>
      <c r="BH134" s="75" t="s">
        <v>1514</v>
      </c>
      <c r="BI134" s="75" t="s">
        <v>1514</v>
      </c>
      <c r="BJ134" s="75" t="s">
        <v>1514</v>
      </c>
      <c r="BK134" s="75" t="s">
        <v>1514</v>
      </c>
      <c r="BL134" s="75" t="s">
        <v>1514</v>
      </c>
      <c r="BM134" s="75" t="s">
        <v>1514</v>
      </c>
      <c r="BN134" s="75" t="s">
        <v>1514</v>
      </c>
      <c r="BO134" s="75" t="s">
        <v>1514</v>
      </c>
      <c r="BP134" s="75" t="s">
        <v>1514</v>
      </c>
      <c r="BQ134" s="68">
        <f t="shared" si="122"/>
        <v>224</v>
      </c>
      <c r="BR134" s="69">
        <f t="shared" si="123"/>
        <v>256</v>
      </c>
      <c r="BS134" s="70">
        <f t="shared" si="124"/>
        <v>261</v>
      </c>
      <c r="BT134" s="69" t="str">
        <f t="shared" si="125"/>
        <v>-</v>
      </c>
      <c r="BU134" s="70">
        <f t="shared" si="126"/>
        <v>312</v>
      </c>
      <c r="BV134" s="69" t="str">
        <f t="shared" si="127"/>
        <v>-</v>
      </c>
      <c r="BW134" s="70">
        <f t="shared" si="128"/>
        <v>353</v>
      </c>
      <c r="BX134" s="69">
        <f t="shared" si="129"/>
        <v>390</v>
      </c>
      <c r="BY134" s="70">
        <f t="shared" si="130"/>
        <v>397</v>
      </c>
      <c r="BZ134" s="69">
        <f t="shared" si="131"/>
        <v>443</v>
      </c>
      <c r="CA134" s="70">
        <f t="shared" si="132"/>
        <v>515</v>
      </c>
      <c r="CB134" s="69">
        <f t="shared" si="133"/>
        <v>538</v>
      </c>
      <c r="CC134" s="68">
        <f t="shared" si="134"/>
        <v>255</v>
      </c>
      <c r="CD134" s="69">
        <f t="shared" si="135"/>
        <v>260</v>
      </c>
      <c r="CE134" s="70">
        <f t="shared" si="136"/>
        <v>285</v>
      </c>
      <c r="CF134" s="70" t="str">
        <f t="shared" si="137"/>
        <v>-</v>
      </c>
      <c r="CG134" s="70">
        <f t="shared" si="138"/>
        <v>348</v>
      </c>
      <c r="CH134" s="70" t="str">
        <f t="shared" si="139"/>
        <v>-</v>
      </c>
      <c r="CI134" s="70">
        <f t="shared" si="140"/>
        <v>378</v>
      </c>
      <c r="CJ134" s="70">
        <f t="shared" si="141"/>
        <v>392</v>
      </c>
      <c r="CK134" s="70">
        <f t="shared" si="142"/>
        <v>433</v>
      </c>
      <c r="CL134" s="70">
        <f t="shared" si="143"/>
        <v>493</v>
      </c>
      <c r="CM134" s="70">
        <f t="shared" si="144"/>
        <v>537</v>
      </c>
      <c r="CN134" s="70">
        <f t="shared" si="145"/>
        <v>553</v>
      </c>
      <c r="CO134" s="57">
        <f t="shared" si="118"/>
        <v>1</v>
      </c>
    </row>
    <row r="135" spans="1:93" x14ac:dyDescent="0.2">
      <c r="A135" s="3" t="str">
        <f t="shared" si="119"/>
        <v>smo_human_4JKV</v>
      </c>
      <c r="B135" s="3" t="s">
        <v>207</v>
      </c>
      <c r="C135" s="3" t="s">
        <v>278</v>
      </c>
      <c r="D135" s="3" t="str">
        <f>IFERROR(MID(VLOOKUP($B135,Seqs!$A:$B,2,FALSE),E135,1),"")</f>
        <v>E</v>
      </c>
      <c r="E135" s="3">
        <v>224</v>
      </c>
      <c r="F135" s="3" t="str">
        <f>IFERROR(MID(VLOOKUP($B135,Seqs!$A:$B,2,FALSE),G135,1),"")</f>
        <v>D</v>
      </c>
      <c r="G135" s="3">
        <v>255</v>
      </c>
      <c r="H135" s="3" t="str">
        <f>IFERROR(MID(VLOOKUP($B135,Seqs!$A:$B,2,FALSE),I135,1),"")</f>
        <v>W</v>
      </c>
      <c r="I135" s="57">
        <v>256</v>
      </c>
      <c r="J135" s="3" t="str">
        <f>IFERROR(MID(VLOOKUP($B135,Seqs!$A:$B,2,FALSE),K135,1),"")</f>
        <v>N</v>
      </c>
      <c r="K135" s="57">
        <v>260</v>
      </c>
      <c r="L135" s="3" t="str">
        <f>IFERROR(MID(VLOOKUP($B135,Seqs!$A:$B,2,FALSE),M135,1),"")</f>
        <v>R</v>
      </c>
      <c r="M135" s="3">
        <v>261</v>
      </c>
      <c r="N135" s="3" t="str">
        <f>IFERROR(MID(VLOOKUP($B135,Seqs!$A:$B,2,FALSE),O135,1),"")</f>
        <v>F</v>
      </c>
      <c r="O135" s="3">
        <v>285</v>
      </c>
      <c r="P135" s="3" t="str">
        <f>IFERROR(MID(VLOOKUP($B135,Seqs!$A:$B,2,FALSE),Q135,1),"")</f>
        <v/>
      </c>
      <c r="Q135" s="3" t="s">
        <v>129</v>
      </c>
      <c r="R135" s="3" t="str">
        <f>IFERROR(MID(VLOOKUP($B135,Seqs!$A:$B,2,FALSE),S135,1),"")</f>
        <v/>
      </c>
      <c r="S135" s="3" t="s">
        <v>129</v>
      </c>
      <c r="T135" s="3" t="str">
        <f>IFERROR(MID(VLOOKUP($B135,Seqs!$A:$B,2,FALSE),U135,1),"")</f>
        <v>L</v>
      </c>
      <c r="U135" s="3">
        <v>312</v>
      </c>
      <c r="V135" s="3" t="str">
        <f>IFERROR(MID(VLOOKUP($B135,Seqs!$A:$B,2,FALSE),W135,1),"")</f>
        <v>T</v>
      </c>
      <c r="W135" s="3">
        <v>348</v>
      </c>
      <c r="X135" s="3" t="str">
        <f>IFERROR(MID(VLOOKUP($B135,Seqs!$A:$B,2,FALSE),Y135,1),"")</f>
        <v/>
      </c>
      <c r="Y135" s="3" t="s">
        <v>129</v>
      </c>
      <c r="Z135" s="3" t="str">
        <f>IFERROR(MID(VLOOKUP($B135,Seqs!$A:$B,2,FALSE),AA135,1),"")</f>
        <v/>
      </c>
      <c r="AA135" s="3" t="s">
        <v>129</v>
      </c>
      <c r="AB135" s="3" t="str">
        <f>IFERROR(MID(VLOOKUP($B135,Seqs!$A:$B,2,FALSE),AC135,1),"")</f>
        <v>F</v>
      </c>
      <c r="AC135" s="3">
        <v>360</v>
      </c>
      <c r="AD135" s="3" t="str">
        <f>IFERROR(MID(VLOOKUP($B135,Seqs!$A:$B,2,FALSE),AE135,1),"")</f>
        <v>V</v>
      </c>
      <c r="AE135" s="3">
        <v>378</v>
      </c>
      <c r="AF135" s="3" t="str">
        <f>IFERROR(MID(VLOOKUP($B135,Seqs!$A:$B,2,FALSE),AG135,1),"")</f>
        <v>C</v>
      </c>
      <c r="AG135" s="3">
        <v>390</v>
      </c>
      <c r="AH135" s="3" t="str">
        <f>IFERROR(MID(VLOOKUP($B135,Seqs!$A:$B,2,FALSE),AI135,1),"")</f>
        <v>V</v>
      </c>
      <c r="AI135" s="3">
        <v>392</v>
      </c>
      <c r="AJ135" s="3" t="str">
        <f>IFERROR(MID(VLOOKUP($B135,Seqs!$A:$B,2,FALSE),AK135,1),"")</f>
        <v>Y</v>
      </c>
      <c r="AK135" s="3">
        <v>397</v>
      </c>
      <c r="AL135" s="3" t="str">
        <f>IFERROR(MID(VLOOKUP($B135,Seqs!$A:$B,2,FALSE),AM135,1),"")</f>
        <v>H</v>
      </c>
      <c r="AM135" s="3">
        <v>433</v>
      </c>
      <c r="AN135" s="3" t="str">
        <f>IFERROR(MID(VLOOKUP($B135,Seqs!$A:$B,2,FALSE),AO135,1),"")</f>
        <v>S</v>
      </c>
      <c r="AO135" s="3">
        <v>443</v>
      </c>
      <c r="AP135" s="3" t="str">
        <f>IFERROR(MID(VLOOKUP($B135,Seqs!$A:$B,2,FALSE),AQ135,1),"")</f>
        <v>N</v>
      </c>
      <c r="AQ135" s="3">
        <v>493</v>
      </c>
      <c r="AR135" s="3" t="str">
        <f>IFERROR(MID(VLOOKUP($B135,Seqs!$A:$B,2,FALSE),AS135,1),"")</f>
        <v>L</v>
      </c>
      <c r="AS135" s="3">
        <v>515</v>
      </c>
      <c r="AT135" s="3" t="str">
        <f>IFERROR(MID(VLOOKUP($B135,Seqs!$A:$B,2,FALSE),AU135,1),"")</f>
        <v>W</v>
      </c>
      <c r="AU135" s="3">
        <v>537</v>
      </c>
      <c r="AV135" s="3" t="str">
        <f>IFERROR(MID(VLOOKUP($B135,Seqs!$A:$B,2,FALSE),AW135,1),"")</f>
        <v>T</v>
      </c>
      <c r="AW135" s="3">
        <v>538</v>
      </c>
      <c r="AX135" s="3" t="str">
        <f>IFERROR(MID(VLOOKUP($B135,Seqs!$A:$B,2,FALSE),AY135,1),"")</f>
        <v>C</v>
      </c>
      <c r="AY135" s="3">
        <v>550</v>
      </c>
      <c r="AZ135" s="83" t="str">
        <f>VLOOKUP(B135,Classification!A:D,2,FALSE)</f>
        <v>F</v>
      </c>
      <c r="BC135" s="57">
        <f t="shared" si="120"/>
        <v>247</v>
      </c>
      <c r="BD135" s="63" t="b">
        <f t="shared" si="121"/>
        <v>1</v>
      </c>
      <c r="BE135" s="68" t="s">
        <v>1514</v>
      </c>
      <c r="BF135" s="75" t="s">
        <v>1514</v>
      </c>
      <c r="BG135" s="75" t="s">
        <v>1514</v>
      </c>
      <c r="BH135" s="75" t="s">
        <v>1514</v>
      </c>
      <c r="BI135" s="75" t="s">
        <v>1514</v>
      </c>
      <c r="BJ135" s="75" t="s">
        <v>1514</v>
      </c>
      <c r="BK135" s="75" t="s">
        <v>1514</v>
      </c>
      <c r="BL135" s="75" t="s">
        <v>1514</v>
      </c>
      <c r="BM135" s="75" t="s">
        <v>1514</v>
      </c>
      <c r="BN135" s="75" t="s">
        <v>1514</v>
      </c>
      <c r="BO135" s="75" t="s">
        <v>1514</v>
      </c>
      <c r="BP135" s="75" t="s">
        <v>1514</v>
      </c>
      <c r="BQ135" s="68">
        <f t="shared" si="122"/>
        <v>224</v>
      </c>
      <c r="BR135" s="69">
        <f t="shared" si="123"/>
        <v>256</v>
      </c>
      <c r="BS135" s="70">
        <f t="shared" si="124"/>
        <v>261</v>
      </c>
      <c r="BT135" s="69" t="str">
        <f t="shared" si="125"/>
        <v>-</v>
      </c>
      <c r="BU135" s="70">
        <f t="shared" si="126"/>
        <v>312</v>
      </c>
      <c r="BV135" s="69" t="str">
        <f t="shared" si="127"/>
        <v>-</v>
      </c>
      <c r="BW135" s="70">
        <f t="shared" si="128"/>
        <v>360</v>
      </c>
      <c r="BX135" s="69">
        <f t="shared" si="129"/>
        <v>390</v>
      </c>
      <c r="BY135" s="70">
        <f t="shared" si="130"/>
        <v>397</v>
      </c>
      <c r="BZ135" s="69">
        <f t="shared" si="131"/>
        <v>443</v>
      </c>
      <c r="CA135" s="70">
        <f t="shared" si="132"/>
        <v>515</v>
      </c>
      <c r="CB135" s="69">
        <f t="shared" si="133"/>
        <v>538</v>
      </c>
      <c r="CC135" s="68">
        <f t="shared" si="134"/>
        <v>255</v>
      </c>
      <c r="CD135" s="69">
        <f t="shared" si="135"/>
        <v>260</v>
      </c>
      <c r="CE135" s="70">
        <f t="shared" si="136"/>
        <v>285</v>
      </c>
      <c r="CF135" s="70" t="str">
        <f t="shared" si="137"/>
        <v>-</v>
      </c>
      <c r="CG135" s="70">
        <f t="shared" si="138"/>
        <v>348</v>
      </c>
      <c r="CH135" s="70" t="str">
        <f t="shared" si="139"/>
        <v>-</v>
      </c>
      <c r="CI135" s="70">
        <f t="shared" si="140"/>
        <v>378</v>
      </c>
      <c r="CJ135" s="70">
        <f t="shared" si="141"/>
        <v>392</v>
      </c>
      <c r="CK135" s="70">
        <f t="shared" si="142"/>
        <v>433</v>
      </c>
      <c r="CL135" s="70">
        <f t="shared" si="143"/>
        <v>493</v>
      </c>
      <c r="CM135" s="70">
        <f t="shared" si="144"/>
        <v>537</v>
      </c>
      <c r="CN135" s="70">
        <f t="shared" si="145"/>
        <v>550</v>
      </c>
      <c r="CO135" s="57">
        <f t="shared" si="118"/>
        <v>1</v>
      </c>
    </row>
    <row r="136" spans="1:93" x14ac:dyDescent="0.2">
      <c r="A136" s="3" t="str">
        <f t="shared" ref="A136:A139" si="146">CONCATENATE(B136,"_",C136)</f>
        <v>smo_human_4N4W</v>
      </c>
      <c r="B136" s="3" t="s">
        <v>207</v>
      </c>
      <c r="C136" s="3" t="s">
        <v>1254</v>
      </c>
      <c r="D136" s="3" t="str">
        <f>IFERROR(MID(VLOOKUP($B136,Seqs!$A:$B,2,FALSE),E136,1),"")</f>
        <v>E</v>
      </c>
      <c r="E136" s="3">
        <v>224</v>
      </c>
      <c r="F136" s="3" t="str">
        <f>IFERROR(MID(VLOOKUP($B136,Seqs!$A:$B,2,FALSE),G136,1),"")</f>
        <v>D</v>
      </c>
      <c r="G136" s="3">
        <v>255</v>
      </c>
      <c r="H136" s="3" t="str">
        <f>IFERROR(MID(VLOOKUP($B136,Seqs!$A:$B,2,FALSE),I136,1),"")</f>
        <v>W</v>
      </c>
      <c r="I136" s="57">
        <v>256</v>
      </c>
      <c r="J136" s="3" t="str">
        <f>IFERROR(MID(VLOOKUP($B136,Seqs!$A:$B,2,FALSE),K136,1),"")</f>
        <v>N</v>
      </c>
      <c r="K136" s="57">
        <v>260</v>
      </c>
      <c r="L136" s="3" t="str">
        <f>IFERROR(MID(VLOOKUP($B136,Seqs!$A:$B,2,FALSE),M136,1),"")</f>
        <v>R</v>
      </c>
      <c r="M136" s="3">
        <v>261</v>
      </c>
      <c r="N136" s="3" t="str">
        <f>IFERROR(MID(VLOOKUP($B136,Seqs!$A:$B,2,FALSE),O136,1),"")</f>
        <v>F</v>
      </c>
      <c r="O136" s="3">
        <v>285</v>
      </c>
      <c r="P136" s="3" t="str">
        <f>IFERROR(MID(VLOOKUP($B136,Seqs!$A:$B,2,FALSE),Q136,1),"")</f>
        <v/>
      </c>
      <c r="Q136" s="3" t="s">
        <v>129</v>
      </c>
      <c r="R136" s="3" t="str">
        <f>IFERROR(MID(VLOOKUP($B136,Seqs!$A:$B,2,FALSE),S136,1),"")</f>
        <v/>
      </c>
      <c r="S136" s="3" t="s">
        <v>129</v>
      </c>
      <c r="T136" s="3" t="str">
        <f>IFERROR(MID(VLOOKUP($B136,Seqs!$A:$B,2,FALSE),U136,1),"")</f>
        <v>L</v>
      </c>
      <c r="U136" s="3">
        <v>312</v>
      </c>
      <c r="V136" s="3" t="str">
        <f>IFERROR(MID(VLOOKUP($B136,Seqs!$A:$B,2,FALSE),W136,1),"")</f>
        <v>A</v>
      </c>
      <c r="W136" s="3">
        <v>345</v>
      </c>
      <c r="X136" s="3" t="str">
        <f>IFERROR(MID(VLOOKUP($B136,Seqs!$A:$B,2,FALSE),Y136,1),"")</f>
        <v/>
      </c>
      <c r="Y136" s="3" t="s">
        <v>129</v>
      </c>
      <c r="Z136" s="3" t="str">
        <f>IFERROR(MID(VLOOKUP($B136,Seqs!$A:$B,2,FALSE),AA136,1),"")</f>
        <v/>
      </c>
      <c r="AA136" s="3" t="s">
        <v>129</v>
      </c>
      <c r="AB136" s="3" t="str">
        <f>IFERROR(MID(VLOOKUP($B136,Seqs!$A:$B,2,FALSE),AC136,1),"")</f>
        <v>K</v>
      </c>
      <c r="AC136" s="3">
        <v>356</v>
      </c>
      <c r="AD136" s="3" t="str">
        <f>IFERROR(MID(VLOOKUP($B136,Seqs!$A:$B,2,FALSE),AE136,1),"")</f>
        <v>V</v>
      </c>
      <c r="AE136" s="3">
        <v>378</v>
      </c>
      <c r="AF136" s="3" t="str">
        <f>IFERROR(MID(VLOOKUP($B136,Seqs!$A:$B,2,FALSE),AG136,1),"")</f>
        <v>C</v>
      </c>
      <c r="AG136" s="3">
        <v>390</v>
      </c>
      <c r="AH136" s="3" t="str">
        <f>IFERROR(MID(VLOOKUP($B136,Seqs!$A:$B,2,FALSE),AI136,1),"")</f>
        <v>V</v>
      </c>
      <c r="AI136" s="3">
        <v>392</v>
      </c>
      <c r="AJ136" s="3" t="str">
        <f>IFERROR(MID(VLOOKUP($B136,Seqs!$A:$B,2,FALSE),AK136,1),"")</f>
        <v>Y</v>
      </c>
      <c r="AK136" s="3">
        <v>397</v>
      </c>
      <c r="AL136" s="3" t="str">
        <f>IFERROR(MID(VLOOKUP($B136,Seqs!$A:$B,2,FALSE),AM136,1),"")</f>
        <v>H</v>
      </c>
      <c r="AM136" s="3">
        <v>433</v>
      </c>
      <c r="AN136" s="3" t="str">
        <f>IFERROR(MID(VLOOKUP($B136,Seqs!$A:$B,2,FALSE),AO136,1),"")</f>
        <v>S</v>
      </c>
      <c r="AO136" s="3">
        <v>443</v>
      </c>
      <c r="AP136" s="3" t="str">
        <f>IFERROR(MID(VLOOKUP($B136,Seqs!$A:$B,2,FALSE),AQ136,1),"")</f>
        <v>Q</v>
      </c>
      <c r="AQ136" s="3">
        <v>491</v>
      </c>
      <c r="AR136" s="3" t="str">
        <f>IFERROR(MID(VLOOKUP($B136,Seqs!$A:$B,2,FALSE),AS136,1),"")</f>
        <v>L</v>
      </c>
      <c r="AS136" s="3">
        <v>515</v>
      </c>
      <c r="AT136" s="3" t="str">
        <f>IFERROR(MID(VLOOKUP($B136,Seqs!$A:$B,2,FALSE),AU136,1),"")</f>
        <v>W</v>
      </c>
      <c r="AU136" s="3">
        <v>537</v>
      </c>
      <c r="AV136" s="3" t="str">
        <f>IFERROR(MID(VLOOKUP($B136,Seqs!$A:$B,2,FALSE),AW136,1),"")</f>
        <v>T</v>
      </c>
      <c r="AW136" s="3">
        <v>538</v>
      </c>
      <c r="AX136" s="3" t="str">
        <f>IFERROR(MID(VLOOKUP($B136,Seqs!$A:$B,2,FALSE),AY136,1),"")</f>
        <v>L</v>
      </c>
      <c r="AY136" s="3">
        <v>552</v>
      </c>
      <c r="AZ136" s="83" t="str">
        <f>VLOOKUP(B136,Classification!A:D,2,FALSE)</f>
        <v>F</v>
      </c>
      <c r="BB136" s="35" t="s">
        <v>1315</v>
      </c>
      <c r="BC136" s="57">
        <f t="shared" si="120"/>
        <v>248</v>
      </c>
      <c r="BD136" s="63" t="b">
        <f t="shared" si="121"/>
        <v>1</v>
      </c>
      <c r="BE136" s="68" t="s">
        <v>1514</v>
      </c>
      <c r="BF136" s="75" t="s">
        <v>1514</v>
      </c>
      <c r="BG136" s="75" t="s">
        <v>1514</v>
      </c>
      <c r="BH136" s="75" t="s">
        <v>1514</v>
      </c>
      <c r="BI136" s="75" t="s">
        <v>1514</v>
      </c>
      <c r="BJ136" s="75" t="s">
        <v>1514</v>
      </c>
      <c r="BK136" s="75" t="s">
        <v>1514</v>
      </c>
      <c r="BL136" s="75" t="s">
        <v>1514</v>
      </c>
      <c r="BM136" s="75" t="s">
        <v>1514</v>
      </c>
      <c r="BN136" s="75" t="s">
        <v>1514</v>
      </c>
      <c r="BO136" s="75" t="s">
        <v>1514</v>
      </c>
      <c r="BP136" s="75" t="s">
        <v>1514</v>
      </c>
      <c r="BQ136" s="68">
        <f t="shared" si="122"/>
        <v>224</v>
      </c>
      <c r="BR136" s="69">
        <f t="shared" si="123"/>
        <v>256</v>
      </c>
      <c r="BS136" s="70">
        <f t="shared" si="124"/>
        <v>261</v>
      </c>
      <c r="BT136" s="69" t="str">
        <f t="shared" si="125"/>
        <v>-</v>
      </c>
      <c r="BU136" s="70">
        <f t="shared" si="126"/>
        <v>312</v>
      </c>
      <c r="BV136" s="69" t="str">
        <f t="shared" si="127"/>
        <v>-</v>
      </c>
      <c r="BW136" s="70">
        <f t="shared" si="128"/>
        <v>356</v>
      </c>
      <c r="BX136" s="69">
        <f t="shared" si="129"/>
        <v>390</v>
      </c>
      <c r="BY136" s="70">
        <f t="shared" si="130"/>
        <v>397</v>
      </c>
      <c r="BZ136" s="69">
        <f t="shared" si="131"/>
        <v>443</v>
      </c>
      <c r="CA136" s="70">
        <f t="shared" si="132"/>
        <v>515</v>
      </c>
      <c r="CB136" s="69">
        <f t="shared" si="133"/>
        <v>538</v>
      </c>
      <c r="CC136" s="68">
        <f t="shared" si="134"/>
        <v>255</v>
      </c>
      <c r="CD136" s="69">
        <f t="shared" si="135"/>
        <v>260</v>
      </c>
      <c r="CE136" s="70">
        <f t="shared" si="136"/>
        <v>285</v>
      </c>
      <c r="CF136" s="70" t="str">
        <f t="shared" si="137"/>
        <v>-</v>
      </c>
      <c r="CG136" s="70">
        <f t="shared" si="138"/>
        <v>345</v>
      </c>
      <c r="CH136" s="70" t="str">
        <f t="shared" si="139"/>
        <v>-</v>
      </c>
      <c r="CI136" s="70">
        <f t="shared" si="140"/>
        <v>378</v>
      </c>
      <c r="CJ136" s="70">
        <f t="shared" si="141"/>
        <v>392</v>
      </c>
      <c r="CK136" s="70">
        <f t="shared" si="142"/>
        <v>433</v>
      </c>
      <c r="CL136" s="70">
        <f t="shared" si="143"/>
        <v>491</v>
      </c>
      <c r="CM136" s="70">
        <f t="shared" si="144"/>
        <v>537</v>
      </c>
      <c r="CN136" s="70">
        <f t="shared" si="145"/>
        <v>552</v>
      </c>
      <c r="CO136" s="57">
        <f t="shared" si="118"/>
        <v>1</v>
      </c>
    </row>
    <row r="137" spans="1:93" x14ac:dyDescent="0.2">
      <c r="A137" s="3" t="str">
        <f t="shared" si="146"/>
        <v>smo_human_4O9R</v>
      </c>
      <c r="B137" s="3" t="s">
        <v>207</v>
      </c>
      <c r="C137" s="3" t="s">
        <v>1256</v>
      </c>
      <c r="D137" s="3" t="str">
        <f>IFERROR(MID(VLOOKUP($B137,Seqs!$A:$B,2,FALSE),E137,1),"")</f>
        <v>E</v>
      </c>
      <c r="E137" s="3">
        <v>224</v>
      </c>
      <c r="F137" s="3" t="str">
        <f>IFERROR(MID(VLOOKUP($B137,Seqs!$A:$B,2,FALSE),G137,1),"")</f>
        <v>D</v>
      </c>
      <c r="G137" s="3">
        <v>255</v>
      </c>
      <c r="H137" s="3" t="str">
        <f>IFERROR(MID(VLOOKUP($B137,Seqs!$A:$B,2,FALSE),I137,1),"")</f>
        <v>W</v>
      </c>
      <c r="I137" s="57">
        <v>256</v>
      </c>
      <c r="J137" s="3" t="str">
        <f>IFERROR(MID(VLOOKUP($B137,Seqs!$A:$B,2,FALSE),K137,1),"")</f>
        <v>N</v>
      </c>
      <c r="K137" s="57">
        <v>260</v>
      </c>
      <c r="L137" s="3" t="str">
        <f>IFERROR(MID(VLOOKUP($B137,Seqs!$A:$B,2,FALSE),M137,1),"")</f>
        <v>R</v>
      </c>
      <c r="M137" s="3">
        <v>261</v>
      </c>
      <c r="N137" s="3" t="str">
        <f>IFERROR(MID(VLOOKUP($B137,Seqs!$A:$B,2,FALSE),O137,1),"")</f>
        <v>F</v>
      </c>
      <c r="O137" s="3">
        <v>285</v>
      </c>
      <c r="P137" s="3" t="str">
        <f>IFERROR(MID(VLOOKUP($B137,Seqs!$A:$B,2,FALSE),Q137,1),"")</f>
        <v/>
      </c>
      <c r="Q137" s="3" t="s">
        <v>129</v>
      </c>
      <c r="R137" s="3" t="str">
        <f>IFERROR(MID(VLOOKUP($B137,Seqs!$A:$B,2,FALSE),S137,1),"")</f>
        <v/>
      </c>
      <c r="S137" s="3" t="s">
        <v>129</v>
      </c>
      <c r="T137" s="3" t="str">
        <f>IFERROR(MID(VLOOKUP($B137,Seqs!$A:$B,2,FALSE),U137,1),"")</f>
        <v>L</v>
      </c>
      <c r="U137" s="3">
        <v>312</v>
      </c>
      <c r="V137" s="3" t="str">
        <f>IFERROR(MID(VLOOKUP($B137,Seqs!$A:$B,2,FALSE),W137,1),"")</f>
        <v>F</v>
      </c>
      <c r="W137" s="3">
        <v>343</v>
      </c>
      <c r="X137" s="3" t="str">
        <f>IFERROR(MID(VLOOKUP($B137,Seqs!$A:$B,2,FALSE),Y137,1),"")</f>
        <v/>
      </c>
      <c r="Y137" s="3" t="s">
        <v>129</v>
      </c>
      <c r="Z137" s="3" t="str">
        <f>IFERROR(MID(VLOOKUP($B137,Seqs!$A:$B,2,FALSE),AA137,1),"")</f>
        <v/>
      </c>
      <c r="AA137" s="3" t="s">
        <v>129</v>
      </c>
      <c r="AB137" s="3" t="str">
        <f>IFERROR(MID(VLOOKUP($B137,Seqs!$A:$B,2,FALSE),AC137,1),"")</f>
        <v>F</v>
      </c>
      <c r="AC137" s="3">
        <v>360</v>
      </c>
      <c r="AD137" s="3" t="str">
        <f>IFERROR(MID(VLOOKUP($B137,Seqs!$A:$B,2,FALSE),AE137,1),"")</f>
        <v>V</v>
      </c>
      <c r="AE137" s="3">
        <v>378</v>
      </c>
      <c r="AF137" s="3" t="str">
        <f>IFERROR(MID(VLOOKUP($B137,Seqs!$A:$B,2,FALSE),AG137,1),"")</f>
        <v>C</v>
      </c>
      <c r="AG137" s="3">
        <v>390</v>
      </c>
      <c r="AH137" s="3" t="str">
        <f>IFERROR(MID(VLOOKUP($B137,Seqs!$A:$B,2,FALSE),AI137,1),"")</f>
        <v>V</v>
      </c>
      <c r="AI137" s="3">
        <v>392</v>
      </c>
      <c r="AJ137" s="3" t="str">
        <f>IFERROR(MID(VLOOKUP($B137,Seqs!$A:$B,2,FALSE),AK137,1),"")</f>
        <v>Y</v>
      </c>
      <c r="AK137" s="3">
        <v>397</v>
      </c>
      <c r="AL137" s="3" t="str">
        <f>IFERROR(MID(VLOOKUP($B137,Seqs!$A:$B,2,FALSE),AM137,1),"")</f>
        <v>H</v>
      </c>
      <c r="AM137" s="3">
        <v>433</v>
      </c>
      <c r="AN137" s="3" t="str">
        <f>IFERROR(MID(VLOOKUP($B137,Seqs!$A:$B,2,FALSE),AO137,1),"")</f>
        <v>E</v>
      </c>
      <c r="AO137" s="3">
        <v>447</v>
      </c>
      <c r="AP137" s="3" t="str">
        <f>IFERROR(MID(VLOOKUP($B137,Seqs!$A:$B,2,FALSE),AQ137,1),"")</f>
        <v>N</v>
      </c>
      <c r="AQ137" s="3">
        <v>493</v>
      </c>
      <c r="AR137" s="3" t="str">
        <f>IFERROR(MID(VLOOKUP($B137,Seqs!$A:$B,2,FALSE),AS137,1),"")</f>
        <v>L</v>
      </c>
      <c r="AS137" s="3">
        <v>515</v>
      </c>
      <c r="AT137" s="3" t="str">
        <f>IFERROR(MID(VLOOKUP($B137,Seqs!$A:$B,2,FALSE),AU137,1),"")</f>
        <v>W</v>
      </c>
      <c r="AU137" s="3">
        <v>537</v>
      </c>
      <c r="AV137" s="3" t="str">
        <f>IFERROR(MID(VLOOKUP($B137,Seqs!$A:$B,2,FALSE),AW137,1),"")</f>
        <v>T</v>
      </c>
      <c r="AW137" s="3">
        <v>538</v>
      </c>
      <c r="AX137" s="3" t="str">
        <f>IFERROR(MID(VLOOKUP($B137,Seqs!$A:$B,2,FALSE),AY137,1),"")</f>
        <v>W</v>
      </c>
      <c r="AY137" s="3">
        <v>549</v>
      </c>
      <c r="AZ137" s="83" t="str">
        <f>VLOOKUP(B137,Classification!A:D,2,FALSE)</f>
        <v>F</v>
      </c>
      <c r="BC137" s="57">
        <f t="shared" si="120"/>
        <v>237</v>
      </c>
      <c r="BD137" s="63" t="b">
        <f t="shared" si="121"/>
        <v>1</v>
      </c>
      <c r="BE137" s="68" t="s">
        <v>1514</v>
      </c>
      <c r="BF137" s="75" t="s">
        <v>1514</v>
      </c>
      <c r="BG137" s="75" t="s">
        <v>1514</v>
      </c>
      <c r="BH137" s="75" t="s">
        <v>1514</v>
      </c>
      <c r="BI137" s="75" t="s">
        <v>1514</v>
      </c>
      <c r="BJ137" s="75" t="s">
        <v>1514</v>
      </c>
      <c r="BK137" s="75" t="s">
        <v>1514</v>
      </c>
      <c r="BL137" s="75" t="s">
        <v>1514</v>
      </c>
      <c r="BM137" s="75" t="s">
        <v>1514</v>
      </c>
      <c r="BN137" s="75" t="s">
        <v>1514</v>
      </c>
      <c r="BO137" s="75" t="s">
        <v>1514</v>
      </c>
      <c r="BP137" s="75" t="s">
        <v>1514</v>
      </c>
      <c r="BQ137" s="68">
        <f t="shared" si="122"/>
        <v>224</v>
      </c>
      <c r="BR137" s="69">
        <f t="shared" si="123"/>
        <v>256</v>
      </c>
      <c r="BS137" s="70">
        <f t="shared" si="124"/>
        <v>261</v>
      </c>
      <c r="BT137" s="69" t="str">
        <f t="shared" si="125"/>
        <v>-</v>
      </c>
      <c r="BU137" s="70">
        <f t="shared" si="126"/>
        <v>312</v>
      </c>
      <c r="BV137" s="69" t="str">
        <f t="shared" si="127"/>
        <v>-</v>
      </c>
      <c r="BW137" s="70">
        <f t="shared" si="128"/>
        <v>360</v>
      </c>
      <c r="BX137" s="69">
        <f t="shared" si="129"/>
        <v>390</v>
      </c>
      <c r="BY137" s="70">
        <f t="shared" si="130"/>
        <v>397</v>
      </c>
      <c r="BZ137" s="69">
        <f t="shared" si="131"/>
        <v>447</v>
      </c>
      <c r="CA137" s="70">
        <f t="shared" si="132"/>
        <v>515</v>
      </c>
      <c r="CB137" s="69">
        <f t="shared" si="133"/>
        <v>538</v>
      </c>
      <c r="CC137" s="68">
        <f t="shared" si="134"/>
        <v>255</v>
      </c>
      <c r="CD137" s="69">
        <f t="shared" si="135"/>
        <v>260</v>
      </c>
      <c r="CE137" s="70">
        <f t="shared" si="136"/>
        <v>285</v>
      </c>
      <c r="CF137" s="70" t="str">
        <f t="shared" si="137"/>
        <v>-</v>
      </c>
      <c r="CG137" s="70">
        <f t="shared" si="138"/>
        <v>343</v>
      </c>
      <c r="CH137" s="70" t="str">
        <f t="shared" si="139"/>
        <v>-</v>
      </c>
      <c r="CI137" s="70">
        <f t="shared" si="140"/>
        <v>378</v>
      </c>
      <c r="CJ137" s="70">
        <f t="shared" si="141"/>
        <v>392</v>
      </c>
      <c r="CK137" s="70">
        <f t="shared" si="142"/>
        <v>433</v>
      </c>
      <c r="CL137" s="70">
        <f t="shared" si="143"/>
        <v>493</v>
      </c>
      <c r="CM137" s="70">
        <f t="shared" si="144"/>
        <v>537</v>
      </c>
      <c r="CN137" s="70">
        <f t="shared" si="145"/>
        <v>549</v>
      </c>
      <c r="CO137" s="57">
        <f t="shared" ref="CO137:CO139" si="147">M137-K137</f>
        <v>1</v>
      </c>
    </row>
    <row r="138" spans="1:93" x14ac:dyDescent="0.2">
      <c r="A138" s="3" t="str">
        <f t="shared" si="146"/>
        <v>smo_human_4QIM</v>
      </c>
      <c r="B138" s="3" t="s">
        <v>207</v>
      </c>
      <c r="C138" s="3" t="s">
        <v>1258</v>
      </c>
      <c r="D138" s="3" t="str">
        <f>IFERROR(MID(VLOOKUP($B138,Seqs!$A:$B,2,FALSE),E138,1),"")</f>
        <v>E</v>
      </c>
      <c r="E138" s="3">
        <v>224</v>
      </c>
      <c r="F138" s="3" t="str">
        <f>IFERROR(MID(VLOOKUP($B138,Seqs!$A:$B,2,FALSE),G138,1),"")</f>
        <v>D</v>
      </c>
      <c r="G138" s="3">
        <v>255</v>
      </c>
      <c r="H138" s="3" t="str">
        <f>IFERROR(MID(VLOOKUP($B138,Seqs!$A:$B,2,FALSE),I138,1),"")</f>
        <v>W</v>
      </c>
      <c r="I138" s="57">
        <v>256</v>
      </c>
      <c r="J138" s="3" t="str">
        <f>IFERROR(MID(VLOOKUP($B138,Seqs!$A:$B,2,FALSE),K138,1),"")</f>
        <v>N</v>
      </c>
      <c r="K138" s="57">
        <v>260</v>
      </c>
      <c r="L138" s="3" t="str">
        <f>IFERROR(MID(VLOOKUP($B138,Seqs!$A:$B,2,FALSE),M138,1),"")</f>
        <v>R</v>
      </c>
      <c r="M138" s="3">
        <v>261</v>
      </c>
      <c r="N138" s="3" t="str">
        <f>IFERROR(MID(VLOOKUP($B138,Seqs!$A:$B,2,FALSE),O138,1),"")</f>
        <v>F</v>
      </c>
      <c r="O138" s="3">
        <v>285</v>
      </c>
      <c r="P138" s="3" t="str">
        <f>IFERROR(MID(VLOOKUP($B138,Seqs!$A:$B,2,FALSE),Q138,1),"")</f>
        <v/>
      </c>
      <c r="Q138" s="3" t="s">
        <v>129</v>
      </c>
      <c r="R138" s="3" t="str">
        <f>IFERROR(MID(VLOOKUP($B138,Seqs!$A:$B,2,FALSE),S138,1),"")</f>
        <v/>
      </c>
      <c r="S138" s="3" t="s">
        <v>129</v>
      </c>
      <c r="T138" s="3" t="str">
        <f>IFERROR(MID(VLOOKUP($B138,Seqs!$A:$B,2,FALSE),U138,1),"")</f>
        <v>L</v>
      </c>
      <c r="U138" s="3">
        <v>312</v>
      </c>
      <c r="V138" s="3" t="str">
        <f>IFERROR(MID(VLOOKUP($B138,Seqs!$A:$B,2,FALSE),W138,1),"")</f>
        <v>A</v>
      </c>
      <c r="W138" s="3">
        <v>345</v>
      </c>
      <c r="X138" s="3" t="str">
        <f>IFERROR(MID(VLOOKUP($B138,Seqs!$A:$B,2,FALSE),Y138,1),"")</f>
        <v/>
      </c>
      <c r="Y138" s="3" t="s">
        <v>129</v>
      </c>
      <c r="Z138" s="3" t="str">
        <f>IFERROR(MID(VLOOKUP($B138,Seqs!$A:$B,2,FALSE),AA138,1),"")</f>
        <v/>
      </c>
      <c r="AA138" s="3" t="s">
        <v>129</v>
      </c>
      <c r="AB138" s="3" t="str">
        <f>IFERROR(MID(VLOOKUP($B138,Seqs!$A:$B,2,FALSE),AC138,1),"")</f>
        <v>K</v>
      </c>
      <c r="AC138" s="3">
        <v>356</v>
      </c>
      <c r="AD138" s="3" t="str">
        <f>IFERROR(MID(VLOOKUP($B138,Seqs!$A:$B,2,FALSE),AE138,1),"")</f>
        <v>V</v>
      </c>
      <c r="AE138" s="3">
        <v>378</v>
      </c>
      <c r="AF138" s="3" t="str">
        <f>IFERROR(MID(VLOOKUP($B138,Seqs!$A:$B,2,FALSE),AG138,1),"")</f>
        <v>C</v>
      </c>
      <c r="AG138" s="3">
        <v>390</v>
      </c>
      <c r="AH138" s="3" t="str">
        <f>IFERROR(MID(VLOOKUP($B138,Seqs!$A:$B,2,FALSE),AI138,1),"")</f>
        <v>V</v>
      </c>
      <c r="AI138" s="3">
        <v>392</v>
      </c>
      <c r="AJ138" s="3" t="str">
        <f>IFERROR(MID(VLOOKUP($B138,Seqs!$A:$B,2,FALSE),AK138,1),"")</f>
        <v>Y</v>
      </c>
      <c r="AK138" s="3">
        <v>397</v>
      </c>
      <c r="AL138" s="3" t="str">
        <f>IFERROR(MID(VLOOKUP($B138,Seqs!$A:$B,2,FALSE),AM138,1),"")</f>
        <v>H</v>
      </c>
      <c r="AM138" s="3">
        <v>433</v>
      </c>
      <c r="AN138" s="3" t="str">
        <f>IFERROR(MID(VLOOKUP($B138,Seqs!$A:$B,2,FALSE),AO138,1),"")</f>
        <v>E</v>
      </c>
      <c r="AO138" s="3">
        <v>447</v>
      </c>
      <c r="AP138" s="3" t="str">
        <f>IFERROR(MID(VLOOKUP($B138,Seqs!$A:$B,2,FALSE),AQ138,1),"")</f>
        <v>N</v>
      </c>
      <c r="AQ138" s="3">
        <v>493</v>
      </c>
      <c r="AR138" s="3" t="str">
        <f>IFERROR(MID(VLOOKUP($B138,Seqs!$A:$B,2,FALSE),AS138,1),"")</f>
        <v>L</v>
      </c>
      <c r="AS138" s="3">
        <v>515</v>
      </c>
      <c r="AT138" s="3" t="str">
        <f>IFERROR(MID(VLOOKUP($B138,Seqs!$A:$B,2,FALSE),AU138,1),"")</f>
        <v>W</v>
      </c>
      <c r="AU138" s="3">
        <v>537</v>
      </c>
      <c r="AV138" s="3" t="str">
        <f>IFERROR(MID(VLOOKUP($B138,Seqs!$A:$B,2,FALSE),AW138,1),"")</f>
        <v>T</v>
      </c>
      <c r="AW138" s="3">
        <v>538</v>
      </c>
      <c r="AX138" s="3" t="str">
        <f>IFERROR(MID(VLOOKUP($B138,Seqs!$A:$B,2,FALSE),AY138,1),"")</f>
        <v>T</v>
      </c>
      <c r="AY138" s="3">
        <v>553</v>
      </c>
      <c r="AZ138" s="83" t="str">
        <f>VLOOKUP(B138,Classification!A:D,2,FALSE)</f>
        <v>F</v>
      </c>
      <c r="BC138" s="57">
        <f t="shared" si="120"/>
        <v>247</v>
      </c>
      <c r="BD138" s="63" t="b">
        <f t="shared" si="121"/>
        <v>1</v>
      </c>
      <c r="BE138" s="68" t="s">
        <v>1514</v>
      </c>
      <c r="BF138" s="75" t="s">
        <v>1514</v>
      </c>
      <c r="BG138" s="75" t="s">
        <v>1514</v>
      </c>
      <c r="BH138" s="75" t="s">
        <v>1514</v>
      </c>
      <c r="BI138" s="75" t="s">
        <v>1514</v>
      </c>
      <c r="BJ138" s="75" t="s">
        <v>1514</v>
      </c>
      <c r="BK138" s="75" t="s">
        <v>1514</v>
      </c>
      <c r="BL138" s="75" t="s">
        <v>1514</v>
      </c>
      <c r="BM138" s="75" t="s">
        <v>1514</v>
      </c>
      <c r="BN138" s="75" t="s">
        <v>1514</v>
      </c>
      <c r="BO138" s="75" t="s">
        <v>1514</v>
      </c>
      <c r="BP138" s="75" t="s">
        <v>1514</v>
      </c>
      <c r="BQ138" s="68">
        <f t="shared" si="122"/>
        <v>224</v>
      </c>
      <c r="BR138" s="69">
        <f t="shared" si="123"/>
        <v>256</v>
      </c>
      <c r="BS138" s="70">
        <f t="shared" si="124"/>
        <v>261</v>
      </c>
      <c r="BT138" s="69" t="str">
        <f t="shared" si="125"/>
        <v>-</v>
      </c>
      <c r="BU138" s="70">
        <f t="shared" si="126"/>
        <v>312</v>
      </c>
      <c r="BV138" s="69" t="str">
        <f t="shared" si="127"/>
        <v>-</v>
      </c>
      <c r="BW138" s="70">
        <f t="shared" si="128"/>
        <v>356</v>
      </c>
      <c r="BX138" s="69">
        <f t="shared" si="129"/>
        <v>390</v>
      </c>
      <c r="BY138" s="70">
        <f t="shared" si="130"/>
        <v>397</v>
      </c>
      <c r="BZ138" s="69">
        <f t="shared" si="131"/>
        <v>447</v>
      </c>
      <c r="CA138" s="70">
        <f t="shared" si="132"/>
        <v>515</v>
      </c>
      <c r="CB138" s="69">
        <f t="shared" si="133"/>
        <v>538</v>
      </c>
      <c r="CC138" s="68">
        <f t="shared" si="134"/>
        <v>255</v>
      </c>
      <c r="CD138" s="69">
        <f t="shared" si="135"/>
        <v>260</v>
      </c>
      <c r="CE138" s="70">
        <f t="shared" si="136"/>
        <v>285</v>
      </c>
      <c r="CF138" s="70" t="str">
        <f t="shared" si="137"/>
        <v>-</v>
      </c>
      <c r="CG138" s="70">
        <f t="shared" si="138"/>
        <v>345</v>
      </c>
      <c r="CH138" s="70" t="str">
        <f t="shared" si="139"/>
        <v>-</v>
      </c>
      <c r="CI138" s="70">
        <f t="shared" si="140"/>
        <v>378</v>
      </c>
      <c r="CJ138" s="70">
        <f t="shared" si="141"/>
        <v>392</v>
      </c>
      <c r="CK138" s="70">
        <f t="shared" si="142"/>
        <v>433</v>
      </c>
      <c r="CL138" s="70">
        <f t="shared" si="143"/>
        <v>493</v>
      </c>
      <c r="CM138" s="70">
        <f t="shared" si="144"/>
        <v>537</v>
      </c>
      <c r="CN138" s="70">
        <f t="shared" si="145"/>
        <v>553</v>
      </c>
      <c r="CO138" s="57">
        <f t="shared" si="147"/>
        <v>1</v>
      </c>
    </row>
    <row r="139" spans="1:93" x14ac:dyDescent="0.2">
      <c r="A139" s="3" t="str">
        <f t="shared" si="146"/>
        <v>smo_human_4QIN</v>
      </c>
      <c r="B139" s="3" t="s">
        <v>207</v>
      </c>
      <c r="C139" s="3" t="s">
        <v>247</v>
      </c>
      <c r="D139" s="3" t="str">
        <f>IFERROR(MID(VLOOKUP($B139,Seqs!$A:$B,2,FALSE),E139,1),"")</f>
        <v>E</v>
      </c>
      <c r="E139" s="3">
        <v>224</v>
      </c>
      <c r="F139" s="3" t="str">
        <f>IFERROR(MID(VLOOKUP($B139,Seqs!$A:$B,2,FALSE),G139,1),"")</f>
        <v>D</v>
      </c>
      <c r="G139" s="3">
        <v>255</v>
      </c>
      <c r="H139" s="3" t="str">
        <f>IFERROR(MID(VLOOKUP($B139,Seqs!$A:$B,2,FALSE),I139,1),"")</f>
        <v>W</v>
      </c>
      <c r="I139" s="57">
        <v>256</v>
      </c>
      <c r="J139" s="3" t="str">
        <f>IFERROR(MID(VLOOKUP($B139,Seqs!$A:$B,2,FALSE),K139,1),"")</f>
        <v>N</v>
      </c>
      <c r="K139" s="57">
        <v>260</v>
      </c>
      <c r="L139" s="3" t="str">
        <f>IFERROR(MID(VLOOKUP($B139,Seqs!$A:$B,2,FALSE),M139,1),"")</f>
        <v>R</v>
      </c>
      <c r="M139" s="3">
        <v>261</v>
      </c>
      <c r="N139" s="3" t="str">
        <f>IFERROR(MID(VLOOKUP($B139,Seqs!$A:$B,2,FALSE),O139,1),"")</f>
        <v>F</v>
      </c>
      <c r="O139" s="3">
        <v>285</v>
      </c>
      <c r="P139" s="3" t="str">
        <f>IFERROR(MID(VLOOKUP($B139,Seqs!$A:$B,2,FALSE),Q139,1),"")</f>
        <v/>
      </c>
      <c r="Q139" s="3" t="s">
        <v>129</v>
      </c>
      <c r="R139" s="3" t="str">
        <f>IFERROR(MID(VLOOKUP($B139,Seqs!$A:$B,2,FALSE),S139,1),"")</f>
        <v/>
      </c>
      <c r="S139" s="3" t="s">
        <v>129</v>
      </c>
      <c r="T139" s="3" t="str">
        <f>IFERROR(MID(VLOOKUP($B139,Seqs!$A:$B,2,FALSE),U139,1),"")</f>
        <v>L</v>
      </c>
      <c r="U139" s="3">
        <v>312</v>
      </c>
      <c r="V139" s="3" t="str">
        <f>IFERROR(MID(VLOOKUP($B139,Seqs!$A:$B,2,FALSE),W139,1),"")</f>
        <v>A</v>
      </c>
      <c r="W139" s="3">
        <v>345</v>
      </c>
      <c r="X139" s="3" t="str">
        <f>IFERROR(MID(VLOOKUP($B139,Seqs!$A:$B,2,FALSE),Y139,1),"")</f>
        <v/>
      </c>
      <c r="Y139" s="3" t="s">
        <v>129</v>
      </c>
      <c r="Z139" s="3" t="str">
        <f>IFERROR(MID(VLOOKUP($B139,Seqs!$A:$B,2,FALSE),AA139,1),"")</f>
        <v/>
      </c>
      <c r="AA139" s="3" t="s">
        <v>129</v>
      </c>
      <c r="AB139" s="3" t="str">
        <f>IFERROR(MID(VLOOKUP($B139,Seqs!$A:$B,2,FALSE),AC139,1),"")</f>
        <v>L</v>
      </c>
      <c r="AC139" s="3">
        <v>353</v>
      </c>
      <c r="AD139" s="3" t="str">
        <f>IFERROR(MID(VLOOKUP($B139,Seqs!$A:$B,2,FALSE),AE139,1),"")</f>
        <v>V</v>
      </c>
      <c r="AE139" s="3">
        <v>378</v>
      </c>
      <c r="AF139" s="3" t="str">
        <f>IFERROR(MID(VLOOKUP($B139,Seqs!$A:$B,2,FALSE),AG139,1),"")</f>
        <v>C</v>
      </c>
      <c r="AG139" s="3">
        <v>390</v>
      </c>
      <c r="AH139" s="3" t="str">
        <f>IFERROR(MID(VLOOKUP($B139,Seqs!$A:$B,2,FALSE),AI139,1),"")</f>
        <v>V</v>
      </c>
      <c r="AI139" s="3">
        <v>392</v>
      </c>
      <c r="AJ139" s="3" t="str">
        <f>IFERROR(MID(VLOOKUP($B139,Seqs!$A:$B,2,FALSE),AK139,1),"")</f>
        <v>Y</v>
      </c>
      <c r="AK139" s="3">
        <v>397</v>
      </c>
      <c r="AL139" s="3" t="str">
        <f>IFERROR(MID(VLOOKUP($B139,Seqs!$A:$B,2,FALSE),AM139,1),"")</f>
        <v>H</v>
      </c>
      <c r="AM139" s="3">
        <v>433</v>
      </c>
      <c r="AN139" s="3" t="str">
        <f>IFERROR(MID(VLOOKUP($B139,Seqs!$A:$B,2,FALSE),AO139,1),"")</f>
        <v>E</v>
      </c>
      <c r="AO139" s="3">
        <v>447</v>
      </c>
      <c r="AP139" s="3" t="str">
        <f>IFERROR(MID(VLOOKUP($B139,Seqs!$A:$B,2,FALSE),AQ139,1),"")</f>
        <v>A</v>
      </c>
      <c r="AQ139" s="3">
        <v>492</v>
      </c>
      <c r="AR139" s="3" t="str">
        <f>IFERROR(MID(VLOOKUP($B139,Seqs!$A:$B,2,FALSE),AS139,1),"")</f>
        <v>L</v>
      </c>
      <c r="AS139" s="3">
        <v>515</v>
      </c>
      <c r="AT139" s="3" t="str">
        <f>IFERROR(MID(VLOOKUP($B139,Seqs!$A:$B,2,FALSE),AU139,1),"")</f>
        <v>W</v>
      </c>
      <c r="AU139" s="3">
        <v>537</v>
      </c>
      <c r="AV139" s="3" t="str">
        <f>IFERROR(MID(VLOOKUP($B139,Seqs!$A:$B,2,FALSE),AW139,1),"")</f>
        <v>T</v>
      </c>
      <c r="AW139" s="3">
        <v>538</v>
      </c>
      <c r="AX139" s="3" t="str">
        <f>IFERROR(MID(VLOOKUP($B139,Seqs!$A:$B,2,FALSE),AY139,1),"")</f>
        <v>R</v>
      </c>
      <c r="AY139" s="3">
        <v>551</v>
      </c>
      <c r="AZ139" s="83" t="str">
        <f>VLOOKUP(B139,Classification!A:D,2,FALSE)</f>
        <v>F</v>
      </c>
      <c r="BC139" s="57">
        <f t="shared" si="120"/>
        <v>247</v>
      </c>
      <c r="BD139" s="63" t="b">
        <f t="shared" si="121"/>
        <v>1</v>
      </c>
      <c r="BE139" s="68" t="s">
        <v>1514</v>
      </c>
      <c r="BF139" s="75" t="s">
        <v>1514</v>
      </c>
      <c r="BG139" s="75" t="s">
        <v>1514</v>
      </c>
      <c r="BH139" s="75" t="s">
        <v>1514</v>
      </c>
      <c r="BI139" s="75" t="s">
        <v>1514</v>
      </c>
      <c r="BJ139" s="75" t="s">
        <v>1514</v>
      </c>
      <c r="BK139" s="75" t="s">
        <v>1514</v>
      </c>
      <c r="BL139" s="75" t="s">
        <v>1514</v>
      </c>
      <c r="BM139" s="75" t="s">
        <v>1514</v>
      </c>
      <c r="BN139" s="75" t="s">
        <v>1514</v>
      </c>
      <c r="BO139" s="75" t="s">
        <v>1514</v>
      </c>
      <c r="BP139" s="75" t="s">
        <v>1514</v>
      </c>
      <c r="BQ139" s="68">
        <f t="shared" si="122"/>
        <v>224</v>
      </c>
      <c r="BR139" s="69">
        <f t="shared" si="123"/>
        <v>256</v>
      </c>
      <c r="BS139" s="70">
        <f t="shared" si="124"/>
        <v>261</v>
      </c>
      <c r="BT139" s="69" t="str">
        <f t="shared" si="125"/>
        <v>-</v>
      </c>
      <c r="BU139" s="70">
        <f t="shared" si="126"/>
        <v>312</v>
      </c>
      <c r="BV139" s="69" t="str">
        <f t="shared" si="127"/>
        <v>-</v>
      </c>
      <c r="BW139" s="70">
        <f t="shared" si="128"/>
        <v>353</v>
      </c>
      <c r="BX139" s="69">
        <f t="shared" si="129"/>
        <v>390</v>
      </c>
      <c r="BY139" s="70">
        <f t="shared" si="130"/>
        <v>397</v>
      </c>
      <c r="BZ139" s="69">
        <f t="shared" si="131"/>
        <v>447</v>
      </c>
      <c r="CA139" s="70">
        <f t="shared" si="132"/>
        <v>515</v>
      </c>
      <c r="CB139" s="69">
        <f t="shared" si="133"/>
        <v>538</v>
      </c>
      <c r="CC139" s="68">
        <f t="shared" si="134"/>
        <v>255</v>
      </c>
      <c r="CD139" s="69">
        <f t="shared" si="135"/>
        <v>260</v>
      </c>
      <c r="CE139" s="70">
        <f t="shared" si="136"/>
        <v>285</v>
      </c>
      <c r="CF139" s="70" t="str">
        <f t="shared" si="137"/>
        <v>-</v>
      </c>
      <c r="CG139" s="70">
        <f t="shared" si="138"/>
        <v>345</v>
      </c>
      <c r="CH139" s="70" t="str">
        <f t="shared" si="139"/>
        <v>-</v>
      </c>
      <c r="CI139" s="70">
        <f t="shared" si="140"/>
        <v>378</v>
      </c>
      <c r="CJ139" s="70">
        <f t="shared" si="141"/>
        <v>392</v>
      </c>
      <c r="CK139" s="70">
        <f t="shared" si="142"/>
        <v>433</v>
      </c>
      <c r="CL139" s="70">
        <f t="shared" si="143"/>
        <v>492</v>
      </c>
      <c r="CM139" s="70">
        <f t="shared" si="144"/>
        <v>537</v>
      </c>
      <c r="CN139" s="70">
        <f t="shared" si="145"/>
        <v>551</v>
      </c>
      <c r="CO139" s="57">
        <f t="shared" si="147"/>
        <v>1</v>
      </c>
    </row>
    <row r="140" spans="1:93" x14ac:dyDescent="0.2">
      <c r="BD140" s="63"/>
    </row>
    <row r="141" spans="1:93" x14ac:dyDescent="0.2">
      <c r="BD141" s="63"/>
    </row>
    <row r="142" spans="1:93" x14ac:dyDescent="0.2">
      <c r="BD142" s="63"/>
    </row>
    <row r="143" spans="1:93" x14ac:dyDescent="0.2">
      <c r="BD143" s="63"/>
    </row>
    <row r="144" spans="1:93" x14ac:dyDescent="0.2">
      <c r="BD144" s="63"/>
    </row>
    <row r="145" spans="56:56" x14ac:dyDescent="0.2">
      <c r="BD145" s="63"/>
    </row>
    <row r="146" spans="56:56" x14ac:dyDescent="0.2">
      <c r="BD146" s="63"/>
    </row>
  </sheetData>
  <sortState ref="A2:CO139">
    <sortCondition ref="AZ2:AZ139"/>
    <sortCondition ref="B2:B139"/>
    <sortCondition ref="C2:C139"/>
  </sortState>
  <customSheetViews>
    <customSheetView guid="{3E3401AF-8459-8641-BD70-AD04F80E86ED}" scale="110">
      <pane xSplit="3" ySplit="1" topLeftCell="D2" activePane="bottomRight" state="frozenSplit"/>
      <selection pane="bottomRight" activeCell="AM2" sqref="AM2"/>
      <pageMargins left="0.7" right="0.7" top="0.75" bottom="0.75" header="0.3" footer="0.3"/>
    </customSheetView>
  </customSheetViews>
  <conditionalFormatting sqref="BD8:BD17 BD122:BD124 BD1:BD5 BD126:BD146 BD21:BD56 BD18:BP18 BD58:BD119 BE21:BP1048576">
    <cfRule type="cellIs" dxfId="58" priority="24" operator="equal">
      <formula>FALSE</formula>
    </cfRule>
  </conditionalFormatting>
  <conditionalFormatting sqref="BD57">
    <cfRule type="cellIs" dxfId="57" priority="23" operator="equal">
      <formula>FALSE</formula>
    </cfRule>
  </conditionalFormatting>
  <conditionalFormatting sqref="BD120:BD121">
    <cfRule type="cellIs" dxfId="56" priority="22" operator="equal">
      <formula>FALSE</formula>
    </cfRule>
  </conditionalFormatting>
  <conditionalFormatting sqref="BD7">
    <cfRule type="cellIs" dxfId="55" priority="21" operator="equal">
      <formula>FALSE</formula>
    </cfRule>
  </conditionalFormatting>
  <conditionalFormatting sqref="BE1:BP5 BE7:BP17">
    <cfRule type="cellIs" dxfId="54" priority="19" operator="equal">
      <formula>FALSE</formula>
    </cfRule>
  </conditionalFormatting>
  <conditionalFormatting sqref="D126:AX1048576 D1:AX5 D7:AX10 D21:AX124 D11:P18 R11:AX18 Q11:Q20">
    <cfRule type="cellIs" dxfId="53" priority="17" operator="equal">
      <formula>"G"</formula>
    </cfRule>
    <cfRule type="cellIs" dxfId="52" priority="18" operator="equal">
      <formula>"P"</formula>
    </cfRule>
  </conditionalFormatting>
  <conditionalFormatting sqref="BD125">
    <cfRule type="cellIs" dxfId="51" priority="16" operator="equal">
      <formula>FALSE</formula>
    </cfRule>
  </conditionalFormatting>
  <conditionalFormatting sqref="D125:AX125">
    <cfRule type="cellIs" dxfId="50" priority="13" operator="equal">
      <formula>"G"</formula>
    </cfRule>
    <cfRule type="cellIs" dxfId="49" priority="14" operator="equal">
      <formula>"P"</formula>
    </cfRule>
  </conditionalFormatting>
  <conditionalFormatting sqref="BD19">
    <cfRule type="cellIs" dxfId="48" priority="12" operator="equal">
      <formula>FALSE</formula>
    </cfRule>
  </conditionalFormatting>
  <conditionalFormatting sqref="BE19:BP19">
    <cfRule type="cellIs" dxfId="47" priority="11" operator="equal">
      <formula>FALSE</formula>
    </cfRule>
  </conditionalFormatting>
  <conditionalFormatting sqref="D19:P19 R19:AX19">
    <cfRule type="cellIs" dxfId="46" priority="9" operator="equal">
      <formula>"G"</formula>
    </cfRule>
    <cfRule type="cellIs" dxfId="45" priority="10" operator="equal">
      <formula>"P"</formula>
    </cfRule>
  </conditionalFormatting>
  <conditionalFormatting sqref="BD20">
    <cfRule type="cellIs" dxfId="44" priority="8" operator="equal">
      <formula>FALSE</formula>
    </cfRule>
  </conditionalFormatting>
  <conditionalFormatting sqref="BE20:BP20">
    <cfRule type="cellIs" dxfId="43" priority="7" operator="equal">
      <formula>FALSE</formula>
    </cfRule>
  </conditionalFormatting>
  <conditionalFormatting sqref="D20:P20 R20:AX20">
    <cfRule type="cellIs" dxfId="42" priority="5" operator="equal">
      <formula>"G"</formula>
    </cfRule>
    <cfRule type="cellIs" dxfId="41" priority="6" operator="equal">
      <formula>"P"</formula>
    </cfRule>
  </conditionalFormatting>
  <conditionalFormatting sqref="BD6">
    <cfRule type="cellIs" dxfId="40" priority="4" operator="equal">
      <formula>FALSE</formula>
    </cfRule>
  </conditionalFormatting>
  <conditionalFormatting sqref="BE6:BP6">
    <cfRule type="cellIs" dxfId="39" priority="3" operator="equal">
      <formula>FALSE</formula>
    </cfRule>
  </conditionalFormatting>
  <conditionalFormatting sqref="D6:AX6">
    <cfRule type="cellIs" dxfId="38" priority="1" operator="equal">
      <formula>"G"</formula>
    </cfRule>
    <cfRule type="cellIs" dxfId="37" priority="2" operator="equal">
      <formula>"P"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31"/>
  <sheetViews>
    <sheetView zoomScale="135" zoomScaleNormal="135" zoomScalePageLayoutView="135" workbookViewId="0">
      <pane ySplit="1" topLeftCell="A2" activePane="bottomLeft" state="frozenSplit"/>
      <selection pane="bottomLeft" activeCell="T19" sqref="T19"/>
    </sheetView>
  </sheetViews>
  <sheetFormatPr baseColWidth="10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21" bestFit="1" customWidth="1"/>
    <col min="21" max="26" width="4.6640625" style="4" bestFit="1" customWidth="1"/>
    <col min="27" max="27" width="2.6640625" style="103" bestFit="1" customWidth="1"/>
    <col min="28" max="29" width="5.6640625" style="103" bestFit="1" customWidth="1"/>
    <col min="30" max="32" width="6" style="103" customWidth="1"/>
    <col min="33" max="34" width="4.6640625" style="103" customWidth="1"/>
    <col min="35" max="36" width="5.5" style="103" customWidth="1"/>
    <col min="37" max="37" width="5.33203125" style="4" customWidth="1"/>
    <col min="38" max="38" width="6" style="88" bestFit="1" customWidth="1"/>
    <col min="39" max="39" width="5" style="4" bestFit="1" customWidth="1"/>
    <col min="40" max="41" width="3.6640625" style="4" customWidth="1"/>
    <col min="42" max="43" width="3.1640625" style="4" customWidth="1"/>
    <col min="44" max="45" width="4.1640625" style="4" customWidth="1"/>
    <col min="46" max="46" width="6" style="4" customWidth="1"/>
    <col min="47" max="47" width="4.33203125" style="4" customWidth="1"/>
    <col min="48" max="49" width="3.6640625" style="4" customWidth="1"/>
    <col min="50" max="51" width="3.1640625" style="4" customWidth="1"/>
    <col min="52" max="53" width="4.1640625" style="4" customWidth="1"/>
    <col min="54" max="61" width="3.1640625" style="4" customWidth="1"/>
    <col min="62" max="62" width="3.33203125" style="4" customWidth="1"/>
    <col min="63" max="16384" width="10.83203125" style="4"/>
  </cols>
  <sheetData>
    <row r="1" spans="1:62" x14ac:dyDescent="0.2">
      <c r="A1" s="73" t="s">
        <v>1283</v>
      </c>
      <c r="B1" s="73" t="s">
        <v>205</v>
      </c>
      <c r="C1" s="73" t="s">
        <v>1267</v>
      </c>
      <c r="D1" s="73" t="s">
        <v>1268</v>
      </c>
      <c r="E1" s="73" t="s">
        <v>1284</v>
      </c>
      <c r="F1" s="73" t="s">
        <v>1285</v>
      </c>
      <c r="G1" s="73" t="s">
        <v>1269</v>
      </c>
      <c r="H1" s="73" t="s">
        <v>1270</v>
      </c>
      <c r="I1" s="73" t="s">
        <v>1286</v>
      </c>
      <c r="J1" s="73" t="s">
        <v>1287</v>
      </c>
      <c r="K1" s="73" t="s">
        <v>1271</v>
      </c>
      <c r="L1" s="73" t="s">
        <v>1272</v>
      </c>
      <c r="M1" s="73" t="s">
        <v>1299</v>
      </c>
      <c r="N1" s="73" t="s">
        <v>1300</v>
      </c>
      <c r="O1" s="73" t="s">
        <v>1273</v>
      </c>
      <c r="P1" s="73" t="s">
        <v>1274</v>
      </c>
      <c r="Q1" s="73" t="s">
        <v>1302</v>
      </c>
      <c r="R1" s="73" t="s">
        <v>1303</v>
      </c>
      <c r="S1" s="73" t="s">
        <v>1275</v>
      </c>
      <c r="T1" s="101" t="s">
        <v>1276</v>
      </c>
      <c r="U1" s="73" t="s">
        <v>1277</v>
      </c>
      <c r="V1" s="73" t="s">
        <v>1278</v>
      </c>
      <c r="W1" s="73" t="s">
        <v>1279</v>
      </c>
      <c r="X1" s="73" t="s">
        <v>1280</v>
      </c>
      <c r="Y1" s="73" t="s">
        <v>1281</v>
      </c>
      <c r="Z1" s="73" t="s">
        <v>1282</v>
      </c>
      <c r="AA1" s="73" t="s">
        <v>292</v>
      </c>
      <c r="AB1" s="73" t="s">
        <v>1516</v>
      </c>
      <c r="AC1" s="73" t="s">
        <v>1515</v>
      </c>
      <c r="AD1" s="73" t="s">
        <v>1509</v>
      </c>
      <c r="AE1" s="73" t="s">
        <v>1452</v>
      </c>
      <c r="AF1" s="73" t="s">
        <v>1510</v>
      </c>
      <c r="AG1" s="73" t="s">
        <v>1463</v>
      </c>
      <c r="AH1" s="73" t="s">
        <v>1512</v>
      </c>
      <c r="AI1" s="73" t="s">
        <v>1511</v>
      </c>
      <c r="AJ1" s="73" t="s">
        <v>1517</v>
      </c>
      <c r="AK1" s="73" t="s">
        <v>1461</v>
      </c>
      <c r="AL1" s="87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3"/>
      <c r="BI1" s="73"/>
    </row>
    <row r="2" spans="1:62" s="102" customFormat="1" x14ac:dyDescent="0.2">
      <c r="A2" s="2" t="s">
        <v>1481</v>
      </c>
      <c r="B2" s="2" t="s">
        <v>223</v>
      </c>
      <c r="C2" s="2">
        <f>IFERROR(50+VLOOKUP($A2,'Xtal_SegEnds_Prot#'!$A:$AY,5,FALSE)-VLOOKUP($B2,'NonXtal_SegEnds_Prot#'!$A:$AL,4,FALSE),"-")</f>
        <v>34</v>
      </c>
      <c r="D2" s="2">
        <f>IFERROR(50+VLOOKUP($A2,'Xtal_SegEnds_Prot#'!$A:$AY,7,FALSE)-VLOOKUP($B2,'NonXtal_SegEnds_Prot#'!$A:$AL,4,FALSE),"-")</f>
        <v>60</v>
      </c>
      <c r="E2" s="2">
        <f>IFERROR(50+VLOOKUP($A2,'Xtal_SegEnds_Prot#'!$A:$AY,9,FALSE)-VLOOKUP($B2,'NonXtal_SegEnds_Prot#'!$A:$AL,7,FALSE),"-")</f>
        <v>47</v>
      </c>
      <c r="F2" s="2">
        <f>IFERROR(50+VLOOKUP($A2,'Xtal_SegEnds_Prot#'!$A:$AY,11,FALSE)-VLOOKUP($B2,'NonXtal_SegEnds_Prot#'!$A:$AL,7,FALSE),"-")</f>
        <v>53</v>
      </c>
      <c r="G2" s="2">
        <f>IFERROR(50+VLOOKUP($A2,'Xtal_SegEnds_Prot#'!$A:$AY,13,FALSE)-VLOOKUP($B2,'NonXtal_SegEnds_Prot#'!$A:$AL,10,FALSE),"-")</f>
        <v>39</v>
      </c>
      <c r="H2" s="2">
        <f>IFERROR(50+VLOOKUP($A2,'Xtal_SegEnds_Prot#'!$A:$AY,15,FALSE)-VLOOKUP($B2,'NonXtal_SegEnds_Prot#'!$A:$AL,10,FALSE),"-")</f>
        <v>61</v>
      </c>
      <c r="I2" s="2" t="str">
        <f>IFERROR(50+VLOOKUP($A2,'Xtal_SegEnds_Prot#'!$A:$AY,17,FALSE)-VLOOKUP($B2,'NonXtal_SegEnds_Prot#'!$A:$AL,13,FALSE),"-")</f>
        <v>-</v>
      </c>
      <c r="J2" s="2" t="str">
        <f>IFERROR(50+VLOOKUP($A2,'Xtal_SegEnds_Prot#'!$A:$AY,19,FALSE)-VLOOKUP($B2,'NonXtal_SegEnds_Prot#'!$A:$AL,13,FALSE),"-")</f>
        <v>-</v>
      </c>
      <c r="K2" s="2">
        <f>IFERROR(50+VLOOKUP($A2,'Xtal_SegEnds_Prot#'!$A:$AY,21,FALSE)-VLOOKUP($B2,'NonXtal_SegEnds_Prot#'!$A:$AL,16,FALSE),"-")</f>
        <v>22</v>
      </c>
      <c r="L2" s="2">
        <f>IFERROR(50+VLOOKUP($A2,'Xtal_SegEnds_Prot#'!$A:$AY,23,FALSE)-VLOOKUP($B2,'NonXtal_SegEnds_Prot#'!$A:$AL,16,FALSE),"-")</f>
        <v>54</v>
      </c>
      <c r="M2" s="2" t="str">
        <f>IFERROR(50+VLOOKUP($A2,'Xtal_SegEnds_Prot#'!$A:$AY,25,FALSE)-VLOOKUP($B2,'NonXtal_SegEnds_Prot#'!$A:$AL,19,FALSE),"-")</f>
        <v>-</v>
      </c>
      <c r="N2" s="2" t="str">
        <f>IFERROR(50+VLOOKUP($A2,'Xtal_SegEnds_Prot#'!$A:$AY,27,FALSE)-VLOOKUP($B2,'NonXtal_SegEnds_Prot#'!$A:$AL,19,FALSE),"-")</f>
        <v>-</v>
      </c>
      <c r="O2" s="2">
        <f>IFERROR(50+VLOOKUP($A2,'Xtal_SegEnds_Prot#'!$A:$AY,29,FALSE)-VLOOKUP($B2,'NonXtal_SegEnds_Prot#'!$A:$AL,22,FALSE),"-")</f>
        <v>39</v>
      </c>
      <c r="P2" s="2">
        <f>IFERROR(50+VLOOKUP($A2,'Xtal_SegEnds_Prot#'!$A:$AY,31,FALSE)-VLOOKUP($B2,'NonXtal_SegEnds_Prot#'!$A:$AL,22,FALSE),"-")</f>
        <v>64</v>
      </c>
      <c r="Q2" s="2">
        <f>IFERROR(50+VLOOKUP($A2,'Xtal_SegEnds_Prot#'!$A:$AY,33,FALSE)-VLOOKUP($B2,'NonXtal_SegEnds_Prot#'!$A:$AL,25,FALSE),"-")</f>
        <v>50</v>
      </c>
      <c r="R2" s="2">
        <f>IFERROR(50+VLOOKUP($A2,'Xtal_SegEnds_Prot#'!$A:$AY,35,FALSE)-VLOOKUP($B2,'NonXtal_SegEnds_Prot#'!$A:$AL,25,FALSE),"-")</f>
        <v>52</v>
      </c>
      <c r="S2" s="2">
        <f>IFERROR(50+VLOOKUP($A2,'Xtal_SegEnds_Prot#'!$A:$AY,37,FALSE)-VLOOKUP($B2,'NonXtal_SegEnds_Prot#'!$A:$AL,28,FALSE),"-")</f>
        <v>37</v>
      </c>
      <c r="T2" s="89">
        <f>IFERROR(50+VLOOKUP($A2,'Xtal_SegEnds_Prot#'!$A:$AY,39,FALSE)-VLOOKUP($B2,'NonXtal_SegEnds_Prot#'!$A:$AL,28,FALSE),"-")</f>
        <v>61</v>
      </c>
      <c r="U2" s="2">
        <f>IFERROR(50+VLOOKUP($A2,'Xtal_SegEnds_Prot#'!$A:$AY,41,FALSE)-VLOOKUP($B2,'NonXtal_SegEnds_Prot#'!$A:$AL,31,FALSE),"-")</f>
        <v>33</v>
      </c>
      <c r="V2" s="2">
        <f>IFERROR(50+VLOOKUP($A2,'Xtal_SegEnds_Prot#'!$A:$AY,43,FALSE)-VLOOKUP($B2,'NonXtal_SegEnds_Prot#'!$A:$AL,31,FALSE),"-")</f>
        <v>57</v>
      </c>
      <c r="W2" s="2">
        <f>IFERROR(50+VLOOKUP($A2,'Xtal_SegEnds_Prot#'!$A:$AY,45,FALSE)-VLOOKUP($B2,'NonXtal_SegEnds_Prot#'!$A:$AL,34,FALSE),"-")</f>
        <v>34</v>
      </c>
      <c r="X2" s="2">
        <f>IFERROR(50+VLOOKUP($A2,'Xtal_SegEnds_Prot#'!$A:$AY,47,FALSE)-VLOOKUP($B2,'NonXtal_SegEnds_Prot#'!$A:$AL,34,FALSE),"-")</f>
        <v>63</v>
      </c>
      <c r="Y2" s="2">
        <f>IFERROR(50+VLOOKUP($A2,'Xtal_SegEnds_Prot#'!$A:$AY,49,FALSE)-VLOOKUP($B2,'NonXtal_SegEnds_Prot#'!$A:$AL,37,FALSE),"-")</f>
        <v>47</v>
      </c>
      <c r="Z2" s="2">
        <f>IFERROR(50+VLOOKUP($A2,'Xtal_SegEnds_Prot#'!$A:$AY,51,FALSE)-VLOOKUP($B2,'NonXtal_SegEnds_Prot#'!$A:$AL,37,FALSE),"-")</f>
        <v>59</v>
      </c>
      <c r="AA2" s="102" t="str">
        <f>VLOOKUP(B2,Classification!A:D,2,FALSE)</f>
        <v>C</v>
      </c>
      <c r="AB2" s="102">
        <f>VLOOKUP(B2,'NonXtal_SegEnds_Prot#'!A:AL,6,FALSE)-VLOOKUP(B2,'NonXtal_SegEnds_Prot#'!A:AL,5,FALSE)</f>
        <v>3</v>
      </c>
      <c r="AC2" s="102">
        <f>VLOOKUP(B2,'NonXtal_SegEnds_Prot#'!A:AL,9,FALSE)-VLOOKUP(B2,'NonXtal_SegEnds_Prot#'!A:AL,8,FALSE)</f>
        <v>1</v>
      </c>
      <c r="AD2" s="102" t="e">
        <f>VLOOKUP(B2,'NonXtal_SegEnds_Prot#'!A:AL,13,FALSE)-VLOOKUP(B2,'NonXtal_SegEnds_Prot#'!A:AL,10,FALSE)</f>
        <v>#VALUE!</v>
      </c>
      <c r="AE2" s="102" t="e">
        <f>VLOOKUP(B2,'NonXtal_SegEnds_Prot#'!A:AL,12,FALSE)-VLOOKUP(B2,'NonXtal_SegEnds_Prot#'!A:AL,11,FALSE)</f>
        <v>#VALUE!</v>
      </c>
      <c r="AF2" s="102" t="e">
        <f>VLOOKUP(B2,'NonXtal_SegEnds_Prot#'!A:AL,13,FALSE)-VLOOKUP(B2,'NonXtal_SegEnds_Prot#'!A:AL,11,FALSE)</f>
        <v>#VALUE!</v>
      </c>
      <c r="AG2" s="102">
        <f>VLOOKUP(B2,'NonXtal_SegEnds_Prot#'!A:AL,16,FALSE)-VLOOKUP(B2,'NonXtal_SegEnds_Prot#'!A:AL,10,FALSE)</f>
        <v>44</v>
      </c>
      <c r="AH2" s="102">
        <f>VLOOKUP(B2,'NonXtal_SegEnds_Prot#'!A:AL,16,FALSE)-VLOOKUP(B2,'NonXtal_SegEnds_Prot#'!A:AL,11,FALSE)</f>
        <v>33</v>
      </c>
      <c r="AI2" s="102" t="e">
        <f>VLOOKUP(B2,'NonXtal_SegEnds_Prot#'!A:AL,15,FALSE)-VLOOKUP(B2,'NonXtal_SegEnds_Prot#'!A:AL,14,FALSE)</f>
        <v>#VALUE!</v>
      </c>
      <c r="AJ2" s="102" t="e">
        <f>VLOOKUP(B2,'NonXtal_SegEnds_Prot#'!A:AL,18,FALSE)-VLOOKUP(B2,'NonXtal_SegEnds_Prot#'!A:AL,17,FALSE)</f>
        <v>#VALUE!</v>
      </c>
      <c r="AK2" s="2">
        <f>VLOOKUP(B2,'NonXtal_SegEnds_Prot#'!A:AL,34,FALSE)-VLOOKUP(B2,'NonXtal_SegEnds_Prot#'!A:AL,31,FALSE)</f>
        <v>27</v>
      </c>
      <c r="AL2" s="86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</row>
    <row r="3" spans="1:62" s="2" customFormat="1" x14ac:dyDescent="0.2">
      <c r="A3" s="2" t="s">
        <v>1482</v>
      </c>
      <c r="B3" s="2" t="s">
        <v>224</v>
      </c>
      <c r="C3" s="2">
        <f>IFERROR(50+VLOOKUP($A3,'Xtal_SegEnds_Prot#'!$A:$AY,5,FALSE)-VLOOKUP($B3,'NonXtal_SegEnds_Prot#'!$A:$AL,4,FALSE),"-")</f>
        <v>34</v>
      </c>
      <c r="D3" s="2">
        <f>IFERROR(50+VLOOKUP($A3,'Xtal_SegEnds_Prot#'!$A:$AY,7,FALSE)-VLOOKUP($B3,'NonXtal_SegEnds_Prot#'!$A:$AL,4,FALSE),"-")</f>
        <v>60</v>
      </c>
      <c r="E3" s="2">
        <f>IFERROR(50+VLOOKUP($A3,'Xtal_SegEnds_Prot#'!$A:$AY,9,FALSE)-VLOOKUP($B3,'NonXtal_SegEnds_Prot#'!$A:$AL,7,FALSE),"-")</f>
        <v>47</v>
      </c>
      <c r="F3" s="2">
        <f>IFERROR(50+VLOOKUP($A3,'Xtal_SegEnds_Prot#'!$A:$AY,11,FALSE)-VLOOKUP($B3,'NonXtal_SegEnds_Prot#'!$A:$AL,7,FALSE),"-")</f>
        <v>53</v>
      </c>
      <c r="G3" s="2">
        <f>IFERROR(50+VLOOKUP($A3,'Xtal_SegEnds_Prot#'!$A:$AY,13,FALSE)-VLOOKUP($B3,'NonXtal_SegEnds_Prot#'!$A:$AL,10,FALSE),"-")</f>
        <v>39</v>
      </c>
      <c r="H3" s="2">
        <f>IFERROR(50+VLOOKUP($A3,'Xtal_SegEnds_Prot#'!$A:$AY,15,FALSE)-VLOOKUP($B3,'NonXtal_SegEnds_Prot#'!$A:$AL,10,FALSE),"-")</f>
        <v>61</v>
      </c>
      <c r="I3" s="2" t="str">
        <f>IFERROR(50+VLOOKUP($A3,'Xtal_SegEnds_Prot#'!$A:$AY,17,FALSE)-VLOOKUP($B3,'NonXtal_SegEnds_Prot#'!$A:$AL,13,FALSE),"-")</f>
        <v>-</v>
      </c>
      <c r="J3" s="2" t="str">
        <f>IFERROR(50+VLOOKUP($A3,'Xtal_SegEnds_Prot#'!$A:$AY,19,FALSE)-VLOOKUP($B3,'NonXtal_SegEnds_Prot#'!$A:$AL,13,FALSE),"-")</f>
        <v>-</v>
      </c>
      <c r="K3" s="2">
        <f>IFERROR(50+VLOOKUP($A3,'Xtal_SegEnds_Prot#'!$A:$AY,21,FALSE)-VLOOKUP($B3,'NonXtal_SegEnds_Prot#'!$A:$AL,16,FALSE),"-")</f>
        <v>22</v>
      </c>
      <c r="L3" s="2">
        <f>IFERROR(50+VLOOKUP($A3,'Xtal_SegEnds_Prot#'!$A:$AY,23,FALSE)-VLOOKUP($B3,'NonXtal_SegEnds_Prot#'!$A:$AL,16,FALSE),"-")</f>
        <v>54</v>
      </c>
      <c r="M3" s="2" t="str">
        <f>IFERROR(50+VLOOKUP($A3,'Xtal_SegEnds_Prot#'!$A:$AY,25,FALSE)-VLOOKUP($B3,'NonXtal_SegEnds_Prot#'!$A:$AL,19,FALSE),"-")</f>
        <v>-</v>
      </c>
      <c r="N3" s="2" t="str">
        <f>IFERROR(50+VLOOKUP($A3,'Xtal_SegEnds_Prot#'!$A:$AY,27,FALSE)-VLOOKUP($B3,'NonXtal_SegEnds_Prot#'!$A:$AL,19,FALSE),"-")</f>
        <v>-</v>
      </c>
      <c r="O3" s="2">
        <f>IFERROR(50+VLOOKUP($A3,'Xtal_SegEnds_Prot#'!$A:$AY,29,FALSE)-VLOOKUP($B3,'NonXtal_SegEnds_Prot#'!$A:$AL,22,FALSE),"-")</f>
        <v>39</v>
      </c>
      <c r="P3" s="2">
        <f>IFERROR(50+VLOOKUP($A3,'Xtal_SegEnds_Prot#'!$A:$AY,31,FALSE)-VLOOKUP($B3,'NonXtal_SegEnds_Prot#'!$A:$AL,22,FALSE),"-")</f>
        <v>64</v>
      </c>
      <c r="Q3" s="2">
        <f>IFERROR(50+VLOOKUP($A3,'Xtal_SegEnds_Prot#'!$A:$AY,33,FALSE)-VLOOKUP($B3,'NonXtal_SegEnds_Prot#'!$A:$AL,25,FALSE),"-")</f>
        <v>50</v>
      </c>
      <c r="R3" s="2">
        <f>IFERROR(50+VLOOKUP($A3,'Xtal_SegEnds_Prot#'!$A:$AY,35,FALSE)-VLOOKUP($B3,'NonXtal_SegEnds_Prot#'!$A:$AL,25,FALSE),"-")</f>
        <v>52</v>
      </c>
      <c r="S3" s="2">
        <f>IFERROR(50+VLOOKUP($A3,'Xtal_SegEnds_Prot#'!$A:$AY,37,FALSE)-VLOOKUP($B3,'NonXtal_SegEnds_Prot#'!$A:$AL,28,FALSE),"-")</f>
        <v>37</v>
      </c>
      <c r="T3" s="89">
        <f>IFERROR(50+VLOOKUP($A3,'Xtal_SegEnds_Prot#'!$A:$AY,39,FALSE)-VLOOKUP($B3,'NonXtal_SegEnds_Prot#'!$A:$AL,28,FALSE),"-")</f>
        <v>61</v>
      </c>
      <c r="U3" s="2">
        <f>IFERROR(50+VLOOKUP($A3,'Xtal_SegEnds_Prot#'!$A:$AY,41,FALSE)-VLOOKUP($B3,'NonXtal_SegEnds_Prot#'!$A:$AL,31,FALSE),"-")</f>
        <v>33</v>
      </c>
      <c r="V3" s="2">
        <f>IFERROR(50+VLOOKUP($A3,'Xtal_SegEnds_Prot#'!$A:$AY,43,FALSE)-VLOOKUP($B3,'NonXtal_SegEnds_Prot#'!$A:$AL,31,FALSE),"-")</f>
        <v>57</v>
      </c>
      <c r="W3" s="2">
        <f>IFERROR(50+VLOOKUP($A3,'Xtal_SegEnds_Prot#'!$A:$AY,45,FALSE)-VLOOKUP($B3,'NonXtal_SegEnds_Prot#'!$A:$AL,34,FALSE),"-")</f>
        <v>34</v>
      </c>
      <c r="X3" s="2">
        <f>IFERROR(50+VLOOKUP($A3,'Xtal_SegEnds_Prot#'!$A:$AY,47,FALSE)-VLOOKUP($B3,'NonXtal_SegEnds_Prot#'!$A:$AL,34,FALSE),"-")</f>
        <v>63</v>
      </c>
      <c r="Y3" s="2">
        <f>IFERROR(50+VLOOKUP($A3,'Xtal_SegEnds_Prot#'!$A:$AY,49,FALSE)-VLOOKUP($B3,'NonXtal_SegEnds_Prot#'!$A:$AL,37,FALSE),"-")</f>
        <v>47</v>
      </c>
      <c r="Z3" s="2">
        <f>IFERROR(50+VLOOKUP($A3,'Xtal_SegEnds_Prot#'!$A:$AY,51,FALSE)-VLOOKUP($B3,'NonXtal_SegEnds_Prot#'!$A:$AL,37,FALSE),"-")</f>
        <v>59</v>
      </c>
      <c r="AA3" s="102" t="str">
        <f>VLOOKUP(B3,Classification!A:D,2,FALSE)</f>
        <v>C</v>
      </c>
      <c r="AB3" s="102">
        <f>VLOOKUP(B3,'NonXtal_SegEnds_Prot#'!A:AL,6,FALSE)-VLOOKUP(B3,'NonXtal_SegEnds_Prot#'!A:AL,5,FALSE)</f>
        <v>3</v>
      </c>
      <c r="AC3" s="102">
        <f>VLOOKUP(B3,'NonXtal_SegEnds_Prot#'!A:AL,9,FALSE)-VLOOKUP(B3,'NonXtal_SegEnds_Prot#'!A:AL,8,FALSE)</f>
        <v>1</v>
      </c>
      <c r="AD3" s="102" t="e">
        <f>VLOOKUP(B3,'NonXtal_SegEnds_Prot#'!A:AL,13,FALSE)-VLOOKUP(B3,'NonXtal_SegEnds_Prot#'!A:AL,10,FALSE)</f>
        <v>#VALUE!</v>
      </c>
      <c r="AE3" s="102" t="e">
        <f>VLOOKUP(B3,'NonXtal_SegEnds_Prot#'!A:AL,12,FALSE)-VLOOKUP(B3,'NonXtal_SegEnds_Prot#'!A:AL,11,FALSE)</f>
        <v>#VALUE!</v>
      </c>
      <c r="AF3" s="102" t="e">
        <f>VLOOKUP(B3,'NonXtal_SegEnds_Prot#'!A:AL,13,FALSE)-VLOOKUP(B3,'NonXtal_SegEnds_Prot#'!A:AL,11,FALSE)</f>
        <v>#VALUE!</v>
      </c>
      <c r="AG3" s="102">
        <f>VLOOKUP(B3,'NonXtal_SegEnds_Prot#'!A:AL,16,FALSE)-VLOOKUP(B3,'NonXtal_SegEnds_Prot#'!A:AL,10,FALSE)</f>
        <v>44</v>
      </c>
      <c r="AH3" s="102">
        <f>VLOOKUP(B3,'NonXtal_SegEnds_Prot#'!A:AL,16,FALSE)-VLOOKUP(B3,'NonXtal_SegEnds_Prot#'!A:AL,11,FALSE)</f>
        <v>33</v>
      </c>
      <c r="AI3" s="102" t="e">
        <f>VLOOKUP(B3,'NonXtal_SegEnds_Prot#'!A:AL,15,FALSE)-VLOOKUP(B3,'NonXtal_SegEnds_Prot#'!A:AL,14,FALSE)</f>
        <v>#VALUE!</v>
      </c>
      <c r="AJ3" s="102" t="e">
        <f>VLOOKUP(B3,'NonXtal_SegEnds_Prot#'!A:AL,18,FALSE)-VLOOKUP(B3,'NonXtal_SegEnds_Prot#'!A:AL,17,FALSE)</f>
        <v>#VALUE!</v>
      </c>
      <c r="AK3" s="2">
        <f>VLOOKUP(B3,'NonXtal_SegEnds_Prot#'!A:AL,34,FALSE)-VLOOKUP(B3,'NonXtal_SegEnds_Prot#'!A:AL,31,FALSE)</f>
        <v>27</v>
      </c>
      <c r="AL3" s="86"/>
    </row>
    <row r="4" spans="1:62" s="2" customFormat="1" x14ac:dyDescent="0.2">
      <c r="A4" s="2" t="s">
        <v>1476</v>
      </c>
      <c r="B4" s="2" t="s">
        <v>213</v>
      </c>
      <c r="C4" s="2">
        <f>IFERROR(50+VLOOKUP($A4,'Xtal_SegEnds_Prot#'!$A:$AY,5,FALSE)-VLOOKUP($B4,'NonXtal_SegEnds_Prot#'!$A:$AL,4,FALSE),"-")</f>
        <v>19</v>
      </c>
      <c r="D4" s="2">
        <f>IFERROR(50+VLOOKUP($A4,'Xtal_SegEnds_Prot#'!$A:$AY,7,FALSE)-VLOOKUP($B4,'NonXtal_SegEnds_Prot#'!$A:$AL,4,FALSE),"-")</f>
        <v>60</v>
      </c>
      <c r="E4" s="2">
        <f>IFERROR(50+VLOOKUP($A4,'Xtal_SegEnds_Prot#'!$A:$AY,9,FALSE)-VLOOKUP($B4,'NonXtal_SegEnds_Prot#'!$A:$AL,7,FALSE),"-")</f>
        <v>48</v>
      </c>
      <c r="F4" s="2">
        <f>IFERROR(50+VLOOKUP($A4,'Xtal_SegEnds_Prot#'!$A:$AY,11,FALSE)-VLOOKUP($B4,'NonXtal_SegEnds_Prot#'!$A:$AL,7,FALSE),"-")</f>
        <v>51</v>
      </c>
      <c r="G4" s="2">
        <f>IFERROR(50+VLOOKUP($A4,'Xtal_SegEnds_Prot#'!$A:$AY,13,FALSE)-VLOOKUP($B4,'NonXtal_SegEnds_Prot#'!$A:$AL,10,FALSE),"-")</f>
        <v>37</v>
      </c>
      <c r="H4" s="2">
        <f>IFERROR(50+VLOOKUP($A4,'Xtal_SegEnds_Prot#'!$A:$AY,15,FALSE)-VLOOKUP($B4,'NonXtal_SegEnds_Prot#'!$A:$AL,10,FALSE),"-")</f>
        <v>63</v>
      </c>
      <c r="I4" s="2" t="str">
        <f>IFERROR(50+VLOOKUP($A4,'Xtal_SegEnds_Prot#'!$A:$AY,17,FALSE)-VLOOKUP($B4,'NonXtal_SegEnds_Prot#'!$A:$AL,13,FALSE),"-")</f>
        <v>-</v>
      </c>
      <c r="J4" s="2" t="str">
        <f>IFERROR(50+VLOOKUP($A4,'Xtal_SegEnds_Prot#'!$A:$AY,19,FALSE)-VLOOKUP($B4,'NonXtal_SegEnds_Prot#'!$A:$AL,13,FALSE),"-")</f>
        <v>-</v>
      </c>
      <c r="K4" s="2">
        <f>IFERROR(50+VLOOKUP($A4,'Xtal_SegEnds_Prot#'!$A:$AY,21,FALSE)-VLOOKUP($B4,'NonXtal_SegEnds_Prot#'!$A:$AL,16,FALSE),"-")</f>
        <v>23</v>
      </c>
      <c r="L4" s="2">
        <f>IFERROR(50+VLOOKUP($A4,'Xtal_SegEnds_Prot#'!$A:$AY,23,FALSE)-VLOOKUP($B4,'NonXtal_SegEnds_Prot#'!$A:$AL,16,FALSE),"-")</f>
        <v>56</v>
      </c>
      <c r="M4" s="2" t="str">
        <f>IFERROR(50+VLOOKUP($A4,'Xtal_SegEnds_Prot#'!$A:$AY,25,FALSE)-VLOOKUP($B4,'NonXtal_SegEnds_Prot#'!$A:$AL,19,FALSE),"-")</f>
        <v>-</v>
      </c>
      <c r="N4" s="2" t="str">
        <f>IFERROR(50+VLOOKUP($A4,'Xtal_SegEnds_Prot#'!$A:$AY,27,FALSE)-VLOOKUP($B4,'NonXtal_SegEnds_Prot#'!$A:$AL,19,FALSE),"-")</f>
        <v>-</v>
      </c>
      <c r="O4" s="2">
        <f>IFERROR(50+VLOOKUP($A4,'Xtal_SegEnds_Prot#'!$A:$AY,29,FALSE)-VLOOKUP($B4,'NonXtal_SegEnds_Prot#'!$A:$AL,22,FALSE),"-")</f>
        <v>40</v>
      </c>
      <c r="P4" s="2">
        <f>IFERROR(50+VLOOKUP($A4,'Xtal_SegEnds_Prot#'!$A:$AY,31,FALSE)-VLOOKUP($B4,'NonXtal_SegEnds_Prot#'!$A:$AL,22,FALSE),"-")</f>
        <v>68</v>
      </c>
      <c r="Q4" s="2">
        <f>IFERROR(50+VLOOKUP($A4,'Xtal_SegEnds_Prot#'!$A:$AY,33,FALSE)-VLOOKUP($B4,'NonXtal_SegEnds_Prot#'!$A:$AL,25,FALSE),"-")</f>
        <v>50</v>
      </c>
      <c r="R4" s="2">
        <f>IFERROR(50+VLOOKUP($A4,'Xtal_SegEnds_Prot#'!$A:$AY,35,FALSE)-VLOOKUP($B4,'NonXtal_SegEnds_Prot#'!$A:$AL,25,FALSE),"-")</f>
        <v>52</v>
      </c>
      <c r="S4" s="2">
        <f>IFERROR(50+VLOOKUP($A4,'Xtal_SegEnds_Prot#'!$A:$AY,37,FALSE)-VLOOKUP($B4,'NonXtal_SegEnds_Prot#'!$A:$AL,28,FALSE),"-")</f>
        <v>39</v>
      </c>
      <c r="T4" s="89">
        <f>IFERROR(50+VLOOKUP($A4,'Xtal_SegEnds_Prot#'!$A:$AY,39,FALSE)-VLOOKUP($B4,'NonXtal_SegEnds_Prot#'!$A:$AL,28,FALSE),"-")</f>
        <v>69</v>
      </c>
      <c r="U4" s="2">
        <f>IFERROR(50+VLOOKUP($A4,'Xtal_SegEnds_Prot#'!$A:$AY,41,FALSE)-VLOOKUP($B4,'NonXtal_SegEnds_Prot#'!$A:$AL,31,FALSE),"-")</f>
        <v>25</v>
      </c>
      <c r="V4" s="2">
        <f>IFERROR(50+VLOOKUP($A4,'Xtal_SegEnds_Prot#'!$A:$AY,43,FALSE)-VLOOKUP($B4,'NonXtal_SegEnds_Prot#'!$A:$AL,31,FALSE),"-")</f>
        <v>53</v>
      </c>
      <c r="W4" s="2">
        <f>IFERROR(50+VLOOKUP($A4,'Xtal_SegEnds_Prot#'!$A:$AY,45,FALSE)-VLOOKUP($B4,'NonXtal_SegEnds_Prot#'!$A:$AL,34,FALSE),"-")</f>
        <v>29</v>
      </c>
      <c r="X4" s="2">
        <f>IFERROR(50+VLOOKUP($A4,'Xtal_SegEnds_Prot#'!$A:$AY,47,FALSE)-VLOOKUP($B4,'NonXtal_SegEnds_Prot#'!$A:$AL,34,FALSE),"-")</f>
        <v>56</v>
      </c>
      <c r="Y4" s="2">
        <f>IFERROR(50+VLOOKUP($A4,'Xtal_SegEnds_Prot#'!$A:$AY,49,FALSE)-VLOOKUP($B4,'NonXtal_SegEnds_Prot#'!$A:$AL,37,FALSE),"-")</f>
        <v>47</v>
      </c>
      <c r="Z4" s="2">
        <f>IFERROR(50+VLOOKUP($A4,'Xtal_SegEnds_Prot#'!$A:$AY,51,FALSE)-VLOOKUP($B4,'NonXtal_SegEnds_Prot#'!$A:$AL,37,FALSE),"-")</f>
        <v>72</v>
      </c>
      <c r="AA4" s="102" t="str">
        <f>VLOOKUP(B4,Classification!A:D,2,FALSE)</f>
        <v>B1</v>
      </c>
      <c r="AB4" s="102">
        <f>VLOOKUP(B4,'NonXtal_SegEnds_Prot#'!A:AL,6,FALSE)-VLOOKUP(B4,'NonXtal_SegEnds_Prot#'!A:AL,5,FALSE)</f>
        <v>1</v>
      </c>
      <c r="AC4" s="102">
        <f>VLOOKUP(B4,'NonXtal_SegEnds_Prot#'!A:AL,9,FALSE)-VLOOKUP(B4,'NonXtal_SegEnds_Prot#'!A:AL,8,FALSE)</f>
        <v>1</v>
      </c>
      <c r="AD4" s="102" t="e">
        <f>VLOOKUP(B4,'NonXtal_SegEnds_Prot#'!A:AL,13,FALSE)-VLOOKUP(B4,'NonXtal_SegEnds_Prot#'!A:AL,10,FALSE)</f>
        <v>#VALUE!</v>
      </c>
      <c r="AE4" s="102" t="e">
        <f>VLOOKUP(B4,'NonXtal_SegEnds_Prot#'!A:AL,12,FALSE)-VLOOKUP(B4,'NonXtal_SegEnds_Prot#'!A:AL,11,FALSE)</f>
        <v>#VALUE!</v>
      </c>
      <c r="AF4" s="102" t="e">
        <f>VLOOKUP(B4,'NonXtal_SegEnds_Prot#'!A:AL,13,FALSE)-VLOOKUP(B4,'NonXtal_SegEnds_Prot#'!A:AL,11,FALSE)</f>
        <v>#VALUE!</v>
      </c>
      <c r="AG4" s="102">
        <f>VLOOKUP(B4,'NonXtal_SegEnds_Prot#'!A:AL,16,FALSE)-VLOOKUP(B4,'NonXtal_SegEnds_Prot#'!A:AL,10,FALSE)</f>
        <v>51</v>
      </c>
      <c r="AH4" s="102">
        <f>VLOOKUP(B4,'NonXtal_SegEnds_Prot#'!A:AL,16,FALSE)-VLOOKUP(B4,'NonXtal_SegEnds_Prot#'!A:AL,11,FALSE)</f>
        <v>38</v>
      </c>
      <c r="AI4" s="102" t="e">
        <f>VLOOKUP(B4,'NonXtal_SegEnds_Prot#'!A:AL,15,FALSE)-VLOOKUP(B4,'NonXtal_SegEnds_Prot#'!A:AL,14,FALSE)</f>
        <v>#VALUE!</v>
      </c>
      <c r="AJ4" s="102" t="e">
        <f>VLOOKUP(B4,'NonXtal_SegEnds_Prot#'!A:AL,18,FALSE)-VLOOKUP(B4,'NonXtal_SegEnds_Prot#'!A:AL,17,FALSE)</f>
        <v>#VALUE!</v>
      </c>
      <c r="AK4" s="2">
        <f>VLOOKUP(B4,'NonXtal_SegEnds_Prot#'!A:AL,34,FALSE)-VLOOKUP(B4,'NonXtal_SegEnds_Prot#'!A:AL,31,FALSE)</f>
        <v>31</v>
      </c>
      <c r="AL4" s="86"/>
    </row>
    <row r="5" spans="1:62" s="2" customFormat="1" x14ac:dyDescent="0.2">
      <c r="A5" s="2" t="s">
        <v>1480</v>
      </c>
      <c r="B5" s="2" t="s">
        <v>206</v>
      </c>
      <c r="C5" s="2">
        <f>IFERROR(50+VLOOKUP($A5,'Xtal_SegEnds_Prot#'!$A:$AY,5,FALSE)-VLOOKUP($B5,'NonXtal_SegEnds_Prot#'!$A:$AL,4,FALSE),"-")</f>
        <v>19</v>
      </c>
      <c r="D5" s="2">
        <f>IFERROR(50+VLOOKUP($A5,'Xtal_SegEnds_Prot#'!$A:$AY,7,FALSE)-VLOOKUP($B5,'NonXtal_SegEnds_Prot#'!$A:$AL,4,FALSE),"-")</f>
        <v>60</v>
      </c>
      <c r="E5" s="2">
        <f>IFERROR(50+VLOOKUP($A5,'Xtal_SegEnds_Prot#'!$A:$AY,9,FALSE)-VLOOKUP($B5,'NonXtal_SegEnds_Prot#'!$A:$AL,7,FALSE),"-")</f>
        <v>48</v>
      </c>
      <c r="F5" s="2">
        <f>IFERROR(50+VLOOKUP($A5,'Xtal_SegEnds_Prot#'!$A:$AY,11,FALSE)-VLOOKUP($B5,'NonXtal_SegEnds_Prot#'!$A:$AL,7,FALSE),"-")</f>
        <v>51</v>
      </c>
      <c r="G5" s="2">
        <f>IFERROR(50+VLOOKUP($A5,'Xtal_SegEnds_Prot#'!$A:$AY,13,FALSE)-VLOOKUP($B5,'NonXtal_SegEnds_Prot#'!$A:$AL,10,FALSE),"-")</f>
        <v>37</v>
      </c>
      <c r="H5" s="2">
        <f>IFERROR(50+VLOOKUP($A5,'Xtal_SegEnds_Prot#'!$A:$AY,15,FALSE)-VLOOKUP($B5,'NonXtal_SegEnds_Prot#'!$A:$AL,10,FALSE),"-")</f>
        <v>65</v>
      </c>
      <c r="I5" s="2" t="str">
        <f>IFERROR(50+VLOOKUP($A5,'Xtal_SegEnds_Prot#'!$A:$AY,17,FALSE)-VLOOKUP($B5,'NonXtal_SegEnds_Prot#'!$A:$AL,13,FALSE),"-")</f>
        <v>-</v>
      </c>
      <c r="J5" s="2" t="str">
        <f>IFERROR(50+VLOOKUP($A5,'Xtal_SegEnds_Prot#'!$A:$AY,19,FALSE)-VLOOKUP($B5,'NonXtal_SegEnds_Prot#'!$A:$AL,13,FALSE),"-")</f>
        <v>-</v>
      </c>
      <c r="K5" s="2">
        <f>IFERROR(50+VLOOKUP($A5,'Xtal_SegEnds_Prot#'!$A:$AY,21,FALSE)-VLOOKUP($B5,'NonXtal_SegEnds_Prot#'!$A:$AL,16,FALSE),"-")</f>
        <v>18</v>
      </c>
      <c r="L5" s="2">
        <f>IFERROR(50+VLOOKUP($A5,'Xtal_SegEnds_Prot#'!$A:$AY,23,FALSE)-VLOOKUP($B5,'NonXtal_SegEnds_Prot#'!$A:$AL,16,FALSE),"-")</f>
        <v>56</v>
      </c>
      <c r="M5" s="2" t="str">
        <f>IFERROR(50+VLOOKUP($A5,'Xtal_SegEnds_Prot#'!$A:$AY,25,FALSE)-VLOOKUP($B5,'NonXtal_SegEnds_Prot#'!$A:$AL,19,FALSE),"-")</f>
        <v>-</v>
      </c>
      <c r="N5" s="2" t="str">
        <f>IFERROR(50+VLOOKUP($A5,'Xtal_SegEnds_Prot#'!$A:$AY,27,FALSE)-VLOOKUP($B5,'NonXtal_SegEnds_Prot#'!$A:$AL,19,FALSE),"-")</f>
        <v>-</v>
      </c>
      <c r="O5" s="2">
        <f>IFERROR(50+VLOOKUP($A5,'Xtal_SegEnds_Prot#'!$A:$AY,29,FALSE)-VLOOKUP($B5,'NonXtal_SegEnds_Prot#'!$A:$AL,22,FALSE),"-")</f>
        <v>40</v>
      </c>
      <c r="P5" s="2">
        <f>IFERROR(50+VLOOKUP($A5,'Xtal_SegEnds_Prot#'!$A:$AY,31,FALSE)-VLOOKUP($B5,'NonXtal_SegEnds_Prot#'!$A:$AL,22,FALSE),"-")</f>
        <v>68</v>
      </c>
      <c r="Q5" s="2">
        <f>IFERROR(50+VLOOKUP($A5,'Xtal_SegEnds_Prot#'!$A:$AY,33,FALSE)-VLOOKUP($B5,'NonXtal_SegEnds_Prot#'!$A:$AL,25,FALSE),"-")</f>
        <v>50</v>
      </c>
      <c r="R5" s="2">
        <f>IFERROR(50+VLOOKUP($A5,'Xtal_SegEnds_Prot#'!$A:$AY,35,FALSE)-VLOOKUP($B5,'NonXtal_SegEnds_Prot#'!$A:$AL,25,FALSE),"-")</f>
        <v>52</v>
      </c>
      <c r="S5" s="2">
        <f>IFERROR(50+VLOOKUP($A5,'Xtal_SegEnds_Prot#'!$A:$AY,37,FALSE)-VLOOKUP($B5,'NonXtal_SegEnds_Prot#'!$A:$AL,28,FALSE),"-")</f>
        <v>36</v>
      </c>
      <c r="T5" s="89">
        <f>IFERROR(50+VLOOKUP($A5,'Xtal_SegEnds_Prot#'!$A:$AY,39,FALSE)-VLOOKUP($B5,'NonXtal_SegEnds_Prot#'!$A:$AL,28,FALSE),"-")</f>
        <v>71</v>
      </c>
      <c r="U5" s="2">
        <f>IFERROR(50+VLOOKUP($A5,'Xtal_SegEnds_Prot#'!$A:$AY,41,FALSE)-VLOOKUP($B5,'NonXtal_SegEnds_Prot#'!$A:$AL,31,FALSE),"-")</f>
        <v>29</v>
      </c>
      <c r="V5" s="2">
        <f>IFERROR(50+VLOOKUP($A5,'Xtal_SegEnds_Prot#'!$A:$AY,43,FALSE)-VLOOKUP($B5,'NonXtal_SegEnds_Prot#'!$A:$AL,31,FALSE),"-")</f>
        <v>53</v>
      </c>
      <c r="W5" s="2">
        <f>IFERROR(50+VLOOKUP($A5,'Xtal_SegEnds_Prot#'!$A:$AY,45,FALSE)-VLOOKUP($B5,'NonXtal_SegEnds_Prot#'!$A:$AL,34,FALSE),"-")</f>
        <v>27</v>
      </c>
      <c r="X5" s="2">
        <f>IFERROR(50+VLOOKUP($A5,'Xtal_SegEnds_Prot#'!$A:$AY,47,FALSE)-VLOOKUP($B5,'NonXtal_SegEnds_Prot#'!$A:$AL,34,FALSE),"-")</f>
        <v>56</v>
      </c>
      <c r="Y5" s="2">
        <f>IFERROR(50+VLOOKUP($A5,'Xtal_SegEnds_Prot#'!$A:$AY,49,FALSE)-VLOOKUP($B5,'NonXtal_SegEnds_Prot#'!$A:$AL,37,FALSE),"-")</f>
        <v>47</v>
      </c>
      <c r="Z5" s="2">
        <f>IFERROR(50+VLOOKUP($A5,'Xtal_SegEnds_Prot#'!$A:$AY,51,FALSE)-VLOOKUP($B5,'NonXtal_SegEnds_Prot#'!$A:$AL,37,FALSE),"-")</f>
        <v>72</v>
      </c>
      <c r="AA5" s="102" t="str">
        <f>VLOOKUP(B5,Classification!A:D,2,FALSE)</f>
        <v>B1</v>
      </c>
      <c r="AB5" s="102">
        <f>VLOOKUP(B5,'NonXtal_SegEnds_Prot#'!A:AL,6,FALSE)-VLOOKUP(B5,'NonXtal_SegEnds_Prot#'!A:AL,5,FALSE)</f>
        <v>1</v>
      </c>
      <c r="AC5" s="102">
        <f>VLOOKUP(B5,'NonXtal_SegEnds_Prot#'!A:AL,9,FALSE)-VLOOKUP(B5,'NonXtal_SegEnds_Prot#'!A:AL,8,FALSE)</f>
        <v>1</v>
      </c>
      <c r="AD5" s="102" t="e">
        <f>VLOOKUP(B5,'NonXtal_SegEnds_Prot#'!A:AL,13,FALSE)-VLOOKUP(B5,'NonXtal_SegEnds_Prot#'!A:AL,10,FALSE)</f>
        <v>#VALUE!</v>
      </c>
      <c r="AE5" s="102" t="e">
        <f>VLOOKUP(B5,'NonXtal_SegEnds_Prot#'!A:AL,12,FALSE)-VLOOKUP(B5,'NonXtal_SegEnds_Prot#'!A:AL,11,FALSE)</f>
        <v>#VALUE!</v>
      </c>
      <c r="AF5" s="102" t="e">
        <f>VLOOKUP(B5,'NonXtal_SegEnds_Prot#'!A:AL,13,FALSE)-VLOOKUP(B5,'NonXtal_SegEnds_Prot#'!A:AL,11,FALSE)</f>
        <v>#VALUE!</v>
      </c>
      <c r="AG5" s="102">
        <f>VLOOKUP(B5,'NonXtal_SegEnds_Prot#'!A:AL,16,FALSE)-VLOOKUP(B5,'NonXtal_SegEnds_Prot#'!A:AL,10,FALSE)</f>
        <v>65</v>
      </c>
      <c r="AH5" s="102">
        <f>VLOOKUP(B5,'NonXtal_SegEnds_Prot#'!A:AL,16,FALSE)-VLOOKUP(B5,'NonXtal_SegEnds_Prot#'!A:AL,11,FALSE)</f>
        <v>50</v>
      </c>
      <c r="AI5" s="102" t="e">
        <f>VLOOKUP(B5,'NonXtal_SegEnds_Prot#'!A:AL,15,FALSE)-VLOOKUP(B5,'NonXtal_SegEnds_Prot#'!A:AL,14,FALSE)</f>
        <v>#VALUE!</v>
      </c>
      <c r="AJ5" s="102" t="e">
        <f>VLOOKUP(B5,'NonXtal_SegEnds_Prot#'!A:AL,18,FALSE)-VLOOKUP(B5,'NonXtal_SegEnds_Prot#'!A:AL,17,FALSE)</f>
        <v>#VALUE!</v>
      </c>
      <c r="AK5" s="2">
        <f>VLOOKUP(B5,'NonXtal_SegEnds_Prot#'!A:AL,34,FALSE)-VLOOKUP(B5,'NonXtal_SegEnds_Prot#'!A:AL,31,FALSE)</f>
        <v>33</v>
      </c>
      <c r="AL5" s="86"/>
    </row>
    <row r="6" spans="1:62" s="2" customFormat="1" x14ac:dyDescent="0.2">
      <c r="A6" s="2" t="s">
        <v>1479</v>
      </c>
      <c r="B6" s="2" t="s">
        <v>1392</v>
      </c>
      <c r="C6" s="2">
        <f>IFERROR(50+VLOOKUP($A6,'Xtal_SegEnds_Prot#'!$A:$AY,5,FALSE)-VLOOKUP($B6,'NonXtal_SegEnds_Prot#'!$A:$AL,4,FALSE),"-")</f>
        <v>33</v>
      </c>
      <c r="D6" s="2">
        <f>IFERROR(50+VLOOKUP($A6,'Xtal_SegEnds_Prot#'!$A:$AY,7,FALSE)-VLOOKUP($B6,'NonXtal_SegEnds_Prot#'!$A:$AL,4,FALSE),"-")</f>
        <v>64</v>
      </c>
      <c r="E6" s="2" t="str">
        <f>IFERROR(50+VLOOKUP($A6,'Xtal_SegEnds_Prot#'!$A:$AY,9,FALSE)-VLOOKUP($B6,'NonXtal_SegEnds_Prot#'!$A:$AL,7,FALSE),"-")</f>
        <v>-</v>
      </c>
      <c r="F6" s="2" t="str">
        <f>IFERROR(50+VLOOKUP($A6,'Xtal_SegEnds_Prot#'!$A:$AY,11,FALSE)-VLOOKUP($B6,'NonXtal_SegEnds_Prot#'!$A:$AL,7,FALSE),"-")</f>
        <v>-</v>
      </c>
      <c r="G6" s="2">
        <f>IFERROR(50+VLOOKUP($A6,'Xtal_SegEnds_Prot#'!$A:$AY,13,FALSE)-VLOOKUP($B6,'NonXtal_SegEnds_Prot#'!$A:$AL,10,FALSE),"-")</f>
        <v>37</v>
      </c>
      <c r="H6" s="2">
        <f>IFERROR(50+VLOOKUP($A6,'Xtal_SegEnds_Prot#'!$A:$AY,15,FALSE)-VLOOKUP($B6,'NonXtal_SegEnds_Prot#'!$A:$AL,10,FALSE),"-")</f>
        <v>66</v>
      </c>
      <c r="I6" s="2">
        <f>IFERROR(50+VLOOKUP($A6,'Xtal_SegEnds_Prot#'!$A:$AY,17,FALSE)-VLOOKUP($B6,'NonXtal_SegEnds_Prot#'!$A:$AL,13,FALSE),"-")</f>
        <v>49</v>
      </c>
      <c r="J6" s="2">
        <f>IFERROR(50+VLOOKUP($A6,'Xtal_SegEnds_Prot#'!$A:$AY,19,FALSE)-VLOOKUP($B6,'NonXtal_SegEnds_Prot#'!$A:$AL,13,FALSE),"-")</f>
        <v>52</v>
      </c>
      <c r="K6" s="2">
        <f>IFERROR(50+VLOOKUP($A6,'Xtal_SegEnds_Prot#'!$A:$AY,21,FALSE)-VLOOKUP($B6,'NonXtal_SegEnds_Prot#'!$A:$AL,16,FALSE),"-")</f>
        <v>21</v>
      </c>
      <c r="L6" s="2">
        <f>IFERROR(50+VLOOKUP($A6,'Xtal_SegEnds_Prot#'!$A:$AY,23,FALSE)-VLOOKUP($B6,'NonXtal_SegEnds_Prot#'!$A:$AL,16,FALSE),"-")</f>
        <v>56</v>
      </c>
      <c r="M6" s="2">
        <f>IFERROR(50+VLOOKUP($A6,'Xtal_SegEnds_Prot#'!$A:$AY,25,FALSE)-VLOOKUP($B6,'NonXtal_SegEnds_Prot#'!$A:$AL,19,FALSE),"-")</f>
        <v>50</v>
      </c>
      <c r="N6" s="2">
        <f>IFERROR(50+VLOOKUP($A6,'Xtal_SegEnds_Prot#'!$A:$AY,27,FALSE)-VLOOKUP($B6,'NonXtal_SegEnds_Prot#'!$A:$AL,19,FALSE),"-")</f>
        <v>57</v>
      </c>
      <c r="O6" s="2">
        <f>IFERROR(50+VLOOKUP($A6,'Xtal_SegEnds_Prot#'!$A:$AY,29,FALSE)-VLOOKUP($B6,'NonXtal_SegEnds_Prot#'!$A:$AL,22,FALSE),"-")</f>
        <v>39</v>
      </c>
      <c r="P6" s="2">
        <f>IFERROR(50+VLOOKUP($A6,'Xtal_SegEnds_Prot#'!$A:$AY,31,FALSE)-VLOOKUP($B6,'NonXtal_SegEnds_Prot#'!$A:$AL,22,FALSE),"-")</f>
        <v>64</v>
      </c>
      <c r="Q6" s="2">
        <f>IFERROR(50+VLOOKUP($A6,'Xtal_SegEnds_Prot#'!$A:$AY,33,FALSE)-VLOOKUP($B6,'NonXtal_SegEnds_Prot#'!$A:$AL,25,FALSE),"-")</f>
        <v>50</v>
      </c>
      <c r="R6" s="2">
        <f>IFERROR(50+VLOOKUP($A6,'Xtal_SegEnds_Prot#'!$A:$AY,35,FALSE)-VLOOKUP($B6,'NonXtal_SegEnds_Prot#'!$A:$AL,25,FALSE),"-")</f>
        <v>52</v>
      </c>
      <c r="S6" s="2">
        <f>IFERROR(50+VLOOKUP($A6,'Xtal_SegEnds_Prot#'!$A:$AY,37,FALSE)-VLOOKUP($B6,'NonXtal_SegEnds_Prot#'!$A:$AL,28,FALSE),"-")</f>
        <v>32</v>
      </c>
      <c r="T6" s="89">
        <f>IFERROR(50+VLOOKUP($A6,'Xtal_SegEnds_Prot#'!$A:$AY,39,FALSE)-VLOOKUP($B6,'NonXtal_SegEnds_Prot#'!$A:$AL,28,FALSE),"-")</f>
        <v>67</v>
      </c>
      <c r="U6" s="2">
        <f>IFERROR(50+VLOOKUP($A6,'Xtal_SegEnds_Prot#'!$A:$AY,41,FALSE)-VLOOKUP($B6,'NonXtal_SegEnds_Prot#'!$A:$AL,31,FALSE),"-")</f>
        <v>28</v>
      </c>
      <c r="V6" s="2">
        <f>IFERROR(50+VLOOKUP($A6,'Xtal_SegEnds_Prot#'!$A:$AY,43,FALSE)-VLOOKUP($B6,'NonXtal_SegEnds_Prot#'!$A:$AL,31,FALSE),"-")</f>
        <v>61</v>
      </c>
      <c r="W6" s="2">
        <f>IFERROR(50+VLOOKUP($A6,'Xtal_SegEnds_Prot#'!$A:$AY,45,FALSE)-VLOOKUP($B6,'NonXtal_SegEnds_Prot#'!$A:$AL,34,FALSE),"-")</f>
        <v>32</v>
      </c>
      <c r="X6" s="2">
        <f>IFERROR(50+VLOOKUP($A6,'Xtal_SegEnds_Prot#'!$A:$AY,47,FALSE)-VLOOKUP($B6,'NonXtal_SegEnds_Prot#'!$A:$AL,34,FALSE),"-")</f>
        <v>56</v>
      </c>
      <c r="Y6" s="2">
        <f>IFERROR(50+VLOOKUP($A6,'Xtal_SegEnds_Prot#'!$A:$AY,49,FALSE)-VLOOKUP($B6,'NonXtal_SegEnds_Prot#'!$A:$AL,37,FALSE),"-")</f>
        <v>47</v>
      </c>
      <c r="Z6" s="2">
        <f>IFERROR(50+VLOOKUP($A6,'Xtal_SegEnds_Prot#'!$A:$AY,51,FALSE)-VLOOKUP($B6,'NonXtal_SegEnds_Prot#'!$A:$AL,37,FALSE),"-")</f>
        <v>61</v>
      </c>
      <c r="AA6" s="102" t="str">
        <f>VLOOKUP(B6,Classification!A:D,2,FALSE)</f>
        <v>A</v>
      </c>
      <c r="AB6" s="102" t="e">
        <f>VLOOKUP(B6,'NonXtal_SegEnds_Prot#'!A:AL,6,FALSE)-VLOOKUP(B6,'NonXtal_SegEnds_Prot#'!A:AL,5,FALSE)</f>
        <v>#VALUE!</v>
      </c>
      <c r="AC6" s="102" t="e">
        <f>VLOOKUP(B6,'NonXtal_SegEnds_Prot#'!A:AL,9,FALSE)-VLOOKUP(B6,'NonXtal_SegEnds_Prot#'!A:AL,8,FALSE)</f>
        <v>#VALUE!</v>
      </c>
      <c r="AD6" s="102">
        <f>VLOOKUP(B6,'NonXtal_SegEnds_Prot#'!A:AL,13,FALSE)-VLOOKUP(B6,'NonXtal_SegEnds_Prot#'!A:AL,10,FALSE)</f>
        <v>20</v>
      </c>
      <c r="AE6" s="102">
        <f>VLOOKUP(B6,'NonXtal_SegEnds_Prot#'!A:AL,12,FALSE)-VLOOKUP(B6,'NonXtal_SegEnds_Prot#'!A:AL,11,FALSE)</f>
        <v>3</v>
      </c>
      <c r="AF6" s="102">
        <f>VLOOKUP(B6,'NonXtal_SegEnds_Prot#'!A:AL,13,FALSE)-VLOOKUP(B6,'NonXtal_SegEnds_Prot#'!A:AL,11,FALSE)</f>
        <v>4</v>
      </c>
      <c r="AG6" s="102">
        <f>VLOOKUP(B6,'NonXtal_SegEnds_Prot#'!A:AL,16,FALSE)-VLOOKUP(B6,'NonXtal_SegEnds_Prot#'!A:AL,10,FALSE)</f>
        <v>52</v>
      </c>
      <c r="AH6" s="102">
        <f>VLOOKUP(B6,'NonXtal_SegEnds_Prot#'!A:AL,16,FALSE)-VLOOKUP(B6,'NonXtal_SegEnds_Prot#'!A:AL,11,FALSE)</f>
        <v>36</v>
      </c>
      <c r="AI6" s="102">
        <f>VLOOKUP(B6,'NonXtal_SegEnds_Prot#'!A:AL,15,FALSE)-VLOOKUP(B6,'NonXtal_SegEnds_Prot#'!A:AL,14,FALSE)</f>
        <v>1</v>
      </c>
      <c r="AJ6" s="102">
        <f>VLOOKUP(B6,'NonXtal_SegEnds_Prot#'!A:AL,18,FALSE)-VLOOKUP(B6,'NonXtal_SegEnds_Prot#'!A:AL,17,FALSE)</f>
        <v>1</v>
      </c>
      <c r="AK6" s="2">
        <f>VLOOKUP(B6,'NonXtal_SegEnds_Prot#'!A:AL,34,FALSE)-VLOOKUP(B6,'NonXtal_SegEnds_Prot#'!A:AL,31,FALSE)</f>
        <v>34</v>
      </c>
      <c r="AL6" s="86"/>
      <c r="AM6" s="2" t="s">
        <v>1505</v>
      </c>
      <c r="AN6" s="2" t="s">
        <v>1507</v>
      </c>
    </row>
    <row r="7" spans="1:62" x14ac:dyDescent="0.2">
      <c r="A7" s="2" t="s">
        <v>1470</v>
      </c>
      <c r="B7" s="2" t="s">
        <v>1106</v>
      </c>
      <c r="C7" s="2">
        <f>IFERROR(50+VLOOKUP($A7,'Xtal_SegEnds_Prot#'!$A:$AY,5,FALSE)-VLOOKUP($B7,'NonXtal_SegEnds_Prot#'!$A:$AL,4,FALSE),"-")</f>
        <v>29</v>
      </c>
      <c r="D7" s="2">
        <f>IFERROR(50+VLOOKUP($A7,'Xtal_SegEnds_Prot#'!$A:$AY,7,FALSE)-VLOOKUP($B7,'NonXtal_SegEnds_Prot#'!$A:$AL,4,FALSE),"-")</f>
        <v>60</v>
      </c>
      <c r="E7" s="2">
        <f>IFERROR(50+VLOOKUP($A7,'Xtal_SegEnds_Prot#'!$A:$AY,9,FALSE)-VLOOKUP($B7,'NonXtal_SegEnds_Prot#'!$A:$AL,7,FALSE),"-")</f>
        <v>48</v>
      </c>
      <c r="F7" s="2">
        <f>IFERROR(50+VLOOKUP($A7,'Xtal_SegEnds_Prot#'!$A:$AY,11,FALSE)-VLOOKUP($B7,'NonXtal_SegEnds_Prot#'!$A:$AL,7,FALSE),"-")</f>
        <v>51</v>
      </c>
      <c r="G7" s="2">
        <f>IFERROR(50+VLOOKUP($A7,'Xtal_SegEnds_Prot#'!$A:$AY,13,FALSE)-VLOOKUP($B7,'NonXtal_SegEnds_Prot#'!$A:$AL,10,FALSE),"-")</f>
        <v>37</v>
      </c>
      <c r="H7" s="2">
        <f>IFERROR(50+VLOOKUP($A7,'Xtal_SegEnds_Prot#'!$A:$AY,15,FALSE)-VLOOKUP($B7,'NonXtal_SegEnds_Prot#'!$A:$AL,10,FALSE),"-")</f>
        <v>67</v>
      </c>
      <c r="I7" s="2">
        <f>IFERROR(50+VLOOKUP($A7,'Xtal_SegEnds_Prot#'!$A:$AY,17,FALSE)-VLOOKUP($B7,'NonXtal_SegEnds_Prot#'!$A:$AL,13,FALSE),"-")</f>
        <v>49</v>
      </c>
      <c r="J7" s="2">
        <f>IFERROR(50+VLOOKUP($A7,'Xtal_SegEnds_Prot#'!$A:$AY,19,FALSE)-VLOOKUP($B7,'NonXtal_SegEnds_Prot#'!$A:$AL,13,FALSE),"-")</f>
        <v>52</v>
      </c>
      <c r="K7" s="2">
        <f>IFERROR(50+VLOOKUP($A7,'Xtal_SegEnds_Prot#'!$A:$AY,21,FALSE)-VLOOKUP($B7,'NonXtal_SegEnds_Prot#'!$A:$AL,16,FALSE),"-")</f>
        <v>21</v>
      </c>
      <c r="L7" s="2">
        <f>IFERROR(50+VLOOKUP($A7,'Xtal_SegEnds_Prot#'!$A:$AY,23,FALSE)-VLOOKUP($B7,'NonXtal_SegEnds_Prot#'!$A:$AL,16,FALSE),"-")</f>
        <v>56</v>
      </c>
      <c r="M7" s="2">
        <f>IFERROR(50+VLOOKUP($A7,'Xtal_SegEnds_Prot#'!$A:$AY,25,FALSE)-VLOOKUP($B7,'NonXtal_SegEnds_Prot#'!$A:$AL,19,FALSE),"-")</f>
        <v>50</v>
      </c>
      <c r="N7" s="2">
        <f>IFERROR(50+VLOOKUP($A7,'Xtal_SegEnds_Prot#'!$A:$AY,27,FALSE)-VLOOKUP($B7,'NonXtal_SegEnds_Prot#'!$A:$AL,19,FALSE),"-")</f>
        <v>57</v>
      </c>
      <c r="O7" s="2">
        <f>IFERROR(50+VLOOKUP($A7,'Xtal_SegEnds_Prot#'!$A:$AY,29,FALSE)-VLOOKUP($B7,'NonXtal_SegEnds_Prot#'!$A:$AL,22,FALSE),"-")</f>
        <v>39</v>
      </c>
      <c r="P7" s="2">
        <f>IFERROR(50+VLOOKUP($A7,'Xtal_SegEnds_Prot#'!$A:$AY,31,FALSE)-VLOOKUP($B7,'NonXtal_SegEnds_Prot#'!$A:$AL,22,FALSE),"-")</f>
        <v>69</v>
      </c>
      <c r="Q7" s="2">
        <f>IFERROR(50+VLOOKUP($A7,'Xtal_SegEnds_Prot#'!$A:$AY,33,FALSE)-VLOOKUP($B7,'NonXtal_SegEnds_Prot#'!$A:$AL,25,FALSE),"-")</f>
        <v>50</v>
      </c>
      <c r="R7" s="2">
        <f>IFERROR(50+VLOOKUP($A7,'Xtal_SegEnds_Prot#'!$A:$AY,35,FALSE)-VLOOKUP($B7,'NonXtal_SegEnds_Prot#'!$A:$AL,25,FALSE),"-")</f>
        <v>52</v>
      </c>
      <c r="S7" s="2">
        <f>IFERROR(50+VLOOKUP($A7,'Xtal_SegEnds_Prot#'!$A:$AY,37,FALSE)-VLOOKUP($B7,'NonXtal_SegEnds_Prot#'!$A:$AL,28,FALSE),"-")</f>
        <v>35</v>
      </c>
      <c r="T7" s="89">
        <f>IFERROR(50+VLOOKUP($A7,'Xtal_SegEnds_Prot#'!$A:$AY,39,FALSE)-VLOOKUP($B7,'NonXtal_SegEnds_Prot#'!$A:$AL,28,FALSE),"-")</f>
        <v>75</v>
      </c>
      <c r="U7" s="2">
        <f>IFERROR(50+VLOOKUP($A7,'Xtal_SegEnds_Prot#'!$A:$AY,41,FALSE)-VLOOKUP($B7,'NonXtal_SegEnds_Prot#'!$A:$AL,31,FALSE),"-")</f>
        <v>24</v>
      </c>
      <c r="V7" s="2">
        <f>IFERROR(50+VLOOKUP($A7,'Xtal_SegEnds_Prot#'!$A:$AY,43,FALSE)-VLOOKUP($B7,'NonXtal_SegEnds_Prot#'!$A:$AL,31,FALSE),"-")</f>
        <v>61</v>
      </c>
      <c r="W7" s="2">
        <f>IFERROR(50+VLOOKUP($A7,'Xtal_SegEnds_Prot#'!$A:$AY,45,FALSE)-VLOOKUP($B7,'NonXtal_SegEnds_Prot#'!$A:$AL,34,FALSE),"-")</f>
        <v>31</v>
      </c>
      <c r="X7" s="2">
        <f>IFERROR(50+VLOOKUP($A7,'Xtal_SegEnds_Prot#'!$A:$AY,47,FALSE)-VLOOKUP($B7,'NonXtal_SegEnds_Prot#'!$A:$AL,34,FALSE),"-")</f>
        <v>56</v>
      </c>
      <c r="Y7" s="2">
        <f>IFERROR(50+VLOOKUP($A7,'Xtal_SegEnds_Prot#'!$A:$AY,49,FALSE)-VLOOKUP($B7,'NonXtal_SegEnds_Prot#'!$A:$AL,37,FALSE),"-")</f>
        <v>47</v>
      </c>
      <c r="Z7" s="2">
        <f>IFERROR(50+VLOOKUP($A7,'Xtal_SegEnds_Prot#'!$A:$AY,51,FALSE)-VLOOKUP($B7,'NonXtal_SegEnds_Prot#'!$A:$AL,37,FALSE),"-")</f>
        <v>58</v>
      </c>
      <c r="AA7" s="102" t="str">
        <f>VLOOKUP(B7,Classification!A:D,2,FALSE)</f>
        <v>A</v>
      </c>
      <c r="AB7" s="102">
        <f>VLOOKUP(B7,'NonXtal_SegEnds_Prot#'!A:AL,6,FALSE)-VLOOKUP(B7,'NonXtal_SegEnds_Prot#'!A:AL,5,FALSE)</f>
        <v>1</v>
      </c>
      <c r="AC7" s="102">
        <f>VLOOKUP(B7,'NonXtal_SegEnds_Prot#'!A:AL,9,FALSE)-VLOOKUP(B7,'NonXtal_SegEnds_Prot#'!A:AL,8,FALSE)</f>
        <v>1</v>
      </c>
      <c r="AD7" s="102">
        <f>VLOOKUP(B7,'NonXtal_SegEnds_Prot#'!A:AL,13,FALSE)-VLOOKUP(B7,'NonXtal_SegEnds_Prot#'!A:AL,10,FALSE)</f>
        <v>20</v>
      </c>
      <c r="AE7" s="102">
        <f>VLOOKUP(B7,'NonXtal_SegEnds_Prot#'!A:AL,12,FALSE)-VLOOKUP(B7,'NonXtal_SegEnds_Prot#'!A:AL,11,FALSE)</f>
        <v>2</v>
      </c>
      <c r="AF7" s="102">
        <f>VLOOKUP(B7,'NonXtal_SegEnds_Prot#'!A:AL,13,FALSE)-VLOOKUP(B7,'NonXtal_SegEnds_Prot#'!A:AL,11,FALSE)</f>
        <v>3</v>
      </c>
      <c r="AG7" s="102">
        <f>VLOOKUP(B7,'NonXtal_SegEnds_Prot#'!A:AL,16,FALSE)-VLOOKUP(B7,'NonXtal_SegEnds_Prot#'!A:AL,10,FALSE)</f>
        <v>52</v>
      </c>
      <c r="AH7" s="102">
        <f>VLOOKUP(B7,'NonXtal_SegEnds_Prot#'!A:AL,16,FALSE)-VLOOKUP(B7,'NonXtal_SegEnds_Prot#'!A:AL,11,FALSE)</f>
        <v>35</v>
      </c>
      <c r="AI7" s="102">
        <f>VLOOKUP(B7,'NonXtal_SegEnds_Prot#'!A:AL,15,FALSE)-VLOOKUP(B7,'NonXtal_SegEnds_Prot#'!A:AL,14,FALSE)</f>
        <v>1</v>
      </c>
      <c r="AJ7" s="102">
        <f>VLOOKUP(B7,'NonXtal_SegEnds_Prot#'!A:AL,18,FALSE)-VLOOKUP(B7,'NonXtal_SegEnds_Prot#'!A:AL,17,FALSE)</f>
        <v>1</v>
      </c>
      <c r="AK7" s="2">
        <f>VLOOKUP(B7,'NonXtal_SegEnds_Prot#'!A:AL,34,FALSE)-VLOOKUP(B7,'NonXtal_SegEnds_Prot#'!A:AL,31,FALSE)</f>
        <v>35</v>
      </c>
      <c r="AL7" s="86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</row>
    <row r="8" spans="1:62" s="2" customFormat="1" x14ac:dyDescent="0.2">
      <c r="A8" s="2" t="s">
        <v>1484</v>
      </c>
      <c r="B8" s="2" t="s">
        <v>297</v>
      </c>
      <c r="C8" s="2">
        <f>IFERROR(50+VLOOKUP($A8,'Xtal_SegEnds_Prot#'!$A:$AY,5,FALSE)-VLOOKUP($B8,'NonXtal_SegEnds_Prot#'!$A:$AL,4,FALSE),"-")</f>
        <v>30</v>
      </c>
      <c r="D8" s="2">
        <f>IFERROR(50+VLOOKUP($A8,'Xtal_SegEnds_Prot#'!$A:$AY,7,FALSE)-VLOOKUP($B8,'NonXtal_SegEnds_Prot#'!$A:$AL,4,FALSE),"-")</f>
        <v>60</v>
      </c>
      <c r="E8" s="2">
        <f>IFERROR(50+VLOOKUP($A8,'Xtal_SegEnds_Prot#'!$A:$AY,9,FALSE)-VLOOKUP($B8,'NonXtal_SegEnds_Prot#'!$A:$AL,7,FALSE),"-")</f>
        <v>48</v>
      </c>
      <c r="F8" s="2">
        <f>IFERROR(50+VLOOKUP($A8,'Xtal_SegEnds_Prot#'!$A:$AY,11,FALSE)-VLOOKUP($B8,'NonXtal_SegEnds_Prot#'!$A:$AL,7,FALSE),"-")</f>
        <v>51</v>
      </c>
      <c r="G8" s="2">
        <f>IFERROR(50+VLOOKUP($A8,'Xtal_SegEnds_Prot#'!$A:$AY,13,FALSE)-VLOOKUP($B8,'NonXtal_SegEnds_Prot#'!$A:$AL,10,FALSE),"-")</f>
        <v>37</v>
      </c>
      <c r="H8" s="2">
        <f>IFERROR(50+VLOOKUP($A8,'Xtal_SegEnds_Prot#'!$A:$AY,15,FALSE)-VLOOKUP($B8,'NonXtal_SegEnds_Prot#'!$A:$AL,10,FALSE),"-")</f>
        <v>63</v>
      </c>
      <c r="I8" s="2">
        <f>IFERROR(50+VLOOKUP($A8,'Xtal_SegEnds_Prot#'!$A:$AY,17,FALSE)-VLOOKUP($B8,'NonXtal_SegEnds_Prot#'!$A:$AL,13,FALSE),"-")</f>
        <v>47</v>
      </c>
      <c r="J8" s="2">
        <f>IFERROR(50+VLOOKUP($A8,'Xtal_SegEnds_Prot#'!$A:$AY,19,FALSE)-VLOOKUP($B8,'NonXtal_SegEnds_Prot#'!$A:$AL,13,FALSE),"-")</f>
        <v>53</v>
      </c>
      <c r="K8" s="2">
        <f>IFERROR(50+VLOOKUP($A8,'Xtal_SegEnds_Prot#'!$A:$AY,21,FALSE)-VLOOKUP($B8,'NonXtal_SegEnds_Prot#'!$A:$AL,16,FALSE),"-")</f>
        <v>21</v>
      </c>
      <c r="L8" s="2">
        <f>IFERROR(50+VLOOKUP($A8,'Xtal_SegEnds_Prot#'!$A:$AY,23,FALSE)-VLOOKUP($B8,'NonXtal_SegEnds_Prot#'!$A:$AL,16,FALSE),"-")</f>
        <v>56</v>
      </c>
      <c r="M8" s="2">
        <f>IFERROR(50+VLOOKUP($A8,'Xtal_SegEnds_Prot#'!$A:$AY,25,FALSE)-VLOOKUP($B8,'NonXtal_SegEnds_Prot#'!$A:$AL,19,FALSE),"-")</f>
        <v>50</v>
      </c>
      <c r="N8" s="2">
        <f>IFERROR(50+VLOOKUP($A8,'Xtal_SegEnds_Prot#'!$A:$AY,27,FALSE)-VLOOKUP($B8,'NonXtal_SegEnds_Prot#'!$A:$AL,19,FALSE),"-")</f>
        <v>57</v>
      </c>
      <c r="O8" s="2">
        <f>IFERROR(50+VLOOKUP($A8,'Xtal_SegEnds_Prot#'!$A:$AY,29,FALSE)-VLOOKUP($B8,'NonXtal_SegEnds_Prot#'!$A:$AL,22,FALSE),"-")</f>
        <v>39</v>
      </c>
      <c r="P8" s="2">
        <f>IFERROR(50+VLOOKUP($A8,'Xtal_SegEnds_Prot#'!$A:$AY,31,FALSE)-VLOOKUP($B8,'NonXtal_SegEnds_Prot#'!$A:$AL,22,FALSE),"-")</f>
        <v>63</v>
      </c>
      <c r="Q8" s="2" t="str">
        <f>IFERROR(50+VLOOKUP($A8,'Xtal_SegEnds_Prot#'!$A:$AY,33,FALSE)-VLOOKUP($B8,'NonXtal_SegEnds_Prot#'!$A:$AL,25,FALSE),"-")</f>
        <v>-</v>
      </c>
      <c r="R8" s="2" t="str">
        <f>IFERROR(50+VLOOKUP($A8,'Xtal_SegEnds_Prot#'!$A:$AY,35,FALSE)-VLOOKUP($B8,'NonXtal_SegEnds_Prot#'!$A:$AL,25,FALSE),"-")</f>
        <v>-</v>
      </c>
      <c r="S8" s="2">
        <f>IFERROR(50+VLOOKUP($A8,'Xtal_SegEnds_Prot#'!$A:$AY,37,FALSE)-VLOOKUP($B8,'NonXtal_SegEnds_Prot#'!$A:$AL,28,FALSE),"-")</f>
        <v>36</v>
      </c>
      <c r="T8" s="89">
        <f>IFERROR(50+VLOOKUP($A8,'Xtal_SegEnds_Prot#'!$A:$AY,39,FALSE)-VLOOKUP($B8,'NonXtal_SegEnds_Prot#'!$A:$AL,28,FALSE),"-")</f>
        <v>73</v>
      </c>
      <c r="U8" s="2">
        <f>IFERROR(50+VLOOKUP($A8,'Xtal_SegEnds_Prot#'!$A:$AY,41,FALSE)-VLOOKUP($B8,'NonXtal_SegEnds_Prot#'!$A:$AL,31,FALSE),"-")</f>
        <v>22</v>
      </c>
      <c r="V8" s="2">
        <f>IFERROR(50+VLOOKUP($A8,'Xtal_SegEnds_Prot#'!$A:$AY,43,FALSE)-VLOOKUP($B8,'NonXtal_SegEnds_Prot#'!$A:$AL,31,FALSE),"-")</f>
        <v>61</v>
      </c>
      <c r="W8" s="2">
        <f>IFERROR(50+VLOOKUP($A8,'Xtal_SegEnds_Prot#'!$A:$AY,45,FALSE)-VLOOKUP($B8,'NonXtal_SegEnds_Prot#'!$A:$AL,34,FALSE),"-")</f>
        <v>30</v>
      </c>
      <c r="X8" s="2">
        <f>IFERROR(50+VLOOKUP($A8,'Xtal_SegEnds_Prot#'!$A:$AY,47,FALSE)-VLOOKUP($B8,'NonXtal_SegEnds_Prot#'!$A:$AL,34,FALSE),"-")</f>
        <v>56</v>
      </c>
      <c r="Y8" s="2">
        <f>IFERROR(50+VLOOKUP($A8,'Xtal_SegEnds_Prot#'!$A:$AY,49,FALSE)-VLOOKUP($B8,'NonXtal_SegEnds_Prot#'!$A:$AL,37,FALSE),"-")</f>
        <v>47</v>
      </c>
      <c r="Z8" s="2">
        <f>IFERROR(50+VLOOKUP($A8,'Xtal_SegEnds_Prot#'!$A:$AY,51,FALSE)-VLOOKUP($B8,'NonXtal_SegEnds_Prot#'!$A:$AL,37,FALSE),"-")</f>
        <v>59</v>
      </c>
      <c r="AA8" s="102" t="str">
        <f>VLOOKUP(B8,Classification!A:D,2,FALSE)</f>
        <v>A</v>
      </c>
      <c r="AB8" s="102">
        <f>VLOOKUP(B8,'NonXtal_SegEnds_Prot#'!A:AL,6,FALSE)-VLOOKUP(B8,'NonXtal_SegEnds_Prot#'!A:AL,5,FALSE)</f>
        <v>1</v>
      </c>
      <c r="AC8" s="102">
        <f>VLOOKUP(B8,'NonXtal_SegEnds_Prot#'!A:AL,9,FALSE)-VLOOKUP(B8,'NonXtal_SegEnds_Prot#'!A:AL,8,FALSE)</f>
        <v>1</v>
      </c>
      <c r="AD8" s="102">
        <f>VLOOKUP(B8,'NonXtal_SegEnds_Prot#'!A:AL,13,FALSE)-VLOOKUP(B8,'NonXtal_SegEnds_Prot#'!A:AL,10,FALSE)</f>
        <v>18</v>
      </c>
      <c r="AE8" s="102">
        <f>VLOOKUP(B8,'NonXtal_SegEnds_Prot#'!A:AL,12,FALSE)-VLOOKUP(B8,'NonXtal_SegEnds_Prot#'!A:AL,11,FALSE)</f>
        <v>2</v>
      </c>
      <c r="AF8" s="102">
        <f>VLOOKUP(B8,'NonXtal_SegEnds_Prot#'!A:AL,13,FALSE)-VLOOKUP(B8,'NonXtal_SegEnds_Prot#'!A:AL,11,FALSE)</f>
        <v>5</v>
      </c>
      <c r="AG8" s="102">
        <f>VLOOKUP(B8,'NonXtal_SegEnds_Prot#'!A:AL,16,FALSE)-VLOOKUP(B8,'NonXtal_SegEnds_Prot#'!A:AL,10,FALSE)</f>
        <v>51</v>
      </c>
      <c r="AH8" s="102">
        <f>VLOOKUP(B8,'NonXtal_SegEnds_Prot#'!A:AL,16,FALSE)-VLOOKUP(B8,'NonXtal_SegEnds_Prot#'!A:AL,11,FALSE)</f>
        <v>38</v>
      </c>
      <c r="AI8" s="102">
        <f>VLOOKUP(B8,'NonXtal_SegEnds_Prot#'!A:AL,15,FALSE)-VLOOKUP(B8,'NonXtal_SegEnds_Prot#'!A:AL,14,FALSE)</f>
        <v>1</v>
      </c>
      <c r="AJ8" s="102">
        <f>VLOOKUP(B8,'NonXtal_SegEnds_Prot#'!A:AL,18,FALSE)-VLOOKUP(B8,'NonXtal_SegEnds_Prot#'!A:AL,17,FALSE)</f>
        <v>1</v>
      </c>
      <c r="AK8" s="2">
        <f>VLOOKUP(B8,'NonXtal_SegEnds_Prot#'!A:AL,34,FALSE)-VLOOKUP(B8,'NonXtal_SegEnds_Prot#'!A:AL,31,FALSE)</f>
        <v>35</v>
      </c>
      <c r="AL8" s="86"/>
    </row>
    <row r="9" spans="1:62" s="2" customFormat="1" x14ac:dyDescent="0.2">
      <c r="A9" s="2" t="s">
        <v>1472</v>
      </c>
      <c r="B9" s="2" t="s">
        <v>1108</v>
      </c>
      <c r="C9" s="2">
        <f>IFERROR(50+VLOOKUP($A9,'Xtal_SegEnds_Prot#'!$A:$AY,5,FALSE)-VLOOKUP($B9,'NonXtal_SegEnds_Prot#'!$A:$AL,4,FALSE),"-")</f>
        <v>24</v>
      </c>
      <c r="D9" s="2">
        <f>IFERROR(50+VLOOKUP($A9,'Xtal_SegEnds_Prot#'!$A:$AY,7,FALSE)-VLOOKUP($B9,'NonXtal_SegEnds_Prot#'!$A:$AL,4,FALSE),"-")</f>
        <v>60</v>
      </c>
      <c r="E9" s="2">
        <f>IFERROR(50+VLOOKUP($A9,'Xtal_SegEnds_Prot#'!$A:$AY,9,FALSE)-VLOOKUP($B9,'NonXtal_SegEnds_Prot#'!$A:$AL,7,FALSE),"-")</f>
        <v>48</v>
      </c>
      <c r="F9" s="2">
        <f>IFERROR(50+VLOOKUP($A9,'Xtal_SegEnds_Prot#'!$A:$AY,11,FALSE)-VLOOKUP($B9,'NonXtal_SegEnds_Prot#'!$A:$AL,7,FALSE),"-")</f>
        <v>51</v>
      </c>
      <c r="G9" s="2">
        <f>IFERROR(50+VLOOKUP($A9,'Xtal_SegEnds_Prot#'!$A:$AY,13,FALSE)-VLOOKUP($B9,'NonXtal_SegEnds_Prot#'!$A:$AL,10,FALSE),"-")</f>
        <v>37</v>
      </c>
      <c r="H9" s="2">
        <f>IFERROR(50+VLOOKUP($A9,'Xtal_SegEnds_Prot#'!$A:$AY,15,FALSE)-VLOOKUP($B9,'NonXtal_SegEnds_Prot#'!$A:$AL,10,FALSE),"-")</f>
        <v>67</v>
      </c>
      <c r="I9" s="2">
        <f>IFERROR(50+VLOOKUP($A9,'Xtal_SegEnds_Prot#'!$A:$AY,17,FALSE)-VLOOKUP($B9,'NonXtal_SegEnds_Prot#'!$A:$AL,13,FALSE),"-")</f>
        <v>49</v>
      </c>
      <c r="J9" s="2">
        <f>IFERROR(50+VLOOKUP($A9,'Xtal_SegEnds_Prot#'!$A:$AY,19,FALSE)-VLOOKUP($B9,'NonXtal_SegEnds_Prot#'!$A:$AL,13,FALSE),"-")</f>
        <v>52</v>
      </c>
      <c r="K9" s="2">
        <f>IFERROR(50+VLOOKUP($A9,'Xtal_SegEnds_Prot#'!$A:$AY,21,FALSE)-VLOOKUP($B9,'NonXtal_SegEnds_Prot#'!$A:$AL,16,FALSE),"-")</f>
        <v>21</v>
      </c>
      <c r="L9" s="2">
        <f>IFERROR(50+VLOOKUP($A9,'Xtal_SegEnds_Prot#'!$A:$AY,23,FALSE)-VLOOKUP($B9,'NonXtal_SegEnds_Prot#'!$A:$AL,16,FALSE),"-")</f>
        <v>56</v>
      </c>
      <c r="M9" s="2">
        <f>IFERROR(50+VLOOKUP($A9,'Xtal_SegEnds_Prot#'!$A:$AY,25,FALSE)-VLOOKUP($B9,'NonXtal_SegEnds_Prot#'!$A:$AL,19,FALSE),"-")</f>
        <v>50</v>
      </c>
      <c r="N9" s="2">
        <f>IFERROR(50+VLOOKUP($A9,'Xtal_SegEnds_Prot#'!$A:$AY,27,FALSE)-VLOOKUP($B9,'NonXtal_SegEnds_Prot#'!$A:$AL,19,FALSE),"-")</f>
        <v>57</v>
      </c>
      <c r="O9" s="2">
        <f>IFERROR(50+VLOOKUP($A9,'Xtal_SegEnds_Prot#'!$A:$AY,29,FALSE)-VLOOKUP($B9,'NonXtal_SegEnds_Prot#'!$A:$AL,22,FALSE),"-")</f>
        <v>39</v>
      </c>
      <c r="P9" s="2">
        <f>IFERROR(50+VLOOKUP($A9,'Xtal_SegEnds_Prot#'!$A:$AY,31,FALSE)-VLOOKUP($B9,'NonXtal_SegEnds_Prot#'!$A:$AL,22,FALSE),"-")</f>
        <v>64</v>
      </c>
      <c r="Q9" s="2">
        <f>IFERROR(50+VLOOKUP($A9,'Xtal_SegEnds_Prot#'!$A:$AY,33,FALSE)-VLOOKUP($B9,'NonXtal_SegEnds_Prot#'!$A:$AL,25,FALSE),"-")</f>
        <v>50</v>
      </c>
      <c r="R9" s="2">
        <f>IFERROR(50+VLOOKUP($A9,'Xtal_SegEnds_Prot#'!$A:$AY,35,FALSE)-VLOOKUP($B9,'NonXtal_SegEnds_Prot#'!$A:$AL,25,FALSE),"-")</f>
        <v>52</v>
      </c>
      <c r="S9" s="2">
        <f>IFERROR(50+VLOOKUP($A9,'Xtal_SegEnds_Prot#'!$A:$AY,37,FALSE)-VLOOKUP($B9,'NonXtal_SegEnds_Prot#'!$A:$AL,28,FALSE),"-")</f>
        <v>35</v>
      </c>
      <c r="T9" s="89">
        <f>IFERROR(50+VLOOKUP($A9,'Xtal_SegEnds_Prot#'!$A:$AY,39,FALSE)-VLOOKUP($B9,'NonXtal_SegEnds_Prot#'!$A:$AL,28,FALSE),"-")</f>
        <v>76</v>
      </c>
      <c r="U9" s="2">
        <f>IFERROR(50+VLOOKUP($A9,'Xtal_SegEnds_Prot#'!$A:$AY,41,FALSE)-VLOOKUP($B9,'NonXtal_SegEnds_Prot#'!$A:$AL,31,FALSE),"-")</f>
        <v>20</v>
      </c>
      <c r="V9" s="2">
        <f>IFERROR(50+VLOOKUP($A9,'Xtal_SegEnds_Prot#'!$A:$AY,43,FALSE)-VLOOKUP($B9,'NonXtal_SegEnds_Prot#'!$A:$AL,31,FALSE),"-")</f>
        <v>61</v>
      </c>
      <c r="W9" s="2">
        <f>IFERROR(50+VLOOKUP($A9,'Xtal_SegEnds_Prot#'!$A:$AY,45,FALSE)-VLOOKUP($B9,'NonXtal_SegEnds_Prot#'!$A:$AL,34,FALSE),"-")</f>
        <v>31</v>
      </c>
      <c r="X9" s="2">
        <f>IFERROR(50+VLOOKUP($A9,'Xtal_SegEnds_Prot#'!$A:$AY,47,FALSE)-VLOOKUP($B9,'NonXtal_SegEnds_Prot#'!$A:$AL,34,FALSE),"-")</f>
        <v>55</v>
      </c>
      <c r="Y9" s="2">
        <f>IFERROR(50+VLOOKUP($A9,'Xtal_SegEnds_Prot#'!$A:$AY,49,FALSE)-VLOOKUP($B9,'NonXtal_SegEnds_Prot#'!$A:$AL,37,FALSE),"-")</f>
        <v>47</v>
      </c>
      <c r="Z9" s="2">
        <f>IFERROR(50+VLOOKUP($A9,'Xtal_SegEnds_Prot#'!$A:$AY,51,FALSE)-VLOOKUP($B9,'NonXtal_SegEnds_Prot#'!$A:$AL,37,FALSE),"-")</f>
        <v>59</v>
      </c>
      <c r="AA9" s="102" t="str">
        <f>VLOOKUP(B9,Classification!A:D,2,FALSE)</f>
        <v>A</v>
      </c>
      <c r="AB9" s="102">
        <f>VLOOKUP(B9,'NonXtal_SegEnds_Prot#'!A:AL,6,FALSE)-VLOOKUP(B9,'NonXtal_SegEnds_Prot#'!A:AL,5,FALSE)</f>
        <v>1</v>
      </c>
      <c r="AC9" s="102">
        <f>VLOOKUP(B9,'NonXtal_SegEnds_Prot#'!A:AL,9,FALSE)-VLOOKUP(B9,'NonXtal_SegEnds_Prot#'!A:AL,8,FALSE)</f>
        <v>1</v>
      </c>
      <c r="AD9" s="102">
        <f>VLOOKUP(B9,'NonXtal_SegEnds_Prot#'!A:AL,13,FALSE)-VLOOKUP(B9,'NonXtal_SegEnds_Prot#'!A:AL,10,FALSE)</f>
        <v>20</v>
      </c>
      <c r="AE9" s="102">
        <f>VLOOKUP(B9,'NonXtal_SegEnds_Prot#'!A:AL,12,FALSE)-VLOOKUP(B9,'NonXtal_SegEnds_Prot#'!A:AL,11,FALSE)</f>
        <v>2</v>
      </c>
      <c r="AF9" s="102">
        <f>VLOOKUP(B9,'NonXtal_SegEnds_Prot#'!A:AL,13,FALSE)-VLOOKUP(B9,'NonXtal_SegEnds_Prot#'!A:AL,11,FALSE)</f>
        <v>3</v>
      </c>
      <c r="AG9" s="102">
        <f>VLOOKUP(B9,'NonXtal_SegEnds_Prot#'!A:AL,16,FALSE)-VLOOKUP(B9,'NonXtal_SegEnds_Prot#'!A:AL,10,FALSE)</f>
        <v>52</v>
      </c>
      <c r="AH9" s="102">
        <f>VLOOKUP(B9,'NonXtal_SegEnds_Prot#'!A:AL,16,FALSE)-VLOOKUP(B9,'NonXtal_SegEnds_Prot#'!A:AL,11,FALSE)</f>
        <v>35</v>
      </c>
      <c r="AI9" s="102">
        <f>VLOOKUP(B9,'NonXtal_SegEnds_Prot#'!A:AL,15,FALSE)-VLOOKUP(B9,'NonXtal_SegEnds_Prot#'!A:AL,14,FALSE)</f>
        <v>1</v>
      </c>
      <c r="AJ9" s="102">
        <f>VLOOKUP(B9,'NonXtal_SegEnds_Prot#'!A:AL,18,FALSE)-VLOOKUP(B9,'NonXtal_SegEnds_Prot#'!A:AL,17,FALSE)</f>
        <v>1</v>
      </c>
      <c r="AK9" s="2">
        <f>VLOOKUP(B9,'NonXtal_SegEnds_Prot#'!A:AL,34,FALSE)-VLOOKUP(B9,'NonXtal_SegEnds_Prot#'!A:AL,31,FALSE)</f>
        <v>35</v>
      </c>
      <c r="AL9" s="86"/>
    </row>
    <row r="10" spans="1:62" s="2" customFormat="1" x14ac:dyDescent="0.2">
      <c r="A10" s="2" t="s">
        <v>1473</v>
      </c>
      <c r="B10" s="2" t="s">
        <v>320</v>
      </c>
      <c r="C10" s="2">
        <f>IFERROR(50+VLOOKUP($A10,'Xtal_SegEnds_Prot#'!$A:$AY,5,FALSE)-VLOOKUP($B10,'NonXtal_SegEnds_Prot#'!$A:$AL,4,FALSE),"-")</f>
        <v>25</v>
      </c>
      <c r="D10" s="2">
        <f>IFERROR(50+VLOOKUP($A10,'Xtal_SegEnds_Prot#'!$A:$AY,7,FALSE)-VLOOKUP($B10,'NonXtal_SegEnds_Prot#'!$A:$AL,4,FALSE),"-")</f>
        <v>60</v>
      </c>
      <c r="E10" s="2">
        <f>IFERROR(50+VLOOKUP($A10,'Xtal_SegEnds_Prot#'!$A:$AY,9,FALSE)-VLOOKUP($B10,'NonXtal_SegEnds_Prot#'!$A:$AL,7,FALSE),"-")</f>
        <v>48</v>
      </c>
      <c r="F10" s="2">
        <f>IFERROR(50+VLOOKUP($A10,'Xtal_SegEnds_Prot#'!$A:$AY,11,FALSE)-VLOOKUP($B10,'NonXtal_SegEnds_Prot#'!$A:$AL,7,FALSE),"-")</f>
        <v>51</v>
      </c>
      <c r="G10" s="2">
        <f>IFERROR(50+VLOOKUP($A10,'Xtal_SegEnds_Prot#'!$A:$AY,13,FALSE)-VLOOKUP($B10,'NonXtal_SegEnds_Prot#'!$A:$AL,10,FALSE),"-")</f>
        <v>37</v>
      </c>
      <c r="H10" s="2">
        <f>IFERROR(50+VLOOKUP($A10,'Xtal_SegEnds_Prot#'!$A:$AY,15,FALSE)-VLOOKUP($B10,'NonXtal_SegEnds_Prot#'!$A:$AL,10,FALSE),"-")</f>
        <v>67</v>
      </c>
      <c r="I10" s="2">
        <f>IFERROR(50+VLOOKUP($A10,'Xtal_SegEnds_Prot#'!$A:$AY,17,FALSE)-VLOOKUP($B10,'NonXtal_SegEnds_Prot#'!$A:$AL,13,FALSE),"-")</f>
        <v>49</v>
      </c>
      <c r="J10" s="2">
        <f>IFERROR(50+VLOOKUP($A10,'Xtal_SegEnds_Prot#'!$A:$AY,19,FALSE)-VLOOKUP($B10,'NonXtal_SegEnds_Prot#'!$A:$AL,13,FALSE),"-")</f>
        <v>52</v>
      </c>
      <c r="K10" s="2">
        <f>IFERROR(50+VLOOKUP($A10,'Xtal_SegEnds_Prot#'!$A:$AY,21,FALSE)-VLOOKUP($B10,'NonXtal_SegEnds_Prot#'!$A:$AL,16,FALSE),"-")</f>
        <v>21</v>
      </c>
      <c r="L10" s="2">
        <f>IFERROR(50+VLOOKUP($A10,'Xtal_SegEnds_Prot#'!$A:$AY,23,FALSE)-VLOOKUP($B10,'NonXtal_SegEnds_Prot#'!$A:$AL,16,FALSE),"-")</f>
        <v>56</v>
      </c>
      <c r="M10" s="2">
        <f>IFERROR(50+VLOOKUP($A10,'Xtal_SegEnds_Prot#'!$A:$AY,25,FALSE)-VLOOKUP($B10,'NonXtal_SegEnds_Prot#'!$A:$AL,19,FALSE),"-")</f>
        <v>50</v>
      </c>
      <c r="N10" s="2">
        <f>IFERROR(50+VLOOKUP($A10,'Xtal_SegEnds_Prot#'!$A:$AY,27,FALSE)-VLOOKUP($B10,'NonXtal_SegEnds_Prot#'!$A:$AL,19,FALSE),"-")</f>
        <v>57</v>
      </c>
      <c r="O10" s="2">
        <f>IFERROR(50+VLOOKUP($A10,'Xtal_SegEnds_Prot#'!$A:$AY,29,FALSE)-VLOOKUP($B10,'NonXtal_SegEnds_Prot#'!$A:$AL,22,FALSE),"-")</f>
        <v>39</v>
      </c>
      <c r="P10" s="2">
        <f>IFERROR(50+VLOOKUP($A10,'Xtal_SegEnds_Prot#'!$A:$AY,31,FALSE)-VLOOKUP($B10,'NonXtal_SegEnds_Prot#'!$A:$AL,22,FALSE),"-")</f>
        <v>64</v>
      </c>
      <c r="Q10" s="2">
        <f>IFERROR(50+VLOOKUP($A10,'Xtal_SegEnds_Prot#'!$A:$AY,33,FALSE)-VLOOKUP($B10,'NonXtal_SegEnds_Prot#'!$A:$AL,25,FALSE),"-")</f>
        <v>50</v>
      </c>
      <c r="R10" s="2">
        <f>IFERROR(50+VLOOKUP($A10,'Xtal_SegEnds_Prot#'!$A:$AY,35,FALSE)-VLOOKUP($B10,'NonXtal_SegEnds_Prot#'!$A:$AL,25,FALSE),"-")</f>
        <v>52</v>
      </c>
      <c r="S10" s="2">
        <f>IFERROR(50+VLOOKUP($A10,'Xtal_SegEnds_Prot#'!$A:$AY,37,FALSE)-VLOOKUP($B10,'NonXtal_SegEnds_Prot#'!$A:$AL,28,FALSE),"-")</f>
        <v>35</v>
      </c>
      <c r="T10" s="89">
        <f>IFERROR(50+VLOOKUP($A10,'Xtal_SegEnds_Prot#'!$A:$AY,39,FALSE)-VLOOKUP($B10,'NonXtal_SegEnds_Prot#'!$A:$AL,28,FALSE),"-")</f>
        <v>76</v>
      </c>
      <c r="U10" s="2">
        <f>IFERROR(50+VLOOKUP($A10,'Xtal_SegEnds_Prot#'!$A:$AY,41,FALSE)-VLOOKUP($B10,'NonXtal_SegEnds_Prot#'!$A:$AL,31,FALSE),"-")</f>
        <v>24</v>
      </c>
      <c r="V10" s="2">
        <f>IFERROR(50+VLOOKUP($A10,'Xtal_SegEnds_Prot#'!$A:$AY,43,FALSE)-VLOOKUP($B10,'NonXtal_SegEnds_Prot#'!$A:$AL,31,FALSE),"-")</f>
        <v>61</v>
      </c>
      <c r="W10" s="2">
        <f>IFERROR(50+VLOOKUP($A10,'Xtal_SegEnds_Prot#'!$A:$AY,45,FALSE)-VLOOKUP($B10,'NonXtal_SegEnds_Prot#'!$A:$AL,34,FALSE),"-")</f>
        <v>31</v>
      </c>
      <c r="X10" s="2">
        <f>IFERROR(50+VLOOKUP($A10,'Xtal_SegEnds_Prot#'!$A:$AY,47,FALSE)-VLOOKUP($B10,'NonXtal_SegEnds_Prot#'!$A:$AL,34,FALSE),"-")</f>
        <v>55</v>
      </c>
      <c r="Y10" s="2">
        <f>IFERROR(50+VLOOKUP($A10,'Xtal_SegEnds_Prot#'!$A:$AY,49,FALSE)-VLOOKUP($B10,'NonXtal_SegEnds_Prot#'!$A:$AL,37,FALSE),"-")</f>
        <v>47</v>
      </c>
      <c r="Z10" s="2">
        <f>IFERROR(50+VLOOKUP($A10,'Xtal_SegEnds_Prot#'!$A:$AY,51,FALSE)-VLOOKUP($B10,'NonXtal_SegEnds_Prot#'!$A:$AL,37,FALSE),"-")</f>
        <v>59</v>
      </c>
      <c r="AA10" s="102" t="str">
        <f>VLOOKUP(B10,Classification!A:D,2,FALSE)</f>
        <v>A</v>
      </c>
      <c r="AB10" s="102">
        <f>VLOOKUP(B10,'NonXtal_SegEnds_Prot#'!A:AL,6,FALSE)-VLOOKUP(B10,'NonXtal_SegEnds_Prot#'!A:AL,5,FALSE)</f>
        <v>1</v>
      </c>
      <c r="AC10" s="102">
        <f>VLOOKUP(B10,'NonXtal_SegEnds_Prot#'!A:AL,9,FALSE)-VLOOKUP(B10,'NonXtal_SegEnds_Prot#'!A:AL,8,FALSE)</f>
        <v>1</v>
      </c>
      <c r="AD10" s="102">
        <f>VLOOKUP(B10,'NonXtal_SegEnds_Prot#'!A:AL,13,FALSE)-VLOOKUP(B10,'NonXtal_SegEnds_Prot#'!A:AL,10,FALSE)</f>
        <v>20</v>
      </c>
      <c r="AE10" s="102">
        <f>VLOOKUP(B10,'NonXtal_SegEnds_Prot#'!A:AL,12,FALSE)-VLOOKUP(B10,'NonXtal_SegEnds_Prot#'!A:AL,11,FALSE)</f>
        <v>2</v>
      </c>
      <c r="AF10" s="102">
        <f>VLOOKUP(B10,'NonXtal_SegEnds_Prot#'!A:AL,13,FALSE)-VLOOKUP(B10,'NonXtal_SegEnds_Prot#'!A:AL,11,FALSE)</f>
        <v>3</v>
      </c>
      <c r="AG10" s="102">
        <f>VLOOKUP(B10,'NonXtal_SegEnds_Prot#'!A:AL,16,FALSE)-VLOOKUP(B10,'NonXtal_SegEnds_Prot#'!A:AL,10,FALSE)</f>
        <v>52</v>
      </c>
      <c r="AH10" s="102">
        <f>VLOOKUP(B10,'NonXtal_SegEnds_Prot#'!A:AL,16,FALSE)-VLOOKUP(B10,'NonXtal_SegEnds_Prot#'!A:AL,11,FALSE)</f>
        <v>35</v>
      </c>
      <c r="AI10" s="102">
        <f>VLOOKUP(B10,'NonXtal_SegEnds_Prot#'!A:AL,15,FALSE)-VLOOKUP(B10,'NonXtal_SegEnds_Prot#'!A:AL,14,FALSE)</f>
        <v>1</v>
      </c>
      <c r="AJ10" s="102">
        <f>VLOOKUP(B10,'NonXtal_SegEnds_Prot#'!A:AL,18,FALSE)-VLOOKUP(B10,'NonXtal_SegEnds_Prot#'!A:AL,17,FALSE)</f>
        <v>1</v>
      </c>
      <c r="AK10" s="2">
        <f>VLOOKUP(B10,'NonXtal_SegEnds_Prot#'!A:AL,34,FALSE)-VLOOKUP(B10,'NonXtal_SegEnds_Prot#'!A:AL,31,FALSE)</f>
        <v>35</v>
      </c>
      <c r="AL10" s="86"/>
    </row>
    <row r="11" spans="1:62" s="2" customFormat="1" x14ac:dyDescent="0.2">
      <c r="A11" s="2" t="s">
        <v>1471</v>
      </c>
      <c r="B11" s="2" t="s">
        <v>343</v>
      </c>
      <c r="C11" s="2">
        <f>IFERROR(50+VLOOKUP($A11,'Xtal_SegEnds_Prot#'!$A:$AY,5,FALSE)-VLOOKUP($B11,'NonXtal_SegEnds_Prot#'!$A:$AL,4,FALSE),"-")</f>
        <v>26</v>
      </c>
      <c r="D11" s="2">
        <f>IFERROR(50+VLOOKUP($A11,'Xtal_SegEnds_Prot#'!$A:$AY,7,FALSE)-VLOOKUP($B11,'NonXtal_SegEnds_Prot#'!$A:$AL,4,FALSE),"-")</f>
        <v>60</v>
      </c>
      <c r="E11" s="2">
        <f>IFERROR(50+VLOOKUP($A11,'Xtal_SegEnds_Prot#'!$A:$AY,9,FALSE)-VLOOKUP($B11,'NonXtal_SegEnds_Prot#'!$A:$AL,7,FALSE),"-")</f>
        <v>48</v>
      </c>
      <c r="F11" s="2">
        <f>IFERROR(50+VLOOKUP($A11,'Xtal_SegEnds_Prot#'!$A:$AY,11,FALSE)-VLOOKUP($B11,'NonXtal_SegEnds_Prot#'!$A:$AL,7,FALSE),"-")</f>
        <v>51</v>
      </c>
      <c r="G11" s="2">
        <f>IFERROR(50+VLOOKUP($A11,'Xtal_SegEnds_Prot#'!$A:$AY,13,FALSE)-VLOOKUP($B11,'NonXtal_SegEnds_Prot#'!$A:$AL,10,FALSE),"-")</f>
        <v>37</v>
      </c>
      <c r="H11" s="2">
        <f>IFERROR(50+VLOOKUP($A11,'Xtal_SegEnds_Prot#'!$A:$AY,15,FALSE)-VLOOKUP($B11,'NonXtal_SegEnds_Prot#'!$A:$AL,10,FALSE),"-")</f>
        <v>67</v>
      </c>
      <c r="I11" s="2">
        <f>IFERROR(50+VLOOKUP($A11,'Xtal_SegEnds_Prot#'!$A:$AY,17,FALSE)-VLOOKUP($B11,'NonXtal_SegEnds_Prot#'!$A:$AL,13,FALSE),"-")</f>
        <v>49</v>
      </c>
      <c r="J11" s="2">
        <f>IFERROR(50+VLOOKUP($A11,'Xtal_SegEnds_Prot#'!$A:$AY,19,FALSE)-VLOOKUP($B11,'NonXtal_SegEnds_Prot#'!$A:$AL,13,FALSE),"-")</f>
        <v>52</v>
      </c>
      <c r="K11" s="2">
        <f>IFERROR(50+VLOOKUP($A11,'Xtal_SegEnds_Prot#'!$A:$AY,21,FALSE)-VLOOKUP($B11,'NonXtal_SegEnds_Prot#'!$A:$AL,16,FALSE),"-")</f>
        <v>21</v>
      </c>
      <c r="L11" s="2">
        <f>IFERROR(50+VLOOKUP($A11,'Xtal_SegEnds_Prot#'!$A:$AY,23,FALSE)-VLOOKUP($B11,'NonXtal_SegEnds_Prot#'!$A:$AL,16,FALSE),"-")</f>
        <v>56</v>
      </c>
      <c r="M11" s="2">
        <f>IFERROR(50+VLOOKUP($A11,'Xtal_SegEnds_Prot#'!$A:$AY,25,FALSE)-VLOOKUP($B11,'NonXtal_SegEnds_Prot#'!$A:$AL,19,FALSE),"-")</f>
        <v>50</v>
      </c>
      <c r="N11" s="2">
        <f>IFERROR(50+VLOOKUP($A11,'Xtal_SegEnds_Prot#'!$A:$AY,27,FALSE)-VLOOKUP($B11,'NonXtal_SegEnds_Prot#'!$A:$AL,19,FALSE),"-")</f>
        <v>57</v>
      </c>
      <c r="O11" s="2">
        <f>IFERROR(50+VLOOKUP($A11,'Xtal_SegEnds_Prot#'!$A:$AY,29,FALSE)-VLOOKUP($B11,'NonXtal_SegEnds_Prot#'!$A:$AL,22,FALSE),"-")</f>
        <v>39</v>
      </c>
      <c r="P11" s="2">
        <f>IFERROR(50+VLOOKUP($A11,'Xtal_SegEnds_Prot#'!$A:$AY,31,FALSE)-VLOOKUP($B11,'NonXtal_SegEnds_Prot#'!$A:$AL,22,FALSE),"-")</f>
        <v>69</v>
      </c>
      <c r="Q11" s="2">
        <f>IFERROR(50+VLOOKUP($A11,'Xtal_SegEnds_Prot#'!$A:$AY,33,FALSE)-VLOOKUP($B11,'NonXtal_SegEnds_Prot#'!$A:$AL,25,FALSE),"-")</f>
        <v>50</v>
      </c>
      <c r="R11" s="2">
        <f>IFERROR(50+VLOOKUP($A11,'Xtal_SegEnds_Prot#'!$A:$AY,35,FALSE)-VLOOKUP($B11,'NonXtal_SegEnds_Prot#'!$A:$AL,25,FALSE),"-")</f>
        <v>52</v>
      </c>
      <c r="S11" s="2">
        <f>IFERROR(50+VLOOKUP($A11,'Xtal_SegEnds_Prot#'!$A:$AY,37,FALSE)-VLOOKUP($B11,'NonXtal_SegEnds_Prot#'!$A:$AL,28,FALSE),"-")</f>
        <v>35</v>
      </c>
      <c r="T11" s="89">
        <f>IFERROR(50+VLOOKUP($A11,'Xtal_SegEnds_Prot#'!$A:$AY,39,FALSE)-VLOOKUP($B11,'NonXtal_SegEnds_Prot#'!$A:$AL,28,FALSE),"-")</f>
        <v>75</v>
      </c>
      <c r="U11" s="2">
        <f>IFERROR(50+VLOOKUP($A11,'Xtal_SegEnds_Prot#'!$A:$AY,41,FALSE)-VLOOKUP($B11,'NonXtal_SegEnds_Prot#'!$A:$AL,31,FALSE),"-")</f>
        <v>24</v>
      </c>
      <c r="V11" s="2">
        <f>IFERROR(50+VLOOKUP($A11,'Xtal_SegEnds_Prot#'!$A:$AY,43,FALSE)-VLOOKUP($B11,'NonXtal_SegEnds_Prot#'!$A:$AL,31,FALSE),"-")</f>
        <v>61</v>
      </c>
      <c r="W11" s="2">
        <f>IFERROR(50+VLOOKUP($A11,'Xtal_SegEnds_Prot#'!$A:$AY,45,FALSE)-VLOOKUP($B11,'NonXtal_SegEnds_Prot#'!$A:$AL,34,FALSE),"-")</f>
        <v>31</v>
      </c>
      <c r="X11" s="2">
        <f>IFERROR(50+VLOOKUP($A11,'Xtal_SegEnds_Prot#'!$A:$AY,47,FALSE)-VLOOKUP($B11,'NonXtal_SegEnds_Prot#'!$A:$AL,34,FALSE),"-")</f>
        <v>56</v>
      </c>
      <c r="Y11" s="2">
        <f>IFERROR(50+VLOOKUP($A11,'Xtal_SegEnds_Prot#'!$A:$AY,49,FALSE)-VLOOKUP($B11,'NonXtal_SegEnds_Prot#'!$A:$AL,37,FALSE),"-")</f>
        <v>47</v>
      </c>
      <c r="Z11" s="2">
        <f>IFERROR(50+VLOOKUP($A11,'Xtal_SegEnds_Prot#'!$A:$AY,51,FALSE)-VLOOKUP($B11,'NonXtal_SegEnds_Prot#'!$A:$AL,37,FALSE),"-")</f>
        <v>59</v>
      </c>
      <c r="AA11" s="102" t="str">
        <f>VLOOKUP(B11,Classification!A:D,2,FALSE)</f>
        <v>A</v>
      </c>
      <c r="AB11" s="102">
        <f>VLOOKUP(B11,'NonXtal_SegEnds_Prot#'!A:AL,6,FALSE)-VLOOKUP(B11,'NonXtal_SegEnds_Prot#'!A:AL,5,FALSE)</f>
        <v>1</v>
      </c>
      <c r="AC11" s="102">
        <f>VLOOKUP(B11,'NonXtal_SegEnds_Prot#'!A:AL,9,FALSE)-VLOOKUP(B11,'NonXtal_SegEnds_Prot#'!A:AL,8,FALSE)</f>
        <v>1</v>
      </c>
      <c r="AD11" s="102">
        <f>VLOOKUP(B11,'NonXtal_SegEnds_Prot#'!A:AL,13,FALSE)-VLOOKUP(B11,'NonXtal_SegEnds_Prot#'!A:AL,10,FALSE)</f>
        <v>20</v>
      </c>
      <c r="AE11" s="102">
        <f>VLOOKUP(B11,'NonXtal_SegEnds_Prot#'!A:AL,12,FALSE)-VLOOKUP(B11,'NonXtal_SegEnds_Prot#'!A:AL,11,FALSE)</f>
        <v>2</v>
      </c>
      <c r="AF11" s="102">
        <f>VLOOKUP(B11,'NonXtal_SegEnds_Prot#'!A:AL,13,FALSE)-VLOOKUP(B11,'NonXtal_SegEnds_Prot#'!A:AL,11,FALSE)</f>
        <v>3</v>
      </c>
      <c r="AG11" s="102">
        <f>VLOOKUP(B11,'NonXtal_SegEnds_Prot#'!A:AL,16,FALSE)-VLOOKUP(B11,'NonXtal_SegEnds_Prot#'!A:AL,10,FALSE)</f>
        <v>52</v>
      </c>
      <c r="AH11" s="102">
        <f>VLOOKUP(B11,'NonXtal_SegEnds_Prot#'!A:AL,16,FALSE)-VLOOKUP(B11,'NonXtal_SegEnds_Prot#'!A:AL,11,FALSE)</f>
        <v>35</v>
      </c>
      <c r="AI11" s="102">
        <f>VLOOKUP(B11,'NonXtal_SegEnds_Prot#'!A:AL,15,FALSE)-VLOOKUP(B11,'NonXtal_SegEnds_Prot#'!A:AL,14,FALSE)</f>
        <v>1</v>
      </c>
      <c r="AJ11" s="102">
        <f>VLOOKUP(B11,'NonXtal_SegEnds_Prot#'!A:AL,18,FALSE)-VLOOKUP(B11,'NonXtal_SegEnds_Prot#'!A:AL,17,FALSE)</f>
        <v>1</v>
      </c>
      <c r="AK11" s="2">
        <f>VLOOKUP(B11,'NonXtal_SegEnds_Prot#'!A:AL,34,FALSE)-VLOOKUP(B11,'NonXtal_SegEnds_Prot#'!A:AL,31,FALSE)</f>
        <v>35</v>
      </c>
      <c r="AL11" s="86"/>
    </row>
    <row r="12" spans="1:62" s="2" customFormat="1" x14ac:dyDescent="0.2">
      <c r="A12" s="2" t="s">
        <v>1469</v>
      </c>
      <c r="B12" s="2" t="s">
        <v>341</v>
      </c>
      <c r="C12" s="2">
        <f>IFERROR(50+VLOOKUP($A12,'Xtal_SegEnds_Prot#'!$A:$AY,5,FALSE)-VLOOKUP($B12,'NonXtal_SegEnds_Prot#'!$A:$AL,4,FALSE),"-")</f>
        <v>28</v>
      </c>
      <c r="D12" s="2">
        <f>IFERROR(50+VLOOKUP($A12,'Xtal_SegEnds_Prot#'!$A:$AY,7,FALSE)-VLOOKUP($B12,'NonXtal_SegEnds_Prot#'!$A:$AL,4,FALSE),"-")</f>
        <v>60</v>
      </c>
      <c r="E12" s="2">
        <f>IFERROR(50+VLOOKUP($A12,'Xtal_SegEnds_Prot#'!$A:$AY,9,FALSE)-VLOOKUP($B12,'NonXtal_SegEnds_Prot#'!$A:$AL,7,FALSE),"-")</f>
        <v>48</v>
      </c>
      <c r="F12" s="2">
        <f>IFERROR(50+VLOOKUP($A12,'Xtal_SegEnds_Prot#'!$A:$AY,11,FALSE)-VLOOKUP($B12,'NonXtal_SegEnds_Prot#'!$A:$AL,7,FALSE),"-")</f>
        <v>51</v>
      </c>
      <c r="G12" s="2">
        <f>IFERROR(50+VLOOKUP($A12,'Xtal_SegEnds_Prot#'!$A:$AY,13,FALSE)-VLOOKUP($B12,'NonXtal_SegEnds_Prot#'!$A:$AL,10,FALSE),"-")</f>
        <v>37</v>
      </c>
      <c r="H12" s="2">
        <f>IFERROR(50+VLOOKUP($A12,'Xtal_SegEnds_Prot#'!$A:$AY,15,FALSE)-VLOOKUP($B12,'NonXtal_SegEnds_Prot#'!$A:$AL,10,FALSE),"-")</f>
        <v>67</v>
      </c>
      <c r="I12" s="2">
        <f>IFERROR(50+VLOOKUP($A12,'Xtal_SegEnds_Prot#'!$A:$AY,17,FALSE)-VLOOKUP($B12,'NonXtal_SegEnds_Prot#'!$A:$AL,13,FALSE),"-")</f>
        <v>49</v>
      </c>
      <c r="J12" s="2">
        <f>IFERROR(50+VLOOKUP($A12,'Xtal_SegEnds_Prot#'!$A:$AY,19,FALSE)-VLOOKUP($B12,'NonXtal_SegEnds_Prot#'!$A:$AL,13,FALSE),"-")</f>
        <v>52</v>
      </c>
      <c r="K12" s="2">
        <f>IFERROR(50+VLOOKUP($A12,'Xtal_SegEnds_Prot#'!$A:$AY,21,FALSE)-VLOOKUP($B12,'NonXtal_SegEnds_Prot#'!$A:$AL,16,FALSE),"-")</f>
        <v>21</v>
      </c>
      <c r="L12" s="2">
        <f>IFERROR(50+VLOOKUP($A12,'Xtal_SegEnds_Prot#'!$A:$AY,23,FALSE)-VLOOKUP($B12,'NonXtal_SegEnds_Prot#'!$A:$AL,16,FALSE),"-")</f>
        <v>56</v>
      </c>
      <c r="M12" s="2">
        <f>IFERROR(50+VLOOKUP($A12,'Xtal_SegEnds_Prot#'!$A:$AY,25,FALSE)-VLOOKUP($B12,'NonXtal_SegEnds_Prot#'!$A:$AL,19,FALSE),"-")</f>
        <v>50</v>
      </c>
      <c r="N12" s="2">
        <f>IFERROR(50+VLOOKUP($A12,'Xtal_SegEnds_Prot#'!$A:$AY,27,FALSE)-VLOOKUP($B12,'NonXtal_SegEnds_Prot#'!$A:$AL,19,FALSE),"-")</f>
        <v>57</v>
      </c>
      <c r="O12" s="2">
        <f>IFERROR(50+VLOOKUP($A12,'Xtal_SegEnds_Prot#'!$A:$AY,29,FALSE)-VLOOKUP($B12,'NonXtal_SegEnds_Prot#'!$A:$AL,22,FALSE),"-")</f>
        <v>39</v>
      </c>
      <c r="P12" s="2">
        <f>IFERROR(50+VLOOKUP($A12,'Xtal_SegEnds_Prot#'!$A:$AY,31,FALSE)-VLOOKUP($B12,'NonXtal_SegEnds_Prot#'!$A:$AL,22,FALSE),"-")</f>
        <v>69</v>
      </c>
      <c r="Q12" s="2">
        <f>IFERROR(50+VLOOKUP($A12,'Xtal_SegEnds_Prot#'!$A:$AY,33,FALSE)-VLOOKUP($B12,'NonXtal_SegEnds_Prot#'!$A:$AL,25,FALSE),"-")</f>
        <v>50</v>
      </c>
      <c r="R12" s="2">
        <f>IFERROR(50+VLOOKUP($A12,'Xtal_SegEnds_Prot#'!$A:$AY,35,FALSE)-VLOOKUP($B12,'NonXtal_SegEnds_Prot#'!$A:$AL,25,FALSE),"-")</f>
        <v>52</v>
      </c>
      <c r="S12" s="2">
        <f>IFERROR(50+VLOOKUP($A12,'Xtal_SegEnds_Prot#'!$A:$AY,37,FALSE)-VLOOKUP($B12,'NonXtal_SegEnds_Prot#'!$A:$AL,28,FALSE),"-")</f>
        <v>35</v>
      </c>
      <c r="T12" s="89">
        <f>IFERROR(50+VLOOKUP($A12,'Xtal_SegEnds_Prot#'!$A:$AY,39,FALSE)-VLOOKUP($B12,'NonXtal_SegEnds_Prot#'!$A:$AL,28,FALSE),"-")</f>
        <v>75</v>
      </c>
      <c r="U12" s="2">
        <f>IFERROR(50+VLOOKUP($A12,'Xtal_SegEnds_Prot#'!$A:$AY,41,FALSE)-VLOOKUP($B12,'NonXtal_SegEnds_Prot#'!$A:$AL,31,FALSE),"-")</f>
        <v>24</v>
      </c>
      <c r="V12" s="2">
        <f>IFERROR(50+VLOOKUP($A12,'Xtal_SegEnds_Prot#'!$A:$AY,43,FALSE)-VLOOKUP($B12,'NonXtal_SegEnds_Prot#'!$A:$AL,31,FALSE),"-")</f>
        <v>61</v>
      </c>
      <c r="W12" s="2">
        <f>IFERROR(50+VLOOKUP($A12,'Xtal_SegEnds_Prot#'!$A:$AY,45,FALSE)-VLOOKUP($B12,'NonXtal_SegEnds_Prot#'!$A:$AL,34,FALSE),"-")</f>
        <v>31</v>
      </c>
      <c r="X12" s="2">
        <f>IFERROR(50+VLOOKUP($A12,'Xtal_SegEnds_Prot#'!$A:$AY,47,FALSE)-VLOOKUP($B12,'NonXtal_SegEnds_Prot#'!$A:$AL,34,FALSE),"-")</f>
        <v>56</v>
      </c>
      <c r="Y12" s="2">
        <f>IFERROR(50+VLOOKUP($A12,'Xtal_SegEnds_Prot#'!$A:$AY,49,FALSE)-VLOOKUP($B12,'NonXtal_SegEnds_Prot#'!$A:$AL,37,FALSE),"-")</f>
        <v>47</v>
      </c>
      <c r="Z12" s="2">
        <f>IFERROR(50+VLOOKUP($A12,'Xtal_SegEnds_Prot#'!$A:$AY,51,FALSE)-VLOOKUP($B12,'NonXtal_SegEnds_Prot#'!$A:$AL,37,FALSE),"-")</f>
        <v>59</v>
      </c>
      <c r="AA12" s="102" t="str">
        <f>VLOOKUP(B12,Classification!A:D,2,FALSE)</f>
        <v>A</v>
      </c>
      <c r="AB12" s="102">
        <f>VLOOKUP(B12,'NonXtal_SegEnds_Prot#'!A:AL,6,FALSE)-VLOOKUP(B12,'NonXtal_SegEnds_Prot#'!A:AL,5,FALSE)</f>
        <v>1</v>
      </c>
      <c r="AC12" s="102">
        <f>VLOOKUP(B12,'NonXtal_SegEnds_Prot#'!A:AL,9,FALSE)-VLOOKUP(B12,'NonXtal_SegEnds_Prot#'!A:AL,8,FALSE)</f>
        <v>1</v>
      </c>
      <c r="AD12" s="102">
        <f>VLOOKUP(B12,'NonXtal_SegEnds_Prot#'!A:AL,13,FALSE)-VLOOKUP(B12,'NonXtal_SegEnds_Prot#'!A:AL,10,FALSE)</f>
        <v>20</v>
      </c>
      <c r="AE12" s="102">
        <f>VLOOKUP(B12,'NonXtal_SegEnds_Prot#'!A:AL,12,FALSE)-VLOOKUP(B12,'NonXtal_SegEnds_Prot#'!A:AL,11,FALSE)</f>
        <v>2</v>
      </c>
      <c r="AF12" s="102">
        <f>VLOOKUP(B12,'NonXtal_SegEnds_Prot#'!A:AL,13,FALSE)-VLOOKUP(B12,'NonXtal_SegEnds_Prot#'!A:AL,11,FALSE)</f>
        <v>3</v>
      </c>
      <c r="AG12" s="102">
        <f>VLOOKUP(B12,'NonXtal_SegEnds_Prot#'!A:AL,16,FALSE)-VLOOKUP(B12,'NonXtal_SegEnds_Prot#'!A:AL,10,FALSE)</f>
        <v>52</v>
      </c>
      <c r="AH12" s="102">
        <f>VLOOKUP(B12,'NonXtal_SegEnds_Prot#'!A:AL,16,FALSE)-VLOOKUP(B12,'NonXtal_SegEnds_Prot#'!A:AL,11,FALSE)</f>
        <v>35</v>
      </c>
      <c r="AI12" s="102">
        <f>VLOOKUP(B12,'NonXtal_SegEnds_Prot#'!A:AL,15,FALSE)-VLOOKUP(B12,'NonXtal_SegEnds_Prot#'!A:AL,14,FALSE)</f>
        <v>1</v>
      </c>
      <c r="AJ12" s="102">
        <f>VLOOKUP(B12,'NonXtal_SegEnds_Prot#'!A:AL,18,FALSE)-VLOOKUP(B12,'NonXtal_SegEnds_Prot#'!A:AL,17,FALSE)</f>
        <v>1</v>
      </c>
      <c r="AK12" s="2">
        <f>VLOOKUP(B12,'NonXtal_SegEnds_Prot#'!A:AL,34,FALSE)-VLOOKUP(B12,'NonXtal_SegEnds_Prot#'!A:AL,31,FALSE)</f>
        <v>35</v>
      </c>
      <c r="AL12" s="86"/>
    </row>
    <row r="13" spans="1:62" s="2" customFormat="1" x14ac:dyDescent="0.2">
      <c r="A13" s="2" t="s">
        <v>1468</v>
      </c>
      <c r="B13" s="2" t="s">
        <v>340</v>
      </c>
      <c r="C13" s="2">
        <f>IFERROR(50+VLOOKUP($A13,'Xtal_SegEnds_Prot#'!$A:$AY,5,FALSE)-VLOOKUP($B13,'NonXtal_SegEnds_Prot#'!$A:$AL,4,FALSE),"-")</f>
        <v>29</v>
      </c>
      <c r="D13" s="2">
        <f>IFERROR(50+VLOOKUP($A13,'Xtal_SegEnds_Prot#'!$A:$AY,7,FALSE)-VLOOKUP($B13,'NonXtal_SegEnds_Prot#'!$A:$AL,4,FALSE),"-")</f>
        <v>60</v>
      </c>
      <c r="E13" s="2">
        <f>IFERROR(50+VLOOKUP($A13,'Xtal_SegEnds_Prot#'!$A:$AY,9,FALSE)-VLOOKUP($B13,'NonXtal_SegEnds_Prot#'!$A:$AL,7,FALSE),"-")</f>
        <v>48</v>
      </c>
      <c r="F13" s="2">
        <f>IFERROR(50+VLOOKUP($A13,'Xtal_SegEnds_Prot#'!$A:$AY,11,FALSE)-VLOOKUP($B13,'NonXtal_SegEnds_Prot#'!$A:$AL,7,FALSE),"-")</f>
        <v>51</v>
      </c>
      <c r="G13" s="2">
        <f>IFERROR(50+VLOOKUP($A13,'Xtal_SegEnds_Prot#'!$A:$AY,13,FALSE)-VLOOKUP($B13,'NonXtal_SegEnds_Prot#'!$A:$AL,10,FALSE),"-")</f>
        <v>37</v>
      </c>
      <c r="H13" s="2">
        <f>IFERROR(50+VLOOKUP($A13,'Xtal_SegEnds_Prot#'!$A:$AY,15,FALSE)-VLOOKUP($B13,'NonXtal_SegEnds_Prot#'!$A:$AL,10,FALSE),"-")</f>
        <v>67</v>
      </c>
      <c r="I13" s="2">
        <f>IFERROR(50+VLOOKUP($A13,'Xtal_SegEnds_Prot#'!$A:$AY,17,FALSE)-VLOOKUP($B13,'NonXtal_SegEnds_Prot#'!$A:$AL,13,FALSE),"-")</f>
        <v>49</v>
      </c>
      <c r="J13" s="2">
        <f>IFERROR(50+VLOOKUP($A13,'Xtal_SegEnds_Prot#'!$A:$AY,19,FALSE)-VLOOKUP($B13,'NonXtal_SegEnds_Prot#'!$A:$AL,13,FALSE),"-")</f>
        <v>52</v>
      </c>
      <c r="K13" s="2">
        <f>IFERROR(50+VLOOKUP($A13,'Xtal_SegEnds_Prot#'!$A:$AY,21,FALSE)-VLOOKUP($B13,'NonXtal_SegEnds_Prot#'!$A:$AL,16,FALSE),"-")</f>
        <v>21</v>
      </c>
      <c r="L13" s="2">
        <f>IFERROR(50+VLOOKUP($A13,'Xtal_SegEnds_Prot#'!$A:$AY,23,FALSE)-VLOOKUP($B13,'NonXtal_SegEnds_Prot#'!$A:$AL,16,FALSE),"-")</f>
        <v>56</v>
      </c>
      <c r="M13" s="2">
        <f>IFERROR(50+VLOOKUP($A13,'Xtal_SegEnds_Prot#'!$A:$AY,25,FALSE)-VLOOKUP($B13,'NonXtal_SegEnds_Prot#'!$A:$AL,19,FALSE),"-")</f>
        <v>50</v>
      </c>
      <c r="N13" s="2">
        <f>IFERROR(50+VLOOKUP($A13,'Xtal_SegEnds_Prot#'!$A:$AY,27,FALSE)-VLOOKUP($B13,'NonXtal_SegEnds_Prot#'!$A:$AL,19,FALSE),"-")</f>
        <v>57</v>
      </c>
      <c r="O13" s="2">
        <f>IFERROR(50+VLOOKUP($A13,'Xtal_SegEnds_Prot#'!$A:$AY,29,FALSE)-VLOOKUP($B13,'NonXtal_SegEnds_Prot#'!$A:$AL,22,FALSE),"-")</f>
        <v>39</v>
      </c>
      <c r="P13" s="2">
        <f>IFERROR(50+VLOOKUP($A13,'Xtal_SegEnds_Prot#'!$A:$AY,31,FALSE)-VLOOKUP($B13,'NonXtal_SegEnds_Prot#'!$A:$AL,22,FALSE),"-")</f>
        <v>69</v>
      </c>
      <c r="Q13" s="2">
        <f>IFERROR(50+VLOOKUP($A13,'Xtal_SegEnds_Prot#'!$A:$AY,33,FALSE)-VLOOKUP($B13,'NonXtal_SegEnds_Prot#'!$A:$AL,25,FALSE),"-")</f>
        <v>50</v>
      </c>
      <c r="R13" s="2">
        <f>IFERROR(50+VLOOKUP($A13,'Xtal_SegEnds_Prot#'!$A:$AY,35,FALSE)-VLOOKUP($B13,'NonXtal_SegEnds_Prot#'!$A:$AL,25,FALSE),"-")</f>
        <v>52</v>
      </c>
      <c r="S13" s="2">
        <f>IFERROR(50+VLOOKUP($A13,'Xtal_SegEnds_Prot#'!$A:$AY,37,FALSE)-VLOOKUP($B13,'NonXtal_SegEnds_Prot#'!$A:$AL,28,FALSE),"-")</f>
        <v>35</v>
      </c>
      <c r="T13" s="89">
        <f>IFERROR(50+VLOOKUP($A13,'Xtal_SegEnds_Prot#'!$A:$AY,39,FALSE)-VLOOKUP($B13,'NonXtal_SegEnds_Prot#'!$A:$AL,28,FALSE),"-")</f>
        <v>75</v>
      </c>
      <c r="U13" s="2">
        <f>IFERROR(50+VLOOKUP($A13,'Xtal_SegEnds_Prot#'!$A:$AY,41,FALSE)-VLOOKUP($B13,'NonXtal_SegEnds_Prot#'!$A:$AL,31,FALSE),"-")</f>
        <v>24</v>
      </c>
      <c r="V13" s="2">
        <f>IFERROR(50+VLOOKUP($A13,'Xtal_SegEnds_Prot#'!$A:$AY,43,FALSE)-VLOOKUP($B13,'NonXtal_SegEnds_Prot#'!$A:$AL,31,FALSE),"-")</f>
        <v>61</v>
      </c>
      <c r="W13" s="2">
        <f>IFERROR(50+VLOOKUP($A13,'Xtal_SegEnds_Prot#'!$A:$AY,45,FALSE)-VLOOKUP($B13,'NonXtal_SegEnds_Prot#'!$A:$AL,34,FALSE),"-")</f>
        <v>31</v>
      </c>
      <c r="X13" s="2">
        <f>IFERROR(50+VLOOKUP($A13,'Xtal_SegEnds_Prot#'!$A:$AY,47,FALSE)-VLOOKUP($B13,'NonXtal_SegEnds_Prot#'!$A:$AL,34,FALSE),"-")</f>
        <v>56</v>
      </c>
      <c r="Y13" s="2">
        <f>IFERROR(50+VLOOKUP($A13,'Xtal_SegEnds_Prot#'!$A:$AY,49,FALSE)-VLOOKUP($B13,'NonXtal_SegEnds_Prot#'!$A:$AL,37,FALSE),"-")</f>
        <v>47</v>
      </c>
      <c r="Z13" s="2">
        <f>IFERROR(50+VLOOKUP($A13,'Xtal_SegEnds_Prot#'!$A:$AY,51,FALSE)-VLOOKUP($B13,'NonXtal_SegEnds_Prot#'!$A:$AL,37,FALSE),"-")</f>
        <v>59</v>
      </c>
      <c r="AA13" s="102" t="str">
        <f>VLOOKUP(B13,Classification!A:D,2,FALSE)</f>
        <v>A</v>
      </c>
      <c r="AB13" s="102">
        <f>VLOOKUP(B13,'NonXtal_SegEnds_Prot#'!A:AL,6,FALSE)-VLOOKUP(B13,'NonXtal_SegEnds_Prot#'!A:AL,5,FALSE)</f>
        <v>1</v>
      </c>
      <c r="AC13" s="102">
        <f>VLOOKUP(B13,'NonXtal_SegEnds_Prot#'!A:AL,9,FALSE)-VLOOKUP(B13,'NonXtal_SegEnds_Prot#'!A:AL,8,FALSE)</f>
        <v>1</v>
      </c>
      <c r="AD13" s="102">
        <f>VLOOKUP(B13,'NonXtal_SegEnds_Prot#'!A:AL,13,FALSE)-VLOOKUP(B13,'NonXtal_SegEnds_Prot#'!A:AL,10,FALSE)</f>
        <v>20</v>
      </c>
      <c r="AE13" s="102">
        <f>VLOOKUP(B13,'NonXtal_SegEnds_Prot#'!A:AL,12,FALSE)-VLOOKUP(B13,'NonXtal_SegEnds_Prot#'!A:AL,11,FALSE)</f>
        <v>2</v>
      </c>
      <c r="AF13" s="102">
        <f>VLOOKUP(B13,'NonXtal_SegEnds_Prot#'!A:AL,13,FALSE)-VLOOKUP(B13,'NonXtal_SegEnds_Prot#'!A:AL,11,FALSE)</f>
        <v>3</v>
      </c>
      <c r="AG13" s="102">
        <f>VLOOKUP(B13,'NonXtal_SegEnds_Prot#'!A:AL,16,FALSE)-VLOOKUP(B13,'NonXtal_SegEnds_Prot#'!A:AL,10,FALSE)</f>
        <v>52</v>
      </c>
      <c r="AH13" s="102">
        <f>VLOOKUP(B13,'NonXtal_SegEnds_Prot#'!A:AL,16,FALSE)-VLOOKUP(B13,'NonXtal_SegEnds_Prot#'!A:AL,11,FALSE)</f>
        <v>35</v>
      </c>
      <c r="AI13" s="102">
        <f>VLOOKUP(B13,'NonXtal_SegEnds_Prot#'!A:AL,15,FALSE)-VLOOKUP(B13,'NonXtal_SegEnds_Prot#'!A:AL,14,FALSE)</f>
        <v>1</v>
      </c>
      <c r="AJ13" s="102">
        <f>VLOOKUP(B13,'NonXtal_SegEnds_Prot#'!A:AL,18,FALSE)-VLOOKUP(B13,'NonXtal_SegEnds_Prot#'!A:AL,17,FALSE)</f>
        <v>1</v>
      </c>
      <c r="AK13" s="2">
        <f>VLOOKUP(B13,'NonXtal_SegEnds_Prot#'!A:AL,34,FALSE)-VLOOKUP(B13,'NonXtal_SegEnds_Prot#'!A:AL,31,FALSE)</f>
        <v>35</v>
      </c>
      <c r="AL13" s="86"/>
    </row>
    <row r="14" spans="1:62" s="2" customFormat="1" x14ac:dyDescent="0.2">
      <c r="A14" s="2" t="s">
        <v>1483</v>
      </c>
      <c r="B14" s="2" t="s">
        <v>472</v>
      </c>
      <c r="C14" s="2">
        <f>IFERROR(50+VLOOKUP($A14,'Xtal_SegEnds_Prot#'!$A:$AY,5,FALSE)-VLOOKUP($B14,'NonXtal_SegEnds_Prot#'!$A:$AL,4,FALSE),"-")</f>
        <v>34</v>
      </c>
      <c r="D14" s="2">
        <f>IFERROR(50+VLOOKUP($A14,'Xtal_SegEnds_Prot#'!$A:$AY,7,FALSE)-VLOOKUP($B14,'NonXtal_SegEnds_Prot#'!$A:$AL,4,FALSE),"-")</f>
        <v>60</v>
      </c>
      <c r="E14" s="2">
        <f>IFERROR(50+VLOOKUP($A14,'Xtal_SegEnds_Prot#'!$A:$AY,9,FALSE)-VLOOKUP($B14,'NonXtal_SegEnds_Prot#'!$A:$AL,7,FALSE),"-")</f>
        <v>48</v>
      </c>
      <c r="F14" s="2">
        <f>IFERROR(50+VLOOKUP($A14,'Xtal_SegEnds_Prot#'!$A:$AY,11,FALSE)-VLOOKUP($B14,'NonXtal_SegEnds_Prot#'!$A:$AL,7,FALSE),"-")</f>
        <v>51</v>
      </c>
      <c r="G14" s="2">
        <f>IFERROR(50+VLOOKUP($A14,'Xtal_SegEnds_Prot#'!$A:$AY,13,FALSE)-VLOOKUP($B14,'NonXtal_SegEnds_Prot#'!$A:$AL,10,FALSE),"-")</f>
        <v>37</v>
      </c>
      <c r="H14" s="2">
        <f>IFERROR(50+VLOOKUP($A14,'Xtal_SegEnds_Prot#'!$A:$AY,15,FALSE)-VLOOKUP($B14,'NonXtal_SegEnds_Prot#'!$A:$AL,10,FALSE),"-")</f>
        <v>67</v>
      </c>
      <c r="I14" s="2">
        <f>IFERROR(50+VLOOKUP($A14,'Xtal_SegEnds_Prot#'!$A:$AY,17,FALSE)-VLOOKUP($B14,'NonXtal_SegEnds_Prot#'!$A:$AL,13,FALSE),"-")</f>
        <v>49</v>
      </c>
      <c r="J14" s="2">
        <f>IFERROR(50+VLOOKUP($A14,'Xtal_SegEnds_Prot#'!$A:$AY,19,FALSE)-VLOOKUP($B14,'NonXtal_SegEnds_Prot#'!$A:$AL,13,FALSE),"-")</f>
        <v>52</v>
      </c>
      <c r="K14" s="2">
        <f>IFERROR(50+VLOOKUP($A14,'Xtal_SegEnds_Prot#'!$A:$AY,21,FALSE)-VLOOKUP($B14,'NonXtal_SegEnds_Prot#'!$A:$AL,16,FALSE),"-")</f>
        <v>21</v>
      </c>
      <c r="L14" s="2">
        <f>IFERROR(50+VLOOKUP($A14,'Xtal_SegEnds_Prot#'!$A:$AY,23,FALSE)-VLOOKUP($B14,'NonXtal_SegEnds_Prot#'!$A:$AL,16,FALSE),"-")</f>
        <v>56</v>
      </c>
      <c r="M14" s="2">
        <f>IFERROR(50+VLOOKUP($A14,'Xtal_SegEnds_Prot#'!$A:$AY,25,FALSE)-VLOOKUP($B14,'NonXtal_SegEnds_Prot#'!$A:$AL,19,FALSE),"-")</f>
        <v>50</v>
      </c>
      <c r="N14" s="2">
        <f>IFERROR(50+VLOOKUP($A14,'Xtal_SegEnds_Prot#'!$A:$AY,27,FALSE)-VLOOKUP($B14,'NonXtal_SegEnds_Prot#'!$A:$AL,19,FALSE),"-")</f>
        <v>57</v>
      </c>
      <c r="O14" s="2">
        <f>IFERROR(50+VLOOKUP($A14,'Xtal_SegEnds_Prot#'!$A:$AY,29,FALSE)-VLOOKUP($B14,'NonXtal_SegEnds_Prot#'!$A:$AL,22,FALSE),"-")</f>
        <v>39</v>
      </c>
      <c r="P14" s="2">
        <f>IFERROR(50+VLOOKUP($A14,'Xtal_SegEnds_Prot#'!$A:$AY,31,FALSE)-VLOOKUP($B14,'NonXtal_SegEnds_Prot#'!$A:$AL,22,FALSE),"-")</f>
        <v>62</v>
      </c>
      <c r="Q14" s="2">
        <f>IFERROR(50+VLOOKUP($A14,'Xtal_SegEnds_Prot#'!$A:$AY,33,FALSE)-VLOOKUP($B14,'NonXtal_SegEnds_Prot#'!$A:$AL,25,FALSE),"-")</f>
        <v>50</v>
      </c>
      <c r="R14" s="2">
        <f>IFERROR(50+VLOOKUP($A14,'Xtal_SegEnds_Prot#'!$A:$AY,35,FALSE)-VLOOKUP($B14,'NonXtal_SegEnds_Prot#'!$A:$AL,25,FALSE),"-")</f>
        <v>52</v>
      </c>
      <c r="S14" s="2">
        <f>IFERROR(50+VLOOKUP($A14,'Xtal_SegEnds_Prot#'!$A:$AY,37,FALSE)-VLOOKUP($B14,'NonXtal_SegEnds_Prot#'!$A:$AL,28,FALSE),"-")</f>
        <v>35</v>
      </c>
      <c r="T14" s="89">
        <f>IFERROR(50+VLOOKUP($A14,'Xtal_SegEnds_Prot#'!$A:$AY,39,FALSE)-VLOOKUP($B14,'NonXtal_SegEnds_Prot#'!$A:$AL,28,FALSE),"-")</f>
        <v>76</v>
      </c>
      <c r="U14" s="2">
        <f>IFERROR(50+VLOOKUP($A14,'Xtal_SegEnds_Prot#'!$A:$AY,41,FALSE)-VLOOKUP($B14,'NonXtal_SegEnds_Prot#'!$A:$AL,31,FALSE),"-")</f>
        <v>24</v>
      </c>
      <c r="V14" s="2">
        <f>IFERROR(50+VLOOKUP($A14,'Xtal_SegEnds_Prot#'!$A:$AY,43,FALSE)-VLOOKUP($B14,'NonXtal_SegEnds_Prot#'!$A:$AL,31,FALSE),"-")</f>
        <v>61</v>
      </c>
      <c r="W14" s="2">
        <f>IFERROR(50+VLOOKUP($A14,'Xtal_SegEnds_Prot#'!$A:$AY,45,FALSE)-VLOOKUP($B14,'NonXtal_SegEnds_Prot#'!$A:$AL,34,FALSE),"-")</f>
        <v>31</v>
      </c>
      <c r="X14" s="2">
        <f>IFERROR(50+VLOOKUP($A14,'Xtal_SegEnds_Prot#'!$A:$AY,47,FALSE)-VLOOKUP($B14,'NonXtal_SegEnds_Prot#'!$A:$AL,34,FALSE),"-")</f>
        <v>56</v>
      </c>
      <c r="Y14" s="2">
        <f>IFERROR(50+VLOOKUP($A14,'Xtal_SegEnds_Prot#'!$A:$AY,49,FALSE)-VLOOKUP($B14,'NonXtal_SegEnds_Prot#'!$A:$AL,37,FALSE),"-")</f>
        <v>47</v>
      </c>
      <c r="Z14" s="2">
        <f>IFERROR(50+VLOOKUP($A14,'Xtal_SegEnds_Prot#'!$A:$AY,51,FALSE)-VLOOKUP($B14,'NonXtal_SegEnds_Prot#'!$A:$AL,37,FALSE),"-")</f>
        <v>59</v>
      </c>
      <c r="AA14" s="102" t="str">
        <f>VLOOKUP(B14,Classification!A:D,2,FALSE)</f>
        <v>A</v>
      </c>
      <c r="AB14" s="102">
        <f>VLOOKUP(B14,'NonXtal_SegEnds_Prot#'!A:AL,6,FALSE)-VLOOKUP(B14,'NonXtal_SegEnds_Prot#'!A:AL,5,FALSE)</f>
        <v>1</v>
      </c>
      <c r="AC14" s="102">
        <f>VLOOKUP(B14,'NonXtal_SegEnds_Prot#'!A:AL,9,FALSE)-VLOOKUP(B14,'NonXtal_SegEnds_Prot#'!A:AL,8,FALSE)</f>
        <v>1</v>
      </c>
      <c r="AD14" s="102">
        <f>VLOOKUP(B14,'NonXtal_SegEnds_Prot#'!A:AL,13,FALSE)-VLOOKUP(B14,'NonXtal_SegEnds_Prot#'!A:AL,10,FALSE)</f>
        <v>20</v>
      </c>
      <c r="AE14" s="102">
        <f>VLOOKUP(B14,'NonXtal_SegEnds_Prot#'!A:AL,12,FALSE)-VLOOKUP(B14,'NonXtal_SegEnds_Prot#'!A:AL,11,FALSE)</f>
        <v>2</v>
      </c>
      <c r="AF14" s="102">
        <f>VLOOKUP(B14,'NonXtal_SegEnds_Prot#'!A:AL,13,FALSE)-VLOOKUP(B14,'NonXtal_SegEnds_Prot#'!A:AL,11,FALSE)</f>
        <v>3</v>
      </c>
      <c r="AG14" s="102">
        <f>VLOOKUP(B14,'NonXtal_SegEnds_Prot#'!A:AL,16,FALSE)-VLOOKUP(B14,'NonXtal_SegEnds_Prot#'!A:AL,10,FALSE)</f>
        <v>52</v>
      </c>
      <c r="AH14" s="102">
        <f>VLOOKUP(B14,'NonXtal_SegEnds_Prot#'!A:AL,16,FALSE)-VLOOKUP(B14,'NonXtal_SegEnds_Prot#'!A:AL,11,FALSE)</f>
        <v>35</v>
      </c>
      <c r="AI14" s="102">
        <f>VLOOKUP(B14,'NonXtal_SegEnds_Prot#'!A:AL,15,FALSE)-VLOOKUP(B14,'NonXtal_SegEnds_Prot#'!A:AL,14,FALSE)</f>
        <v>1</v>
      </c>
      <c r="AJ14" s="102">
        <f>VLOOKUP(B14,'NonXtal_SegEnds_Prot#'!A:AL,18,FALSE)-VLOOKUP(B14,'NonXtal_SegEnds_Prot#'!A:AL,17,FALSE)</f>
        <v>1</v>
      </c>
      <c r="AK14" s="2">
        <f>VLOOKUP(B14,'NonXtal_SegEnds_Prot#'!A:AL,34,FALSE)-VLOOKUP(B14,'NonXtal_SegEnds_Prot#'!A:AL,31,FALSE)</f>
        <v>35</v>
      </c>
      <c r="AL14" s="86"/>
    </row>
    <row r="15" spans="1:62" s="2" customFormat="1" x14ac:dyDescent="0.2">
      <c r="A15" s="2" t="s">
        <v>1493</v>
      </c>
      <c r="B15" s="2" t="s">
        <v>1118</v>
      </c>
      <c r="C15" s="2">
        <f>IFERROR(50+VLOOKUP($A15,'Xtal_SegEnds_Prot#'!$A:$AY,5,FALSE)-VLOOKUP($B15,'NonXtal_SegEnds_Prot#'!$A:$AL,4,FALSE),"-")</f>
        <v>29</v>
      </c>
      <c r="D15" s="2">
        <f>IFERROR(50+VLOOKUP($A15,'Xtal_SegEnds_Prot#'!$A:$AY,7,FALSE)-VLOOKUP($B15,'NonXtal_SegEnds_Prot#'!$A:$AL,4,FALSE),"-")</f>
        <v>60</v>
      </c>
      <c r="E15" s="2">
        <f>IFERROR(50+VLOOKUP($A15,'Xtal_SegEnds_Prot#'!$A:$AY,9,FALSE)-VLOOKUP($B15,'NonXtal_SegEnds_Prot#'!$A:$AL,7,FALSE),"-")</f>
        <v>48</v>
      </c>
      <c r="F15" s="2">
        <f>IFERROR(50+VLOOKUP($A15,'Xtal_SegEnds_Prot#'!$A:$AY,11,FALSE)-VLOOKUP($B15,'NonXtal_SegEnds_Prot#'!$A:$AL,7,FALSE),"-")</f>
        <v>51</v>
      </c>
      <c r="G15" s="2">
        <f>IFERROR(50+VLOOKUP($A15,'Xtal_SegEnds_Prot#'!$A:$AY,13,FALSE)-VLOOKUP($B15,'NonXtal_SegEnds_Prot#'!$A:$AL,10,FALSE),"-")</f>
        <v>37</v>
      </c>
      <c r="H15" s="2">
        <f>IFERROR(50+VLOOKUP($A15,'Xtal_SegEnds_Prot#'!$A:$AY,15,FALSE)-VLOOKUP($B15,'NonXtal_SegEnds_Prot#'!$A:$AL,10,FALSE),"-")</f>
        <v>69</v>
      </c>
      <c r="I15" s="2">
        <f>IFERROR(50+VLOOKUP($A15,'Xtal_SegEnds_Prot#'!$A:$AY,17,FALSE)-VLOOKUP($B15,'NonXtal_SegEnds_Prot#'!$A:$AL,13,FALSE),"-")</f>
        <v>49</v>
      </c>
      <c r="J15" s="2">
        <f>IFERROR(50+VLOOKUP($A15,'Xtal_SegEnds_Prot#'!$A:$AY,19,FALSE)-VLOOKUP($B15,'NonXtal_SegEnds_Prot#'!$A:$AL,13,FALSE),"-")</f>
        <v>52</v>
      </c>
      <c r="K15" s="2">
        <f>IFERROR(50+VLOOKUP($A15,'Xtal_SegEnds_Prot#'!$A:$AY,21,FALSE)-VLOOKUP($B15,'NonXtal_SegEnds_Prot#'!$A:$AL,16,FALSE),"-")</f>
        <v>21</v>
      </c>
      <c r="L15" s="2">
        <f>IFERROR(50+VLOOKUP($A15,'Xtal_SegEnds_Prot#'!$A:$AY,23,FALSE)-VLOOKUP($B15,'NonXtal_SegEnds_Prot#'!$A:$AL,16,FALSE),"-")</f>
        <v>56</v>
      </c>
      <c r="M15" s="2">
        <f>IFERROR(50+VLOOKUP($A15,'Xtal_SegEnds_Prot#'!$A:$AY,25,FALSE)-VLOOKUP($B15,'NonXtal_SegEnds_Prot#'!$A:$AL,19,FALSE),"-")</f>
        <v>50</v>
      </c>
      <c r="N15" s="2">
        <f>IFERROR(50+VLOOKUP($A15,'Xtal_SegEnds_Prot#'!$A:$AY,27,FALSE)-VLOOKUP($B15,'NonXtal_SegEnds_Prot#'!$A:$AL,19,FALSE),"-")</f>
        <v>57</v>
      </c>
      <c r="O15" s="2">
        <f>IFERROR(50+VLOOKUP($A15,'Xtal_SegEnds_Prot#'!$A:$AY,29,FALSE)-VLOOKUP($B15,'NonXtal_SegEnds_Prot#'!$A:$AL,22,FALSE),"-")</f>
        <v>39</v>
      </c>
      <c r="P15" s="2">
        <f>IFERROR(50+VLOOKUP($A15,'Xtal_SegEnds_Prot#'!$A:$AY,31,FALSE)-VLOOKUP($B15,'NonXtal_SegEnds_Prot#'!$A:$AL,22,FALSE),"-")</f>
        <v>62</v>
      </c>
      <c r="Q15" s="2">
        <f>IFERROR(50+VLOOKUP($A15,'Xtal_SegEnds_Prot#'!$A:$AY,33,FALSE)-VLOOKUP($B15,'NonXtal_SegEnds_Prot#'!$A:$AL,25,FALSE),"-")</f>
        <v>50</v>
      </c>
      <c r="R15" s="2">
        <f>IFERROR(50+VLOOKUP($A15,'Xtal_SegEnds_Prot#'!$A:$AY,35,FALSE)-VLOOKUP($B15,'NonXtal_SegEnds_Prot#'!$A:$AL,25,FALSE),"-")</f>
        <v>52</v>
      </c>
      <c r="S15" s="2">
        <f>IFERROR(50+VLOOKUP($A15,'Xtal_SegEnds_Prot#'!$A:$AY,37,FALSE)-VLOOKUP($B15,'NonXtal_SegEnds_Prot#'!$A:$AL,28,FALSE),"-")</f>
        <v>32</v>
      </c>
      <c r="T15" s="89">
        <f>IFERROR(50+VLOOKUP($A15,'Xtal_SegEnds_Prot#'!$A:$AY,39,FALSE)-VLOOKUP($B15,'NonXtal_SegEnds_Prot#'!$A:$AL,28,FALSE),"-")</f>
        <v>77</v>
      </c>
      <c r="U15" s="2">
        <f>IFERROR(50+VLOOKUP($A15,'Xtal_SegEnds_Prot#'!$A:$AY,41,FALSE)-VLOOKUP($B15,'NonXtal_SegEnds_Prot#'!$A:$AL,31,FALSE),"-")</f>
        <v>18</v>
      </c>
      <c r="V15" s="2">
        <f>IFERROR(50+VLOOKUP($A15,'Xtal_SegEnds_Prot#'!$A:$AY,43,FALSE)-VLOOKUP($B15,'NonXtal_SegEnds_Prot#'!$A:$AL,31,FALSE),"-")</f>
        <v>61</v>
      </c>
      <c r="W15" s="2">
        <f>IFERROR(50+VLOOKUP($A15,'Xtal_SegEnds_Prot#'!$A:$AY,45,FALSE)-VLOOKUP($B15,'NonXtal_SegEnds_Prot#'!$A:$AL,34,FALSE),"-")</f>
        <v>31</v>
      </c>
      <c r="X15" s="2">
        <f>IFERROR(50+VLOOKUP($A15,'Xtal_SegEnds_Prot#'!$A:$AY,47,FALSE)-VLOOKUP($B15,'NonXtal_SegEnds_Prot#'!$A:$AL,34,FALSE),"-")</f>
        <v>56</v>
      </c>
      <c r="Y15" s="2">
        <f>IFERROR(50+VLOOKUP($A15,'Xtal_SegEnds_Prot#'!$A:$AY,49,FALSE)-VLOOKUP($B15,'NonXtal_SegEnds_Prot#'!$A:$AL,37,FALSE),"-")</f>
        <v>47</v>
      </c>
      <c r="Z15" s="2">
        <f>IFERROR(50+VLOOKUP($A15,'Xtal_SegEnds_Prot#'!$A:$AY,51,FALSE)-VLOOKUP($B15,'NonXtal_SegEnds_Prot#'!$A:$AL,37,FALSE),"-")</f>
        <v>58</v>
      </c>
      <c r="AA15" s="102" t="str">
        <f>VLOOKUP(B15,Classification!A:D,2,FALSE)</f>
        <v>A</v>
      </c>
      <c r="AB15" s="102">
        <f>VLOOKUP(B15,'NonXtal_SegEnds_Prot#'!A:AL,6,FALSE)-VLOOKUP(B15,'NonXtal_SegEnds_Prot#'!A:AL,5,FALSE)</f>
        <v>1</v>
      </c>
      <c r="AC15" s="102">
        <f>VLOOKUP(B15,'NonXtal_SegEnds_Prot#'!A:AL,9,FALSE)-VLOOKUP(B15,'NonXtal_SegEnds_Prot#'!A:AL,8,FALSE)</f>
        <v>1</v>
      </c>
      <c r="AD15" s="102">
        <f>VLOOKUP(B15,'NonXtal_SegEnds_Prot#'!A:AL,13,FALSE)-VLOOKUP(B15,'NonXtal_SegEnds_Prot#'!A:AL,10,FALSE)</f>
        <v>21</v>
      </c>
      <c r="AE15" s="102">
        <f>VLOOKUP(B15,'NonXtal_SegEnds_Prot#'!A:AL,12,FALSE)-VLOOKUP(B15,'NonXtal_SegEnds_Prot#'!A:AL,11,FALSE)</f>
        <v>1</v>
      </c>
      <c r="AF15" s="102">
        <f>VLOOKUP(B15,'NonXtal_SegEnds_Prot#'!A:AL,13,FALSE)-VLOOKUP(B15,'NonXtal_SegEnds_Prot#'!A:AL,11,FALSE)</f>
        <v>2</v>
      </c>
      <c r="AG15" s="102">
        <f>VLOOKUP(B15,'NonXtal_SegEnds_Prot#'!A:AL,16,FALSE)-VLOOKUP(B15,'NonXtal_SegEnds_Prot#'!A:AL,10,FALSE)</f>
        <v>53</v>
      </c>
      <c r="AH15" s="102">
        <f>VLOOKUP(B15,'NonXtal_SegEnds_Prot#'!A:AL,16,FALSE)-VLOOKUP(B15,'NonXtal_SegEnds_Prot#'!A:AL,11,FALSE)</f>
        <v>34</v>
      </c>
      <c r="AI15" s="102">
        <f>VLOOKUP(B15,'NonXtal_SegEnds_Prot#'!A:AL,15,FALSE)-VLOOKUP(B15,'NonXtal_SegEnds_Prot#'!A:AL,14,FALSE)</f>
        <v>1</v>
      </c>
      <c r="AJ15" s="102">
        <f>VLOOKUP(B15,'NonXtal_SegEnds_Prot#'!A:AL,18,FALSE)-VLOOKUP(B15,'NonXtal_SegEnds_Prot#'!A:AL,17,FALSE)</f>
        <v>1</v>
      </c>
      <c r="AK15" s="2">
        <f>VLOOKUP(B15,'NonXtal_SegEnds_Prot#'!A:AL,34,FALSE)-VLOOKUP(B15,'NonXtal_SegEnds_Prot#'!A:AL,31,FALSE)</f>
        <v>36</v>
      </c>
      <c r="AL15" s="86"/>
    </row>
    <row r="16" spans="1:62" s="2" customFormat="1" x14ac:dyDescent="0.2">
      <c r="A16" s="2" t="s">
        <v>1492</v>
      </c>
      <c r="B16" s="2" t="s">
        <v>533</v>
      </c>
      <c r="C16" s="2">
        <f>IFERROR(50+VLOOKUP($A16,'Xtal_SegEnds_Prot#'!$A:$AY,5,FALSE)-VLOOKUP($B16,'NonXtal_SegEnds_Prot#'!$A:$AL,4,FALSE),"-")</f>
        <v>29</v>
      </c>
      <c r="D16" s="2">
        <f>IFERROR(50+VLOOKUP($A16,'Xtal_SegEnds_Prot#'!$A:$AY,7,FALSE)-VLOOKUP($B16,'NonXtal_SegEnds_Prot#'!$A:$AL,4,FALSE),"-")</f>
        <v>60</v>
      </c>
      <c r="E16" s="2">
        <f>IFERROR(50+VLOOKUP($A16,'Xtal_SegEnds_Prot#'!$A:$AY,9,FALSE)-VLOOKUP($B16,'NonXtal_SegEnds_Prot#'!$A:$AL,7,FALSE),"-")</f>
        <v>48</v>
      </c>
      <c r="F16" s="2">
        <f>IFERROR(50+VLOOKUP($A16,'Xtal_SegEnds_Prot#'!$A:$AY,11,FALSE)-VLOOKUP($B16,'NonXtal_SegEnds_Prot#'!$A:$AL,7,FALSE),"-")</f>
        <v>51</v>
      </c>
      <c r="G16" s="2">
        <f>IFERROR(50+VLOOKUP($A16,'Xtal_SegEnds_Prot#'!$A:$AY,13,FALSE)-VLOOKUP($B16,'NonXtal_SegEnds_Prot#'!$A:$AL,10,FALSE),"-")</f>
        <v>37</v>
      </c>
      <c r="H16" s="2">
        <f>IFERROR(50+VLOOKUP($A16,'Xtal_SegEnds_Prot#'!$A:$AY,15,FALSE)-VLOOKUP($B16,'NonXtal_SegEnds_Prot#'!$A:$AL,10,FALSE),"-")</f>
        <v>67</v>
      </c>
      <c r="I16" s="2">
        <f>IFERROR(50+VLOOKUP($A16,'Xtal_SegEnds_Prot#'!$A:$AY,17,FALSE)-VLOOKUP($B16,'NonXtal_SegEnds_Prot#'!$A:$AL,13,FALSE),"-")</f>
        <v>49</v>
      </c>
      <c r="J16" s="2">
        <f>IFERROR(50+VLOOKUP($A16,'Xtal_SegEnds_Prot#'!$A:$AY,19,FALSE)-VLOOKUP($B16,'NonXtal_SegEnds_Prot#'!$A:$AL,13,FALSE),"-")</f>
        <v>52</v>
      </c>
      <c r="K16" s="2">
        <f>IFERROR(50+VLOOKUP($A16,'Xtal_SegEnds_Prot#'!$A:$AY,21,FALSE)-VLOOKUP($B16,'NonXtal_SegEnds_Prot#'!$A:$AL,16,FALSE),"-")</f>
        <v>21</v>
      </c>
      <c r="L16" s="2">
        <f>IFERROR(50+VLOOKUP($A16,'Xtal_SegEnds_Prot#'!$A:$AY,23,FALSE)-VLOOKUP($B16,'NonXtal_SegEnds_Prot#'!$A:$AL,16,FALSE),"-")</f>
        <v>56</v>
      </c>
      <c r="M16" s="2">
        <f>IFERROR(50+VLOOKUP($A16,'Xtal_SegEnds_Prot#'!$A:$AY,25,FALSE)-VLOOKUP($B16,'NonXtal_SegEnds_Prot#'!$A:$AL,19,FALSE),"-")</f>
        <v>50</v>
      </c>
      <c r="N16" s="2">
        <f>IFERROR(50+VLOOKUP($A16,'Xtal_SegEnds_Prot#'!$A:$AY,27,FALSE)-VLOOKUP($B16,'NonXtal_SegEnds_Prot#'!$A:$AL,19,FALSE),"-")</f>
        <v>57</v>
      </c>
      <c r="O16" s="2">
        <f>IFERROR(50+VLOOKUP($A16,'Xtal_SegEnds_Prot#'!$A:$AY,29,FALSE)-VLOOKUP($B16,'NonXtal_SegEnds_Prot#'!$A:$AL,22,FALSE),"-")</f>
        <v>39</v>
      </c>
      <c r="P16" s="2">
        <f>IFERROR(50+VLOOKUP($A16,'Xtal_SegEnds_Prot#'!$A:$AY,31,FALSE)-VLOOKUP($B16,'NonXtal_SegEnds_Prot#'!$A:$AL,22,FALSE),"-")</f>
        <v>62</v>
      </c>
      <c r="Q16" s="2">
        <f>IFERROR(50+VLOOKUP($A16,'Xtal_SegEnds_Prot#'!$A:$AY,33,FALSE)-VLOOKUP($B16,'NonXtal_SegEnds_Prot#'!$A:$AL,25,FALSE),"-")</f>
        <v>50</v>
      </c>
      <c r="R16" s="2">
        <f>IFERROR(50+VLOOKUP($A16,'Xtal_SegEnds_Prot#'!$A:$AY,35,FALSE)-VLOOKUP($B16,'NonXtal_SegEnds_Prot#'!$A:$AL,25,FALSE),"-")</f>
        <v>52</v>
      </c>
      <c r="S16" s="2">
        <f>IFERROR(50+VLOOKUP($A16,'Xtal_SegEnds_Prot#'!$A:$AY,37,FALSE)-VLOOKUP($B16,'NonXtal_SegEnds_Prot#'!$A:$AL,28,FALSE),"-")</f>
        <v>34</v>
      </c>
      <c r="T16" s="89">
        <f>IFERROR(50+VLOOKUP($A16,'Xtal_SegEnds_Prot#'!$A:$AY,39,FALSE)-VLOOKUP($B16,'NonXtal_SegEnds_Prot#'!$A:$AL,28,FALSE),"-")</f>
        <v>72</v>
      </c>
      <c r="U16" s="2">
        <f>IFERROR(50+VLOOKUP($A16,'Xtal_SegEnds_Prot#'!$A:$AY,41,FALSE)-VLOOKUP($B16,'NonXtal_SegEnds_Prot#'!$A:$AL,31,FALSE),"-")</f>
        <v>24</v>
      </c>
      <c r="V16" s="2">
        <f>IFERROR(50+VLOOKUP($A16,'Xtal_SegEnds_Prot#'!$A:$AY,43,FALSE)-VLOOKUP($B16,'NonXtal_SegEnds_Prot#'!$A:$AL,31,FALSE),"-")</f>
        <v>61</v>
      </c>
      <c r="W16" s="2">
        <f>IFERROR(50+VLOOKUP($A16,'Xtal_SegEnds_Prot#'!$A:$AY,45,FALSE)-VLOOKUP($B16,'NonXtal_SegEnds_Prot#'!$A:$AL,34,FALSE),"-")</f>
        <v>31</v>
      </c>
      <c r="X16" s="2">
        <f>IFERROR(50+VLOOKUP($A16,'Xtal_SegEnds_Prot#'!$A:$AY,47,FALSE)-VLOOKUP($B16,'NonXtal_SegEnds_Prot#'!$A:$AL,34,FALSE),"-")</f>
        <v>56</v>
      </c>
      <c r="Y16" s="2">
        <f>IFERROR(50+VLOOKUP($A16,'Xtal_SegEnds_Prot#'!$A:$AY,49,FALSE)-VLOOKUP($B16,'NonXtal_SegEnds_Prot#'!$A:$AL,37,FALSE),"-")</f>
        <v>47</v>
      </c>
      <c r="Z16" s="2">
        <f>IFERROR(50+VLOOKUP($A16,'Xtal_SegEnds_Prot#'!$A:$AY,51,FALSE)-VLOOKUP($B16,'NonXtal_SegEnds_Prot#'!$A:$AL,37,FALSE),"-")</f>
        <v>59</v>
      </c>
      <c r="AA16" s="102" t="str">
        <f>VLOOKUP(B16,Classification!A:D,2,FALSE)</f>
        <v>A</v>
      </c>
      <c r="AB16" s="102">
        <f>VLOOKUP(B16,'NonXtal_SegEnds_Prot#'!A:AL,6,FALSE)-VLOOKUP(B16,'NonXtal_SegEnds_Prot#'!A:AL,5,FALSE)</f>
        <v>1</v>
      </c>
      <c r="AC16" s="102">
        <f>VLOOKUP(B16,'NonXtal_SegEnds_Prot#'!A:AL,9,FALSE)-VLOOKUP(B16,'NonXtal_SegEnds_Prot#'!A:AL,8,FALSE)</f>
        <v>1</v>
      </c>
      <c r="AD16" s="102">
        <f>VLOOKUP(B16,'NonXtal_SegEnds_Prot#'!A:AL,13,FALSE)-VLOOKUP(B16,'NonXtal_SegEnds_Prot#'!A:AL,10,FALSE)</f>
        <v>20</v>
      </c>
      <c r="AE16" s="102">
        <f>VLOOKUP(B16,'NonXtal_SegEnds_Prot#'!A:AL,12,FALSE)-VLOOKUP(B16,'NonXtal_SegEnds_Prot#'!A:AL,11,FALSE)</f>
        <v>2</v>
      </c>
      <c r="AF16" s="102">
        <f>VLOOKUP(B16,'NonXtal_SegEnds_Prot#'!A:AL,13,FALSE)-VLOOKUP(B16,'NonXtal_SegEnds_Prot#'!A:AL,11,FALSE)</f>
        <v>3</v>
      </c>
      <c r="AG16" s="102">
        <f>VLOOKUP(B16,'NonXtal_SegEnds_Prot#'!A:AL,16,FALSE)-VLOOKUP(B16,'NonXtal_SegEnds_Prot#'!A:AL,10,FALSE)</f>
        <v>52</v>
      </c>
      <c r="AH16" s="102">
        <f>VLOOKUP(B16,'NonXtal_SegEnds_Prot#'!A:AL,16,FALSE)-VLOOKUP(B16,'NonXtal_SegEnds_Prot#'!A:AL,11,FALSE)</f>
        <v>35</v>
      </c>
      <c r="AI16" s="102">
        <f>VLOOKUP(B16,'NonXtal_SegEnds_Prot#'!A:AL,15,FALSE)-VLOOKUP(B16,'NonXtal_SegEnds_Prot#'!A:AL,14,FALSE)</f>
        <v>1</v>
      </c>
      <c r="AJ16" s="102">
        <f>VLOOKUP(B16,'NonXtal_SegEnds_Prot#'!A:AL,18,FALSE)-VLOOKUP(B16,'NonXtal_SegEnds_Prot#'!A:AL,17,FALSE)</f>
        <v>1</v>
      </c>
      <c r="AK16" s="2">
        <f>VLOOKUP(B16,'NonXtal_SegEnds_Prot#'!A:AL,34,FALSE)-VLOOKUP(B16,'NonXtal_SegEnds_Prot#'!A:AL,31,FALSE)</f>
        <v>36</v>
      </c>
      <c r="AL16" s="86"/>
    </row>
    <row r="17" spans="1:62" s="2" customFormat="1" x14ac:dyDescent="0.2">
      <c r="A17" s="2" t="s">
        <v>1491</v>
      </c>
      <c r="B17" s="2" t="s">
        <v>1116</v>
      </c>
      <c r="C17" s="2">
        <f>IFERROR(50+VLOOKUP($A17,'Xtal_SegEnds_Prot#'!$A:$AY,5,FALSE)-VLOOKUP($B17,'NonXtal_SegEnds_Prot#'!$A:$AL,4,FALSE),"-")</f>
        <v>29</v>
      </c>
      <c r="D17" s="2">
        <f>IFERROR(50+VLOOKUP($A17,'Xtal_SegEnds_Prot#'!$A:$AY,7,FALSE)-VLOOKUP($B17,'NonXtal_SegEnds_Prot#'!$A:$AL,4,FALSE),"-")</f>
        <v>60</v>
      </c>
      <c r="E17" s="2">
        <f>IFERROR(50+VLOOKUP($A17,'Xtal_SegEnds_Prot#'!$A:$AY,9,FALSE)-VLOOKUP($B17,'NonXtal_SegEnds_Prot#'!$A:$AL,7,FALSE),"-")</f>
        <v>48</v>
      </c>
      <c r="F17" s="2">
        <f>IFERROR(50+VLOOKUP($A17,'Xtal_SegEnds_Prot#'!$A:$AY,11,FALSE)-VLOOKUP($B17,'NonXtal_SegEnds_Prot#'!$A:$AL,7,FALSE),"-")</f>
        <v>51</v>
      </c>
      <c r="G17" s="2">
        <f>IFERROR(50+VLOOKUP($A17,'Xtal_SegEnds_Prot#'!$A:$AY,13,FALSE)-VLOOKUP($B17,'NonXtal_SegEnds_Prot#'!$A:$AL,10,FALSE),"-")</f>
        <v>37</v>
      </c>
      <c r="H17" s="2">
        <f>IFERROR(50+VLOOKUP($A17,'Xtal_SegEnds_Prot#'!$A:$AY,15,FALSE)-VLOOKUP($B17,'NonXtal_SegEnds_Prot#'!$A:$AL,10,FALSE),"-")</f>
        <v>67</v>
      </c>
      <c r="I17" s="2">
        <f>IFERROR(50+VLOOKUP($A17,'Xtal_SegEnds_Prot#'!$A:$AY,17,FALSE)-VLOOKUP($B17,'NonXtal_SegEnds_Prot#'!$A:$AL,13,FALSE),"-")</f>
        <v>49</v>
      </c>
      <c r="J17" s="2">
        <f>IFERROR(50+VLOOKUP($A17,'Xtal_SegEnds_Prot#'!$A:$AY,19,FALSE)-VLOOKUP($B17,'NonXtal_SegEnds_Prot#'!$A:$AL,13,FALSE),"-")</f>
        <v>52</v>
      </c>
      <c r="K17" s="2">
        <f>IFERROR(50+VLOOKUP($A17,'Xtal_SegEnds_Prot#'!$A:$AY,21,FALSE)-VLOOKUP($B17,'NonXtal_SegEnds_Prot#'!$A:$AL,16,FALSE),"-")</f>
        <v>21</v>
      </c>
      <c r="L17" s="2">
        <f>IFERROR(50+VLOOKUP($A17,'Xtal_SegEnds_Prot#'!$A:$AY,23,FALSE)-VLOOKUP($B17,'NonXtal_SegEnds_Prot#'!$A:$AL,16,FALSE),"-")</f>
        <v>56</v>
      </c>
      <c r="M17" s="2">
        <f>IFERROR(50+VLOOKUP($A17,'Xtal_SegEnds_Prot#'!$A:$AY,25,FALSE)-VLOOKUP($B17,'NonXtal_SegEnds_Prot#'!$A:$AL,19,FALSE),"-")</f>
        <v>50</v>
      </c>
      <c r="N17" s="2">
        <f>IFERROR(50+VLOOKUP($A17,'Xtal_SegEnds_Prot#'!$A:$AY,27,FALSE)-VLOOKUP($B17,'NonXtal_SegEnds_Prot#'!$A:$AL,19,FALSE),"-")</f>
        <v>57</v>
      </c>
      <c r="O17" s="2">
        <f>IFERROR(50+VLOOKUP($A17,'Xtal_SegEnds_Prot#'!$A:$AY,29,FALSE)-VLOOKUP($B17,'NonXtal_SegEnds_Prot#'!$A:$AL,22,FALSE),"-")</f>
        <v>39</v>
      </c>
      <c r="P17" s="2">
        <f>IFERROR(50+VLOOKUP($A17,'Xtal_SegEnds_Prot#'!$A:$AY,31,FALSE)-VLOOKUP($B17,'NonXtal_SegEnds_Prot#'!$A:$AL,22,FALSE),"-")</f>
        <v>62</v>
      </c>
      <c r="Q17" s="2">
        <f>IFERROR(50+VLOOKUP($A17,'Xtal_SegEnds_Prot#'!$A:$AY,33,FALSE)-VLOOKUP($B17,'NonXtal_SegEnds_Prot#'!$A:$AL,25,FALSE),"-")</f>
        <v>50</v>
      </c>
      <c r="R17" s="2">
        <f>IFERROR(50+VLOOKUP($A17,'Xtal_SegEnds_Prot#'!$A:$AY,35,FALSE)-VLOOKUP($B17,'NonXtal_SegEnds_Prot#'!$A:$AL,25,FALSE),"-")</f>
        <v>52</v>
      </c>
      <c r="S17" s="2">
        <f>IFERROR(50+VLOOKUP($A17,'Xtal_SegEnds_Prot#'!$A:$AY,37,FALSE)-VLOOKUP($B17,'NonXtal_SegEnds_Prot#'!$A:$AL,28,FALSE),"-")</f>
        <v>34</v>
      </c>
      <c r="T17" s="89">
        <f>IFERROR(50+VLOOKUP($A17,'Xtal_SegEnds_Prot#'!$A:$AY,39,FALSE)-VLOOKUP($B17,'NonXtal_SegEnds_Prot#'!$A:$AL,28,FALSE),"-")</f>
        <v>72</v>
      </c>
      <c r="U17" s="2">
        <f>IFERROR(50+VLOOKUP($A17,'Xtal_SegEnds_Prot#'!$A:$AY,41,FALSE)-VLOOKUP($B17,'NonXtal_SegEnds_Prot#'!$A:$AL,31,FALSE),"-")</f>
        <v>24</v>
      </c>
      <c r="V17" s="2">
        <f>IFERROR(50+VLOOKUP($A17,'Xtal_SegEnds_Prot#'!$A:$AY,43,FALSE)-VLOOKUP($B17,'NonXtal_SegEnds_Prot#'!$A:$AL,31,FALSE),"-")</f>
        <v>61</v>
      </c>
      <c r="W17" s="2">
        <f>IFERROR(50+VLOOKUP($A17,'Xtal_SegEnds_Prot#'!$A:$AY,45,FALSE)-VLOOKUP($B17,'NonXtal_SegEnds_Prot#'!$A:$AL,34,FALSE),"-")</f>
        <v>31</v>
      </c>
      <c r="X17" s="2">
        <f>IFERROR(50+VLOOKUP($A17,'Xtal_SegEnds_Prot#'!$A:$AY,47,FALSE)-VLOOKUP($B17,'NonXtal_SegEnds_Prot#'!$A:$AL,34,FALSE),"-")</f>
        <v>56</v>
      </c>
      <c r="Y17" s="2">
        <f>IFERROR(50+VLOOKUP($A17,'Xtal_SegEnds_Prot#'!$A:$AY,49,FALSE)-VLOOKUP($B17,'NonXtal_SegEnds_Prot#'!$A:$AL,37,FALSE),"-")</f>
        <v>47</v>
      </c>
      <c r="Z17" s="2">
        <f>IFERROR(50+VLOOKUP($A17,'Xtal_SegEnds_Prot#'!$A:$AY,51,FALSE)-VLOOKUP($B17,'NonXtal_SegEnds_Prot#'!$A:$AL,37,FALSE),"-")</f>
        <v>59</v>
      </c>
      <c r="AA17" s="102" t="str">
        <f>VLOOKUP(B17,Classification!A:D,2,FALSE)</f>
        <v>A</v>
      </c>
      <c r="AB17" s="102">
        <f>VLOOKUP(B17,'NonXtal_SegEnds_Prot#'!A:AL,6,FALSE)-VLOOKUP(B17,'NonXtal_SegEnds_Prot#'!A:AL,5,FALSE)</f>
        <v>1</v>
      </c>
      <c r="AC17" s="102">
        <f>VLOOKUP(B17,'NonXtal_SegEnds_Prot#'!A:AL,9,FALSE)-VLOOKUP(B17,'NonXtal_SegEnds_Prot#'!A:AL,8,FALSE)</f>
        <v>1</v>
      </c>
      <c r="AD17" s="102">
        <f>VLOOKUP(B17,'NonXtal_SegEnds_Prot#'!A:AL,13,FALSE)-VLOOKUP(B17,'NonXtal_SegEnds_Prot#'!A:AL,10,FALSE)</f>
        <v>20</v>
      </c>
      <c r="AE17" s="102">
        <f>VLOOKUP(B17,'NonXtal_SegEnds_Prot#'!A:AL,12,FALSE)-VLOOKUP(B17,'NonXtal_SegEnds_Prot#'!A:AL,11,FALSE)</f>
        <v>2</v>
      </c>
      <c r="AF17" s="102">
        <f>VLOOKUP(B17,'NonXtal_SegEnds_Prot#'!A:AL,13,FALSE)-VLOOKUP(B17,'NonXtal_SegEnds_Prot#'!A:AL,11,FALSE)</f>
        <v>3</v>
      </c>
      <c r="AG17" s="102">
        <f>VLOOKUP(B17,'NonXtal_SegEnds_Prot#'!A:AL,16,FALSE)-VLOOKUP(B17,'NonXtal_SegEnds_Prot#'!A:AL,10,FALSE)</f>
        <v>52</v>
      </c>
      <c r="AH17" s="102">
        <f>VLOOKUP(B17,'NonXtal_SegEnds_Prot#'!A:AL,16,FALSE)-VLOOKUP(B17,'NonXtal_SegEnds_Prot#'!A:AL,11,FALSE)</f>
        <v>35</v>
      </c>
      <c r="AI17" s="102">
        <f>VLOOKUP(B17,'NonXtal_SegEnds_Prot#'!A:AL,15,FALSE)-VLOOKUP(B17,'NonXtal_SegEnds_Prot#'!A:AL,14,FALSE)</f>
        <v>1</v>
      </c>
      <c r="AJ17" s="102">
        <f>VLOOKUP(B17,'NonXtal_SegEnds_Prot#'!A:AL,18,FALSE)-VLOOKUP(B17,'NonXtal_SegEnds_Prot#'!A:AL,17,FALSE)</f>
        <v>1</v>
      </c>
      <c r="AK17" s="2">
        <f>VLOOKUP(B17,'NonXtal_SegEnds_Prot#'!A:AL,34,FALSE)-VLOOKUP(B17,'NonXtal_SegEnds_Prot#'!A:AL,31,FALSE)</f>
        <v>36</v>
      </c>
      <c r="AL17" s="86"/>
    </row>
    <row r="18" spans="1:62" s="2" customFormat="1" x14ac:dyDescent="0.2">
      <c r="A18" s="2" t="s">
        <v>1478</v>
      </c>
      <c r="B18" s="2" t="s">
        <v>386</v>
      </c>
      <c r="C18" s="2">
        <f>IFERROR(50+VLOOKUP($A18,'Xtal_SegEnds_Prot#'!$A:$AY,5,FALSE)-VLOOKUP($B18,'NonXtal_SegEnds_Prot#'!$A:$AL,4,FALSE),"-")</f>
        <v>29</v>
      </c>
      <c r="D18" s="2">
        <f>IFERROR(50+VLOOKUP($A18,'Xtal_SegEnds_Prot#'!$A:$AY,7,FALSE)-VLOOKUP($B18,'NonXtal_SegEnds_Prot#'!$A:$AL,4,FALSE),"-")</f>
        <v>60</v>
      </c>
      <c r="E18" s="2">
        <f>IFERROR(50+VLOOKUP($A18,'Xtal_SegEnds_Prot#'!$A:$AY,9,FALSE)-VLOOKUP($B18,'NonXtal_SegEnds_Prot#'!$A:$AL,7,FALSE),"-")</f>
        <v>48</v>
      </c>
      <c r="F18" s="2">
        <f>IFERROR(50+VLOOKUP($A18,'Xtal_SegEnds_Prot#'!$A:$AY,11,FALSE)-VLOOKUP($B18,'NonXtal_SegEnds_Prot#'!$A:$AL,7,FALSE),"-")</f>
        <v>51</v>
      </c>
      <c r="G18" s="2">
        <f>IFERROR(50+VLOOKUP($A18,'Xtal_SegEnds_Prot#'!$A:$AY,13,FALSE)-VLOOKUP($B18,'NonXtal_SegEnds_Prot#'!$A:$AL,10,FALSE),"-")</f>
        <v>37</v>
      </c>
      <c r="H18" s="2">
        <f>IFERROR(50+VLOOKUP($A18,'Xtal_SegEnds_Prot#'!$A:$AY,15,FALSE)-VLOOKUP($B18,'NonXtal_SegEnds_Prot#'!$A:$AL,10,FALSE),"-")</f>
        <v>67</v>
      </c>
      <c r="I18" s="2">
        <f>IFERROR(50+VLOOKUP($A18,'Xtal_SegEnds_Prot#'!$A:$AY,17,FALSE)-VLOOKUP($B18,'NonXtal_SegEnds_Prot#'!$A:$AL,13,FALSE),"-")</f>
        <v>49</v>
      </c>
      <c r="J18" s="2">
        <f>IFERROR(50+VLOOKUP($A18,'Xtal_SegEnds_Prot#'!$A:$AY,19,FALSE)-VLOOKUP($B18,'NonXtal_SegEnds_Prot#'!$A:$AL,13,FALSE),"-")</f>
        <v>52</v>
      </c>
      <c r="K18" s="2">
        <f>IFERROR(50+VLOOKUP($A18,'Xtal_SegEnds_Prot#'!$A:$AY,21,FALSE)-VLOOKUP($B18,'NonXtal_SegEnds_Prot#'!$A:$AL,16,FALSE),"-")</f>
        <v>21</v>
      </c>
      <c r="L18" s="2">
        <f>IFERROR(50+VLOOKUP($A18,'Xtal_SegEnds_Prot#'!$A:$AY,23,FALSE)-VLOOKUP($B18,'NonXtal_SegEnds_Prot#'!$A:$AL,16,FALSE),"-")</f>
        <v>56</v>
      </c>
      <c r="M18" s="2">
        <f>IFERROR(50+VLOOKUP($A18,'Xtal_SegEnds_Prot#'!$A:$AY,25,FALSE)-VLOOKUP($B18,'NonXtal_SegEnds_Prot#'!$A:$AL,19,FALSE),"-")</f>
        <v>50</v>
      </c>
      <c r="N18" s="2">
        <f>IFERROR(50+VLOOKUP($A18,'Xtal_SegEnds_Prot#'!$A:$AY,27,FALSE)-VLOOKUP($B18,'NonXtal_SegEnds_Prot#'!$A:$AL,19,FALSE),"-")</f>
        <v>58</v>
      </c>
      <c r="O18" s="2">
        <f>IFERROR(50+VLOOKUP($A18,'Xtal_SegEnds_Prot#'!$A:$AY,29,FALSE)-VLOOKUP($B18,'NonXtal_SegEnds_Prot#'!$A:$AL,22,FALSE),"-")</f>
        <v>38</v>
      </c>
      <c r="P18" s="2">
        <f>IFERROR(50+VLOOKUP($A18,'Xtal_SegEnds_Prot#'!$A:$AY,31,FALSE)-VLOOKUP($B18,'NonXtal_SegEnds_Prot#'!$A:$AL,22,FALSE),"-")</f>
        <v>63</v>
      </c>
      <c r="Q18" s="2">
        <f>IFERROR(50+VLOOKUP($A18,'Xtal_SegEnds_Prot#'!$A:$AY,33,FALSE)-VLOOKUP($B18,'NonXtal_SegEnds_Prot#'!$A:$AL,25,FALSE),"-")</f>
        <v>50</v>
      </c>
      <c r="R18" s="2">
        <f>IFERROR(50+VLOOKUP($A18,'Xtal_SegEnds_Prot#'!$A:$AY,35,FALSE)-VLOOKUP($B18,'NonXtal_SegEnds_Prot#'!$A:$AL,25,FALSE),"-")</f>
        <v>52</v>
      </c>
      <c r="S18" s="2">
        <f>IFERROR(50+VLOOKUP($A18,'Xtal_SegEnds_Prot#'!$A:$AY,37,FALSE)-VLOOKUP($B18,'NonXtal_SegEnds_Prot#'!$A:$AL,28,FALSE),"-")</f>
        <v>35</v>
      </c>
      <c r="T18" s="89">
        <f>IFERROR(50+VLOOKUP($A18,'Xtal_SegEnds_Prot#'!$A:$AY,39,FALSE)-VLOOKUP($B18,'NonXtal_SegEnds_Prot#'!$A:$AL,28,FALSE),"-")</f>
        <v>76</v>
      </c>
      <c r="U18" s="2">
        <f>IFERROR(50+VLOOKUP($A18,'Xtal_SegEnds_Prot#'!$A:$AY,41,FALSE)-VLOOKUP($B18,'NonXtal_SegEnds_Prot#'!$A:$AL,31,FALSE),"-")</f>
        <v>24</v>
      </c>
      <c r="V18" s="2">
        <f>IFERROR(50+VLOOKUP($A18,'Xtal_SegEnds_Prot#'!$A:$AY,43,FALSE)-VLOOKUP($B18,'NonXtal_SegEnds_Prot#'!$A:$AL,31,FALSE),"-")</f>
        <v>60</v>
      </c>
      <c r="W18" s="2">
        <f>IFERROR(50+VLOOKUP($A18,'Xtal_SegEnds_Prot#'!$A:$AY,45,FALSE)-VLOOKUP($B18,'NonXtal_SegEnds_Prot#'!$A:$AL,34,FALSE),"-")</f>
        <v>31</v>
      </c>
      <c r="X18" s="2">
        <f>IFERROR(50+VLOOKUP($A18,'Xtal_SegEnds_Prot#'!$A:$AY,47,FALSE)-VLOOKUP($B18,'NonXtal_SegEnds_Prot#'!$A:$AL,34,FALSE),"-")</f>
        <v>56</v>
      </c>
      <c r="Y18" s="2">
        <f>IFERROR(50+VLOOKUP($A18,'Xtal_SegEnds_Prot#'!$A:$AY,49,FALSE)-VLOOKUP($B18,'NonXtal_SegEnds_Prot#'!$A:$AL,37,FALSE),"-")</f>
        <v>47</v>
      </c>
      <c r="Z18" s="2">
        <f>IFERROR(50+VLOOKUP($A18,'Xtal_SegEnds_Prot#'!$A:$AY,51,FALSE)-VLOOKUP($B18,'NonXtal_SegEnds_Prot#'!$A:$AL,37,FALSE),"-")</f>
        <v>59</v>
      </c>
      <c r="AA18" s="102" t="str">
        <f>VLOOKUP(B18,Classification!A:D,2,FALSE)</f>
        <v>A</v>
      </c>
      <c r="AB18" s="102">
        <f>VLOOKUP(B18,'NonXtal_SegEnds_Prot#'!A:AL,6,FALSE)-VLOOKUP(B18,'NonXtal_SegEnds_Prot#'!A:AL,5,FALSE)</f>
        <v>1</v>
      </c>
      <c r="AC18" s="102">
        <f>VLOOKUP(B18,'NonXtal_SegEnds_Prot#'!A:AL,9,FALSE)-VLOOKUP(B18,'NonXtal_SegEnds_Prot#'!A:AL,8,FALSE)</f>
        <v>1</v>
      </c>
      <c r="AD18" s="102">
        <f>VLOOKUP(B18,'NonXtal_SegEnds_Prot#'!A:AL,13,FALSE)-VLOOKUP(B18,'NonXtal_SegEnds_Prot#'!A:AL,10,FALSE)</f>
        <v>21</v>
      </c>
      <c r="AE18" s="102">
        <f>VLOOKUP(B18,'NonXtal_SegEnds_Prot#'!A:AL,12,FALSE)-VLOOKUP(B18,'NonXtal_SegEnds_Prot#'!A:AL,11,FALSE)</f>
        <v>3</v>
      </c>
      <c r="AF18" s="102">
        <f>VLOOKUP(B18,'NonXtal_SegEnds_Prot#'!A:AL,13,FALSE)-VLOOKUP(B18,'NonXtal_SegEnds_Prot#'!A:AL,11,FALSE)</f>
        <v>4</v>
      </c>
      <c r="AG18" s="102">
        <f>VLOOKUP(B18,'NonXtal_SegEnds_Prot#'!A:AL,16,FALSE)-VLOOKUP(B18,'NonXtal_SegEnds_Prot#'!A:AL,10,FALSE)</f>
        <v>53</v>
      </c>
      <c r="AH18" s="102">
        <f>VLOOKUP(B18,'NonXtal_SegEnds_Prot#'!A:AL,16,FALSE)-VLOOKUP(B18,'NonXtal_SegEnds_Prot#'!A:AL,11,FALSE)</f>
        <v>36</v>
      </c>
      <c r="AI18" s="102">
        <f>VLOOKUP(B18,'NonXtal_SegEnds_Prot#'!A:AL,15,FALSE)-VLOOKUP(B18,'NonXtal_SegEnds_Prot#'!A:AL,14,FALSE)</f>
        <v>1</v>
      </c>
      <c r="AJ18" s="102">
        <f>VLOOKUP(B18,'NonXtal_SegEnds_Prot#'!A:AL,18,FALSE)-VLOOKUP(B18,'NonXtal_SegEnds_Prot#'!A:AL,17,FALSE)</f>
        <v>1</v>
      </c>
      <c r="AK18" s="2">
        <f>VLOOKUP(B18,'NonXtal_SegEnds_Prot#'!A:AL,34,FALSE)-VLOOKUP(B18,'NonXtal_SegEnds_Prot#'!A:AL,31,FALSE)</f>
        <v>36</v>
      </c>
      <c r="AL18" s="86"/>
      <c r="AM18" s="2" t="s">
        <v>1504</v>
      </c>
    </row>
    <row r="19" spans="1:62" s="89" customFormat="1" x14ac:dyDescent="0.2">
      <c r="A19" s="89" t="s">
        <v>1465</v>
      </c>
      <c r="B19" s="89" t="s">
        <v>208</v>
      </c>
      <c r="C19" s="89">
        <f>IFERROR(50+VLOOKUP($A19,'Xtal_SegEnds_Prot#'!$A:$AY,5,FALSE)-VLOOKUP($B19,'NonXtal_SegEnds_Prot#'!$A:$AL,4,FALSE),"-")</f>
        <v>29</v>
      </c>
      <c r="D19" s="89">
        <f>IFERROR(50+VLOOKUP($A19,'Xtal_SegEnds_Prot#'!$A:$AY,7,FALSE)-VLOOKUP($B19,'NonXtal_SegEnds_Prot#'!$A:$AL,4,FALSE),"-")</f>
        <v>60</v>
      </c>
      <c r="E19" s="89">
        <f>IFERROR(50+VLOOKUP($A19,'Xtal_SegEnds_Prot#'!$A:$AY,9,FALSE)-VLOOKUP($B19,'NonXtal_SegEnds_Prot#'!$A:$AL,7,FALSE),"-")</f>
        <v>48</v>
      </c>
      <c r="F19" s="89">
        <f>IFERROR(50+VLOOKUP($A19,'Xtal_SegEnds_Prot#'!$A:$AY,11,FALSE)-VLOOKUP($B19,'NonXtal_SegEnds_Prot#'!$A:$AL,7,FALSE),"-")</f>
        <v>51</v>
      </c>
      <c r="G19" s="89">
        <f>IFERROR(50+VLOOKUP($A19,'Xtal_SegEnds_Prot#'!$A:$AY,13,FALSE)-VLOOKUP($B19,'NonXtal_SegEnds_Prot#'!$A:$AL,10,FALSE),"-")</f>
        <v>37</v>
      </c>
      <c r="H19" s="89">
        <f>IFERROR(50+VLOOKUP($A19,'Xtal_SegEnds_Prot#'!$A:$AY,15,FALSE)-VLOOKUP($B19,'NonXtal_SegEnds_Prot#'!$A:$AL,10,FALSE),"-")</f>
        <v>67</v>
      </c>
      <c r="I19" s="89">
        <f>IFERROR(50+VLOOKUP($A19,'Xtal_SegEnds_Prot#'!$A:$AY,17,FALSE)-VLOOKUP($B19,'NonXtal_SegEnds_Prot#'!$A:$AL,13,FALSE),"-")</f>
        <v>49</v>
      </c>
      <c r="J19" s="89">
        <f>IFERROR(50+VLOOKUP($A19,'Xtal_SegEnds_Prot#'!$A:$AY,19,FALSE)-VLOOKUP($B19,'NonXtal_SegEnds_Prot#'!$A:$AL,13,FALSE),"-")</f>
        <v>52</v>
      </c>
      <c r="K19" s="89">
        <f>IFERROR(50+VLOOKUP($A19,'Xtal_SegEnds_Prot#'!$A:$AY,21,FALSE)-VLOOKUP($B19,'NonXtal_SegEnds_Prot#'!$A:$AL,16,FALSE),"-")</f>
        <v>21</v>
      </c>
      <c r="L19" s="89">
        <f>IFERROR(50+VLOOKUP($A19,'Xtal_SegEnds_Prot#'!$A:$AY,23,FALSE)-VLOOKUP($B19,'NonXtal_SegEnds_Prot#'!$A:$AL,16,FALSE),"-")</f>
        <v>56</v>
      </c>
      <c r="M19" s="89">
        <f>IFERROR(50+VLOOKUP($A19,'Xtal_SegEnds_Prot#'!$A:$AY,25,FALSE)-VLOOKUP($B19,'NonXtal_SegEnds_Prot#'!$A:$AL,19,FALSE),"-")</f>
        <v>50</v>
      </c>
      <c r="N19" s="89">
        <f>IFERROR(50+VLOOKUP($A19,'Xtal_SegEnds_Prot#'!$A:$AY,27,FALSE)-VLOOKUP($B19,'NonXtal_SegEnds_Prot#'!$A:$AL,19,FALSE),"-")</f>
        <v>57</v>
      </c>
      <c r="O19" s="89">
        <f>IFERROR(50+VLOOKUP($A19,'Xtal_SegEnds_Prot#'!$A:$AY,29,FALSE)-VLOOKUP($B19,'NonXtal_SegEnds_Prot#'!$A:$AL,22,FALSE),"-")</f>
        <v>39</v>
      </c>
      <c r="P19" s="89">
        <f>IFERROR(50+VLOOKUP($A19,'Xtal_SegEnds_Prot#'!$A:$AY,31,FALSE)-VLOOKUP($B19,'NonXtal_SegEnds_Prot#'!$A:$AL,22,FALSE),"-")</f>
        <v>63</v>
      </c>
      <c r="Q19" s="89">
        <f>IFERROR(50+VLOOKUP($A19,'Xtal_SegEnds_Prot#'!$A:$AY,33,FALSE)-VLOOKUP($B19,'NonXtal_SegEnds_Prot#'!$A:$AL,25,FALSE),"-")</f>
        <v>50</v>
      </c>
      <c r="R19" s="89">
        <f>IFERROR(50+VLOOKUP($A19,'Xtal_SegEnds_Prot#'!$A:$AY,35,FALSE)-VLOOKUP($B19,'NonXtal_SegEnds_Prot#'!$A:$AL,25,FALSE),"-")</f>
        <v>52</v>
      </c>
      <c r="S19" s="89">
        <f>IFERROR(50+VLOOKUP($A19,'Xtal_SegEnds_Prot#'!$A:$AY,37,FALSE)-VLOOKUP($B19,'NonXtal_SegEnds_Prot#'!$A:$AL,28,FALSE),"-")</f>
        <v>35</v>
      </c>
      <c r="T19" s="89">
        <f>IFERROR(50+VLOOKUP($A19,'Xtal_SegEnds_Prot#'!$A:$AY,39,FALSE)-VLOOKUP($B19,'NonXtal_SegEnds_Prot#'!$A:$AL,28,FALSE),"-")</f>
        <v>74</v>
      </c>
      <c r="U19" s="89">
        <f>IFERROR(50+VLOOKUP($A19,'Xtal_SegEnds_Prot#'!$A:$AY,41,FALSE)-VLOOKUP($B19,'NonXtal_SegEnds_Prot#'!$A:$AL,31,FALSE),"-")</f>
        <v>24</v>
      </c>
      <c r="V19" s="89">
        <f>IFERROR(50+VLOOKUP($A19,'Xtal_SegEnds_Prot#'!$A:$AY,43,FALSE)-VLOOKUP($B19,'NonXtal_SegEnds_Prot#'!$A:$AL,31,FALSE),"-")</f>
        <v>60</v>
      </c>
      <c r="W19" s="89">
        <f>IFERROR(50+VLOOKUP($A19,'Xtal_SegEnds_Prot#'!$A:$AY,45,FALSE)-VLOOKUP($B19,'NonXtal_SegEnds_Prot#'!$A:$AL,34,FALSE),"-")</f>
        <v>31</v>
      </c>
      <c r="X19" s="89">
        <f>IFERROR(50+VLOOKUP($A19,'Xtal_SegEnds_Prot#'!$A:$AY,47,FALSE)-VLOOKUP($B19,'NonXtal_SegEnds_Prot#'!$A:$AL,34,FALSE),"-")</f>
        <v>56</v>
      </c>
      <c r="Y19" s="89">
        <f>IFERROR(50+VLOOKUP($A19,'Xtal_SegEnds_Prot#'!$A:$AY,49,FALSE)-VLOOKUP($B19,'NonXtal_SegEnds_Prot#'!$A:$AL,37,FALSE),"-")</f>
        <v>47</v>
      </c>
      <c r="Z19" s="89">
        <f>IFERROR(50+VLOOKUP($A19,'Xtal_SegEnds_Prot#'!$A:$AY,51,FALSE)-VLOOKUP($B19,'NonXtal_SegEnds_Prot#'!$A:$AL,37,FALSE),"-")</f>
        <v>58</v>
      </c>
      <c r="AA19" s="104" t="str">
        <f>VLOOKUP(B19,Classification!A:D,2,FALSE)</f>
        <v>A</v>
      </c>
      <c r="AB19" s="104">
        <f>VLOOKUP(B19,'NonXtal_SegEnds_Prot#'!A:AL,6,FALSE)-VLOOKUP(B19,'NonXtal_SegEnds_Prot#'!A:AL,5,FALSE)</f>
        <v>1</v>
      </c>
      <c r="AC19" s="104">
        <f>VLOOKUP(B19,'NonXtal_SegEnds_Prot#'!A:AL,9,FALSE)-VLOOKUP(B19,'NonXtal_SegEnds_Prot#'!A:AL,8,FALSE)</f>
        <v>1</v>
      </c>
      <c r="AD19" s="104">
        <f>VLOOKUP(B19,'NonXtal_SegEnds_Prot#'!A:AL,13,FALSE)-VLOOKUP(B19,'NonXtal_SegEnds_Prot#'!A:AL,10,FALSE)</f>
        <v>20</v>
      </c>
      <c r="AE19" s="104">
        <f>VLOOKUP(B19,'NonXtal_SegEnds_Prot#'!A:AL,12,FALSE)-VLOOKUP(B19,'NonXtal_SegEnds_Prot#'!A:AL,11,FALSE)</f>
        <v>2</v>
      </c>
      <c r="AF19" s="104">
        <f>VLOOKUP(B19,'NonXtal_SegEnds_Prot#'!A:AL,13,FALSE)-VLOOKUP(B19,'NonXtal_SegEnds_Prot#'!A:AL,11,FALSE)</f>
        <v>3</v>
      </c>
      <c r="AG19" s="104">
        <f>VLOOKUP(B19,'NonXtal_SegEnds_Prot#'!A:AL,16,FALSE)-VLOOKUP(B19,'NonXtal_SegEnds_Prot#'!A:AL,10,FALSE)</f>
        <v>52</v>
      </c>
      <c r="AH19" s="104">
        <f>VLOOKUP(B19,'NonXtal_SegEnds_Prot#'!A:AL,16,FALSE)-VLOOKUP(B19,'NonXtal_SegEnds_Prot#'!A:AL,11,FALSE)</f>
        <v>35</v>
      </c>
      <c r="AI19" s="104">
        <f>VLOOKUP(B19,'NonXtal_SegEnds_Prot#'!A:AL,15,FALSE)-VLOOKUP(B19,'NonXtal_SegEnds_Prot#'!A:AL,14,FALSE)</f>
        <v>1</v>
      </c>
      <c r="AJ19" s="104">
        <f>VLOOKUP(B19,'NonXtal_SegEnds_Prot#'!A:AL,18,FALSE)-VLOOKUP(B19,'NonXtal_SegEnds_Prot#'!A:AL,17,FALSE)</f>
        <v>1</v>
      </c>
      <c r="AK19" s="89">
        <f>VLOOKUP(B19,'NonXtal_SegEnds_Prot#'!A:AL,34,FALSE)-VLOOKUP(B19,'NonXtal_SegEnds_Prot#'!A:AL,31,FALSE)</f>
        <v>37</v>
      </c>
      <c r="AL19" s="111"/>
    </row>
    <row r="20" spans="1:62" s="2" customFormat="1" x14ac:dyDescent="0.2">
      <c r="A20" s="2" t="s">
        <v>1499</v>
      </c>
      <c r="B20" s="2" t="s">
        <v>298</v>
      </c>
      <c r="C20" s="2">
        <f>IFERROR(50+VLOOKUP($A20,'Xtal_SegEnds_Prot#'!$A:$AY,5,FALSE)-VLOOKUP($B20,'NonXtal_SegEnds_Prot#'!$A:$AL,4,FALSE),"-")</f>
        <v>29</v>
      </c>
      <c r="D20" s="2">
        <f>IFERROR(50+VLOOKUP($A20,'Xtal_SegEnds_Prot#'!$A:$AY,7,FALSE)-VLOOKUP($B20,'NonXtal_SegEnds_Prot#'!$A:$AL,4,FALSE),"-")</f>
        <v>60</v>
      </c>
      <c r="E20" s="2">
        <f>IFERROR(50+VLOOKUP($A20,'Xtal_SegEnds_Prot#'!$A:$AY,9,FALSE)-VLOOKUP($B20,'NonXtal_SegEnds_Prot#'!$A:$AL,7,FALSE),"-")</f>
        <v>48</v>
      </c>
      <c r="F20" s="2">
        <f>IFERROR(50+VLOOKUP($A20,'Xtal_SegEnds_Prot#'!$A:$AY,11,FALSE)-VLOOKUP($B20,'NonXtal_SegEnds_Prot#'!$A:$AL,7,FALSE),"-")</f>
        <v>51</v>
      </c>
      <c r="G20" s="2">
        <f>IFERROR(50+VLOOKUP($A20,'Xtal_SegEnds_Prot#'!$A:$AY,13,FALSE)-VLOOKUP($B20,'NonXtal_SegEnds_Prot#'!$A:$AL,10,FALSE),"-")</f>
        <v>37</v>
      </c>
      <c r="H20" s="2">
        <f>IFERROR(50+VLOOKUP($A20,'Xtal_SegEnds_Prot#'!$A:$AY,15,FALSE)-VLOOKUP($B20,'NonXtal_SegEnds_Prot#'!$A:$AL,10,FALSE),"-")</f>
        <v>63</v>
      </c>
      <c r="I20" s="2">
        <f>IFERROR(50+VLOOKUP($A20,'Xtal_SegEnds_Prot#'!$A:$AY,17,FALSE)-VLOOKUP($B20,'NonXtal_SegEnds_Prot#'!$A:$AL,13,FALSE),"-")</f>
        <v>47</v>
      </c>
      <c r="J20" s="2">
        <f>IFERROR(50+VLOOKUP($A20,'Xtal_SegEnds_Prot#'!$A:$AY,19,FALSE)-VLOOKUP($B20,'NonXtal_SegEnds_Prot#'!$A:$AL,13,FALSE),"-")</f>
        <v>53</v>
      </c>
      <c r="K20" s="2">
        <f>IFERROR(50+VLOOKUP($A20,'Xtal_SegEnds_Prot#'!$A:$AY,21,FALSE)-VLOOKUP($B20,'NonXtal_SegEnds_Prot#'!$A:$AL,16,FALSE),"-")</f>
        <v>21</v>
      </c>
      <c r="L20" s="2">
        <f>IFERROR(50+VLOOKUP($A20,'Xtal_SegEnds_Prot#'!$A:$AY,23,FALSE)-VLOOKUP($B20,'NonXtal_SegEnds_Prot#'!$A:$AL,16,FALSE),"-")</f>
        <v>56</v>
      </c>
      <c r="M20" s="2">
        <f>IFERROR(50+VLOOKUP($A20,'Xtal_SegEnds_Prot#'!$A:$AY,25,FALSE)-VLOOKUP($B20,'NonXtal_SegEnds_Prot#'!$A:$AL,19,FALSE),"-")</f>
        <v>50</v>
      </c>
      <c r="N20" s="2">
        <f>IFERROR(50+VLOOKUP($A20,'Xtal_SegEnds_Prot#'!$A:$AY,27,FALSE)-VLOOKUP($B20,'NonXtal_SegEnds_Prot#'!$A:$AL,19,FALSE),"-")</f>
        <v>57</v>
      </c>
      <c r="O20" s="2">
        <f>IFERROR(50+VLOOKUP($A20,'Xtal_SegEnds_Prot#'!$A:$AY,29,FALSE)-VLOOKUP($B20,'NonXtal_SegEnds_Prot#'!$A:$AL,22,FALSE),"-")</f>
        <v>39</v>
      </c>
      <c r="P20" s="2">
        <f>IFERROR(50+VLOOKUP($A20,'Xtal_SegEnds_Prot#'!$A:$AY,31,FALSE)-VLOOKUP($B20,'NonXtal_SegEnds_Prot#'!$A:$AL,22,FALSE),"-")</f>
        <v>63</v>
      </c>
      <c r="Q20" s="2" t="str">
        <f>IFERROR(50+VLOOKUP($A20,'Xtal_SegEnds_Prot#'!$A:$AY,33,FALSE)-VLOOKUP($B20,'NonXtal_SegEnds_Prot#'!$A:$AL,25,FALSE),"-")</f>
        <v>-</v>
      </c>
      <c r="R20" s="2" t="str">
        <f>IFERROR(50+VLOOKUP($A20,'Xtal_SegEnds_Prot#'!$A:$AY,35,FALSE)-VLOOKUP($B20,'NonXtal_SegEnds_Prot#'!$A:$AL,25,FALSE),"-")</f>
        <v>-</v>
      </c>
      <c r="S20" s="2">
        <f>IFERROR(50+VLOOKUP($A20,'Xtal_SegEnds_Prot#'!$A:$AY,37,FALSE)-VLOOKUP($B20,'NonXtal_SegEnds_Prot#'!$A:$AL,28,FALSE),"-")</f>
        <v>36</v>
      </c>
      <c r="T20" s="89">
        <f>IFERROR(50+VLOOKUP($A20,'Xtal_SegEnds_Prot#'!$A:$AY,39,FALSE)-VLOOKUP($B20,'NonXtal_SegEnds_Prot#'!$A:$AL,28,FALSE),"-")</f>
        <v>73</v>
      </c>
      <c r="U20" s="2">
        <f>IFERROR(50+VLOOKUP($A20,'Xtal_SegEnds_Prot#'!$A:$AY,41,FALSE)-VLOOKUP($B20,'NonXtal_SegEnds_Prot#'!$A:$AL,31,FALSE),"-")</f>
        <v>24</v>
      </c>
      <c r="V20" s="2">
        <f>IFERROR(50+VLOOKUP($A20,'Xtal_SegEnds_Prot#'!$A:$AY,43,FALSE)-VLOOKUP($B20,'NonXtal_SegEnds_Prot#'!$A:$AL,31,FALSE),"-")</f>
        <v>61</v>
      </c>
      <c r="W20" s="2">
        <f>IFERROR(50+VLOOKUP($A20,'Xtal_SegEnds_Prot#'!$A:$AY,45,FALSE)-VLOOKUP($B20,'NonXtal_SegEnds_Prot#'!$A:$AL,34,FALSE),"-")</f>
        <v>30</v>
      </c>
      <c r="X20" s="2">
        <f>IFERROR(50+VLOOKUP($A20,'Xtal_SegEnds_Prot#'!$A:$AY,47,FALSE)-VLOOKUP($B20,'NonXtal_SegEnds_Prot#'!$A:$AL,34,FALSE),"-")</f>
        <v>56</v>
      </c>
      <c r="Y20" s="2">
        <f>IFERROR(50+VLOOKUP($A20,'Xtal_SegEnds_Prot#'!$A:$AY,49,FALSE)-VLOOKUP($B20,'NonXtal_SegEnds_Prot#'!$A:$AL,37,FALSE),"-")</f>
        <v>47</v>
      </c>
      <c r="Z20" s="2">
        <f>IFERROR(50+VLOOKUP($A20,'Xtal_SegEnds_Prot#'!$A:$AY,51,FALSE)-VLOOKUP($B20,'NonXtal_SegEnds_Prot#'!$A:$AL,37,FALSE),"-")</f>
        <v>59</v>
      </c>
      <c r="AA20" s="102" t="str">
        <f>VLOOKUP(B20,Classification!A:D,2,FALSE)</f>
        <v>A</v>
      </c>
      <c r="AB20" s="102">
        <f>VLOOKUP(B20,'NonXtal_SegEnds_Prot#'!A:AL,6,FALSE)-VLOOKUP(B20,'NonXtal_SegEnds_Prot#'!A:AL,5,FALSE)</f>
        <v>1</v>
      </c>
      <c r="AC20" s="102">
        <f>VLOOKUP(B20,'NonXtal_SegEnds_Prot#'!A:AL,9,FALSE)-VLOOKUP(B20,'NonXtal_SegEnds_Prot#'!A:AL,8,FALSE)</f>
        <v>1</v>
      </c>
      <c r="AD20" s="102">
        <f>VLOOKUP(B20,'NonXtal_SegEnds_Prot#'!A:AL,13,FALSE)-VLOOKUP(B20,'NonXtal_SegEnds_Prot#'!A:AL,10,FALSE)</f>
        <v>18</v>
      </c>
      <c r="AE20" s="102">
        <f>VLOOKUP(B20,'NonXtal_SegEnds_Prot#'!A:AL,12,FALSE)-VLOOKUP(B20,'NonXtal_SegEnds_Prot#'!A:AL,11,FALSE)</f>
        <v>2</v>
      </c>
      <c r="AF20" s="102">
        <f>VLOOKUP(B20,'NonXtal_SegEnds_Prot#'!A:AL,13,FALSE)-VLOOKUP(B20,'NonXtal_SegEnds_Prot#'!A:AL,11,FALSE)</f>
        <v>5</v>
      </c>
      <c r="AG20" s="102">
        <f>VLOOKUP(B20,'NonXtal_SegEnds_Prot#'!A:AL,16,FALSE)-VLOOKUP(B20,'NonXtal_SegEnds_Prot#'!A:AL,10,FALSE)</f>
        <v>51</v>
      </c>
      <c r="AH20" s="102">
        <f>VLOOKUP(B20,'NonXtal_SegEnds_Prot#'!A:AL,16,FALSE)-VLOOKUP(B20,'NonXtal_SegEnds_Prot#'!A:AL,11,FALSE)</f>
        <v>38</v>
      </c>
      <c r="AI20" s="102">
        <f>VLOOKUP(B20,'NonXtal_SegEnds_Prot#'!A:AL,15,FALSE)-VLOOKUP(B20,'NonXtal_SegEnds_Prot#'!A:AL,14,FALSE)</f>
        <v>1</v>
      </c>
      <c r="AJ20" s="102">
        <f>VLOOKUP(B20,'NonXtal_SegEnds_Prot#'!A:AL,18,FALSE)-VLOOKUP(B20,'NonXtal_SegEnds_Prot#'!A:AL,17,FALSE)</f>
        <v>1</v>
      </c>
      <c r="AK20" s="2">
        <f>VLOOKUP(B20,'NonXtal_SegEnds_Prot#'!A:AL,34,FALSE)-VLOOKUP(B20,'NonXtal_SegEnds_Prot#'!A:AL,31,FALSE)</f>
        <v>37</v>
      </c>
      <c r="AL20" s="86"/>
    </row>
    <row r="21" spans="1:62" s="2" customFormat="1" x14ac:dyDescent="0.2">
      <c r="A21" s="2" t="s">
        <v>1467</v>
      </c>
      <c r="B21" s="2" t="s">
        <v>333</v>
      </c>
      <c r="C21" s="2">
        <f>IFERROR(50+VLOOKUP($A21,'Xtal_SegEnds_Prot#'!$A:$AY,5,FALSE)-VLOOKUP($B21,'NonXtal_SegEnds_Prot#'!$A:$AL,4,FALSE),"-")</f>
        <v>28</v>
      </c>
      <c r="D21" s="2">
        <f>IFERROR(50+VLOOKUP($A21,'Xtal_SegEnds_Prot#'!$A:$AY,7,FALSE)-VLOOKUP($B21,'NonXtal_SegEnds_Prot#'!$A:$AL,4,FALSE),"-")</f>
        <v>60</v>
      </c>
      <c r="E21" s="2">
        <f>IFERROR(50+VLOOKUP($A21,'Xtal_SegEnds_Prot#'!$A:$AY,9,FALSE)-VLOOKUP($B21,'NonXtal_SegEnds_Prot#'!$A:$AL,7,FALSE),"-")</f>
        <v>48</v>
      </c>
      <c r="F21" s="2">
        <f>IFERROR(50+VLOOKUP($A21,'Xtal_SegEnds_Prot#'!$A:$AY,11,FALSE)-VLOOKUP($B21,'NonXtal_SegEnds_Prot#'!$A:$AL,7,FALSE),"-")</f>
        <v>51</v>
      </c>
      <c r="G21" s="2">
        <f>IFERROR(50+VLOOKUP($A21,'Xtal_SegEnds_Prot#'!$A:$AY,13,FALSE)-VLOOKUP($B21,'NonXtal_SegEnds_Prot#'!$A:$AL,10,FALSE),"-")</f>
        <v>37</v>
      </c>
      <c r="H21" s="2">
        <f>IFERROR(50+VLOOKUP($A21,'Xtal_SegEnds_Prot#'!$A:$AY,15,FALSE)-VLOOKUP($B21,'NonXtal_SegEnds_Prot#'!$A:$AL,10,FALSE),"-")</f>
        <v>67</v>
      </c>
      <c r="I21" s="2">
        <f>IFERROR(50+VLOOKUP($A21,'Xtal_SegEnds_Prot#'!$A:$AY,17,FALSE)-VLOOKUP($B21,'NonXtal_SegEnds_Prot#'!$A:$AL,13,FALSE),"-")</f>
        <v>50</v>
      </c>
      <c r="J21" s="2">
        <f>IFERROR(50+VLOOKUP($A21,'Xtal_SegEnds_Prot#'!$A:$AY,19,FALSE)-VLOOKUP($B21,'NonXtal_SegEnds_Prot#'!$A:$AL,13,FALSE),"-")</f>
        <v>52</v>
      </c>
      <c r="K21" s="2">
        <f>IFERROR(50+VLOOKUP($A21,'Xtal_SegEnds_Prot#'!$A:$AY,21,FALSE)-VLOOKUP($B21,'NonXtal_SegEnds_Prot#'!$A:$AL,16,FALSE),"-")</f>
        <v>21</v>
      </c>
      <c r="L21" s="2">
        <f>IFERROR(50+VLOOKUP($A21,'Xtal_SegEnds_Prot#'!$A:$AY,23,FALSE)-VLOOKUP($B21,'NonXtal_SegEnds_Prot#'!$A:$AL,16,FALSE),"-")</f>
        <v>56</v>
      </c>
      <c r="M21" s="2">
        <f>IFERROR(50+VLOOKUP($A21,'Xtal_SegEnds_Prot#'!$A:$AY,25,FALSE)-VLOOKUP($B21,'NonXtal_SegEnds_Prot#'!$A:$AL,19,FALSE),"-")</f>
        <v>50</v>
      </c>
      <c r="N21" s="2">
        <f>IFERROR(50+VLOOKUP($A21,'Xtal_SegEnds_Prot#'!$A:$AY,27,FALSE)-VLOOKUP($B21,'NonXtal_SegEnds_Prot#'!$A:$AL,19,FALSE),"-")</f>
        <v>57</v>
      </c>
      <c r="O21" s="2">
        <f>IFERROR(50+VLOOKUP($A21,'Xtal_SegEnds_Prot#'!$A:$AY,29,FALSE)-VLOOKUP($B21,'NonXtal_SegEnds_Prot#'!$A:$AL,22,FALSE),"-")</f>
        <v>39</v>
      </c>
      <c r="P21" s="2">
        <f>IFERROR(50+VLOOKUP($A21,'Xtal_SegEnds_Prot#'!$A:$AY,31,FALSE)-VLOOKUP($B21,'NonXtal_SegEnds_Prot#'!$A:$AL,22,FALSE),"-")</f>
        <v>63</v>
      </c>
      <c r="Q21" s="2">
        <f>IFERROR(50+VLOOKUP($A21,'Xtal_SegEnds_Prot#'!$A:$AY,33,FALSE)-VLOOKUP($B21,'NonXtal_SegEnds_Prot#'!$A:$AL,25,FALSE),"-")</f>
        <v>50</v>
      </c>
      <c r="R21" s="2">
        <f>IFERROR(50+VLOOKUP($A21,'Xtal_SegEnds_Prot#'!$A:$AY,35,FALSE)-VLOOKUP($B21,'NonXtal_SegEnds_Prot#'!$A:$AL,25,FALSE),"-")</f>
        <v>52</v>
      </c>
      <c r="S21" s="2">
        <f>IFERROR(50+VLOOKUP($A21,'Xtal_SegEnds_Prot#'!$A:$AY,37,FALSE)-VLOOKUP($B21,'NonXtal_SegEnds_Prot#'!$A:$AL,28,FALSE),"-")</f>
        <v>34</v>
      </c>
      <c r="T21" s="89">
        <f>IFERROR(50+VLOOKUP($A21,'Xtal_SegEnds_Prot#'!$A:$AY,39,FALSE)-VLOOKUP($B21,'NonXtal_SegEnds_Prot#'!$A:$AL,28,FALSE),"-")</f>
        <v>74</v>
      </c>
      <c r="U21" s="2">
        <f>IFERROR(50+VLOOKUP($A21,'Xtal_SegEnds_Prot#'!$A:$AY,41,FALSE)-VLOOKUP($B21,'NonXtal_SegEnds_Prot#'!$A:$AL,31,FALSE),"-")</f>
        <v>21</v>
      </c>
      <c r="V21" s="2">
        <f>IFERROR(50+VLOOKUP($A21,'Xtal_SegEnds_Prot#'!$A:$AY,43,FALSE)-VLOOKUP($B21,'NonXtal_SegEnds_Prot#'!$A:$AL,31,FALSE),"-")</f>
        <v>61</v>
      </c>
      <c r="W21" s="2">
        <f>IFERROR(50+VLOOKUP($A21,'Xtal_SegEnds_Prot#'!$A:$AY,45,FALSE)-VLOOKUP($B21,'NonXtal_SegEnds_Prot#'!$A:$AL,34,FALSE),"-")</f>
        <v>31</v>
      </c>
      <c r="X21" s="2">
        <f>IFERROR(50+VLOOKUP($A21,'Xtal_SegEnds_Prot#'!$A:$AY,47,FALSE)-VLOOKUP($B21,'NonXtal_SegEnds_Prot#'!$A:$AL,34,FALSE),"-")</f>
        <v>56</v>
      </c>
      <c r="Y21" s="2">
        <f>IFERROR(50+VLOOKUP($A21,'Xtal_SegEnds_Prot#'!$A:$AY,49,FALSE)-VLOOKUP($B21,'NonXtal_SegEnds_Prot#'!$A:$AL,37,FALSE),"-")</f>
        <v>47</v>
      </c>
      <c r="Z21" s="2">
        <f>IFERROR(50+VLOOKUP($A21,'Xtal_SegEnds_Prot#'!$A:$AY,51,FALSE)-VLOOKUP($B21,'NonXtal_SegEnds_Prot#'!$A:$AL,37,FALSE),"-")</f>
        <v>69</v>
      </c>
      <c r="AA21" s="102" t="str">
        <f>VLOOKUP(B21,Classification!A:D,2,FALSE)</f>
        <v>A</v>
      </c>
      <c r="AB21" s="102">
        <f>VLOOKUP(B21,'NonXtal_SegEnds_Prot#'!A:AL,6,FALSE)-VLOOKUP(B21,'NonXtal_SegEnds_Prot#'!A:AL,5,FALSE)</f>
        <v>1</v>
      </c>
      <c r="AC21" s="102">
        <f>VLOOKUP(B21,'NonXtal_SegEnds_Prot#'!A:AL,9,FALSE)-VLOOKUP(B21,'NonXtal_SegEnds_Prot#'!A:AL,8,FALSE)</f>
        <v>1</v>
      </c>
      <c r="AD21" s="102">
        <f>VLOOKUP(B21,'NonXtal_SegEnds_Prot#'!A:AL,13,FALSE)-VLOOKUP(B21,'NonXtal_SegEnds_Prot#'!A:AL,10,FALSE)</f>
        <v>18</v>
      </c>
      <c r="AE21" s="102">
        <f>VLOOKUP(B21,'NonXtal_SegEnds_Prot#'!A:AL,12,FALSE)-VLOOKUP(B21,'NonXtal_SegEnds_Prot#'!A:AL,11,FALSE)</f>
        <v>1</v>
      </c>
      <c r="AF21" s="102">
        <f>VLOOKUP(B21,'NonXtal_SegEnds_Prot#'!A:AL,13,FALSE)-VLOOKUP(B21,'NonXtal_SegEnds_Prot#'!A:AL,11,FALSE)</f>
        <v>1</v>
      </c>
      <c r="AG21" s="102">
        <f>VLOOKUP(B21,'NonXtal_SegEnds_Prot#'!A:AL,16,FALSE)-VLOOKUP(B21,'NonXtal_SegEnds_Prot#'!A:AL,10,FALSE)</f>
        <v>50</v>
      </c>
      <c r="AH21" s="102">
        <f>VLOOKUP(B21,'NonXtal_SegEnds_Prot#'!A:AL,16,FALSE)-VLOOKUP(B21,'NonXtal_SegEnds_Prot#'!A:AL,11,FALSE)</f>
        <v>33</v>
      </c>
      <c r="AI21" s="102">
        <f>VLOOKUP(B21,'NonXtal_SegEnds_Prot#'!A:AL,15,FALSE)-VLOOKUP(B21,'NonXtal_SegEnds_Prot#'!A:AL,14,FALSE)</f>
        <v>1</v>
      </c>
      <c r="AJ21" s="102">
        <f>VLOOKUP(B21,'NonXtal_SegEnds_Prot#'!A:AL,18,FALSE)-VLOOKUP(B21,'NonXtal_SegEnds_Prot#'!A:AL,17,FALSE)</f>
        <v>1</v>
      </c>
      <c r="AK21" s="2">
        <f>VLOOKUP(B21,'NonXtal_SegEnds_Prot#'!A:AL,34,FALSE)-VLOOKUP(B21,'NonXtal_SegEnds_Prot#'!A:AL,31,FALSE)</f>
        <v>37</v>
      </c>
      <c r="AL21" s="86"/>
    </row>
    <row r="22" spans="1:62" s="2" customFormat="1" x14ac:dyDescent="0.2">
      <c r="A22" s="2" t="s">
        <v>1466</v>
      </c>
      <c r="B22" s="2" t="s">
        <v>209</v>
      </c>
      <c r="C22" s="2">
        <f>IFERROR(50+VLOOKUP($A22,'Xtal_SegEnds_Prot#'!$A:$AY,5,FALSE)-VLOOKUP($B22,'NonXtal_SegEnds_Prot#'!$A:$AL,4,FALSE),"-")</f>
        <v>32</v>
      </c>
      <c r="D22" s="2">
        <f>IFERROR(50+VLOOKUP($A22,'Xtal_SegEnds_Prot#'!$A:$AY,7,FALSE)-VLOOKUP($B22,'NonXtal_SegEnds_Prot#'!$A:$AL,4,FALSE),"-")</f>
        <v>60</v>
      </c>
      <c r="E22" s="2">
        <f>IFERROR(50+VLOOKUP($A22,'Xtal_SegEnds_Prot#'!$A:$AY,9,FALSE)-VLOOKUP($B22,'NonXtal_SegEnds_Prot#'!$A:$AL,7,FALSE),"-")</f>
        <v>48</v>
      </c>
      <c r="F22" s="2">
        <f>IFERROR(50+VLOOKUP($A22,'Xtal_SegEnds_Prot#'!$A:$AY,11,FALSE)-VLOOKUP($B22,'NonXtal_SegEnds_Prot#'!$A:$AL,7,FALSE),"-")</f>
        <v>51</v>
      </c>
      <c r="G22" s="2">
        <f>IFERROR(50+VLOOKUP($A22,'Xtal_SegEnds_Prot#'!$A:$AY,13,FALSE)-VLOOKUP($B22,'NonXtal_SegEnds_Prot#'!$A:$AL,10,FALSE),"-")</f>
        <v>37</v>
      </c>
      <c r="H22" s="2">
        <f>IFERROR(50+VLOOKUP($A22,'Xtal_SegEnds_Prot#'!$A:$AY,15,FALSE)-VLOOKUP($B22,'NonXtal_SegEnds_Prot#'!$A:$AL,10,FALSE),"-")</f>
        <v>67</v>
      </c>
      <c r="I22" s="2">
        <f>IFERROR(50+VLOOKUP($A22,'Xtal_SegEnds_Prot#'!$A:$AY,17,FALSE)-VLOOKUP($B22,'NonXtal_SegEnds_Prot#'!$A:$AL,13,FALSE),"-")</f>
        <v>49</v>
      </c>
      <c r="J22" s="2">
        <f>IFERROR(50+VLOOKUP($A22,'Xtal_SegEnds_Prot#'!$A:$AY,19,FALSE)-VLOOKUP($B22,'NonXtal_SegEnds_Prot#'!$A:$AL,13,FALSE),"-")</f>
        <v>52</v>
      </c>
      <c r="K22" s="2">
        <f>IFERROR(50+VLOOKUP($A22,'Xtal_SegEnds_Prot#'!$A:$AY,21,FALSE)-VLOOKUP($B22,'NonXtal_SegEnds_Prot#'!$A:$AL,16,FALSE),"-")</f>
        <v>21</v>
      </c>
      <c r="L22" s="2">
        <f>IFERROR(50+VLOOKUP($A22,'Xtal_SegEnds_Prot#'!$A:$AY,23,FALSE)-VLOOKUP($B22,'NonXtal_SegEnds_Prot#'!$A:$AL,16,FALSE),"-")</f>
        <v>56</v>
      </c>
      <c r="M22" s="2">
        <f>IFERROR(50+VLOOKUP($A22,'Xtal_SegEnds_Prot#'!$A:$AY,25,FALSE)-VLOOKUP($B22,'NonXtal_SegEnds_Prot#'!$A:$AL,19,FALSE),"-")</f>
        <v>50</v>
      </c>
      <c r="N22" s="2">
        <f>IFERROR(50+VLOOKUP($A22,'Xtal_SegEnds_Prot#'!$A:$AY,27,FALSE)-VLOOKUP($B22,'NonXtal_SegEnds_Prot#'!$A:$AL,19,FALSE),"-")</f>
        <v>57</v>
      </c>
      <c r="O22" s="2">
        <f>IFERROR(50+VLOOKUP($A22,'Xtal_SegEnds_Prot#'!$A:$AY,29,FALSE)-VLOOKUP($B22,'NonXtal_SegEnds_Prot#'!$A:$AL,22,FALSE),"-")</f>
        <v>39</v>
      </c>
      <c r="P22" s="2">
        <f>IFERROR(50+VLOOKUP($A22,'Xtal_SegEnds_Prot#'!$A:$AY,31,FALSE)-VLOOKUP($B22,'NonXtal_SegEnds_Prot#'!$A:$AL,22,FALSE),"-")</f>
        <v>64</v>
      </c>
      <c r="Q22" s="2">
        <f>IFERROR(50+VLOOKUP($A22,'Xtal_SegEnds_Prot#'!$A:$AY,33,FALSE)-VLOOKUP($B22,'NonXtal_SegEnds_Prot#'!$A:$AL,25,FALSE),"-")</f>
        <v>50</v>
      </c>
      <c r="R22" s="2">
        <f>IFERROR(50+VLOOKUP($A22,'Xtal_SegEnds_Prot#'!$A:$AY,35,FALSE)-VLOOKUP($B22,'NonXtal_SegEnds_Prot#'!$A:$AL,25,FALSE),"-")</f>
        <v>52</v>
      </c>
      <c r="S22" s="2">
        <f>IFERROR(50+VLOOKUP($A22,'Xtal_SegEnds_Prot#'!$A:$AY,37,FALSE)-VLOOKUP($B22,'NonXtal_SegEnds_Prot#'!$A:$AL,28,FALSE),"-")</f>
        <v>35</v>
      </c>
      <c r="T22" s="89">
        <f>IFERROR(50+VLOOKUP($A22,'Xtal_SegEnds_Prot#'!$A:$AY,39,FALSE)-VLOOKUP($B22,'NonXtal_SegEnds_Prot#'!$A:$AL,28,FALSE),"-")</f>
        <v>76</v>
      </c>
      <c r="U22" s="2">
        <f>IFERROR(50+VLOOKUP($A22,'Xtal_SegEnds_Prot#'!$A:$AY,41,FALSE)-VLOOKUP($B22,'NonXtal_SegEnds_Prot#'!$A:$AL,31,FALSE),"-")</f>
        <v>24</v>
      </c>
      <c r="V22" s="2">
        <f>IFERROR(50+VLOOKUP($A22,'Xtal_SegEnds_Prot#'!$A:$AY,43,FALSE)-VLOOKUP($B22,'NonXtal_SegEnds_Prot#'!$A:$AL,31,FALSE),"-")</f>
        <v>61</v>
      </c>
      <c r="W22" s="2">
        <f>IFERROR(50+VLOOKUP($A22,'Xtal_SegEnds_Prot#'!$A:$AY,45,FALSE)-VLOOKUP($B22,'NonXtal_SegEnds_Prot#'!$A:$AL,34,FALSE),"-")</f>
        <v>28</v>
      </c>
      <c r="X22" s="2">
        <f>IFERROR(50+VLOOKUP($A22,'Xtal_SegEnds_Prot#'!$A:$AY,47,FALSE)-VLOOKUP($B22,'NonXtal_SegEnds_Prot#'!$A:$AL,34,FALSE),"-")</f>
        <v>56</v>
      </c>
      <c r="Y22" s="2">
        <f>IFERROR(50+VLOOKUP($A22,'Xtal_SegEnds_Prot#'!$A:$AY,49,FALSE)-VLOOKUP($B22,'NonXtal_SegEnds_Prot#'!$A:$AL,37,FALSE),"-")</f>
        <v>47</v>
      </c>
      <c r="Z22" s="2">
        <f>IFERROR(50+VLOOKUP($A22,'Xtal_SegEnds_Prot#'!$A:$AY,51,FALSE)-VLOOKUP($B22,'NonXtal_SegEnds_Prot#'!$A:$AL,37,FALSE),"-")</f>
        <v>58</v>
      </c>
      <c r="AA22" s="102" t="str">
        <f>VLOOKUP(B22,Classification!A:D,2,FALSE)</f>
        <v>A</v>
      </c>
      <c r="AB22" s="102">
        <f>VLOOKUP(B22,'NonXtal_SegEnds_Prot#'!A:AL,6,FALSE)-VLOOKUP(B22,'NonXtal_SegEnds_Prot#'!A:AL,5,FALSE)</f>
        <v>1</v>
      </c>
      <c r="AC22" s="102">
        <f>VLOOKUP(B22,'NonXtal_SegEnds_Prot#'!A:AL,9,FALSE)-VLOOKUP(B22,'NonXtal_SegEnds_Prot#'!A:AL,8,FALSE)</f>
        <v>1</v>
      </c>
      <c r="AD22" s="102">
        <f>VLOOKUP(B22,'NonXtal_SegEnds_Prot#'!A:AL,13,FALSE)-VLOOKUP(B22,'NonXtal_SegEnds_Prot#'!A:AL,10,FALSE)</f>
        <v>21</v>
      </c>
      <c r="AE22" s="102">
        <f>VLOOKUP(B22,'NonXtal_SegEnds_Prot#'!A:AL,12,FALSE)-VLOOKUP(B22,'NonXtal_SegEnds_Prot#'!A:AL,11,FALSE)</f>
        <v>3</v>
      </c>
      <c r="AF22" s="102">
        <f>VLOOKUP(B22,'NonXtal_SegEnds_Prot#'!A:AL,13,FALSE)-VLOOKUP(B22,'NonXtal_SegEnds_Prot#'!A:AL,11,FALSE)</f>
        <v>4</v>
      </c>
      <c r="AG22" s="102">
        <f>VLOOKUP(B22,'NonXtal_SegEnds_Prot#'!A:AL,16,FALSE)-VLOOKUP(B22,'NonXtal_SegEnds_Prot#'!A:AL,10,FALSE)</f>
        <v>53</v>
      </c>
      <c r="AH22" s="102">
        <f>VLOOKUP(B22,'NonXtal_SegEnds_Prot#'!A:AL,16,FALSE)-VLOOKUP(B22,'NonXtal_SegEnds_Prot#'!A:AL,11,FALSE)</f>
        <v>36</v>
      </c>
      <c r="AI22" s="102">
        <f>VLOOKUP(B22,'NonXtal_SegEnds_Prot#'!A:AL,15,FALSE)-VLOOKUP(B22,'NonXtal_SegEnds_Prot#'!A:AL,14,FALSE)</f>
        <v>1</v>
      </c>
      <c r="AJ22" s="102">
        <f>VLOOKUP(B22,'NonXtal_SegEnds_Prot#'!A:AL,18,FALSE)-VLOOKUP(B22,'NonXtal_SegEnds_Prot#'!A:AL,17,FALSE)</f>
        <v>1</v>
      </c>
      <c r="AK22" s="2">
        <f>VLOOKUP(B22,'NonXtal_SegEnds_Prot#'!A:AL,34,FALSE)-VLOOKUP(B22,'NonXtal_SegEnds_Prot#'!A:AL,31,FALSE)</f>
        <v>38</v>
      </c>
      <c r="AL22" s="86"/>
    </row>
    <row r="23" spans="1:62" s="2" customFormat="1" x14ac:dyDescent="0.2">
      <c r="A23" s="2" t="s">
        <v>1490</v>
      </c>
      <c r="B23" s="2" t="s">
        <v>1393</v>
      </c>
      <c r="C23" s="2">
        <f>IFERROR(50+VLOOKUP($A23,'Xtal_SegEnds_Prot#'!$A:$AY,5,FALSE)-VLOOKUP($B23,'NonXtal_SegEnds_Prot#'!$A:$AL,4,FALSE),"-")</f>
        <v>29</v>
      </c>
      <c r="D23" s="2">
        <f>IFERROR(50+VLOOKUP($A23,'Xtal_SegEnds_Prot#'!$A:$AY,7,FALSE)-VLOOKUP($B23,'NonXtal_SegEnds_Prot#'!$A:$AL,4,FALSE),"-")</f>
        <v>60</v>
      </c>
      <c r="E23" s="2">
        <f>IFERROR(50+VLOOKUP($A23,'Xtal_SegEnds_Prot#'!$A:$AY,9,FALSE)-VLOOKUP($B23,'NonXtal_SegEnds_Prot#'!$A:$AL,7,FALSE),"-")</f>
        <v>48</v>
      </c>
      <c r="F23" s="2">
        <f>IFERROR(50+VLOOKUP($A23,'Xtal_SegEnds_Prot#'!$A:$AY,11,FALSE)-VLOOKUP($B23,'NonXtal_SegEnds_Prot#'!$A:$AL,7,FALSE),"-")</f>
        <v>51</v>
      </c>
      <c r="G23" s="2">
        <f>IFERROR(50+VLOOKUP($A23,'Xtal_SegEnds_Prot#'!$A:$AY,13,FALSE)-VLOOKUP($B23,'NonXtal_SegEnds_Prot#'!$A:$AL,10,FALSE),"-")</f>
        <v>37</v>
      </c>
      <c r="H23" s="2">
        <f>IFERROR(50+VLOOKUP($A23,'Xtal_SegEnds_Prot#'!$A:$AY,15,FALSE)-VLOOKUP($B23,'NonXtal_SegEnds_Prot#'!$A:$AL,10,FALSE),"-")</f>
        <v>66</v>
      </c>
      <c r="I23" s="2">
        <f>IFERROR(50+VLOOKUP($A23,'Xtal_SegEnds_Prot#'!$A:$AY,17,FALSE)-VLOOKUP($B23,'NonXtal_SegEnds_Prot#'!$A:$AL,13,FALSE),"-")</f>
        <v>49</v>
      </c>
      <c r="J23" s="2">
        <f>IFERROR(50+VLOOKUP($A23,'Xtal_SegEnds_Prot#'!$A:$AY,19,FALSE)-VLOOKUP($B23,'NonXtal_SegEnds_Prot#'!$A:$AL,13,FALSE),"-")</f>
        <v>52</v>
      </c>
      <c r="K23" s="2">
        <f>IFERROR(50+VLOOKUP($A23,'Xtal_SegEnds_Prot#'!$A:$AY,21,FALSE)-VLOOKUP($B23,'NonXtal_SegEnds_Prot#'!$A:$AL,16,FALSE),"-")</f>
        <v>21</v>
      </c>
      <c r="L23" s="2">
        <f>IFERROR(50+VLOOKUP($A23,'Xtal_SegEnds_Prot#'!$A:$AY,23,FALSE)-VLOOKUP($B23,'NonXtal_SegEnds_Prot#'!$A:$AL,16,FALSE),"-")</f>
        <v>56</v>
      </c>
      <c r="M23" s="2">
        <f>IFERROR(50+VLOOKUP($A23,'Xtal_SegEnds_Prot#'!$A:$AY,25,FALSE)-VLOOKUP($B23,'NonXtal_SegEnds_Prot#'!$A:$AL,19,FALSE),"-")</f>
        <v>50</v>
      </c>
      <c r="N23" s="2">
        <f>IFERROR(50+VLOOKUP($A23,'Xtal_SegEnds_Prot#'!$A:$AY,27,FALSE)-VLOOKUP($B23,'NonXtal_SegEnds_Prot#'!$A:$AL,19,FALSE),"-")</f>
        <v>57</v>
      </c>
      <c r="O23" s="2">
        <f>IFERROR(50+VLOOKUP($A23,'Xtal_SegEnds_Prot#'!$A:$AY,29,FALSE)-VLOOKUP($B23,'NonXtal_SegEnds_Prot#'!$A:$AL,22,FALSE),"-")</f>
        <v>39</v>
      </c>
      <c r="P23" s="2">
        <f>IFERROR(50+VLOOKUP($A23,'Xtal_SegEnds_Prot#'!$A:$AY,31,FALSE)-VLOOKUP($B23,'NonXtal_SegEnds_Prot#'!$A:$AL,22,FALSE),"-")</f>
        <v>64</v>
      </c>
      <c r="Q23" s="2">
        <f>IFERROR(50+VLOOKUP($A23,'Xtal_SegEnds_Prot#'!$A:$AY,33,FALSE)-VLOOKUP($B23,'NonXtal_SegEnds_Prot#'!$A:$AL,25,FALSE),"-")</f>
        <v>50</v>
      </c>
      <c r="R23" s="2">
        <f>IFERROR(50+VLOOKUP($A23,'Xtal_SegEnds_Prot#'!$A:$AY,35,FALSE)-VLOOKUP($B23,'NonXtal_SegEnds_Prot#'!$A:$AL,25,FALSE),"-")</f>
        <v>52</v>
      </c>
      <c r="S23" s="2">
        <f>IFERROR(50+VLOOKUP($A23,'Xtal_SegEnds_Prot#'!$A:$AY,37,FALSE)-VLOOKUP($B23,'NonXtal_SegEnds_Prot#'!$A:$AL,28,FALSE),"-")</f>
        <v>31</v>
      </c>
      <c r="T23" s="89">
        <f>IFERROR(50+VLOOKUP($A23,'Xtal_SegEnds_Prot#'!$A:$AY,39,FALSE)-VLOOKUP($B23,'NonXtal_SegEnds_Prot#'!$A:$AL,28,FALSE),"-")</f>
        <v>68</v>
      </c>
      <c r="U23" s="2">
        <f>IFERROR(50+VLOOKUP($A23,'Xtal_SegEnds_Prot#'!$A:$AY,41,FALSE)-VLOOKUP($B23,'NonXtal_SegEnds_Prot#'!$A:$AL,31,FALSE),"-")</f>
        <v>23</v>
      </c>
      <c r="V23" s="2">
        <f>IFERROR(50+VLOOKUP($A23,'Xtal_SegEnds_Prot#'!$A:$AY,43,FALSE)-VLOOKUP($B23,'NonXtal_SegEnds_Prot#'!$A:$AL,31,FALSE),"-")</f>
        <v>61</v>
      </c>
      <c r="W23" s="2">
        <f>IFERROR(50+VLOOKUP($A23,'Xtal_SegEnds_Prot#'!$A:$AY,45,FALSE)-VLOOKUP($B23,'NonXtal_SegEnds_Prot#'!$A:$AL,34,FALSE),"-")</f>
        <v>28</v>
      </c>
      <c r="X23" s="2">
        <f>IFERROR(50+VLOOKUP($A23,'Xtal_SegEnds_Prot#'!$A:$AY,47,FALSE)-VLOOKUP($B23,'NonXtal_SegEnds_Prot#'!$A:$AL,34,FALSE),"-")</f>
        <v>56</v>
      </c>
      <c r="Y23" s="2">
        <f>IFERROR(50+VLOOKUP($A23,'Xtal_SegEnds_Prot#'!$A:$AY,49,FALSE)-VLOOKUP($B23,'NonXtal_SegEnds_Prot#'!$A:$AL,37,FALSE),"-")</f>
        <v>47</v>
      </c>
      <c r="Z23" s="2">
        <f>IFERROR(50+VLOOKUP($A23,'Xtal_SegEnds_Prot#'!$A:$AY,51,FALSE)-VLOOKUP($B23,'NonXtal_SegEnds_Prot#'!$A:$AL,37,FALSE),"-")</f>
        <v>59</v>
      </c>
      <c r="AA23" s="102" t="str">
        <f>VLOOKUP(B23,Classification!A:D,2,FALSE)</f>
        <v>A</v>
      </c>
      <c r="AB23" s="102">
        <f>VLOOKUP(B23,'NonXtal_SegEnds_Prot#'!A:AL,6,FALSE)-VLOOKUP(B23,'NonXtal_SegEnds_Prot#'!A:AL,5,FALSE)</f>
        <v>1</v>
      </c>
      <c r="AC23" s="102">
        <f>VLOOKUP(B23,'NonXtal_SegEnds_Prot#'!A:AL,9,FALSE)-VLOOKUP(B23,'NonXtal_SegEnds_Prot#'!A:AL,8,FALSE)</f>
        <v>1</v>
      </c>
      <c r="AD23" s="102">
        <f>VLOOKUP(B23,'NonXtal_SegEnds_Prot#'!A:AL,13,FALSE)-VLOOKUP(B23,'NonXtal_SegEnds_Prot#'!A:AL,10,FALSE)</f>
        <v>19</v>
      </c>
      <c r="AE23" s="102">
        <f>VLOOKUP(B23,'NonXtal_SegEnds_Prot#'!A:AL,12,FALSE)-VLOOKUP(B23,'NonXtal_SegEnds_Prot#'!A:AL,11,FALSE)</f>
        <v>2</v>
      </c>
      <c r="AF23" s="102">
        <f>VLOOKUP(B23,'NonXtal_SegEnds_Prot#'!A:AL,13,FALSE)-VLOOKUP(B23,'NonXtal_SegEnds_Prot#'!A:AL,11,FALSE)</f>
        <v>3</v>
      </c>
      <c r="AG23" s="102">
        <f>VLOOKUP(B23,'NonXtal_SegEnds_Prot#'!A:AL,16,FALSE)-VLOOKUP(B23,'NonXtal_SegEnds_Prot#'!A:AL,10,FALSE)</f>
        <v>51</v>
      </c>
      <c r="AH23" s="102">
        <f>VLOOKUP(B23,'NonXtal_SegEnds_Prot#'!A:AL,16,FALSE)-VLOOKUP(B23,'NonXtal_SegEnds_Prot#'!A:AL,11,FALSE)</f>
        <v>35</v>
      </c>
      <c r="AI23" s="102">
        <f>VLOOKUP(B23,'NonXtal_SegEnds_Prot#'!A:AL,15,FALSE)-VLOOKUP(B23,'NonXtal_SegEnds_Prot#'!A:AL,14,FALSE)</f>
        <v>1</v>
      </c>
      <c r="AJ23" s="102">
        <f>VLOOKUP(B23,'NonXtal_SegEnds_Prot#'!A:AL,18,FALSE)-VLOOKUP(B23,'NonXtal_SegEnds_Prot#'!A:AL,17,FALSE)</f>
        <v>1</v>
      </c>
      <c r="AK23" s="2">
        <f>VLOOKUP(B23,'NonXtal_SegEnds_Prot#'!A:AL,34,FALSE)-VLOOKUP(B23,'NonXtal_SegEnds_Prot#'!A:AL,31,FALSE)</f>
        <v>38</v>
      </c>
      <c r="AL23" s="86"/>
    </row>
    <row r="24" spans="1:62" s="2" customFormat="1" x14ac:dyDescent="0.2">
      <c r="A24" s="2" t="s">
        <v>1489</v>
      </c>
      <c r="B24" s="2" t="s">
        <v>1114</v>
      </c>
      <c r="C24" s="2">
        <f>IFERROR(50+VLOOKUP($A24,'Xtal_SegEnds_Prot#'!$A:$AY,5,FALSE)-VLOOKUP($B24,'NonXtal_SegEnds_Prot#'!$A:$AL,4,FALSE),"-")</f>
        <v>29</v>
      </c>
      <c r="D24" s="2">
        <f>IFERROR(50+VLOOKUP($A24,'Xtal_SegEnds_Prot#'!$A:$AY,7,FALSE)-VLOOKUP($B24,'NonXtal_SegEnds_Prot#'!$A:$AL,4,FALSE),"-")</f>
        <v>60</v>
      </c>
      <c r="E24" s="2">
        <f>IFERROR(50+VLOOKUP($A24,'Xtal_SegEnds_Prot#'!$A:$AY,9,FALSE)-VLOOKUP($B24,'NonXtal_SegEnds_Prot#'!$A:$AL,7,FALSE),"-")</f>
        <v>48</v>
      </c>
      <c r="F24" s="2">
        <f>IFERROR(50+VLOOKUP($A24,'Xtal_SegEnds_Prot#'!$A:$AY,11,FALSE)-VLOOKUP($B24,'NonXtal_SegEnds_Prot#'!$A:$AL,7,FALSE),"-")</f>
        <v>51</v>
      </c>
      <c r="G24" s="2">
        <f>IFERROR(50+VLOOKUP($A24,'Xtal_SegEnds_Prot#'!$A:$AY,13,FALSE)-VLOOKUP($B24,'NonXtal_SegEnds_Prot#'!$A:$AL,10,FALSE),"-")</f>
        <v>37</v>
      </c>
      <c r="H24" s="2">
        <f>IFERROR(50+VLOOKUP($A24,'Xtal_SegEnds_Prot#'!$A:$AY,15,FALSE)-VLOOKUP($B24,'NonXtal_SegEnds_Prot#'!$A:$AL,10,FALSE),"-")</f>
        <v>66</v>
      </c>
      <c r="I24" s="2">
        <f>IFERROR(50+VLOOKUP($A24,'Xtal_SegEnds_Prot#'!$A:$AY,17,FALSE)-VLOOKUP($B24,'NonXtal_SegEnds_Prot#'!$A:$AL,13,FALSE),"-")</f>
        <v>49</v>
      </c>
      <c r="J24" s="2">
        <f>IFERROR(50+VLOOKUP($A24,'Xtal_SegEnds_Prot#'!$A:$AY,19,FALSE)-VLOOKUP($B24,'NonXtal_SegEnds_Prot#'!$A:$AL,13,FALSE),"-")</f>
        <v>52</v>
      </c>
      <c r="K24" s="2">
        <f>IFERROR(50+VLOOKUP($A24,'Xtal_SegEnds_Prot#'!$A:$AY,21,FALSE)-VLOOKUP($B24,'NonXtal_SegEnds_Prot#'!$A:$AL,16,FALSE),"-")</f>
        <v>21</v>
      </c>
      <c r="L24" s="2">
        <f>IFERROR(50+VLOOKUP($A24,'Xtal_SegEnds_Prot#'!$A:$AY,23,FALSE)-VLOOKUP($B24,'NonXtal_SegEnds_Prot#'!$A:$AL,16,FALSE),"-")</f>
        <v>56</v>
      </c>
      <c r="M24" s="2">
        <f>IFERROR(50+VLOOKUP($A24,'Xtal_SegEnds_Prot#'!$A:$AY,25,FALSE)-VLOOKUP($B24,'NonXtal_SegEnds_Prot#'!$A:$AL,19,FALSE),"-")</f>
        <v>50</v>
      </c>
      <c r="N24" s="2">
        <f>IFERROR(50+VLOOKUP($A24,'Xtal_SegEnds_Prot#'!$A:$AY,27,FALSE)-VLOOKUP($B24,'NonXtal_SegEnds_Prot#'!$A:$AL,19,FALSE),"-")</f>
        <v>57</v>
      </c>
      <c r="O24" s="2">
        <f>IFERROR(50+VLOOKUP($A24,'Xtal_SegEnds_Prot#'!$A:$AY,29,FALSE)-VLOOKUP($B24,'NonXtal_SegEnds_Prot#'!$A:$AL,22,FALSE),"-")</f>
        <v>39</v>
      </c>
      <c r="P24" s="2">
        <f>IFERROR(50+VLOOKUP($A24,'Xtal_SegEnds_Prot#'!$A:$AY,31,FALSE)-VLOOKUP($B24,'NonXtal_SegEnds_Prot#'!$A:$AL,22,FALSE),"-")</f>
        <v>64</v>
      </c>
      <c r="Q24" s="2">
        <f>IFERROR(50+VLOOKUP($A24,'Xtal_SegEnds_Prot#'!$A:$AY,33,FALSE)-VLOOKUP($B24,'NonXtal_SegEnds_Prot#'!$A:$AL,25,FALSE),"-")</f>
        <v>50</v>
      </c>
      <c r="R24" s="2">
        <f>IFERROR(50+VLOOKUP($A24,'Xtal_SegEnds_Prot#'!$A:$AY,35,FALSE)-VLOOKUP($B24,'NonXtal_SegEnds_Prot#'!$A:$AL,25,FALSE),"-")</f>
        <v>52</v>
      </c>
      <c r="S24" s="2">
        <f>IFERROR(50+VLOOKUP($A24,'Xtal_SegEnds_Prot#'!$A:$AY,37,FALSE)-VLOOKUP($B24,'NonXtal_SegEnds_Prot#'!$A:$AL,28,FALSE),"-")</f>
        <v>31</v>
      </c>
      <c r="T24" s="89">
        <f>IFERROR(50+VLOOKUP($A24,'Xtal_SegEnds_Prot#'!$A:$AY,39,FALSE)-VLOOKUP($B24,'NonXtal_SegEnds_Prot#'!$A:$AL,28,FALSE),"-")</f>
        <v>68</v>
      </c>
      <c r="U24" s="2">
        <f>IFERROR(50+VLOOKUP($A24,'Xtal_SegEnds_Prot#'!$A:$AY,41,FALSE)-VLOOKUP($B24,'NonXtal_SegEnds_Prot#'!$A:$AL,31,FALSE),"-")</f>
        <v>23</v>
      </c>
      <c r="V24" s="2">
        <f>IFERROR(50+VLOOKUP($A24,'Xtal_SegEnds_Prot#'!$A:$AY,43,FALSE)-VLOOKUP($B24,'NonXtal_SegEnds_Prot#'!$A:$AL,31,FALSE),"-")</f>
        <v>61</v>
      </c>
      <c r="W24" s="2">
        <f>IFERROR(50+VLOOKUP($A24,'Xtal_SegEnds_Prot#'!$A:$AY,45,FALSE)-VLOOKUP($B24,'NonXtal_SegEnds_Prot#'!$A:$AL,34,FALSE),"-")</f>
        <v>28</v>
      </c>
      <c r="X24" s="2">
        <f>IFERROR(50+VLOOKUP($A24,'Xtal_SegEnds_Prot#'!$A:$AY,47,FALSE)-VLOOKUP($B24,'NonXtal_SegEnds_Prot#'!$A:$AL,34,FALSE),"-")</f>
        <v>56</v>
      </c>
      <c r="Y24" s="2">
        <f>IFERROR(50+VLOOKUP($A24,'Xtal_SegEnds_Prot#'!$A:$AY,49,FALSE)-VLOOKUP($B24,'NonXtal_SegEnds_Prot#'!$A:$AL,37,FALSE),"-")</f>
        <v>47</v>
      </c>
      <c r="Z24" s="2">
        <f>IFERROR(50+VLOOKUP($A24,'Xtal_SegEnds_Prot#'!$A:$AY,51,FALSE)-VLOOKUP($B24,'NonXtal_SegEnds_Prot#'!$A:$AL,37,FALSE),"-")</f>
        <v>59</v>
      </c>
      <c r="AA24" s="102" t="str">
        <f>VLOOKUP(B24,Classification!A:D,2,FALSE)</f>
        <v>A</v>
      </c>
      <c r="AB24" s="102">
        <f>VLOOKUP(B24,'NonXtal_SegEnds_Prot#'!A:AL,6,FALSE)-VLOOKUP(B24,'NonXtal_SegEnds_Prot#'!A:AL,5,FALSE)</f>
        <v>1</v>
      </c>
      <c r="AC24" s="102">
        <f>VLOOKUP(B24,'NonXtal_SegEnds_Prot#'!A:AL,9,FALSE)-VLOOKUP(B24,'NonXtal_SegEnds_Prot#'!A:AL,8,FALSE)</f>
        <v>1</v>
      </c>
      <c r="AD24" s="102">
        <f>VLOOKUP(B24,'NonXtal_SegEnds_Prot#'!A:AL,13,FALSE)-VLOOKUP(B24,'NonXtal_SegEnds_Prot#'!A:AL,10,FALSE)</f>
        <v>19</v>
      </c>
      <c r="AE24" s="102">
        <f>VLOOKUP(B24,'NonXtal_SegEnds_Prot#'!A:AL,12,FALSE)-VLOOKUP(B24,'NonXtal_SegEnds_Prot#'!A:AL,11,FALSE)</f>
        <v>2</v>
      </c>
      <c r="AF24" s="102">
        <f>VLOOKUP(B24,'NonXtal_SegEnds_Prot#'!A:AL,13,FALSE)-VLOOKUP(B24,'NonXtal_SegEnds_Prot#'!A:AL,11,FALSE)</f>
        <v>3</v>
      </c>
      <c r="AG24" s="102">
        <f>VLOOKUP(B24,'NonXtal_SegEnds_Prot#'!A:AL,16,FALSE)-VLOOKUP(B24,'NonXtal_SegEnds_Prot#'!A:AL,10,FALSE)</f>
        <v>51</v>
      </c>
      <c r="AH24" s="102">
        <f>VLOOKUP(B24,'NonXtal_SegEnds_Prot#'!A:AL,16,FALSE)-VLOOKUP(B24,'NonXtal_SegEnds_Prot#'!A:AL,11,FALSE)</f>
        <v>35</v>
      </c>
      <c r="AI24" s="102">
        <f>VLOOKUP(B24,'NonXtal_SegEnds_Prot#'!A:AL,15,FALSE)-VLOOKUP(B24,'NonXtal_SegEnds_Prot#'!A:AL,14,FALSE)</f>
        <v>1</v>
      </c>
      <c r="AJ24" s="102">
        <f>VLOOKUP(B24,'NonXtal_SegEnds_Prot#'!A:AL,18,FALSE)-VLOOKUP(B24,'NonXtal_SegEnds_Prot#'!A:AL,17,FALSE)</f>
        <v>1</v>
      </c>
      <c r="AK24" s="2">
        <f>VLOOKUP(B24,'NonXtal_SegEnds_Prot#'!A:AL,34,FALSE)-VLOOKUP(B24,'NonXtal_SegEnds_Prot#'!A:AL,31,FALSE)</f>
        <v>38</v>
      </c>
      <c r="AL24" s="86"/>
    </row>
    <row r="25" spans="1:62" s="2" customFormat="1" x14ac:dyDescent="0.2">
      <c r="A25" s="2" t="s">
        <v>1488</v>
      </c>
      <c r="B25" s="2" t="s">
        <v>530</v>
      </c>
      <c r="C25" s="2">
        <f>IFERROR(50+VLOOKUP($A25,'Xtal_SegEnds_Prot#'!$A:$AY,5,FALSE)-VLOOKUP($B25,'NonXtal_SegEnds_Prot#'!$A:$AL,4,FALSE),"-")</f>
        <v>30</v>
      </c>
      <c r="D25" s="2">
        <f>IFERROR(50+VLOOKUP($A25,'Xtal_SegEnds_Prot#'!$A:$AY,7,FALSE)-VLOOKUP($B25,'NonXtal_SegEnds_Prot#'!$A:$AL,4,FALSE),"-")</f>
        <v>60</v>
      </c>
      <c r="E25" s="2">
        <f>IFERROR(50+VLOOKUP($A25,'Xtal_SegEnds_Prot#'!$A:$AY,9,FALSE)-VLOOKUP($B25,'NonXtal_SegEnds_Prot#'!$A:$AL,7,FALSE),"-")</f>
        <v>48</v>
      </c>
      <c r="F25" s="2">
        <f>IFERROR(50+VLOOKUP($A25,'Xtal_SegEnds_Prot#'!$A:$AY,11,FALSE)-VLOOKUP($B25,'NonXtal_SegEnds_Prot#'!$A:$AL,7,FALSE),"-")</f>
        <v>51</v>
      </c>
      <c r="G25" s="2">
        <f>IFERROR(50+VLOOKUP($A25,'Xtal_SegEnds_Prot#'!$A:$AY,13,FALSE)-VLOOKUP($B25,'NonXtal_SegEnds_Prot#'!$A:$AL,10,FALSE),"-")</f>
        <v>37</v>
      </c>
      <c r="H25" s="2">
        <f>IFERROR(50+VLOOKUP($A25,'Xtal_SegEnds_Prot#'!$A:$AY,15,FALSE)-VLOOKUP($B25,'NonXtal_SegEnds_Prot#'!$A:$AL,10,FALSE),"-")</f>
        <v>66</v>
      </c>
      <c r="I25" s="2">
        <f>IFERROR(50+VLOOKUP($A25,'Xtal_SegEnds_Prot#'!$A:$AY,17,FALSE)-VLOOKUP($B25,'NonXtal_SegEnds_Prot#'!$A:$AL,13,FALSE),"-")</f>
        <v>49</v>
      </c>
      <c r="J25" s="2">
        <f>IFERROR(50+VLOOKUP($A25,'Xtal_SegEnds_Prot#'!$A:$AY,19,FALSE)-VLOOKUP($B25,'NonXtal_SegEnds_Prot#'!$A:$AL,13,FALSE),"-")</f>
        <v>52</v>
      </c>
      <c r="K25" s="2">
        <f>IFERROR(50+VLOOKUP($A25,'Xtal_SegEnds_Prot#'!$A:$AY,21,FALSE)-VLOOKUP($B25,'NonXtal_SegEnds_Prot#'!$A:$AL,16,FALSE),"-")</f>
        <v>21</v>
      </c>
      <c r="L25" s="2">
        <f>IFERROR(50+VLOOKUP($A25,'Xtal_SegEnds_Prot#'!$A:$AY,23,FALSE)-VLOOKUP($B25,'NonXtal_SegEnds_Prot#'!$A:$AL,16,FALSE),"-")</f>
        <v>56</v>
      </c>
      <c r="M25" s="2">
        <f>IFERROR(50+VLOOKUP($A25,'Xtal_SegEnds_Prot#'!$A:$AY,25,FALSE)-VLOOKUP($B25,'NonXtal_SegEnds_Prot#'!$A:$AL,19,FALSE),"-")</f>
        <v>50</v>
      </c>
      <c r="N25" s="2">
        <f>IFERROR(50+VLOOKUP($A25,'Xtal_SegEnds_Prot#'!$A:$AY,27,FALSE)-VLOOKUP($B25,'NonXtal_SegEnds_Prot#'!$A:$AL,19,FALSE),"-")</f>
        <v>57</v>
      </c>
      <c r="O25" s="2">
        <f>IFERROR(50+VLOOKUP($A25,'Xtal_SegEnds_Prot#'!$A:$AY,29,FALSE)-VLOOKUP($B25,'NonXtal_SegEnds_Prot#'!$A:$AL,22,FALSE),"-")</f>
        <v>39</v>
      </c>
      <c r="P25" s="2">
        <f>IFERROR(50+VLOOKUP($A25,'Xtal_SegEnds_Prot#'!$A:$AY,31,FALSE)-VLOOKUP($B25,'NonXtal_SegEnds_Prot#'!$A:$AL,22,FALSE),"-")</f>
        <v>64</v>
      </c>
      <c r="Q25" s="2">
        <f>IFERROR(50+VLOOKUP($A25,'Xtal_SegEnds_Prot#'!$A:$AY,33,FALSE)-VLOOKUP($B25,'NonXtal_SegEnds_Prot#'!$A:$AL,25,FALSE),"-")</f>
        <v>50</v>
      </c>
      <c r="R25" s="2">
        <f>IFERROR(50+VLOOKUP($A25,'Xtal_SegEnds_Prot#'!$A:$AY,35,FALSE)-VLOOKUP($B25,'NonXtal_SegEnds_Prot#'!$A:$AL,25,FALSE),"-")</f>
        <v>52</v>
      </c>
      <c r="S25" s="2">
        <f>IFERROR(50+VLOOKUP($A25,'Xtal_SegEnds_Prot#'!$A:$AY,37,FALSE)-VLOOKUP($B25,'NonXtal_SegEnds_Prot#'!$A:$AL,28,FALSE),"-")</f>
        <v>31</v>
      </c>
      <c r="T25" s="89">
        <f>IFERROR(50+VLOOKUP($A25,'Xtal_SegEnds_Prot#'!$A:$AY,39,FALSE)-VLOOKUP($B25,'NonXtal_SegEnds_Prot#'!$A:$AL,28,FALSE),"-")</f>
        <v>68</v>
      </c>
      <c r="U25" s="2">
        <f>IFERROR(50+VLOOKUP($A25,'Xtal_SegEnds_Prot#'!$A:$AY,41,FALSE)-VLOOKUP($B25,'NonXtal_SegEnds_Prot#'!$A:$AL,31,FALSE),"-")</f>
        <v>23</v>
      </c>
      <c r="V25" s="2">
        <f>IFERROR(50+VLOOKUP($A25,'Xtal_SegEnds_Prot#'!$A:$AY,43,FALSE)-VLOOKUP($B25,'NonXtal_SegEnds_Prot#'!$A:$AL,31,FALSE),"-")</f>
        <v>61</v>
      </c>
      <c r="W25" s="2">
        <f>IFERROR(50+VLOOKUP($A25,'Xtal_SegEnds_Prot#'!$A:$AY,45,FALSE)-VLOOKUP($B25,'NonXtal_SegEnds_Prot#'!$A:$AL,34,FALSE),"-")</f>
        <v>28</v>
      </c>
      <c r="X25" s="2">
        <f>IFERROR(50+VLOOKUP($A25,'Xtal_SegEnds_Prot#'!$A:$AY,47,FALSE)-VLOOKUP($B25,'NonXtal_SegEnds_Prot#'!$A:$AL,34,FALSE),"-")</f>
        <v>56</v>
      </c>
      <c r="Y25" s="2">
        <f>IFERROR(50+VLOOKUP($A25,'Xtal_SegEnds_Prot#'!$A:$AY,49,FALSE)-VLOOKUP($B25,'NonXtal_SegEnds_Prot#'!$A:$AL,37,FALSE),"-")</f>
        <v>47</v>
      </c>
      <c r="Z25" s="2">
        <f>IFERROR(50+VLOOKUP($A25,'Xtal_SegEnds_Prot#'!$A:$AY,51,FALSE)-VLOOKUP($B25,'NonXtal_SegEnds_Prot#'!$A:$AL,37,FALSE),"-")</f>
        <v>59</v>
      </c>
      <c r="AA25" s="102" t="str">
        <f>VLOOKUP(B25,Classification!A:D,2,FALSE)</f>
        <v>A</v>
      </c>
      <c r="AB25" s="102">
        <f>VLOOKUP(B25,'NonXtal_SegEnds_Prot#'!A:AL,6,FALSE)-VLOOKUP(B25,'NonXtal_SegEnds_Prot#'!A:AL,5,FALSE)</f>
        <v>1</v>
      </c>
      <c r="AC25" s="102">
        <f>VLOOKUP(B25,'NonXtal_SegEnds_Prot#'!A:AL,9,FALSE)-VLOOKUP(B25,'NonXtal_SegEnds_Prot#'!A:AL,8,FALSE)</f>
        <v>1</v>
      </c>
      <c r="AD25" s="102">
        <f>VLOOKUP(B25,'NonXtal_SegEnds_Prot#'!A:AL,13,FALSE)-VLOOKUP(B25,'NonXtal_SegEnds_Prot#'!A:AL,10,FALSE)</f>
        <v>19</v>
      </c>
      <c r="AE25" s="102">
        <f>VLOOKUP(B25,'NonXtal_SegEnds_Prot#'!A:AL,12,FALSE)-VLOOKUP(B25,'NonXtal_SegEnds_Prot#'!A:AL,11,FALSE)</f>
        <v>2</v>
      </c>
      <c r="AF25" s="102">
        <f>VLOOKUP(B25,'NonXtal_SegEnds_Prot#'!A:AL,13,FALSE)-VLOOKUP(B25,'NonXtal_SegEnds_Prot#'!A:AL,11,FALSE)</f>
        <v>3</v>
      </c>
      <c r="AG25" s="102">
        <f>VLOOKUP(B25,'NonXtal_SegEnds_Prot#'!A:AL,16,FALSE)-VLOOKUP(B25,'NonXtal_SegEnds_Prot#'!A:AL,10,FALSE)</f>
        <v>51</v>
      </c>
      <c r="AH25" s="102">
        <f>VLOOKUP(B25,'NonXtal_SegEnds_Prot#'!A:AL,16,FALSE)-VLOOKUP(B25,'NonXtal_SegEnds_Prot#'!A:AL,11,FALSE)</f>
        <v>35</v>
      </c>
      <c r="AI25" s="102">
        <f>VLOOKUP(B25,'NonXtal_SegEnds_Prot#'!A:AL,15,FALSE)-VLOOKUP(B25,'NonXtal_SegEnds_Prot#'!A:AL,14,FALSE)</f>
        <v>1</v>
      </c>
      <c r="AJ25" s="102">
        <f>VLOOKUP(B25,'NonXtal_SegEnds_Prot#'!A:AL,18,FALSE)-VLOOKUP(B25,'NonXtal_SegEnds_Prot#'!A:AL,17,FALSE)</f>
        <v>1</v>
      </c>
      <c r="AK25" s="2">
        <f>VLOOKUP(B25,'NonXtal_SegEnds_Prot#'!A:AL,34,FALSE)-VLOOKUP(B25,'NonXtal_SegEnds_Prot#'!A:AL,31,FALSE)</f>
        <v>38</v>
      </c>
      <c r="AL25" s="86"/>
    </row>
    <row r="26" spans="1:62" s="2" customFormat="1" x14ac:dyDescent="0.2">
      <c r="A26" s="2" t="s">
        <v>1486</v>
      </c>
      <c r="B26" s="2" t="s">
        <v>529</v>
      </c>
      <c r="C26" s="2">
        <f>IFERROR(50+VLOOKUP($A26,'Xtal_SegEnds_Prot#'!$A:$AY,5,FALSE)-VLOOKUP($B26,'NonXtal_SegEnds_Prot#'!$A:$AL,4,FALSE),"-")</f>
        <v>22</v>
      </c>
      <c r="D26" s="2">
        <f>IFERROR(50+VLOOKUP($A26,'Xtal_SegEnds_Prot#'!$A:$AY,7,FALSE)-VLOOKUP($B26,'NonXtal_SegEnds_Prot#'!$A:$AL,4,FALSE),"-")</f>
        <v>60</v>
      </c>
      <c r="E26" s="2">
        <f>IFERROR(50+VLOOKUP($A26,'Xtal_SegEnds_Prot#'!$A:$AY,9,FALSE)-VLOOKUP($B26,'NonXtal_SegEnds_Prot#'!$A:$AL,7,FALSE),"-")</f>
        <v>48</v>
      </c>
      <c r="F26" s="2">
        <f>IFERROR(50+VLOOKUP($A26,'Xtal_SegEnds_Prot#'!$A:$AY,11,FALSE)-VLOOKUP($B26,'NonXtal_SegEnds_Prot#'!$A:$AL,7,FALSE),"-")</f>
        <v>51</v>
      </c>
      <c r="G26" s="2">
        <f>IFERROR(50+VLOOKUP($A26,'Xtal_SegEnds_Prot#'!$A:$AY,13,FALSE)-VLOOKUP($B26,'NonXtal_SegEnds_Prot#'!$A:$AL,10,FALSE),"-")</f>
        <v>37</v>
      </c>
      <c r="H26" s="2">
        <f>IFERROR(50+VLOOKUP($A26,'Xtal_SegEnds_Prot#'!$A:$AY,15,FALSE)-VLOOKUP($B26,'NonXtal_SegEnds_Prot#'!$A:$AL,10,FALSE),"-")</f>
        <v>66</v>
      </c>
      <c r="I26" s="2">
        <f>IFERROR(50+VLOOKUP($A26,'Xtal_SegEnds_Prot#'!$A:$AY,17,FALSE)-VLOOKUP($B26,'NonXtal_SegEnds_Prot#'!$A:$AL,13,FALSE),"-")</f>
        <v>49</v>
      </c>
      <c r="J26" s="2">
        <f>IFERROR(50+VLOOKUP($A26,'Xtal_SegEnds_Prot#'!$A:$AY,19,FALSE)-VLOOKUP($B26,'NonXtal_SegEnds_Prot#'!$A:$AL,13,FALSE),"-")</f>
        <v>52</v>
      </c>
      <c r="K26" s="2">
        <f>IFERROR(50+VLOOKUP($A26,'Xtal_SegEnds_Prot#'!$A:$AY,21,FALSE)-VLOOKUP($B26,'NonXtal_SegEnds_Prot#'!$A:$AL,16,FALSE),"-")</f>
        <v>21</v>
      </c>
      <c r="L26" s="2">
        <f>IFERROR(50+VLOOKUP($A26,'Xtal_SegEnds_Prot#'!$A:$AY,23,FALSE)-VLOOKUP($B26,'NonXtal_SegEnds_Prot#'!$A:$AL,16,FALSE),"-")</f>
        <v>56</v>
      </c>
      <c r="M26" s="2">
        <f>IFERROR(50+VLOOKUP($A26,'Xtal_SegEnds_Prot#'!$A:$AY,25,FALSE)-VLOOKUP($B26,'NonXtal_SegEnds_Prot#'!$A:$AL,19,FALSE),"-")</f>
        <v>50</v>
      </c>
      <c r="N26" s="2">
        <f>IFERROR(50+VLOOKUP($A26,'Xtal_SegEnds_Prot#'!$A:$AY,27,FALSE)-VLOOKUP($B26,'NonXtal_SegEnds_Prot#'!$A:$AL,19,FALSE),"-")</f>
        <v>57</v>
      </c>
      <c r="O26" s="2">
        <f>IFERROR(50+VLOOKUP($A26,'Xtal_SegEnds_Prot#'!$A:$AY,29,FALSE)-VLOOKUP($B26,'NonXtal_SegEnds_Prot#'!$A:$AL,22,FALSE),"-")</f>
        <v>39</v>
      </c>
      <c r="P26" s="2">
        <f>IFERROR(50+VLOOKUP($A26,'Xtal_SegEnds_Prot#'!$A:$AY,31,FALSE)-VLOOKUP($B26,'NonXtal_SegEnds_Prot#'!$A:$AL,22,FALSE),"-")</f>
        <v>64</v>
      </c>
      <c r="Q26" s="2">
        <f>IFERROR(50+VLOOKUP($A26,'Xtal_SegEnds_Prot#'!$A:$AY,33,FALSE)-VLOOKUP($B26,'NonXtal_SegEnds_Prot#'!$A:$AL,25,FALSE),"-")</f>
        <v>50</v>
      </c>
      <c r="R26" s="2">
        <f>IFERROR(50+VLOOKUP($A26,'Xtal_SegEnds_Prot#'!$A:$AY,35,FALSE)-VLOOKUP($B26,'NonXtal_SegEnds_Prot#'!$A:$AL,25,FALSE),"-")</f>
        <v>52</v>
      </c>
      <c r="S26" s="2">
        <f>IFERROR(50+VLOOKUP($A26,'Xtal_SegEnds_Prot#'!$A:$AY,37,FALSE)-VLOOKUP($B26,'NonXtal_SegEnds_Prot#'!$A:$AL,28,FALSE),"-")</f>
        <v>31</v>
      </c>
      <c r="T26" s="89">
        <f>IFERROR(50+VLOOKUP($A26,'Xtal_SegEnds_Prot#'!$A:$AY,39,FALSE)-VLOOKUP($B26,'NonXtal_SegEnds_Prot#'!$A:$AL,28,FALSE),"-")</f>
        <v>68</v>
      </c>
      <c r="U26" s="2">
        <f>IFERROR(50+VLOOKUP($A26,'Xtal_SegEnds_Prot#'!$A:$AY,41,FALSE)-VLOOKUP($B26,'NonXtal_SegEnds_Prot#'!$A:$AL,31,FALSE),"-")</f>
        <v>23</v>
      </c>
      <c r="V26" s="2">
        <f>IFERROR(50+VLOOKUP($A26,'Xtal_SegEnds_Prot#'!$A:$AY,43,FALSE)-VLOOKUP($B26,'NonXtal_SegEnds_Prot#'!$A:$AL,31,FALSE),"-")</f>
        <v>61</v>
      </c>
      <c r="W26" s="2">
        <f>IFERROR(50+VLOOKUP($A26,'Xtal_SegEnds_Prot#'!$A:$AY,45,FALSE)-VLOOKUP($B26,'NonXtal_SegEnds_Prot#'!$A:$AL,34,FALSE),"-")</f>
        <v>28</v>
      </c>
      <c r="X26" s="2">
        <f>IFERROR(50+VLOOKUP($A26,'Xtal_SegEnds_Prot#'!$A:$AY,47,FALSE)-VLOOKUP($B26,'NonXtal_SegEnds_Prot#'!$A:$AL,34,FALSE),"-")</f>
        <v>56</v>
      </c>
      <c r="Y26" s="2">
        <f>IFERROR(50+VLOOKUP($A26,'Xtal_SegEnds_Prot#'!$A:$AY,49,FALSE)-VLOOKUP($B26,'NonXtal_SegEnds_Prot#'!$A:$AL,37,FALSE),"-")</f>
        <v>47</v>
      </c>
      <c r="Z26" s="2">
        <f>IFERROR(50+VLOOKUP($A26,'Xtal_SegEnds_Prot#'!$A:$AY,51,FALSE)-VLOOKUP($B26,'NonXtal_SegEnds_Prot#'!$A:$AL,37,FALSE),"-")</f>
        <v>60</v>
      </c>
      <c r="AA26" s="102" t="str">
        <f>VLOOKUP(B26,Classification!A:D,2,FALSE)</f>
        <v>A</v>
      </c>
      <c r="AB26" s="102">
        <f>VLOOKUP(B26,'NonXtal_SegEnds_Prot#'!A:AL,6,FALSE)-VLOOKUP(B26,'NonXtal_SegEnds_Prot#'!A:AL,5,FALSE)</f>
        <v>1</v>
      </c>
      <c r="AC26" s="102">
        <f>VLOOKUP(B26,'NonXtal_SegEnds_Prot#'!A:AL,9,FALSE)-VLOOKUP(B26,'NonXtal_SegEnds_Prot#'!A:AL,8,FALSE)</f>
        <v>1</v>
      </c>
      <c r="AD26" s="102">
        <f>VLOOKUP(B26,'NonXtal_SegEnds_Prot#'!A:AL,13,FALSE)-VLOOKUP(B26,'NonXtal_SegEnds_Prot#'!A:AL,10,FALSE)</f>
        <v>19</v>
      </c>
      <c r="AE26" s="102">
        <f>VLOOKUP(B26,'NonXtal_SegEnds_Prot#'!A:AL,12,FALSE)-VLOOKUP(B26,'NonXtal_SegEnds_Prot#'!A:AL,11,FALSE)</f>
        <v>2</v>
      </c>
      <c r="AF26" s="102">
        <f>VLOOKUP(B26,'NonXtal_SegEnds_Prot#'!A:AL,13,FALSE)-VLOOKUP(B26,'NonXtal_SegEnds_Prot#'!A:AL,11,FALSE)</f>
        <v>3</v>
      </c>
      <c r="AG26" s="102">
        <f>VLOOKUP(B26,'NonXtal_SegEnds_Prot#'!A:AL,16,FALSE)-VLOOKUP(B26,'NonXtal_SegEnds_Prot#'!A:AL,10,FALSE)</f>
        <v>51</v>
      </c>
      <c r="AH26" s="102">
        <f>VLOOKUP(B26,'NonXtal_SegEnds_Prot#'!A:AL,16,FALSE)-VLOOKUP(B26,'NonXtal_SegEnds_Prot#'!A:AL,11,FALSE)</f>
        <v>35</v>
      </c>
      <c r="AI26" s="102">
        <f>VLOOKUP(B26,'NonXtal_SegEnds_Prot#'!A:AL,15,FALSE)-VLOOKUP(B26,'NonXtal_SegEnds_Prot#'!A:AL,14,FALSE)</f>
        <v>1</v>
      </c>
      <c r="AJ26" s="102">
        <f>VLOOKUP(B26,'NonXtal_SegEnds_Prot#'!A:AL,18,FALSE)-VLOOKUP(B26,'NonXtal_SegEnds_Prot#'!A:AL,17,FALSE)</f>
        <v>1</v>
      </c>
      <c r="AK26" s="2">
        <f>VLOOKUP(B26,'NonXtal_SegEnds_Prot#'!A:AL,34,FALSE)-VLOOKUP(B26,'NonXtal_SegEnds_Prot#'!A:AL,31,FALSE)</f>
        <v>39</v>
      </c>
      <c r="AL26" s="86"/>
    </row>
    <row r="27" spans="1:62" s="2" customFormat="1" x14ac:dyDescent="0.2">
      <c r="A27" s="2" t="s">
        <v>1487</v>
      </c>
      <c r="B27" s="2" t="s">
        <v>1112</v>
      </c>
      <c r="C27" s="2">
        <f>IFERROR(50+VLOOKUP($A27,'Xtal_SegEnds_Prot#'!$A:$AY,5,FALSE)-VLOOKUP($B27,'NonXtal_SegEnds_Prot#'!$A:$AL,4,FALSE),"-")</f>
        <v>24</v>
      </c>
      <c r="D27" s="2">
        <f>IFERROR(50+VLOOKUP($A27,'Xtal_SegEnds_Prot#'!$A:$AY,7,FALSE)-VLOOKUP($B27,'NonXtal_SegEnds_Prot#'!$A:$AL,4,FALSE),"-")</f>
        <v>60</v>
      </c>
      <c r="E27" s="2">
        <f>IFERROR(50+VLOOKUP($A27,'Xtal_SegEnds_Prot#'!$A:$AY,9,FALSE)-VLOOKUP($B27,'NonXtal_SegEnds_Prot#'!$A:$AL,7,FALSE),"-")</f>
        <v>48</v>
      </c>
      <c r="F27" s="2">
        <f>IFERROR(50+VLOOKUP($A27,'Xtal_SegEnds_Prot#'!$A:$AY,11,FALSE)-VLOOKUP($B27,'NonXtal_SegEnds_Prot#'!$A:$AL,7,FALSE),"-")</f>
        <v>51</v>
      </c>
      <c r="G27" s="2">
        <f>IFERROR(50+VLOOKUP($A27,'Xtal_SegEnds_Prot#'!$A:$AY,13,FALSE)-VLOOKUP($B27,'NonXtal_SegEnds_Prot#'!$A:$AL,10,FALSE),"-")</f>
        <v>37</v>
      </c>
      <c r="H27" s="2">
        <f>IFERROR(50+VLOOKUP($A27,'Xtal_SegEnds_Prot#'!$A:$AY,15,FALSE)-VLOOKUP($B27,'NonXtal_SegEnds_Prot#'!$A:$AL,10,FALSE),"-")</f>
        <v>66</v>
      </c>
      <c r="I27" s="2">
        <f>IFERROR(50+VLOOKUP($A27,'Xtal_SegEnds_Prot#'!$A:$AY,17,FALSE)-VLOOKUP($B27,'NonXtal_SegEnds_Prot#'!$A:$AL,13,FALSE),"-")</f>
        <v>49</v>
      </c>
      <c r="J27" s="2">
        <f>IFERROR(50+VLOOKUP($A27,'Xtal_SegEnds_Prot#'!$A:$AY,19,FALSE)-VLOOKUP($B27,'NonXtal_SegEnds_Prot#'!$A:$AL,13,FALSE),"-")</f>
        <v>52</v>
      </c>
      <c r="K27" s="2">
        <f>IFERROR(50+VLOOKUP($A27,'Xtal_SegEnds_Prot#'!$A:$AY,21,FALSE)-VLOOKUP($B27,'NonXtal_SegEnds_Prot#'!$A:$AL,16,FALSE),"-")</f>
        <v>21</v>
      </c>
      <c r="L27" s="2">
        <f>IFERROR(50+VLOOKUP($A27,'Xtal_SegEnds_Prot#'!$A:$AY,23,FALSE)-VLOOKUP($B27,'NonXtal_SegEnds_Prot#'!$A:$AL,16,FALSE),"-")</f>
        <v>56</v>
      </c>
      <c r="M27" s="2">
        <f>IFERROR(50+VLOOKUP($A27,'Xtal_SegEnds_Prot#'!$A:$AY,25,FALSE)-VLOOKUP($B27,'NonXtal_SegEnds_Prot#'!$A:$AL,19,FALSE),"-")</f>
        <v>50</v>
      </c>
      <c r="N27" s="2">
        <f>IFERROR(50+VLOOKUP($A27,'Xtal_SegEnds_Prot#'!$A:$AY,27,FALSE)-VLOOKUP($B27,'NonXtal_SegEnds_Prot#'!$A:$AL,19,FALSE),"-")</f>
        <v>57</v>
      </c>
      <c r="O27" s="2">
        <f>IFERROR(50+VLOOKUP($A27,'Xtal_SegEnds_Prot#'!$A:$AY,29,FALSE)-VLOOKUP($B27,'NonXtal_SegEnds_Prot#'!$A:$AL,22,FALSE),"-")</f>
        <v>39</v>
      </c>
      <c r="P27" s="2">
        <f>IFERROR(50+VLOOKUP($A27,'Xtal_SegEnds_Prot#'!$A:$AY,31,FALSE)-VLOOKUP($B27,'NonXtal_SegEnds_Prot#'!$A:$AL,22,FALSE),"-")</f>
        <v>64</v>
      </c>
      <c r="Q27" s="2">
        <f>IFERROR(50+VLOOKUP($A27,'Xtal_SegEnds_Prot#'!$A:$AY,33,FALSE)-VLOOKUP($B27,'NonXtal_SegEnds_Prot#'!$A:$AL,25,FALSE),"-")</f>
        <v>50</v>
      </c>
      <c r="R27" s="2">
        <f>IFERROR(50+VLOOKUP($A27,'Xtal_SegEnds_Prot#'!$A:$AY,35,FALSE)-VLOOKUP($B27,'NonXtal_SegEnds_Prot#'!$A:$AL,25,FALSE),"-")</f>
        <v>52</v>
      </c>
      <c r="S27" s="2">
        <f>IFERROR(50+VLOOKUP($A27,'Xtal_SegEnds_Prot#'!$A:$AY,37,FALSE)-VLOOKUP($B27,'NonXtal_SegEnds_Prot#'!$A:$AL,28,FALSE),"-")</f>
        <v>31</v>
      </c>
      <c r="T27" s="89">
        <f>IFERROR(50+VLOOKUP($A27,'Xtal_SegEnds_Prot#'!$A:$AY,39,FALSE)-VLOOKUP($B27,'NonXtal_SegEnds_Prot#'!$A:$AL,28,FALSE),"-")</f>
        <v>68</v>
      </c>
      <c r="U27" s="2">
        <f>IFERROR(50+VLOOKUP($A27,'Xtal_SegEnds_Prot#'!$A:$AY,41,FALSE)-VLOOKUP($B27,'NonXtal_SegEnds_Prot#'!$A:$AL,31,FALSE),"-")</f>
        <v>23</v>
      </c>
      <c r="V27" s="2">
        <f>IFERROR(50+VLOOKUP($A27,'Xtal_SegEnds_Prot#'!$A:$AY,43,FALSE)-VLOOKUP($B27,'NonXtal_SegEnds_Prot#'!$A:$AL,31,FALSE),"-")</f>
        <v>61</v>
      </c>
      <c r="W27" s="2">
        <f>IFERROR(50+VLOOKUP($A27,'Xtal_SegEnds_Prot#'!$A:$AY,45,FALSE)-VLOOKUP($B27,'NonXtal_SegEnds_Prot#'!$A:$AL,34,FALSE),"-")</f>
        <v>28</v>
      </c>
      <c r="X27" s="2">
        <f>IFERROR(50+VLOOKUP($A27,'Xtal_SegEnds_Prot#'!$A:$AY,47,FALSE)-VLOOKUP($B27,'NonXtal_SegEnds_Prot#'!$A:$AL,34,FALSE),"-")</f>
        <v>56</v>
      </c>
      <c r="Y27" s="2">
        <f>IFERROR(50+VLOOKUP($A27,'Xtal_SegEnds_Prot#'!$A:$AY,49,FALSE)-VLOOKUP($B27,'NonXtal_SegEnds_Prot#'!$A:$AL,37,FALSE),"-")</f>
        <v>47</v>
      </c>
      <c r="Z27" s="2">
        <f>IFERROR(50+VLOOKUP($A27,'Xtal_SegEnds_Prot#'!$A:$AY,51,FALSE)-VLOOKUP($B27,'NonXtal_SegEnds_Prot#'!$A:$AL,37,FALSE),"-")</f>
        <v>60</v>
      </c>
      <c r="AA27" s="102" t="str">
        <f>VLOOKUP(B27,Classification!A:D,2,FALSE)</f>
        <v>A</v>
      </c>
      <c r="AB27" s="102">
        <f>VLOOKUP(B27,'NonXtal_SegEnds_Prot#'!A:AL,6,FALSE)-VLOOKUP(B27,'NonXtal_SegEnds_Prot#'!A:AL,5,FALSE)</f>
        <v>1</v>
      </c>
      <c r="AC27" s="102">
        <f>VLOOKUP(B27,'NonXtal_SegEnds_Prot#'!A:AL,9,FALSE)-VLOOKUP(B27,'NonXtal_SegEnds_Prot#'!A:AL,8,FALSE)</f>
        <v>1</v>
      </c>
      <c r="AD27" s="102">
        <f>VLOOKUP(B27,'NonXtal_SegEnds_Prot#'!A:AL,13,FALSE)-VLOOKUP(B27,'NonXtal_SegEnds_Prot#'!A:AL,10,FALSE)</f>
        <v>19</v>
      </c>
      <c r="AE27" s="102">
        <f>VLOOKUP(B27,'NonXtal_SegEnds_Prot#'!A:AL,12,FALSE)-VLOOKUP(B27,'NonXtal_SegEnds_Prot#'!A:AL,11,FALSE)</f>
        <v>2</v>
      </c>
      <c r="AF27" s="102">
        <f>VLOOKUP(B27,'NonXtal_SegEnds_Prot#'!A:AL,13,FALSE)-VLOOKUP(B27,'NonXtal_SegEnds_Prot#'!A:AL,11,FALSE)</f>
        <v>3</v>
      </c>
      <c r="AG27" s="102">
        <f>VLOOKUP(B27,'NonXtal_SegEnds_Prot#'!A:AL,16,FALSE)-VLOOKUP(B27,'NonXtal_SegEnds_Prot#'!A:AL,10,FALSE)</f>
        <v>51</v>
      </c>
      <c r="AH27" s="102">
        <f>VLOOKUP(B27,'NonXtal_SegEnds_Prot#'!A:AL,16,FALSE)-VLOOKUP(B27,'NonXtal_SegEnds_Prot#'!A:AL,11,FALSE)</f>
        <v>35</v>
      </c>
      <c r="AI27" s="102">
        <f>VLOOKUP(B27,'NonXtal_SegEnds_Prot#'!A:AL,15,FALSE)-VLOOKUP(B27,'NonXtal_SegEnds_Prot#'!A:AL,14,FALSE)</f>
        <v>1</v>
      </c>
      <c r="AJ27" s="102">
        <f>VLOOKUP(B27,'NonXtal_SegEnds_Prot#'!A:AL,18,FALSE)-VLOOKUP(B27,'NonXtal_SegEnds_Prot#'!A:AL,17,FALSE)</f>
        <v>1</v>
      </c>
      <c r="AK27" s="2">
        <f>VLOOKUP(B27,'NonXtal_SegEnds_Prot#'!A:AL,34,FALSE)-VLOOKUP(B27,'NonXtal_SegEnds_Prot#'!A:AL,31,FALSE)</f>
        <v>39</v>
      </c>
      <c r="AL27" s="86"/>
    </row>
    <row r="28" spans="1:62" s="2" customFormat="1" x14ac:dyDescent="0.2">
      <c r="A28" s="2" t="s">
        <v>1498</v>
      </c>
      <c r="B28" s="2" t="s">
        <v>549</v>
      </c>
      <c r="C28" s="2">
        <f>IFERROR(50+VLOOKUP($A28,'Xtal_SegEnds_Prot#'!$A:$AY,5,FALSE)-VLOOKUP($B28,'NonXtal_SegEnds_Prot#'!$A:$AL,4,FALSE),"-")</f>
        <v>29</v>
      </c>
      <c r="D28" s="2">
        <f>IFERROR(50+VLOOKUP($A28,'Xtal_SegEnds_Prot#'!$A:$AY,7,FALSE)-VLOOKUP($B28,'NonXtal_SegEnds_Prot#'!$A:$AL,4,FALSE),"-")</f>
        <v>60</v>
      </c>
      <c r="E28" s="2">
        <f>IFERROR(50+VLOOKUP($A28,'Xtal_SegEnds_Prot#'!$A:$AY,9,FALSE)-VLOOKUP($B28,'NonXtal_SegEnds_Prot#'!$A:$AL,7,FALSE),"-")</f>
        <v>48</v>
      </c>
      <c r="F28" s="2">
        <f>IFERROR(50+VLOOKUP($A28,'Xtal_SegEnds_Prot#'!$A:$AY,11,FALSE)-VLOOKUP($B28,'NonXtal_SegEnds_Prot#'!$A:$AL,7,FALSE),"-")</f>
        <v>51</v>
      </c>
      <c r="G28" s="2">
        <f>IFERROR(50+VLOOKUP($A28,'Xtal_SegEnds_Prot#'!$A:$AY,13,FALSE)-VLOOKUP($B28,'NonXtal_SegEnds_Prot#'!$A:$AL,10,FALSE),"-")</f>
        <v>37</v>
      </c>
      <c r="H28" s="2">
        <f>IFERROR(50+VLOOKUP($A28,'Xtal_SegEnds_Prot#'!$A:$AY,15,FALSE)-VLOOKUP($B28,'NonXtal_SegEnds_Prot#'!$A:$AL,10,FALSE),"-")</f>
        <v>66</v>
      </c>
      <c r="I28" s="2">
        <f>IFERROR(50+VLOOKUP($A28,'Xtal_SegEnds_Prot#'!$A:$AY,17,FALSE)-VLOOKUP($B28,'NonXtal_SegEnds_Prot#'!$A:$AL,13,FALSE),"-")</f>
        <v>49</v>
      </c>
      <c r="J28" s="2">
        <f>IFERROR(50+VLOOKUP($A28,'Xtal_SegEnds_Prot#'!$A:$AY,19,FALSE)-VLOOKUP($B28,'NonXtal_SegEnds_Prot#'!$A:$AL,13,FALSE),"-")</f>
        <v>52</v>
      </c>
      <c r="K28" s="2">
        <f>IFERROR(50+VLOOKUP($A28,'Xtal_SegEnds_Prot#'!$A:$AY,21,FALSE)-VLOOKUP($B28,'NonXtal_SegEnds_Prot#'!$A:$AL,16,FALSE),"-")</f>
        <v>21</v>
      </c>
      <c r="L28" s="2">
        <f>IFERROR(50+VLOOKUP($A28,'Xtal_SegEnds_Prot#'!$A:$AY,23,FALSE)-VLOOKUP($B28,'NonXtal_SegEnds_Prot#'!$A:$AL,16,FALSE),"-")</f>
        <v>56</v>
      </c>
      <c r="M28" s="2">
        <f>IFERROR(50+VLOOKUP($A28,'Xtal_SegEnds_Prot#'!$A:$AY,25,FALSE)-VLOOKUP($B28,'NonXtal_SegEnds_Prot#'!$A:$AL,19,FALSE),"-")</f>
        <v>50</v>
      </c>
      <c r="N28" s="2">
        <f>IFERROR(50+VLOOKUP($A28,'Xtal_SegEnds_Prot#'!$A:$AY,27,FALSE)-VLOOKUP($B28,'NonXtal_SegEnds_Prot#'!$A:$AL,19,FALSE),"-")</f>
        <v>57</v>
      </c>
      <c r="O28" s="2">
        <f>IFERROR(50+VLOOKUP($A28,'Xtal_SegEnds_Prot#'!$A:$AY,29,FALSE)-VLOOKUP($B28,'NonXtal_SegEnds_Prot#'!$A:$AL,22,FALSE),"-")</f>
        <v>39</v>
      </c>
      <c r="P28" s="2">
        <f>IFERROR(50+VLOOKUP($A28,'Xtal_SegEnds_Prot#'!$A:$AY,31,FALSE)-VLOOKUP($B28,'NonXtal_SegEnds_Prot#'!$A:$AL,22,FALSE),"-")</f>
        <v>63</v>
      </c>
      <c r="Q28" s="2">
        <f>IFERROR(50+VLOOKUP($A28,'Xtal_SegEnds_Prot#'!$A:$AY,33,FALSE)-VLOOKUP($B28,'NonXtal_SegEnds_Prot#'!$A:$AL,25,FALSE),"-")</f>
        <v>50</v>
      </c>
      <c r="R28" s="2">
        <f>IFERROR(50+VLOOKUP($A28,'Xtal_SegEnds_Prot#'!$A:$AY,35,FALSE)-VLOOKUP($B28,'NonXtal_SegEnds_Prot#'!$A:$AL,25,FALSE),"-")</f>
        <v>52</v>
      </c>
      <c r="S28" s="2">
        <f>IFERROR(50+VLOOKUP($A28,'Xtal_SegEnds_Prot#'!$A:$AY,37,FALSE)-VLOOKUP($B28,'NonXtal_SegEnds_Prot#'!$A:$AL,28,FALSE),"-")</f>
        <v>32</v>
      </c>
      <c r="T28" s="89">
        <f>IFERROR(50+VLOOKUP($A28,'Xtal_SegEnds_Prot#'!$A:$AY,39,FALSE)-VLOOKUP($B28,'NonXtal_SegEnds_Prot#'!$A:$AL,28,FALSE),"-")</f>
        <v>67</v>
      </c>
      <c r="U28" s="2">
        <f>IFERROR(50+VLOOKUP($A28,'Xtal_SegEnds_Prot#'!$A:$AY,41,FALSE)-VLOOKUP($B28,'NonXtal_SegEnds_Prot#'!$A:$AL,31,FALSE),"-")</f>
        <v>26</v>
      </c>
      <c r="V28" s="2">
        <f>IFERROR(50+VLOOKUP($A28,'Xtal_SegEnds_Prot#'!$A:$AY,43,FALSE)-VLOOKUP($B28,'NonXtal_SegEnds_Prot#'!$A:$AL,31,FALSE),"-")</f>
        <v>62</v>
      </c>
      <c r="W28" s="2">
        <f>IFERROR(50+VLOOKUP($A28,'Xtal_SegEnds_Prot#'!$A:$AY,45,FALSE)-VLOOKUP($B28,'NonXtal_SegEnds_Prot#'!$A:$AL,34,FALSE),"-")</f>
        <v>28</v>
      </c>
      <c r="X28" s="2">
        <f>IFERROR(50+VLOOKUP($A28,'Xtal_SegEnds_Prot#'!$A:$AY,47,FALSE)-VLOOKUP($B28,'NonXtal_SegEnds_Prot#'!$A:$AL,34,FALSE),"-")</f>
        <v>56</v>
      </c>
      <c r="Y28" s="2">
        <f>IFERROR(50+VLOOKUP($A28,'Xtal_SegEnds_Prot#'!$A:$AY,49,FALSE)-VLOOKUP($B28,'NonXtal_SegEnds_Prot#'!$A:$AL,37,FALSE),"-")</f>
        <v>47</v>
      </c>
      <c r="Z28" s="2">
        <f>IFERROR(50+VLOOKUP($A28,'Xtal_SegEnds_Prot#'!$A:$AY,51,FALSE)-VLOOKUP($B28,'NonXtal_SegEnds_Prot#'!$A:$AL,37,FALSE),"-")</f>
        <v>61</v>
      </c>
      <c r="AA28" s="102" t="str">
        <f>VLOOKUP(B28,Classification!A:D,2,FALSE)</f>
        <v>A</v>
      </c>
      <c r="AB28" s="102">
        <f>VLOOKUP(B28,'NonXtal_SegEnds_Prot#'!A:AL,6,FALSE)-VLOOKUP(B28,'NonXtal_SegEnds_Prot#'!A:AL,5,FALSE)</f>
        <v>1</v>
      </c>
      <c r="AC28" s="102">
        <f>VLOOKUP(B28,'NonXtal_SegEnds_Prot#'!A:AL,9,FALSE)-VLOOKUP(B28,'NonXtal_SegEnds_Prot#'!A:AL,8,FALSE)</f>
        <v>1</v>
      </c>
      <c r="AD28" s="102">
        <f>VLOOKUP(B28,'NonXtal_SegEnds_Prot#'!A:AL,13,FALSE)-VLOOKUP(B28,'NonXtal_SegEnds_Prot#'!A:AL,10,FALSE)</f>
        <v>20</v>
      </c>
      <c r="AE28" s="102">
        <f>VLOOKUP(B28,'NonXtal_SegEnds_Prot#'!A:AL,12,FALSE)-VLOOKUP(B28,'NonXtal_SegEnds_Prot#'!A:AL,11,FALSE)</f>
        <v>3</v>
      </c>
      <c r="AF28" s="102">
        <f>VLOOKUP(B28,'NonXtal_SegEnds_Prot#'!A:AL,13,FALSE)-VLOOKUP(B28,'NonXtal_SegEnds_Prot#'!A:AL,11,FALSE)</f>
        <v>4</v>
      </c>
      <c r="AG28" s="102">
        <f>VLOOKUP(B28,'NonXtal_SegEnds_Prot#'!A:AL,16,FALSE)-VLOOKUP(B28,'NonXtal_SegEnds_Prot#'!A:AL,10,FALSE)</f>
        <v>52</v>
      </c>
      <c r="AH28" s="102">
        <f>VLOOKUP(B28,'NonXtal_SegEnds_Prot#'!A:AL,16,FALSE)-VLOOKUP(B28,'NonXtal_SegEnds_Prot#'!A:AL,11,FALSE)</f>
        <v>36</v>
      </c>
      <c r="AI28" s="102">
        <f>VLOOKUP(B28,'NonXtal_SegEnds_Prot#'!A:AL,15,FALSE)-VLOOKUP(B28,'NonXtal_SegEnds_Prot#'!A:AL,14,FALSE)</f>
        <v>1</v>
      </c>
      <c r="AJ28" s="102">
        <f>VLOOKUP(B28,'NonXtal_SegEnds_Prot#'!A:AL,18,FALSE)-VLOOKUP(B28,'NonXtal_SegEnds_Prot#'!A:AL,17,FALSE)</f>
        <v>1</v>
      </c>
      <c r="AK28" s="2">
        <f>VLOOKUP(B28,'NonXtal_SegEnds_Prot#'!A:AL,34,FALSE)-VLOOKUP(B28,'NonXtal_SegEnds_Prot#'!A:AL,31,FALSE)</f>
        <v>40</v>
      </c>
      <c r="AL28" s="86"/>
    </row>
    <row r="29" spans="1:62" s="2" customFormat="1" x14ac:dyDescent="0.2">
      <c r="A29" s="2" t="s">
        <v>1495</v>
      </c>
      <c r="B29" s="2" t="s">
        <v>1395</v>
      </c>
      <c r="C29" s="2">
        <f>IFERROR(50+VLOOKUP($A29,'Xtal_SegEnds_Prot#'!$A:$AY,5,FALSE)-VLOOKUP($B29,'NonXtal_SegEnds_Prot#'!$A:$AL,4,FALSE),"-")</f>
        <v>31</v>
      </c>
      <c r="D29" s="2">
        <f>IFERROR(50+VLOOKUP($A29,'Xtal_SegEnds_Prot#'!$A:$AY,7,FALSE)-VLOOKUP($B29,'NonXtal_SegEnds_Prot#'!$A:$AL,4,FALSE),"-")</f>
        <v>60</v>
      </c>
      <c r="E29" s="2">
        <f>IFERROR(50+VLOOKUP($A29,'Xtal_SegEnds_Prot#'!$A:$AY,9,FALSE)-VLOOKUP($B29,'NonXtal_SegEnds_Prot#'!$A:$AL,7,FALSE),"-")</f>
        <v>48</v>
      </c>
      <c r="F29" s="2">
        <f>IFERROR(50+VLOOKUP($A29,'Xtal_SegEnds_Prot#'!$A:$AY,11,FALSE)-VLOOKUP($B29,'NonXtal_SegEnds_Prot#'!$A:$AL,7,FALSE),"-")</f>
        <v>51</v>
      </c>
      <c r="G29" s="2">
        <f>IFERROR(50+VLOOKUP($A29,'Xtal_SegEnds_Prot#'!$A:$AY,13,FALSE)-VLOOKUP($B29,'NonXtal_SegEnds_Prot#'!$A:$AL,10,FALSE),"-")</f>
        <v>37</v>
      </c>
      <c r="H29" s="2">
        <f>IFERROR(50+VLOOKUP($A29,'Xtal_SegEnds_Prot#'!$A:$AY,15,FALSE)-VLOOKUP($B29,'NonXtal_SegEnds_Prot#'!$A:$AL,10,FALSE),"-")</f>
        <v>67</v>
      </c>
      <c r="I29" s="2">
        <f>IFERROR(50+VLOOKUP($A29,'Xtal_SegEnds_Prot#'!$A:$AY,17,FALSE)-VLOOKUP($B29,'NonXtal_SegEnds_Prot#'!$A:$AL,13,FALSE),"-")</f>
        <v>49</v>
      </c>
      <c r="J29" s="2">
        <f>IFERROR(50+VLOOKUP($A29,'Xtal_SegEnds_Prot#'!$A:$AY,19,FALSE)-VLOOKUP($B29,'NonXtal_SegEnds_Prot#'!$A:$AL,13,FALSE),"-")</f>
        <v>52</v>
      </c>
      <c r="K29" s="2">
        <f>IFERROR(50+VLOOKUP($A29,'Xtal_SegEnds_Prot#'!$A:$AY,21,FALSE)-VLOOKUP($B29,'NonXtal_SegEnds_Prot#'!$A:$AL,16,FALSE),"-")</f>
        <v>21</v>
      </c>
      <c r="L29" s="2">
        <f>IFERROR(50+VLOOKUP($A29,'Xtal_SegEnds_Prot#'!$A:$AY,23,FALSE)-VLOOKUP($B29,'NonXtal_SegEnds_Prot#'!$A:$AL,16,FALSE),"-")</f>
        <v>56</v>
      </c>
      <c r="M29" s="2">
        <f>IFERROR(50+VLOOKUP($A29,'Xtal_SegEnds_Prot#'!$A:$AY,25,FALSE)-VLOOKUP($B29,'NonXtal_SegEnds_Prot#'!$A:$AL,19,FALSE),"-")</f>
        <v>50</v>
      </c>
      <c r="N29" s="2">
        <f>IFERROR(50+VLOOKUP($A29,'Xtal_SegEnds_Prot#'!$A:$AY,27,FALSE)-VLOOKUP($B29,'NonXtal_SegEnds_Prot#'!$A:$AL,19,FALSE),"-")</f>
        <v>56</v>
      </c>
      <c r="O29" s="2">
        <f>IFERROR(50+VLOOKUP($A29,'Xtal_SegEnds_Prot#'!$A:$AY,29,FALSE)-VLOOKUP($B29,'NonXtal_SegEnds_Prot#'!$A:$AL,22,FALSE),"-")</f>
        <v>39</v>
      </c>
      <c r="P29" s="2">
        <f>IFERROR(50+VLOOKUP($A29,'Xtal_SegEnds_Prot#'!$A:$AY,31,FALSE)-VLOOKUP($B29,'NonXtal_SegEnds_Prot#'!$A:$AL,22,FALSE),"-")</f>
        <v>64</v>
      </c>
      <c r="Q29" s="2">
        <f>IFERROR(50+VLOOKUP($A29,'Xtal_SegEnds_Prot#'!$A:$AY,33,FALSE)-VLOOKUP($B29,'NonXtal_SegEnds_Prot#'!$A:$AL,25,FALSE),"-")</f>
        <v>50</v>
      </c>
      <c r="R29" s="2">
        <f>IFERROR(50+VLOOKUP($A29,'Xtal_SegEnds_Prot#'!$A:$AY,35,FALSE)-VLOOKUP($B29,'NonXtal_SegEnds_Prot#'!$A:$AL,25,FALSE),"-")</f>
        <v>52</v>
      </c>
      <c r="S29" s="2">
        <f>IFERROR(50+VLOOKUP($A29,'Xtal_SegEnds_Prot#'!$A:$AY,37,FALSE)-VLOOKUP($B29,'NonXtal_SegEnds_Prot#'!$A:$AL,28,FALSE),"-")</f>
        <v>32</v>
      </c>
      <c r="T29" s="89">
        <f>IFERROR(50+VLOOKUP($A29,'Xtal_SegEnds_Prot#'!$A:$AY,39,FALSE)-VLOOKUP($B29,'NonXtal_SegEnds_Prot#'!$A:$AL,28,FALSE),"-")</f>
        <v>71</v>
      </c>
      <c r="U29" s="2">
        <f>IFERROR(50+VLOOKUP($A29,'Xtal_SegEnds_Prot#'!$A:$AY,41,FALSE)-VLOOKUP($B29,'NonXtal_SegEnds_Prot#'!$A:$AL,31,FALSE),"-")</f>
        <v>20</v>
      </c>
      <c r="V29" s="2">
        <f>IFERROR(50+VLOOKUP($A29,'Xtal_SegEnds_Prot#'!$A:$AY,43,FALSE)-VLOOKUP($B29,'NonXtal_SegEnds_Prot#'!$A:$AL,31,FALSE),"-")</f>
        <v>61</v>
      </c>
      <c r="W29" s="2">
        <f>IFERROR(50+VLOOKUP($A29,'Xtal_SegEnds_Prot#'!$A:$AY,45,FALSE)-VLOOKUP($B29,'NonXtal_SegEnds_Prot#'!$A:$AL,34,FALSE),"-")</f>
        <v>28</v>
      </c>
      <c r="X29" s="2">
        <f>IFERROR(50+VLOOKUP($A29,'Xtal_SegEnds_Prot#'!$A:$AY,47,FALSE)-VLOOKUP($B29,'NonXtal_SegEnds_Prot#'!$A:$AL,34,FALSE),"-")</f>
        <v>56</v>
      </c>
      <c r="Y29" s="2">
        <f>IFERROR(50+VLOOKUP($A29,'Xtal_SegEnds_Prot#'!$A:$AY,49,FALSE)-VLOOKUP($B29,'NonXtal_SegEnds_Prot#'!$A:$AL,37,FALSE),"-")</f>
        <v>47</v>
      </c>
      <c r="Z29" s="2">
        <f>IFERROR(50+VLOOKUP($A29,'Xtal_SegEnds_Prot#'!$A:$AY,51,FALSE)-VLOOKUP($B29,'NonXtal_SegEnds_Prot#'!$A:$AL,37,FALSE),"-")</f>
        <v>58</v>
      </c>
      <c r="AA29" s="102" t="str">
        <f>VLOOKUP(B29,Classification!A:D,2,FALSE)</f>
        <v>A</v>
      </c>
      <c r="AB29" s="102">
        <f>VLOOKUP(B29,'NonXtal_SegEnds_Prot#'!A:AL,6,FALSE)-VLOOKUP(B29,'NonXtal_SegEnds_Prot#'!A:AL,5,FALSE)</f>
        <v>1</v>
      </c>
      <c r="AC29" s="102">
        <f>VLOOKUP(B29,'NonXtal_SegEnds_Prot#'!A:AL,9,FALSE)-VLOOKUP(B29,'NonXtal_SegEnds_Prot#'!A:AL,8,FALSE)</f>
        <v>1</v>
      </c>
      <c r="AD29" s="102">
        <f>VLOOKUP(B29,'NonXtal_SegEnds_Prot#'!A:AL,13,FALSE)-VLOOKUP(B29,'NonXtal_SegEnds_Prot#'!A:AL,10,FALSE)</f>
        <v>20</v>
      </c>
      <c r="AE29" s="102">
        <f>VLOOKUP(B29,'NonXtal_SegEnds_Prot#'!A:AL,12,FALSE)-VLOOKUP(B29,'NonXtal_SegEnds_Prot#'!A:AL,11,FALSE)</f>
        <v>2</v>
      </c>
      <c r="AF29" s="102">
        <f>VLOOKUP(B29,'NonXtal_SegEnds_Prot#'!A:AL,13,FALSE)-VLOOKUP(B29,'NonXtal_SegEnds_Prot#'!A:AL,11,FALSE)</f>
        <v>3</v>
      </c>
      <c r="AG29" s="102">
        <f>VLOOKUP(B29,'NonXtal_SegEnds_Prot#'!A:AL,16,FALSE)-VLOOKUP(B29,'NonXtal_SegEnds_Prot#'!A:AL,10,FALSE)</f>
        <v>52</v>
      </c>
      <c r="AH29" s="102">
        <f>VLOOKUP(B29,'NonXtal_SegEnds_Prot#'!A:AL,16,FALSE)-VLOOKUP(B29,'NonXtal_SegEnds_Prot#'!A:AL,11,FALSE)</f>
        <v>35</v>
      </c>
      <c r="AI29" s="102">
        <f>VLOOKUP(B29,'NonXtal_SegEnds_Prot#'!A:AL,15,FALSE)-VLOOKUP(B29,'NonXtal_SegEnds_Prot#'!A:AL,14,FALSE)</f>
        <v>1</v>
      </c>
      <c r="AJ29" s="102">
        <f>VLOOKUP(B29,'NonXtal_SegEnds_Prot#'!A:AL,18,FALSE)-VLOOKUP(B29,'NonXtal_SegEnds_Prot#'!A:AL,17,FALSE)</f>
        <v>1</v>
      </c>
      <c r="AK29" s="2">
        <f>VLOOKUP(B29,'NonXtal_SegEnds_Prot#'!A:AL,34,FALSE)-VLOOKUP(B29,'NonXtal_SegEnds_Prot#'!A:AL,31,FALSE)</f>
        <v>42</v>
      </c>
      <c r="AL29" s="86"/>
    </row>
    <row r="30" spans="1:62" s="2" customFormat="1" x14ac:dyDescent="0.2">
      <c r="A30" s="2" t="s">
        <v>1494</v>
      </c>
      <c r="B30" s="2" t="s">
        <v>1394</v>
      </c>
      <c r="C30" s="2">
        <f>IFERROR(50+VLOOKUP($A30,'Xtal_SegEnds_Prot#'!$A:$AY,5,FALSE)-VLOOKUP($B30,'NonXtal_SegEnds_Prot#'!$A:$AL,4,FALSE),"-")</f>
        <v>32</v>
      </c>
      <c r="D30" s="2">
        <f>IFERROR(50+VLOOKUP($A30,'Xtal_SegEnds_Prot#'!$A:$AY,7,FALSE)-VLOOKUP($B30,'NonXtal_SegEnds_Prot#'!$A:$AL,4,FALSE),"-")</f>
        <v>60</v>
      </c>
      <c r="E30" s="2">
        <f>IFERROR(50+VLOOKUP($A30,'Xtal_SegEnds_Prot#'!$A:$AY,9,FALSE)-VLOOKUP($B30,'NonXtal_SegEnds_Prot#'!$A:$AL,7,FALSE),"-")</f>
        <v>48</v>
      </c>
      <c r="F30" s="2">
        <f>IFERROR(50+VLOOKUP($A30,'Xtal_SegEnds_Prot#'!$A:$AY,11,FALSE)-VLOOKUP($B30,'NonXtal_SegEnds_Prot#'!$A:$AL,7,FALSE),"-")</f>
        <v>51</v>
      </c>
      <c r="G30" s="2">
        <f>IFERROR(50+VLOOKUP($A30,'Xtal_SegEnds_Prot#'!$A:$AY,13,FALSE)-VLOOKUP($B30,'NonXtal_SegEnds_Prot#'!$A:$AL,10,FALSE),"-")</f>
        <v>37</v>
      </c>
      <c r="H30" s="2">
        <f>IFERROR(50+VLOOKUP($A30,'Xtal_SegEnds_Prot#'!$A:$AY,15,FALSE)-VLOOKUP($B30,'NonXtal_SegEnds_Prot#'!$A:$AL,10,FALSE),"-")</f>
        <v>67</v>
      </c>
      <c r="I30" s="2">
        <f>IFERROR(50+VLOOKUP($A30,'Xtal_SegEnds_Prot#'!$A:$AY,17,FALSE)-VLOOKUP($B30,'NonXtal_SegEnds_Prot#'!$A:$AL,13,FALSE),"-")</f>
        <v>49</v>
      </c>
      <c r="J30" s="2">
        <f>IFERROR(50+VLOOKUP($A30,'Xtal_SegEnds_Prot#'!$A:$AY,19,FALSE)-VLOOKUP($B30,'NonXtal_SegEnds_Prot#'!$A:$AL,13,FALSE),"-")</f>
        <v>52</v>
      </c>
      <c r="K30" s="2">
        <f>IFERROR(50+VLOOKUP($A30,'Xtal_SegEnds_Prot#'!$A:$AY,21,FALSE)-VLOOKUP($B30,'NonXtal_SegEnds_Prot#'!$A:$AL,16,FALSE),"-")</f>
        <v>21</v>
      </c>
      <c r="L30" s="2">
        <f>IFERROR(50+VLOOKUP($A30,'Xtal_SegEnds_Prot#'!$A:$AY,23,FALSE)-VLOOKUP($B30,'NonXtal_SegEnds_Prot#'!$A:$AL,16,FALSE),"-")</f>
        <v>56</v>
      </c>
      <c r="M30" s="2">
        <f>IFERROR(50+VLOOKUP($A30,'Xtal_SegEnds_Prot#'!$A:$AY,25,FALSE)-VLOOKUP($B30,'NonXtal_SegEnds_Prot#'!$A:$AL,19,FALSE),"-")</f>
        <v>50</v>
      </c>
      <c r="N30" s="2">
        <f>IFERROR(50+VLOOKUP($A30,'Xtal_SegEnds_Prot#'!$A:$AY,27,FALSE)-VLOOKUP($B30,'NonXtal_SegEnds_Prot#'!$A:$AL,19,FALSE),"-")</f>
        <v>56</v>
      </c>
      <c r="O30" s="2">
        <f>IFERROR(50+VLOOKUP($A30,'Xtal_SegEnds_Prot#'!$A:$AY,29,FALSE)-VLOOKUP($B30,'NonXtal_SegEnds_Prot#'!$A:$AL,22,FALSE),"-")</f>
        <v>39</v>
      </c>
      <c r="P30" s="2">
        <f>IFERROR(50+VLOOKUP($A30,'Xtal_SegEnds_Prot#'!$A:$AY,31,FALSE)-VLOOKUP($B30,'NonXtal_SegEnds_Prot#'!$A:$AL,22,FALSE),"-")</f>
        <v>64</v>
      </c>
      <c r="Q30" s="2">
        <f>IFERROR(50+VLOOKUP($A30,'Xtal_SegEnds_Prot#'!$A:$AY,33,FALSE)-VLOOKUP($B30,'NonXtal_SegEnds_Prot#'!$A:$AL,25,FALSE),"-")</f>
        <v>50</v>
      </c>
      <c r="R30" s="2">
        <f>IFERROR(50+VLOOKUP($A30,'Xtal_SegEnds_Prot#'!$A:$AY,35,FALSE)-VLOOKUP($B30,'NonXtal_SegEnds_Prot#'!$A:$AL,25,FALSE),"-")</f>
        <v>52</v>
      </c>
      <c r="S30" s="2">
        <f>IFERROR(50+VLOOKUP($A30,'Xtal_SegEnds_Prot#'!$A:$AY,37,FALSE)-VLOOKUP($B30,'NonXtal_SegEnds_Prot#'!$A:$AL,28,FALSE),"-")</f>
        <v>32</v>
      </c>
      <c r="T30" s="89">
        <f>IFERROR(50+VLOOKUP($A30,'Xtal_SegEnds_Prot#'!$A:$AY,39,FALSE)-VLOOKUP($B30,'NonXtal_SegEnds_Prot#'!$A:$AL,28,FALSE),"-")</f>
        <v>71</v>
      </c>
      <c r="U30" s="2">
        <f>IFERROR(50+VLOOKUP($A30,'Xtal_SegEnds_Prot#'!$A:$AY,41,FALSE)-VLOOKUP($B30,'NonXtal_SegEnds_Prot#'!$A:$AL,31,FALSE),"-")</f>
        <v>20</v>
      </c>
      <c r="V30" s="2">
        <f>IFERROR(50+VLOOKUP($A30,'Xtal_SegEnds_Prot#'!$A:$AY,43,FALSE)-VLOOKUP($B30,'NonXtal_SegEnds_Prot#'!$A:$AL,31,FALSE),"-")</f>
        <v>61</v>
      </c>
      <c r="W30" s="2">
        <f>IFERROR(50+VLOOKUP($A30,'Xtal_SegEnds_Prot#'!$A:$AY,45,FALSE)-VLOOKUP($B30,'NonXtal_SegEnds_Prot#'!$A:$AL,34,FALSE),"-")</f>
        <v>28</v>
      </c>
      <c r="X30" s="2">
        <f>IFERROR(50+VLOOKUP($A30,'Xtal_SegEnds_Prot#'!$A:$AY,47,FALSE)-VLOOKUP($B30,'NonXtal_SegEnds_Prot#'!$A:$AL,34,FALSE),"-")</f>
        <v>56</v>
      </c>
      <c r="Y30" s="2">
        <f>IFERROR(50+VLOOKUP($A30,'Xtal_SegEnds_Prot#'!$A:$AY,49,FALSE)-VLOOKUP($B30,'NonXtal_SegEnds_Prot#'!$A:$AL,37,FALSE),"-")</f>
        <v>47</v>
      </c>
      <c r="Z30" s="2">
        <f>IFERROR(50+VLOOKUP($A30,'Xtal_SegEnds_Prot#'!$A:$AY,51,FALSE)-VLOOKUP($B30,'NonXtal_SegEnds_Prot#'!$A:$AL,37,FALSE),"-")</f>
        <v>58</v>
      </c>
      <c r="AA30" s="102" t="str">
        <f>VLOOKUP(B30,Classification!A:D,2,FALSE)</f>
        <v>A</v>
      </c>
      <c r="AB30" s="102">
        <f>VLOOKUP(B30,'NonXtal_SegEnds_Prot#'!A:AL,6,FALSE)-VLOOKUP(B30,'NonXtal_SegEnds_Prot#'!A:AL,5,FALSE)</f>
        <v>1</v>
      </c>
      <c r="AC30" s="102">
        <f>VLOOKUP(B30,'NonXtal_SegEnds_Prot#'!A:AL,9,FALSE)-VLOOKUP(B30,'NonXtal_SegEnds_Prot#'!A:AL,8,FALSE)</f>
        <v>1</v>
      </c>
      <c r="AD30" s="102">
        <f>VLOOKUP(B30,'NonXtal_SegEnds_Prot#'!A:AL,13,FALSE)-VLOOKUP(B30,'NonXtal_SegEnds_Prot#'!A:AL,10,FALSE)</f>
        <v>20</v>
      </c>
      <c r="AE30" s="102">
        <f>VLOOKUP(B30,'NonXtal_SegEnds_Prot#'!A:AL,12,FALSE)-VLOOKUP(B30,'NonXtal_SegEnds_Prot#'!A:AL,11,FALSE)</f>
        <v>2</v>
      </c>
      <c r="AF30" s="102">
        <f>VLOOKUP(B30,'NonXtal_SegEnds_Prot#'!A:AL,13,FALSE)-VLOOKUP(B30,'NonXtal_SegEnds_Prot#'!A:AL,11,FALSE)</f>
        <v>3</v>
      </c>
      <c r="AG30" s="102">
        <f>VLOOKUP(B30,'NonXtal_SegEnds_Prot#'!A:AL,16,FALSE)-VLOOKUP(B30,'NonXtal_SegEnds_Prot#'!A:AL,10,FALSE)</f>
        <v>52</v>
      </c>
      <c r="AH30" s="102">
        <f>VLOOKUP(B30,'NonXtal_SegEnds_Prot#'!A:AL,16,FALSE)-VLOOKUP(B30,'NonXtal_SegEnds_Prot#'!A:AL,11,FALSE)</f>
        <v>35</v>
      </c>
      <c r="AI30" s="102">
        <f>VLOOKUP(B30,'NonXtal_SegEnds_Prot#'!A:AL,15,FALSE)-VLOOKUP(B30,'NonXtal_SegEnds_Prot#'!A:AL,14,FALSE)</f>
        <v>1</v>
      </c>
      <c r="AJ30" s="102">
        <f>VLOOKUP(B30,'NonXtal_SegEnds_Prot#'!A:AL,18,FALSE)-VLOOKUP(B30,'NonXtal_SegEnds_Prot#'!A:AL,17,FALSE)</f>
        <v>1</v>
      </c>
      <c r="AK30" s="2">
        <f>VLOOKUP(B30,'NonXtal_SegEnds_Prot#'!A:AL,34,FALSE)-VLOOKUP(B30,'NonXtal_SegEnds_Prot#'!A:AL,31,FALSE)</f>
        <v>42</v>
      </c>
      <c r="AL30" s="86"/>
    </row>
    <row r="31" spans="1:62" s="2" customFormat="1" x14ac:dyDescent="0.2">
      <c r="A31" s="2" t="s">
        <v>1485</v>
      </c>
      <c r="B31" s="2" t="s">
        <v>1110</v>
      </c>
      <c r="C31" s="2">
        <f>IFERROR(50+VLOOKUP($A31,'Xtal_SegEnds_Prot#'!$A:$AY,5,FALSE)-VLOOKUP($B31,'NonXtal_SegEnds_Prot#'!$A:$AL,4,FALSE),"-")</f>
        <v>29</v>
      </c>
      <c r="D31" s="2">
        <f>IFERROR(50+VLOOKUP($A31,'Xtal_SegEnds_Prot#'!$A:$AY,7,FALSE)-VLOOKUP($B31,'NonXtal_SegEnds_Prot#'!$A:$AL,4,FALSE),"-")</f>
        <v>60</v>
      </c>
      <c r="E31" s="2">
        <f>IFERROR(50+VLOOKUP($A31,'Xtal_SegEnds_Prot#'!$A:$AY,9,FALSE)-VLOOKUP($B31,'NonXtal_SegEnds_Prot#'!$A:$AL,7,FALSE),"-")</f>
        <v>48</v>
      </c>
      <c r="F31" s="2">
        <f>IFERROR(50+VLOOKUP($A31,'Xtal_SegEnds_Prot#'!$A:$AY,11,FALSE)-VLOOKUP($B31,'NonXtal_SegEnds_Prot#'!$A:$AL,7,FALSE),"-")</f>
        <v>51</v>
      </c>
      <c r="G31" s="2">
        <f>IFERROR(50+VLOOKUP($A31,'Xtal_SegEnds_Prot#'!$A:$AY,13,FALSE)-VLOOKUP($B31,'NonXtal_SegEnds_Prot#'!$A:$AL,10,FALSE),"-")</f>
        <v>34</v>
      </c>
      <c r="H31" s="2">
        <f>IFERROR(50+VLOOKUP($A31,'Xtal_SegEnds_Prot#'!$A:$AY,15,FALSE)-VLOOKUP($B31,'NonXtal_SegEnds_Prot#'!$A:$AL,10,FALSE),"-")</f>
        <v>68</v>
      </c>
      <c r="I31" s="2">
        <f>IFERROR(50+VLOOKUP($A31,'Xtal_SegEnds_Prot#'!$A:$AY,17,FALSE)-VLOOKUP($B31,'NonXtal_SegEnds_Prot#'!$A:$AL,13,FALSE),"-")</f>
        <v>49</v>
      </c>
      <c r="J31" s="2">
        <f>IFERROR(50+VLOOKUP($A31,'Xtal_SegEnds_Prot#'!$A:$AY,19,FALSE)-VLOOKUP($B31,'NonXtal_SegEnds_Prot#'!$A:$AL,13,FALSE),"-")</f>
        <v>52</v>
      </c>
      <c r="K31" s="2">
        <f>IFERROR(50+VLOOKUP($A31,'Xtal_SegEnds_Prot#'!$A:$AY,21,FALSE)-VLOOKUP($B31,'NonXtal_SegEnds_Prot#'!$A:$AL,16,FALSE),"-")</f>
        <v>21</v>
      </c>
      <c r="L31" s="2">
        <f>IFERROR(50+VLOOKUP($A31,'Xtal_SegEnds_Prot#'!$A:$AY,23,FALSE)-VLOOKUP($B31,'NonXtal_SegEnds_Prot#'!$A:$AL,16,FALSE),"-")</f>
        <v>56</v>
      </c>
      <c r="M31" s="2">
        <f>IFERROR(50+VLOOKUP($A31,'Xtal_SegEnds_Prot#'!$A:$AY,25,FALSE)-VLOOKUP($B31,'NonXtal_SegEnds_Prot#'!$A:$AL,19,FALSE),"-")</f>
        <v>50</v>
      </c>
      <c r="N31" s="2">
        <f>IFERROR(50+VLOOKUP($A31,'Xtal_SegEnds_Prot#'!$A:$AY,27,FALSE)-VLOOKUP($B31,'NonXtal_SegEnds_Prot#'!$A:$AL,19,FALSE),"-")</f>
        <v>57</v>
      </c>
      <c r="O31" s="2">
        <f>IFERROR(50+VLOOKUP($A31,'Xtal_SegEnds_Prot#'!$A:$AY,29,FALSE)-VLOOKUP($B31,'NonXtal_SegEnds_Prot#'!$A:$AL,22,FALSE),"-")</f>
        <v>39</v>
      </c>
      <c r="P31" s="2">
        <f>IFERROR(50+VLOOKUP($A31,'Xtal_SegEnds_Prot#'!$A:$AY,31,FALSE)-VLOOKUP($B31,'NonXtal_SegEnds_Prot#'!$A:$AL,22,FALSE),"-")</f>
        <v>64</v>
      </c>
      <c r="Q31" s="2">
        <f>IFERROR(50+VLOOKUP($A31,'Xtal_SegEnds_Prot#'!$A:$AY,33,FALSE)-VLOOKUP($B31,'NonXtal_SegEnds_Prot#'!$A:$AL,25,FALSE),"-")</f>
        <v>50</v>
      </c>
      <c r="R31" s="2">
        <f>IFERROR(50+VLOOKUP($A31,'Xtal_SegEnds_Prot#'!$A:$AY,35,FALSE)-VLOOKUP($B31,'NonXtal_SegEnds_Prot#'!$A:$AL,25,FALSE),"-")</f>
        <v>52</v>
      </c>
      <c r="S31" s="2">
        <f>IFERROR(50+VLOOKUP($A31,'Xtal_SegEnds_Prot#'!$A:$AY,37,FALSE)-VLOOKUP($B31,'NonXtal_SegEnds_Prot#'!$A:$AL,28,FALSE),"-")</f>
        <v>32</v>
      </c>
      <c r="T31" s="89">
        <f>IFERROR(50+VLOOKUP($A31,'Xtal_SegEnds_Prot#'!$A:$AY,39,FALSE)-VLOOKUP($B31,'NonXtal_SegEnds_Prot#'!$A:$AL,28,FALSE),"-")</f>
        <v>76</v>
      </c>
      <c r="U31" s="2">
        <f>IFERROR(50+VLOOKUP($A31,'Xtal_SegEnds_Prot#'!$A:$AY,41,FALSE)-VLOOKUP($B31,'NonXtal_SegEnds_Prot#'!$A:$AL,31,FALSE),"-")</f>
        <v>24</v>
      </c>
      <c r="V31" s="2">
        <f>IFERROR(50+VLOOKUP($A31,'Xtal_SegEnds_Prot#'!$A:$AY,43,FALSE)-VLOOKUP($B31,'NonXtal_SegEnds_Prot#'!$A:$AL,31,FALSE),"-")</f>
        <v>61</v>
      </c>
      <c r="W31" s="2">
        <f>IFERROR(50+VLOOKUP($A31,'Xtal_SegEnds_Prot#'!$A:$AY,45,FALSE)-VLOOKUP($B31,'NonXtal_SegEnds_Prot#'!$A:$AL,34,FALSE),"-")</f>
        <v>24</v>
      </c>
      <c r="X31" s="2">
        <f>IFERROR(50+VLOOKUP($A31,'Xtal_SegEnds_Prot#'!$A:$AY,47,FALSE)-VLOOKUP($B31,'NonXtal_SegEnds_Prot#'!$A:$AL,34,FALSE),"-")</f>
        <v>56</v>
      </c>
      <c r="Y31" s="2">
        <f>IFERROR(50+VLOOKUP($A31,'Xtal_SegEnds_Prot#'!$A:$AY,49,FALSE)-VLOOKUP($B31,'NonXtal_SegEnds_Prot#'!$A:$AL,37,FALSE),"-")</f>
        <v>47</v>
      </c>
      <c r="Z31" s="2">
        <f>IFERROR(50+VLOOKUP($A31,'Xtal_SegEnds_Prot#'!$A:$AY,51,FALSE)-VLOOKUP($B31,'NonXtal_SegEnds_Prot#'!$A:$AL,37,FALSE),"-")</f>
        <v>58</v>
      </c>
      <c r="AA31" s="102" t="str">
        <f>VLOOKUP(B31,Classification!A:D,2,FALSE)</f>
        <v>A</v>
      </c>
      <c r="AB31" s="102">
        <f>VLOOKUP(B31,'NonXtal_SegEnds_Prot#'!A:AL,6,FALSE)-VLOOKUP(B31,'NonXtal_SegEnds_Prot#'!A:AL,5,FALSE)</f>
        <v>1</v>
      </c>
      <c r="AC31" s="102">
        <f>VLOOKUP(B31,'NonXtal_SegEnds_Prot#'!A:AL,9,FALSE)-VLOOKUP(B31,'NonXtal_SegEnds_Prot#'!A:AL,8,FALSE)</f>
        <v>1</v>
      </c>
      <c r="AD31" s="102">
        <f>VLOOKUP(B31,'NonXtal_SegEnds_Prot#'!A:AL,13,FALSE)-VLOOKUP(B31,'NonXtal_SegEnds_Prot#'!A:AL,10,FALSE)</f>
        <v>22</v>
      </c>
      <c r="AE31" s="102">
        <f>VLOOKUP(B31,'NonXtal_SegEnds_Prot#'!A:AL,12,FALSE)-VLOOKUP(B31,'NonXtal_SegEnds_Prot#'!A:AL,11,FALSE)</f>
        <v>3</v>
      </c>
      <c r="AF31" s="102">
        <f>VLOOKUP(B31,'NonXtal_SegEnds_Prot#'!A:AL,13,FALSE)-VLOOKUP(B31,'NonXtal_SegEnds_Prot#'!A:AL,11,FALSE)</f>
        <v>4</v>
      </c>
      <c r="AG31" s="102">
        <f>VLOOKUP(B31,'NonXtal_SegEnds_Prot#'!A:AL,16,FALSE)-VLOOKUP(B31,'NonXtal_SegEnds_Prot#'!A:AL,10,FALSE)</f>
        <v>54</v>
      </c>
      <c r="AH31" s="102">
        <f>VLOOKUP(B31,'NonXtal_SegEnds_Prot#'!A:AL,16,FALSE)-VLOOKUP(B31,'NonXtal_SegEnds_Prot#'!A:AL,11,FALSE)</f>
        <v>36</v>
      </c>
      <c r="AI31" s="102">
        <f>VLOOKUP(B31,'NonXtal_SegEnds_Prot#'!A:AL,15,FALSE)-VLOOKUP(B31,'NonXtal_SegEnds_Prot#'!A:AL,14,FALSE)</f>
        <v>1</v>
      </c>
      <c r="AJ31" s="102">
        <f>VLOOKUP(B31,'NonXtal_SegEnds_Prot#'!A:AL,18,FALSE)-VLOOKUP(B31,'NonXtal_SegEnds_Prot#'!A:AL,17,FALSE)</f>
        <v>1</v>
      </c>
      <c r="AK31" s="2">
        <f>VLOOKUP(B31,'NonXtal_SegEnds_Prot#'!A:AL,34,FALSE)-VLOOKUP(B31,'NonXtal_SegEnds_Prot#'!A:AL,31,FALSE)</f>
        <v>43</v>
      </c>
      <c r="AL31" s="86"/>
    </row>
    <row r="32" spans="1:62" s="2" customFormat="1" x14ac:dyDescent="0.2">
      <c r="A32" s="2" t="s">
        <v>1497</v>
      </c>
      <c r="B32" s="2" t="s">
        <v>546</v>
      </c>
      <c r="C32" s="2">
        <f>IFERROR(50+VLOOKUP($A32,'Xtal_SegEnds_Prot#'!$A:$AY,5,FALSE)-VLOOKUP($B32,'NonXtal_SegEnds_Prot#'!$A:$AL,4,FALSE),"-")</f>
        <v>28</v>
      </c>
      <c r="D32" s="2">
        <f>IFERROR(50+VLOOKUP($A32,'Xtal_SegEnds_Prot#'!$A:$AY,7,FALSE)-VLOOKUP($B32,'NonXtal_SegEnds_Prot#'!$A:$AL,4,FALSE),"-")</f>
        <v>60</v>
      </c>
      <c r="E32" s="2" t="str">
        <f>IFERROR(50+VLOOKUP($A32,'Xtal_SegEnds_Prot#'!$A:$AY,9,FALSE)-VLOOKUP($B32,'NonXtal_SegEnds_Prot#'!$A:$AL,7,FALSE),"-")</f>
        <v>-</v>
      </c>
      <c r="F32" s="2" t="str">
        <f>IFERROR(50+VLOOKUP($A32,'Xtal_SegEnds_Prot#'!$A:$AY,11,FALSE)-VLOOKUP($B32,'NonXtal_SegEnds_Prot#'!$A:$AL,7,FALSE),"-")</f>
        <v>-</v>
      </c>
      <c r="G32" s="2">
        <f>IFERROR(50+VLOOKUP($A32,'Xtal_SegEnds_Prot#'!$A:$AY,13,FALSE)-VLOOKUP($B32,'NonXtal_SegEnds_Prot#'!$A:$AL,10,FALSE),"-")</f>
        <v>37</v>
      </c>
      <c r="H32" s="2">
        <f>IFERROR(50+VLOOKUP($A32,'Xtal_SegEnds_Prot#'!$A:$AY,15,FALSE)-VLOOKUP($B32,'NonXtal_SegEnds_Prot#'!$A:$AL,10,FALSE),"-")</f>
        <v>66</v>
      </c>
      <c r="I32" s="2" t="str">
        <f>IFERROR(50+VLOOKUP($A32,'Xtal_SegEnds_Prot#'!$A:$AY,17,FALSE)-VLOOKUP($B32,'NonXtal_SegEnds_Prot#'!$A:$AL,13,FALSE),"-")</f>
        <v>-</v>
      </c>
      <c r="J32" s="2" t="str">
        <f>IFERROR(50+VLOOKUP($A32,'Xtal_SegEnds_Prot#'!$A:$AY,19,FALSE)-VLOOKUP($B32,'NonXtal_SegEnds_Prot#'!$A:$AL,13,FALSE),"-")</f>
        <v>-</v>
      </c>
      <c r="K32" s="2">
        <f>IFERROR(50+VLOOKUP($A32,'Xtal_SegEnds_Prot#'!$A:$AY,21,FALSE)-VLOOKUP($B32,'NonXtal_SegEnds_Prot#'!$A:$AL,16,FALSE),"-")</f>
        <v>18</v>
      </c>
      <c r="L32" s="2">
        <f>IFERROR(50+VLOOKUP($A32,'Xtal_SegEnds_Prot#'!$A:$AY,23,FALSE)-VLOOKUP($B32,'NonXtal_SegEnds_Prot#'!$A:$AL,16,FALSE),"-")</f>
        <v>56</v>
      </c>
      <c r="M32" s="2">
        <f>IFERROR(50+VLOOKUP($A32,'Xtal_SegEnds_Prot#'!$A:$AY,25,FALSE)-VLOOKUP($B32,'NonXtal_SegEnds_Prot#'!$A:$AL,19,FALSE),"-")</f>
        <v>50</v>
      </c>
      <c r="N32" s="2">
        <f>IFERROR(50+VLOOKUP($A32,'Xtal_SegEnds_Prot#'!$A:$AY,27,FALSE)-VLOOKUP($B32,'NonXtal_SegEnds_Prot#'!$A:$AL,19,FALSE),"-")</f>
        <v>57</v>
      </c>
      <c r="O32" s="2">
        <f>IFERROR(50+VLOOKUP($A32,'Xtal_SegEnds_Prot#'!$A:$AY,29,FALSE)-VLOOKUP($B32,'NonXtal_SegEnds_Prot#'!$A:$AL,22,FALSE),"-")</f>
        <v>39</v>
      </c>
      <c r="P32" s="2">
        <f>IFERROR(50+VLOOKUP($A32,'Xtal_SegEnds_Prot#'!$A:$AY,31,FALSE)-VLOOKUP($B32,'NonXtal_SegEnds_Prot#'!$A:$AL,22,FALSE),"-")</f>
        <v>64</v>
      </c>
      <c r="Q32" s="2">
        <f>IFERROR(50+VLOOKUP($A32,'Xtal_SegEnds_Prot#'!$A:$AY,33,FALSE)-VLOOKUP($B32,'NonXtal_SegEnds_Prot#'!$A:$AL,25,FALSE),"-")</f>
        <v>50</v>
      </c>
      <c r="R32" s="2">
        <f>IFERROR(50+VLOOKUP($A32,'Xtal_SegEnds_Prot#'!$A:$AY,35,FALSE)-VLOOKUP($B32,'NonXtal_SegEnds_Prot#'!$A:$AL,25,FALSE),"-")</f>
        <v>52</v>
      </c>
      <c r="S32" s="2">
        <f>IFERROR(50+VLOOKUP($A32,'Xtal_SegEnds_Prot#'!$A:$AY,37,FALSE)-VLOOKUP($B32,'NonXtal_SegEnds_Prot#'!$A:$AL,28,FALSE),"-")</f>
        <v>30</v>
      </c>
      <c r="T32" s="89">
        <f>IFERROR(50+VLOOKUP($A32,'Xtal_SegEnds_Prot#'!$A:$AY,39,FALSE)-VLOOKUP($B32,'NonXtal_SegEnds_Prot#'!$A:$AL,28,FALSE),"-")</f>
        <v>72</v>
      </c>
      <c r="U32" s="2">
        <f>IFERROR(50+VLOOKUP($A32,'Xtal_SegEnds_Prot#'!$A:$AY,41,FALSE)-VLOOKUP($B32,'NonXtal_SegEnds_Prot#'!$A:$AL,31,FALSE),"-")</f>
        <v>29</v>
      </c>
      <c r="V32" s="2">
        <f>IFERROR(50+VLOOKUP($A32,'Xtal_SegEnds_Prot#'!$A:$AY,43,FALSE)-VLOOKUP($B32,'NonXtal_SegEnds_Prot#'!$A:$AL,31,FALSE),"-")</f>
        <v>64</v>
      </c>
      <c r="W32" s="2">
        <f>IFERROR(50+VLOOKUP($A32,'Xtal_SegEnds_Prot#'!$A:$AY,45,FALSE)-VLOOKUP($B32,'NonXtal_SegEnds_Prot#'!$A:$AL,34,FALSE),"-")</f>
        <v>24</v>
      </c>
      <c r="X32" s="2">
        <f>IFERROR(50+VLOOKUP($A32,'Xtal_SegEnds_Prot#'!$A:$AY,47,FALSE)-VLOOKUP($B32,'NonXtal_SegEnds_Prot#'!$A:$AL,34,FALSE),"-")</f>
        <v>56</v>
      </c>
      <c r="Y32" s="2">
        <f>IFERROR(50+VLOOKUP($A32,'Xtal_SegEnds_Prot#'!$A:$AY,49,FALSE)-VLOOKUP($B32,'NonXtal_SegEnds_Prot#'!$A:$AL,37,FALSE),"-")</f>
        <v>47</v>
      </c>
      <c r="Z32" s="2">
        <f>IFERROR(50+VLOOKUP($A32,'Xtal_SegEnds_Prot#'!$A:$AY,51,FALSE)-VLOOKUP($B32,'NonXtal_SegEnds_Prot#'!$A:$AL,37,FALSE),"-")</f>
        <v>57</v>
      </c>
      <c r="AA32" s="102" t="str">
        <f>VLOOKUP(B32,Classification!A:D,2,FALSE)</f>
        <v>A</v>
      </c>
      <c r="AB32" s="102" t="e">
        <f>VLOOKUP(B32,'NonXtal_SegEnds_Prot#'!A:AL,6,FALSE)-VLOOKUP(B32,'NonXtal_SegEnds_Prot#'!A:AL,5,FALSE)</f>
        <v>#VALUE!</v>
      </c>
      <c r="AC32" s="102" t="e">
        <f>VLOOKUP(B32,'NonXtal_SegEnds_Prot#'!A:AL,9,FALSE)-VLOOKUP(B32,'NonXtal_SegEnds_Prot#'!A:AL,8,FALSE)</f>
        <v>#VALUE!</v>
      </c>
      <c r="AD32" s="102" t="e">
        <f>VLOOKUP(B32,'NonXtal_SegEnds_Prot#'!A:AL,13,FALSE)-VLOOKUP(B32,'NonXtal_SegEnds_Prot#'!A:AL,10,FALSE)</f>
        <v>#VALUE!</v>
      </c>
      <c r="AE32" s="102" t="e">
        <f>VLOOKUP(B32,'NonXtal_SegEnds_Prot#'!A:AL,12,FALSE)-VLOOKUP(B32,'NonXtal_SegEnds_Prot#'!A:AL,11,FALSE)</f>
        <v>#VALUE!</v>
      </c>
      <c r="AF32" s="102" t="e">
        <f>VLOOKUP(B32,'NonXtal_SegEnds_Prot#'!A:AL,13,FALSE)-VLOOKUP(B32,'NonXtal_SegEnds_Prot#'!A:AL,11,FALSE)</f>
        <v>#VALUE!</v>
      </c>
      <c r="AG32" s="102">
        <f>VLOOKUP(B32,'NonXtal_SegEnds_Prot#'!A:AL,16,FALSE)-VLOOKUP(B32,'NonXtal_SegEnds_Prot#'!A:AL,10,FALSE)</f>
        <v>52</v>
      </c>
      <c r="AH32" s="102">
        <f>VLOOKUP(B32,'NonXtal_SegEnds_Prot#'!A:AL,16,FALSE)-VLOOKUP(B32,'NonXtal_SegEnds_Prot#'!A:AL,11,FALSE)</f>
        <v>36</v>
      </c>
      <c r="AI32" s="102" t="e">
        <f>VLOOKUP(B32,'NonXtal_SegEnds_Prot#'!A:AL,15,FALSE)-VLOOKUP(B32,'NonXtal_SegEnds_Prot#'!A:AL,14,FALSE)</f>
        <v>#VALUE!</v>
      </c>
      <c r="AJ32" s="102">
        <f>VLOOKUP(B32,'NonXtal_SegEnds_Prot#'!A:AL,18,FALSE)-VLOOKUP(B32,'NonXtal_SegEnds_Prot#'!A:AL,17,FALSE)</f>
        <v>1</v>
      </c>
      <c r="AK32" s="2">
        <f>VLOOKUP(B32,'NonXtal_SegEnds_Prot#'!A:AL,34,FALSE)-VLOOKUP(B32,'NonXtal_SegEnds_Prot#'!A:AL,31,FALSE)</f>
        <v>44</v>
      </c>
      <c r="AL32" s="86"/>
      <c r="BJ32" s="102"/>
    </row>
    <row r="33" spans="1:62" s="2" customFormat="1" x14ac:dyDescent="0.2">
      <c r="A33" s="2" t="s">
        <v>1475</v>
      </c>
      <c r="B33" s="2" t="s">
        <v>367</v>
      </c>
      <c r="C33" s="2">
        <f>IFERROR(50+VLOOKUP($A33,'Xtal_SegEnds_Prot#'!$A:$AY,5,FALSE)-VLOOKUP($B33,'NonXtal_SegEnds_Prot#'!$A:$AL,4,FALSE),"-")</f>
        <v>27</v>
      </c>
      <c r="D33" s="2">
        <f>IFERROR(50+VLOOKUP($A33,'Xtal_SegEnds_Prot#'!$A:$AY,7,FALSE)-VLOOKUP($B33,'NonXtal_SegEnds_Prot#'!$A:$AL,4,FALSE),"-")</f>
        <v>60</v>
      </c>
      <c r="E33" s="2">
        <f>IFERROR(50+VLOOKUP($A33,'Xtal_SegEnds_Prot#'!$A:$AY,9,FALSE)-VLOOKUP($B33,'NonXtal_SegEnds_Prot#'!$A:$AL,7,FALSE),"-")</f>
        <v>48</v>
      </c>
      <c r="F33" s="2">
        <f>IFERROR(50+VLOOKUP($A33,'Xtal_SegEnds_Prot#'!$A:$AY,11,FALSE)-VLOOKUP($B33,'NonXtal_SegEnds_Prot#'!$A:$AL,7,FALSE),"-")</f>
        <v>51</v>
      </c>
      <c r="G33" s="2">
        <f>IFERROR(50+VLOOKUP($A33,'Xtal_SegEnds_Prot#'!$A:$AY,13,FALSE)-VLOOKUP($B33,'NonXtal_SegEnds_Prot#'!$A:$AL,10,FALSE),"-")</f>
        <v>37</v>
      </c>
      <c r="H33" s="2">
        <f>IFERROR(50+VLOOKUP($A33,'Xtal_SegEnds_Prot#'!$A:$AY,15,FALSE)-VLOOKUP($B33,'NonXtal_SegEnds_Prot#'!$A:$AL,10,FALSE),"-")</f>
        <v>66</v>
      </c>
      <c r="I33" s="2">
        <f>IFERROR(50+VLOOKUP($A33,'Xtal_SegEnds_Prot#'!$A:$AY,17,FALSE)-VLOOKUP($B33,'NonXtal_SegEnds_Prot#'!$A:$AL,13,FALSE),"-")</f>
        <v>49</v>
      </c>
      <c r="J33" s="2">
        <f>IFERROR(50+VLOOKUP($A33,'Xtal_SegEnds_Prot#'!$A:$AY,19,FALSE)-VLOOKUP($B33,'NonXtal_SegEnds_Prot#'!$A:$AL,13,FALSE),"-")</f>
        <v>52</v>
      </c>
      <c r="K33" s="2">
        <f>IFERROR(50+VLOOKUP($A33,'Xtal_SegEnds_Prot#'!$A:$AY,21,FALSE)-VLOOKUP($B33,'NonXtal_SegEnds_Prot#'!$A:$AL,16,FALSE),"-")</f>
        <v>21</v>
      </c>
      <c r="L33" s="2">
        <f>IFERROR(50+VLOOKUP($A33,'Xtal_SegEnds_Prot#'!$A:$AY,23,FALSE)-VLOOKUP($B33,'NonXtal_SegEnds_Prot#'!$A:$AL,16,FALSE),"-")</f>
        <v>56</v>
      </c>
      <c r="M33" s="2">
        <f>IFERROR(50+VLOOKUP($A33,'Xtal_SegEnds_Prot#'!$A:$AY,25,FALSE)-VLOOKUP($B33,'NonXtal_SegEnds_Prot#'!$A:$AL,19,FALSE),"-")</f>
        <v>50</v>
      </c>
      <c r="N33" s="2">
        <f>IFERROR(50+VLOOKUP($A33,'Xtal_SegEnds_Prot#'!$A:$AY,27,FALSE)-VLOOKUP($B33,'NonXtal_SegEnds_Prot#'!$A:$AL,19,FALSE),"-")</f>
        <v>57</v>
      </c>
      <c r="O33" s="2">
        <f>IFERROR(50+VLOOKUP($A33,'Xtal_SegEnds_Prot#'!$A:$AY,29,FALSE)-VLOOKUP($B33,'NonXtal_SegEnds_Prot#'!$A:$AL,22,FALSE),"-")</f>
        <v>39</v>
      </c>
      <c r="P33" s="2">
        <f>IFERROR(50+VLOOKUP($A33,'Xtal_SegEnds_Prot#'!$A:$AY,31,FALSE)-VLOOKUP($B33,'NonXtal_SegEnds_Prot#'!$A:$AL,22,FALSE),"-")</f>
        <v>64</v>
      </c>
      <c r="Q33" s="2">
        <f>IFERROR(50+VLOOKUP($A33,'Xtal_SegEnds_Prot#'!$A:$AY,33,FALSE)-VLOOKUP($B33,'NonXtal_SegEnds_Prot#'!$A:$AL,25,FALSE),"-")</f>
        <v>50</v>
      </c>
      <c r="R33" s="2">
        <f>IFERROR(50+VLOOKUP($A33,'Xtal_SegEnds_Prot#'!$A:$AY,35,FALSE)-VLOOKUP($B33,'NonXtal_SegEnds_Prot#'!$A:$AL,25,FALSE),"-")</f>
        <v>52</v>
      </c>
      <c r="S33" s="2">
        <f>IFERROR(50+VLOOKUP($A33,'Xtal_SegEnds_Prot#'!$A:$AY,37,FALSE)-VLOOKUP($B33,'NonXtal_SegEnds_Prot#'!$A:$AL,28,FALSE),"-")</f>
        <v>31</v>
      </c>
      <c r="T33" s="89">
        <f>IFERROR(50+VLOOKUP($A33,'Xtal_SegEnds_Prot#'!$A:$AY,39,FALSE)-VLOOKUP($B33,'NonXtal_SegEnds_Prot#'!$A:$AL,28,FALSE),"-")</f>
        <v>68</v>
      </c>
      <c r="U33" s="2">
        <f>IFERROR(50+VLOOKUP($A33,'Xtal_SegEnds_Prot#'!$A:$AY,41,FALSE)-VLOOKUP($B33,'NonXtal_SegEnds_Prot#'!$A:$AL,31,FALSE),"-")</f>
        <v>30</v>
      </c>
      <c r="V33" s="2">
        <f>IFERROR(50+VLOOKUP($A33,'Xtal_SegEnds_Prot#'!$A:$AY,43,FALSE)-VLOOKUP($B33,'NonXtal_SegEnds_Prot#'!$A:$AL,31,FALSE),"-")</f>
        <v>65</v>
      </c>
      <c r="W33" s="2">
        <f>IFERROR(50+VLOOKUP($A33,'Xtal_SegEnds_Prot#'!$A:$AY,45,FALSE)-VLOOKUP($B33,'NonXtal_SegEnds_Prot#'!$A:$AL,34,FALSE),"-")</f>
        <v>24</v>
      </c>
      <c r="X33" s="2">
        <f>IFERROR(50+VLOOKUP($A33,'Xtal_SegEnds_Prot#'!$A:$AY,47,FALSE)-VLOOKUP($B33,'NonXtal_SegEnds_Prot#'!$A:$AL,34,FALSE),"-")</f>
        <v>56</v>
      </c>
      <c r="Y33" s="2">
        <f>IFERROR(50+VLOOKUP($A33,'Xtal_SegEnds_Prot#'!$A:$AY,49,FALSE)-VLOOKUP($B33,'NonXtal_SegEnds_Prot#'!$A:$AL,37,FALSE),"-")</f>
        <v>47</v>
      </c>
      <c r="Z33" s="2">
        <f>IFERROR(50+VLOOKUP($A33,'Xtal_SegEnds_Prot#'!$A:$AY,51,FALSE)-VLOOKUP($B33,'NonXtal_SegEnds_Prot#'!$A:$AL,37,FALSE),"-")</f>
        <v>59</v>
      </c>
      <c r="AA33" s="102" t="str">
        <f>VLOOKUP(B33,Classification!A:D,2,FALSE)</f>
        <v>A</v>
      </c>
      <c r="AB33" s="102">
        <f>VLOOKUP(B33,'NonXtal_SegEnds_Prot#'!A:AL,6,FALSE)-VLOOKUP(B33,'NonXtal_SegEnds_Prot#'!A:AL,5,FALSE)</f>
        <v>1</v>
      </c>
      <c r="AC33" s="102">
        <f>VLOOKUP(B33,'NonXtal_SegEnds_Prot#'!A:AL,9,FALSE)-VLOOKUP(B33,'NonXtal_SegEnds_Prot#'!A:AL,8,FALSE)</f>
        <v>1</v>
      </c>
      <c r="AD33" s="102">
        <f>VLOOKUP(B33,'NonXtal_SegEnds_Prot#'!A:AL,13,FALSE)-VLOOKUP(B33,'NonXtal_SegEnds_Prot#'!A:AL,10,FALSE)</f>
        <v>18</v>
      </c>
      <c r="AE33" s="102">
        <f>VLOOKUP(B33,'NonXtal_SegEnds_Prot#'!A:AL,12,FALSE)-VLOOKUP(B33,'NonXtal_SegEnds_Prot#'!A:AL,11,FALSE)</f>
        <v>1</v>
      </c>
      <c r="AF33" s="102">
        <f>VLOOKUP(B33,'NonXtal_SegEnds_Prot#'!A:AL,13,FALSE)-VLOOKUP(B33,'NonXtal_SegEnds_Prot#'!A:AL,11,FALSE)</f>
        <v>2</v>
      </c>
      <c r="AG33" s="102">
        <f>VLOOKUP(B33,'NonXtal_SegEnds_Prot#'!A:AL,16,FALSE)-VLOOKUP(B33,'NonXtal_SegEnds_Prot#'!A:AL,10,FALSE)</f>
        <v>50</v>
      </c>
      <c r="AH33" s="102">
        <f>VLOOKUP(B33,'NonXtal_SegEnds_Prot#'!A:AL,15,FALSE)-VLOOKUP(B33,'NonXtal_SegEnds_Prot#'!A:AL,11,FALSE)</f>
        <v>5</v>
      </c>
      <c r="AI33" s="102">
        <f>VLOOKUP(B33,'NonXtal_SegEnds_Prot#'!A:AL,15,FALSE)-VLOOKUP(B33,'NonXtal_SegEnds_Prot#'!A:AL,14,FALSE)</f>
        <v>1</v>
      </c>
      <c r="AJ33" s="102">
        <f>VLOOKUP(B33,'NonXtal_SegEnds_Prot#'!A:AL,18,FALSE)-VLOOKUP(B33,'NonXtal_SegEnds_Prot#'!A:AL,17,FALSE)</f>
        <v>1</v>
      </c>
      <c r="AK33" s="2">
        <f>VLOOKUP(B33,'NonXtal_SegEnds_Prot#'!A:AL,34,FALSE)-VLOOKUP(B33,'NonXtal_SegEnds_Prot#'!A:AL,31,FALSE)</f>
        <v>44</v>
      </c>
      <c r="AL33" s="86"/>
    </row>
    <row r="34" spans="1:62" s="2" customFormat="1" x14ac:dyDescent="0.2">
      <c r="A34" s="2" t="s">
        <v>1474</v>
      </c>
      <c r="B34" s="2" t="s">
        <v>352</v>
      </c>
      <c r="C34" s="2">
        <f>IFERROR(50+VLOOKUP($A34,'Xtal_SegEnds_Prot#'!$A:$AY,5,FALSE)-VLOOKUP($B34,'NonXtal_SegEnds_Prot#'!$A:$AL,4,FALSE),"-")</f>
        <v>30</v>
      </c>
      <c r="D34" s="2">
        <f>IFERROR(50+VLOOKUP($A34,'Xtal_SegEnds_Prot#'!$A:$AY,7,FALSE)-VLOOKUP($B34,'NonXtal_SegEnds_Prot#'!$A:$AL,4,FALSE),"-")</f>
        <v>60</v>
      </c>
      <c r="E34" s="2">
        <f>IFERROR(50+VLOOKUP($A34,'Xtal_SegEnds_Prot#'!$A:$AY,9,FALSE)-VLOOKUP($B34,'NonXtal_SegEnds_Prot#'!$A:$AL,7,FALSE),"-")</f>
        <v>48</v>
      </c>
      <c r="F34" s="2">
        <f>IFERROR(50+VLOOKUP($A34,'Xtal_SegEnds_Prot#'!$A:$AY,11,FALSE)-VLOOKUP($B34,'NonXtal_SegEnds_Prot#'!$A:$AL,7,FALSE),"-")</f>
        <v>51</v>
      </c>
      <c r="G34" s="2">
        <f>IFERROR(50+VLOOKUP($A34,'Xtal_SegEnds_Prot#'!$A:$AY,13,FALSE)-VLOOKUP($B34,'NonXtal_SegEnds_Prot#'!$A:$AL,10,FALSE),"-")</f>
        <v>37</v>
      </c>
      <c r="H34" s="2">
        <f>IFERROR(50+VLOOKUP($A34,'Xtal_SegEnds_Prot#'!$A:$AY,15,FALSE)-VLOOKUP($B34,'NonXtal_SegEnds_Prot#'!$A:$AL,10,FALSE),"-")</f>
        <v>66</v>
      </c>
      <c r="I34" s="2">
        <f>IFERROR(50+VLOOKUP($A34,'Xtal_SegEnds_Prot#'!$A:$AY,17,FALSE)-VLOOKUP($B34,'NonXtal_SegEnds_Prot#'!$A:$AL,13,FALSE),"-")</f>
        <v>49</v>
      </c>
      <c r="J34" s="2">
        <f>IFERROR(50+VLOOKUP($A34,'Xtal_SegEnds_Prot#'!$A:$AY,19,FALSE)-VLOOKUP($B34,'NonXtal_SegEnds_Prot#'!$A:$AL,13,FALSE),"-")</f>
        <v>52</v>
      </c>
      <c r="K34" s="2">
        <f>IFERROR(50+VLOOKUP($A34,'Xtal_SegEnds_Prot#'!$A:$AY,21,FALSE)-VLOOKUP($B34,'NonXtal_SegEnds_Prot#'!$A:$AL,16,FALSE),"-")</f>
        <v>21</v>
      </c>
      <c r="L34" s="2">
        <f>IFERROR(50+VLOOKUP($A34,'Xtal_SegEnds_Prot#'!$A:$AY,23,FALSE)-VLOOKUP($B34,'NonXtal_SegEnds_Prot#'!$A:$AL,16,FALSE),"-")</f>
        <v>56</v>
      </c>
      <c r="M34" s="2">
        <f>IFERROR(50+VLOOKUP($A34,'Xtal_SegEnds_Prot#'!$A:$AY,25,FALSE)-VLOOKUP($B34,'NonXtal_SegEnds_Prot#'!$A:$AL,19,FALSE),"-")</f>
        <v>50</v>
      </c>
      <c r="N34" s="2">
        <f>IFERROR(50+VLOOKUP($A34,'Xtal_SegEnds_Prot#'!$A:$AY,27,FALSE)-VLOOKUP($B34,'NonXtal_SegEnds_Prot#'!$A:$AL,19,FALSE),"-")</f>
        <v>57</v>
      </c>
      <c r="O34" s="2">
        <f>IFERROR(50+VLOOKUP($A34,'Xtal_SegEnds_Prot#'!$A:$AY,29,FALSE)-VLOOKUP($B34,'NonXtal_SegEnds_Prot#'!$A:$AL,22,FALSE),"-")</f>
        <v>39</v>
      </c>
      <c r="P34" s="2">
        <f>IFERROR(50+VLOOKUP($A34,'Xtal_SegEnds_Prot#'!$A:$AY,31,FALSE)-VLOOKUP($B34,'NonXtal_SegEnds_Prot#'!$A:$AL,22,FALSE),"-")</f>
        <v>64</v>
      </c>
      <c r="Q34" s="2">
        <f>IFERROR(50+VLOOKUP($A34,'Xtal_SegEnds_Prot#'!$A:$AY,33,FALSE)-VLOOKUP($B34,'NonXtal_SegEnds_Prot#'!$A:$AL,25,FALSE),"-")</f>
        <v>50</v>
      </c>
      <c r="R34" s="2">
        <f>IFERROR(50+VLOOKUP($A34,'Xtal_SegEnds_Prot#'!$A:$AY,35,FALSE)-VLOOKUP($B34,'NonXtal_SegEnds_Prot#'!$A:$AL,25,FALSE),"-")</f>
        <v>52</v>
      </c>
      <c r="S34" s="2">
        <f>IFERROR(50+VLOOKUP($A34,'Xtal_SegEnds_Prot#'!$A:$AY,37,FALSE)-VLOOKUP($B34,'NonXtal_SegEnds_Prot#'!$A:$AL,28,FALSE),"-")</f>
        <v>34</v>
      </c>
      <c r="T34" s="89">
        <f>IFERROR(50+VLOOKUP($A34,'Xtal_SegEnds_Prot#'!$A:$AY,39,FALSE)-VLOOKUP($B34,'NonXtal_SegEnds_Prot#'!$A:$AL,28,FALSE),"-")</f>
        <v>68</v>
      </c>
      <c r="U34" s="2">
        <f>IFERROR(50+VLOOKUP($A34,'Xtal_SegEnds_Prot#'!$A:$AY,41,FALSE)-VLOOKUP($B34,'NonXtal_SegEnds_Prot#'!$A:$AL,31,FALSE),"-")</f>
        <v>28</v>
      </c>
      <c r="V34" s="2">
        <f>IFERROR(50+VLOOKUP($A34,'Xtal_SegEnds_Prot#'!$A:$AY,43,FALSE)-VLOOKUP($B34,'NonXtal_SegEnds_Prot#'!$A:$AL,31,FALSE),"-")</f>
        <v>64</v>
      </c>
      <c r="W34" s="2">
        <f>IFERROR(50+VLOOKUP($A34,'Xtal_SegEnds_Prot#'!$A:$AY,45,FALSE)-VLOOKUP($B34,'NonXtal_SegEnds_Prot#'!$A:$AL,34,FALSE),"-")</f>
        <v>24</v>
      </c>
      <c r="X34" s="2">
        <f>IFERROR(50+VLOOKUP($A34,'Xtal_SegEnds_Prot#'!$A:$AY,47,FALSE)-VLOOKUP($B34,'NonXtal_SegEnds_Prot#'!$A:$AL,34,FALSE),"-")</f>
        <v>56</v>
      </c>
      <c r="Y34" s="2">
        <f>IFERROR(50+VLOOKUP($A34,'Xtal_SegEnds_Prot#'!$A:$AY,49,FALSE)-VLOOKUP($B34,'NonXtal_SegEnds_Prot#'!$A:$AL,37,FALSE),"-")</f>
        <v>47</v>
      </c>
      <c r="Z34" s="2">
        <f>IFERROR(50+VLOOKUP($A34,'Xtal_SegEnds_Prot#'!$A:$AY,51,FALSE)-VLOOKUP($B34,'NonXtal_SegEnds_Prot#'!$A:$AL,37,FALSE),"-")</f>
        <v>61</v>
      </c>
      <c r="AA34" s="102" t="str">
        <f>VLOOKUP(B34,Classification!A:D,2,FALSE)</f>
        <v>A</v>
      </c>
      <c r="AB34" s="102">
        <f>VLOOKUP(B34,'NonXtal_SegEnds_Prot#'!A:AL,6,FALSE)-VLOOKUP(B34,'NonXtal_SegEnds_Prot#'!A:AL,5,FALSE)</f>
        <v>1</v>
      </c>
      <c r="AC34" s="102">
        <f>VLOOKUP(B34,'NonXtal_SegEnds_Prot#'!A:AL,9,FALSE)-VLOOKUP(B34,'NonXtal_SegEnds_Prot#'!A:AL,8,FALSE)</f>
        <v>1</v>
      </c>
      <c r="AD34" s="102">
        <f>VLOOKUP(B34,'NonXtal_SegEnds_Prot#'!A:AL,13,FALSE)-VLOOKUP(B34,'NonXtal_SegEnds_Prot#'!A:AL,10,FALSE)</f>
        <v>20</v>
      </c>
      <c r="AE34" s="102">
        <f>VLOOKUP(B34,'NonXtal_SegEnds_Prot#'!A:AL,12,FALSE)-VLOOKUP(B34,'NonXtal_SegEnds_Prot#'!A:AL,11,FALSE)</f>
        <v>3</v>
      </c>
      <c r="AF34" s="102">
        <f>VLOOKUP(B34,'NonXtal_SegEnds_Prot#'!A:AL,13,FALSE)-VLOOKUP(B34,'NonXtal_SegEnds_Prot#'!A:AL,11,FALSE)</f>
        <v>4</v>
      </c>
      <c r="AG34" s="102">
        <f>VLOOKUP(B34,'NonXtal_SegEnds_Prot#'!A:AL,16,FALSE)-VLOOKUP(B34,'NonXtal_SegEnds_Prot#'!A:AL,10,FALSE)</f>
        <v>52</v>
      </c>
      <c r="AH34" s="102">
        <f>VLOOKUP(B34,'NonXtal_SegEnds_Prot#'!A:AL,16,FALSE)-VLOOKUP(B34,'NonXtal_SegEnds_Prot#'!A:AL,11,FALSE)</f>
        <v>36</v>
      </c>
      <c r="AI34" s="102">
        <f>VLOOKUP(B34,'NonXtal_SegEnds_Prot#'!A:AL,15,FALSE)-VLOOKUP(B34,'NonXtal_SegEnds_Prot#'!A:AL,14,FALSE)</f>
        <v>1</v>
      </c>
      <c r="AJ34" s="102">
        <f>VLOOKUP(B34,'NonXtal_SegEnds_Prot#'!A:AL,18,FALSE)-VLOOKUP(B34,'NonXtal_SegEnds_Prot#'!A:AL,17,FALSE)</f>
        <v>1</v>
      </c>
      <c r="AK34" s="2">
        <f>VLOOKUP(B34,'NonXtal_SegEnds_Prot#'!A:AL,34,FALSE)-VLOOKUP(B34,'NonXtal_SegEnds_Prot#'!A:AL,31,FALSE)</f>
        <v>44</v>
      </c>
      <c r="AL34" s="86"/>
    </row>
    <row r="35" spans="1:62" s="2" customFormat="1" x14ac:dyDescent="0.2">
      <c r="A35" s="2" t="s">
        <v>1477</v>
      </c>
      <c r="B35" s="2" t="s">
        <v>1391</v>
      </c>
      <c r="C35" s="2">
        <f>IFERROR(50+VLOOKUP($A35,'Xtal_SegEnds_Prot#'!$A:$AY,5,FALSE)-VLOOKUP($B35,'NonXtal_SegEnds_Prot#'!$A:$AL,4,FALSE),"-")</f>
        <v>24</v>
      </c>
      <c r="D35" s="2">
        <f>IFERROR(50+VLOOKUP($A35,'Xtal_SegEnds_Prot#'!$A:$AY,7,FALSE)-VLOOKUP($B35,'NonXtal_SegEnds_Prot#'!$A:$AL,4,FALSE),"-")</f>
        <v>60</v>
      </c>
      <c r="E35" s="2">
        <f>IFERROR(50+VLOOKUP($A35,'Xtal_SegEnds_Prot#'!$A:$AY,9,FALSE)-VLOOKUP($B35,'NonXtal_SegEnds_Prot#'!$A:$AL,7,FALSE),"-")</f>
        <v>48</v>
      </c>
      <c r="F35" s="2">
        <f>IFERROR(50+VLOOKUP($A35,'Xtal_SegEnds_Prot#'!$A:$AY,11,FALSE)-VLOOKUP($B35,'NonXtal_SegEnds_Prot#'!$A:$AL,7,FALSE),"-")</f>
        <v>51</v>
      </c>
      <c r="G35" s="2">
        <f>IFERROR(50+VLOOKUP($A35,'Xtal_SegEnds_Prot#'!$A:$AY,13,FALSE)-VLOOKUP($B35,'NonXtal_SegEnds_Prot#'!$A:$AL,10,FALSE),"-")</f>
        <v>37</v>
      </c>
      <c r="H35" s="2">
        <f>IFERROR(50+VLOOKUP($A35,'Xtal_SegEnds_Prot#'!$A:$AY,15,FALSE)-VLOOKUP($B35,'NonXtal_SegEnds_Prot#'!$A:$AL,10,FALSE),"-")</f>
        <v>66</v>
      </c>
      <c r="I35" s="2">
        <f>IFERROR(50+VLOOKUP($A35,'Xtal_SegEnds_Prot#'!$A:$AY,17,FALSE)-VLOOKUP($B35,'NonXtal_SegEnds_Prot#'!$A:$AL,13,FALSE),"-")</f>
        <v>49</v>
      </c>
      <c r="J35" s="2">
        <f>IFERROR(50+VLOOKUP($A35,'Xtal_SegEnds_Prot#'!$A:$AY,19,FALSE)-VLOOKUP($B35,'NonXtal_SegEnds_Prot#'!$A:$AL,13,FALSE),"-")</f>
        <v>52</v>
      </c>
      <c r="K35" s="2">
        <f>IFERROR(50+VLOOKUP($A35,'Xtal_SegEnds_Prot#'!$A:$AY,21,FALSE)-VLOOKUP($B35,'NonXtal_SegEnds_Prot#'!$A:$AL,16,FALSE),"-")</f>
        <v>21</v>
      </c>
      <c r="L35" s="2">
        <f>IFERROR(50+VLOOKUP($A35,'Xtal_SegEnds_Prot#'!$A:$AY,23,FALSE)-VLOOKUP($B35,'NonXtal_SegEnds_Prot#'!$A:$AL,16,FALSE),"-")</f>
        <v>56</v>
      </c>
      <c r="M35" s="2">
        <f>IFERROR(50+VLOOKUP($A35,'Xtal_SegEnds_Prot#'!$A:$AY,25,FALSE)-VLOOKUP($B35,'NonXtal_SegEnds_Prot#'!$A:$AL,19,FALSE),"-")</f>
        <v>50</v>
      </c>
      <c r="N35" s="2">
        <f>IFERROR(50+VLOOKUP($A35,'Xtal_SegEnds_Prot#'!$A:$AY,27,FALSE)-VLOOKUP($B35,'NonXtal_SegEnds_Prot#'!$A:$AL,19,FALSE),"-")</f>
        <v>57</v>
      </c>
      <c r="O35" s="2">
        <f>IFERROR(50+VLOOKUP($A35,'Xtal_SegEnds_Prot#'!$A:$AY,29,FALSE)-VLOOKUP($B35,'NonXtal_SegEnds_Prot#'!$A:$AL,22,FALSE),"-")</f>
        <v>39</v>
      </c>
      <c r="P35" s="2">
        <f>IFERROR(50+VLOOKUP($A35,'Xtal_SegEnds_Prot#'!$A:$AY,31,FALSE)-VLOOKUP($B35,'NonXtal_SegEnds_Prot#'!$A:$AL,22,FALSE),"-")</f>
        <v>64</v>
      </c>
      <c r="Q35" s="2">
        <f>IFERROR(50+VLOOKUP($A35,'Xtal_SegEnds_Prot#'!$A:$AY,33,FALSE)-VLOOKUP($B35,'NonXtal_SegEnds_Prot#'!$A:$AL,25,FALSE),"-")</f>
        <v>50</v>
      </c>
      <c r="R35" s="2">
        <f>IFERROR(50+VLOOKUP($A35,'Xtal_SegEnds_Prot#'!$A:$AY,35,FALSE)-VLOOKUP($B35,'NonXtal_SegEnds_Prot#'!$A:$AL,25,FALSE),"-")</f>
        <v>52</v>
      </c>
      <c r="S35" s="2">
        <f>IFERROR(50+VLOOKUP($A35,'Xtal_SegEnds_Prot#'!$A:$AY,37,FALSE)-VLOOKUP($B35,'NonXtal_SegEnds_Prot#'!$A:$AL,28,FALSE),"-")</f>
        <v>32</v>
      </c>
      <c r="T35" s="89">
        <f>IFERROR(50+VLOOKUP($A35,'Xtal_SegEnds_Prot#'!$A:$AY,39,FALSE)-VLOOKUP($B35,'NonXtal_SegEnds_Prot#'!$A:$AL,28,FALSE),"-")</f>
        <v>68</v>
      </c>
      <c r="U35" s="2">
        <f>IFERROR(50+VLOOKUP($A35,'Xtal_SegEnds_Prot#'!$A:$AY,41,FALSE)-VLOOKUP($B35,'NonXtal_SegEnds_Prot#'!$A:$AL,31,FALSE),"-")</f>
        <v>30</v>
      </c>
      <c r="V35" s="2">
        <f>IFERROR(50+VLOOKUP($A35,'Xtal_SegEnds_Prot#'!$A:$AY,43,FALSE)-VLOOKUP($B35,'NonXtal_SegEnds_Prot#'!$A:$AL,31,FALSE),"-")</f>
        <v>64</v>
      </c>
      <c r="W35" s="2">
        <f>IFERROR(50+VLOOKUP($A35,'Xtal_SegEnds_Prot#'!$A:$AY,45,FALSE)-VLOOKUP($B35,'NonXtal_SegEnds_Prot#'!$A:$AL,34,FALSE),"-")</f>
        <v>24</v>
      </c>
      <c r="X35" s="2">
        <f>IFERROR(50+VLOOKUP($A35,'Xtal_SegEnds_Prot#'!$A:$AY,47,FALSE)-VLOOKUP($B35,'NonXtal_SegEnds_Prot#'!$A:$AL,34,FALSE),"-")</f>
        <v>56</v>
      </c>
      <c r="Y35" s="2">
        <f>IFERROR(50+VLOOKUP($A35,'Xtal_SegEnds_Prot#'!$A:$AY,49,FALSE)-VLOOKUP($B35,'NonXtal_SegEnds_Prot#'!$A:$AL,37,FALSE),"-")</f>
        <v>47</v>
      </c>
      <c r="Z35" s="2">
        <f>IFERROR(50+VLOOKUP($A35,'Xtal_SegEnds_Prot#'!$A:$AY,51,FALSE)-VLOOKUP($B35,'NonXtal_SegEnds_Prot#'!$A:$AL,37,FALSE),"-")</f>
        <v>59</v>
      </c>
      <c r="AA35" s="102" t="str">
        <f>VLOOKUP(B35,Classification!A:D,2,FALSE)</f>
        <v>A</v>
      </c>
      <c r="AB35" s="102">
        <f>VLOOKUP(B35,'NonXtal_SegEnds_Prot#'!A:AL,6,FALSE)-VLOOKUP(B35,'NonXtal_SegEnds_Prot#'!A:AL,5,FALSE)</f>
        <v>1</v>
      </c>
      <c r="AC35" s="102">
        <f>VLOOKUP(B35,'NonXtal_SegEnds_Prot#'!A:AL,9,FALSE)-VLOOKUP(B35,'NonXtal_SegEnds_Prot#'!A:AL,8,FALSE)</f>
        <v>1</v>
      </c>
      <c r="AD35" s="102">
        <f>VLOOKUP(B35,'NonXtal_SegEnds_Prot#'!A:AL,13,FALSE)-VLOOKUP(B35,'NonXtal_SegEnds_Prot#'!A:AL,10,FALSE)</f>
        <v>18</v>
      </c>
      <c r="AE35" s="102">
        <f>VLOOKUP(B35,'NonXtal_SegEnds_Prot#'!A:AL,12,FALSE)-VLOOKUP(B35,'NonXtal_SegEnds_Prot#'!A:AL,11,FALSE)</f>
        <v>1</v>
      </c>
      <c r="AF35" s="102">
        <f>VLOOKUP(B35,'NonXtal_SegEnds_Prot#'!A:AL,13,FALSE)-VLOOKUP(B35,'NonXtal_SegEnds_Prot#'!A:AL,11,FALSE)</f>
        <v>2</v>
      </c>
      <c r="AG35" s="102">
        <f>VLOOKUP(B35,'NonXtal_SegEnds_Prot#'!A:AL,16,FALSE)-VLOOKUP(B35,'NonXtal_SegEnds_Prot#'!A:AL,10,FALSE)</f>
        <v>50</v>
      </c>
      <c r="AH35" s="102">
        <f>VLOOKUP(B35,'NonXtal_SegEnds_Prot#'!A:AL,16,FALSE)-VLOOKUP(B35,'NonXtal_SegEnds_Prot#'!A:AL,11,FALSE)</f>
        <v>34</v>
      </c>
      <c r="AI35" s="102">
        <f>VLOOKUP(B35,'NonXtal_SegEnds_Prot#'!A:AL,15,FALSE)-VLOOKUP(B35,'NonXtal_SegEnds_Prot#'!A:AL,14,FALSE)</f>
        <v>1</v>
      </c>
      <c r="AJ35" s="102">
        <f>VLOOKUP(B35,'NonXtal_SegEnds_Prot#'!A:AL,18,FALSE)-VLOOKUP(B35,'NonXtal_SegEnds_Prot#'!A:AL,17,FALSE)</f>
        <v>1</v>
      </c>
      <c r="AK35" s="2">
        <f>VLOOKUP(B35,'NonXtal_SegEnds_Prot#'!A:AL,34,FALSE)-VLOOKUP(B35,'NonXtal_SegEnds_Prot#'!A:AL,31,FALSE)</f>
        <v>45</v>
      </c>
      <c r="AL35" s="86"/>
    </row>
    <row r="36" spans="1:62" s="2" customFormat="1" x14ac:dyDescent="0.2">
      <c r="A36" s="2" t="s">
        <v>1562</v>
      </c>
      <c r="B36" s="2" t="s">
        <v>390</v>
      </c>
      <c r="C36" s="2">
        <f>IFERROR(50+VLOOKUP($A36,'Xtal_SegEnds_Prot#'!$A:$AY,5,FALSE)-VLOOKUP($B36,'NonXtal_SegEnds_Prot#'!$A:$AL,4,FALSE),"-")</f>
        <v>22</v>
      </c>
      <c r="D36" s="2">
        <f>IFERROR(50+VLOOKUP($A36,'Xtal_SegEnds_Prot#'!$A:$AY,7,FALSE)-VLOOKUP($B36,'NonXtal_SegEnds_Prot#'!$A:$AL,4,FALSE),"-")</f>
        <v>60</v>
      </c>
      <c r="E36" s="2">
        <f>IFERROR(50+VLOOKUP($A36,'Xtal_SegEnds_Prot#'!$A:$AY,9,FALSE)-VLOOKUP($B36,'NonXtal_SegEnds_Prot#'!$A:$AL,7,FALSE),"-")</f>
        <v>48</v>
      </c>
      <c r="F36" s="2">
        <f>IFERROR(50+VLOOKUP($A36,'Xtal_SegEnds_Prot#'!$A:$AY,11,FALSE)-VLOOKUP($B36,'NonXtal_SegEnds_Prot#'!$A:$AL,7,FALSE),"-")</f>
        <v>52</v>
      </c>
      <c r="G36" s="2">
        <f>IFERROR(50+VLOOKUP($A36,'Xtal_SegEnds_Prot#'!$A:$AY,13,FALSE)-VLOOKUP($B36,'NonXtal_SegEnds_Prot#'!$A:$AL,10,FALSE),"-")</f>
        <v>38</v>
      </c>
      <c r="H36" s="2">
        <f>IFERROR(50+VLOOKUP($A36,'Xtal_SegEnds_Prot#'!$A:$AY,15,FALSE)-VLOOKUP($B36,'NonXtal_SegEnds_Prot#'!$A:$AL,10,FALSE),"-")</f>
        <v>67</v>
      </c>
      <c r="I36" s="2">
        <f>IFERROR(50+VLOOKUP($A36,'Xtal_SegEnds_Prot#'!$A:$AY,17,FALSE)-VLOOKUP($B36,'NonXtal_SegEnds_Prot#'!$A:$AL,13,FALSE),"-")</f>
        <v>49</v>
      </c>
      <c r="J36" s="2">
        <f>IFERROR(50+VLOOKUP($A36,'Xtal_SegEnds_Prot#'!$A:$AY,19,FALSE)-VLOOKUP($B36,'NonXtal_SegEnds_Prot#'!$A:$AL,13,FALSE),"-")</f>
        <v>52</v>
      </c>
      <c r="K36" s="2">
        <f>IFERROR(50+VLOOKUP($A36,'Xtal_SegEnds_Prot#'!$A:$AY,21,FALSE)-VLOOKUP($B36,'NonXtal_SegEnds_Prot#'!$A:$AL,16,FALSE),"-")</f>
        <v>21</v>
      </c>
      <c r="L36" s="2">
        <f>IFERROR(50+VLOOKUP($A36,'Xtal_SegEnds_Prot#'!$A:$AY,23,FALSE)-VLOOKUP($B36,'NonXtal_SegEnds_Prot#'!$A:$AL,16,FALSE),"-")</f>
        <v>56</v>
      </c>
      <c r="M36" s="2">
        <f>IFERROR(50+VLOOKUP($A36,'Xtal_SegEnds_Prot#'!$A:$AY,25,FALSE)-VLOOKUP($B36,'NonXtal_SegEnds_Prot#'!$A:$AL,19,FALSE),"-")</f>
        <v>50</v>
      </c>
      <c r="N36" s="2">
        <f>IFERROR(50+VLOOKUP($A36,'Xtal_SegEnds_Prot#'!$A:$AY,27,FALSE)-VLOOKUP($B36,'NonXtal_SegEnds_Prot#'!$A:$AL,19,FALSE),"-")</f>
        <v>57</v>
      </c>
      <c r="O36" s="2">
        <f>IFERROR(50+VLOOKUP($A36,'Xtal_SegEnds_Prot#'!$A:$AY,29,FALSE)-VLOOKUP($B36,'NonXtal_SegEnds_Prot#'!$A:$AL,22,FALSE),"-")</f>
        <v>39</v>
      </c>
      <c r="P36" s="2">
        <f>IFERROR(50+VLOOKUP($A36,'Xtal_SegEnds_Prot#'!$A:$AY,31,FALSE)-VLOOKUP($B36,'NonXtal_SegEnds_Prot#'!$A:$AL,22,FALSE),"-")</f>
        <v>64</v>
      </c>
      <c r="Q36" s="2">
        <f>IFERROR(50+VLOOKUP($A36,'Xtal_SegEnds_Prot#'!$A:$AY,33,FALSE)-VLOOKUP($B36,'NonXtal_SegEnds_Prot#'!$A:$AL,25,FALSE),"-")</f>
        <v>50</v>
      </c>
      <c r="R36" s="2">
        <f>IFERROR(50+VLOOKUP($A36,'Xtal_SegEnds_Prot#'!$A:$AY,35,FALSE)-VLOOKUP($B36,'NonXtal_SegEnds_Prot#'!$A:$AL,25,FALSE),"-")</f>
        <v>52</v>
      </c>
      <c r="S36" s="2">
        <f>IFERROR(50+VLOOKUP($A36,'Xtal_SegEnds_Prot#'!$A:$AY,37,FALSE)-VLOOKUP($B36,'NonXtal_SegEnds_Prot#'!$A:$AL,28,FALSE),"-")</f>
        <v>29</v>
      </c>
      <c r="T36" s="89">
        <f>IFERROR(50+VLOOKUP($A36,'Xtal_SegEnds_Prot#'!$A:$AY,39,FALSE)-VLOOKUP($B36,'NonXtal_SegEnds_Prot#'!$A:$AL,28,FALSE),"-")</f>
        <v>72</v>
      </c>
      <c r="U36" s="2">
        <f>IFERROR(50+VLOOKUP($A36,'Xtal_SegEnds_Prot#'!$A:$AY,41,FALSE)-VLOOKUP($B36,'NonXtal_SegEnds_Prot#'!$A:$AL,31,FALSE),"-")</f>
        <v>24</v>
      </c>
      <c r="V36" s="2">
        <f>IFERROR(50+VLOOKUP($A36,'Xtal_SegEnds_Prot#'!$A:$AY,43,FALSE)-VLOOKUP($B36,'NonXtal_SegEnds_Prot#'!$A:$AL,31,FALSE),"-")</f>
        <v>62</v>
      </c>
      <c r="W36" s="2">
        <f>IFERROR(50+VLOOKUP($A36,'Xtal_SegEnds_Prot#'!$A:$AY,45,FALSE)-VLOOKUP($B36,'NonXtal_SegEnds_Prot#'!$A:$AL,34,FALSE),"-")</f>
        <v>24</v>
      </c>
      <c r="X36" s="2">
        <f>IFERROR(50+VLOOKUP($A36,'Xtal_SegEnds_Prot#'!$A:$AY,47,FALSE)-VLOOKUP($B36,'NonXtal_SegEnds_Prot#'!$A:$AL,34,FALSE),"-")</f>
        <v>56</v>
      </c>
      <c r="Y36" s="2">
        <f>IFERROR(50+VLOOKUP($A36,'Xtal_SegEnds_Prot#'!$A:$AY,49,FALSE)-VLOOKUP($B36,'NonXtal_SegEnds_Prot#'!$A:$AL,37,FALSE),"-")</f>
        <v>47</v>
      </c>
      <c r="Z36" s="2">
        <f>IFERROR(50+VLOOKUP($A36,'Xtal_SegEnds_Prot#'!$A:$AY,51,FALSE)-VLOOKUP($B36,'NonXtal_SegEnds_Prot#'!$A:$AL,37,FALSE),"-")</f>
        <v>60</v>
      </c>
      <c r="AA36" s="102" t="str">
        <f>VLOOKUP(B36,Classification!A:D,2,FALSE)</f>
        <v>A</v>
      </c>
      <c r="AB36" s="102">
        <f>VLOOKUP(B36,'NonXtal_SegEnds_Prot#'!A:AL,6,FALSE)-VLOOKUP(B36,'NonXtal_SegEnds_Prot#'!A:AL,5,FALSE)</f>
        <v>1</v>
      </c>
      <c r="AC36" s="102">
        <f>VLOOKUP(B36,'NonXtal_SegEnds_Prot#'!A:AL,9,FALSE)-VLOOKUP(B36,'NonXtal_SegEnds_Prot#'!A:AL,8,FALSE)</f>
        <v>1</v>
      </c>
      <c r="AD36" s="102">
        <f>VLOOKUP(B36,'NonXtal_SegEnds_Prot#'!A:AL,13,FALSE)-VLOOKUP(B36,'NonXtal_SegEnds_Prot#'!A:AL,10,FALSE)</f>
        <v>20</v>
      </c>
      <c r="AE36" s="102">
        <f>VLOOKUP(B36,'NonXtal_SegEnds_Prot#'!A:AL,12,FALSE)-VLOOKUP(B36,'NonXtal_SegEnds_Prot#'!A:AL,11,FALSE)</f>
        <v>2</v>
      </c>
      <c r="AF36" s="102">
        <f>VLOOKUP(B36,'NonXtal_SegEnds_Prot#'!A:AL,13,FALSE)-VLOOKUP(B36,'NonXtal_SegEnds_Prot#'!A:AL,11,FALSE)</f>
        <v>3</v>
      </c>
      <c r="AG36" s="102">
        <f>VLOOKUP(B36,'NonXtal_SegEnds_Prot#'!A:AL,16,FALSE)-VLOOKUP(B36,'NonXtal_SegEnds_Prot#'!A:AL,10,FALSE)</f>
        <v>52</v>
      </c>
      <c r="AH36" s="102">
        <f>VLOOKUP(B36,'NonXtal_SegEnds_Prot#'!A:AL,16,FALSE)-VLOOKUP(B36,'NonXtal_SegEnds_Prot#'!A:AL,11,FALSE)</f>
        <v>35</v>
      </c>
      <c r="AI36" s="102">
        <f>VLOOKUP(B36,'NonXtal_SegEnds_Prot#'!A:AL,15,FALSE)-VLOOKUP(B36,'NonXtal_SegEnds_Prot#'!A:AL,14,FALSE)</f>
        <v>1</v>
      </c>
      <c r="AJ36" s="102">
        <f>VLOOKUP(B36,'NonXtal_SegEnds_Prot#'!A:AL,18,FALSE)-VLOOKUP(B36,'NonXtal_SegEnds_Prot#'!A:AL,17,FALSE)</f>
        <v>1</v>
      </c>
      <c r="AK36" s="2">
        <f>VLOOKUP(B36,'NonXtal_SegEnds_Prot#'!A:AL,34,FALSE)-VLOOKUP(B36,'NonXtal_SegEnds_Prot#'!A:AL,31,FALSE)</f>
        <v>45</v>
      </c>
      <c r="AL36" s="88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</row>
    <row r="37" spans="1:62" s="2" customFormat="1" x14ac:dyDescent="0.2">
      <c r="A37" s="2" t="s">
        <v>1501</v>
      </c>
      <c r="B37" s="2" t="s">
        <v>1120</v>
      </c>
      <c r="C37" s="2">
        <f>IFERROR(50+VLOOKUP($A37,'Xtal_SegEnds_Prot#'!$A:$AY,5,FALSE)-VLOOKUP($B37,'NonXtal_SegEnds_Prot#'!$A:$AL,4,FALSE),"-")</f>
        <v>25</v>
      </c>
      <c r="D37" s="2">
        <f>IFERROR(50+VLOOKUP($A37,'Xtal_SegEnds_Prot#'!$A:$AY,7,FALSE)-VLOOKUP($B37,'NonXtal_SegEnds_Prot#'!$A:$AL,4,FALSE),"-")</f>
        <v>60</v>
      </c>
      <c r="E37" s="2">
        <f>IFERROR(50+VLOOKUP($A37,'Xtal_SegEnds_Prot#'!$A:$AY,9,FALSE)-VLOOKUP($B37,'NonXtal_SegEnds_Prot#'!$A:$AL,7,FALSE),"-")</f>
        <v>48</v>
      </c>
      <c r="F37" s="2">
        <f>IFERROR(50+VLOOKUP($A37,'Xtal_SegEnds_Prot#'!$A:$AY,11,FALSE)-VLOOKUP($B37,'NonXtal_SegEnds_Prot#'!$A:$AL,7,FALSE),"-")</f>
        <v>51</v>
      </c>
      <c r="G37" s="2">
        <f>IFERROR(50+VLOOKUP($A37,'Xtal_SegEnds_Prot#'!$A:$AY,13,FALSE)-VLOOKUP($B37,'NonXtal_SegEnds_Prot#'!$A:$AL,10,FALSE),"-")</f>
        <v>37</v>
      </c>
      <c r="H37" s="2">
        <f>IFERROR(50+VLOOKUP($A37,'Xtal_SegEnds_Prot#'!$A:$AY,15,FALSE)-VLOOKUP($B37,'NonXtal_SegEnds_Prot#'!$A:$AL,10,FALSE),"-")</f>
        <v>66</v>
      </c>
      <c r="I37" s="2" t="str">
        <f>IFERROR(50+VLOOKUP($A37,'Xtal_SegEnds_Prot#'!$A:$AY,17,FALSE)-VLOOKUP($B37,'NonXtal_SegEnds_Prot#'!$A:$AL,13,FALSE),"-")</f>
        <v>-</v>
      </c>
      <c r="J37" s="2" t="str">
        <f>IFERROR(50+VLOOKUP($A37,'Xtal_SegEnds_Prot#'!$A:$AY,19,FALSE)-VLOOKUP($B37,'NonXtal_SegEnds_Prot#'!$A:$AL,13,FALSE),"-")</f>
        <v>-</v>
      </c>
      <c r="K37" s="2">
        <f>IFERROR(50+VLOOKUP($A37,'Xtal_SegEnds_Prot#'!$A:$AY,21,FALSE)-VLOOKUP($B37,'NonXtal_SegEnds_Prot#'!$A:$AL,16,FALSE),"-")</f>
        <v>24</v>
      </c>
      <c r="L37" s="2">
        <f>IFERROR(50+VLOOKUP($A37,'Xtal_SegEnds_Prot#'!$A:$AY,23,FALSE)-VLOOKUP($B37,'NonXtal_SegEnds_Prot#'!$A:$AL,16,FALSE),"-")</f>
        <v>56</v>
      </c>
      <c r="M37" s="2" t="str">
        <f>IFERROR(50+VLOOKUP($A37,'Xtal_SegEnds_Prot#'!$A:$AY,25,FALSE)-VLOOKUP($B37,'NonXtal_SegEnds_Prot#'!$A:$AL,19,FALSE),"-")</f>
        <v>-</v>
      </c>
      <c r="N37" s="2" t="str">
        <f>IFERROR(50+VLOOKUP($A37,'Xtal_SegEnds_Prot#'!$A:$AY,27,FALSE)-VLOOKUP($B37,'NonXtal_SegEnds_Prot#'!$A:$AL,19,FALSE),"-")</f>
        <v>-</v>
      </c>
      <c r="O37" s="2">
        <f>IFERROR(50+VLOOKUP($A37,'Xtal_SegEnds_Prot#'!$A:$AY,29,FALSE)-VLOOKUP($B37,'NonXtal_SegEnds_Prot#'!$A:$AL,22,FALSE),"-")</f>
        <v>39</v>
      </c>
      <c r="P37" s="2">
        <f>IFERROR(50+VLOOKUP($A37,'Xtal_SegEnds_Prot#'!$A:$AY,31,FALSE)-VLOOKUP($B37,'NonXtal_SegEnds_Prot#'!$A:$AL,22,FALSE),"-")</f>
        <v>63</v>
      </c>
      <c r="Q37" s="2">
        <f>IFERROR(50+VLOOKUP($A37,'Xtal_SegEnds_Prot#'!$A:$AY,33,FALSE)-VLOOKUP($B37,'NonXtal_SegEnds_Prot#'!$A:$AL,25,FALSE),"-")</f>
        <v>50</v>
      </c>
      <c r="R37" s="2">
        <f>IFERROR(50+VLOOKUP($A37,'Xtal_SegEnds_Prot#'!$A:$AY,35,FALSE)-VLOOKUP($B37,'NonXtal_SegEnds_Prot#'!$A:$AL,25,FALSE),"-")</f>
        <v>52</v>
      </c>
      <c r="S37" s="2">
        <f>IFERROR(50+VLOOKUP($A37,'Xtal_SegEnds_Prot#'!$A:$AY,37,FALSE)-VLOOKUP($B37,'NonXtal_SegEnds_Prot#'!$A:$AL,28,FALSE),"-")</f>
        <v>32</v>
      </c>
      <c r="T37" s="89">
        <f>IFERROR(50+VLOOKUP($A37,'Xtal_SegEnds_Prot#'!$A:$AY,39,FALSE)-VLOOKUP($B37,'NonXtal_SegEnds_Prot#'!$A:$AL,28,FALSE),"-")</f>
        <v>68</v>
      </c>
      <c r="U37" s="2">
        <f>IFERROR(50+VLOOKUP($A37,'Xtal_SegEnds_Prot#'!$A:$AY,41,FALSE)-VLOOKUP($B37,'NonXtal_SegEnds_Prot#'!$A:$AL,31,FALSE),"-")</f>
        <v>29</v>
      </c>
      <c r="V37" s="2">
        <f>IFERROR(50+VLOOKUP($A37,'Xtal_SegEnds_Prot#'!$A:$AY,43,FALSE)-VLOOKUP($B37,'NonXtal_SegEnds_Prot#'!$A:$AL,31,FALSE),"-")</f>
        <v>64</v>
      </c>
      <c r="W37" s="2">
        <f>IFERROR(50+VLOOKUP($A37,'Xtal_SegEnds_Prot#'!$A:$AY,45,FALSE)-VLOOKUP($B37,'NonXtal_SegEnds_Prot#'!$A:$AL,34,FALSE),"-")</f>
        <v>24</v>
      </c>
      <c r="X37" s="2">
        <f>IFERROR(50+VLOOKUP($A37,'Xtal_SegEnds_Prot#'!$A:$AY,47,FALSE)-VLOOKUP($B37,'NonXtal_SegEnds_Prot#'!$A:$AL,34,FALSE),"-")</f>
        <v>56</v>
      </c>
      <c r="Y37" s="2">
        <f>IFERROR(50+VLOOKUP($A37,'Xtal_SegEnds_Prot#'!$A:$AY,49,FALSE)-VLOOKUP($B37,'NonXtal_SegEnds_Prot#'!$A:$AL,37,FALSE),"-")</f>
        <v>47</v>
      </c>
      <c r="Z37" s="2">
        <f>IFERROR(50+VLOOKUP($A37,'Xtal_SegEnds_Prot#'!$A:$AY,51,FALSE)-VLOOKUP($B37,'NonXtal_SegEnds_Prot#'!$A:$AL,37,FALSE),"-")</f>
        <v>62</v>
      </c>
      <c r="AA37" s="102" t="str">
        <f>VLOOKUP(B37,Classification!A:D,2,FALSE)</f>
        <v>A</v>
      </c>
      <c r="AB37" s="102">
        <f>VLOOKUP(B37,'NonXtal_SegEnds_Prot#'!A:AL,6,FALSE)-VLOOKUP(B37,'NonXtal_SegEnds_Prot#'!A:AL,5,FALSE)</f>
        <v>1</v>
      </c>
      <c r="AC37" s="102">
        <f>VLOOKUP(B37,'NonXtal_SegEnds_Prot#'!A:AL,9,FALSE)-VLOOKUP(B37,'NonXtal_SegEnds_Prot#'!A:AL,8,FALSE)</f>
        <v>1</v>
      </c>
      <c r="AD37" s="102" t="e">
        <f>VLOOKUP(B37,'NonXtal_SegEnds_Prot#'!A:AL,13,FALSE)-VLOOKUP(B37,'NonXtal_SegEnds_Prot#'!A:AL,10,FALSE)</f>
        <v>#VALUE!</v>
      </c>
      <c r="AE37" s="102" t="e">
        <f>VLOOKUP(B37,'NonXtal_SegEnds_Prot#'!A:AL,12,FALSE)-VLOOKUP(B37,'NonXtal_SegEnds_Prot#'!A:AL,11,FALSE)</f>
        <v>#VALUE!</v>
      </c>
      <c r="AF37" s="102" t="e">
        <f>VLOOKUP(B37,'NonXtal_SegEnds_Prot#'!A:AL,13,FALSE)-VLOOKUP(B37,'NonXtal_SegEnds_Prot#'!A:AL,11,FALSE)</f>
        <v>#VALUE!</v>
      </c>
      <c r="AG37" s="102">
        <f>VLOOKUP(B37,'NonXtal_SegEnds_Prot#'!A:AL,16,FALSE)-VLOOKUP(B37,'NonXtal_SegEnds_Prot#'!A:AL,10,FALSE)</f>
        <v>50</v>
      </c>
      <c r="AH37" s="102">
        <f>VLOOKUP(B37,'NonXtal_SegEnds_Prot#'!A:AL,16,FALSE)-VLOOKUP(B37,'NonXtal_SegEnds_Prot#'!A:AL,11,FALSE)</f>
        <v>34</v>
      </c>
      <c r="AI37" s="102" t="e">
        <f>VLOOKUP(B37,'NonXtal_SegEnds_Prot#'!A:AL,15,FALSE)-VLOOKUP(B37,'NonXtal_SegEnds_Prot#'!A:AL,14,FALSE)</f>
        <v>#VALUE!</v>
      </c>
      <c r="AJ37" s="102" t="e">
        <f>VLOOKUP(B37,'NonXtal_SegEnds_Prot#'!A:AL,18,FALSE)-VLOOKUP(B37,'NonXtal_SegEnds_Prot#'!A:AL,17,FALSE)</f>
        <v>#VALUE!</v>
      </c>
      <c r="AK37" s="2">
        <f>VLOOKUP(B37,'NonXtal_SegEnds_Prot#'!A:AL,34,FALSE)-VLOOKUP(B37,'NonXtal_SegEnds_Prot#'!A:AL,31,FALSE)</f>
        <v>45</v>
      </c>
      <c r="AL37" s="86"/>
    </row>
    <row r="38" spans="1:62" s="2" customFormat="1" x14ac:dyDescent="0.2">
      <c r="A38" s="2" t="s">
        <v>1496</v>
      </c>
      <c r="B38" s="2" t="s">
        <v>539</v>
      </c>
      <c r="C38" s="2">
        <f>IFERROR(50+VLOOKUP($A38,'Xtal_SegEnds_Prot#'!$A:$AY,5,FALSE)-VLOOKUP($B38,'NonXtal_SegEnds_Prot#'!$A:$AL,4,FALSE),"-")</f>
        <v>30</v>
      </c>
      <c r="D38" s="2">
        <f>IFERROR(50+VLOOKUP($A38,'Xtal_SegEnds_Prot#'!$A:$AY,7,FALSE)-VLOOKUP($B38,'NonXtal_SegEnds_Prot#'!$A:$AL,4,FALSE),"-")</f>
        <v>60</v>
      </c>
      <c r="E38" s="2" t="str">
        <f>IFERROR(50+VLOOKUP($A38,'Xtal_SegEnds_Prot#'!$A:$AY,9,FALSE)-VLOOKUP($B38,'NonXtal_SegEnds_Prot#'!$A:$AL,7,FALSE),"-")</f>
        <v>-</v>
      </c>
      <c r="F38" s="2" t="str">
        <f>IFERROR(50+VLOOKUP($A38,'Xtal_SegEnds_Prot#'!$A:$AY,11,FALSE)-VLOOKUP($B38,'NonXtal_SegEnds_Prot#'!$A:$AL,7,FALSE),"-")</f>
        <v>-</v>
      </c>
      <c r="G38" s="2">
        <f>IFERROR(50+VLOOKUP($A38,'Xtal_SegEnds_Prot#'!$A:$AY,13,FALSE)-VLOOKUP($B38,'NonXtal_SegEnds_Prot#'!$A:$AL,10,FALSE),"-")</f>
        <v>37</v>
      </c>
      <c r="H38" s="2">
        <f>IFERROR(50+VLOOKUP($A38,'Xtal_SegEnds_Prot#'!$A:$AY,15,FALSE)-VLOOKUP($B38,'NonXtal_SegEnds_Prot#'!$A:$AL,10,FALSE),"-")</f>
        <v>66</v>
      </c>
      <c r="I38" s="2">
        <f>IFERROR(50+VLOOKUP($A38,'Xtal_SegEnds_Prot#'!$A:$AY,17,FALSE)-VLOOKUP($B38,'NonXtal_SegEnds_Prot#'!$A:$AL,13,FALSE),"-")</f>
        <v>49</v>
      </c>
      <c r="J38" s="2">
        <f>IFERROR(50+VLOOKUP($A38,'Xtal_SegEnds_Prot#'!$A:$AY,19,FALSE)-VLOOKUP($B38,'NonXtal_SegEnds_Prot#'!$A:$AL,13,FALSE),"-")</f>
        <v>52</v>
      </c>
      <c r="K38" s="2">
        <f>IFERROR(50+VLOOKUP($A38,'Xtal_SegEnds_Prot#'!$A:$AY,21,FALSE)-VLOOKUP($B38,'NonXtal_SegEnds_Prot#'!$A:$AL,16,FALSE),"-")</f>
        <v>21</v>
      </c>
      <c r="L38" s="2">
        <f>IFERROR(50+VLOOKUP($A38,'Xtal_SegEnds_Prot#'!$A:$AY,23,FALSE)-VLOOKUP($B38,'NonXtal_SegEnds_Prot#'!$A:$AL,16,FALSE),"-")</f>
        <v>56</v>
      </c>
      <c r="M38" s="2">
        <f>IFERROR(50+VLOOKUP($A38,'Xtal_SegEnds_Prot#'!$A:$AY,25,FALSE)-VLOOKUP($B38,'NonXtal_SegEnds_Prot#'!$A:$AL,19,FALSE),"-")</f>
        <v>50</v>
      </c>
      <c r="N38" s="2">
        <f>IFERROR(50+VLOOKUP($A38,'Xtal_SegEnds_Prot#'!$A:$AY,27,FALSE)-VLOOKUP($B38,'NonXtal_SegEnds_Prot#'!$A:$AL,19,FALSE),"-")</f>
        <v>57</v>
      </c>
      <c r="O38" s="2">
        <f>IFERROR(50+VLOOKUP($A38,'Xtal_SegEnds_Prot#'!$A:$AY,29,FALSE)-VLOOKUP($B38,'NonXtal_SegEnds_Prot#'!$A:$AL,22,FALSE),"-")</f>
        <v>39</v>
      </c>
      <c r="P38" s="2">
        <f>IFERROR(50+VLOOKUP($A38,'Xtal_SegEnds_Prot#'!$A:$AY,31,FALSE)-VLOOKUP($B38,'NonXtal_SegEnds_Prot#'!$A:$AL,22,FALSE),"-")</f>
        <v>64</v>
      </c>
      <c r="Q38" s="2">
        <f>IFERROR(50+VLOOKUP($A38,'Xtal_SegEnds_Prot#'!$A:$AY,33,FALSE)-VLOOKUP($B38,'NonXtal_SegEnds_Prot#'!$A:$AL,25,FALSE),"-")</f>
        <v>50</v>
      </c>
      <c r="R38" s="2">
        <f>IFERROR(50+VLOOKUP($A38,'Xtal_SegEnds_Prot#'!$A:$AY,35,FALSE)-VLOOKUP($B38,'NonXtal_SegEnds_Prot#'!$A:$AL,25,FALSE),"-")</f>
        <v>52</v>
      </c>
      <c r="S38" s="2">
        <f>IFERROR(50+VLOOKUP($A38,'Xtal_SegEnds_Prot#'!$A:$AY,37,FALSE)-VLOOKUP($B38,'NonXtal_SegEnds_Prot#'!$A:$AL,28,FALSE),"-")</f>
        <v>32</v>
      </c>
      <c r="T38" s="89">
        <f>IFERROR(50+VLOOKUP($A38,'Xtal_SegEnds_Prot#'!$A:$AY,39,FALSE)-VLOOKUP($B38,'NonXtal_SegEnds_Prot#'!$A:$AL,28,FALSE),"-")</f>
        <v>68</v>
      </c>
      <c r="U38" s="2">
        <f>IFERROR(50+VLOOKUP($A38,'Xtal_SegEnds_Prot#'!$A:$AY,41,FALSE)-VLOOKUP($B38,'NonXtal_SegEnds_Prot#'!$A:$AL,31,FALSE),"-")</f>
        <v>28</v>
      </c>
      <c r="V38" s="2">
        <f>IFERROR(50+VLOOKUP($A38,'Xtal_SegEnds_Prot#'!$A:$AY,43,FALSE)-VLOOKUP($B38,'NonXtal_SegEnds_Prot#'!$A:$AL,31,FALSE),"-")</f>
        <v>64</v>
      </c>
      <c r="W38" s="2">
        <f>IFERROR(50+VLOOKUP($A38,'Xtal_SegEnds_Prot#'!$A:$AY,45,FALSE)-VLOOKUP($B38,'NonXtal_SegEnds_Prot#'!$A:$AL,34,FALSE),"-")</f>
        <v>24</v>
      </c>
      <c r="X38" s="2">
        <f>IFERROR(50+VLOOKUP($A38,'Xtal_SegEnds_Prot#'!$A:$AY,47,FALSE)-VLOOKUP($B38,'NonXtal_SegEnds_Prot#'!$A:$AL,34,FALSE),"-")</f>
        <v>56</v>
      </c>
      <c r="Y38" s="2">
        <f>IFERROR(50+VLOOKUP($A38,'Xtal_SegEnds_Prot#'!$A:$AY,49,FALSE)-VLOOKUP($B38,'NonXtal_SegEnds_Prot#'!$A:$AL,37,FALSE),"-")</f>
        <v>47</v>
      </c>
      <c r="Z38" s="2">
        <f>IFERROR(50+VLOOKUP($A38,'Xtal_SegEnds_Prot#'!$A:$AY,51,FALSE)-VLOOKUP($B38,'NonXtal_SegEnds_Prot#'!$A:$AL,37,FALSE),"-")</f>
        <v>59</v>
      </c>
      <c r="AA38" s="102" t="str">
        <f>VLOOKUP(B38,Classification!A:D,2,FALSE)</f>
        <v>A</v>
      </c>
      <c r="AB38" s="102" t="e">
        <f>VLOOKUP(B38,'NonXtal_SegEnds_Prot#'!A:AL,6,FALSE)-VLOOKUP(B38,'NonXtal_SegEnds_Prot#'!A:AL,5,FALSE)</f>
        <v>#VALUE!</v>
      </c>
      <c r="AC38" s="102" t="e">
        <f>VLOOKUP(B38,'NonXtal_SegEnds_Prot#'!A:AL,9,FALSE)-VLOOKUP(B38,'NonXtal_SegEnds_Prot#'!A:AL,8,FALSE)</f>
        <v>#VALUE!</v>
      </c>
      <c r="AD38" s="102">
        <f>VLOOKUP(B38,'NonXtal_SegEnds_Prot#'!A:AL,13,FALSE)-VLOOKUP(B38,'NonXtal_SegEnds_Prot#'!A:AL,10,FALSE)</f>
        <v>20</v>
      </c>
      <c r="AE38" s="102">
        <f>VLOOKUP(B38,'NonXtal_SegEnds_Prot#'!A:AL,12,FALSE)-VLOOKUP(B38,'NonXtal_SegEnds_Prot#'!A:AL,11,FALSE)</f>
        <v>3</v>
      </c>
      <c r="AF38" s="102">
        <f>VLOOKUP(B38,'NonXtal_SegEnds_Prot#'!A:AL,13,FALSE)-VLOOKUP(B38,'NonXtal_SegEnds_Prot#'!A:AL,11,FALSE)</f>
        <v>4</v>
      </c>
      <c r="AG38" s="102">
        <f>VLOOKUP(B38,'NonXtal_SegEnds_Prot#'!A:AL,16,FALSE)-VLOOKUP(B38,'NonXtal_SegEnds_Prot#'!A:AL,10,FALSE)</f>
        <v>52</v>
      </c>
      <c r="AH38" s="102">
        <f>VLOOKUP(B38,'NonXtal_SegEnds_Prot#'!A:AL,16,FALSE)-VLOOKUP(B38,'NonXtal_SegEnds_Prot#'!A:AL,11,FALSE)</f>
        <v>36</v>
      </c>
      <c r="AI38" s="102">
        <f>VLOOKUP(B38,'NonXtal_SegEnds_Prot#'!A:AL,15,FALSE)-VLOOKUP(B38,'NonXtal_SegEnds_Prot#'!A:AL,14,FALSE)</f>
        <v>1</v>
      </c>
      <c r="AJ38" s="102">
        <f>VLOOKUP(B38,'NonXtal_SegEnds_Prot#'!A:AL,18,FALSE)-VLOOKUP(B38,'NonXtal_SegEnds_Prot#'!A:AL,17,FALSE)</f>
        <v>1</v>
      </c>
      <c r="AK38" s="2">
        <f>VLOOKUP(B38,'NonXtal_SegEnds_Prot#'!A:AL,34,FALSE)-VLOOKUP(B38,'NonXtal_SegEnds_Prot#'!A:AL,31,FALSE)</f>
        <v>46</v>
      </c>
      <c r="AL38" s="86"/>
    </row>
    <row r="39" spans="1:62" s="2" customFormat="1" x14ac:dyDescent="0.2">
      <c r="A39" s="2" t="s">
        <v>1500</v>
      </c>
      <c r="B39" s="2" t="s">
        <v>207</v>
      </c>
      <c r="C39" s="2">
        <f>IFERROR(50+VLOOKUP($A39,'Xtal_SegEnds_Prot#'!$A:$AY,5,FALSE)-VLOOKUP($B39,'NonXtal_SegEnds_Prot#'!$A:$AL,4,FALSE),"-")</f>
        <v>29</v>
      </c>
      <c r="D39" s="2">
        <f>IFERROR(50+VLOOKUP($A39,'Xtal_SegEnds_Prot#'!$A:$AY,7,FALSE)-VLOOKUP($B39,'NonXtal_SegEnds_Prot#'!$A:$AL,4,FALSE),"-")</f>
        <v>60</v>
      </c>
      <c r="E39" s="2">
        <f>IFERROR(50+VLOOKUP($A39,'Xtal_SegEnds_Prot#'!$A:$AY,9,FALSE)-VLOOKUP($B39,'NonXtal_SegEnds_Prot#'!$A:$AL,7,FALSE),"-")</f>
        <v>47</v>
      </c>
      <c r="F39" s="2">
        <f>IFERROR(50+VLOOKUP($A39,'Xtal_SegEnds_Prot#'!$A:$AY,11,FALSE)-VLOOKUP($B39,'NonXtal_SegEnds_Prot#'!$A:$AL,7,FALSE),"-")</f>
        <v>51</v>
      </c>
      <c r="G39" s="2">
        <f>IFERROR(50+VLOOKUP($A39,'Xtal_SegEnds_Prot#'!$A:$AY,13,FALSE)-VLOOKUP($B39,'NonXtal_SegEnds_Prot#'!$A:$AL,10,FALSE),"-")</f>
        <v>39</v>
      </c>
      <c r="H39" s="2">
        <f>IFERROR(50+VLOOKUP($A39,'Xtal_SegEnds_Prot#'!$A:$AY,15,FALSE)-VLOOKUP($B39,'NonXtal_SegEnds_Prot#'!$A:$AL,10,FALSE),"-")</f>
        <v>63</v>
      </c>
      <c r="I39" s="2" t="str">
        <f>IFERROR(50+VLOOKUP($A39,'Xtal_SegEnds_Prot#'!$A:$AY,17,FALSE)-VLOOKUP($B39,'NonXtal_SegEnds_Prot#'!$A:$AL,13,FALSE),"-")</f>
        <v>-</v>
      </c>
      <c r="J39" s="2" t="str">
        <f>IFERROR(50+VLOOKUP($A39,'Xtal_SegEnds_Prot#'!$A:$AY,19,FALSE)-VLOOKUP($B39,'NonXtal_SegEnds_Prot#'!$A:$AL,13,FALSE),"-")</f>
        <v>-</v>
      </c>
      <c r="K39" s="2">
        <f>IFERROR(50+VLOOKUP($A39,'Xtal_SegEnds_Prot#'!$A:$AY,21,FALSE)-VLOOKUP($B39,'NonXtal_SegEnds_Prot#'!$A:$AL,16,FALSE),"-")</f>
        <v>23</v>
      </c>
      <c r="L39" s="2">
        <f>IFERROR(50+VLOOKUP($A39,'Xtal_SegEnds_Prot#'!$A:$AY,23,FALSE)-VLOOKUP($B39,'NonXtal_SegEnds_Prot#'!$A:$AL,16,FALSE),"-")</f>
        <v>59</v>
      </c>
      <c r="M39" s="2" t="str">
        <f>IFERROR(50+VLOOKUP($A39,'Xtal_SegEnds_Prot#'!$A:$AY,25,FALSE)-VLOOKUP($B39,'NonXtal_SegEnds_Prot#'!$A:$AL,19,FALSE),"-")</f>
        <v>-</v>
      </c>
      <c r="N39" s="2" t="str">
        <f>IFERROR(50+VLOOKUP($A39,'Xtal_SegEnds_Prot#'!$A:$AY,27,FALSE)-VLOOKUP($B39,'NonXtal_SegEnds_Prot#'!$A:$AL,19,FALSE),"-")</f>
        <v>-</v>
      </c>
      <c r="O39" s="2">
        <f>IFERROR(50+VLOOKUP($A39,'Xtal_SegEnds_Prot#'!$A:$AY,29,FALSE)-VLOOKUP($B39,'NonXtal_SegEnds_Prot#'!$A:$AL,22,FALSE),"-")</f>
        <v>38</v>
      </c>
      <c r="P39" s="2">
        <f>IFERROR(50+VLOOKUP($A39,'Xtal_SegEnds_Prot#'!$A:$AY,31,FALSE)-VLOOKUP($B39,'NonXtal_SegEnds_Prot#'!$A:$AL,22,FALSE),"-")</f>
        <v>63</v>
      </c>
      <c r="Q39" s="2">
        <f>IFERROR(50+VLOOKUP($A39,'Xtal_SegEnds_Prot#'!$A:$AY,33,FALSE)-VLOOKUP($B39,'NonXtal_SegEnds_Prot#'!$A:$AL,25,FALSE),"-")</f>
        <v>50</v>
      </c>
      <c r="R39" s="2">
        <f>IFERROR(50+VLOOKUP($A39,'Xtal_SegEnds_Prot#'!$A:$AY,35,FALSE)-VLOOKUP($B39,'NonXtal_SegEnds_Prot#'!$A:$AL,25,FALSE),"-")</f>
        <v>52</v>
      </c>
      <c r="S39" s="2">
        <f>IFERROR(50+VLOOKUP($A39,'Xtal_SegEnds_Prot#'!$A:$AY,37,FALSE)-VLOOKUP($B39,'NonXtal_SegEnds_Prot#'!$A:$AL,28,FALSE),"-")</f>
        <v>36</v>
      </c>
      <c r="T39" s="89">
        <f>IFERROR(50+VLOOKUP($A39,'Xtal_SegEnds_Prot#'!$A:$AY,39,FALSE)-VLOOKUP($B39,'NonXtal_SegEnds_Prot#'!$A:$AL,28,FALSE),"-")</f>
        <v>72</v>
      </c>
      <c r="U39" s="2">
        <f>IFERROR(50+VLOOKUP($A39,'Xtal_SegEnds_Prot#'!$A:$AY,41,FALSE)-VLOOKUP($B39,'NonXtal_SegEnds_Prot#'!$A:$AL,31,FALSE),"-")</f>
        <v>25</v>
      </c>
      <c r="V39" s="2">
        <f>IFERROR(50+VLOOKUP($A39,'Xtal_SegEnds_Prot#'!$A:$AY,43,FALSE)-VLOOKUP($B39,'NonXtal_SegEnds_Prot#'!$A:$AL,31,FALSE),"-")</f>
        <v>75</v>
      </c>
      <c r="W39" s="2">
        <f>IFERROR(50+VLOOKUP($A39,'Xtal_SegEnds_Prot#'!$A:$AY,45,FALSE)-VLOOKUP($B39,'NonXtal_SegEnds_Prot#'!$A:$AL,34,FALSE),"-")</f>
        <v>35</v>
      </c>
      <c r="X39" s="2">
        <f>IFERROR(50+VLOOKUP($A39,'Xtal_SegEnds_Prot#'!$A:$AY,47,FALSE)-VLOOKUP($B39,'NonXtal_SegEnds_Prot#'!$A:$AL,34,FALSE),"-")</f>
        <v>57</v>
      </c>
      <c r="Y39" s="2">
        <f>IFERROR(50+VLOOKUP($A39,'Xtal_SegEnds_Prot#'!$A:$AY,49,FALSE)-VLOOKUP($B39,'NonXtal_SegEnds_Prot#'!$A:$AL,37,FALSE),"-")</f>
        <v>47</v>
      </c>
      <c r="Z39" s="2">
        <f>IFERROR(50+VLOOKUP($A39,'Xtal_SegEnds_Prot#'!$A:$AY,51,FALSE)-VLOOKUP($B39,'NonXtal_SegEnds_Prot#'!$A:$AL,37,FALSE),"-")</f>
        <v>62</v>
      </c>
      <c r="AA39" s="102" t="str">
        <f>VLOOKUP(B39,Classification!A:D,2,FALSE)</f>
        <v>F</v>
      </c>
      <c r="AB39" s="102">
        <f>VLOOKUP(B39,'NonXtal_SegEnds_Prot#'!A:AL,6,FALSE)-VLOOKUP(B39,'NonXtal_SegEnds_Prot#'!A:AL,5,FALSE)</f>
        <v>1</v>
      </c>
      <c r="AC39" s="102">
        <f>VLOOKUP(B39,'NonXtal_SegEnds_Prot#'!A:AL,9,FALSE)-VLOOKUP(B39,'NonXtal_SegEnds_Prot#'!A:AL,8,FALSE)</f>
        <v>1</v>
      </c>
      <c r="AD39" s="102" t="e">
        <f>VLOOKUP(B39,'NonXtal_SegEnds_Prot#'!A:AL,13,FALSE)-VLOOKUP(B39,'NonXtal_SegEnds_Prot#'!A:AL,10,FALSE)</f>
        <v>#VALUE!</v>
      </c>
      <c r="AE39" s="102" t="e">
        <f>VLOOKUP(B39,'NonXtal_SegEnds_Prot#'!A:AL,12,FALSE)-VLOOKUP(B39,'NonXtal_SegEnds_Prot#'!A:AL,11,FALSE)</f>
        <v>#VALUE!</v>
      </c>
      <c r="AF39" s="102" t="e">
        <f>VLOOKUP(B39,'NonXtal_SegEnds_Prot#'!A:AL,13,FALSE)-VLOOKUP(B39,'NonXtal_SegEnds_Prot#'!A:AL,11,FALSE)</f>
        <v>#VALUE!</v>
      </c>
      <c r="AG39" s="102">
        <f>VLOOKUP(B39,'NonXtal_SegEnds_Prot#'!A:AL,16,FALSE)-VLOOKUP(B39,'NonXtal_SegEnds_Prot#'!A:AL,10,FALSE)</f>
        <v>67</v>
      </c>
      <c r="AH39" s="102">
        <f>VLOOKUP(B39,'NonXtal_SegEnds_Prot#'!A:AL,16,FALSE)-VLOOKUP(B39,'NonXtal_SegEnds_Prot#'!A:AL,11,FALSE)</f>
        <v>54</v>
      </c>
      <c r="AI39" s="102" t="e">
        <f>VLOOKUP(B39,'NonXtal_SegEnds_Prot#'!A:AL,15,FALSE)-VLOOKUP(B39,'NonXtal_SegEnds_Prot#'!A:AL,14,FALSE)</f>
        <v>#VALUE!</v>
      </c>
      <c r="AJ39" s="102" t="e">
        <f>VLOOKUP(B39,'NonXtal_SegEnds_Prot#'!A:AL,18,FALSE)-VLOOKUP(B39,'NonXtal_SegEnds_Prot#'!A:AL,17,FALSE)</f>
        <v>#VALUE!</v>
      </c>
      <c r="AK39" s="2">
        <f>VLOOKUP(B39,'NonXtal_SegEnds_Prot#'!A:AL,34,FALSE)-VLOOKUP(B39,'NonXtal_SegEnds_Prot#'!A:AL,31,FALSE)</f>
        <v>62</v>
      </c>
      <c r="AL39" s="86"/>
    </row>
    <row r="40" spans="1:62" x14ac:dyDescent="0.2"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89"/>
      <c r="U40" s="2"/>
      <c r="V40" s="2"/>
      <c r="W40" s="2"/>
      <c r="X40" s="2"/>
      <c r="Y40" s="2"/>
      <c r="Z40" s="2"/>
    </row>
    <row r="41" spans="1:62" x14ac:dyDescent="0.2"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89"/>
      <c r="U41" s="2"/>
      <c r="V41" s="2"/>
      <c r="W41" s="2"/>
      <c r="X41" s="2"/>
      <c r="Y41" s="2"/>
      <c r="Z41" s="2"/>
      <c r="AL41" s="87"/>
      <c r="AM41" s="73" t="s">
        <v>1267</v>
      </c>
      <c r="AN41" s="73" t="s">
        <v>1268</v>
      </c>
      <c r="AO41" s="73" t="s">
        <v>1284</v>
      </c>
      <c r="AP41" s="73" t="s">
        <v>1285</v>
      </c>
      <c r="AQ41" s="73" t="s">
        <v>1269</v>
      </c>
      <c r="AR41" s="73" t="s">
        <v>1270</v>
      </c>
      <c r="AS41" s="73" t="s">
        <v>1286</v>
      </c>
      <c r="AT41" s="73" t="s">
        <v>1287</v>
      </c>
      <c r="AU41" s="73" t="s">
        <v>1271</v>
      </c>
      <c r="AV41" s="73" t="s">
        <v>1272</v>
      </c>
      <c r="AW41" s="73" t="s">
        <v>1299</v>
      </c>
      <c r="AX41" s="73" t="s">
        <v>1300</v>
      </c>
      <c r="AY41" s="73" t="s">
        <v>1273</v>
      </c>
      <c r="AZ41" s="73" t="s">
        <v>1274</v>
      </c>
      <c r="BA41" s="73" t="s">
        <v>1302</v>
      </c>
      <c r="BB41" s="73" t="s">
        <v>1303</v>
      </c>
      <c r="BC41" s="73" t="s">
        <v>1275</v>
      </c>
      <c r="BD41" s="73" t="s">
        <v>1276</v>
      </c>
      <c r="BE41" s="73" t="s">
        <v>1277</v>
      </c>
      <c r="BF41" s="73" t="s">
        <v>1278</v>
      </c>
      <c r="BG41" s="73" t="s">
        <v>1279</v>
      </c>
      <c r="BH41" s="73" t="s">
        <v>1280</v>
      </c>
      <c r="BI41" s="73" t="s">
        <v>1281</v>
      </c>
      <c r="BJ41" s="73" t="s">
        <v>1282</v>
      </c>
    </row>
    <row r="42" spans="1:62" x14ac:dyDescent="0.2"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89"/>
      <c r="U42" s="2"/>
      <c r="V42" s="2"/>
      <c r="W42" s="2"/>
      <c r="X42" s="2"/>
      <c r="Y42" s="2"/>
      <c r="Z42" s="2"/>
      <c r="AL42" s="87" t="s">
        <v>9</v>
      </c>
      <c r="AM42" s="4">
        <f t="shared" ref="AM42:BJ42" si="0">MAX(C2:C34)</f>
        <v>34</v>
      </c>
      <c r="AN42" s="4">
        <f t="shared" si="0"/>
        <v>64</v>
      </c>
      <c r="AO42" s="4">
        <f t="shared" si="0"/>
        <v>48</v>
      </c>
      <c r="AP42" s="4">
        <f t="shared" si="0"/>
        <v>53</v>
      </c>
      <c r="AQ42" s="4">
        <f t="shared" si="0"/>
        <v>39</v>
      </c>
      <c r="AR42" s="4">
        <f t="shared" si="0"/>
        <v>69</v>
      </c>
      <c r="AS42" s="4">
        <f t="shared" si="0"/>
        <v>50</v>
      </c>
      <c r="AT42" s="4">
        <f t="shared" si="0"/>
        <v>53</v>
      </c>
      <c r="AU42" s="4">
        <f t="shared" si="0"/>
        <v>23</v>
      </c>
      <c r="AV42" s="4">
        <f t="shared" si="0"/>
        <v>56</v>
      </c>
      <c r="AW42" s="4">
        <f t="shared" si="0"/>
        <v>50</v>
      </c>
      <c r="AX42" s="4">
        <f t="shared" si="0"/>
        <v>58</v>
      </c>
      <c r="AY42" s="4">
        <f t="shared" si="0"/>
        <v>40</v>
      </c>
      <c r="AZ42" s="4">
        <f t="shared" si="0"/>
        <v>69</v>
      </c>
      <c r="BA42" s="4">
        <f t="shared" si="0"/>
        <v>50</v>
      </c>
      <c r="BB42" s="4">
        <f t="shared" si="0"/>
        <v>52</v>
      </c>
      <c r="BC42" s="4">
        <f t="shared" si="0"/>
        <v>39</v>
      </c>
      <c r="BD42" s="4">
        <f t="shared" si="0"/>
        <v>77</v>
      </c>
      <c r="BE42" s="4">
        <f t="shared" si="0"/>
        <v>33</v>
      </c>
      <c r="BF42" s="4">
        <f t="shared" si="0"/>
        <v>65</v>
      </c>
      <c r="BG42" s="4">
        <f t="shared" si="0"/>
        <v>34</v>
      </c>
      <c r="BH42" s="4">
        <f t="shared" si="0"/>
        <v>63</v>
      </c>
      <c r="BI42" s="4">
        <f t="shared" si="0"/>
        <v>47</v>
      </c>
      <c r="BJ42" s="4">
        <f t="shared" si="0"/>
        <v>72</v>
      </c>
    </row>
    <row r="43" spans="1:62" x14ac:dyDescent="0.2"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89"/>
      <c r="U43" s="2"/>
      <c r="V43" s="2"/>
      <c r="W43" s="2"/>
      <c r="X43" s="2"/>
      <c r="Y43" s="2"/>
      <c r="Z43" s="2"/>
      <c r="AM43" s="4">
        <f t="shared" ref="AM43:BJ43" si="1">MIN(C2:C34)</f>
        <v>19</v>
      </c>
      <c r="AN43" s="4">
        <f t="shared" si="1"/>
        <v>60</v>
      </c>
      <c r="AO43" s="4">
        <f t="shared" si="1"/>
        <v>47</v>
      </c>
      <c r="AP43" s="4">
        <f t="shared" si="1"/>
        <v>51</v>
      </c>
      <c r="AQ43" s="4">
        <f t="shared" si="1"/>
        <v>34</v>
      </c>
      <c r="AR43" s="4">
        <f t="shared" si="1"/>
        <v>61</v>
      </c>
      <c r="AS43" s="4">
        <f t="shared" si="1"/>
        <v>47</v>
      </c>
      <c r="AT43" s="4">
        <f t="shared" si="1"/>
        <v>52</v>
      </c>
      <c r="AU43" s="4">
        <f t="shared" si="1"/>
        <v>18</v>
      </c>
      <c r="AV43" s="4">
        <f t="shared" si="1"/>
        <v>54</v>
      </c>
      <c r="AW43" s="4">
        <f t="shared" si="1"/>
        <v>50</v>
      </c>
      <c r="AX43" s="4">
        <f t="shared" si="1"/>
        <v>56</v>
      </c>
      <c r="AY43" s="4">
        <f t="shared" si="1"/>
        <v>38</v>
      </c>
      <c r="AZ43" s="4">
        <f t="shared" si="1"/>
        <v>62</v>
      </c>
      <c r="BA43" s="4">
        <f t="shared" si="1"/>
        <v>50</v>
      </c>
      <c r="BB43" s="4">
        <f t="shared" si="1"/>
        <v>52</v>
      </c>
      <c r="BC43" s="4">
        <f t="shared" si="1"/>
        <v>30</v>
      </c>
      <c r="BD43" s="4">
        <f t="shared" si="1"/>
        <v>61</v>
      </c>
      <c r="BE43" s="4">
        <f t="shared" si="1"/>
        <v>18</v>
      </c>
      <c r="BF43" s="4">
        <f t="shared" si="1"/>
        <v>53</v>
      </c>
      <c r="BG43" s="4">
        <f t="shared" si="1"/>
        <v>24</v>
      </c>
      <c r="BH43" s="4">
        <f t="shared" si="1"/>
        <v>55</v>
      </c>
      <c r="BI43" s="4">
        <f t="shared" si="1"/>
        <v>47</v>
      </c>
      <c r="BJ43" s="4">
        <f t="shared" si="1"/>
        <v>57</v>
      </c>
    </row>
    <row r="44" spans="1:62" x14ac:dyDescent="0.2"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89"/>
      <c r="U44" s="2"/>
      <c r="V44" s="2"/>
      <c r="W44" s="2"/>
      <c r="X44" s="2"/>
      <c r="Y44" s="2"/>
      <c r="Z44" s="2"/>
      <c r="AM44" s="4">
        <f t="shared" ref="AM44:BJ44" si="2">AM42-AM43</f>
        <v>15</v>
      </c>
      <c r="AN44" s="4">
        <f t="shared" si="2"/>
        <v>4</v>
      </c>
      <c r="AO44" s="4">
        <f t="shared" si="2"/>
        <v>1</v>
      </c>
      <c r="AP44" s="4">
        <f t="shared" si="2"/>
        <v>2</v>
      </c>
      <c r="AQ44" s="4">
        <f t="shared" si="2"/>
        <v>5</v>
      </c>
      <c r="AR44" s="4">
        <f t="shared" si="2"/>
        <v>8</v>
      </c>
      <c r="AS44" s="4">
        <f t="shared" si="2"/>
        <v>3</v>
      </c>
      <c r="AT44" s="4">
        <f t="shared" si="2"/>
        <v>1</v>
      </c>
      <c r="AU44" s="4">
        <f t="shared" si="2"/>
        <v>5</v>
      </c>
      <c r="AV44" s="4">
        <f t="shared" si="2"/>
        <v>2</v>
      </c>
      <c r="AW44" s="4">
        <f t="shared" si="2"/>
        <v>0</v>
      </c>
      <c r="AX44" s="4">
        <f t="shared" si="2"/>
        <v>2</v>
      </c>
      <c r="AY44" s="4">
        <f t="shared" si="2"/>
        <v>2</v>
      </c>
      <c r="AZ44" s="4">
        <f t="shared" si="2"/>
        <v>7</v>
      </c>
      <c r="BA44" s="4">
        <f t="shared" si="2"/>
        <v>0</v>
      </c>
      <c r="BB44" s="4">
        <f t="shared" si="2"/>
        <v>0</v>
      </c>
      <c r="BC44" s="4">
        <f t="shared" si="2"/>
        <v>9</v>
      </c>
      <c r="BD44" s="4">
        <f t="shared" si="2"/>
        <v>16</v>
      </c>
      <c r="BE44" s="4">
        <f t="shared" si="2"/>
        <v>15</v>
      </c>
      <c r="BF44" s="4">
        <f t="shared" si="2"/>
        <v>12</v>
      </c>
      <c r="BG44" s="4">
        <f t="shared" si="2"/>
        <v>10</v>
      </c>
      <c r="BH44" s="4">
        <f t="shared" si="2"/>
        <v>8</v>
      </c>
      <c r="BI44" s="4">
        <f t="shared" si="2"/>
        <v>0</v>
      </c>
      <c r="BJ44" s="4">
        <f t="shared" si="2"/>
        <v>15</v>
      </c>
    </row>
    <row r="45" spans="1:62" x14ac:dyDescent="0.2"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89"/>
      <c r="U45" s="2"/>
      <c r="V45" s="2"/>
      <c r="W45" s="2"/>
      <c r="X45" s="2"/>
      <c r="Y45" s="2"/>
      <c r="Z45" s="2"/>
      <c r="AL45" s="87" t="s">
        <v>1508</v>
      </c>
      <c r="AM45" s="4">
        <f t="shared" ref="AM45:BJ45" si="3">MAX(C35:C36)</f>
        <v>24</v>
      </c>
      <c r="AN45" s="4">
        <f t="shared" si="3"/>
        <v>60</v>
      </c>
      <c r="AO45" s="4">
        <f t="shared" si="3"/>
        <v>48</v>
      </c>
      <c r="AP45" s="4">
        <f t="shared" si="3"/>
        <v>52</v>
      </c>
      <c r="AQ45" s="4">
        <f t="shared" si="3"/>
        <v>38</v>
      </c>
      <c r="AR45" s="4">
        <f t="shared" si="3"/>
        <v>67</v>
      </c>
      <c r="AS45" s="4">
        <f t="shared" si="3"/>
        <v>49</v>
      </c>
      <c r="AT45" s="4">
        <f t="shared" si="3"/>
        <v>52</v>
      </c>
      <c r="AU45" s="4">
        <f t="shared" si="3"/>
        <v>21</v>
      </c>
      <c r="AV45" s="4">
        <f t="shared" si="3"/>
        <v>56</v>
      </c>
      <c r="AW45" s="4">
        <f t="shared" si="3"/>
        <v>50</v>
      </c>
      <c r="AX45" s="4">
        <f t="shared" si="3"/>
        <v>57</v>
      </c>
      <c r="AY45" s="4">
        <f t="shared" si="3"/>
        <v>39</v>
      </c>
      <c r="AZ45" s="4">
        <f t="shared" si="3"/>
        <v>64</v>
      </c>
      <c r="BA45" s="4">
        <f t="shared" si="3"/>
        <v>50</v>
      </c>
      <c r="BB45" s="4">
        <f t="shared" si="3"/>
        <v>52</v>
      </c>
      <c r="BC45" s="4">
        <f t="shared" si="3"/>
        <v>32</v>
      </c>
      <c r="BD45" s="4">
        <f t="shared" si="3"/>
        <v>72</v>
      </c>
      <c r="BE45" s="4">
        <f t="shared" si="3"/>
        <v>30</v>
      </c>
      <c r="BF45" s="4">
        <f t="shared" si="3"/>
        <v>64</v>
      </c>
      <c r="BG45" s="4">
        <f t="shared" si="3"/>
        <v>24</v>
      </c>
      <c r="BH45" s="4">
        <f t="shared" si="3"/>
        <v>56</v>
      </c>
      <c r="BI45" s="4">
        <f t="shared" si="3"/>
        <v>47</v>
      </c>
      <c r="BJ45" s="4">
        <f t="shared" si="3"/>
        <v>60</v>
      </c>
    </row>
    <row r="46" spans="1:62" x14ac:dyDescent="0.2"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89"/>
      <c r="U46" s="2"/>
      <c r="V46" s="2"/>
      <c r="W46" s="2"/>
      <c r="X46" s="2"/>
      <c r="Y46" s="2"/>
      <c r="Z46" s="2"/>
      <c r="AM46" s="4">
        <f t="shared" ref="AM46:BJ46" si="4">MIN(C35:C36)</f>
        <v>22</v>
      </c>
      <c r="AN46" s="4">
        <f t="shared" si="4"/>
        <v>60</v>
      </c>
      <c r="AO46" s="4">
        <f t="shared" si="4"/>
        <v>48</v>
      </c>
      <c r="AP46" s="4">
        <f t="shared" si="4"/>
        <v>51</v>
      </c>
      <c r="AQ46" s="4">
        <f t="shared" si="4"/>
        <v>37</v>
      </c>
      <c r="AR46" s="4">
        <f t="shared" si="4"/>
        <v>66</v>
      </c>
      <c r="AS46" s="4">
        <f t="shared" si="4"/>
        <v>49</v>
      </c>
      <c r="AT46" s="4">
        <f t="shared" si="4"/>
        <v>52</v>
      </c>
      <c r="AU46" s="4">
        <f t="shared" si="4"/>
        <v>21</v>
      </c>
      <c r="AV46" s="4">
        <f t="shared" si="4"/>
        <v>56</v>
      </c>
      <c r="AW46" s="4">
        <f t="shared" si="4"/>
        <v>50</v>
      </c>
      <c r="AX46" s="4">
        <f t="shared" si="4"/>
        <v>57</v>
      </c>
      <c r="AY46" s="4">
        <f t="shared" si="4"/>
        <v>39</v>
      </c>
      <c r="AZ46" s="4">
        <f t="shared" si="4"/>
        <v>64</v>
      </c>
      <c r="BA46" s="4">
        <f t="shared" si="4"/>
        <v>50</v>
      </c>
      <c r="BB46" s="4">
        <f t="shared" si="4"/>
        <v>52</v>
      </c>
      <c r="BC46" s="4">
        <f t="shared" si="4"/>
        <v>29</v>
      </c>
      <c r="BD46" s="4">
        <f t="shared" si="4"/>
        <v>68</v>
      </c>
      <c r="BE46" s="4">
        <f t="shared" si="4"/>
        <v>24</v>
      </c>
      <c r="BF46" s="4">
        <f t="shared" si="4"/>
        <v>62</v>
      </c>
      <c r="BG46" s="4">
        <f t="shared" si="4"/>
        <v>24</v>
      </c>
      <c r="BH46" s="4">
        <f t="shared" si="4"/>
        <v>56</v>
      </c>
      <c r="BI46" s="4">
        <f t="shared" si="4"/>
        <v>47</v>
      </c>
      <c r="BJ46" s="4">
        <f t="shared" si="4"/>
        <v>59</v>
      </c>
    </row>
    <row r="47" spans="1:62" x14ac:dyDescent="0.2"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89"/>
      <c r="U47" s="2"/>
      <c r="V47" s="2"/>
      <c r="W47" s="2"/>
      <c r="X47" s="2"/>
      <c r="Y47" s="2"/>
      <c r="Z47" s="2"/>
      <c r="AM47" s="4">
        <f t="shared" ref="AM47:BJ47" si="5">AM45-AM46</f>
        <v>2</v>
      </c>
      <c r="AN47" s="4">
        <f t="shared" si="5"/>
        <v>0</v>
      </c>
      <c r="AO47" s="4">
        <f t="shared" si="5"/>
        <v>0</v>
      </c>
      <c r="AP47" s="4">
        <f t="shared" si="5"/>
        <v>1</v>
      </c>
      <c r="AQ47" s="4">
        <f t="shared" si="5"/>
        <v>1</v>
      </c>
      <c r="AR47" s="4">
        <f t="shared" si="5"/>
        <v>1</v>
      </c>
      <c r="AS47" s="4">
        <f t="shared" si="5"/>
        <v>0</v>
      </c>
      <c r="AT47" s="4">
        <f t="shared" si="5"/>
        <v>0</v>
      </c>
      <c r="AU47" s="4">
        <f t="shared" si="5"/>
        <v>0</v>
      </c>
      <c r="AV47" s="4">
        <f t="shared" si="5"/>
        <v>0</v>
      </c>
      <c r="AW47" s="4">
        <f t="shared" si="5"/>
        <v>0</v>
      </c>
      <c r="AX47" s="4">
        <f t="shared" si="5"/>
        <v>0</v>
      </c>
      <c r="AY47" s="4">
        <f t="shared" si="5"/>
        <v>0</v>
      </c>
      <c r="AZ47" s="4">
        <f t="shared" si="5"/>
        <v>0</v>
      </c>
      <c r="BA47" s="4">
        <f t="shared" si="5"/>
        <v>0</v>
      </c>
      <c r="BB47" s="4">
        <f t="shared" si="5"/>
        <v>0</v>
      </c>
      <c r="BC47" s="4">
        <f t="shared" si="5"/>
        <v>3</v>
      </c>
      <c r="BD47" s="4">
        <f t="shared" si="5"/>
        <v>4</v>
      </c>
      <c r="BE47" s="4">
        <f t="shared" si="5"/>
        <v>6</v>
      </c>
      <c r="BF47" s="4">
        <f t="shared" si="5"/>
        <v>2</v>
      </c>
      <c r="BG47" s="4">
        <f t="shared" si="5"/>
        <v>0</v>
      </c>
      <c r="BH47" s="4">
        <f t="shared" si="5"/>
        <v>0</v>
      </c>
      <c r="BI47" s="4">
        <f t="shared" si="5"/>
        <v>0</v>
      </c>
      <c r="BJ47" s="4">
        <f t="shared" si="5"/>
        <v>1</v>
      </c>
    </row>
    <row r="48" spans="1:62" x14ac:dyDescent="0.2"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89"/>
      <c r="U48" s="2"/>
      <c r="V48" s="2"/>
      <c r="W48" s="2"/>
      <c r="X48" s="2"/>
      <c r="Y48" s="2"/>
      <c r="Z48" s="2"/>
      <c r="AL48" s="87" t="s">
        <v>184</v>
      </c>
      <c r="AM48" s="4">
        <f t="shared" ref="AM48:BJ48" si="6">MAX(C37:C38)</f>
        <v>30</v>
      </c>
      <c r="AN48" s="4">
        <f t="shared" si="6"/>
        <v>60</v>
      </c>
      <c r="AO48" s="4">
        <f t="shared" si="6"/>
        <v>48</v>
      </c>
      <c r="AP48" s="4">
        <f t="shared" si="6"/>
        <v>51</v>
      </c>
      <c r="AQ48" s="4">
        <f t="shared" si="6"/>
        <v>37</v>
      </c>
      <c r="AR48" s="4">
        <f t="shared" si="6"/>
        <v>66</v>
      </c>
      <c r="AS48" s="4">
        <f t="shared" si="6"/>
        <v>49</v>
      </c>
      <c r="AT48" s="4">
        <f t="shared" si="6"/>
        <v>52</v>
      </c>
      <c r="AU48" s="4">
        <f t="shared" si="6"/>
        <v>24</v>
      </c>
      <c r="AV48" s="4">
        <f t="shared" si="6"/>
        <v>56</v>
      </c>
      <c r="AW48" s="4">
        <f t="shared" si="6"/>
        <v>50</v>
      </c>
      <c r="AX48" s="4">
        <f t="shared" si="6"/>
        <v>57</v>
      </c>
      <c r="AY48" s="4">
        <f t="shared" si="6"/>
        <v>39</v>
      </c>
      <c r="AZ48" s="4">
        <f t="shared" si="6"/>
        <v>64</v>
      </c>
      <c r="BA48" s="4">
        <f t="shared" si="6"/>
        <v>50</v>
      </c>
      <c r="BB48" s="4">
        <f t="shared" si="6"/>
        <v>52</v>
      </c>
      <c r="BC48" s="4">
        <f t="shared" si="6"/>
        <v>32</v>
      </c>
      <c r="BD48" s="4">
        <f t="shared" si="6"/>
        <v>68</v>
      </c>
      <c r="BE48" s="4">
        <f t="shared" si="6"/>
        <v>29</v>
      </c>
      <c r="BF48" s="4">
        <f t="shared" si="6"/>
        <v>64</v>
      </c>
      <c r="BG48" s="4">
        <f t="shared" si="6"/>
        <v>24</v>
      </c>
      <c r="BH48" s="4">
        <f t="shared" si="6"/>
        <v>56</v>
      </c>
      <c r="BI48" s="4">
        <f t="shared" si="6"/>
        <v>47</v>
      </c>
      <c r="BJ48" s="4">
        <f t="shared" si="6"/>
        <v>62</v>
      </c>
    </row>
    <row r="49" spans="3:62" x14ac:dyDescent="0.2"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89"/>
      <c r="U49" s="2"/>
      <c r="V49" s="2"/>
      <c r="W49" s="2"/>
      <c r="X49" s="2"/>
      <c r="Y49" s="2"/>
      <c r="Z49" s="2"/>
      <c r="AM49" s="4">
        <f t="shared" ref="AM49:BJ49" si="7">MIN(C37:C38)</f>
        <v>25</v>
      </c>
      <c r="AN49" s="4">
        <f t="shared" si="7"/>
        <v>60</v>
      </c>
      <c r="AO49" s="4">
        <f t="shared" si="7"/>
        <v>48</v>
      </c>
      <c r="AP49" s="4">
        <f t="shared" si="7"/>
        <v>51</v>
      </c>
      <c r="AQ49" s="4">
        <f t="shared" si="7"/>
        <v>37</v>
      </c>
      <c r="AR49" s="4">
        <f t="shared" si="7"/>
        <v>66</v>
      </c>
      <c r="AS49" s="4">
        <f t="shared" si="7"/>
        <v>49</v>
      </c>
      <c r="AT49" s="4">
        <f t="shared" si="7"/>
        <v>52</v>
      </c>
      <c r="AU49" s="4">
        <f t="shared" si="7"/>
        <v>21</v>
      </c>
      <c r="AV49" s="4">
        <f t="shared" si="7"/>
        <v>56</v>
      </c>
      <c r="AW49" s="4">
        <f t="shared" si="7"/>
        <v>50</v>
      </c>
      <c r="AX49" s="4">
        <f t="shared" si="7"/>
        <v>57</v>
      </c>
      <c r="AY49" s="4">
        <f t="shared" si="7"/>
        <v>39</v>
      </c>
      <c r="AZ49" s="4">
        <f t="shared" si="7"/>
        <v>63</v>
      </c>
      <c r="BA49" s="4">
        <f t="shared" si="7"/>
        <v>50</v>
      </c>
      <c r="BB49" s="4">
        <f t="shared" si="7"/>
        <v>52</v>
      </c>
      <c r="BC49" s="4">
        <f t="shared" si="7"/>
        <v>32</v>
      </c>
      <c r="BD49" s="4">
        <f t="shared" si="7"/>
        <v>68</v>
      </c>
      <c r="BE49" s="4">
        <f t="shared" si="7"/>
        <v>28</v>
      </c>
      <c r="BF49" s="4">
        <f t="shared" si="7"/>
        <v>64</v>
      </c>
      <c r="BG49" s="4">
        <f t="shared" si="7"/>
        <v>24</v>
      </c>
      <c r="BH49" s="4">
        <f t="shared" si="7"/>
        <v>56</v>
      </c>
      <c r="BI49" s="4">
        <f t="shared" si="7"/>
        <v>47</v>
      </c>
      <c r="BJ49" s="4">
        <f t="shared" si="7"/>
        <v>59</v>
      </c>
    </row>
    <row r="50" spans="3:62" x14ac:dyDescent="0.2"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89"/>
      <c r="U50" s="2"/>
      <c r="V50" s="2"/>
      <c r="W50" s="2"/>
      <c r="X50" s="2"/>
      <c r="Y50" s="2"/>
      <c r="Z50" s="2"/>
      <c r="AM50" s="4">
        <f t="shared" ref="AM50:BJ50" si="8">AM48-AM49</f>
        <v>5</v>
      </c>
      <c r="AN50" s="4">
        <f t="shared" si="8"/>
        <v>0</v>
      </c>
      <c r="AO50" s="4">
        <f t="shared" si="8"/>
        <v>0</v>
      </c>
      <c r="AP50" s="4">
        <f t="shared" si="8"/>
        <v>0</v>
      </c>
      <c r="AQ50" s="4">
        <f t="shared" si="8"/>
        <v>0</v>
      </c>
      <c r="AR50" s="4">
        <f t="shared" si="8"/>
        <v>0</v>
      </c>
      <c r="AS50" s="4">
        <f t="shared" si="8"/>
        <v>0</v>
      </c>
      <c r="AT50" s="4">
        <f t="shared" si="8"/>
        <v>0</v>
      </c>
      <c r="AU50" s="4">
        <f t="shared" si="8"/>
        <v>3</v>
      </c>
      <c r="AV50" s="4">
        <f t="shared" si="8"/>
        <v>0</v>
      </c>
      <c r="AW50" s="4">
        <f t="shared" si="8"/>
        <v>0</v>
      </c>
      <c r="AX50" s="4">
        <f t="shared" si="8"/>
        <v>0</v>
      </c>
      <c r="AY50" s="4">
        <f t="shared" si="8"/>
        <v>0</v>
      </c>
      <c r="AZ50" s="4">
        <f t="shared" si="8"/>
        <v>1</v>
      </c>
      <c r="BA50" s="4">
        <f t="shared" si="8"/>
        <v>0</v>
      </c>
      <c r="BB50" s="4">
        <f t="shared" si="8"/>
        <v>0</v>
      </c>
      <c r="BC50" s="4">
        <f t="shared" si="8"/>
        <v>0</v>
      </c>
      <c r="BD50" s="4">
        <f t="shared" si="8"/>
        <v>0</v>
      </c>
      <c r="BE50" s="4">
        <f t="shared" si="8"/>
        <v>1</v>
      </c>
      <c r="BF50" s="4">
        <f t="shared" si="8"/>
        <v>0</v>
      </c>
      <c r="BG50" s="4">
        <f t="shared" si="8"/>
        <v>0</v>
      </c>
      <c r="BH50" s="4">
        <f t="shared" si="8"/>
        <v>0</v>
      </c>
      <c r="BI50" s="4">
        <f t="shared" si="8"/>
        <v>0</v>
      </c>
      <c r="BJ50" s="4">
        <f t="shared" si="8"/>
        <v>3</v>
      </c>
    </row>
    <row r="51" spans="3:62" x14ac:dyDescent="0.2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89"/>
      <c r="U51" s="2"/>
      <c r="V51" s="2"/>
      <c r="W51" s="2"/>
      <c r="X51" s="2"/>
      <c r="Y51" s="2"/>
      <c r="Z51" s="2"/>
      <c r="AL51" s="87" t="s">
        <v>197</v>
      </c>
      <c r="AM51" s="4">
        <f t="shared" ref="AM51:BJ51" si="9">MAX(C39)</f>
        <v>29</v>
      </c>
      <c r="AN51" s="4">
        <f t="shared" si="9"/>
        <v>60</v>
      </c>
      <c r="AO51" s="4">
        <f t="shared" si="9"/>
        <v>47</v>
      </c>
      <c r="AP51" s="4">
        <f t="shared" si="9"/>
        <v>51</v>
      </c>
      <c r="AQ51" s="4">
        <f t="shared" si="9"/>
        <v>39</v>
      </c>
      <c r="AR51" s="4">
        <f t="shared" si="9"/>
        <v>63</v>
      </c>
      <c r="AS51" s="4">
        <f t="shared" si="9"/>
        <v>0</v>
      </c>
      <c r="AT51" s="4">
        <f t="shared" si="9"/>
        <v>0</v>
      </c>
      <c r="AU51" s="4">
        <f t="shared" si="9"/>
        <v>23</v>
      </c>
      <c r="AV51" s="4">
        <f t="shared" si="9"/>
        <v>59</v>
      </c>
      <c r="AW51" s="4">
        <f t="shared" si="9"/>
        <v>0</v>
      </c>
      <c r="AX51" s="4">
        <f t="shared" si="9"/>
        <v>0</v>
      </c>
      <c r="AY51" s="4">
        <f t="shared" si="9"/>
        <v>38</v>
      </c>
      <c r="AZ51" s="4">
        <f t="shared" si="9"/>
        <v>63</v>
      </c>
      <c r="BA51" s="4">
        <f t="shared" si="9"/>
        <v>50</v>
      </c>
      <c r="BB51" s="4">
        <f t="shared" si="9"/>
        <v>52</v>
      </c>
      <c r="BC51" s="4">
        <f t="shared" si="9"/>
        <v>36</v>
      </c>
      <c r="BD51" s="4">
        <f t="shared" si="9"/>
        <v>72</v>
      </c>
      <c r="BE51" s="4">
        <f t="shared" si="9"/>
        <v>25</v>
      </c>
      <c r="BF51" s="4">
        <f t="shared" si="9"/>
        <v>75</v>
      </c>
      <c r="BG51" s="4">
        <f t="shared" si="9"/>
        <v>35</v>
      </c>
      <c r="BH51" s="4">
        <f t="shared" si="9"/>
        <v>57</v>
      </c>
      <c r="BI51" s="4">
        <f t="shared" si="9"/>
        <v>47</v>
      </c>
      <c r="BJ51" s="4">
        <f t="shared" si="9"/>
        <v>62</v>
      </c>
    </row>
    <row r="52" spans="3:62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89"/>
      <c r="U52" s="2"/>
      <c r="V52" s="2"/>
      <c r="W52" s="2"/>
      <c r="X52" s="2"/>
      <c r="Y52" s="2"/>
      <c r="Z52" s="2"/>
      <c r="AM52" s="4">
        <f t="shared" ref="AM52:BJ52" si="10">MIN(C39)</f>
        <v>29</v>
      </c>
      <c r="AN52" s="4">
        <f t="shared" si="10"/>
        <v>60</v>
      </c>
      <c r="AO52" s="4">
        <f t="shared" si="10"/>
        <v>47</v>
      </c>
      <c r="AP52" s="4">
        <f t="shared" si="10"/>
        <v>51</v>
      </c>
      <c r="AQ52" s="4">
        <f t="shared" si="10"/>
        <v>39</v>
      </c>
      <c r="AR52" s="4">
        <f t="shared" si="10"/>
        <v>63</v>
      </c>
      <c r="AS52" s="4">
        <f t="shared" si="10"/>
        <v>0</v>
      </c>
      <c r="AT52" s="4">
        <f t="shared" si="10"/>
        <v>0</v>
      </c>
      <c r="AU52" s="4">
        <f t="shared" si="10"/>
        <v>23</v>
      </c>
      <c r="AV52" s="4">
        <f t="shared" si="10"/>
        <v>59</v>
      </c>
      <c r="AW52" s="4">
        <f t="shared" si="10"/>
        <v>0</v>
      </c>
      <c r="AX52" s="4">
        <f t="shared" si="10"/>
        <v>0</v>
      </c>
      <c r="AY52" s="4">
        <f t="shared" si="10"/>
        <v>38</v>
      </c>
      <c r="AZ52" s="4">
        <f t="shared" si="10"/>
        <v>63</v>
      </c>
      <c r="BA52" s="4">
        <f t="shared" si="10"/>
        <v>50</v>
      </c>
      <c r="BB52" s="4">
        <f t="shared" si="10"/>
        <v>52</v>
      </c>
      <c r="BC52" s="4">
        <f t="shared" si="10"/>
        <v>36</v>
      </c>
      <c r="BD52" s="4">
        <f t="shared" si="10"/>
        <v>72</v>
      </c>
      <c r="BE52" s="4">
        <f t="shared" si="10"/>
        <v>25</v>
      </c>
      <c r="BF52" s="4">
        <f t="shared" si="10"/>
        <v>75</v>
      </c>
      <c r="BG52" s="4">
        <f t="shared" si="10"/>
        <v>35</v>
      </c>
      <c r="BH52" s="4">
        <f t="shared" si="10"/>
        <v>57</v>
      </c>
      <c r="BI52" s="4">
        <f t="shared" si="10"/>
        <v>47</v>
      </c>
      <c r="BJ52" s="4">
        <f t="shared" si="10"/>
        <v>62</v>
      </c>
    </row>
    <row r="53" spans="3:62" x14ac:dyDescent="0.2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89"/>
      <c r="U53" s="2"/>
      <c r="V53" s="2"/>
      <c r="W53" s="2"/>
      <c r="X53" s="2"/>
      <c r="Y53" s="2"/>
      <c r="Z53" s="2"/>
      <c r="AM53" s="4">
        <f t="shared" ref="AM53:BJ53" si="11">AM51-AM52</f>
        <v>0</v>
      </c>
      <c r="AN53" s="4">
        <f t="shared" si="11"/>
        <v>0</v>
      </c>
      <c r="AO53" s="4">
        <f t="shared" si="11"/>
        <v>0</v>
      </c>
      <c r="AP53" s="4">
        <f t="shared" si="11"/>
        <v>0</v>
      </c>
      <c r="AQ53" s="4">
        <f t="shared" si="11"/>
        <v>0</v>
      </c>
      <c r="AR53" s="4">
        <f t="shared" si="11"/>
        <v>0</v>
      </c>
      <c r="AS53" s="4">
        <f t="shared" si="11"/>
        <v>0</v>
      </c>
      <c r="AT53" s="4">
        <f t="shared" si="11"/>
        <v>0</v>
      </c>
      <c r="AU53" s="4">
        <f t="shared" si="11"/>
        <v>0</v>
      </c>
      <c r="AV53" s="4">
        <f t="shared" si="11"/>
        <v>0</v>
      </c>
      <c r="AW53" s="4">
        <f t="shared" si="11"/>
        <v>0</v>
      </c>
      <c r="AX53" s="4">
        <f t="shared" si="11"/>
        <v>0</v>
      </c>
      <c r="AY53" s="4">
        <f t="shared" si="11"/>
        <v>0</v>
      </c>
      <c r="AZ53" s="4">
        <f t="shared" si="11"/>
        <v>0</v>
      </c>
      <c r="BA53" s="4">
        <f t="shared" si="11"/>
        <v>0</v>
      </c>
      <c r="BB53" s="4">
        <f t="shared" si="11"/>
        <v>0</v>
      </c>
      <c r="BC53" s="4">
        <f t="shared" si="11"/>
        <v>0</v>
      </c>
      <c r="BD53" s="4">
        <f t="shared" si="11"/>
        <v>0</v>
      </c>
      <c r="BE53" s="4">
        <f t="shared" si="11"/>
        <v>0</v>
      </c>
      <c r="BF53" s="4">
        <f t="shared" si="11"/>
        <v>0</v>
      </c>
      <c r="BG53" s="4">
        <f t="shared" si="11"/>
        <v>0</v>
      </c>
      <c r="BH53" s="4">
        <f t="shared" si="11"/>
        <v>0</v>
      </c>
      <c r="BI53" s="4">
        <f t="shared" si="11"/>
        <v>0</v>
      </c>
      <c r="BJ53" s="4">
        <f t="shared" si="11"/>
        <v>0</v>
      </c>
    </row>
    <row r="54" spans="3:62" x14ac:dyDescent="0.2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89"/>
      <c r="U54" s="2"/>
      <c r="V54" s="2"/>
      <c r="W54" s="2"/>
      <c r="X54" s="2"/>
      <c r="Y54" s="2"/>
      <c r="Z54" s="2"/>
      <c r="AM54" s="4">
        <f t="shared" ref="AM54:BJ54" si="12">AM44+AM47+AM50+AM53</f>
        <v>22</v>
      </c>
      <c r="AN54" s="4">
        <f t="shared" si="12"/>
        <v>4</v>
      </c>
      <c r="AO54" s="4">
        <f t="shared" si="12"/>
        <v>1</v>
      </c>
      <c r="AP54" s="4">
        <f t="shared" si="12"/>
        <v>3</v>
      </c>
      <c r="AQ54" s="4">
        <f t="shared" si="12"/>
        <v>6</v>
      </c>
      <c r="AR54" s="4">
        <f t="shared" si="12"/>
        <v>9</v>
      </c>
      <c r="AS54" s="4">
        <f t="shared" si="12"/>
        <v>3</v>
      </c>
      <c r="AT54" s="4">
        <f t="shared" si="12"/>
        <v>1</v>
      </c>
      <c r="AU54" s="4">
        <f t="shared" si="12"/>
        <v>8</v>
      </c>
      <c r="AV54" s="4">
        <f t="shared" si="12"/>
        <v>2</v>
      </c>
      <c r="AW54" s="4">
        <f t="shared" si="12"/>
        <v>0</v>
      </c>
      <c r="AX54" s="4">
        <f t="shared" si="12"/>
        <v>2</v>
      </c>
      <c r="AY54" s="4">
        <f t="shared" si="12"/>
        <v>2</v>
      </c>
      <c r="AZ54" s="4">
        <f t="shared" si="12"/>
        <v>8</v>
      </c>
      <c r="BA54" s="4">
        <f t="shared" si="12"/>
        <v>0</v>
      </c>
      <c r="BB54" s="4">
        <f t="shared" si="12"/>
        <v>0</v>
      </c>
      <c r="BC54" s="4">
        <f t="shared" si="12"/>
        <v>12</v>
      </c>
      <c r="BD54" s="4">
        <f t="shared" si="12"/>
        <v>20</v>
      </c>
      <c r="BE54" s="4">
        <f t="shared" si="12"/>
        <v>22</v>
      </c>
      <c r="BF54" s="4">
        <f t="shared" si="12"/>
        <v>14</v>
      </c>
      <c r="BG54" s="4">
        <f t="shared" si="12"/>
        <v>10</v>
      </c>
      <c r="BH54" s="4">
        <f t="shared" si="12"/>
        <v>8</v>
      </c>
      <c r="BI54" s="4">
        <f t="shared" si="12"/>
        <v>0</v>
      </c>
      <c r="BJ54" s="4">
        <f t="shared" si="12"/>
        <v>19</v>
      </c>
    </row>
    <row r="55" spans="3:62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89"/>
      <c r="U55" s="2"/>
      <c r="V55" s="2"/>
      <c r="W55" s="2"/>
      <c r="X55" s="2"/>
      <c r="Y55" s="2"/>
      <c r="Z55" s="2"/>
    </row>
    <row r="56" spans="3:62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89"/>
      <c r="U56" s="2"/>
      <c r="V56" s="2"/>
      <c r="W56" s="2"/>
      <c r="X56" s="2"/>
      <c r="Y56" s="2"/>
      <c r="Z56" s="2"/>
    </row>
    <row r="57" spans="3:62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89"/>
      <c r="U57" s="2"/>
      <c r="V57" s="2"/>
      <c r="W57" s="2"/>
      <c r="X57" s="2"/>
      <c r="Y57" s="2"/>
      <c r="Z57" s="2"/>
    </row>
    <row r="58" spans="3:62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89"/>
      <c r="U58" s="2"/>
      <c r="V58" s="2"/>
      <c r="W58" s="2"/>
      <c r="X58" s="2"/>
      <c r="Y58" s="2"/>
      <c r="Z58" s="2"/>
    </row>
    <row r="59" spans="3:62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89"/>
      <c r="U59" s="2"/>
      <c r="V59" s="2"/>
      <c r="W59" s="2"/>
      <c r="X59" s="2"/>
      <c r="Y59" s="2"/>
      <c r="Z59" s="2"/>
    </row>
    <row r="60" spans="3:62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89"/>
      <c r="U60" s="2"/>
      <c r="V60" s="2"/>
      <c r="W60" s="2"/>
      <c r="X60" s="2"/>
      <c r="Y60" s="2"/>
      <c r="Z60" s="2"/>
    </row>
    <row r="61" spans="3:62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89"/>
      <c r="U61" s="2"/>
      <c r="V61" s="2"/>
      <c r="W61" s="2"/>
      <c r="X61" s="2"/>
      <c r="Y61" s="2"/>
      <c r="Z61" s="2"/>
    </row>
    <row r="62" spans="3:62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89"/>
      <c r="U62" s="2"/>
      <c r="V62" s="2"/>
      <c r="W62" s="2"/>
      <c r="X62" s="2"/>
      <c r="Y62" s="2"/>
      <c r="Z62" s="2"/>
    </row>
    <row r="63" spans="3:62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89"/>
      <c r="U63" s="2"/>
      <c r="V63" s="2"/>
      <c r="W63" s="2"/>
      <c r="X63" s="2"/>
      <c r="Y63" s="2"/>
      <c r="Z63" s="2"/>
    </row>
    <row r="64" spans="3:62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89"/>
      <c r="U64" s="2"/>
      <c r="V64" s="2"/>
      <c r="W64" s="2"/>
      <c r="X64" s="2"/>
      <c r="Y64" s="2"/>
      <c r="Z64" s="2"/>
    </row>
    <row r="65" spans="3:26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89"/>
      <c r="U65" s="2"/>
      <c r="V65" s="2"/>
      <c r="W65" s="2"/>
      <c r="X65" s="2"/>
      <c r="Y65" s="2"/>
      <c r="Z65" s="2"/>
    </row>
    <row r="66" spans="3:26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89"/>
      <c r="U66" s="2"/>
      <c r="V66" s="2"/>
      <c r="W66" s="2"/>
      <c r="X66" s="2"/>
      <c r="Y66" s="2"/>
      <c r="Z66" s="2"/>
    </row>
    <row r="67" spans="3:26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89"/>
      <c r="U67" s="2"/>
      <c r="V67" s="2"/>
      <c r="W67" s="2"/>
      <c r="X67" s="2"/>
      <c r="Y67" s="2"/>
      <c r="Z67" s="2"/>
    </row>
    <row r="68" spans="3:26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89"/>
      <c r="U68" s="2"/>
      <c r="V68" s="2"/>
      <c r="W68" s="2"/>
      <c r="X68" s="2"/>
      <c r="Y68" s="2"/>
      <c r="Z68" s="2"/>
    </row>
    <row r="69" spans="3:26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89"/>
      <c r="U69" s="2"/>
      <c r="V69" s="2"/>
      <c r="W69" s="2"/>
      <c r="X69" s="2"/>
      <c r="Y69" s="2"/>
      <c r="Z69" s="2"/>
    </row>
    <row r="70" spans="3:26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89"/>
      <c r="U70" s="2"/>
      <c r="V70" s="2"/>
      <c r="W70" s="2"/>
      <c r="X70" s="2"/>
      <c r="Y70" s="2"/>
      <c r="Z70" s="2"/>
    </row>
    <row r="71" spans="3:26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89"/>
      <c r="U71" s="2"/>
      <c r="V71" s="2"/>
      <c r="W71" s="2"/>
      <c r="X71" s="2"/>
      <c r="Y71" s="2"/>
      <c r="Z71" s="2"/>
    </row>
    <row r="72" spans="3:26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89"/>
      <c r="U72" s="2"/>
      <c r="V72" s="2"/>
      <c r="W72" s="2"/>
      <c r="X72" s="2"/>
      <c r="Y72" s="2"/>
      <c r="Z72" s="2"/>
    </row>
    <row r="73" spans="3:26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89"/>
      <c r="U73" s="2"/>
      <c r="V73" s="2"/>
      <c r="W73" s="2"/>
      <c r="X73" s="2"/>
      <c r="Y73" s="2"/>
      <c r="Z73" s="2"/>
    </row>
    <row r="74" spans="3:26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89"/>
      <c r="U74" s="2"/>
      <c r="V74" s="2"/>
      <c r="W74" s="2"/>
      <c r="X74" s="2"/>
      <c r="Y74" s="2"/>
      <c r="Z74" s="2"/>
    </row>
    <row r="75" spans="3:26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89"/>
      <c r="U75" s="2"/>
      <c r="V75" s="2"/>
      <c r="W75" s="2"/>
      <c r="X75" s="2"/>
      <c r="Y75" s="2"/>
      <c r="Z75" s="2"/>
    </row>
    <row r="76" spans="3:26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89"/>
      <c r="U76" s="2"/>
      <c r="V76" s="2"/>
      <c r="W76" s="2"/>
      <c r="X76" s="2"/>
      <c r="Y76" s="2"/>
      <c r="Z76" s="2"/>
    </row>
    <row r="77" spans="3:26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89"/>
      <c r="U77" s="2"/>
      <c r="V77" s="2"/>
      <c r="W77" s="2"/>
      <c r="X77" s="2"/>
      <c r="Y77" s="2"/>
      <c r="Z77" s="2"/>
    </row>
    <row r="78" spans="3:26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89"/>
      <c r="U78" s="2"/>
      <c r="V78" s="2"/>
      <c r="W78" s="2"/>
      <c r="X78" s="2"/>
      <c r="Y78" s="2"/>
      <c r="Z78" s="2"/>
    </row>
    <row r="79" spans="3:26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89"/>
      <c r="U79" s="2"/>
      <c r="V79" s="2"/>
      <c r="W79" s="2"/>
      <c r="X79" s="2"/>
      <c r="Y79" s="2"/>
      <c r="Z79" s="2"/>
    </row>
    <row r="80" spans="3:26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89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89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89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89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89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89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89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89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89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89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89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89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89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89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89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89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89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89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89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89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89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89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89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89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89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89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89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89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89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89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89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89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89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89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89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89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89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89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89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89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89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89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89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89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89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89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89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89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89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89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89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89"/>
      <c r="U131" s="2"/>
      <c r="V131" s="2"/>
      <c r="W131" s="2"/>
      <c r="X131" s="2"/>
      <c r="Y131" s="2"/>
      <c r="Z131" s="2"/>
    </row>
  </sheetData>
  <sortState ref="A2:BJ131">
    <sortCondition ref="AK2:AK131"/>
    <sortCondition ref="Z2:Z131"/>
    <sortCondition ref="H2:H131"/>
  </sortState>
  <customSheetViews>
    <customSheetView guid="{3E3401AF-8459-8641-BD70-AD04F80E86ED}" scale="135">
      <pane ySplit="1" topLeftCell="A2" activePane="bottomLeft" state="frozenSplit"/>
      <selection pane="bottomLeft" activeCell="T19" sqref="T19"/>
      <pageMargins left="0.7" right="0.7" top="0.75" bottom="0.75" header="0.3" footer="0.3"/>
      <pageSetup paperSize="9" orientation="portrait" horizontalDpi="0" verticalDpi="0"/>
    </customSheetView>
  </customSheetViews>
  <conditionalFormatting sqref="AR40:BJ40 AM41:BJ53">
    <cfRule type="cellIs" dxfId="36" priority="7" operator="equal">
      <formula>0</formula>
    </cfRule>
  </conditionalFormatting>
  <conditionalFormatting sqref="Z1:Z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zoomScale="160" zoomScaleNormal="160" zoomScalePageLayoutView="160" workbookViewId="0">
      <pane ySplit="1" topLeftCell="A7" activePane="bottomLeft" state="frozenSplit"/>
      <selection pane="bottomLeft" activeCell="F32" sqref="F32"/>
    </sheetView>
  </sheetViews>
  <sheetFormatPr baseColWidth="10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</cols>
  <sheetData>
    <row r="1" spans="1:14" s="58" customFormat="1" x14ac:dyDescent="0.2">
      <c r="A1" s="11" t="s">
        <v>1283</v>
      </c>
      <c r="B1" s="11" t="s">
        <v>0</v>
      </c>
      <c r="C1" s="11" t="s">
        <v>1425</v>
      </c>
      <c r="D1" s="11" t="s">
        <v>205</v>
      </c>
      <c r="E1" s="11" t="s">
        <v>1520</v>
      </c>
      <c r="F1" s="11" t="s">
        <v>1464</v>
      </c>
      <c r="G1" s="11" t="s">
        <v>1276</v>
      </c>
      <c r="H1" s="11" t="s">
        <v>1277</v>
      </c>
      <c r="I1" s="11"/>
      <c r="J1" s="11"/>
      <c r="K1" s="11" t="s">
        <v>1518</v>
      </c>
      <c r="L1" s="11" t="s">
        <v>1563</v>
      </c>
      <c r="M1" s="11" t="s">
        <v>1523</v>
      </c>
      <c r="N1" s="11" t="s">
        <v>1524</v>
      </c>
    </row>
    <row r="2" spans="1:14" s="58" customFormat="1" x14ac:dyDescent="0.2">
      <c r="A2" s="33" t="s">
        <v>1530</v>
      </c>
      <c r="B2" s="11" t="s">
        <v>129</v>
      </c>
      <c r="C2" s="11" t="s">
        <v>129</v>
      </c>
      <c r="D2" s="33" t="s">
        <v>1531</v>
      </c>
      <c r="E2" s="11" t="s">
        <v>129</v>
      </c>
      <c r="F2" s="11">
        <v>36</v>
      </c>
      <c r="G2" s="11">
        <v>64</v>
      </c>
      <c r="H2" s="11">
        <v>34</v>
      </c>
      <c r="I2" s="11"/>
      <c r="J2" s="11"/>
      <c r="K2" s="11"/>
      <c r="L2" s="11"/>
      <c r="M2" s="11"/>
      <c r="N2" s="11"/>
    </row>
    <row r="3" spans="1:14" x14ac:dyDescent="0.2">
      <c r="A3" s="3" t="str">
        <f t="shared" ref="A3:A31" si="0">D3&amp;"__wt"</f>
        <v>cxcr4_human__wt</v>
      </c>
      <c r="B3" s="3" t="str">
        <f>VLOOKUP(D3,Classification!A:D,3,FALSE)</f>
        <v>Protein</v>
      </c>
      <c r="C3" s="3" t="str">
        <f>VLOOKUP(D3,Classification!A:D,4,FALSE)</f>
        <v>Chemokine</v>
      </c>
      <c r="D3" s="3" t="s">
        <v>1391</v>
      </c>
      <c r="E3" s="3">
        <f>VLOOKUP($D3,'NonXtal_SegEnds_Prot#'!$A:$AY,30,FALSE)-VLOOKUP($D3,'NonXtal_SegEnds_Prot#'!$A:$AY,29,FALSE)</f>
        <v>5</v>
      </c>
      <c r="F3" s="1">
        <f>VLOOKUP($D3,'NonXtal_SegEnds_Prot#'!$A:$AY,31,FALSE)-VLOOKUP($D3,'NonXtal_SegEnds_Prot#'!$A:$AY,28,FALSE)</f>
        <v>43</v>
      </c>
      <c r="G3" s="3">
        <f>50+VLOOKUP($A3,'Xtal_SegEnds_Prot#'!$A:$AY,39,FALSE)-VLOOKUP($D3,'NonXtal_SegEnds_Prot#'!$A:$AY,28,FALSE)</f>
        <v>68</v>
      </c>
      <c r="H3" s="3">
        <f>50+VLOOKUP($A3,'Xtal_SegEnds_Prot#'!$A:$AY,41,FALSE)-VLOOKUP($D3,'NonXtal_SegEnds_Prot#'!$A:$AY,31,FALSE)</f>
        <v>30</v>
      </c>
      <c r="I3" s="3"/>
      <c r="J3" s="3"/>
    </row>
    <row r="4" spans="1:14" s="1" customFormat="1" x14ac:dyDescent="0.2">
      <c r="A4" s="3" t="str">
        <f t="shared" si="0"/>
        <v>us28_hcmva__wt</v>
      </c>
      <c r="B4" s="3" t="str">
        <f>VLOOKUP(D4,Classification!A:D,3,FALSE)</f>
        <v>Peptide</v>
      </c>
      <c r="C4" s="3" t="str">
        <f>VLOOKUP(D4,Classification!A:D,4,FALSE)</f>
        <v>Chemokine</v>
      </c>
      <c r="D4" s="3" t="s">
        <v>1120</v>
      </c>
      <c r="E4" s="3">
        <f>VLOOKUP($D4,'NonXtal_SegEnds_Prot#'!$A:$AY,30,FALSE)-VLOOKUP($D4,'NonXtal_SegEnds_Prot#'!$A:$AY,29,FALSE)</f>
        <v>4</v>
      </c>
      <c r="F4" s="1">
        <f>VLOOKUP($D4,'NonXtal_SegEnds_Prot#'!$A:$AY,31,FALSE)-VLOOKUP($D4,'NonXtal_SegEnds_Prot#'!$A:$AY,28,FALSE)</f>
        <v>43</v>
      </c>
      <c r="G4" s="3">
        <f>50+VLOOKUP($A4,'Xtal_SegEnds_Prot#'!$A:$AY,39,FALSE)-VLOOKUP($D4,'NonXtal_SegEnds_Prot#'!$A:$AY,28,FALSE)</f>
        <v>68</v>
      </c>
      <c r="H4" s="3">
        <f>50+VLOOKUP($A4,'Xtal_SegEnds_Prot#'!$A:$AY,41,FALSE)-VLOOKUP($D4,'NonXtal_SegEnds_Prot#'!$A:$AY,31,FALSE)</f>
        <v>29</v>
      </c>
      <c r="I4" s="3">
        <f>G4</f>
        <v>68</v>
      </c>
      <c r="J4" s="3">
        <f>H4</f>
        <v>29</v>
      </c>
      <c r="K4" s="1" t="s">
        <v>1518</v>
      </c>
    </row>
    <row r="5" spans="1:14" s="1" customFormat="1" x14ac:dyDescent="0.2">
      <c r="A5" s="3" t="str">
        <f t="shared" si="0"/>
        <v>ccr5_human__wt</v>
      </c>
      <c r="B5" s="3" t="str">
        <f>VLOOKUP(D5,Classification!A:D,3,FALSE)</f>
        <v>Protein</v>
      </c>
      <c r="C5" s="3" t="str">
        <f>VLOOKUP(D5,Classification!A:D,4,FALSE)</f>
        <v>Chemokine</v>
      </c>
      <c r="D5" s="3" t="s">
        <v>367</v>
      </c>
      <c r="E5" s="3">
        <f>VLOOKUP($D5,'NonXtal_SegEnds_Prot#'!$A:$AY,30,FALSE)-VLOOKUP($D5,'NonXtal_SegEnds_Prot#'!$A:$AY,29,FALSE)</f>
        <v>6</v>
      </c>
      <c r="F5" s="1">
        <f>VLOOKUP($D5,'NonXtal_SegEnds_Prot#'!$A:$AY,31,FALSE)-VLOOKUP($D5,'NonXtal_SegEnds_Prot#'!$A:$AY,28,FALSE)</f>
        <v>44</v>
      </c>
      <c r="G5" s="3">
        <f>50+VLOOKUP($A5,'Xtal_SegEnds_Prot#'!$A:$AY,39,FALSE)-VLOOKUP($D5,'NonXtal_SegEnds_Prot#'!$A:$AY,28,FALSE)</f>
        <v>68</v>
      </c>
      <c r="H5" s="3">
        <f>50+VLOOKUP($A5,'Xtal_SegEnds_Prot#'!$A:$AY,41,FALSE)-VLOOKUP($D5,'NonXtal_SegEnds_Prot#'!$A:$AY,31,FALSE)</f>
        <v>30</v>
      </c>
      <c r="I5" s="3"/>
      <c r="J5" s="3"/>
    </row>
    <row r="6" spans="1:14" s="1" customFormat="1" x14ac:dyDescent="0.2">
      <c r="A6" s="3" t="str">
        <f t="shared" si="0"/>
        <v>ffar1_human__wt</v>
      </c>
      <c r="B6" s="3" t="str">
        <f>VLOOKUP(D6,Classification!A:D,3,FALSE)</f>
        <v>Lipid</v>
      </c>
      <c r="C6" s="3" t="str">
        <f>VLOOKUP(D6,Classification!A:D,4,FALSE)</f>
        <v>Freefattyacid</v>
      </c>
      <c r="D6" s="3" t="s">
        <v>1392</v>
      </c>
      <c r="E6" s="3">
        <f>VLOOKUP($D6,'NonXtal_SegEnds_Prot#'!$A:$AY,30,FALSE)-VLOOKUP($D6,'NonXtal_SegEnds_Prot#'!$A:$AY,29,FALSE)</f>
        <v>6</v>
      </c>
      <c r="F6" s="1">
        <f>VLOOKUP($D6,'NonXtal_SegEnds_Prot#'!$A:$AY,31,FALSE)-VLOOKUP($D6,'NonXtal_SegEnds_Prot#'!$A:$AY,28,FALSE)</f>
        <v>45</v>
      </c>
      <c r="G6" s="3">
        <f>50+VLOOKUP($A6,'Xtal_SegEnds_Prot#'!$A:$AY,39,FALSE)-VLOOKUP($D6,'NonXtal_SegEnds_Prot#'!$A:$AY,28,FALSE)</f>
        <v>67</v>
      </c>
      <c r="H6" s="3">
        <f>50+VLOOKUP($A6,'Xtal_SegEnds_Prot#'!$A:$AY,41,FALSE)-VLOOKUP($D6,'NonXtal_SegEnds_Prot#'!$A:$AY,31,FALSE)</f>
        <v>28</v>
      </c>
      <c r="I6" s="3"/>
      <c r="J6" s="3"/>
    </row>
    <row r="7" spans="1:14" s="1" customFormat="1" x14ac:dyDescent="0.2">
      <c r="A7" s="3" t="str">
        <f t="shared" si="0"/>
        <v>par1_human__wt</v>
      </c>
      <c r="B7" s="3" t="str">
        <f>VLOOKUP(D7,Classification!A:D,3,FALSE)</f>
        <v>Peptide</v>
      </c>
      <c r="C7" s="3" t="str">
        <f>VLOOKUP(D7,Classification!A:D,4,FALSE)</f>
        <v>Proteinase-activated</v>
      </c>
      <c r="D7" s="3" t="s">
        <v>549</v>
      </c>
      <c r="E7" s="3">
        <f>VLOOKUP($D7,'NonXtal_SegEnds_Prot#'!$A:$AY,30,FALSE)-VLOOKUP($D7,'NonXtal_SegEnds_Prot#'!$A:$AY,29,FALSE)</f>
        <v>5</v>
      </c>
      <c r="F7" s="1">
        <f>VLOOKUP($D7,'NonXtal_SegEnds_Prot#'!$A:$AY,31,FALSE)-VLOOKUP($D7,'NonXtal_SegEnds_Prot#'!$A:$AY,28,FALSE)</f>
        <v>46</v>
      </c>
      <c r="G7" s="3">
        <f>50+VLOOKUP($A7,'Xtal_SegEnds_Prot#'!$A:$AY,39,FALSE)-VLOOKUP($D7,'NonXtal_SegEnds_Prot#'!$A:$AY,28,FALSE)</f>
        <v>67</v>
      </c>
      <c r="H7" s="3">
        <f>50+VLOOKUP($A7,'Xtal_SegEnds_Prot#'!$A:$AY,41,FALSE)-VLOOKUP($D7,'NonXtal_SegEnds_Prot#'!$A:$AY,31,FALSE)</f>
        <v>26</v>
      </c>
      <c r="I7" s="3"/>
      <c r="J7" s="3"/>
    </row>
    <row r="8" spans="1:14" s="1" customFormat="1" x14ac:dyDescent="0.2">
      <c r="A8" s="3" t="str">
        <f t="shared" si="0"/>
        <v>p2ry1_human__wt</v>
      </c>
      <c r="B8" s="3" t="str">
        <f>VLOOKUP(D8,Classification!A:D,3,FALSE)</f>
        <v>Nucleotide</v>
      </c>
      <c r="C8" s="3" t="str">
        <f>VLOOKUP(D8,Classification!A:D,4,FALSE)</f>
        <v>P2Y</v>
      </c>
      <c r="D8" s="3" t="s">
        <v>539</v>
      </c>
      <c r="E8" s="3">
        <f>VLOOKUP($D8,'NonXtal_SegEnds_Prot#'!$A:$AY,30,FALSE)-VLOOKUP($D8,'NonXtal_SegEnds_Prot#'!$A:$AY,29,FALSE)</f>
        <v>6</v>
      </c>
      <c r="F8" s="1">
        <f>VLOOKUP($D8,'NonXtal_SegEnds_Prot#'!$A:$AY,31,FALSE)-VLOOKUP($D8,'NonXtal_SegEnds_Prot#'!$A:$AY,28,FALSE)</f>
        <v>46</v>
      </c>
      <c r="G8" s="3">
        <f>50+VLOOKUP($A8,'Xtal_SegEnds_Prot#'!$A:$AY,39,FALSE)-VLOOKUP($D8,'NonXtal_SegEnds_Prot#'!$A:$AY,28,FALSE)</f>
        <v>68</v>
      </c>
      <c r="H8" s="3">
        <f>50+VLOOKUP($A8,'Xtal_SegEnds_Prot#'!$A:$AY,41,FALSE)-VLOOKUP($D8,'NonXtal_SegEnds_Prot#'!$A:$AY,31,FALSE)</f>
        <v>28</v>
      </c>
      <c r="I8" s="3"/>
      <c r="J8" s="3"/>
    </row>
    <row r="9" spans="1:14" s="1" customFormat="1" x14ac:dyDescent="0.2">
      <c r="A9" s="3" t="str">
        <f t="shared" si="0"/>
        <v>agtr1_human__wt</v>
      </c>
      <c r="B9" s="3" t="str">
        <f>VLOOKUP(D9,Classification!A:D,3,FALSE)</f>
        <v>Peptide</v>
      </c>
      <c r="C9" s="3" t="str">
        <f>VLOOKUP(D9,Classification!A:D,4,FALSE)</f>
        <v>Angiotensin</v>
      </c>
      <c r="D9" s="3" t="s">
        <v>352</v>
      </c>
      <c r="E9" s="3">
        <f>VLOOKUP($D9,'NonXtal_SegEnds_Prot#'!$A:$AY,30,FALSE)-VLOOKUP($D9,'NonXtal_SegEnds_Prot#'!$A:$AY,29,FALSE)</f>
        <v>8</v>
      </c>
      <c r="F9" s="1">
        <f>VLOOKUP($D9,'NonXtal_SegEnds_Prot#'!$A:$AY,31,FALSE)-VLOOKUP($D9,'NonXtal_SegEnds_Prot#'!$A:$AY,28,FALSE)</f>
        <v>48</v>
      </c>
      <c r="G9" s="3">
        <f>50+VLOOKUP($A9,'Xtal_SegEnds_Prot#'!$A:$AY,39,FALSE)-VLOOKUP($D9,'NonXtal_SegEnds_Prot#'!$A:$AY,28,FALSE)</f>
        <v>68</v>
      </c>
      <c r="H9" s="3">
        <f>50+VLOOKUP($A9,'Xtal_SegEnds_Prot#'!$A:$AY,41,FALSE)-VLOOKUP($D9,'NonXtal_SegEnds_Prot#'!$A:$AY,31,FALSE)</f>
        <v>28</v>
      </c>
      <c r="I9" s="3"/>
      <c r="J9" s="3"/>
    </row>
    <row r="10" spans="1:14" s="1" customFormat="1" x14ac:dyDescent="0.2">
      <c r="A10" s="3" t="str">
        <f t="shared" si="0"/>
        <v>p2y12_human__wt</v>
      </c>
      <c r="B10" s="3" t="str">
        <f>VLOOKUP(D10,Classification!A:D,3,FALSE)</f>
        <v>Nucleotide</v>
      </c>
      <c r="C10" s="3" t="str">
        <f>VLOOKUP(D10,Classification!A:D,4,FALSE)</f>
        <v>P2Y</v>
      </c>
      <c r="D10" s="16" t="s">
        <v>546</v>
      </c>
      <c r="E10" s="3">
        <f>VLOOKUP($D10,'NonXtal_SegEnds_Prot#'!$A:$AY,30,FALSE)-VLOOKUP($D10,'NonXtal_SegEnds_Prot#'!$A:$AY,29,FALSE)</f>
        <v>7</v>
      </c>
      <c r="F10" s="1">
        <f>VLOOKUP($D10,'NonXtal_SegEnds_Prot#'!$A:$AY,31,FALSE)-VLOOKUP($D10,'NonXtal_SegEnds_Prot#'!$A:$AY,28,FALSE)</f>
        <v>50</v>
      </c>
      <c r="G10" s="3">
        <f>50+VLOOKUP($A10,'Xtal_SegEnds_Prot#'!$A:$AY,39,FALSE)-VLOOKUP($D10,'NonXtal_SegEnds_Prot#'!$A:$AY,28,FALSE)</f>
        <v>72</v>
      </c>
      <c r="H10" s="3">
        <f>50+VLOOKUP($A10,'Xtal_SegEnds_Prot#'!$A:$AY,41,FALSE)-VLOOKUP($D10,'NonXtal_SegEnds_Prot#'!$A:$AY,31,FALSE)</f>
        <v>29</v>
      </c>
      <c r="I10" s="3"/>
      <c r="J10" s="3"/>
      <c r="M10" s="1" t="s">
        <v>1529</v>
      </c>
    </row>
    <row r="11" spans="1:14" s="1" customFormat="1" x14ac:dyDescent="0.2">
      <c r="A11" s="3" t="str">
        <f t="shared" si="0"/>
        <v>oprd_human__wt</v>
      </c>
      <c r="B11" s="3" t="str">
        <f>VLOOKUP(D11,Classification!A:D,3,FALSE)</f>
        <v>Peptide</v>
      </c>
      <c r="C11" s="3" t="str">
        <f>VLOOKUP(D11,Classification!A:D,4,FALSE)</f>
        <v>Opioid</v>
      </c>
      <c r="D11" s="3" t="s">
        <v>529</v>
      </c>
      <c r="E11" s="3">
        <f>VLOOKUP($D11,'NonXtal_SegEnds_Prot#'!$A:$AY,30,FALSE)-VLOOKUP($D11,'NonXtal_SegEnds_Prot#'!$A:$AY,29,FALSE)</f>
        <v>6</v>
      </c>
      <c r="F11" s="1">
        <f>VLOOKUP($D11,'NonXtal_SegEnds_Prot#'!$A:$AY,31,FALSE)-VLOOKUP($D11,'NonXtal_SegEnds_Prot#'!$A:$AY,28,FALSE)</f>
        <v>51</v>
      </c>
      <c r="G11" s="3">
        <f>50+VLOOKUP($A11,'Xtal_SegEnds_Prot#'!$A:$AY,39,FALSE)-VLOOKUP($D11,'NonXtal_SegEnds_Prot#'!$A:$AY,28,FALSE)</f>
        <v>68</v>
      </c>
      <c r="H11" s="3">
        <f>50+VLOOKUP($A11,'Xtal_SegEnds_Prot#'!$A:$AY,41,FALSE)-VLOOKUP($D11,'NonXtal_SegEnds_Prot#'!$A:$AY,31,FALSE)</f>
        <v>23</v>
      </c>
      <c r="I11" s="3"/>
      <c r="J11" s="3"/>
    </row>
    <row r="12" spans="1:14" s="1" customFormat="1" x14ac:dyDescent="0.2">
      <c r="A12" s="3" t="str">
        <f t="shared" si="0"/>
        <v>oprd_mouse__wt</v>
      </c>
      <c r="B12" s="3" t="str">
        <f>VLOOKUP(D12,Classification!A:D,3,FALSE)</f>
        <v>Peptide</v>
      </c>
      <c r="C12" s="3" t="str">
        <f>VLOOKUP(D12,Classification!A:D,4,FALSE)</f>
        <v>Opioid</v>
      </c>
      <c r="D12" s="3" t="s">
        <v>1112</v>
      </c>
      <c r="E12" s="3">
        <f>VLOOKUP($D12,'NonXtal_SegEnds_Prot#'!$A:$AY,30,FALSE)-VLOOKUP($D12,'NonXtal_SegEnds_Prot#'!$A:$AY,29,FALSE)</f>
        <v>6</v>
      </c>
      <c r="F12" s="1">
        <f>VLOOKUP($D12,'NonXtal_SegEnds_Prot#'!$A:$AY,31,FALSE)-VLOOKUP($D12,'NonXtal_SegEnds_Prot#'!$A:$AY,28,FALSE)</f>
        <v>51</v>
      </c>
      <c r="G12" s="3">
        <f>50+VLOOKUP($A12,'Xtal_SegEnds_Prot#'!$A:$AY,39,FALSE)-VLOOKUP($D12,'NonXtal_SegEnds_Prot#'!$A:$AY,28,FALSE)</f>
        <v>68</v>
      </c>
      <c r="H12" s="3">
        <f>50+VLOOKUP($A12,'Xtal_SegEnds_Prot#'!$A:$AY,41,FALSE)-VLOOKUP($D12,'NonXtal_SegEnds_Prot#'!$A:$AY,31,FALSE)</f>
        <v>23</v>
      </c>
      <c r="I12" s="3"/>
      <c r="J12" s="3"/>
    </row>
    <row r="13" spans="1:14" s="1" customFormat="1" x14ac:dyDescent="0.2">
      <c r="A13" s="3" t="str">
        <f t="shared" si="0"/>
        <v>oprk_human__wt</v>
      </c>
      <c r="B13" s="3" t="str">
        <f>VLOOKUP(D13,Classification!A:D,3,FALSE)</f>
        <v>Peptide</v>
      </c>
      <c r="C13" s="3" t="str">
        <f>VLOOKUP(D13,Classification!A:D,4,FALSE)</f>
        <v>Opioid</v>
      </c>
      <c r="D13" s="3" t="s">
        <v>530</v>
      </c>
      <c r="E13" s="3">
        <f>VLOOKUP($D13,'NonXtal_SegEnds_Prot#'!$A:$AY,30,FALSE)-VLOOKUP($D13,'NonXtal_SegEnds_Prot#'!$A:$AY,29,FALSE)</f>
        <v>6</v>
      </c>
      <c r="F13" s="1">
        <f>VLOOKUP($D13,'NonXtal_SegEnds_Prot#'!$A:$AY,31,FALSE)-VLOOKUP($D13,'NonXtal_SegEnds_Prot#'!$A:$AY,28,FALSE)</f>
        <v>51</v>
      </c>
      <c r="G13" s="3">
        <f>50+VLOOKUP($A13,'Xtal_SegEnds_Prot#'!$A:$AY,39,FALSE)-VLOOKUP($D13,'NonXtal_SegEnds_Prot#'!$A:$AY,28,FALSE)</f>
        <v>68</v>
      </c>
      <c r="H13" s="3">
        <f>50+VLOOKUP($A13,'Xtal_SegEnds_Prot#'!$A:$AY,41,FALSE)-VLOOKUP($D13,'NonXtal_SegEnds_Prot#'!$A:$AY,31,FALSE)</f>
        <v>23</v>
      </c>
      <c r="I13" s="3"/>
      <c r="J13" s="3"/>
    </row>
    <row r="14" spans="1:14" s="1" customFormat="1" x14ac:dyDescent="0.2">
      <c r="A14" s="3" t="str">
        <f t="shared" si="0"/>
        <v>oprm_mouse__wt</v>
      </c>
      <c r="B14" s="3" t="str">
        <f>VLOOKUP(D14,Classification!A:D,3,FALSE)</f>
        <v>Peptide</v>
      </c>
      <c r="C14" s="3" t="str">
        <f>VLOOKUP(D14,Classification!A:D,4,FALSE)</f>
        <v>Opioid</v>
      </c>
      <c r="D14" s="3" t="s">
        <v>1114</v>
      </c>
      <c r="E14" s="3">
        <f>VLOOKUP($D14,'NonXtal_SegEnds_Prot#'!$A:$AY,30,FALSE)-VLOOKUP($D14,'NonXtal_SegEnds_Prot#'!$A:$AY,29,FALSE)</f>
        <v>6</v>
      </c>
      <c r="F14" s="1">
        <f>VLOOKUP($D14,'NonXtal_SegEnds_Prot#'!$A:$AY,31,FALSE)-VLOOKUP($D14,'NonXtal_SegEnds_Prot#'!$A:$AY,28,FALSE)</f>
        <v>51</v>
      </c>
      <c r="G14" s="3">
        <f>50+VLOOKUP($A14,'Xtal_SegEnds_Prot#'!$A:$AY,39,FALSE)-VLOOKUP($D14,'NonXtal_SegEnds_Prot#'!$A:$AY,28,FALSE)</f>
        <v>68</v>
      </c>
      <c r="H14" s="3">
        <f>50+VLOOKUP($A14,'Xtal_SegEnds_Prot#'!$A:$AY,41,FALSE)-VLOOKUP($D14,'NonXtal_SegEnds_Prot#'!$A:$AY,31,FALSE)</f>
        <v>23</v>
      </c>
      <c r="I14" s="3">
        <f>G14</f>
        <v>68</v>
      </c>
      <c r="J14" s="3">
        <f>H14</f>
        <v>23</v>
      </c>
      <c r="K14" s="1" t="s">
        <v>1518</v>
      </c>
    </row>
    <row r="15" spans="1:14" s="1" customFormat="1" x14ac:dyDescent="0.2">
      <c r="A15" s="3" t="str">
        <f t="shared" si="0"/>
        <v>oprx_human__wt</v>
      </c>
      <c r="B15" s="3" t="str">
        <f>VLOOKUP(D15,Classification!A:D,3,FALSE)</f>
        <v>Peptide</v>
      </c>
      <c r="C15" s="3" t="str">
        <f>VLOOKUP(D15,Classification!A:D,4,FALSE)</f>
        <v>Opioid</v>
      </c>
      <c r="D15" s="3" t="s">
        <v>1393</v>
      </c>
      <c r="E15" s="3">
        <f>VLOOKUP($D15,'NonXtal_SegEnds_Prot#'!$A:$AY,30,FALSE)-VLOOKUP($D15,'NonXtal_SegEnds_Prot#'!$A:$AY,29,FALSE)</f>
        <v>6</v>
      </c>
      <c r="F15" s="1">
        <f>VLOOKUP($D15,'NonXtal_SegEnds_Prot#'!$A:$AY,31,FALSE)-VLOOKUP($D15,'NonXtal_SegEnds_Prot#'!$A:$AY,28,FALSE)</f>
        <v>51</v>
      </c>
      <c r="G15" s="3">
        <f>50+VLOOKUP($A15,'Xtal_SegEnds_Prot#'!$A:$AY,39,FALSE)-VLOOKUP($D15,'NonXtal_SegEnds_Prot#'!$A:$AY,28,FALSE)</f>
        <v>68</v>
      </c>
      <c r="H15" s="3">
        <f>50+VLOOKUP($A15,'Xtal_SegEnds_Prot#'!$A:$AY,41,FALSE)-VLOOKUP($D15,'NonXtal_SegEnds_Prot#'!$A:$AY,31,FALSE)</f>
        <v>23</v>
      </c>
      <c r="I15" s="3"/>
      <c r="J15" s="3"/>
    </row>
    <row r="16" spans="1:14" s="1" customFormat="1" x14ac:dyDescent="0.2">
      <c r="A16" s="3" t="str">
        <f t="shared" si="0"/>
        <v>opsd_bovin__wt</v>
      </c>
      <c r="B16" s="3" t="str">
        <f>VLOOKUP(D16,Classification!A:D,3,FALSE)</f>
        <v>Sensory</v>
      </c>
      <c r="C16" s="3" t="str">
        <f>VLOOKUP(D16,Classification!A:D,4,FALSE)</f>
        <v>Opsins</v>
      </c>
      <c r="D16" s="3" t="s">
        <v>1116</v>
      </c>
      <c r="E16" s="3">
        <f>VLOOKUP($D16,'NonXtal_SegEnds_Prot#'!$A:$AY,30,FALSE)-VLOOKUP($D16,'NonXtal_SegEnds_Prot#'!$A:$AY,29,FALSE)</f>
        <v>4</v>
      </c>
      <c r="F16" s="1">
        <f>VLOOKUP($D16,'NonXtal_SegEnds_Prot#'!$A:$AY,31,FALSE)-VLOOKUP($D16,'NonXtal_SegEnds_Prot#'!$A:$AY,28,FALSE)</f>
        <v>52</v>
      </c>
      <c r="G16" s="3">
        <f>50+VLOOKUP($A16,'Xtal_SegEnds_Prot#'!$A:$AY,39,FALSE)-VLOOKUP($D16,'NonXtal_SegEnds_Prot#'!$A:$AY,28,FALSE)</f>
        <v>72</v>
      </c>
      <c r="H16" s="3">
        <f>50+VLOOKUP($A16,'Xtal_SegEnds_Prot#'!$A:$AY,41,FALSE)-VLOOKUP($D16,'NonXtal_SegEnds_Prot#'!$A:$AY,31,FALSE)</f>
        <v>24</v>
      </c>
      <c r="I16" s="3"/>
      <c r="J16" s="3"/>
      <c r="K16" s="1" t="s">
        <v>1518</v>
      </c>
    </row>
    <row r="17" spans="1:14" x14ac:dyDescent="0.2">
      <c r="A17" s="3" t="str">
        <f t="shared" si="0"/>
        <v>opsd_human__wt</v>
      </c>
      <c r="B17" s="3" t="str">
        <f>VLOOKUP(D17,Classification!A:D,3,FALSE)</f>
        <v>Sensory</v>
      </c>
      <c r="C17" s="3" t="str">
        <f>VLOOKUP(D17,Classification!A:D,4,FALSE)</f>
        <v>Opsins</v>
      </c>
      <c r="D17" s="3" t="s">
        <v>533</v>
      </c>
      <c r="E17" s="3">
        <f>VLOOKUP($D17,'NonXtal_SegEnds_Prot#'!$A:$AY,30,FALSE)-VLOOKUP($D17,'NonXtal_SegEnds_Prot#'!$A:$AY,29,FALSE)</f>
        <v>4</v>
      </c>
      <c r="F17" s="1">
        <f>VLOOKUP($D17,'NonXtal_SegEnds_Prot#'!$A:$AY,31,FALSE)-VLOOKUP($D17,'NonXtal_SegEnds_Prot#'!$A:$AY,28,FALSE)</f>
        <v>52</v>
      </c>
      <c r="G17" s="3">
        <f>50+VLOOKUP($A17,'Xtal_SegEnds_Prot#'!$A:$AY,39,FALSE)-VLOOKUP($D17,'NonXtal_SegEnds_Prot#'!$A:$AY,28,FALSE)</f>
        <v>72</v>
      </c>
      <c r="H17" s="3">
        <f>50+VLOOKUP($A17,'Xtal_SegEnds_Prot#'!$A:$AY,41,FALSE)-VLOOKUP($D17,'NonXtal_SegEnds_Prot#'!$A:$AY,31,FALSE)</f>
        <v>24</v>
      </c>
      <c r="I17" s="3"/>
      <c r="J17" s="3"/>
    </row>
    <row r="18" spans="1:14" x14ac:dyDescent="0.2">
      <c r="A18" s="1" t="s">
        <v>1562</v>
      </c>
      <c r="B18" s="3" t="str">
        <f>VLOOKUP(D18,Classification!A:D,3,FALSE)</f>
        <v>Peptide</v>
      </c>
      <c r="C18" s="3" t="str">
        <f>VLOOKUP(D18,Classification!A:D,4,FALSE)</f>
        <v>Endothelin</v>
      </c>
      <c r="D18" s="3" t="s">
        <v>390</v>
      </c>
      <c r="E18" s="3">
        <f>VLOOKUP($D18,'NonXtal_SegEnds_Prot#'!$A:$AY,30,FALSE)-VLOOKUP($D18,'NonXtal_SegEnds_Prot#'!$A:$AY,29,FALSE)</f>
        <v>5</v>
      </c>
      <c r="F18" s="1">
        <f>VLOOKUP($D18,'NonXtal_SegEnds_Prot#'!$A:$AY,31,FALSE)-VLOOKUP($D18,'NonXtal_SegEnds_Prot#'!$A:$AY,28,FALSE)</f>
        <v>53</v>
      </c>
      <c r="G18" s="3">
        <f>50+VLOOKUP($A18,'Xtal_SegEnds_Prot#'!$A:$AY,39,FALSE)-VLOOKUP($D18,'NonXtal_SegEnds_Prot#'!$A:$AY,28,FALSE)</f>
        <v>72</v>
      </c>
      <c r="H18" s="3">
        <f>50+VLOOKUP($A18,'Xtal_SegEnds_Prot#'!$A:$AY,41,FALSE)-VLOOKUP($D18,'NonXtal_SegEnds_Prot#'!$A:$AY,31,FALSE)</f>
        <v>24</v>
      </c>
    </row>
    <row r="19" spans="1:14" x14ac:dyDescent="0.2">
      <c r="A19" s="3" t="str">
        <f t="shared" si="0"/>
        <v>lpar1_human__wt</v>
      </c>
      <c r="B19" s="3" t="str">
        <f>VLOOKUP(D19,Classification!A:D,3,FALSE)</f>
        <v>Lipid</v>
      </c>
      <c r="C19" s="3" t="str">
        <f>VLOOKUP(D19,Classification!A:D,4,FALSE)</f>
        <v>Lysophospholipid(LPA)</v>
      </c>
      <c r="D19" s="16" t="s">
        <v>297</v>
      </c>
      <c r="E19" s="3">
        <f>VLOOKUP($D19,'NonXtal_SegEnds_Prot#'!$A:$AY,30,FALSE)-VLOOKUP($D19,'NonXtal_SegEnds_Prot#'!$A:$AY,29,FALSE)</f>
        <v>5</v>
      </c>
      <c r="F19" s="1">
        <f>VLOOKUP($D19,'NonXtal_SegEnds_Prot#'!$A:$AY,31,FALSE)-VLOOKUP($D19,'NonXtal_SegEnds_Prot#'!$A:$AY,28,FALSE)</f>
        <v>56</v>
      </c>
      <c r="G19" s="3">
        <f>50+VLOOKUP($A19,'Xtal_SegEnds_Prot#'!$A:$AY,39,FALSE)-VLOOKUP($D19,'NonXtal_SegEnds_Prot#'!$A:$AY,28,FALSE)</f>
        <v>73</v>
      </c>
      <c r="H19" s="3">
        <f>50+VLOOKUP($A19,'Xtal_SegEnds_Prot#'!$A:$AY,41,FALSE)-VLOOKUP($D19,'NonXtal_SegEnds_Prot#'!$A:$AY,31,FALSE)</f>
        <v>22</v>
      </c>
      <c r="I19" s="3"/>
      <c r="J19" s="3"/>
      <c r="M19" t="s">
        <v>1525</v>
      </c>
    </row>
    <row r="20" spans="1:14" x14ac:dyDescent="0.2">
      <c r="A20" s="3" t="str">
        <f t="shared" si="0"/>
        <v>s1pr1_human__wt</v>
      </c>
      <c r="B20" s="3" t="str">
        <f>VLOOKUP(D20,Classification!A:D,3,FALSE)</f>
        <v>Lipid</v>
      </c>
      <c r="C20" s="3" t="str">
        <f>VLOOKUP(D20,Classification!A:D,4,FALSE)</f>
        <v>Lysophospholipid(S1P)</v>
      </c>
      <c r="D20" s="16" t="s">
        <v>298</v>
      </c>
      <c r="E20" s="3">
        <f>VLOOKUP($D20,'NonXtal_SegEnds_Prot#'!$A:$AY,30,FALSE)-VLOOKUP($D20,'NonXtal_SegEnds_Prot#'!$A:$AY,29,FALSE)</f>
        <v>9</v>
      </c>
      <c r="F20" s="1">
        <f>VLOOKUP($D20,'NonXtal_SegEnds_Prot#'!$A:$AY,31,FALSE)-VLOOKUP($D20,'NonXtal_SegEnds_Prot#'!$A:$AY,28,FALSE)</f>
        <v>58</v>
      </c>
      <c r="G20" s="3">
        <f>50+VLOOKUP($A20,'Xtal_SegEnds_Prot#'!$A:$AY,39,FALSE)-VLOOKUP($D20,'NonXtal_SegEnds_Prot#'!$A:$AY,28,FALSE)</f>
        <v>73</v>
      </c>
      <c r="H20" s="3">
        <f>50+VLOOKUP($A20,'Xtal_SegEnds_Prot#'!$A:$AY,41,FALSE)-VLOOKUP($D20,'NonXtal_SegEnds_Prot#'!$A:$AY,31,FALSE)</f>
        <v>24</v>
      </c>
      <c r="I20" s="3"/>
      <c r="J20" s="3"/>
      <c r="M20" t="s">
        <v>1526</v>
      </c>
    </row>
    <row r="21" spans="1:14" x14ac:dyDescent="0.2">
      <c r="A21" s="3" t="str">
        <f t="shared" si="0"/>
        <v>aa2ar_human__wt</v>
      </c>
      <c r="B21" s="3" t="str">
        <f>VLOOKUP(D21,Classification!A:D,3,FALSE)</f>
        <v>Nucleotide</v>
      </c>
      <c r="C21" s="3" t="str">
        <f>VLOOKUP(D21,Classification!A:D,4,FALSE)</f>
        <v>Adenosine</v>
      </c>
      <c r="D21" s="3" t="s">
        <v>333</v>
      </c>
      <c r="E21" s="3">
        <f>VLOOKUP($D21,'NonXtal_SegEnds_Prot#'!$A:$AY,30,FALSE)-VLOOKUP($D21,'NonXtal_SegEnds_Prot#'!$A:$AY,29,FALSE)</f>
        <v>6</v>
      </c>
      <c r="F21" s="1">
        <f>VLOOKUP($D21,'NonXtal_SegEnds_Prot#'!$A:$AY,31,FALSE)-VLOOKUP($D21,'NonXtal_SegEnds_Prot#'!$A:$AY,28,FALSE)</f>
        <v>59</v>
      </c>
      <c r="G21" s="3">
        <f>50+VLOOKUP($A21,'Xtal_SegEnds_Prot#'!$A:$AY,39,FALSE)-VLOOKUP($D21,'NonXtal_SegEnds_Prot#'!$A:$AY,28,FALSE)</f>
        <v>74</v>
      </c>
      <c r="H21" s="3">
        <f>50+VLOOKUP($A21,'Xtal_SegEnds_Prot#'!$A:$AY,41,FALSE)-VLOOKUP($D21,'NonXtal_SegEnds_Prot#'!$A:$AY,31,FALSE)</f>
        <v>21</v>
      </c>
      <c r="I21" s="3">
        <f>G21</f>
        <v>74</v>
      </c>
      <c r="J21" s="3">
        <f>H21</f>
        <v>21</v>
      </c>
      <c r="K21" s="1" t="s">
        <v>1518</v>
      </c>
      <c r="L21" s="1"/>
    </row>
    <row r="22" spans="1:14" x14ac:dyDescent="0.2">
      <c r="A22" s="3" t="str">
        <f t="shared" si="0"/>
        <v>ntr1_rat__wt</v>
      </c>
      <c r="B22" s="3" t="str">
        <f>VLOOKUP(D22,Classification!A:D,3,FALSE)</f>
        <v>Peptide</v>
      </c>
      <c r="C22" s="3" t="str">
        <f>VLOOKUP(D22,Classification!A:D,4,FALSE)</f>
        <v>Neurotensin</v>
      </c>
      <c r="D22" s="100" t="s">
        <v>1110</v>
      </c>
      <c r="E22" s="3">
        <f>VLOOKUP($D22,'NonXtal_SegEnds_Prot#'!$A:$AY,30,FALSE)-VLOOKUP($D22,'NonXtal_SegEnds_Prot#'!$A:$AY,29,FALSE)</f>
        <v>22</v>
      </c>
      <c r="F22" s="1">
        <f>VLOOKUP($D22,'NonXtal_SegEnds_Prot#'!$A:$AY,31,FALSE)-VLOOKUP($D22,'NonXtal_SegEnds_Prot#'!$A:$AY,28,FALSE)</f>
        <v>74</v>
      </c>
      <c r="G22" s="3">
        <f>50+VLOOKUP($A22,'Xtal_SegEnds_Prot#'!$A:$AY,39,FALSE)-VLOOKUP($D22,'NonXtal_SegEnds_Prot#'!$A:$AY,28,FALSE)</f>
        <v>76</v>
      </c>
      <c r="H22" s="3">
        <f>50+VLOOKUP($A22,'Xtal_SegEnds_Prot#'!$A:$AY,41,FALSE)-VLOOKUP($D22,'NonXtal_SegEnds_Prot#'!$A:$AY,31,FALSE)</f>
        <v>24</v>
      </c>
      <c r="I22" s="3"/>
      <c r="J22" s="3"/>
      <c r="M22" t="s">
        <v>1522</v>
      </c>
    </row>
    <row r="23" spans="1:14" x14ac:dyDescent="0.2">
      <c r="A23" s="3" t="str">
        <f t="shared" si="0"/>
        <v>adrb2_human__wt</v>
      </c>
      <c r="B23" s="3" t="str">
        <f>VLOOKUP(D23,Classification!A:D,3,FALSE)</f>
        <v>Aminergic</v>
      </c>
      <c r="C23" s="3" t="str">
        <f>VLOOKUP(D23,Classification!A:D,4,FALSE)</f>
        <v>Adrenoceptors</v>
      </c>
      <c r="D23" s="100" t="s">
        <v>320</v>
      </c>
      <c r="E23" s="3">
        <f>VLOOKUP($D23,'NonXtal_SegEnds_Prot#'!$A:$AY,30,FALSE)-VLOOKUP($D23,'NonXtal_SegEnds_Prot#'!$A:$AY,29,FALSE)</f>
        <v>25</v>
      </c>
      <c r="F23" s="1">
        <f>VLOOKUP($D23,'NonXtal_SegEnds_Prot#'!$A:$AY,31,FALSE)-VLOOKUP($D23,'NonXtal_SegEnds_Prot#'!$A:$AY,28,FALSE)</f>
        <v>77</v>
      </c>
      <c r="G23" s="3">
        <f>50+VLOOKUP($A23,'Xtal_SegEnds_Prot#'!$A:$AY,39,FALSE)-VLOOKUP($D23,'NonXtal_SegEnds_Prot#'!$A:$AY,28,FALSE)</f>
        <v>76</v>
      </c>
      <c r="H23" s="3">
        <f>50+VLOOKUP($A23,'Xtal_SegEnds_Prot#'!$A:$AY,41,FALSE)-VLOOKUP($D23,'NonXtal_SegEnds_Prot#'!$A:$AY,31,FALSE)</f>
        <v>24</v>
      </c>
      <c r="I23" s="3">
        <f>G23</f>
        <v>76</v>
      </c>
      <c r="J23" s="3"/>
      <c r="K23" s="1" t="s">
        <v>1518</v>
      </c>
      <c r="L23" s="1"/>
      <c r="N23" t="s">
        <v>1528</v>
      </c>
    </row>
    <row r="24" spans="1:14" s="1" customFormat="1" x14ac:dyDescent="0.2">
      <c r="A24" s="16" t="str">
        <f t="shared" si="0"/>
        <v>5ht1b_human__wt</v>
      </c>
      <c r="B24" s="16" t="str">
        <f>VLOOKUP(D24,Classification!A:D,3,FALSE)</f>
        <v>Aminergic</v>
      </c>
      <c r="C24" s="16" t="str">
        <f>VLOOKUP(D24,Classification!A:D,4,FALSE)</f>
        <v>5-Hydroxytryptamine</v>
      </c>
      <c r="D24" s="16" t="s">
        <v>208</v>
      </c>
      <c r="E24" s="3">
        <f>VLOOKUP($D24,'NonXtal_SegEnds_Prot#'!$A:$AY,30,FALSE)-VLOOKUP($D24,'NonXtal_SegEnds_Prot#'!$A:$AY,29,FALSE)</f>
        <v>59</v>
      </c>
      <c r="F24" s="1">
        <f>VLOOKUP($D24,'NonXtal_SegEnds_Prot#'!$A:$AY,31,FALSE)-VLOOKUP($D24,'NonXtal_SegEnds_Prot#'!$A:$AY,28,FALSE)</f>
        <v>109</v>
      </c>
      <c r="G24" s="3">
        <f>50+VLOOKUP($A24,'Xtal_SegEnds_Prot#'!$A:$AY,39,FALSE)-VLOOKUP($D24,'NonXtal_SegEnds_Prot#'!$A:$AY,28,FALSE)</f>
        <v>74</v>
      </c>
      <c r="H24" s="3">
        <f>50+VLOOKUP($A24,'Xtal_SegEnds_Prot#'!$A:$AY,41,FALSE)-VLOOKUP($D24,'NonXtal_SegEnds_Prot#'!$A:$AY,31,FALSE)</f>
        <v>24</v>
      </c>
      <c r="I24" s="3"/>
      <c r="J24" s="3"/>
      <c r="L24" s="1">
        <v>76</v>
      </c>
    </row>
    <row r="25" spans="1:14" s="1" customFormat="1" x14ac:dyDescent="0.2">
      <c r="A25" s="3" t="str">
        <f t="shared" si="0"/>
        <v>5ht2b_human__wt</v>
      </c>
      <c r="B25" s="3" t="str">
        <f>VLOOKUP(D25,Classification!A:D,3,FALSE)</f>
        <v>Aminergic</v>
      </c>
      <c r="C25" s="3" t="str">
        <f>VLOOKUP(D25,Classification!A:D,4,FALSE)</f>
        <v>5-Hydroxytryptamine</v>
      </c>
      <c r="D25" s="3" t="s">
        <v>209</v>
      </c>
      <c r="E25" s="3">
        <f>VLOOKUP($D25,'NonXtal_SegEnds_Prot#'!$A:$AY,30,FALSE)-VLOOKUP($D25,'NonXtal_SegEnds_Prot#'!$A:$AY,29,FALSE)</f>
        <v>58</v>
      </c>
      <c r="F25" s="1">
        <f>VLOOKUP($D25,'NonXtal_SegEnds_Prot#'!$A:$AY,31,FALSE)-VLOOKUP($D25,'NonXtal_SegEnds_Prot#'!$A:$AY,28,FALSE)</f>
        <v>110</v>
      </c>
      <c r="G25" s="3">
        <f>50+VLOOKUP($A25,'Xtal_SegEnds_Prot#'!$A:$AY,39,FALSE)-VLOOKUP($D25,'NonXtal_SegEnds_Prot#'!$A:$AY,28,FALSE)</f>
        <v>76</v>
      </c>
      <c r="H25" s="3">
        <f>50+VLOOKUP($A25,'Xtal_SegEnds_Prot#'!$A:$AY,41,FALSE)-VLOOKUP($D25,'NonXtal_SegEnds_Prot#'!$A:$AY,31,FALSE)</f>
        <v>24</v>
      </c>
      <c r="I25" s="3"/>
      <c r="J25" s="3"/>
    </row>
    <row r="26" spans="1:14" s="1" customFormat="1" x14ac:dyDescent="0.2">
      <c r="A26" s="3" t="str">
        <f t="shared" si="0"/>
        <v>drd3_human__wt</v>
      </c>
      <c r="B26" s="3" t="str">
        <f>VLOOKUP(D26,Classification!A:D,3,FALSE)</f>
        <v>Aminergic</v>
      </c>
      <c r="C26" s="3" t="str">
        <f>VLOOKUP(D26,Classification!A:D,4,FALSE)</f>
        <v>Dopamine</v>
      </c>
      <c r="D26" s="3" t="s">
        <v>386</v>
      </c>
      <c r="E26" s="3">
        <f>VLOOKUP($D26,'NonXtal_SegEnds_Prot#'!$A:$AY,30,FALSE)-VLOOKUP($D26,'NonXtal_SegEnds_Prot#'!$A:$AY,29,FALSE)</f>
        <v>92</v>
      </c>
      <c r="F26" s="1">
        <f>VLOOKUP($D26,'NonXtal_SegEnds_Prot#'!$A:$AY,31,FALSE)-VLOOKUP($D26,'NonXtal_SegEnds_Prot#'!$A:$AY,28,FALSE)</f>
        <v>144</v>
      </c>
      <c r="G26" s="3">
        <f>50+VLOOKUP($A26,'Xtal_SegEnds_Prot#'!$A:$AY,39,FALSE)-VLOOKUP($D26,'NonXtal_SegEnds_Prot#'!$A:$AY,28,FALSE)</f>
        <v>76</v>
      </c>
      <c r="H26" s="3">
        <f>50+VLOOKUP($A26,'Xtal_SegEnds_Prot#'!$A:$AY,41,FALSE)-VLOOKUP($D26,'NonXtal_SegEnds_Prot#'!$A:$AY,31,FALSE)</f>
        <v>24</v>
      </c>
      <c r="I26" s="3"/>
      <c r="J26" s="3"/>
    </row>
    <row r="27" spans="1:14" s="1" customFormat="1" x14ac:dyDescent="0.2">
      <c r="A27" s="3" t="str">
        <f t="shared" si="0"/>
        <v>acm1_human__wt</v>
      </c>
      <c r="B27" s="3" t="str">
        <f>VLOOKUP(D27,Classification!A:D,3,FALSE)</f>
        <v>Aminergic</v>
      </c>
      <c r="C27" s="3" t="str">
        <f>VLOOKUP(D27,Classification!A:D,4,FALSE)</f>
        <v>Acetylcholine(muscarinic)</v>
      </c>
      <c r="D27" s="3" t="s">
        <v>340</v>
      </c>
      <c r="E27" s="3">
        <f>VLOOKUP($D27,'NonXtal_SegEnds_Prot#'!$A:$AY,30,FALSE)-VLOOKUP($D27,'NonXtal_SegEnds_Prot#'!$A:$AY,29,FALSE)</f>
        <v>129</v>
      </c>
      <c r="F27" s="1">
        <f>VLOOKUP($D27,'NonXtal_SegEnds_Prot#'!$A:$AY,31,FALSE)-VLOOKUP($D27,'NonXtal_SegEnds_Prot#'!$A:$AY,28,FALSE)</f>
        <v>180</v>
      </c>
      <c r="G27" s="3">
        <f>50+VLOOKUP($A27,'Xtal_SegEnds_Prot#'!$A:$AY,39,FALSE)-VLOOKUP($D27,'NonXtal_SegEnds_Prot#'!$A:$AY,28,FALSE)</f>
        <v>75</v>
      </c>
      <c r="H27" s="3">
        <f>50+VLOOKUP($A27,'Xtal_SegEnds_Prot#'!$A:$AY,41,FALSE)-VLOOKUP($D27,'NonXtal_SegEnds_Prot#'!$A:$AY,31,FALSE)</f>
        <v>24</v>
      </c>
      <c r="I27" s="3"/>
      <c r="J27" s="3"/>
    </row>
    <row r="28" spans="1:14" s="1" customFormat="1" x14ac:dyDescent="0.2">
      <c r="A28" s="3" t="str">
        <f t="shared" si="0"/>
        <v>acm2_human__wt</v>
      </c>
      <c r="B28" s="3" t="str">
        <f>VLOOKUP(D28,Classification!A:D,3,FALSE)</f>
        <v>Aminergic</v>
      </c>
      <c r="C28" s="3" t="str">
        <f>VLOOKUP(D28,Classification!A:D,4,FALSE)</f>
        <v>Acetylcholine(muscarinic)</v>
      </c>
      <c r="D28" s="3" t="s">
        <v>341</v>
      </c>
      <c r="E28" s="3">
        <f>VLOOKUP($D28,'NonXtal_SegEnds_Prot#'!$A:$AY,30,FALSE)-VLOOKUP($D28,'NonXtal_SegEnds_Prot#'!$A:$AY,29,FALSE)</f>
        <v>153</v>
      </c>
      <c r="F28" s="1">
        <f>VLOOKUP($D28,'NonXtal_SegEnds_Prot#'!$A:$AY,31,FALSE)-VLOOKUP($D28,'NonXtal_SegEnds_Prot#'!$A:$AY,28,FALSE)</f>
        <v>204</v>
      </c>
      <c r="G28" s="3">
        <f>50+VLOOKUP($A28,'Xtal_SegEnds_Prot#'!$A:$AY,39,FALSE)-VLOOKUP($D28,'NonXtal_SegEnds_Prot#'!$A:$AY,28,FALSE)</f>
        <v>75</v>
      </c>
      <c r="H28" s="3">
        <f>50+VLOOKUP($A28,'Xtal_SegEnds_Prot#'!$A:$AY,41,FALSE)-VLOOKUP($D28,'NonXtal_SegEnds_Prot#'!$A:$AY,31,FALSE)</f>
        <v>24</v>
      </c>
      <c r="I28" s="3">
        <f>G28</f>
        <v>75</v>
      </c>
      <c r="J28" s="3">
        <f>H28</f>
        <v>24</v>
      </c>
      <c r="K28" s="1" t="s">
        <v>1518</v>
      </c>
    </row>
    <row r="29" spans="1:14" s="1" customFormat="1" x14ac:dyDescent="0.2">
      <c r="A29" s="3" t="str">
        <f t="shared" si="0"/>
        <v>acm4_human__wt</v>
      </c>
      <c r="B29" s="3" t="str">
        <f>VLOOKUP(D29,Classification!A:D,3,FALSE)</f>
        <v>Aminergic</v>
      </c>
      <c r="C29" s="3" t="str">
        <f>VLOOKUP(D29,Classification!A:D,4,FALSE)</f>
        <v>Acetylcholine(muscarinic)</v>
      </c>
      <c r="D29" s="3" t="s">
        <v>343</v>
      </c>
      <c r="E29" s="3">
        <f>VLOOKUP($D29,'NonXtal_SegEnds_Prot#'!$A:$AY,30,FALSE)-VLOOKUP($D29,'NonXtal_SegEnds_Prot#'!$A:$AY,29,FALSE)</f>
        <v>157</v>
      </c>
      <c r="F29" s="1">
        <f>VLOOKUP($D29,'NonXtal_SegEnds_Prot#'!$A:$AY,31,FALSE)-VLOOKUP($D29,'NonXtal_SegEnds_Prot#'!$A:$AY,28,FALSE)</f>
        <v>208</v>
      </c>
      <c r="G29" s="3">
        <f>50+VLOOKUP($A29,'Xtal_SegEnds_Prot#'!$A:$AY,39,FALSE)-VLOOKUP($D29,'NonXtal_SegEnds_Prot#'!$A:$AY,28,FALSE)</f>
        <v>75</v>
      </c>
      <c r="H29" s="3">
        <f>50+VLOOKUP($A29,'Xtal_SegEnds_Prot#'!$A:$AY,41,FALSE)-VLOOKUP($D29,'NonXtal_SegEnds_Prot#'!$A:$AY,31,FALSE)</f>
        <v>24</v>
      </c>
      <c r="I29" s="3"/>
      <c r="J29" s="3"/>
    </row>
    <row r="30" spans="1:14" x14ac:dyDescent="0.2">
      <c r="A30" s="3" t="str">
        <f t="shared" si="0"/>
        <v>hrh1_human__wt</v>
      </c>
      <c r="B30" s="3" t="str">
        <f>VLOOKUP(D30,Classification!A:D,3,FALSE)</f>
        <v>Aminergic</v>
      </c>
      <c r="C30" s="3" t="str">
        <f>VLOOKUP(D30,Classification!A:D,4,FALSE)</f>
        <v>Histamine</v>
      </c>
      <c r="D30" s="3" t="s">
        <v>472</v>
      </c>
      <c r="E30" s="3">
        <f>VLOOKUP($D30,'NonXtal_SegEnds_Prot#'!$A:$AY,30,FALSE)-VLOOKUP($D30,'NonXtal_SegEnds_Prot#'!$A:$AY,29,FALSE)</f>
        <v>176</v>
      </c>
      <c r="F30" s="1">
        <f>VLOOKUP($D30,'NonXtal_SegEnds_Prot#'!$A:$AY,31,FALSE)-VLOOKUP($D30,'NonXtal_SegEnds_Prot#'!$A:$AY,28,FALSE)</f>
        <v>228</v>
      </c>
      <c r="G30" s="3">
        <f>50+VLOOKUP($A30,'Xtal_SegEnds_Prot#'!$A:$AY,39,FALSE)-VLOOKUP($D30,'NonXtal_SegEnds_Prot#'!$A:$AY,28,FALSE)</f>
        <v>76</v>
      </c>
      <c r="H30" s="3">
        <f>50+VLOOKUP($A30,'Xtal_SegEnds_Prot#'!$A:$AY,41,FALSE)-VLOOKUP($D30,'NonXtal_SegEnds_Prot#'!$A:$AY,31,FALSE)</f>
        <v>24</v>
      </c>
      <c r="I30" s="3"/>
      <c r="J30" s="3"/>
    </row>
    <row r="31" spans="1:14" x14ac:dyDescent="0.2">
      <c r="A31" s="3" t="str">
        <f t="shared" si="0"/>
        <v>acm3_rat__wt</v>
      </c>
      <c r="B31" s="3" t="str">
        <f>VLOOKUP(D31,Classification!A:D,3,FALSE)</f>
        <v>Aminergic</v>
      </c>
      <c r="C31" s="3" t="str">
        <f>VLOOKUP(D31,Classification!A:D,4,FALSE)</f>
        <v>Acetylcholine(muscarinic)</v>
      </c>
      <c r="D31" s="3" t="s">
        <v>1106</v>
      </c>
      <c r="E31" s="3">
        <f>VLOOKUP($D31,'NonXtal_SegEnds_Prot#'!$A:$AY,30,FALSE)-VLOOKUP($D31,'NonXtal_SegEnds_Prot#'!$A:$AY,29,FALSE)</f>
        <v>212</v>
      </c>
      <c r="F31" s="1">
        <f>VLOOKUP($D31,'NonXtal_SegEnds_Prot#'!$A:$AY,31,FALSE)-VLOOKUP($D31,'NonXtal_SegEnds_Prot#'!$A:$AY,28,FALSE)</f>
        <v>263</v>
      </c>
      <c r="G31" s="3">
        <f>50+VLOOKUP($A31,'Xtal_SegEnds_Prot#'!$A:$AY,39,FALSE)-VLOOKUP($D31,'NonXtal_SegEnds_Prot#'!$A:$AY,28,FALSE)</f>
        <v>75</v>
      </c>
      <c r="H31" s="3">
        <f>50+VLOOKUP($A31,'Xtal_SegEnds_Prot#'!$A:$AY,41,FALSE)-VLOOKUP($D31,'NonXtal_SegEnds_Prot#'!$A:$AY,31,FALSE)</f>
        <v>24</v>
      </c>
      <c r="I31" s="3"/>
      <c r="J31" s="3"/>
    </row>
    <row r="32" spans="1:14" s="125" customFormat="1" x14ac:dyDescent="0.2">
      <c r="A32" s="124" t="str">
        <f>D32&amp;"__wt"</f>
        <v>opsd_todpa__wt</v>
      </c>
      <c r="B32" s="124" t="str">
        <f>VLOOKUP(D32,Classification!A:D,3,FALSE)</f>
        <v>Sensory</v>
      </c>
      <c r="C32" s="124" t="str">
        <f>VLOOKUP(D32,Classification!A:D,4,FALSE)</f>
        <v>Opsins</v>
      </c>
      <c r="D32" s="124" t="s">
        <v>1118</v>
      </c>
      <c r="E32" s="124">
        <f>VLOOKUP($D32,'NonXtal_SegEnds_Prot#'!$A:$AY,30,FALSE)-VLOOKUP($D32,'NonXtal_SegEnds_Prot#'!$A:$AY,29,FALSE)</f>
        <v>5</v>
      </c>
      <c r="F32" s="91">
        <f>VLOOKUP($D32,'NonXtal_SegEnds_Prot#'!$A:$AY,31,FALSE)-VLOOKUP($D32,'NonXtal_SegEnds_Prot#'!$A:$AY,28,FALSE)</f>
        <v>64</v>
      </c>
      <c r="G32" s="124">
        <f>50+VLOOKUP($A32,'Xtal_SegEnds_Prot#'!$A:$AY,39,FALSE)-VLOOKUP($D32,'NonXtal_SegEnds_Prot#'!$A:$AY,28,FALSE)</f>
        <v>77</v>
      </c>
      <c r="H32" s="124">
        <f>50+VLOOKUP($A32,'Xtal_SegEnds_Prot#'!$A:$AY,41,FALSE)-VLOOKUP($D32,'NonXtal_SegEnds_Prot#'!$A:$AY,31,FALSE)</f>
        <v>18</v>
      </c>
      <c r="I32" s="124" t="s">
        <v>1565</v>
      </c>
      <c r="J32" s="124"/>
    </row>
    <row r="33" spans="1:14" s="1" customFormat="1" x14ac:dyDescent="0.2">
      <c r="A33" s="3" t="str">
        <f>D33&amp;"__wt"</f>
        <v>ox2r_human__wt</v>
      </c>
      <c r="B33" s="3" t="str">
        <f>VLOOKUP(D33,Classification!A:D,3,FALSE)</f>
        <v>Peptide</v>
      </c>
      <c r="C33" s="3" t="str">
        <f>VLOOKUP(D33,Classification!A:D,4,FALSE)</f>
        <v>Orexin</v>
      </c>
      <c r="D33" s="100" t="s">
        <v>1395</v>
      </c>
      <c r="E33" s="3">
        <f>VLOOKUP($D33,'NonXtal_SegEnds_Prot#'!$A:$AY,30,FALSE)-VLOOKUP($D33,'NonXtal_SegEnds_Prot#'!$A:$AY,29,FALSE)</f>
        <v>33</v>
      </c>
      <c r="F33" s="1">
        <f>VLOOKUP($D33,'NonXtal_SegEnds_Prot#'!$A:$AY,31,FALSE)-VLOOKUP($D33,'NonXtal_SegEnds_Prot#'!$A:$AY,28,FALSE)</f>
        <v>84</v>
      </c>
      <c r="G33" s="3">
        <f>50+VLOOKUP($A33,'Xtal_SegEnds_Prot#'!$A:$AY,39,FALSE)-VLOOKUP($D33,'NonXtal_SegEnds_Prot#'!$A:$AY,28,FALSE)</f>
        <v>71</v>
      </c>
      <c r="H33" s="3">
        <f>50+VLOOKUP($A33,'Xtal_SegEnds_Prot#'!$A:$AY,41,FALSE)-VLOOKUP($D33,'NonXtal_SegEnds_Prot#'!$A:$AY,31,FALSE)</f>
        <v>20</v>
      </c>
      <c r="I33" s="3"/>
      <c r="J33" s="3"/>
      <c r="M33" s="1" t="s">
        <v>1521</v>
      </c>
      <c r="N33" s="1" t="s">
        <v>1527</v>
      </c>
    </row>
    <row r="34" spans="1:14" x14ac:dyDescent="0.2">
      <c r="A34" s="3" t="str">
        <f>D34&amp;"__wt"</f>
        <v>ox1r_human__wt</v>
      </c>
      <c r="B34" s="3" t="str">
        <f>VLOOKUP(D34,Classification!A:D,3,FALSE)</f>
        <v>Peptide</v>
      </c>
      <c r="C34" s="3" t="str">
        <f>VLOOKUP(D34,Classification!A:D,4,FALSE)</f>
        <v>Orexin</v>
      </c>
      <c r="D34" s="100" t="s">
        <v>1394</v>
      </c>
      <c r="E34" s="3">
        <f>VLOOKUP($D34,'NonXtal_SegEnds_Prot#'!$A:$AY,30,FALSE)-VLOOKUP($D34,'NonXtal_SegEnds_Prot#'!$A:$AY,29,FALSE)</f>
        <v>35</v>
      </c>
      <c r="F34" s="1">
        <f>VLOOKUP($D34,'NonXtal_SegEnds_Prot#'!$A:$AY,31,FALSE)-VLOOKUP($D34,'NonXtal_SegEnds_Prot#'!$A:$AY,28,FALSE)</f>
        <v>86</v>
      </c>
      <c r="G34" s="3">
        <f>50+VLOOKUP($A34,'Xtal_SegEnds_Prot#'!$A:$AY,39,FALSE)-VLOOKUP($D34,'NonXtal_SegEnds_Prot#'!$A:$AY,28,FALSE)</f>
        <v>71</v>
      </c>
      <c r="H34" s="3">
        <f>50+VLOOKUP($A34,'Xtal_SegEnds_Prot#'!$A:$AY,41,FALSE)-VLOOKUP($D34,'NonXtal_SegEnds_Prot#'!$A:$AY,31,FALSE)</f>
        <v>20</v>
      </c>
      <c r="I34" s="3"/>
      <c r="J34" s="3"/>
      <c r="M34" s="1" t="s">
        <v>1521</v>
      </c>
      <c r="N34" s="1" t="s">
        <v>1527</v>
      </c>
    </row>
    <row r="35" spans="1:14" s="1" customFormat="1" x14ac:dyDescent="0.2">
      <c r="A35" s="3" t="str">
        <f>D35&amp;"__wt"</f>
        <v>adrb1_melga__wt</v>
      </c>
      <c r="B35" s="3" t="str">
        <f>VLOOKUP(D35,Classification!A:D,3,FALSE)</f>
        <v>Aminergic</v>
      </c>
      <c r="C35" s="3" t="str">
        <f>VLOOKUP(D35,Classification!A:D,4,FALSE)</f>
        <v>Adrenoceptors</v>
      </c>
      <c r="D35" s="3" t="s">
        <v>1108</v>
      </c>
      <c r="E35" s="3">
        <f>VLOOKUP($D35,'NonXtal_SegEnds_Prot#'!$A:$AY,30,FALSE)-VLOOKUP($D35,'NonXtal_SegEnds_Prot#'!$A:$AY,29,FALSE)</f>
        <v>30</v>
      </c>
      <c r="F35" s="1">
        <f>VLOOKUP($D35,'NonXtal_SegEnds_Prot#'!$A:$AY,31,FALSE)-VLOOKUP($D35,'NonXtal_SegEnds_Prot#'!$A:$AY,28,FALSE)</f>
        <v>86</v>
      </c>
      <c r="G35" s="3">
        <f>50+VLOOKUP($A35,'Xtal_SegEnds_Prot#'!$A:$AY,39,FALSE)-VLOOKUP($D35,'NonXtal_SegEnds_Prot#'!$A:$AY,28,FALSE)</f>
        <v>76</v>
      </c>
      <c r="H35" s="3">
        <f>50+VLOOKUP($A35,'Xtal_SegEnds_Prot#'!$A:$AY,41,FALSE)-VLOOKUP($D35,'NonXtal_SegEnds_Prot#'!$A:$AY,31,FALSE)</f>
        <v>20</v>
      </c>
      <c r="I35" s="3">
        <f>G35</f>
        <v>76</v>
      </c>
      <c r="J35" s="3">
        <f>H35</f>
        <v>20</v>
      </c>
      <c r="K35" s="1" t="s">
        <v>1518</v>
      </c>
    </row>
  </sheetData>
  <sortState ref="A2:K38">
    <sortCondition ref="F2:F38"/>
    <sortCondition ref="G2:G38"/>
    <sortCondition ref="H2:H38"/>
  </sortState>
  <customSheetViews>
    <customSheetView guid="{3E3401AF-8459-8641-BD70-AD04F80E86ED}" scale="160">
      <pane ySplit="1" topLeftCell="A11" activePane="bottomLeft" state="frozenSplit"/>
      <selection pane="bottomLeft" activeCell="N30" sqref="N30"/>
      <pageMargins left="0.7" right="0.7" top="0.75" bottom="0.75" header="0.3" footer="0.3"/>
      <pageSetup paperSize="9" orientation="portrait" horizontalDpi="0" verticalDpi="0" copies="2"/>
    </customSheetView>
  </customSheetViews>
  <phoneticPr fontId="12" type="noConversion"/>
  <conditionalFormatting sqref="C1:C1048576">
    <cfRule type="cellIs" dxfId="35" priority="10" operator="equal">
      <formula>"Opsins"</formula>
    </cfRule>
    <cfRule type="cellIs" dxfId="34" priority="11" operator="equal">
      <formula>"Opioid"</formula>
    </cfRule>
    <cfRule type="cellIs" dxfId="33" priority="12" operator="equal">
      <formula>"P2Y"</formula>
    </cfRule>
    <cfRule type="cellIs" dxfId="32" priority="13" operator="equal">
      <formula>"Chemokine"</formula>
    </cfRule>
  </conditionalFormatting>
  <conditionalFormatting sqref="B3:B35">
    <cfRule type="cellIs" dxfId="31" priority="5" operator="equal">
      <formula>"Aminergic"</formula>
    </cfRule>
    <cfRule type="cellIs" dxfId="30" priority="6" operator="equal">
      <formula>"Opsins"</formula>
    </cfRule>
    <cfRule type="cellIs" dxfId="29" priority="7" operator="equal">
      <formula>"Opioid"</formula>
    </cfRule>
    <cfRule type="cellIs" dxfId="28" priority="8" operator="equal">
      <formula>"P2Y"</formula>
    </cfRule>
    <cfRule type="cellIs" dxfId="27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2 H1:J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E35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G406"/>
  <sheetViews>
    <sheetView zoomScale="135" zoomScaleNormal="135" zoomScalePageLayoutView="135" workbookViewId="0">
      <pane ySplit="1" topLeftCell="A194" activePane="bottomLeft" state="frozenSplit"/>
      <selection pane="bottomLeft" activeCell="A212" sqref="A1:A1048576"/>
    </sheetView>
  </sheetViews>
  <sheetFormatPr baseColWidth="10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8" width="3.1640625" style="1" bestFit="1" customWidth="1"/>
    <col min="9" max="10" width="4.1640625" style="1" bestFit="1" customWidth="1"/>
    <col min="11" max="12" width="3.1640625" style="1" bestFit="1" customWidth="1"/>
    <col min="13" max="14" width="3.6640625" style="1" bestFit="1" customWidth="1"/>
    <col min="15" max="15" width="3.1640625" style="1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23" customWidth="1"/>
    <col min="21" max="26" width="3.1640625" style="1" bestFit="1" customWidth="1"/>
    <col min="27" max="27" width="3.33203125" style="63" customWidth="1"/>
    <col min="28" max="28" width="4.6640625" style="1" customWidth="1"/>
    <col min="29" max="29" width="8.1640625" style="1" customWidth="1"/>
    <col min="30" max="30" width="5" style="1" customWidth="1"/>
    <col min="31" max="32" width="6.5" style="1" customWidth="1"/>
    <col min="33" max="33" width="5.83203125" style="1" customWidth="1"/>
    <col min="34" max="16384" width="10.83203125" style="1"/>
  </cols>
  <sheetData>
    <row r="1" spans="1:33" x14ac:dyDescent="0.2">
      <c r="A1" s="17" t="s">
        <v>205</v>
      </c>
      <c r="B1" s="17" t="s">
        <v>1426</v>
      </c>
      <c r="C1" s="62" t="s">
        <v>1267</v>
      </c>
      <c r="D1" s="11" t="s">
        <v>1268</v>
      </c>
      <c r="E1" s="11" t="s">
        <v>1284</v>
      </c>
      <c r="F1" s="11" t="s">
        <v>1285</v>
      </c>
      <c r="G1" s="11" t="s">
        <v>1269</v>
      </c>
      <c r="H1" s="11" t="s">
        <v>1270</v>
      </c>
      <c r="I1" s="11" t="s">
        <v>1286</v>
      </c>
      <c r="J1" s="11" t="s">
        <v>1287</v>
      </c>
      <c r="K1" s="11" t="s">
        <v>1271</v>
      </c>
      <c r="L1" s="11" t="s">
        <v>1272</v>
      </c>
      <c r="M1" s="11" t="s">
        <v>1299</v>
      </c>
      <c r="N1" s="11" t="s">
        <v>1300</v>
      </c>
      <c r="O1" s="11" t="s">
        <v>1273</v>
      </c>
      <c r="P1" s="11" t="s">
        <v>1274</v>
      </c>
      <c r="Q1" s="11" t="s">
        <v>1302</v>
      </c>
      <c r="R1" s="11" t="s">
        <v>1303</v>
      </c>
      <c r="S1" s="11" t="s">
        <v>1275</v>
      </c>
      <c r="T1" s="80" t="s">
        <v>1276</v>
      </c>
      <c r="U1" s="11" t="s">
        <v>1277</v>
      </c>
      <c r="V1" s="11" t="s">
        <v>1278</v>
      </c>
      <c r="W1" s="11" t="s">
        <v>1279</v>
      </c>
      <c r="X1" s="11" t="s">
        <v>1280</v>
      </c>
      <c r="Y1" s="11" t="s">
        <v>1281</v>
      </c>
      <c r="Z1" s="11" t="s">
        <v>1282</v>
      </c>
      <c r="AA1" s="62" t="s">
        <v>292</v>
      </c>
      <c r="AB1" s="73" t="s">
        <v>1513</v>
      </c>
      <c r="AC1" s="73" t="s">
        <v>1509</v>
      </c>
      <c r="AD1" s="73" t="s">
        <v>1463</v>
      </c>
      <c r="AE1" s="62" t="s">
        <v>1506</v>
      </c>
      <c r="AF1" s="73" t="s">
        <v>1464</v>
      </c>
      <c r="AG1" s="73" t="s">
        <v>1461</v>
      </c>
    </row>
    <row r="2" spans="1:33" x14ac:dyDescent="0.2">
      <c r="A2" s="1" t="s">
        <v>360</v>
      </c>
      <c r="B2" s="1" t="str">
        <f>VLOOKUP(A2,Xtal_Templ!A:B,2,FALSE)</f>
        <v>cxcr4_human</v>
      </c>
      <c r="C2" s="5">
        <f>VLOOKUP($B2&amp;"__wt",'Xtal_SegEnds_BW#'!$A:$Z,3,FALSE)</f>
        <v>24</v>
      </c>
      <c r="D2" s="1">
        <f>VLOOKUP($B2&amp;"__wt",'Xtal_SegEnds_BW#'!$A:$Z,4,FALSE)</f>
        <v>60</v>
      </c>
      <c r="E2" s="1">
        <f>VLOOKUP($B2&amp;"__wt",'Xtal_SegEnds_BW#'!$A:$Z,5,FALSE)</f>
        <v>48</v>
      </c>
      <c r="F2" s="1">
        <f>VLOOKUP($B2&amp;"__wt",'Xtal_SegEnds_BW#'!$A:$Z,6,FALSE)</f>
        <v>51</v>
      </c>
      <c r="G2" s="1">
        <v>37</v>
      </c>
      <c r="H2" s="1">
        <f>VLOOKUP($B2&amp;"__wt",'Xtal_SegEnds_BW#'!$A:$Z,8,FALSE)</f>
        <v>66</v>
      </c>
      <c r="I2" s="1">
        <f>VLOOKUP($B2&amp;"__wt",'Xtal_SegEnds_BW#'!$A:$Z,9,FALSE)</f>
        <v>49</v>
      </c>
      <c r="J2" s="1">
        <f>VLOOKUP($B2&amp;"__wt",'Xtal_SegEnds_BW#'!$A:$Z,10,FALSE)</f>
        <v>52</v>
      </c>
      <c r="K2" s="1">
        <v>18</v>
      </c>
      <c r="L2" s="1">
        <f>VLOOKUP($B2&amp;"__wt",'Xtal_SegEnds_BW#'!$A:$Z,12,FALSE)</f>
        <v>56</v>
      </c>
      <c r="M2" s="1">
        <f>VLOOKUP($B2&amp;"__wt",'Xtal_SegEnds_BW#'!$A:$Z,13,FALSE)</f>
        <v>50</v>
      </c>
      <c r="N2" s="1">
        <v>57</v>
      </c>
      <c r="O2" s="1">
        <v>39</v>
      </c>
      <c r="P2" s="1">
        <f>VLOOKUP($B2&amp;"__wt",'Xtal_SegEnds_BW#'!$A:$Z,16,FALSE)</f>
        <v>64</v>
      </c>
      <c r="Q2" s="1">
        <f>VLOOKUP($B2&amp;"__wt",'Xtal_SegEnds_BW#'!$A:$Z,17,FALSE)</f>
        <v>50</v>
      </c>
      <c r="R2" s="1">
        <f>VLOOKUP($B2&amp;"__wt",'Xtal_SegEnds_BW#'!$A:$Z,18,FALSE)</f>
        <v>52</v>
      </c>
      <c r="S2" s="1">
        <f>VLOOKUP($B2&amp;"__wt",'Xtal_SegEnds_BW#'!$A:$Z,19,FALSE)</f>
        <v>32</v>
      </c>
      <c r="T2" s="23">
        <f t="array" ref="T2">INDEX('ICL3'!$G$2:$G$31,MATCH(MIN(ABS(AF2-'ICL3'!$F$2:$F$31)),ABS(AF2-'ICL3'!$F$2:$F$31),0))</f>
        <v>64</v>
      </c>
      <c r="U2" s="1">
        <f t="array" ref="U2">INDEX('ICL3'!$H$2:$H$22,MATCH(MIN(ABS(AF2-'ICL3'!$F$2:$F$22)),ABS(AF2-'ICL3'!$F$2:$F$22),0))</f>
        <v>34</v>
      </c>
      <c r="V2" s="1">
        <v>61</v>
      </c>
      <c r="W2" s="1">
        <v>28</v>
      </c>
      <c r="X2" s="1">
        <f>VLOOKUP($B2&amp;"__wt",'Xtal_SegEnds_BW#'!$A:$Z,24,FALSE)</f>
        <v>56</v>
      </c>
      <c r="Y2" s="1">
        <f>VLOOKUP($B2&amp;"__wt",'Xtal_SegEnds_BW#'!$A:$Z,25,FALSE)</f>
        <v>47</v>
      </c>
      <c r="Z2" s="1">
        <f>VLOOKUP($B2&amp;"__wt",'Xtal_SegEnds_BW#'!$A:$Z,26,FALSE)</f>
        <v>59</v>
      </c>
      <c r="AA2" s="63" t="str">
        <f>VLOOKUP(A2,Classification!A:B,2,FALSE)</f>
        <v>A</v>
      </c>
      <c r="AB2" s="1" t="e">
        <f>VLOOKUP(A2,'NonXtal_SegEnds_Prot#'!A:AL,10,FALSE)-VLOOKUP(A2,'NonXtal_SegEnds_Prot#'!A:AL,7,FALSE)</f>
        <v>#VALUE!</v>
      </c>
      <c r="AC2" s="1">
        <f>VLOOKUP(A2,'NonXtal_SegEnds_Prot#'!A:AL,13,FALSE)-VLOOKUP(A2,'NonXtal_SegEnds_Prot#'!A:AL,10,FALSE)</f>
        <v>20</v>
      </c>
      <c r="AD2" s="1">
        <f>VLOOKUP(A2,'NonXtal_SegEnds_Prot#'!A:AL,16,FALSE)-VLOOKUP(A2,'NonXtal_SegEnds_Prot#'!A:AL,10,FALSE)</f>
        <v>52</v>
      </c>
      <c r="AE2" s="1">
        <f>VLOOKUP(A2,'NonXtal_SegEnds_Prot#'!A:AL,28,FALSE)-VLOOKUP(A2,'NonXtal_SegEnds_Prot#'!A:AL,25,FALSE)</f>
        <v>26</v>
      </c>
      <c r="AF2" s="1">
        <f>VLOOKUP(A2,'NonXtal_SegEnds_Prot#'!A:AL,31,FALSE)-VLOOKUP(A2,'NonXtal_SegEnds_Prot#'!A:AL,28,FALSE)</f>
        <v>36</v>
      </c>
      <c r="AG2" s="1">
        <f>VLOOKUP(A2,'NonXtal_SegEnds_Prot#'!A:AL,34,FALSE)-VLOOKUP(A2,'NonXtal_SegEnds_Prot#'!A:AL,31,FALSE)</f>
        <v>40</v>
      </c>
    </row>
    <row r="3" spans="1:33" x14ac:dyDescent="0.2">
      <c r="A3" s="1" t="s">
        <v>336</v>
      </c>
      <c r="B3" s="1" t="str">
        <f>VLOOKUP(A3,Xtal_Templ!A:B,2,FALSE)</f>
        <v>ccr5_human</v>
      </c>
      <c r="C3" s="5">
        <f>VLOOKUP($B3&amp;"__wt",'Xtal_SegEnds_BW#'!$A:$Z,3,FALSE)</f>
        <v>27</v>
      </c>
      <c r="D3" s="1">
        <f>VLOOKUP($B3&amp;"__wt",'Xtal_SegEnds_BW#'!$A:$Z,4,FALSE)</f>
        <v>60</v>
      </c>
      <c r="E3" s="1">
        <f>VLOOKUP($B3&amp;"__wt",'Xtal_SegEnds_BW#'!$A:$Z,5,FALSE)</f>
        <v>48</v>
      </c>
      <c r="F3" s="1">
        <f>VLOOKUP($B3&amp;"__wt",'Xtal_SegEnds_BW#'!$A:$Z,6,FALSE)</f>
        <v>51</v>
      </c>
      <c r="G3" s="1">
        <v>37</v>
      </c>
      <c r="H3" s="1">
        <v>66</v>
      </c>
      <c r="I3" s="1">
        <f>VLOOKUP($B3&amp;"__wt",'Xtal_SegEnds_BW#'!$A:$Z,9,FALSE)</f>
        <v>49</v>
      </c>
      <c r="J3" s="1">
        <f>VLOOKUP($B3&amp;"__wt",'Xtal_SegEnds_BW#'!$A:$Z,10,FALSE)</f>
        <v>52</v>
      </c>
      <c r="K3" s="1">
        <v>24</v>
      </c>
      <c r="L3" s="1">
        <f>VLOOKUP($B3&amp;"__wt",'Xtal_SegEnds_BW#'!$A:$Z,12,FALSE)</f>
        <v>56</v>
      </c>
      <c r="M3" s="1">
        <f>VLOOKUP($B3&amp;"__wt",'Xtal_SegEnds_BW#'!$A:$Z,13,FALSE)</f>
        <v>50</v>
      </c>
      <c r="N3" s="1">
        <f>VLOOKUP($B3&amp;"__wt",'Xtal_SegEnds_BW#'!$A:$Z,14,FALSE)</f>
        <v>57</v>
      </c>
      <c r="O3" s="1">
        <v>39</v>
      </c>
      <c r="P3" s="1">
        <f>VLOOKUP($B3&amp;"__wt",'Xtal_SegEnds_BW#'!$A:$Z,16,FALSE)</f>
        <v>64</v>
      </c>
      <c r="Q3" s="1">
        <f>VLOOKUP($B3&amp;"__wt",'Xtal_SegEnds_BW#'!$A:$Z,17,FALSE)</f>
        <v>50</v>
      </c>
      <c r="R3" s="1">
        <f>VLOOKUP($B3&amp;"__wt",'Xtal_SegEnds_BW#'!$A:$Z,18,FALSE)</f>
        <v>52</v>
      </c>
      <c r="S3" s="1">
        <f>VLOOKUP($B3&amp;"__wt",'Xtal_SegEnds_BW#'!$A:$Z,19,FALSE)</f>
        <v>31</v>
      </c>
      <c r="T3" s="23">
        <f t="array" ref="T3">INDEX('ICL3'!$G$2:$G$31,MATCH(MIN(ABS(AF3-'ICL3'!$F$2:$F$31)),ABS(AF3-'ICL3'!$F$2:$F$31),0))</f>
        <v>64</v>
      </c>
      <c r="U3" s="1">
        <f t="array" ref="U3">INDEX('ICL3'!$H$2:$H$31,MATCH(MIN(ABS(AF3-'ICL3'!$F$2:$F$31)),ABS(AF3-'ICL3'!$F$2:$F$31),0))</f>
        <v>34</v>
      </c>
      <c r="V3" s="1">
        <v>64</v>
      </c>
      <c r="W3" s="1">
        <v>24</v>
      </c>
      <c r="X3" s="1">
        <f>VLOOKUP($B3&amp;"__wt",'Xtal_SegEnds_BW#'!$A:$Z,24,FALSE)</f>
        <v>56</v>
      </c>
      <c r="Y3" s="1">
        <f>VLOOKUP($B3&amp;"__wt",'Xtal_SegEnds_BW#'!$A:$Z,25,FALSE)</f>
        <v>47</v>
      </c>
      <c r="Z3" s="1">
        <f>VLOOKUP($B3&amp;"__wt",'Xtal_SegEnds_BW#'!$A:$Z,26,FALSE)</f>
        <v>59</v>
      </c>
      <c r="AA3" s="63" t="str">
        <f>VLOOKUP(A3,Classification!A:B,2,FALSE)</f>
        <v>A</v>
      </c>
      <c r="AB3" s="1" t="e">
        <f>VLOOKUP(A3,'NonXtal_SegEnds_Prot#'!A:AL,10,FALSE)-VLOOKUP(A3,'NonXtal_SegEnds_Prot#'!A:AL,7,FALSE)</f>
        <v>#VALUE!</v>
      </c>
      <c r="AC3" s="1" t="e">
        <f>VLOOKUP(A3,'NonXtal_SegEnds_Prot#'!A:AL,13,FALSE)-VLOOKUP(A3,'NonXtal_SegEnds_Prot#'!A:AL,10,FALSE)</f>
        <v>#VALUE!</v>
      </c>
      <c r="AD3" s="1">
        <f>VLOOKUP(A3,'NonXtal_SegEnds_Prot#'!A:AL,16,FALSE)-VLOOKUP(A3,'NonXtal_SegEnds_Prot#'!A:AL,10,FALSE)</f>
        <v>48</v>
      </c>
      <c r="AE3" s="1">
        <f>VLOOKUP(A3,'NonXtal_SegEnds_Prot#'!A:AL,28,FALSE)-VLOOKUP(A3,'NonXtal_SegEnds_Prot#'!A:AL,25,FALSE)</f>
        <v>23</v>
      </c>
      <c r="AF3" s="1">
        <f>VLOOKUP(A3,'NonXtal_SegEnds_Prot#'!A:AL,31,FALSE)-VLOOKUP(A3,'NonXtal_SegEnds_Prot#'!A:AL,28,FALSE)</f>
        <v>37</v>
      </c>
      <c r="AG3" s="1">
        <f>VLOOKUP(A3,'NonXtal_SegEnds_Prot#'!A:AL,34,FALSE)-VLOOKUP(A3,'NonXtal_SegEnds_Prot#'!A:AL,31,FALSE)</f>
        <v>46</v>
      </c>
    </row>
    <row r="4" spans="1:33" x14ac:dyDescent="0.2">
      <c r="A4" s="1" t="s">
        <v>372</v>
      </c>
      <c r="B4" s="1" t="str">
        <f>VLOOKUP(A4,Xtal_Templ!A:B,2,FALSE)</f>
        <v>ccr5_human</v>
      </c>
      <c r="C4" s="5">
        <f>VLOOKUP($B4&amp;"__wt",'Xtal_SegEnds_BW#'!$A:$Z,3,FALSE)</f>
        <v>27</v>
      </c>
      <c r="D4" s="1">
        <f>VLOOKUP($B4&amp;"__wt",'Xtal_SegEnds_BW#'!$A:$Z,4,FALSE)</f>
        <v>60</v>
      </c>
      <c r="E4" s="1">
        <f>VLOOKUP($B4&amp;"__wt",'Xtal_SegEnds_BW#'!$A:$Z,5,FALSE)</f>
        <v>48</v>
      </c>
      <c r="F4" s="1">
        <f>VLOOKUP($B4&amp;"__wt",'Xtal_SegEnds_BW#'!$A:$Z,6,FALSE)</f>
        <v>51</v>
      </c>
      <c r="G4" s="1">
        <v>37</v>
      </c>
      <c r="H4" s="1">
        <v>63</v>
      </c>
      <c r="I4" s="1">
        <f>VLOOKUP($B4&amp;"__wt",'Xtal_SegEnds_BW#'!$A:$Z,9,FALSE)</f>
        <v>49</v>
      </c>
      <c r="J4" s="1">
        <f>VLOOKUP($B4&amp;"__wt",'Xtal_SegEnds_BW#'!$A:$Z,10,FALSE)</f>
        <v>52</v>
      </c>
      <c r="K4" s="1">
        <v>26</v>
      </c>
      <c r="L4" s="1">
        <f>VLOOKUP($B4&amp;"__wt",'Xtal_SegEnds_BW#'!$A:$Z,12,FALSE)</f>
        <v>56</v>
      </c>
      <c r="M4" s="1">
        <f>VLOOKUP($B4&amp;"__wt",'Xtal_SegEnds_BW#'!$A:$Z,13,FALSE)</f>
        <v>50</v>
      </c>
      <c r="N4" s="1">
        <v>58</v>
      </c>
      <c r="O4" s="1">
        <v>39</v>
      </c>
      <c r="P4" s="1">
        <f>VLOOKUP($B4&amp;"__wt",'Xtal_SegEnds_BW#'!$A:$Z,16,FALSE)</f>
        <v>64</v>
      </c>
      <c r="Q4" s="1">
        <f>VLOOKUP($B4&amp;"__wt",'Xtal_SegEnds_BW#'!$A:$Z,17,FALSE)</f>
        <v>50</v>
      </c>
      <c r="R4" s="1">
        <f>VLOOKUP($B4&amp;"__wt",'Xtal_SegEnds_BW#'!$A:$Z,18,FALSE)</f>
        <v>52</v>
      </c>
      <c r="S4" s="1">
        <f>VLOOKUP($B4&amp;"__wt",'Xtal_SegEnds_BW#'!$A:$Z,19,FALSE)</f>
        <v>31</v>
      </c>
      <c r="T4" s="23">
        <f t="array" ref="T4">INDEX('ICL3'!$G$2:$G$31,MATCH(MIN(ABS(AF4-'ICL3'!$F$2:$F$31)),ABS(AF4-'ICL3'!$F$2:$F$31),0))</f>
        <v>68</v>
      </c>
      <c r="U4" s="1">
        <f t="array" ref="U4">INDEX('ICL3'!$H$2:$H$31,MATCH(MIN(ABS(AF4-'ICL3'!$F$2:$F$31)),ABS(AF4-'ICL3'!$F$2:$F$31),0))</f>
        <v>30</v>
      </c>
      <c r="V4" s="1">
        <v>64</v>
      </c>
      <c r="W4" s="1">
        <v>24</v>
      </c>
      <c r="X4" s="1">
        <f>VLOOKUP($B4&amp;"__wt",'Xtal_SegEnds_BW#'!$A:$Z,24,FALSE)</f>
        <v>56</v>
      </c>
      <c r="Y4" s="1">
        <f>VLOOKUP($B4&amp;"__wt",'Xtal_SegEnds_BW#'!$A:$Z,25,FALSE)</f>
        <v>47</v>
      </c>
      <c r="Z4" s="1">
        <f>VLOOKUP($B4&amp;"__wt",'Xtal_SegEnds_BW#'!$A:$Z,26,FALSE)</f>
        <v>59</v>
      </c>
      <c r="AA4" s="63" t="str">
        <f>VLOOKUP(A4,Classification!A:B,2,FALSE)</f>
        <v>A</v>
      </c>
      <c r="AB4" s="1">
        <f>VLOOKUP(A4,'NonXtal_SegEnds_Prot#'!A:AL,10,FALSE)-VLOOKUP(A4,'NonXtal_SegEnds_Prot#'!A:AL,7,FALSE)</f>
        <v>15</v>
      </c>
      <c r="AC4" s="1" t="e">
        <f>VLOOKUP(A4,'NonXtal_SegEnds_Prot#'!A:AL,13,FALSE)-VLOOKUP(A4,'NonXtal_SegEnds_Prot#'!A:AL,10,FALSE)</f>
        <v>#VALUE!</v>
      </c>
      <c r="AD4" s="1">
        <f>VLOOKUP(A4,'NonXtal_SegEnds_Prot#'!A:AL,16,FALSE)-VLOOKUP(A4,'NonXtal_SegEnds_Prot#'!A:AL,10,FALSE)</f>
        <v>44</v>
      </c>
      <c r="AE4" s="1">
        <f>VLOOKUP(A4,'NonXtal_SegEnds_Prot#'!A:AL,28,FALSE)-VLOOKUP(A4,'NonXtal_SegEnds_Prot#'!A:AL,25,FALSE)</f>
        <v>31</v>
      </c>
      <c r="AF4" s="1">
        <f>VLOOKUP(A4,'NonXtal_SegEnds_Prot#'!A:AL,31,FALSE)-VLOOKUP(A4,'NonXtal_SegEnds_Prot#'!A:AL,28,FALSE)</f>
        <v>41</v>
      </c>
      <c r="AG4" s="1">
        <f>VLOOKUP(A4,'NonXtal_SegEnds_Prot#'!A:AL,34,FALSE)-VLOOKUP(A4,'NonXtal_SegEnds_Prot#'!A:AL,31,FALSE)</f>
        <v>44</v>
      </c>
    </row>
    <row r="5" spans="1:33" x14ac:dyDescent="0.2">
      <c r="A5" s="1" t="s">
        <v>498</v>
      </c>
      <c r="B5" s="1" t="str">
        <f>VLOOKUP(A5,Xtal_Templ!A:B,2,FALSE)</f>
        <v>agtr1_human</v>
      </c>
      <c r="C5" s="5">
        <f>VLOOKUP($B5&amp;"__wt",'Xtal_SegEnds_BW#'!$A:$Z,3,FALSE)</f>
        <v>30</v>
      </c>
      <c r="D5" s="1">
        <f>VLOOKUP($B5&amp;"__wt",'Xtal_SegEnds_BW#'!$A:$Z,4,FALSE)</f>
        <v>60</v>
      </c>
      <c r="E5" s="1">
        <f>VLOOKUP($B5&amp;"__wt",'Xtal_SegEnds_BW#'!$A:$Z,5,FALSE)</f>
        <v>48</v>
      </c>
      <c r="F5" s="1">
        <f>VLOOKUP($B5&amp;"__wt",'Xtal_SegEnds_BW#'!$A:$Z,6,FALSE)</f>
        <v>51</v>
      </c>
      <c r="G5" s="1">
        <v>37</v>
      </c>
      <c r="H5" s="1">
        <v>63</v>
      </c>
      <c r="I5" s="1">
        <f>VLOOKUP($B5&amp;"__wt",'Xtal_SegEnds_BW#'!$A:$Z,9,FALSE)</f>
        <v>49</v>
      </c>
      <c r="J5" s="1">
        <f>VLOOKUP($B5&amp;"__wt",'Xtal_SegEnds_BW#'!$A:$Z,10,FALSE)</f>
        <v>52</v>
      </c>
      <c r="K5" s="1">
        <v>26</v>
      </c>
      <c r="L5" s="1">
        <f>VLOOKUP($B5&amp;"__wt",'Xtal_SegEnds_BW#'!$A:$Z,12,FALSE)</f>
        <v>56</v>
      </c>
      <c r="M5" s="1">
        <f>VLOOKUP($B5&amp;"__wt",'Xtal_SegEnds_BW#'!$A:$Z,13,FALSE)</f>
        <v>50</v>
      </c>
      <c r="N5" s="1">
        <v>57</v>
      </c>
      <c r="O5" s="1">
        <v>39</v>
      </c>
      <c r="P5" s="1">
        <f>VLOOKUP($B5&amp;"__wt",'Xtal_SegEnds_BW#'!$A:$Z,16,FALSE)</f>
        <v>64</v>
      </c>
      <c r="Q5" s="1">
        <f>VLOOKUP($B5&amp;"__wt",'Xtal_SegEnds_BW#'!$A:$Z,17,FALSE)</f>
        <v>50</v>
      </c>
      <c r="R5" s="1">
        <f>VLOOKUP($B5&amp;"__wt",'Xtal_SegEnds_BW#'!$A:$Z,18,FALSE)</f>
        <v>52</v>
      </c>
      <c r="S5" s="1">
        <f>VLOOKUP($B5&amp;"__wt",'Xtal_SegEnds_BW#'!$A:$Z,19,FALSE)</f>
        <v>34</v>
      </c>
      <c r="T5" s="23">
        <f t="array" ref="T5">INDEX('ICL3'!$G$2:$G$31,MATCH(MIN(ABS(AF5-'ICL3'!$F$2:$F$31)),ABS(AF5-'ICL3'!$F$2:$F$31),0))</f>
        <v>68</v>
      </c>
      <c r="U5" s="1">
        <f t="array" ref="U5">INDEX('ICL3'!$H$2:$H$31,MATCH(MIN(ABS(AF5-'ICL3'!$F$2:$F$31)),ABS(AF5-'ICL3'!$F$2:$F$31),0))</f>
        <v>30</v>
      </c>
      <c r="V5" s="1">
        <v>61</v>
      </c>
      <c r="W5" s="1">
        <v>32</v>
      </c>
      <c r="X5" s="1">
        <f>VLOOKUP($B5&amp;"__wt",'Xtal_SegEnds_BW#'!$A:$Z,24,FALSE)</f>
        <v>56</v>
      </c>
      <c r="Y5" s="1">
        <f>VLOOKUP($B5&amp;"__wt",'Xtal_SegEnds_BW#'!$A:$Z,25,FALSE)</f>
        <v>47</v>
      </c>
      <c r="Z5" s="1">
        <f>VLOOKUP($B5&amp;"__wt",'Xtal_SegEnds_BW#'!$A:$Z,26,FALSE)</f>
        <v>61</v>
      </c>
      <c r="AA5" s="63" t="str">
        <f>VLOOKUP(A5,Classification!A:B,2,FALSE)</f>
        <v>A</v>
      </c>
      <c r="AB5" s="1" t="e">
        <f>VLOOKUP(A5,'NonXtal_SegEnds_Prot#'!A:AL,10,FALSE)-VLOOKUP(A5,'NonXtal_SegEnds_Prot#'!A:AL,7,FALSE)</f>
        <v>#VALUE!</v>
      </c>
      <c r="AC5" s="1" t="e">
        <f>VLOOKUP(A5,'NonXtal_SegEnds_Prot#'!A:AL,13,FALSE)-VLOOKUP(A5,'NonXtal_SegEnds_Prot#'!A:AL,10,FALSE)</f>
        <v>#VALUE!</v>
      </c>
      <c r="AD5" s="1">
        <f>VLOOKUP(A5,'NonXtal_SegEnds_Prot#'!A:AL,16,FALSE)-VLOOKUP(A5,'NonXtal_SegEnds_Prot#'!A:AL,10,FALSE)</f>
        <v>46</v>
      </c>
      <c r="AE5" s="1" t="e">
        <f>VLOOKUP(A5,'NonXtal_SegEnds_Prot#'!A:AL,28,FALSE)-VLOOKUP(A5,'NonXtal_SegEnds_Prot#'!A:AL,25,FALSE)</f>
        <v>#VALUE!</v>
      </c>
      <c r="AF5" s="1">
        <f>VLOOKUP(A5,'NonXtal_SegEnds_Prot#'!A:AL,31,FALSE)-VLOOKUP(A5,'NonXtal_SegEnds_Prot#'!A:AL,28,FALSE)</f>
        <v>41</v>
      </c>
      <c r="AG5" s="1">
        <f>VLOOKUP(A5,'NonXtal_SegEnds_Prot#'!A:AL,34,FALSE)-VLOOKUP(A5,'NonXtal_SegEnds_Prot#'!A:AL,31,FALSE)</f>
        <v>34</v>
      </c>
    </row>
    <row r="6" spans="1:33" x14ac:dyDescent="0.2">
      <c r="A6" s="1" t="s">
        <v>488</v>
      </c>
      <c r="B6" s="1" t="str">
        <f>VLOOKUP(A6,Xtal_Templ!A:B,2,FALSE)</f>
        <v>p2ry1_human</v>
      </c>
      <c r="C6" s="5">
        <f>VLOOKUP($B6&amp;"__wt",'Xtal_SegEnds_BW#'!$A:$Z,3,FALSE)</f>
        <v>30</v>
      </c>
      <c r="D6" s="1">
        <f>VLOOKUP($B6&amp;"__wt",'Xtal_SegEnds_BW#'!$A:$Z,4,FALSE)</f>
        <v>60</v>
      </c>
      <c r="E6" s="1" t="str">
        <f>VLOOKUP($B6&amp;"__wt",'Xtal_SegEnds_BW#'!$A:$Z,5,FALSE)</f>
        <v>-</v>
      </c>
      <c r="F6" s="1" t="str">
        <f>VLOOKUP($B6&amp;"__wt",'Xtal_SegEnds_BW#'!$A:$Z,6,FALSE)</f>
        <v>-</v>
      </c>
      <c r="G6" s="1">
        <v>37</v>
      </c>
      <c r="H6" s="1">
        <v>67</v>
      </c>
      <c r="I6" s="1">
        <f>VLOOKUP($B6&amp;"__wt",'Xtal_SegEnds_BW#'!$A:$Z,9,FALSE)</f>
        <v>49</v>
      </c>
      <c r="J6" s="1">
        <f>VLOOKUP($B6&amp;"__wt",'Xtal_SegEnds_BW#'!$A:$Z,10,FALSE)</f>
        <v>52</v>
      </c>
      <c r="K6" s="1">
        <v>18</v>
      </c>
      <c r="L6" s="1">
        <f>VLOOKUP($B6&amp;"__wt",'Xtal_SegEnds_BW#'!$A:$Z,12,FALSE)</f>
        <v>56</v>
      </c>
      <c r="M6" s="1">
        <f>VLOOKUP($B6&amp;"__wt",'Xtal_SegEnds_BW#'!$A:$Z,13,FALSE)</f>
        <v>50</v>
      </c>
      <c r="N6" s="1">
        <v>57</v>
      </c>
      <c r="O6" s="1">
        <v>39</v>
      </c>
      <c r="P6" s="1">
        <f>VLOOKUP($B6&amp;"__wt",'Xtal_SegEnds_BW#'!$A:$Z,16,FALSE)</f>
        <v>64</v>
      </c>
      <c r="Q6" s="1">
        <f>VLOOKUP($B6&amp;"__wt",'Xtal_SegEnds_BW#'!$A:$Z,17,FALSE)</f>
        <v>50</v>
      </c>
      <c r="R6" s="1">
        <f>VLOOKUP($B6&amp;"__wt",'Xtal_SegEnds_BW#'!$A:$Z,18,FALSE)</f>
        <v>52</v>
      </c>
      <c r="S6" s="1">
        <f>VLOOKUP($B6&amp;"__wt",'Xtal_SegEnds_BW#'!$A:$Z,19,FALSE)</f>
        <v>32</v>
      </c>
      <c r="T6" s="23">
        <f t="array" ref="T6">INDEX('ICL3'!$G$2:$G$31,MATCH(MIN(ABS(AF6-'ICL3'!$F$2:$F$31)),ABS(AF6-'ICL3'!$F$2:$F$31),0))</f>
        <v>68</v>
      </c>
      <c r="U6" s="1">
        <f t="array" ref="U6">INDEX('ICL3'!$H$2:$H$31,MATCH(MIN(ABS(AF6-'ICL3'!$F$2:$F$31)),ABS(AF6-'ICL3'!$F$2:$F$31),0))</f>
        <v>30</v>
      </c>
      <c r="V6" s="1">
        <v>61</v>
      </c>
      <c r="W6" s="1">
        <v>32</v>
      </c>
      <c r="X6" s="1">
        <f>VLOOKUP($B6&amp;"__wt",'Xtal_SegEnds_BW#'!$A:$Z,24,FALSE)</f>
        <v>56</v>
      </c>
      <c r="Y6" s="1">
        <f>VLOOKUP($B6&amp;"__wt",'Xtal_SegEnds_BW#'!$A:$Z,25,FALSE)</f>
        <v>47</v>
      </c>
      <c r="Z6" s="1">
        <f>VLOOKUP($B6&amp;"__wt",'Xtal_SegEnds_BW#'!$A:$Z,26,FALSE)</f>
        <v>59</v>
      </c>
      <c r="AA6" s="63" t="str">
        <f>VLOOKUP(A6,Classification!A:B,2,FALSE)</f>
        <v>A</v>
      </c>
      <c r="AB6" s="1" t="e">
        <f>VLOOKUP(A6,'NonXtal_SegEnds_Prot#'!A:AL,10,FALSE)-VLOOKUP(A6,'NonXtal_SegEnds_Prot#'!A:AL,7,FALSE)</f>
        <v>#VALUE!</v>
      </c>
      <c r="AC6" s="1" t="e">
        <f>VLOOKUP(A6,'NonXtal_SegEnds_Prot#'!A:AL,13,FALSE)-VLOOKUP(A6,'NonXtal_SegEnds_Prot#'!A:AL,10,FALSE)</f>
        <v>#VALUE!</v>
      </c>
      <c r="AD6" s="1">
        <f>VLOOKUP(A6,'NonXtal_SegEnds_Prot#'!A:AL,16,FALSE)-VLOOKUP(A6,'NonXtal_SegEnds_Prot#'!A:AL,10,FALSE)</f>
        <v>53</v>
      </c>
      <c r="AE6" s="1" t="e">
        <f>VLOOKUP(A6,'NonXtal_SegEnds_Prot#'!A:AL,28,FALSE)-VLOOKUP(A6,'NonXtal_SegEnds_Prot#'!A:AL,25,FALSE)</f>
        <v>#VALUE!</v>
      </c>
      <c r="AF6" s="1">
        <f>VLOOKUP(A6,'NonXtal_SegEnds_Prot#'!A:AL,31,FALSE)-VLOOKUP(A6,'NonXtal_SegEnds_Prot#'!A:AL,28,FALSE)</f>
        <v>42</v>
      </c>
      <c r="AG6" s="1">
        <f>VLOOKUP(A6,'NonXtal_SegEnds_Prot#'!A:AL,34,FALSE)-VLOOKUP(A6,'NonXtal_SegEnds_Prot#'!A:AL,31,FALSE)</f>
        <v>34</v>
      </c>
    </row>
    <row r="7" spans="1:33" x14ac:dyDescent="0.2">
      <c r="A7" s="1" t="s">
        <v>489</v>
      </c>
      <c r="B7" s="1" t="str">
        <f>VLOOKUP(A7,Xtal_Templ!A:B,2,FALSE)</f>
        <v>p2ry1_human</v>
      </c>
      <c r="C7" s="5">
        <f>VLOOKUP($B7&amp;"__wt",'Xtal_SegEnds_BW#'!$A:$Z,3,FALSE)</f>
        <v>30</v>
      </c>
      <c r="D7" s="1">
        <f>VLOOKUP($B7&amp;"__wt",'Xtal_SegEnds_BW#'!$A:$Z,4,FALSE)</f>
        <v>60</v>
      </c>
      <c r="E7" s="1" t="str">
        <f>VLOOKUP($B7&amp;"__wt",'Xtal_SegEnds_BW#'!$A:$Z,5,FALSE)</f>
        <v>-</v>
      </c>
      <c r="F7" s="1" t="str">
        <f>VLOOKUP($B7&amp;"__wt",'Xtal_SegEnds_BW#'!$A:$Z,6,FALSE)</f>
        <v>-</v>
      </c>
      <c r="G7" s="1">
        <v>37</v>
      </c>
      <c r="H7" s="1">
        <f>VLOOKUP($B7&amp;"__wt",'Xtal_SegEnds_BW#'!$A:$Z,8,FALSE)</f>
        <v>66</v>
      </c>
      <c r="I7" s="1">
        <f>VLOOKUP($B7&amp;"__wt",'Xtal_SegEnds_BW#'!$A:$Z,9,FALSE)</f>
        <v>49</v>
      </c>
      <c r="J7" s="1">
        <f>VLOOKUP($B7&amp;"__wt",'Xtal_SegEnds_BW#'!$A:$Z,10,FALSE)</f>
        <v>52</v>
      </c>
      <c r="K7" s="1">
        <v>18</v>
      </c>
      <c r="L7" s="1">
        <f>VLOOKUP($B7&amp;"__wt",'Xtal_SegEnds_BW#'!$A:$Z,12,FALSE)</f>
        <v>56</v>
      </c>
      <c r="M7" s="1">
        <f>VLOOKUP($B7&amp;"__wt",'Xtal_SegEnds_BW#'!$A:$Z,13,FALSE)</f>
        <v>50</v>
      </c>
      <c r="N7" s="1">
        <v>57</v>
      </c>
      <c r="O7" s="1">
        <v>39</v>
      </c>
      <c r="P7" s="1">
        <f>VLOOKUP($B7&amp;"__wt",'Xtal_SegEnds_BW#'!$A:$Z,16,FALSE)</f>
        <v>64</v>
      </c>
      <c r="Q7" s="1">
        <f>VLOOKUP($B7&amp;"__wt",'Xtal_SegEnds_BW#'!$A:$Z,17,FALSE)</f>
        <v>50</v>
      </c>
      <c r="R7" s="1">
        <f>VLOOKUP($B7&amp;"__wt",'Xtal_SegEnds_BW#'!$A:$Z,18,FALSE)</f>
        <v>52</v>
      </c>
      <c r="S7" s="1">
        <f>VLOOKUP($B7&amp;"__wt",'Xtal_SegEnds_BW#'!$A:$Z,19,FALSE)</f>
        <v>32</v>
      </c>
      <c r="T7" s="23">
        <f t="array" ref="T7">INDEX('ICL3'!$G$2:$G$31,MATCH(MIN(ABS(AF7-'ICL3'!$F$2:$F$31)),ABS(AF7-'ICL3'!$F$2:$F$31),0))</f>
        <v>68</v>
      </c>
      <c r="U7" s="1">
        <f t="array" ref="U7">INDEX('ICL3'!$H$2:$H$31,MATCH(MIN(ABS(AF7-'ICL3'!$F$2:$F$31)),ABS(AF7-'ICL3'!$F$2:$F$31),0))</f>
        <v>30</v>
      </c>
      <c r="V7" s="1">
        <v>61</v>
      </c>
      <c r="W7" s="1">
        <v>34</v>
      </c>
      <c r="X7" s="1">
        <f>VLOOKUP($B7&amp;"__wt",'Xtal_SegEnds_BW#'!$A:$Z,24,FALSE)</f>
        <v>56</v>
      </c>
      <c r="Y7" s="1">
        <f>VLOOKUP($B7&amp;"__wt",'Xtal_SegEnds_BW#'!$A:$Z,25,FALSE)</f>
        <v>47</v>
      </c>
      <c r="Z7" s="1">
        <f>VLOOKUP($B7&amp;"__wt",'Xtal_SegEnds_BW#'!$A:$Z,26,FALSE)</f>
        <v>59</v>
      </c>
      <c r="AA7" s="63" t="str">
        <f>VLOOKUP(A7,Classification!A:B,2,FALSE)</f>
        <v>A</v>
      </c>
      <c r="AB7" s="1" t="e">
        <f>VLOOKUP(A7,'NonXtal_SegEnds_Prot#'!A:AL,10,FALSE)-VLOOKUP(A7,'NonXtal_SegEnds_Prot#'!A:AL,7,FALSE)</f>
        <v>#VALUE!</v>
      </c>
      <c r="AC7" s="1" t="e">
        <f>VLOOKUP(A7,'NonXtal_SegEnds_Prot#'!A:AL,13,FALSE)-VLOOKUP(A7,'NonXtal_SegEnds_Prot#'!A:AL,10,FALSE)</f>
        <v>#VALUE!</v>
      </c>
      <c r="AD7" s="1">
        <f>VLOOKUP(A7,'NonXtal_SegEnds_Prot#'!A:AL,16,FALSE)-VLOOKUP(A7,'NonXtal_SegEnds_Prot#'!A:AL,10,FALSE)</f>
        <v>52</v>
      </c>
      <c r="AE7" s="1" t="e">
        <f>VLOOKUP(A7,'NonXtal_SegEnds_Prot#'!A:AL,28,FALSE)-VLOOKUP(A7,'NonXtal_SegEnds_Prot#'!A:AL,25,FALSE)</f>
        <v>#VALUE!</v>
      </c>
      <c r="AF7" s="1">
        <f>VLOOKUP(A7,'NonXtal_SegEnds_Prot#'!A:AL,31,FALSE)-VLOOKUP(A7,'NonXtal_SegEnds_Prot#'!A:AL,28,FALSE)</f>
        <v>42</v>
      </c>
      <c r="AG7" s="1">
        <f>VLOOKUP(A7,'NonXtal_SegEnds_Prot#'!A:AL,34,FALSE)-VLOOKUP(A7,'NonXtal_SegEnds_Prot#'!A:AL,31,FALSE)</f>
        <v>32</v>
      </c>
    </row>
    <row r="8" spans="1:33" x14ac:dyDescent="0.2">
      <c r="A8" s="1" t="s">
        <v>496</v>
      </c>
      <c r="B8" s="1" t="str">
        <f>VLOOKUP(A8,Xtal_Templ!A:B,2,FALSE)</f>
        <v>par1_human</v>
      </c>
      <c r="C8" s="5">
        <f>VLOOKUP($B8&amp;"__wt",'Xtal_SegEnds_BW#'!$A:$Z,3,FALSE)</f>
        <v>29</v>
      </c>
      <c r="D8" s="1">
        <f>VLOOKUP($B8&amp;"__wt",'Xtal_SegEnds_BW#'!$A:$Z,4,FALSE)</f>
        <v>60</v>
      </c>
      <c r="E8" s="1">
        <f>VLOOKUP($B8&amp;"__wt",'Xtal_SegEnds_BW#'!$A:$Z,5,FALSE)</f>
        <v>48</v>
      </c>
      <c r="F8" s="1">
        <f>VLOOKUP($B8&amp;"__wt",'Xtal_SegEnds_BW#'!$A:$Z,6,FALSE)</f>
        <v>51</v>
      </c>
      <c r="G8" s="1">
        <v>37</v>
      </c>
      <c r="H8" s="1">
        <f>VLOOKUP($B8&amp;"__wt",'Xtal_SegEnds_BW#'!$A:$Z,8,FALSE)</f>
        <v>66</v>
      </c>
      <c r="I8" s="1">
        <f>VLOOKUP($B8&amp;"__wt",'Xtal_SegEnds_BW#'!$A:$Z,9,FALSE)</f>
        <v>49</v>
      </c>
      <c r="J8" s="1">
        <f>VLOOKUP($B8&amp;"__wt",'Xtal_SegEnds_BW#'!$A:$Z,10,FALSE)</f>
        <v>52</v>
      </c>
      <c r="K8" s="1">
        <v>18</v>
      </c>
      <c r="L8" s="1">
        <f>VLOOKUP($B8&amp;"__wt",'Xtal_SegEnds_BW#'!$A:$Z,12,FALSE)</f>
        <v>56</v>
      </c>
      <c r="M8" s="1">
        <f>VLOOKUP($B8&amp;"__wt",'Xtal_SegEnds_BW#'!$A:$Z,13,FALSE)</f>
        <v>50</v>
      </c>
      <c r="N8" s="1">
        <v>57</v>
      </c>
      <c r="O8" s="1">
        <v>39</v>
      </c>
      <c r="P8" s="1">
        <f>VLOOKUP($B8&amp;"__wt",'Xtal_SegEnds_BW#'!$A:$Z,16,FALSE)</f>
        <v>63</v>
      </c>
      <c r="Q8" s="1">
        <f>VLOOKUP($B8&amp;"__wt",'Xtal_SegEnds_BW#'!$A:$Z,17,FALSE)</f>
        <v>50</v>
      </c>
      <c r="R8" s="1">
        <f>VLOOKUP($B8&amp;"__wt",'Xtal_SegEnds_BW#'!$A:$Z,18,FALSE)</f>
        <v>52</v>
      </c>
      <c r="S8" s="1">
        <f>VLOOKUP($B8&amp;"__wt",'Xtal_SegEnds_BW#'!$A:$Z,19,FALSE)</f>
        <v>32</v>
      </c>
      <c r="T8" s="23">
        <f t="array" ref="T8">INDEX('ICL3'!$G$2:$G$31,MATCH(MIN(ABS(AF8-'ICL3'!$F$2:$F$31)),ABS(AF8-'ICL3'!$F$2:$F$31),0))</f>
        <v>68</v>
      </c>
      <c r="U8" s="1">
        <f t="array" ref="U8">INDEX('ICL3'!$H$2:$H$31,MATCH(MIN(ABS(AF8-'ICL3'!$F$2:$F$31)),ABS(AF8-'ICL3'!$F$2:$F$31),0))</f>
        <v>30</v>
      </c>
      <c r="V8" s="1">
        <v>61</v>
      </c>
      <c r="W8" s="1">
        <v>32</v>
      </c>
      <c r="X8" s="1">
        <f>VLOOKUP($B8&amp;"__wt",'Xtal_SegEnds_BW#'!$A:$Z,24,FALSE)</f>
        <v>56</v>
      </c>
      <c r="Y8" s="1">
        <f>VLOOKUP($B8&amp;"__wt",'Xtal_SegEnds_BW#'!$A:$Z,25,FALSE)</f>
        <v>47</v>
      </c>
      <c r="Z8" s="1">
        <f>VLOOKUP($B8&amp;"__wt",'Xtal_SegEnds_BW#'!$A:$Z,26,FALSE)</f>
        <v>61</v>
      </c>
      <c r="AA8" s="63" t="str">
        <f>VLOOKUP(A8,Classification!A:B,2,FALSE)</f>
        <v>A</v>
      </c>
      <c r="AB8" s="1" t="e">
        <f>VLOOKUP(A8,'NonXtal_SegEnds_Prot#'!A:AL,10,FALSE)-VLOOKUP(A8,'NonXtal_SegEnds_Prot#'!A:AL,7,FALSE)</f>
        <v>#VALUE!</v>
      </c>
      <c r="AC8" s="1" t="e">
        <f>VLOOKUP(A8,'NonXtal_SegEnds_Prot#'!A:AL,13,FALSE)-VLOOKUP(A8,'NonXtal_SegEnds_Prot#'!A:AL,10,FALSE)</f>
        <v>#VALUE!</v>
      </c>
      <c r="AD8" s="1">
        <f>VLOOKUP(A8,'NonXtal_SegEnds_Prot#'!A:AL,16,FALSE)-VLOOKUP(A8,'NonXtal_SegEnds_Prot#'!A:AL,10,FALSE)</f>
        <v>52</v>
      </c>
      <c r="AE8" s="1" t="e">
        <f>VLOOKUP(A8,'NonXtal_SegEnds_Prot#'!A:AL,28,FALSE)-VLOOKUP(A8,'NonXtal_SegEnds_Prot#'!A:AL,25,FALSE)</f>
        <v>#VALUE!</v>
      </c>
      <c r="AF8" s="1">
        <f>VLOOKUP(A8,'NonXtal_SegEnds_Prot#'!A:AL,31,FALSE)-VLOOKUP(A8,'NonXtal_SegEnds_Prot#'!A:AL,28,FALSE)</f>
        <v>42</v>
      </c>
      <c r="AG8" s="1">
        <f>VLOOKUP(A8,'NonXtal_SegEnds_Prot#'!A:AL,34,FALSE)-VLOOKUP(A8,'NonXtal_SegEnds_Prot#'!A:AL,31,FALSE)</f>
        <v>34</v>
      </c>
    </row>
    <row r="9" spans="1:33" x14ac:dyDescent="0.2">
      <c r="A9" s="1" t="s">
        <v>499</v>
      </c>
      <c r="B9" s="1" t="str">
        <f>VLOOKUP(A9,Xtal_Templ!A:B,2,FALSE)</f>
        <v>p2ry1_human</v>
      </c>
      <c r="C9" s="5">
        <f>VLOOKUP($B9&amp;"__wt",'Xtal_SegEnds_BW#'!$A:$Z,3,FALSE)</f>
        <v>30</v>
      </c>
      <c r="D9" s="1">
        <f>VLOOKUP($B9&amp;"__wt",'Xtal_SegEnds_BW#'!$A:$Z,4,FALSE)</f>
        <v>60</v>
      </c>
      <c r="E9" s="1" t="str">
        <f>VLOOKUP($B9&amp;"__wt",'Xtal_SegEnds_BW#'!$A:$Z,5,FALSE)</f>
        <v>-</v>
      </c>
      <c r="F9" s="1" t="str">
        <f>VLOOKUP($B9&amp;"__wt",'Xtal_SegEnds_BW#'!$A:$Z,6,FALSE)</f>
        <v>-</v>
      </c>
      <c r="G9" s="1">
        <v>37</v>
      </c>
      <c r="H9" s="1">
        <v>66</v>
      </c>
      <c r="I9" s="1">
        <f>VLOOKUP($B9&amp;"__wt",'Xtal_SegEnds_BW#'!$A:$Z,9,FALSE)</f>
        <v>49</v>
      </c>
      <c r="J9" s="1">
        <f>VLOOKUP($B9&amp;"__wt",'Xtal_SegEnds_BW#'!$A:$Z,10,FALSE)</f>
        <v>52</v>
      </c>
      <c r="K9" s="1">
        <v>24</v>
      </c>
      <c r="L9" s="1">
        <f>VLOOKUP($B9&amp;"__wt",'Xtal_SegEnds_BW#'!$A:$Z,12,FALSE)</f>
        <v>56</v>
      </c>
      <c r="M9" s="1">
        <f>VLOOKUP($B9&amp;"__wt",'Xtal_SegEnds_BW#'!$A:$Z,13,FALSE)</f>
        <v>50</v>
      </c>
      <c r="N9" s="1">
        <v>57</v>
      </c>
      <c r="O9" s="1">
        <v>39</v>
      </c>
      <c r="P9" s="1">
        <f>VLOOKUP($B9&amp;"__wt",'Xtal_SegEnds_BW#'!$A:$Z,16,FALSE)</f>
        <v>64</v>
      </c>
      <c r="Q9" s="1">
        <f>VLOOKUP($B9&amp;"__wt",'Xtal_SegEnds_BW#'!$A:$Z,17,FALSE)</f>
        <v>50</v>
      </c>
      <c r="R9" s="1">
        <f>VLOOKUP($B9&amp;"__wt",'Xtal_SegEnds_BW#'!$A:$Z,18,FALSE)</f>
        <v>52</v>
      </c>
      <c r="S9" s="1">
        <f>VLOOKUP($B9&amp;"__wt",'Xtal_SegEnds_BW#'!$A:$Z,19,FALSE)</f>
        <v>32</v>
      </c>
      <c r="T9" s="23">
        <f t="array" ref="T9">INDEX('ICL3'!$G$2:$G$31,MATCH(MIN(ABS(AF9-'ICL3'!$F$2:$F$31)),ABS(AF9-'ICL3'!$F$2:$F$31),0))</f>
        <v>68</v>
      </c>
      <c r="U9" s="1">
        <f t="array" ref="U9">INDEX('ICL3'!$H$2:$H$31,MATCH(MIN(ABS(AF9-'ICL3'!$F$2:$F$31)),ABS(AF9-'ICL3'!$F$2:$F$31),0))</f>
        <v>30</v>
      </c>
      <c r="V9" s="1">
        <v>61</v>
      </c>
      <c r="W9" s="1">
        <v>28</v>
      </c>
      <c r="X9" s="1">
        <f>VLOOKUP($B9&amp;"__wt",'Xtal_SegEnds_BW#'!$A:$Z,24,FALSE)</f>
        <v>56</v>
      </c>
      <c r="Y9" s="1">
        <f>VLOOKUP($B9&amp;"__wt",'Xtal_SegEnds_BW#'!$A:$Z,25,FALSE)</f>
        <v>47</v>
      </c>
      <c r="Z9" s="1">
        <f>VLOOKUP($B9&amp;"__wt",'Xtal_SegEnds_BW#'!$A:$Z,26,FALSE)</f>
        <v>59</v>
      </c>
      <c r="AA9" s="63" t="str">
        <f>VLOOKUP(A9,Classification!A:B,2,FALSE)</f>
        <v>A</v>
      </c>
      <c r="AB9" s="1" t="e">
        <f>VLOOKUP(A9,'NonXtal_SegEnds_Prot#'!A:AL,10,FALSE)-VLOOKUP(A9,'NonXtal_SegEnds_Prot#'!A:AL,7,FALSE)</f>
        <v>#VALUE!</v>
      </c>
      <c r="AC9" s="1" t="e">
        <f>VLOOKUP(A9,'NonXtal_SegEnds_Prot#'!A:AL,13,FALSE)-VLOOKUP(A9,'NonXtal_SegEnds_Prot#'!A:AL,10,FALSE)</f>
        <v>#VALUE!</v>
      </c>
      <c r="AD9" s="1">
        <f>VLOOKUP(A9,'NonXtal_SegEnds_Prot#'!A:AL,16,FALSE)-VLOOKUP(A9,'NonXtal_SegEnds_Prot#'!A:AL,10,FALSE)</f>
        <v>48</v>
      </c>
      <c r="AE9" s="1" t="e">
        <f>VLOOKUP(A9,'NonXtal_SegEnds_Prot#'!A:AL,28,FALSE)-VLOOKUP(A9,'NonXtal_SegEnds_Prot#'!A:AL,25,FALSE)</f>
        <v>#VALUE!</v>
      </c>
      <c r="AF9" s="1">
        <f>VLOOKUP(A9,'NonXtal_SegEnds_Prot#'!A:AL,31,FALSE)-VLOOKUP(A9,'NonXtal_SegEnds_Prot#'!A:AL,28,FALSE)</f>
        <v>42</v>
      </c>
      <c r="AG9" s="1">
        <f>VLOOKUP(A9,'NonXtal_SegEnds_Prot#'!A:AL,34,FALSE)-VLOOKUP(A9,'NonXtal_SegEnds_Prot#'!A:AL,31,FALSE)</f>
        <v>38</v>
      </c>
    </row>
    <row r="10" spans="1:33" x14ac:dyDescent="0.2">
      <c r="A10" s="1" t="s">
        <v>500</v>
      </c>
      <c r="B10" s="1" t="str">
        <f>VLOOKUP(A10,Xtal_Templ!A:B,2,FALSE)</f>
        <v>agtr1_human</v>
      </c>
      <c r="C10" s="5">
        <f>VLOOKUP($B10&amp;"__wt",'Xtal_SegEnds_BW#'!$A:$Z,3,FALSE)</f>
        <v>30</v>
      </c>
      <c r="D10" s="1">
        <f>VLOOKUP($B10&amp;"__wt",'Xtal_SegEnds_BW#'!$A:$Z,4,FALSE)</f>
        <v>60</v>
      </c>
      <c r="E10" s="1">
        <f>VLOOKUP($B10&amp;"__wt",'Xtal_SegEnds_BW#'!$A:$Z,5,FALSE)</f>
        <v>48</v>
      </c>
      <c r="F10" s="1">
        <f>VLOOKUP($B10&amp;"__wt",'Xtal_SegEnds_BW#'!$A:$Z,6,FALSE)</f>
        <v>51</v>
      </c>
      <c r="G10" s="1">
        <v>37</v>
      </c>
      <c r="H10" s="1">
        <f>VLOOKUP($B10&amp;"__wt",'Xtal_SegEnds_BW#'!$A:$Z,8,FALSE)</f>
        <v>66</v>
      </c>
      <c r="I10" s="1">
        <f>VLOOKUP($B10&amp;"__wt",'Xtal_SegEnds_BW#'!$A:$Z,9,FALSE)</f>
        <v>49</v>
      </c>
      <c r="J10" s="1">
        <f>VLOOKUP($B10&amp;"__wt",'Xtal_SegEnds_BW#'!$A:$Z,10,FALSE)</f>
        <v>52</v>
      </c>
      <c r="K10" s="1">
        <v>18</v>
      </c>
      <c r="L10" s="1">
        <f>VLOOKUP($B10&amp;"__wt",'Xtal_SegEnds_BW#'!$A:$Z,12,FALSE)</f>
        <v>56</v>
      </c>
      <c r="M10" s="1">
        <f>VLOOKUP($B10&amp;"__wt",'Xtal_SegEnds_BW#'!$A:$Z,13,FALSE)</f>
        <v>50</v>
      </c>
      <c r="N10" s="1">
        <v>57</v>
      </c>
      <c r="O10" s="1">
        <v>39</v>
      </c>
      <c r="P10" s="1">
        <f>VLOOKUP($B10&amp;"__wt",'Xtal_SegEnds_BW#'!$A:$Z,16,FALSE)</f>
        <v>64</v>
      </c>
      <c r="Q10" s="1">
        <f>VLOOKUP($B10&amp;"__wt",'Xtal_SegEnds_BW#'!$A:$Z,17,FALSE)</f>
        <v>50</v>
      </c>
      <c r="R10" s="1">
        <f>VLOOKUP($B10&amp;"__wt",'Xtal_SegEnds_BW#'!$A:$Z,18,FALSE)</f>
        <v>52</v>
      </c>
      <c r="S10" s="1">
        <f>VLOOKUP($B10&amp;"__wt",'Xtal_SegEnds_BW#'!$A:$Z,19,FALSE)</f>
        <v>34</v>
      </c>
      <c r="T10" s="23">
        <f t="array" ref="T10">INDEX('ICL3'!$G$2:$G$31,MATCH(MIN(ABS(AF10-'ICL3'!$F$2:$F$31)),ABS(AF10-'ICL3'!$F$2:$F$31),0))</f>
        <v>68</v>
      </c>
      <c r="U10" s="1">
        <f t="array" ref="U10">INDEX('ICL3'!$H$2:$H$31,MATCH(MIN(ABS(AF10-'ICL3'!$F$2:$F$31)),ABS(AF10-'ICL3'!$F$2:$F$31),0))</f>
        <v>30</v>
      </c>
      <c r="V10" s="1">
        <v>61</v>
      </c>
      <c r="W10" s="1">
        <v>28</v>
      </c>
      <c r="X10" s="1">
        <f>VLOOKUP($B10&amp;"__wt",'Xtal_SegEnds_BW#'!$A:$Z,24,FALSE)</f>
        <v>56</v>
      </c>
      <c r="Y10" s="1">
        <f>VLOOKUP($B10&amp;"__wt",'Xtal_SegEnds_BW#'!$A:$Z,25,FALSE)</f>
        <v>47</v>
      </c>
      <c r="Z10" s="1">
        <f>VLOOKUP($B10&amp;"__wt",'Xtal_SegEnds_BW#'!$A:$Z,26,FALSE)</f>
        <v>61</v>
      </c>
      <c r="AA10" s="63" t="str">
        <f>VLOOKUP(A10,Classification!A:B,2,FALSE)</f>
        <v>A</v>
      </c>
      <c r="AB10" s="1" t="e">
        <f>VLOOKUP(A10,'NonXtal_SegEnds_Prot#'!A:AL,10,FALSE)-VLOOKUP(A10,'NonXtal_SegEnds_Prot#'!A:AL,7,FALSE)</f>
        <v>#VALUE!</v>
      </c>
      <c r="AC10" s="1" t="e">
        <f>VLOOKUP(A10,'NonXtal_SegEnds_Prot#'!A:AL,13,FALSE)-VLOOKUP(A10,'NonXtal_SegEnds_Prot#'!A:AL,10,FALSE)</f>
        <v>#VALUE!</v>
      </c>
      <c r="AD10" s="1">
        <f>VLOOKUP(A10,'NonXtal_SegEnds_Prot#'!A:AL,16,FALSE)-VLOOKUP(A10,'NonXtal_SegEnds_Prot#'!A:AL,10,FALSE)</f>
        <v>52</v>
      </c>
      <c r="AE10" s="1" t="e">
        <f>VLOOKUP(A10,'NonXtal_SegEnds_Prot#'!A:AL,28,FALSE)-VLOOKUP(A10,'NonXtal_SegEnds_Prot#'!A:AL,25,FALSE)</f>
        <v>#VALUE!</v>
      </c>
      <c r="AF10" s="1">
        <f>VLOOKUP(A10,'NonXtal_SegEnds_Prot#'!A:AL,31,FALSE)-VLOOKUP(A10,'NonXtal_SegEnds_Prot#'!A:AL,28,FALSE)</f>
        <v>42</v>
      </c>
      <c r="AG10" s="1">
        <f>VLOOKUP(A10,'NonXtal_SegEnds_Prot#'!A:AL,34,FALSE)-VLOOKUP(A10,'NonXtal_SegEnds_Prot#'!A:AL,31,FALSE)</f>
        <v>38</v>
      </c>
    </row>
    <row r="11" spans="1:33" x14ac:dyDescent="0.2">
      <c r="A11" s="1" t="s">
        <v>501</v>
      </c>
      <c r="B11" s="1" t="str">
        <f>VLOOKUP(A11,Xtal_Templ!A:B,2,FALSE)</f>
        <v>p2y12_human</v>
      </c>
      <c r="C11" s="5">
        <f>VLOOKUP($B11&amp;"__wt",'Xtal_SegEnds_BW#'!$A:$Z,3,FALSE)</f>
        <v>28</v>
      </c>
      <c r="D11" s="1">
        <f>VLOOKUP($B11&amp;"__wt",'Xtal_SegEnds_BW#'!$A:$Z,4,FALSE)</f>
        <v>60</v>
      </c>
      <c r="E11" s="1" t="str">
        <f>VLOOKUP($B11&amp;"__wt",'Xtal_SegEnds_BW#'!$A:$Z,5,FALSE)</f>
        <v>-</v>
      </c>
      <c r="F11" s="1" t="str">
        <f>VLOOKUP($B11&amp;"__wt",'Xtal_SegEnds_BW#'!$A:$Z,6,FALSE)</f>
        <v>-</v>
      </c>
      <c r="G11" s="1">
        <v>37</v>
      </c>
      <c r="H11" s="1">
        <v>66</v>
      </c>
      <c r="I11" s="1" t="str">
        <f>VLOOKUP($B11&amp;"__wt",'Xtal_SegEnds_BW#'!$A:$Z,9,FALSE)</f>
        <v>-</v>
      </c>
      <c r="J11" s="1" t="str">
        <f>VLOOKUP($B11&amp;"__wt",'Xtal_SegEnds_BW#'!$A:$Z,10,FALSE)</f>
        <v>-</v>
      </c>
      <c r="K11" s="1">
        <v>24</v>
      </c>
      <c r="L11" s="1">
        <f>VLOOKUP($B11&amp;"__wt",'Xtal_SegEnds_BW#'!$A:$Z,12,FALSE)</f>
        <v>56</v>
      </c>
      <c r="M11" s="1">
        <f>VLOOKUP($B11&amp;"__wt",'Xtal_SegEnds_BW#'!$A:$Z,13,FALSE)</f>
        <v>50</v>
      </c>
      <c r="N11" s="1">
        <v>57</v>
      </c>
      <c r="O11" s="1">
        <v>39</v>
      </c>
      <c r="P11" s="1">
        <f>VLOOKUP($B11&amp;"__wt",'Xtal_SegEnds_BW#'!$A:$Z,16,FALSE)</f>
        <v>64</v>
      </c>
      <c r="Q11" s="1">
        <f>VLOOKUP($B11&amp;"__wt",'Xtal_SegEnds_BW#'!$A:$Z,17,FALSE)</f>
        <v>50</v>
      </c>
      <c r="R11" s="1">
        <f>VLOOKUP($B11&amp;"__wt",'Xtal_SegEnds_BW#'!$A:$Z,18,FALSE)</f>
        <v>52</v>
      </c>
      <c r="S11" s="1">
        <f>VLOOKUP($B11&amp;"__wt",'Xtal_SegEnds_BW#'!$A:$Z,19,FALSE)</f>
        <v>30</v>
      </c>
      <c r="T11" s="23">
        <f t="array" ref="T11">INDEX('ICL3'!$G$2:$G$31,MATCH(MIN(ABS(AF11-'ICL3'!$F$2:$F$31)),ABS(AF11-'ICL3'!$F$2:$F$31),0))</f>
        <v>68</v>
      </c>
      <c r="U11" s="1">
        <f t="array" ref="U11">INDEX('ICL3'!$H$2:$H$31,MATCH(MIN(ABS(AF11-'ICL3'!$F$2:$F$31)),ABS(AF11-'ICL3'!$F$2:$F$31),0))</f>
        <v>30</v>
      </c>
      <c r="V11" s="1">
        <v>61</v>
      </c>
      <c r="W11" s="1">
        <v>28</v>
      </c>
      <c r="X11" s="1">
        <f>VLOOKUP($B11&amp;"__wt",'Xtal_SegEnds_BW#'!$A:$Z,24,FALSE)</f>
        <v>56</v>
      </c>
      <c r="Y11" s="1">
        <f>VLOOKUP($B11&amp;"__wt",'Xtal_SegEnds_BW#'!$A:$Z,25,FALSE)</f>
        <v>47</v>
      </c>
      <c r="Z11" s="1">
        <f>VLOOKUP($B11&amp;"__wt",'Xtal_SegEnds_BW#'!$A:$Z,26,FALSE)</f>
        <v>57</v>
      </c>
      <c r="AA11" s="63" t="str">
        <f>VLOOKUP(A11,Classification!A:B,2,FALSE)</f>
        <v>A</v>
      </c>
      <c r="AB11" s="1" t="e">
        <f>VLOOKUP(A11,'NonXtal_SegEnds_Prot#'!A:AL,10,FALSE)-VLOOKUP(A11,'NonXtal_SegEnds_Prot#'!A:AL,7,FALSE)</f>
        <v>#VALUE!</v>
      </c>
      <c r="AC11" s="1" t="e">
        <f>VLOOKUP(A11,'NonXtal_SegEnds_Prot#'!A:AL,13,FALSE)-VLOOKUP(A11,'NonXtal_SegEnds_Prot#'!A:AL,10,FALSE)</f>
        <v>#VALUE!</v>
      </c>
      <c r="AD11" s="1">
        <f>VLOOKUP(A11,'NonXtal_SegEnds_Prot#'!A:AL,16,FALSE)-VLOOKUP(A11,'NonXtal_SegEnds_Prot#'!A:AL,10,FALSE)</f>
        <v>48</v>
      </c>
      <c r="AE11" s="1" t="e">
        <f>VLOOKUP(A11,'NonXtal_SegEnds_Prot#'!A:AL,28,FALSE)-VLOOKUP(A11,'NonXtal_SegEnds_Prot#'!A:AL,25,FALSE)</f>
        <v>#VALUE!</v>
      </c>
      <c r="AF11" s="1">
        <f>VLOOKUP(A11,'NonXtal_SegEnds_Prot#'!A:AL,31,FALSE)-VLOOKUP(A11,'NonXtal_SegEnds_Prot#'!A:AL,28,FALSE)</f>
        <v>42</v>
      </c>
      <c r="AG11" s="1">
        <f>VLOOKUP(A11,'NonXtal_SegEnds_Prot#'!A:AL,34,FALSE)-VLOOKUP(A11,'NonXtal_SegEnds_Prot#'!A:AL,31,FALSE)</f>
        <v>38</v>
      </c>
    </row>
    <row r="12" spans="1:33" x14ac:dyDescent="0.2">
      <c r="A12" s="1" t="s">
        <v>502</v>
      </c>
      <c r="B12" s="1" t="str">
        <f>VLOOKUP(A12,Xtal_Templ!A:B,2,FALSE)</f>
        <v>oprk_human</v>
      </c>
      <c r="C12" s="5">
        <f>VLOOKUP($B12&amp;"__wt",'Xtal_SegEnds_BW#'!$A:$Z,3,FALSE)</f>
        <v>30</v>
      </c>
      <c r="D12" s="1">
        <f>VLOOKUP($B12&amp;"__wt",'Xtal_SegEnds_BW#'!$A:$Z,4,FALSE)</f>
        <v>60</v>
      </c>
      <c r="E12" s="1">
        <f>VLOOKUP($B12&amp;"__wt",'Xtal_SegEnds_BW#'!$A:$Z,5,FALSE)</f>
        <v>48</v>
      </c>
      <c r="F12" s="1">
        <f>VLOOKUP($B12&amp;"__wt",'Xtal_SegEnds_BW#'!$A:$Z,6,FALSE)</f>
        <v>51</v>
      </c>
      <c r="G12" s="1">
        <v>37</v>
      </c>
      <c r="H12" s="1">
        <v>66</v>
      </c>
      <c r="I12" s="1">
        <f>VLOOKUP($B12&amp;"__wt",'Xtal_SegEnds_BW#'!$A:$Z,9,FALSE)</f>
        <v>49</v>
      </c>
      <c r="J12" s="1">
        <f>VLOOKUP($B12&amp;"__wt",'Xtal_SegEnds_BW#'!$A:$Z,10,FALSE)</f>
        <v>52</v>
      </c>
      <c r="K12" s="1">
        <v>24</v>
      </c>
      <c r="L12" s="1">
        <f>VLOOKUP($B12&amp;"__wt",'Xtal_SegEnds_BW#'!$A:$Z,12,FALSE)</f>
        <v>56</v>
      </c>
      <c r="M12" s="1">
        <f>VLOOKUP($B12&amp;"__wt",'Xtal_SegEnds_BW#'!$A:$Z,13,FALSE)</f>
        <v>50</v>
      </c>
      <c r="N12" s="1">
        <v>57</v>
      </c>
      <c r="O12" s="1">
        <v>39</v>
      </c>
      <c r="P12" s="1">
        <f>VLOOKUP($B12&amp;"__wt",'Xtal_SegEnds_BW#'!$A:$Z,16,FALSE)</f>
        <v>64</v>
      </c>
      <c r="Q12" s="1">
        <f>VLOOKUP($B12&amp;"__wt",'Xtal_SegEnds_BW#'!$A:$Z,17,FALSE)</f>
        <v>50</v>
      </c>
      <c r="R12" s="1">
        <f>VLOOKUP($B12&amp;"__wt",'Xtal_SegEnds_BW#'!$A:$Z,18,FALSE)</f>
        <v>52</v>
      </c>
      <c r="S12" s="1">
        <f>VLOOKUP($B12&amp;"__wt",'Xtal_SegEnds_BW#'!$A:$Z,19,FALSE)</f>
        <v>31</v>
      </c>
      <c r="T12" s="23">
        <f t="array" ref="T12">INDEX('ICL3'!$G$2:$G$31,MATCH(MIN(ABS(AF12-'ICL3'!$F$2:$F$31)),ABS(AF12-'ICL3'!$F$2:$F$31),0))</f>
        <v>68</v>
      </c>
      <c r="U12" s="1">
        <f t="array" ref="U12">INDEX('ICL3'!$H$2:$H$31,MATCH(MIN(ABS(AF12-'ICL3'!$F$2:$F$31)),ABS(AF12-'ICL3'!$F$2:$F$31),0))</f>
        <v>30</v>
      </c>
      <c r="V12" s="1">
        <v>61</v>
      </c>
      <c r="W12" s="1">
        <v>28</v>
      </c>
      <c r="X12" s="1">
        <f>VLOOKUP($B12&amp;"__wt",'Xtal_SegEnds_BW#'!$A:$Z,24,FALSE)</f>
        <v>56</v>
      </c>
      <c r="Y12" s="1">
        <f>VLOOKUP($B12&amp;"__wt",'Xtal_SegEnds_BW#'!$A:$Z,25,FALSE)</f>
        <v>47</v>
      </c>
      <c r="Z12" s="1">
        <f>VLOOKUP($B12&amp;"__wt",'Xtal_SegEnds_BW#'!$A:$Z,26,FALSE)</f>
        <v>59</v>
      </c>
      <c r="AA12" s="63" t="str">
        <f>VLOOKUP(A12,Classification!A:B,2,FALSE)</f>
        <v>A</v>
      </c>
      <c r="AB12" s="1" t="e">
        <f>VLOOKUP(A12,'NonXtal_SegEnds_Prot#'!A:AL,10,FALSE)-VLOOKUP(A12,'NonXtal_SegEnds_Prot#'!A:AL,7,FALSE)</f>
        <v>#VALUE!</v>
      </c>
      <c r="AC12" s="1" t="e">
        <f>VLOOKUP(A12,'NonXtal_SegEnds_Prot#'!A:AL,13,FALSE)-VLOOKUP(A12,'NonXtal_SegEnds_Prot#'!A:AL,10,FALSE)</f>
        <v>#VALUE!</v>
      </c>
      <c r="AD12" s="1">
        <f>VLOOKUP(A12,'NonXtal_SegEnds_Prot#'!A:AL,16,FALSE)-VLOOKUP(A12,'NonXtal_SegEnds_Prot#'!A:AL,10,FALSE)</f>
        <v>48</v>
      </c>
      <c r="AE12" s="1" t="e">
        <f>VLOOKUP(A12,'NonXtal_SegEnds_Prot#'!A:AL,28,FALSE)-VLOOKUP(A12,'NonXtal_SegEnds_Prot#'!A:AL,25,FALSE)</f>
        <v>#VALUE!</v>
      </c>
      <c r="AF12" s="1">
        <f>VLOOKUP(A12,'NonXtal_SegEnds_Prot#'!A:AL,31,FALSE)-VLOOKUP(A12,'NonXtal_SegEnds_Prot#'!A:AL,28,FALSE)</f>
        <v>42</v>
      </c>
      <c r="AG12" s="1">
        <f>VLOOKUP(A12,'NonXtal_SegEnds_Prot#'!A:AL,34,FALSE)-VLOOKUP(A12,'NonXtal_SegEnds_Prot#'!A:AL,31,FALSE)</f>
        <v>38</v>
      </c>
    </row>
    <row r="13" spans="1:33" x14ac:dyDescent="0.2">
      <c r="A13" s="1" t="s">
        <v>551</v>
      </c>
      <c r="B13" s="1" t="str">
        <f>VLOOKUP(A13,Xtal_Templ!A:B,2,FALSE)</f>
        <v>par1_human</v>
      </c>
      <c r="C13" s="5">
        <f>VLOOKUP($B13&amp;"__wt",'Xtal_SegEnds_BW#'!$A:$Z,3,FALSE)</f>
        <v>29</v>
      </c>
      <c r="D13" s="1">
        <f>VLOOKUP($B13&amp;"__wt",'Xtal_SegEnds_BW#'!$A:$Z,4,FALSE)</f>
        <v>60</v>
      </c>
      <c r="E13" s="1">
        <f>VLOOKUP($B13&amp;"__wt",'Xtal_SegEnds_BW#'!$A:$Z,5,FALSE)</f>
        <v>48</v>
      </c>
      <c r="F13" s="1">
        <f>VLOOKUP($B13&amp;"__wt",'Xtal_SegEnds_BW#'!$A:$Z,6,FALSE)</f>
        <v>51</v>
      </c>
      <c r="G13" s="1">
        <v>37</v>
      </c>
      <c r="H13" s="1">
        <f>VLOOKUP($B13&amp;"__wt",'Xtal_SegEnds_BW#'!$A:$Z,8,FALSE)</f>
        <v>66</v>
      </c>
      <c r="I13" s="1">
        <f>VLOOKUP($B13&amp;"__wt",'Xtal_SegEnds_BW#'!$A:$Z,9,FALSE)</f>
        <v>49</v>
      </c>
      <c r="J13" s="1">
        <f>VLOOKUP($B13&amp;"__wt",'Xtal_SegEnds_BW#'!$A:$Z,10,FALSE)</f>
        <v>52</v>
      </c>
      <c r="K13" s="1">
        <v>18</v>
      </c>
      <c r="L13" s="1">
        <f>VLOOKUP($B13&amp;"__wt",'Xtal_SegEnds_BW#'!$A:$Z,12,FALSE)</f>
        <v>56</v>
      </c>
      <c r="M13" s="1">
        <f>VLOOKUP($B13&amp;"__wt",'Xtal_SegEnds_BW#'!$A:$Z,13,FALSE)</f>
        <v>50</v>
      </c>
      <c r="N13" s="1">
        <v>57</v>
      </c>
      <c r="O13" s="1">
        <v>39</v>
      </c>
      <c r="P13" s="1">
        <f>VLOOKUP($B13&amp;"__wt",'Xtal_SegEnds_BW#'!$A:$Z,16,FALSE)</f>
        <v>63</v>
      </c>
      <c r="Q13" s="1">
        <f>VLOOKUP($B13&amp;"__wt",'Xtal_SegEnds_BW#'!$A:$Z,17,FALSE)</f>
        <v>50</v>
      </c>
      <c r="R13" s="1">
        <f>VLOOKUP($B13&amp;"__wt",'Xtal_SegEnds_BW#'!$A:$Z,18,FALSE)</f>
        <v>52</v>
      </c>
      <c r="S13" s="1">
        <v>35</v>
      </c>
      <c r="T13" s="23">
        <f t="array" ref="T13">INDEX('ICL3'!$G$2:$G$31,MATCH(MIN(ABS(AF13-'ICL3'!$F$2:$F$31)),ABS(AF13-'ICL3'!$F$2:$F$31),0))</f>
        <v>68</v>
      </c>
      <c r="U13" s="1">
        <f t="array" ref="U13">INDEX('ICL3'!$H$2:$H$31,MATCH(MIN(ABS(AF13-'ICL3'!$F$2:$F$31)),ABS(AF13-'ICL3'!$F$2:$F$31),0))</f>
        <v>30</v>
      </c>
      <c r="V13" s="1">
        <v>62</v>
      </c>
      <c r="W13" s="1">
        <v>28</v>
      </c>
      <c r="X13" s="1">
        <f>VLOOKUP($B13&amp;"__wt",'Xtal_SegEnds_BW#'!$A:$Z,24,FALSE)</f>
        <v>56</v>
      </c>
      <c r="Y13" s="1">
        <f>VLOOKUP($B13&amp;"__wt",'Xtal_SegEnds_BW#'!$A:$Z,25,FALSE)</f>
        <v>47</v>
      </c>
      <c r="Z13" s="1">
        <f>VLOOKUP($B13&amp;"__wt",'Xtal_SegEnds_BW#'!$A:$Z,26,FALSE)</f>
        <v>61</v>
      </c>
      <c r="AA13" s="63" t="str">
        <f>VLOOKUP(A13,Classification!A:B,2,FALSE)</f>
        <v>A</v>
      </c>
      <c r="AB13" s="1" t="e">
        <f>VLOOKUP(A13,'NonXtal_SegEnds_Prot#'!A:AL,10,FALSE)-VLOOKUP(A13,'NonXtal_SegEnds_Prot#'!A:AL,7,FALSE)</f>
        <v>#VALUE!</v>
      </c>
      <c r="AC13" s="1">
        <f>VLOOKUP(A13,'NonXtal_SegEnds_Prot#'!A:AL,13,FALSE)-VLOOKUP(A13,'NonXtal_SegEnds_Prot#'!A:AL,10,FALSE)</f>
        <v>20</v>
      </c>
      <c r="AD13" s="1">
        <f>VLOOKUP(A13,'NonXtal_SegEnds_Prot#'!A:AL,16,FALSE)-VLOOKUP(A13,'NonXtal_SegEnds_Prot#'!A:AL,10,FALSE)</f>
        <v>52</v>
      </c>
      <c r="AE13" s="1">
        <f>VLOOKUP(A13,'NonXtal_SegEnds_Prot#'!A:AL,28,FALSE)-VLOOKUP(A13,'NonXtal_SegEnds_Prot#'!A:AL,25,FALSE)</f>
        <v>22</v>
      </c>
      <c r="AF13" s="1">
        <f>VLOOKUP(A13,'NonXtal_SegEnds_Prot#'!A:AL,31,FALSE)-VLOOKUP(A13,'NonXtal_SegEnds_Prot#'!A:AL,28,FALSE)</f>
        <v>42</v>
      </c>
      <c r="AG13" s="1">
        <f>VLOOKUP(A13,'NonXtal_SegEnds_Prot#'!A:AL,34,FALSE)-VLOOKUP(A13,'NonXtal_SegEnds_Prot#'!A:AL,31,FALSE)</f>
        <v>39</v>
      </c>
    </row>
    <row r="14" spans="1:33" x14ac:dyDescent="0.2">
      <c r="A14" s="1" t="s">
        <v>552</v>
      </c>
      <c r="B14" s="1" t="str">
        <f>VLOOKUP(A14,Xtal_Templ!A:B,2,FALSE)</f>
        <v>par1_human</v>
      </c>
      <c r="C14" s="5">
        <f>VLOOKUP($B14&amp;"__wt",'Xtal_SegEnds_BW#'!$A:$Z,3,FALSE)</f>
        <v>29</v>
      </c>
      <c r="D14" s="1">
        <f>VLOOKUP($B14&amp;"__wt",'Xtal_SegEnds_BW#'!$A:$Z,4,FALSE)</f>
        <v>60</v>
      </c>
      <c r="E14" s="1">
        <f>VLOOKUP($B14&amp;"__wt",'Xtal_SegEnds_BW#'!$A:$Z,5,FALSE)</f>
        <v>48</v>
      </c>
      <c r="F14" s="1">
        <f>VLOOKUP($B14&amp;"__wt",'Xtal_SegEnds_BW#'!$A:$Z,6,FALSE)</f>
        <v>51</v>
      </c>
      <c r="G14" s="1">
        <v>37</v>
      </c>
      <c r="H14" s="1">
        <f>VLOOKUP($B14&amp;"__wt",'Xtal_SegEnds_BW#'!$A:$Z,8,FALSE)</f>
        <v>66</v>
      </c>
      <c r="I14" s="1">
        <f>VLOOKUP($B14&amp;"__wt",'Xtal_SegEnds_BW#'!$A:$Z,9,FALSE)</f>
        <v>49</v>
      </c>
      <c r="J14" s="1">
        <f>VLOOKUP($B14&amp;"__wt",'Xtal_SegEnds_BW#'!$A:$Z,10,FALSE)</f>
        <v>52</v>
      </c>
      <c r="K14" s="1">
        <v>18</v>
      </c>
      <c r="L14" s="1">
        <f>VLOOKUP($B14&amp;"__wt",'Xtal_SegEnds_BW#'!$A:$Z,12,FALSE)</f>
        <v>56</v>
      </c>
      <c r="M14" s="1">
        <f>VLOOKUP($B14&amp;"__wt",'Xtal_SegEnds_BW#'!$A:$Z,13,FALSE)</f>
        <v>50</v>
      </c>
      <c r="N14" s="1">
        <v>57</v>
      </c>
      <c r="O14" s="1">
        <v>39</v>
      </c>
      <c r="P14" s="1">
        <f>VLOOKUP($B14&amp;"__wt",'Xtal_SegEnds_BW#'!$A:$Z,16,FALSE)</f>
        <v>63</v>
      </c>
      <c r="Q14" s="1">
        <f>VLOOKUP($B14&amp;"__wt",'Xtal_SegEnds_BW#'!$A:$Z,17,FALSE)</f>
        <v>50</v>
      </c>
      <c r="R14" s="1">
        <f>VLOOKUP($B14&amp;"__wt",'Xtal_SegEnds_BW#'!$A:$Z,18,FALSE)</f>
        <v>52</v>
      </c>
      <c r="S14" s="1">
        <f>VLOOKUP($B14&amp;"__wt",'Xtal_SegEnds_BW#'!$A:$Z,19,FALSE)</f>
        <v>32</v>
      </c>
      <c r="T14" s="23">
        <f t="array" ref="T14">INDEX('ICL3'!$G$2:$G$31,MATCH(MIN(ABS(AF14-'ICL3'!$F$2:$F$31)),ABS(AF14-'ICL3'!$F$2:$F$31),0))</f>
        <v>68</v>
      </c>
      <c r="U14" s="1">
        <f t="array" ref="U14">INDEX('ICL3'!$H$2:$H$31,MATCH(MIN(ABS(AF14-'ICL3'!$F$2:$F$31)),ABS(AF14-'ICL3'!$F$2:$F$31),0))</f>
        <v>30</v>
      </c>
      <c r="V14" s="1">
        <v>62</v>
      </c>
      <c r="W14" s="1">
        <v>28</v>
      </c>
      <c r="X14" s="1">
        <f>VLOOKUP($B14&amp;"__wt",'Xtal_SegEnds_BW#'!$A:$Z,24,FALSE)</f>
        <v>56</v>
      </c>
      <c r="Y14" s="1">
        <f>VLOOKUP($B14&amp;"__wt",'Xtal_SegEnds_BW#'!$A:$Z,25,FALSE)</f>
        <v>47</v>
      </c>
      <c r="Z14" s="1">
        <f>VLOOKUP($B14&amp;"__wt",'Xtal_SegEnds_BW#'!$A:$Z,26,FALSE)</f>
        <v>61</v>
      </c>
      <c r="AA14" s="63" t="str">
        <f>VLOOKUP(A14,Classification!A:B,2,FALSE)</f>
        <v>A</v>
      </c>
      <c r="AB14" s="1" t="e">
        <f>VLOOKUP(A14,'NonXtal_SegEnds_Prot#'!A:AL,10,FALSE)-VLOOKUP(A14,'NonXtal_SegEnds_Prot#'!A:AL,7,FALSE)</f>
        <v>#VALUE!</v>
      </c>
      <c r="AC14" s="1">
        <f>VLOOKUP(A14,'NonXtal_SegEnds_Prot#'!A:AL,13,FALSE)-VLOOKUP(A14,'NonXtal_SegEnds_Prot#'!A:AL,10,FALSE)</f>
        <v>20</v>
      </c>
      <c r="AD14" s="1">
        <f>VLOOKUP(A14,'NonXtal_SegEnds_Prot#'!A:AL,16,FALSE)-VLOOKUP(A14,'NonXtal_SegEnds_Prot#'!A:AL,10,FALSE)</f>
        <v>52</v>
      </c>
      <c r="AE14" s="1">
        <f>VLOOKUP(A14,'NonXtal_SegEnds_Prot#'!A:AL,28,FALSE)-VLOOKUP(A14,'NonXtal_SegEnds_Prot#'!A:AL,25,FALSE)</f>
        <v>28</v>
      </c>
      <c r="AF14" s="1">
        <f>VLOOKUP(A14,'NonXtal_SegEnds_Prot#'!A:AL,31,FALSE)-VLOOKUP(A14,'NonXtal_SegEnds_Prot#'!A:AL,28,FALSE)</f>
        <v>42</v>
      </c>
      <c r="AG14" s="1">
        <f>VLOOKUP(A14,'NonXtal_SegEnds_Prot#'!A:AL,34,FALSE)-VLOOKUP(A14,'NonXtal_SegEnds_Prot#'!A:AL,31,FALSE)</f>
        <v>39</v>
      </c>
    </row>
    <row r="15" spans="1:33" x14ac:dyDescent="0.2">
      <c r="A15" s="1" t="s">
        <v>668</v>
      </c>
      <c r="B15" s="1" t="str">
        <f>VLOOKUP(A15,Xtal_Templ!A:B,2,FALSE)</f>
        <v>s1pr1_human</v>
      </c>
      <c r="C15" s="5">
        <f>VLOOKUP($B15&amp;"__wt",'Xtal_SegEnds_BW#'!$A:$Z,3,FALSE)</f>
        <v>29</v>
      </c>
      <c r="D15" s="1">
        <f>VLOOKUP($B15&amp;"__wt",'Xtal_SegEnds_BW#'!$A:$Z,4,FALSE)</f>
        <v>60</v>
      </c>
      <c r="E15" s="1">
        <f>VLOOKUP($B15&amp;"__wt",'Xtal_SegEnds_BW#'!$A:$Z,5,FALSE)</f>
        <v>48</v>
      </c>
      <c r="F15" s="1">
        <f>VLOOKUP($B15&amp;"__wt",'Xtal_SegEnds_BW#'!$A:$Z,6,FALSE)</f>
        <v>51</v>
      </c>
      <c r="G15" s="1">
        <v>37</v>
      </c>
      <c r="H15" s="1">
        <v>67</v>
      </c>
      <c r="I15" s="1">
        <f>VLOOKUP($B15&amp;"__wt",'Xtal_SegEnds_BW#'!$A:$Z,9,FALSE)</f>
        <v>47</v>
      </c>
      <c r="J15" s="1">
        <f>VLOOKUP($B15&amp;"__wt",'Xtal_SegEnds_BW#'!$A:$Z,10,FALSE)</f>
        <v>53</v>
      </c>
      <c r="K15" s="1">
        <v>18</v>
      </c>
      <c r="L15" s="1">
        <f>VLOOKUP($B15&amp;"__wt",'Xtal_SegEnds_BW#'!$A:$Z,12,FALSE)</f>
        <v>56</v>
      </c>
      <c r="M15" s="1">
        <f>VLOOKUP($B15&amp;"__wt",'Xtal_SegEnds_BW#'!$A:$Z,13,FALSE)</f>
        <v>50</v>
      </c>
      <c r="N15" s="1">
        <v>57</v>
      </c>
      <c r="O15" s="1">
        <v>39</v>
      </c>
      <c r="P15" s="1">
        <f>VLOOKUP($B15&amp;"__wt",'Xtal_SegEnds_BW#'!$A:$Z,16,FALSE)</f>
        <v>63</v>
      </c>
      <c r="Q15" s="1" t="str">
        <f>VLOOKUP($B15&amp;"__wt",'Xtal_SegEnds_BW#'!$A:$Z,17,FALSE)</f>
        <v>-</v>
      </c>
      <c r="R15" s="1" t="str">
        <f>VLOOKUP($B15&amp;"__wt",'Xtal_SegEnds_BW#'!$A:$Z,18,FALSE)</f>
        <v>-</v>
      </c>
      <c r="S15" s="1">
        <f>VLOOKUP($B15&amp;"__wt",'Xtal_SegEnds_BW#'!$A:$Z,19,FALSE)</f>
        <v>36</v>
      </c>
      <c r="T15" s="23">
        <f t="array" ref="T15">INDEX('ICL3'!$G$2:$G$31,MATCH(MIN(ABS(AF15-'ICL3'!$F$2:$F$31)),ABS(AF15-'ICL3'!$F$2:$F$31),0))</f>
        <v>68</v>
      </c>
      <c r="U15" s="1">
        <f t="array" ref="U15">INDEX('ICL3'!$H$2:$H$31,MATCH(MIN(ABS(AF15-'ICL3'!$F$2:$F$31)),ABS(AF15-'ICL3'!$F$2:$F$31),0))</f>
        <v>30</v>
      </c>
      <c r="V15" s="1">
        <v>64</v>
      </c>
      <c r="W15" s="1">
        <v>24</v>
      </c>
      <c r="X15" s="1">
        <f>VLOOKUP($B15&amp;"__wt",'Xtal_SegEnds_BW#'!$A:$Z,24,FALSE)</f>
        <v>56</v>
      </c>
      <c r="Y15" s="1">
        <f>VLOOKUP($B15&amp;"__wt",'Xtal_SegEnds_BW#'!$A:$Z,25,FALSE)</f>
        <v>47</v>
      </c>
      <c r="Z15" s="1">
        <f>VLOOKUP($B15&amp;"__wt",'Xtal_SegEnds_BW#'!$A:$Z,26,FALSE)</f>
        <v>59</v>
      </c>
      <c r="AA15" s="63" t="str">
        <f>VLOOKUP(A15,Classification!A:B,2,FALSE)</f>
        <v>A</v>
      </c>
      <c r="AB15" s="1" t="e">
        <f>VLOOKUP(A15,'NonXtal_SegEnds_Prot#'!A:AL,10,FALSE)-VLOOKUP(A15,'NonXtal_SegEnds_Prot#'!A:AL,7,FALSE)</f>
        <v>#VALUE!</v>
      </c>
      <c r="AC15" s="1">
        <f>VLOOKUP(A15,'NonXtal_SegEnds_Prot#'!A:AL,13,FALSE)-VLOOKUP(A15,'NonXtal_SegEnds_Prot#'!A:AL,10,FALSE)</f>
        <v>21</v>
      </c>
      <c r="AD15" s="1">
        <f>VLOOKUP(A15,'NonXtal_SegEnds_Prot#'!A:AL,16,FALSE)-VLOOKUP(A15,'NonXtal_SegEnds_Prot#'!A:AL,10,FALSE)</f>
        <v>56</v>
      </c>
      <c r="AE15" s="1">
        <f>VLOOKUP(A15,'NonXtal_SegEnds_Prot#'!A:AL,28,FALSE)-VLOOKUP(A15,'NonXtal_SegEnds_Prot#'!A:AL,25,FALSE)</f>
        <v>35</v>
      </c>
      <c r="AF15" s="1">
        <f>VLOOKUP(A15,'NonXtal_SegEnds_Prot#'!A:AL,31,FALSE)-VLOOKUP(A15,'NonXtal_SegEnds_Prot#'!A:AL,28,FALSE)</f>
        <v>42</v>
      </c>
      <c r="AG15" s="1">
        <f>VLOOKUP(A15,'NonXtal_SegEnds_Prot#'!A:AL,34,FALSE)-VLOOKUP(A15,'NonXtal_SegEnds_Prot#'!A:AL,31,FALSE)</f>
        <v>45</v>
      </c>
    </row>
    <row r="16" spans="1:33" x14ac:dyDescent="0.2">
      <c r="A16" s="1" t="s">
        <v>337</v>
      </c>
      <c r="B16" s="1" t="str">
        <f>VLOOKUP(A16,Xtal_Templ!A:B,2,FALSE)</f>
        <v>ccr5_human</v>
      </c>
      <c r="C16" s="5">
        <f>VLOOKUP($B16&amp;"__wt",'Xtal_SegEnds_BW#'!$A:$Z,3,FALSE)</f>
        <v>27</v>
      </c>
      <c r="D16" s="1">
        <f>VLOOKUP($B16&amp;"__wt",'Xtal_SegEnds_BW#'!$A:$Z,4,FALSE)</f>
        <v>60</v>
      </c>
      <c r="E16" s="1">
        <f>VLOOKUP($B16&amp;"__wt",'Xtal_SegEnds_BW#'!$A:$Z,5,FALSE)</f>
        <v>48</v>
      </c>
      <c r="F16" s="1">
        <f>VLOOKUP($B16&amp;"__wt",'Xtal_SegEnds_BW#'!$A:$Z,6,FALSE)</f>
        <v>51</v>
      </c>
      <c r="G16" s="1">
        <v>37</v>
      </c>
      <c r="H16" s="1">
        <v>66</v>
      </c>
      <c r="I16" s="1">
        <f>VLOOKUP($B16&amp;"__wt",'Xtal_SegEnds_BW#'!$A:$Z,9,FALSE)</f>
        <v>49</v>
      </c>
      <c r="J16" s="1">
        <f>VLOOKUP($B16&amp;"__wt",'Xtal_SegEnds_BW#'!$A:$Z,10,FALSE)</f>
        <v>52</v>
      </c>
      <c r="K16" s="1">
        <v>24</v>
      </c>
      <c r="L16" s="1">
        <f>VLOOKUP($B16&amp;"__wt",'Xtal_SegEnds_BW#'!$A:$Z,12,FALSE)</f>
        <v>56</v>
      </c>
      <c r="M16" s="1">
        <f>VLOOKUP($B16&amp;"__wt",'Xtal_SegEnds_BW#'!$A:$Z,13,FALSE)</f>
        <v>50</v>
      </c>
      <c r="N16" s="1">
        <v>57</v>
      </c>
      <c r="O16" s="1">
        <v>39</v>
      </c>
      <c r="P16" s="1">
        <f>VLOOKUP($B16&amp;"__wt",'Xtal_SegEnds_BW#'!$A:$Z,16,FALSE)</f>
        <v>64</v>
      </c>
      <c r="Q16" s="1">
        <f>VLOOKUP($B16&amp;"__wt",'Xtal_SegEnds_BW#'!$A:$Z,17,FALSE)</f>
        <v>50</v>
      </c>
      <c r="R16" s="1">
        <f>VLOOKUP($B16&amp;"__wt",'Xtal_SegEnds_BW#'!$A:$Z,18,FALSE)</f>
        <v>52</v>
      </c>
      <c r="S16" s="1">
        <f>VLOOKUP($B16&amp;"__wt",'Xtal_SegEnds_BW#'!$A:$Z,19,FALSE)</f>
        <v>31</v>
      </c>
      <c r="T16" s="23">
        <f t="array" ref="T16">INDEX('ICL3'!$G$2:$G$31,MATCH(MIN(ABS(AF16-'ICL3'!$F$2:$F$31)),ABS(AF16-'ICL3'!$F$2:$F$31),0))</f>
        <v>68</v>
      </c>
      <c r="U16" s="1">
        <f t="array" ref="U16">INDEX('ICL3'!$H$2:$H$31,MATCH(MIN(ABS(AF16-'ICL3'!$F$2:$F$31)),ABS(AF16-'ICL3'!$F$2:$F$31),0))</f>
        <v>30</v>
      </c>
      <c r="V16" s="1">
        <v>64</v>
      </c>
      <c r="W16" s="1">
        <v>24</v>
      </c>
      <c r="X16" s="1">
        <f>VLOOKUP($B16&amp;"__wt",'Xtal_SegEnds_BW#'!$A:$Z,24,FALSE)</f>
        <v>56</v>
      </c>
      <c r="Y16" s="1">
        <f>VLOOKUP($B16&amp;"__wt",'Xtal_SegEnds_BW#'!$A:$Z,25,FALSE)</f>
        <v>47</v>
      </c>
      <c r="Z16" s="1">
        <f>VLOOKUP($B16&amp;"__wt",'Xtal_SegEnds_BW#'!$A:$Z,26,FALSE)</f>
        <v>59</v>
      </c>
      <c r="AA16" s="63" t="str">
        <f>VLOOKUP(A16,Classification!A:B,2,FALSE)</f>
        <v>A</v>
      </c>
      <c r="AB16" s="1">
        <f>VLOOKUP(A16,'NonXtal_SegEnds_Prot#'!A:AL,10,FALSE)-VLOOKUP(A16,'NonXtal_SegEnds_Prot#'!A:AL,7,FALSE)</f>
        <v>15</v>
      </c>
      <c r="AC16" s="1" t="e">
        <f>VLOOKUP(A16,'NonXtal_SegEnds_Prot#'!A:AL,13,FALSE)-VLOOKUP(A16,'NonXtal_SegEnds_Prot#'!A:AL,10,FALSE)</f>
        <v>#VALUE!</v>
      </c>
      <c r="AD16" s="1">
        <f>VLOOKUP(A16,'NonXtal_SegEnds_Prot#'!A:AL,16,FALSE)-VLOOKUP(A16,'NonXtal_SegEnds_Prot#'!A:AL,10,FALSE)</f>
        <v>50</v>
      </c>
      <c r="AE16" s="1">
        <f>VLOOKUP(A16,'NonXtal_SegEnds_Prot#'!A:AL,28,FALSE)-VLOOKUP(A16,'NonXtal_SegEnds_Prot#'!A:AL,25,FALSE)</f>
        <v>27</v>
      </c>
      <c r="AF16" s="1">
        <f>VLOOKUP(A16,'NonXtal_SegEnds_Prot#'!A:AL,31,FALSE)-VLOOKUP(A16,'NonXtal_SegEnds_Prot#'!A:AL,28,FALSE)</f>
        <v>43</v>
      </c>
      <c r="AG16" s="1">
        <f>VLOOKUP(A16,'NonXtal_SegEnds_Prot#'!A:AL,34,FALSE)-VLOOKUP(A16,'NonXtal_SegEnds_Prot#'!A:AL,31,FALSE)</f>
        <v>44</v>
      </c>
    </row>
    <row r="17" spans="1:33" x14ac:dyDescent="0.2">
      <c r="A17" s="1" t="s">
        <v>338</v>
      </c>
      <c r="B17" s="1" t="str">
        <f>VLOOKUP(A17,Xtal_Templ!A:B,2,FALSE)</f>
        <v>agtr1_human</v>
      </c>
      <c r="C17" s="5">
        <f>VLOOKUP($B17&amp;"__wt",'Xtal_SegEnds_BW#'!$A:$Z,3,FALSE)</f>
        <v>30</v>
      </c>
      <c r="D17" s="1">
        <f>VLOOKUP($B17&amp;"__wt",'Xtal_SegEnds_BW#'!$A:$Z,4,FALSE)</f>
        <v>60</v>
      </c>
      <c r="E17" s="1">
        <f>VLOOKUP($B17&amp;"__wt",'Xtal_SegEnds_BW#'!$A:$Z,5,FALSE)</f>
        <v>48</v>
      </c>
      <c r="F17" s="1">
        <f>VLOOKUP($B17&amp;"__wt",'Xtal_SegEnds_BW#'!$A:$Z,6,FALSE)</f>
        <v>51</v>
      </c>
      <c r="G17" s="1">
        <v>37</v>
      </c>
      <c r="H17" s="1">
        <f>VLOOKUP($B17&amp;"__wt",'Xtal_SegEnds_BW#'!$A:$Z,8,FALSE)</f>
        <v>66</v>
      </c>
      <c r="I17" s="1">
        <f>VLOOKUP($B17&amp;"__wt",'Xtal_SegEnds_BW#'!$A:$Z,9,FALSE)</f>
        <v>49</v>
      </c>
      <c r="J17" s="1">
        <f>VLOOKUP($B17&amp;"__wt",'Xtal_SegEnds_BW#'!$A:$Z,10,FALSE)</f>
        <v>52</v>
      </c>
      <c r="K17" s="1">
        <v>18</v>
      </c>
      <c r="L17" s="1">
        <f>VLOOKUP($B17&amp;"__wt",'Xtal_SegEnds_BW#'!$A:$Z,12,FALSE)</f>
        <v>56</v>
      </c>
      <c r="M17" s="1">
        <f>VLOOKUP($B17&amp;"__wt",'Xtal_SegEnds_BW#'!$A:$Z,13,FALSE)</f>
        <v>50</v>
      </c>
      <c r="N17" s="1">
        <f>VLOOKUP($B17&amp;"__wt",'Xtal_SegEnds_BW#'!$A:$Z,14,FALSE)</f>
        <v>57</v>
      </c>
      <c r="O17" s="1">
        <v>39</v>
      </c>
      <c r="P17" s="1">
        <f>VLOOKUP($B17&amp;"__wt",'Xtal_SegEnds_BW#'!$A:$Z,16,FALSE)</f>
        <v>64</v>
      </c>
      <c r="Q17" s="1">
        <f>VLOOKUP($B17&amp;"__wt",'Xtal_SegEnds_BW#'!$A:$Z,17,FALSE)</f>
        <v>50</v>
      </c>
      <c r="R17" s="1">
        <f>VLOOKUP($B17&amp;"__wt",'Xtal_SegEnds_BW#'!$A:$Z,18,FALSE)</f>
        <v>52</v>
      </c>
      <c r="S17" s="1">
        <f>VLOOKUP($B17&amp;"__wt",'Xtal_SegEnds_BW#'!$A:$Z,19,FALSE)</f>
        <v>34</v>
      </c>
      <c r="T17" s="23">
        <f t="array" ref="T17">INDEX('ICL3'!$G$2:$G$31,MATCH(MIN(ABS(AF17-'ICL3'!$F$2:$F$31)),ABS(AF17-'ICL3'!$F$2:$F$31),0))</f>
        <v>68</v>
      </c>
      <c r="U17" s="1">
        <f t="array" ref="U17">INDEX('ICL3'!$H$2:$H$31,MATCH(MIN(ABS(AF17-'ICL3'!$F$2:$F$31)),ABS(AF17-'ICL3'!$F$2:$F$31),0))</f>
        <v>30</v>
      </c>
      <c r="V17" s="1">
        <v>64</v>
      </c>
      <c r="W17" s="1">
        <v>24</v>
      </c>
      <c r="X17" s="1">
        <f>VLOOKUP($B17&amp;"__wt",'Xtal_SegEnds_BW#'!$A:$Z,24,FALSE)</f>
        <v>56</v>
      </c>
      <c r="Y17" s="1">
        <f>VLOOKUP($B17&amp;"__wt",'Xtal_SegEnds_BW#'!$A:$Z,25,FALSE)</f>
        <v>47</v>
      </c>
      <c r="Z17" s="1">
        <f>VLOOKUP($B17&amp;"__wt",'Xtal_SegEnds_BW#'!$A:$Z,26,FALSE)</f>
        <v>61</v>
      </c>
      <c r="AA17" s="63" t="str">
        <f>VLOOKUP(A17,Classification!A:B,2,FALSE)</f>
        <v>A</v>
      </c>
      <c r="AB17" s="1">
        <f>VLOOKUP(A17,'NonXtal_SegEnds_Prot#'!A:AL,10,FALSE)-VLOOKUP(A17,'NonXtal_SegEnds_Prot#'!A:AL,7,FALSE)</f>
        <v>15</v>
      </c>
      <c r="AC17" s="1" t="e">
        <f>VLOOKUP(A17,'NonXtal_SegEnds_Prot#'!A:AL,13,FALSE)-VLOOKUP(A17,'NonXtal_SegEnds_Prot#'!A:AL,10,FALSE)</f>
        <v>#VALUE!</v>
      </c>
      <c r="AD17" s="1">
        <f>VLOOKUP(A17,'NonXtal_SegEnds_Prot#'!A:AL,16,FALSE)-VLOOKUP(A17,'NonXtal_SegEnds_Prot#'!A:AL,10,FALSE)</f>
        <v>52</v>
      </c>
      <c r="AE17" s="1">
        <f>VLOOKUP(A17,'NonXtal_SegEnds_Prot#'!A:AL,28,FALSE)-VLOOKUP(A17,'NonXtal_SegEnds_Prot#'!A:AL,25,FALSE)</f>
        <v>28</v>
      </c>
      <c r="AF17" s="1">
        <f>VLOOKUP(A17,'NonXtal_SegEnds_Prot#'!A:AL,31,FALSE)-VLOOKUP(A17,'NonXtal_SegEnds_Prot#'!A:AL,28,FALSE)</f>
        <v>43</v>
      </c>
      <c r="AG17" s="1">
        <f>VLOOKUP(A17,'NonXtal_SegEnds_Prot#'!A:AL,34,FALSE)-VLOOKUP(A17,'NonXtal_SegEnds_Prot#'!A:AL,31,FALSE)</f>
        <v>45</v>
      </c>
    </row>
    <row r="18" spans="1:33" x14ac:dyDescent="0.2">
      <c r="A18" s="1" t="s">
        <v>339</v>
      </c>
      <c r="B18" s="1" t="str">
        <f>VLOOKUP(A18,Xtal_Templ!A:B,2,FALSE)</f>
        <v>ccr5_human</v>
      </c>
      <c r="C18" s="5">
        <f>VLOOKUP($B18&amp;"__wt",'Xtal_SegEnds_BW#'!$A:$Z,3,FALSE)</f>
        <v>27</v>
      </c>
      <c r="D18" s="1">
        <f>VLOOKUP($B18&amp;"__wt",'Xtal_SegEnds_BW#'!$A:$Z,4,FALSE)</f>
        <v>60</v>
      </c>
      <c r="E18" s="1">
        <f>VLOOKUP($B18&amp;"__wt",'Xtal_SegEnds_BW#'!$A:$Z,5,FALSE)</f>
        <v>48</v>
      </c>
      <c r="F18" s="1">
        <f>VLOOKUP($B18&amp;"__wt",'Xtal_SegEnds_BW#'!$A:$Z,6,FALSE)</f>
        <v>51</v>
      </c>
      <c r="G18" s="1">
        <v>37</v>
      </c>
      <c r="H18" s="1">
        <v>66</v>
      </c>
      <c r="I18" s="1">
        <f>VLOOKUP($B18&amp;"__wt",'Xtal_SegEnds_BW#'!$A:$Z,9,FALSE)</f>
        <v>49</v>
      </c>
      <c r="J18" s="1">
        <f>VLOOKUP($B18&amp;"__wt",'Xtal_SegEnds_BW#'!$A:$Z,10,FALSE)</f>
        <v>52</v>
      </c>
      <c r="K18" s="1">
        <v>24</v>
      </c>
      <c r="L18" s="1">
        <f>VLOOKUP($B18&amp;"__wt",'Xtal_SegEnds_BW#'!$A:$Z,12,FALSE)</f>
        <v>56</v>
      </c>
      <c r="M18" s="1">
        <f>VLOOKUP($B18&amp;"__wt",'Xtal_SegEnds_BW#'!$A:$Z,13,FALSE)</f>
        <v>50</v>
      </c>
      <c r="N18" s="1">
        <f>VLOOKUP($B18&amp;"__wt",'Xtal_SegEnds_BW#'!$A:$Z,14,FALSE)</f>
        <v>57</v>
      </c>
      <c r="O18" s="1">
        <v>39</v>
      </c>
      <c r="P18" s="1">
        <f>VLOOKUP($B18&amp;"__wt",'Xtal_SegEnds_BW#'!$A:$Z,16,FALSE)</f>
        <v>64</v>
      </c>
      <c r="Q18" s="1">
        <f>VLOOKUP($B18&amp;"__wt",'Xtal_SegEnds_BW#'!$A:$Z,17,FALSE)</f>
        <v>50</v>
      </c>
      <c r="R18" s="1">
        <f>VLOOKUP($B18&amp;"__wt",'Xtal_SegEnds_BW#'!$A:$Z,18,FALSE)</f>
        <v>52</v>
      </c>
      <c r="S18" s="1">
        <f>VLOOKUP($B18&amp;"__wt",'Xtal_SegEnds_BW#'!$A:$Z,19,FALSE)</f>
        <v>31</v>
      </c>
      <c r="T18" s="23">
        <f t="array" ref="T18">INDEX('ICL3'!$G$2:$G$31,MATCH(MIN(ABS(AF18-'ICL3'!$F$2:$F$31)),ABS(AF18-'ICL3'!$F$2:$F$31),0))</f>
        <v>68</v>
      </c>
      <c r="U18" s="1">
        <f t="array" ref="U18">INDEX('ICL3'!$H$2:$H$31,MATCH(MIN(ABS(AF18-'ICL3'!$F$2:$F$31)),ABS(AF18-'ICL3'!$F$2:$F$31),0))</f>
        <v>30</v>
      </c>
      <c r="V18" s="1">
        <v>64</v>
      </c>
      <c r="W18" s="1">
        <v>24</v>
      </c>
      <c r="X18" s="1">
        <f>VLOOKUP($B18&amp;"__wt",'Xtal_SegEnds_BW#'!$A:$Z,24,FALSE)</f>
        <v>56</v>
      </c>
      <c r="Y18" s="1">
        <f>VLOOKUP($B18&amp;"__wt",'Xtal_SegEnds_BW#'!$A:$Z,25,FALSE)</f>
        <v>47</v>
      </c>
      <c r="Z18" s="1">
        <f>VLOOKUP($B18&amp;"__wt",'Xtal_SegEnds_BW#'!$A:$Z,26,FALSE)</f>
        <v>59</v>
      </c>
      <c r="AA18" s="63" t="str">
        <f>VLOOKUP(A18,Classification!A:B,2,FALSE)</f>
        <v>A</v>
      </c>
      <c r="AB18" s="1">
        <f>VLOOKUP(A18,'NonXtal_SegEnds_Prot#'!A:AL,10,FALSE)-VLOOKUP(A18,'NonXtal_SegEnds_Prot#'!A:AL,7,FALSE)</f>
        <v>15</v>
      </c>
      <c r="AC18" s="1" t="e">
        <f>VLOOKUP(A18,'NonXtal_SegEnds_Prot#'!A:AL,13,FALSE)-VLOOKUP(A18,'NonXtal_SegEnds_Prot#'!A:AL,10,FALSE)</f>
        <v>#VALUE!</v>
      </c>
      <c r="AD18" s="1">
        <f>VLOOKUP(A18,'NonXtal_SegEnds_Prot#'!A:AL,16,FALSE)-VLOOKUP(A18,'NonXtal_SegEnds_Prot#'!A:AL,10,FALSE)</f>
        <v>50</v>
      </c>
      <c r="AE18" s="1">
        <f>VLOOKUP(A18,'NonXtal_SegEnds_Prot#'!A:AL,28,FALSE)-VLOOKUP(A18,'NonXtal_SegEnds_Prot#'!A:AL,25,FALSE)</f>
        <v>28</v>
      </c>
      <c r="AF18" s="1">
        <f>VLOOKUP(A18,'NonXtal_SegEnds_Prot#'!A:AL,31,FALSE)-VLOOKUP(A18,'NonXtal_SegEnds_Prot#'!A:AL,28,FALSE)</f>
        <v>43</v>
      </c>
      <c r="AG18" s="1">
        <f>VLOOKUP(A18,'NonXtal_SegEnds_Prot#'!A:AL,34,FALSE)-VLOOKUP(A18,'NonXtal_SegEnds_Prot#'!A:AL,31,FALSE)</f>
        <v>45</v>
      </c>
    </row>
    <row r="19" spans="1:33" x14ac:dyDescent="0.2">
      <c r="A19" s="1" t="s">
        <v>359</v>
      </c>
      <c r="B19" s="1" t="str">
        <f>VLOOKUP(A19,Xtal_Templ!A:B,2,FALSE)</f>
        <v>agtr1_human</v>
      </c>
      <c r="C19" s="5">
        <f>VLOOKUP($B19&amp;"__wt",'Xtal_SegEnds_BW#'!$A:$Z,3,FALSE)</f>
        <v>30</v>
      </c>
      <c r="D19" s="1">
        <f>VLOOKUP($B19&amp;"__wt",'Xtal_SegEnds_BW#'!$A:$Z,4,FALSE)</f>
        <v>60</v>
      </c>
      <c r="E19" s="1">
        <f>VLOOKUP($B19&amp;"__wt",'Xtal_SegEnds_BW#'!$A:$Z,5,FALSE)</f>
        <v>48</v>
      </c>
      <c r="F19" s="1">
        <f>VLOOKUP($B19&amp;"__wt",'Xtal_SegEnds_BW#'!$A:$Z,6,FALSE)</f>
        <v>51</v>
      </c>
      <c r="G19" s="1">
        <v>37</v>
      </c>
      <c r="H19" s="1">
        <f>VLOOKUP($B19&amp;"__wt",'Xtal_SegEnds_BW#'!$A:$Z,8,FALSE)</f>
        <v>66</v>
      </c>
      <c r="I19" s="1">
        <f>VLOOKUP($B19&amp;"__wt",'Xtal_SegEnds_BW#'!$A:$Z,9,FALSE)</f>
        <v>49</v>
      </c>
      <c r="J19" s="1">
        <f>VLOOKUP($B19&amp;"__wt",'Xtal_SegEnds_BW#'!$A:$Z,10,FALSE)</f>
        <v>52</v>
      </c>
      <c r="K19" s="1">
        <v>18</v>
      </c>
      <c r="L19" s="1">
        <f>VLOOKUP($B19&amp;"__wt",'Xtal_SegEnds_BW#'!$A:$Z,12,FALSE)</f>
        <v>56</v>
      </c>
      <c r="M19" s="1">
        <f>VLOOKUP($B19&amp;"__wt",'Xtal_SegEnds_BW#'!$A:$Z,13,FALSE)</f>
        <v>50</v>
      </c>
      <c r="N19" s="1">
        <v>57</v>
      </c>
      <c r="O19" s="1">
        <v>39</v>
      </c>
      <c r="P19" s="1">
        <f>VLOOKUP($B19&amp;"__wt",'Xtal_SegEnds_BW#'!$A:$Z,16,FALSE)</f>
        <v>64</v>
      </c>
      <c r="Q19" s="1">
        <f>VLOOKUP($B19&amp;"__wt",'Xtal_SegEnds_BW#'!$A:$Z,17,FALSE)</f>
        <v>50</v>
      </c>
      <c r="R19" s="1">
        <f>VLOOKUP($B19&amp;"__wt",'Xtal_SegEnds_BW#'!$A:$Z,18,FALSE)</f>
        <v>52</v>
      </c>
      <c r="S19" s="1">
        <f>VLOOKUP($B19&amp;"__wt",'Xtal_SegEnds_BW#'!$A:$Z,19,FALSE)</f>
        <v>34</v>
      </c>
      <c r="T19" s="23">
        <f t="array" ref="T19">INDEX('ICL3'!$G$2:$G$31,MATCH(MIN(ABS(AF19-'ICL3'!$F$2:$F$31)),ABS(AF19-'ICL3'!$F$2:$F$31),0))</f>
        <v>68</v>
      </c>
      <c r="U19" s="1">
        <f t="array" ref="U19">INDEX('ICL3'!$H$2:$H$31,MATCH(MIN(ABS(AF19-'ICL3'!$F$2:$F$31)),ABS(AF19-'ICL3'!$F$2:$F$31),0))</f>
        <v>30</v>
      </c>
      <c r="V19" s="1">
        <v>61</v>
      </c>
      <c r="W19" s="1">
        <v>28</v>
      </c>
      <c r="X19" s="1">
        <f>VLOOKUP($B19&amp;"__wt",'Xtal_SegEnds_BW#'!$A:$Z,24,FALSE)</f>
        <v>56</v>
      </c>
      <c r="Y19" s="1">
        <f>VLOOKUP($B19&amp;"__wt",'Xtal_SegEnds_BW#'!$A:$Z,25,FALSE)</f>
        <v>47</v>
      </c>
      <c r="Z19" s="1">
        <f>VLOOKUP($B19&amp;"__wt",'Xtal_SegEnds_BW#'!$A:$Z,26,FALSE)</f>
        <v>61</v>
      </c>
      <c r="AA19" s="63" t="str">
        <f>VLOOKUP(A19,Classification!A:B,2,FALSE)</f>
        <v>A</v>
      </c>
      <c r="AB19" s="1" t="e">
        <f>VLOOKUP(A19,'NonXtal_SegEnds_Prot#'!A:AL,10,FALSE)-VLOOKUP(A19,'NonXtal_SegEnds_Prot#'!A:AL,7,FALSE)</f>
        <v>#VALUE!</v>
      </c>
      <c r="AC19" s="1">
        <f>VLOOKUP(A19,'NonXtal_SegEnds_Prot#'!A:AL,13,FALSE)-VLOOKUP(A19,'NonXtal_SegEnds_Prot#'!A:AL,10,FALSE)</f>
        <v>20</v>
      </c>
      <c r="AD19" s="1">
        <f>VLOOKUP(A19,'NonXtal_SegEnds_Prot#'!A:AL,16,FALSE)-VLOOKUP(A19,'NonXtal_SegEnds_Prot#'!A:AL,10,FALSE)</f>
        <v>52</v>
      </c>
      <c r="AE19" s="1">
        <f>VLOOKUP(A19,'NonXtal_SegEnds_Prot#'!A:AL,28,FALSE)-VLOOKUP(A19,'NonXtal_SegEnds_Prot#'!A:AL,25,FALSE)</f>
        <v>26</v>
      </c>
      <c r="AF19" s="1">
        <f>VLOOKUP(A19,'NonXtal_SegEnds_Prot#'!A:AL,31,FALSE)-VLOOKUP(A19,'NonXtal_SegEnds_Prot#'!A:AL,28,FALSE)</f>
        <v>43</v>
      </c>
      <c r="AG19" s="1">
        <f>VLOOKUP(A19,'NonXtal_SegEnds_Prot#'!A:AL,34,FALSE)-VLOOKUP(A19,'NonXtal_SegEnds_Prot#'!A:AL,31,FALSE)</f>
        <v>40</v>
      </c>
    </row>
    <row r="20" spans="1:33" x14ac:dyDescent="0.2">
      <c r="A20" s="1" t="s">
        <v>362</v>
      </c>
      <c r="B20" s="1" t="str">
        <f>VLOOKUP(A20,Xtal_Templ!A:B,2,FALSE)</f>
        <v>ccr5_human</v>
      </c>
      <c r="C20" s="5">
        <f>VLOOKUP($B20&amp;"__wt",'Xtal_SegEnds_BW#'!$A:$Z,3,FALSE)</f>
        <v>27</v>
      </c>
      <c r="D20" s="1">
        <f>VLOOKUP($B20&amp;"__wt",'Xtal_SegEnds_BW#'!$A:$Z,4,FALSE)</f>
        <v>60</v>
      </c>
      <c r="E20" s="1">
        <f>VLOOKUP($B20&amp;"__wt",'Xtal_SegEnds_BW#'!$A:$Z,5,FALSE)</f>
        <v>48</v>
      </c>
      <c r="F20" s="1">
        <f>VLOOKUP($B20&amp;"__wt",'Xtal_SegEnds_BW#'!$A:$Z,6,FALSE)</f>
        <v>51</v>
      </c>
      <c r="G20" s="1">
        <v>37</v>
      </c>
      <c r="H20" s="1">
        <v>66</v>
      </c>
      <c r="I20" s="1">
        <f>VLOOKUP($B20&amp;"__wt",'Xtal_SegEnds_BW#'!$A:$Z,9,FALSE)</f>
        <v>49</v>
      </c>
      <c r="J20" s="1">
        <f>VLOOKUP($B20&amp;"__wt",'Xtal_SegEnds_BW#'!$A:$Z,10,FALSE)</f>
        <v>52</v>
      </c>
      <c r="K20" s="1">
        <v>18</v>
      </c>
      <c r="L20" s="1">
        <f>VLOOKUP($B20&amp;"__wt",'Xtal_SegEnds_BW#'!$A:$Z,12,FALSE)</f>
        <v>56</v>
      </c>
      <c r="M20" s="1">
        <f>VLOOKUP($B20&amp;"__wt",'Xtal_SegEnds_BW#'!$A:$Z,13,FALSE)</f>
        <v>50</v>
      </c>
      <c r="N20" s="1">
        <v>57</v>
      </c>
      <c r="O20" s="1">
        <v>39</v>
      </c>
      <c r="P20" s="1">
        <f>VLOOKUP($B20&amp;"__wt",'Xtal_SegEnds_BW#'!$A:$Z,16,FALSE)</f>
        <v>64</v>
      </c>
      <c r="Q20" s="1">
        <f>VLOOKUP($B20&amp;"__wt",'Xtal_SegEnds_BW#'!$A:$Z,17,FALSE)</f>
        <v>50</v>
      </c>
      <c r="R20" s="1">
        <f>VLOOKUP($B20&amp;"__wt",'Xtal_SegEnds_BW#'!$A:$Z,18,FALSE)</f>
        <v>52</v>
      </c>
      <c r="S20" s="1">
        <f>VLOOKUP($B20&amp;"__wt",'Xtal_SegEnds_BW#'!$A:$Z,19,FALSE)</f>
        <v>31</v>
      </c>
      <c r="T20" s="23">
        <f t="array" ref="T20">INDEX('ICL3'!$G$2:$G$31,MATCH(MIN(ABS(AF20-'ICL3'!$F$2:$F$31)),ABS(AF20-'ICL3'!$F$2:$F$31),0))</f>
        <v>68</v>
      </c>
      <c r="U20" s="1">
        <f t="array" ref="U20">INDEX('ICL3'!$H$2:$H$31,MATCH(MIN(ABS(AF20-'ICL3'!$F$2:$F$31)),ABS(AF20-'ICL3'!$F$2:$F$31),0))</f>
        <v>30</v>
      </c>
      <c r="V20" s="1">
        <v>65</v>
      </c>
      <c r="W20" s="1">
        <v>24</v>
      </c>
      <c r="X20" s="1">
        <f>VLOOKUP($B20&amp;"__wt",'Xtal_SegEnds_BW#'!$A:$Z,24,FALSE)</f>
        <v>56</v>
      </c>
      <c r="Y20" s="1">
        <f>VLOOKUP($B20&amp;"__wt",'Xtal_SegEnds_BW#'!$A:$Z,25,FALSE)</f>
        <v>47</v>
      </c>
      <c r="Z20" s="1">
        <f>VLOOKUP($B20&amp;"__wt",'Xtal_SegEnds_BW#'!$A:$Z,26,FALSE)</f>
        <v>59</v>
      </c>
      <c r="AA20" s="63" t="str">
        <f>VLOOKUP(A20,Classification!A:B,2,FALSE)</f>
        <v>A</v>
      </c>
      <c r="AB20" s="1">
        <f>VLOOKUP(A20,'NonXtal_SegEnds_Prot#'!A:AL,10,FALSE)-VLOOKUP(A20,'NonXtal_SegEnds_Prot#'!A:AL,7,FALSE)</f>
        <v>15</v>
      </c>
      <c r="AC20" s="1">
        <f>VLOOKUP(A20,'NonXtal_SegEnds_Prot#'!A:AL,13,FALSE)-VLOOKUP(A20,'NonXtal_SegEnds_Prot#'!A:AL,10,FALSE)</f>
        <v>19</v>
      </c>
      <c r="AD20" s="1">
        <f>VLOOKUP(A20,'NonXtal_SegEnds_Prot#'!A:AL,16,FALSE)-VLOOKUP(A20,'NonXtal_SegEnds_Prot#'!A:AL,10,FALSE)</f>
        <v>51</v>
      </c>
      <c r="AE20" s="1">
        <f>VLOOKUP(A20,'NonXtal_SegEnds_Prot#'!A:AL,28,FALSE)-VLOOKUP(A20,'NonXtal_SegEnds_Prot#'!A:AL,25,FALSE)</f>
        <v>28</v>
      </c>
      <c r="AF20" s="1">
        <f>VLOOKUP(A20,'NonXtal_SegEnds_Prot#'!A:AL,31,FALSE)-VLOOKUP(A20,'NonXtal_SegEnds_Prot#'!A:AL,28,FALSE)</f>
        <v>43</v>
      </c>
      <c r="AG20" s="1">
        <f>VLOOKUP(A20,'NonXtal_SegEnds_Prot#'!A:AL,34,FALSE)-VLOOKUP(A20,'NonXtal_SegEnds_Prot#'!A:AL,31,FALSE)</f>
        <v>44</v>
      </c>
    </row>
    <row r="21" spans="1:33" x14ac:dyDescent="0.2">
      <c r="A21" s="1" t="s">
        <v>363</v>
      </c>
      <c r="B21" s="1" t="str">
        <f>VLOOKUP(A21,Xtal_Templ!A:B,2,FALSE)</f>
        <v>ccr5_human</v>
      </c>
      <c r="C21" s="5">
        <f>VLOOKUP($B21&amp;"__wt",'Xtal_SegEnds_BW#'!$A:$Z,3,FALSE)</f>
        <v>27</v>
      </c>
      <c r="D21" s="1">
        <f>VLOOKUP($B21&amp;"__wt",'Xtal_SegEnds_BW#'!$A:$Z,4,FALSE)</f>
        <v>60</v>
      </c>
      <c r="E21" s="1">
        <f>VLOOKUP($B21&amp;"__wt",'Xtal_SegEnds_BW#'!$A:$Z,5,FALSE)</f>
        <v>48</v>
      </c>
      <c r="F21" s="1">
        <f>VLOOKUP($B21&amp;"__wt",'Xtal_SegEnds_BW#'!$A:$Z,6,FALSE)</f>
        <v>51</v>
      </c>
      <c r="G21" s="1">
        <v>37</v>
      </c>
      <c r="H21" s="1">
        <v>66</v>
      </c>
      <c r="I21" s="1">
        <f>VLOOKUP($B21&amp;"__wt",'Xtal_SegEnds_BW#'!$A:$Z,9,FALSE)</f>
        <v>49</v>
      </c>
      <c r="J21" s="1">
        <f>VLOOKUP($B21&amp;"__wt",'Xtal_SegEnds_BW#'!$A:$Z,10,FALSE)</f>
        <v>52</v>
      </c>
      <c r="K21" s="1">
        <v>24</v>
      </c>
      <c r="L21" s="1">
        <f>VLOOKUP($B21&amp;"__wt",'Xtal_SegEnds_BW#'!$A:$Z,12,FALSE)</f>
        <v>56</v>
      </c>
      <c r="M21" s="1">
        <f>VLOOKUP($B21&amp;"__wt",'Xtal_SegEnds_BW#'!$A:$Z,13,FALSE)</f>
        <v>50</v>
      </c>
      <c r="N21" s="1">
        <f>VLOOKUP($B21&amp;"__wt",'Xtal_SegEnds_BW#'!$A:$Z,14,FALSE)</f>
        <v>57</v>
      </c>
      <c r="O21" s="1">
        <v>39</v>
      </c>
      <c r="P21" s="1">
        <f>VLOOKUP($B21&amp;"__wt",'Xtal_SegEnds_BW#'!$A:$Z,16,FALSE)</f>
        <v>64</v>
      </c>
      <c r="Q21" s="1">
        <f>VLOOKUP($B21&amp;"__wt",'Xtal_SegEnds_BW#'!$A:$Z,17,FALSE)</f>
        <v>50</v>
      </c>
      <c r="R21" s="1">
        <f>VLOOKUP($B21&amp;"__wt",'Xtal_SegEnds_BW#'!$A:$Z,18,FALSE)</f>
        <v>52</v>
      </c>
      <c r="S21" s="1">
        <f>VLOOKUP($B21&amp;"__wt",'Xtal_SegEnds_BW#'!$A:$Z,19,FALSE)</f>
        <v>31</v>
      </c>
      <c r="T21" s="23">
        <f t="array" ref="T21">INDEX('ICL3'!$G$2:$G$31,MATCH(MIN(ABS(AF21-'ICL3'!$F$2:$F$31)),ABS(AF21-'ICL3'!$F$2:$F$31),0))</f>
        <v>68</v>
      </c>
      <c r="U21" s="1">
        <f t="array" ref="U21">INDEX('ICL3'!$H$2:$H$31,MATCH(MIN(ABS(AF21-'ICL3'!$F$2:$F$31)),ABS(AF21-'ICL3'!$F$2:$F$31),0))</f>
        <v>30</v>
      </c>
      <c r="V21" s="1">
        <v>65</v>
      </c>
      <c r="W21" s="1">
        <v>24</v>
      </c>
      <c r="X21" s="1">
        <f>VLOOKUP($B21&amp;"__wt",'Xtal_SegEnds_BW#'!$A:$Z,24,FALSE)</f>
        <v>56</v>
      </c>
      <c r="Y21" s="1">
        <f>VLOOKUP($B21&amp;"__wt",'Xtal_SegEnds_BW#'!$A:$Z,25,FALSE)</f>
        <v>47</v>
      </c>
      <c r="Z21" s="1">
        <f>VLOOKUP($B21&amp;"__wt",'Xtal_SegEnds_BW#'!$A:$Z,26,FALSE)</f>
        <v>59</v>
      </c>
      <c r="AA21" s="63" t="str">
        <f>VLOOKUP(A21,Classification!A:B,2,FALSE)</f>
        <v>A</v>
      </c>
      <c r="AB21" s="1">
        <f>VLOOKUP(A21,'NonXtal_SegEnds_Prot#'!A:AL,10,FALSE)-VLOOKUP(A21,'NonXtal_SegEnds_Prot#'!A:AL,7,FALSE)</f>
        <v>16</v>
      </c>
      <c r="AC21" s="1">
        <f>VLOOKUP(A21,'NonXtal_SegEnds_Prot#'!A:AL,13,FALSE)-VLOOKUP(A21,'NonXtal_SegEnds_Prot#'!A:AL,10,FALSE)</f>
        <v>18</v>
      </c>
      <c r="AD21" s="1">
        <f>VLOOKUP(A21,'NonXtal_SegEnds_Prot#'!A:AL,16,FALSE)-VLOOKUP(A21,'NonXtal_SegEnds_Prot#'!A:AL,10,FALSE)</f>
        <v>50</v>
      </c>
      <c r="AE21" s="1">
        <f>VLOOKUP(A21,'NonXtal_SegEnds_Prot#'!A:AL,28,FALSE)-VLOOKUP(A21,'NonXtal_SegEnds_Prot#'!A:AL,25,FALSE)</f>
        <v>28</v>
      </c>
      <c r="AF21" s="1">
        <f>VLOOKUP(A21,'NonXtal_SegEnds_Prot#'!A:AL,31,FALSE)-VLOOKUP(A21,'NonXtal_SegEnds_Prot#'!A:AL,28,FALSE)</f>
        <v>43</v>
      </c>
      <c r="AG21" s="1">
        <f>VLOOKUP(A21,'NonXtal_SegEnds_Prot#'!A:AL,34,FALSE)-VLOOKUP(A21,'NonXtal_SegEnds_Prot#'!A:AL,31,FALSE)</f>
        <v>45</v>
      </c>
    </row>
    <row r="22" spans="1:33" x14ac:dyDescent="0.2">
      <c r="A22" s="1" t="s">
        <v>365</v>
      </c>
      <c r="B22" s="1" t="str">
        <f>VLOOKUP(A22,Xtal_Templ!A:B,2,FALSE)</f>
        <v>ccr5_human</v>
      </c>
      <c r="C22" s="5">
        <f>VLOOKUP($B22&amp;"__wt",'Xtal_SegEnds_BW#'!$A:$Z,3,FALSE)</f>
        <v>27</v>
      </c>
      <c r="D22" s="1">
        <f>VLOOKUP($B22&amp;"__wt",'Xtal_SegEnds_BW#'!$A:$Z,4,FALSE)</f>
        <v>60</v>
      </c>
      <c r="E22" s="1">
        <f>VLOOKUP($B22&amp;"__wt",'Xtal_SegEnds_BW#'!$A:$Z,5,FALSE)</f>
        <v>48</v>
      </c>
      <c r="F22" s="1">
        <f>VLOOKUP($B22&amp;"__wt",'Xtal_SegEnds_BW#'!$A:$Z,6,FALSE)</f>
        <v>51</v>
      </c>
      <c r="G22" s="1">
        <v>37</v>
      </c>
      <c r="H22" s="1">
        <v>66</v>
      </c>
      <c r="I22" s="1">
        <f>VLOOKUP($B22&amp;"__wt",'Xtal_SegEnds_BW#'!$A:$Z,9,FALSE)</f>
        <v>49</v>
      </c>
      <c r="J22" s="1">
        <f>VLOOKUP($B22&amp;"__wt",'Xtal_SegEnds_BW#'!$A:$Z,10,FALSE)</f>
        <v>52</v>
      </c>
      <c r="K22" s="1">
        <v>18</v>
      </c>
      <c r="L22" s="1">
        <f>VLOOKUP($B22&amp;"__wt",'Xtal_SegEnds_BW#'!$A:$Z,12,FALSE)</f>
        <v>56</v>
      </c>
      <c r="M22" s="1">
        <f>VLOOKUP($B22&amp;"__wt",'Xtal_SegEnds_BW#'!$A:$Z,13,FALSE)</f>
        <v>50</v>
      </c>
      <c r="N22" s="1">
        <v>57</v>
      </c>
      <c r="O22" s="1">
        <v>39</v>
      </c>
      <c r="P22" s="1">
        <f>VLOOKUP($B22&amp;"__wt",'Xtal_SegEnds_BW#'!$A:$Z,16,FALSE)</f>
        <v>64</v>
      </c>
      <c r="Q22" s="1">
        <f>VLOOKUP($B22&amp;"__wt",'Xtal_SegEnds_BW#'!$A:$Z,17,FALSE)</f>
        <v>50</v>
      </c>
      <c r="R22" s="1">
        <f>VLOOKUP($B22&amp;"__wt",'Xtal_SegEnds_BW#'!$A:$Z,18,FALSE)</f>
        <v>52</v>
      </c>
      <c r="S22" s="1">
        <f>VLOOKUP($B22&amp;"__wt",'Xtal_SegEnds_BW#'!$A:$Z,19,FALSE)</f>
        <v>31</v>
      </c>
      <c r="T22" s="23">
        <f t="array" ref="T22">INDEX('ICL3'!$G$2:$G$31,MATCH(MIN(ABS(AF22-'ICL3'!$F$2:$F$31)),ABS(AF22-'ICL3'!$F$2:$F$31),0))</f>
        <v>68</v>
      </c>
      <c r="U22" s="1">
        <f t="array" ref="U22">INDEX('ICL3'!$H$2:$H$31,MATCH(MIN(ABS(AF22-'ICL3'!$F$2:$F$31)),ABS(AF22-'ICL3'!$F$2:$F$31),0))</f>
        <v>30</v>
      </c>
      <c r="V22" s="1">
        <v>65</v>
      </c>
      <c r="W22" s="1">
        <v>24</v>
      </c>
      <c r="X22" s="1">
        <f>VLOOKUP($B22&amp;"__wt",'Xtal_SegEnds_BW#'!$A:$Z,24,FALSE)</f>
        <v>56</v>
      </c>
      <c r="Y22" s="1">
        <f>VLOOKUP($B22&amp;"__wt",'Xtal_SegEnds_BW#'!$A:$Z,25,FALSE)</f>
        <v>47</v>
      </c>
      <c r="Z22" s="1">
        <f>VLOOKUP($B22&amp;"__wt",'Xtal_SegEnds_BW#'!$A:$Z,26,FALSE)</f>
        <v>59</v>
      </c>
      <c r="AA22" s="63" t="str">
        <f>VLOOKUP(A22,Classification!A:B,2,FALSE)</f>
        <v>A</v>
      </c>
      <c r="AB22" s="1">
        <f>VLOOKUP(A22,'NonXtal_SegEnds_Prot#'!A:AL,10,FALSE)-VLOOKUP(A22,'NonXtal_SegEnds_Prot#'!A:AL,7,FALSE)</f>
        <v>15</v>
      </c>
      <c r="AC22" s="1">
        <f>VLOOKUP(A22,'NonXtal_SegEnds_Prot#'!A:AL,13,FALSE)-VLOOKUP(A22,'NonXtal_SegEnds_Prot#'!A:AL,10,FALSE)</f>
        <v>19</v>
      </c>
      <c r="AD22" s="1">
        <f>VLOOKUP(A22,'NonXtal_SegEnds_Prot#'!A:AL,16,FALSE)-VLOOKUP(A22,'NonXtal_SegEnds_Prot#'!A:AL,10,FALSE)</f>
        <v>51</v>
      </c>
      <c r="AE22" s="1">
        <f>VLOOKUP(A22,'NonXtal_SegEnds_Prot#'!A:AL,28,FALSE)-VLOOKUP(A22,'NonXtal_SegEnds_Prot#'!A:AL,25,FALSE)</f>
        <v>28</v>
      </c>
      <c r="AF22" s="1">
        <f>VLOOKUP(A22,'NonXtal_SegEnds_Prot#'!A:AL,31,FALSE)-VLOOKUP(A22,'NonXtal_SegEnds_Prot#'!A:AL,28,FALSE)</f>
        <v>43</v>
      </c>
      <c r="AG22" s="1">
        <f>VLOOKUP(A22,'NonXtal_SegEnds_Prot#'!A:AL,34,FALSE)-VLOOKUP(A22,'NonXtal_SegEnds_Prot#'!A:AL,31,FALSE)</f>
        <v>44</v>
      </c>
    </row>
    <row r="23" spans="1:33" x14ac:dyDescent="0.2">
      <c r="A23" s="1" t="s">
        <v>366</v>
      </c>
      <c r="B23" s="1" t="str">
        <f>VLOOKUP(A23,Xtal_Templ!A:B,2,FALSE)</f>
        <v>ccr5_human</v>
      </c>
      <c r="C23" s="5">
        <f>VLOOKUP($B23&amp;"__wt",'Xtal_SegEnds_BW#'!$A:$Z,3,FALSE)</f>
        <v>27</v>
      </c>
      <c r="D23" s="1">
        <f>VLOOKUP($B23&amp;"__wt",'Xtal_SegEnds_BW#'!$A:$Z,4,FALSE)</f>
        <v>60</v>
      </c>
      <c r="E23" s="1">
        <f>VLOOKUP($B23&amp;"__wt",'Xtal_SegEnds_BW#'!$A:$Z,5,FALSE)</f>
        <v>48</v>
      </c>
      <c r="F23" s="1">
        <f>VLOOKUP($B23&amp;"__wt",'Xtal_SegEnds_BW#'!$A:$Z,6,FALSE)</f>
        <v>51</v>
      </c>
      <c r="G23" s="1">
        <v>37</v>
      </c>
      <c r="H23" s="1">
        <v>66</v>
      </c>
      <c r="I23" s="1">
        <f>VLOOKUP($B23&amp;"__wt",'Xtal_SegEnds_BW#'!$A:$Z,9,FALSE)</f>
        <v>49</v>
      </c>
      <c r="J23" s="1">
        <f>VLOOKUP($B23&amp;"__wt",'Xtal_SegEnds_BW#'!$A:$Z,10,FALSE)</f>
        <v>52</v>
      </c>
      <c r="K23" s="1">
        <v>24</v>
      </c>
      <c r="L23" s="1">
        <f>VLOOKUP($B23&amp;"__wt",'Xtal_SegEnds_BW#'!$A:$Z,12,FALSE)</f>
        <v>56</v>
      </c>
      <c r="M23" s="1">
        <f>VLOOKUP($B23&amp;"__wt",'Xtal_SegEnds_BW#'!$A:$Z,13,FALSE)</f>
        <v>50</v>
      </c>
      <c r="N23" s="1">
        <v>57</v>
      </c>
      <c r="O23" s="1">
        <v>39</v>
      </c>
      <c r="P23" s="1">
        <f>VLOOKUP($B23&amp;"__wt",'Xtal_SegEnds_BW#'!$A:$Z,16,FALSE)</f>
        <v>64</v>
      </c>
      <c r="Q23" s="1">
        <f>VLOOKUP($B23&amp;"__wt",'Xtal_SegEnds_BW#'!$A:$Z,17,FALSE)</f>
        <v>50</v>
      </c>
      <c r="R23" s="1">
        <f>VLOOKUP($B23&amp;"__wt",'Xtal_SegEnds_BW#'!$A:$Z,18,FALSE)</f>
        <v>52</v>
      </c>
      <c r="S23" s="1">
        <f>VLOOKUP($B23&amp;"__wt",'Xtal_SegEnds_BW#'!$A:$Z,19,FALSE)</f>
        <v>31</v>
      </c>
      <c r="T23" s="23">
        <f t="array" ref="T23">INDEX('ICL3'!$G$2:$G$31,MATCH(MIN(ABS(AF23-'ICL3'!$F$2:$F$31)),ABS(AF23-'ICL3'!$F$2:$F$31),0))</f>
        <v>68</v>
      </c>
      <c r="U23" s="1">
        <f t="array" ref="U23">INDEX('ICL3'!$H$2:$H$31,MATCH(MIN(ABS(AF23-'ICL3'!$F$2:$F$31)),ABS(AF23-'ICL3'!$F$2:$F$31),0))</f>
        <v>30</v>
      </c>
      <c r="V23" s="1">
        <v>65</v>
      </c>
      <c r="W23" s="1">
        <v>24</v>
      </c>
      <c r="X23" s="1">
        <f>VLOOKUP($B23&amp;"__wt",'Xtal_SegEnds_BW#'!$A:$Z,24,FALSE)</f>
        <v>56</v>
      </c>
      <c r="Y23" s="1">
        <f>VLOOKUP($B23&amp;"__wt",'Xtal_SegEnds_BW#'!$A:$Z,25,FALSE)</f>
        <v>47</v>
      </c>
      <c r="Z23" s="1">
        <f>VLOOKUP($B23&amp;"__wt",'Xtal_SegEnds_BW#'!$A:$Z,26,FALSE)</f>
        <v>59</v>
      </c>
      <c r="AA23" s="63" t="str">
        <f>VLOOKUP(A23,Classification!A:B,2,FALSE)</f>
        <v>A</v>
      </c>
      <c r="AB23" s="1">
        <f>VLOOKUP(A23,'NonXtal_SegEnds_Prot#'!A:AL,10,FALSE)-VLOOKUP(A23,'NonXtal_SegEnds_Prot#'!A:AL,7,FALSE)</f>
        <v>15</v>
      </c>
      <c r="AC23" s="1">
        <f>VLOOKUP(A23,'NonXtal_SegEnds_Prot#'!A:AL,13,FALSE)-VLOOKUP(A23,'NonXtal_SegEnds_Prot#'!A:AL,10,FALSE)</f>
        <v>18</v>
      </c>
      <c r="AD23" s="1">
        <f>VLOOKUP(A23,'NonXtal_SegEnds_Prot#'!A:AL,16,FALSE)-VLOOKUP(A23,'NonXtal_SegEnds_Prot#'!A:AL,10,FALSE)</f>
        <v>50</v>
      </c>
      <c r="AE23" s="1">
        <f>VLOOKUP(A23,'NonXtal_SegEnds_Prot#'!A:AL,28,FALSE)-VLOOKUP(A23,'NonXtal_SegEnds_Prot#'!A:AL,25,FALSE)</f>
        <v>27</v>
      </c>
      <c r="AF23" s="1">
        <f>VLOOKUP(A23,'NonXtal_SegEnds_Prot#'!A:AL,31,FALSE)-VLOOKUP(A23,'NonXtal_SegEnds_Prot#'!A:AL,28,FALSE)</f>
        <v>43</v>
      </c>
      <c r="AG23" s="1">
        <f>VLOOKUP(A23,'NonXtal_SegEnds_Prot#'!A:AL,34,FALSE)-VLOOKUP(A23,'NonXtal_SegEnds_Prot#'!A:AL,31,FALSE)</f>
        <v>44</v>
      </c>
    </row>
    <row r="24" spans="1:33" x14ac:dyDescent="0.2">
      <c r="A24" s="1" t="s">
        <v>368</v>
      </c>
      <c r="B24" s="1" t="str">
        <f>VLOOKUP(A24,Xtal_Templ!A:B,2,FALSE)</f>
        <v>ccr5_human</v>
      </c>
      <c r="C24" s="5">
        <f>VLOOKUP($B24&amp;"__wt",'Xtal_SegEnds_BW#'!$A:$Z,3,FALSE)</f>
        <v>27</v>
      </c>
      <c r="D24" s="1">
        <f>VLOOKUP($B24&amp;"__wt",'Xtal_SegEnds_BW#'!$A:$Z,4,FALSE)</f>
        <v>60</v>
      </c>
      <c r="E24" s="1">
        <f>VLOOKUP($B24&amp;"__wt",'Xtal_SegEnds_BW#'!$A:$Z,5,FALSE)</f>
        <v>48</v>
      </c>
      <c r="F24" s="1">
        <f>VLOOKUP($B24&amp;"__wt",'Xtal_SegEnds_BW#'!$A:$Z,6,FALSE)</f>
        <v>51</v>
      </c>
      <c r="G24" s="1">
        <v>37</v>
      </c>
      <c r="H24" s="1">
        <v>66</v>
      </c>
      <c r="I24" s="1">
        <f>VLOOKUP($B24&amp;"__wt",'Xtal_SegEnds_BW#'!$A:$Z,9,FALSE)</f>
        <v>49</v>
      </c>
      <c r="J24" s="1">
        <f>VLOOKUP($B24&amp;"__wt",'Xtal_SegEnds_BW#'!$A:$Z,10,FALSE)</f>
        <v>52</v>
      </c>
      <c r="K24" s="1">
        <v>18</v>
      </c>
      <c r="L24" s="1">
        <f>VLOOKUP($B24&amp;"__wt",'Xtal_SegEnds_BW#'!$A:$Z,12,FALSE)</f>
        <v>56</v>
      </c>
      <c r="M24" s="1">
        <f>VLOOKUP($B24&amp;"__wt",'Xtal_SegEnds_BW#'!$A:$Z,13,FALSE)</f>
        <v>50</v>
      </c>
      <c r="N24" s="1">
        <v>58</v>
      </c>
      <c r="O24" s="1">
        <v>39</v>
      </c>
      <c r="P24" s="1">
        <f>VLOOKUP($B24&amp;"__wt",'Xtal_SegEnds_BW#'!$A:$Z,16,FALSE)</f>
        <v>64</v>
      </c>
      <c r="Q24" s="1">
        <f>VLOOKUP($B24&amp;"__wt",'Xtal_SegEnds_BW#'!$A:$Z,17,FALSE)</f>
        <v>50</v>
      </c>
      <c r="R24" s="1">
        <f>VLOOKUP($B24&amp;"__wt",'Xtal_SegEnds_BW#'!$A:$Z,18,FALSE)</f>
        <v>52</v>
      </c>
      <c r="S24" s="1">
        <f>VLOOKUP($B24&amp;"__wt",'Xtal_SegEnds_BW#'!$A:$Z,19,FALSE)</f>
        <v>31</v>
      </c>
      <c r="T24" s="23">
        <f t="array" ref="T24">INDEX('ICL3'!$G$2:$G$31,MATCH(MIN(ABS(AF24-'ICL3'!$F$2:$F$31)),ABS(AF24-'ICL3'!$F$2:$F$31),0))</f>
        <v>68</v>
      </c>
      <c r="U24" s="1">
        <f t="array" ref="U24">INDEX('ICL3'!$H$2:$H$31,MATCH(MIN(ABS(AF24-'ICL3'!$F$2:$F$31)),ABS(AF24-'ICL3'!$F$2:$F$31),0))</f>
        <v>30</v>
      </c>
      <c r="V24" s="1">
        <v>65</v>
      </c>
      <c r="W24" s="1">
        <v>24</v>
      </c>
      <c r="X24" s="1">
        <f>VLOOKUP($B24&amp;"__wt",'Xtal_SegEnds_BW#'!$A:$Z,24,FALSE)</f>
        <v>56</v>
      </c>
      <c r="Y24" s="1">
        <f>VLOOKUP($B24&amp;"__wt",'Xtal_SegEnds_BW#'!$A:$Z,25,FALSE)</f>
        <v>47</v>
      </c>
      <c r="Z24" s="1">
        <f>VLOOKUP($B24&amp;"__wt",'Xtal_SegEnds_BW#'!$A:$Z,26,FALSE)</f>
        <v>59</v>
      </c>
      <c r="AA24" s="63" t="str">
        <f>VLOOKUP(A24,Classification!A:B,2,FALSE)</f>
        <v>A</v>
      </c>
      <c r="AB24" s="1">
        <f>VLOOKUP(A24,'NonXtal_SegEnds_Prot#'!A:AL,10,FALSE)-VLOOKUP(A24,'NonXtal_SegEnds_Prot#'!A:AL,7,FALSE)</f>
        <v>15</v>
      </c>
      <c r="AC24" s="1">
        <f>VLOOKUP(A24,'NonXtal_SegEnds_Prot#'!A:AL,13,FALSE)-VLOOKUP(A24,'NonXtal_SegEnds_Prot#'!A:AL,10,FALSE)</f>
        <v>19</v>
      </c>
      <c r="AD24" s="1">
        <f>VLOOKUP(A24,'NonXtal_SegEnds_Prot#'!A:AL,16,FALSE)-VLOOKUP(A24,'NonXtal_SegEnds_Prot#'!A:AL,10,FALSE)</f>
        <v>51</v>
      </c>
      <c r="AE24" s="1">
        <f>VLOOKUP(A24,'NonXtal_SegEnds_Prot#'!A:AL,28,FALSE)-VLOOKUP(A24,'NonXtal_SegEnds_Prot#'!A:AL,25,FALSE)</f>
        <v>29</v>
      </c>
      <c r="AF24" s="1">
        <f>VLOOKUP(A24,'NonXtal_SegEnds_Prot#'!A:AL,31,FALSE)-VLOOKUP(A24,'NonXtal_SegEnds_Prot#'!A:AL,28,FALSE)</f>
        <v>43</v>
      </c>
      <c r="AG24" s="1">
        <f>VLOOKUP(A24,'NonXtal_SegEnds_Prot#'!A:AL,34,FALSE)-VLOOKUP(A24,'NonXtal_SegEnds_Prot#'!A:AL,31,FALSE)</f>
        <v>44</v>
      </c>
    </row>
    <row r="25" spans="1:33" x14ac:dyDescent="0.2">
      <c r="A25" s="1" t="s">
        <v>369</v>
      </c>
      <c r="B25" s="1" t="str">
        <f>VLOOKUP(A25,Xtal_Templ!A:B,2,FALSE)</f>
        <v>ccr5_human</v>
      </c>
      <c r="C25" s="5">
        <f>VLOOKUP($B25&amp;"__wt",'Xtal_SegEnds_BW#'!$A:$Z,3,FALSE)</f>
        <v>27</v>
      </c>
      <c r="D25" s="1">
        <f>VLOOKUP($B25&amp;"__wt",'Xtal_SegEnds_BW#'!$A:$Z,4,FALSE)</f>
        <v>60</v>
      </c>
      <c r="E25" s="1">
        <f>VLOOKUP($B25&amp;"__wt",'Xtal_SegEnds_BW#'!$A:$Z,5,FALSE)</f>
        <v>48</v>
      </c>
      <c r="F25" s="1">
        <f>VLOOKUP($B25&amp;"__wt",'Xtal_SegEnds_BW#'!$A:$Z,6,FALSE)</f>
        <v>51</v>
      </c>
      <c r="G25" s="1">
        <v>37</v>
      </c>
      <c r="H25" s="1">
        <v>66</v>
      </c>
      <c r="I25" s="1">
        <f>VLOOKUP($B25&amp;"__wt",'Xtal_SegEnds_BW#'!$A:$Z,9,FALSE)</f>
        <v>49</v>
      </c>
      <c r="J25" s="1">
        <f>VLOOKUP($B25&amp;"__wt",'Xtal_SegEnds_BW#'!$A:$Z,10,FALSE)</f>
        <v>52</v>
      </c>
      <c r="K25" s="1">
        <v>24</v>
      </c>
      <c r="L25" s="1">
        <f>VLOOKUP($B25&amp;"__wt",'Xtal_SegEnds_BW#'!$A:$Z,12,FALSE)</f>
        <v>56</v>
      </c>
      <c r="M25" s="1">
        <f>VLOOKUP($B25&amp;"__wt",'Xtal_SegEnds_BW#'!$A:$Z,13,FALSE)</f>
        <v>50</v>
      </c>
      <c r="N25" s="1">
        <v>58</v>
      </c>
      <c r="O25" s="1">
        <v>39</v>
      </c>
      <c r="P25" s="1">
        <f>VLOOKUP($B25&amp;"__wt",'Xtal_SegEnds_BW#'!$A:$Z,16,FALSE)</f>
        <v>64</v>
      </c>
      <c r="Q25" s="1">
        <f>VLOOKUP($B25&amp;"__wt",'Xtal_SegEnds_BW#'!$A:$Z,17,FALSE)</f>
        <v>50</v>
      </c>
      <c r="R25" s="1">
        <f>VLOOKUP($B25&amp;"__wt",'Xtal_SegEnds_BW#'!$A:$Z,18,FALSE)</f>
        <v>52</v>
      </c>
      <c r="S25" s="1">
        <f>VLOOKUP($B25&amp;"__wt",'Xtal_SegEnds_BW#'!$A:$Z,19,FALSE)</f>
        <v>31</v>
      </c>
      <c r="T25" s="23">
        <f t="array" ref="T25">INDEX('ICL3'!$G$2:$G$31,MATCH(MIN(ABS(AF25-'ICL3'!$F$2:$F$31)),ABS(AF25-'ICL3'!$F$2:$F$31),0))</f>
        <v>68</v>
      </c>
      <c r="U25" s="1">
        <f t="array" ref="U25">INDEX('ICL3'!$H$2:$H$31,MATCH(MIN(ABS(AF25-'ICL3'!$F$2:$F$31)),ABS(AF25-'ICL3'!$F$2:$F$31),0))</f>
        <v>30</v>
      </c>
      <c r="V25" s="1">
        <v>65</v>
      </c>
      <c r="W25" s="1">
        <v>24</v>
      </c>
      <c r="X25" s="1">
        <f>VLOOKUP($B25&amp;"__wt",'Xtal_SegEnds_BW#'!$A:$Z,24,FALSE)</f>
        <v>56</v>
      </c>
      <c r="Y25" s="1">
        <f>VLOOKUP($B25&amp;"__wt",'Xtal_SegEnds_BW#'!$A:$Z,25,FALSE)</f>
        <v>47</v>
      </c>
      <c r="Z25" s="1">
        <f>VLOOKUP($B25&amp;"__wt",'Xtal_SegEnds_BW#'!$A:$Z,26,FALSE)</f>
        <v>59</v>
      </c>
      <c r="AA25" s="63" t="str">
        <f>VLOOKUP(A25,Classification!A:B,2,FALSE)</f>
        <v>A</v>
      </c>
      <c r="AB25" s="1">
        <f>VLOOKUP(A25,'NonXtal_SegEnds_Prot#'!A:AL,10,FALSE)-VLOOKUP(A25,'NonXtal_SegEnds_Prot#'!A:AL,7,FALSE)</f>
        <v>15</v>
      </c>
      <c r="AC25" s="1">
        <f>VLOOKUP(A25,'NonXtal_SegEnds_Prot#'!A:AL,13,FALSE)-VLOOKUP(A25,'NonXtal_SegEnds_Prot#'!A:AL,10,FALSE)</f>
        <v>18</v>
      </c>
      <c r="AD25" s="1">
        <f>VLOOKUP(A25,'NonXtal_SegEnds_Prot#'!A:AL,16,FALSE)-VLOOKUP(A25,'NonXtal_SegEnds_Prot#'!A:AL,10,FALSE)</f>
        <v>50</v>
      </c>
      <c r="AE25" s="1">
        <f>VLOOKUP(A25,'NonXtal_SegEnds_Prot#'!A:AL,28,FALSE)-VLOOKUP(A25,'NonXtal_SegEnds_Prot#'!A:AL,25,FALSE)</f>
        <v>25</v>
      </c>
      <c r="AF25" s="1">
        <f>VLOOKUP(A25,'NonXtal_SegEnds_Prot#'!A:AL,31,FALSE)-VLOOKUP(A25,'NonXtal_SegEnds_Prot#'!A:AL,28,FALSE)</f>
        <v>43</v>
      </c>
      <c r="AG25" s="1">
        <f>VLOOKUP(A25,'NonXtal_SegEnds_Prot#'!A:AL,34,FALSE)-VLOOKUP(A25,'NonXtal_SegEnds_Prot#'!A:AL,31,FALSE)</f>
        <v>45</v>
      </c>
    </row>
    <row r="26" spans="1:33" x14ac:dyDescent="0.2">
      <c r="A26" s="1" t="s">
        <v>370</v>
      </c>
      <c r="B26" s="1" t="str">
        <f>VLOOKUP(A26,Xtal_Templ!A:B,2,FALSE)</f>
        <v>ccr5_human</v>
      </c>
      <c r="C26" s="5">
        <f>VLOOKUP($B26&amp;"__wt",'Xtal_SegEnds_BW#'!$A:$Z,3,FALSE)</f>
        <v>27</v>
      </c>
      <c r="D26" s="1">
        <f>VLOOKUP($B26&amp;"__wt",'Xtal_SegEnds_BW#'!$A:$Z,4,FALSE)</f>
        <v>60</v>
      </c>
      <c r="E26" s="1">
        <f>VLOOKUP($B26&amp;"__wt",'Xtal_SegEnds_BW#'!$A:$Z,5,FALSE)</f>
        <v>48</v>
      </c>
      <c r="F26" s="1">
        <f>VLOOKUP($B26&amp;"__wt",'Xtal_SegEnds_BW#'!$A:$Z,6,FALSE)</f>
        <v>51</v>
      </c>
      <c r="G26" s="1">
        <v>37</v>
      </c>
      <c r="H26" s="1">
        <v>66</v>
      </c>
      <c r="I26" s="1">
        <f>VLOOKUP($B26&amp;"__wt",'Xtal_SegEnds_BW#'!$A:$Z,9,FALSE)</f>
        <v>49</v>
      </c>
      <c r="J26" s="1">
        <f>VLOOKUP($B26&amp;"__wt",'Xtal_SegEnds_BW#'!$A:$Z,10,FALSE)</f>
        <v>52</v>
      </c>
      <c r="K26" s="1">
        <v>24</v>
      </c>
      <c r="L26" s="1">
        <f>VLOOKUP($B26&amp;"__wt",'Xtal_SegEnds_BW#'!$A:$Z,12,FALSE)</f>
        <v>56</v>
      </c>
      <c r="M26" s="1">
        <f>VLOOKUP($B26&amp;"__wt",'Xtal_SegEnds_BW#'!$A:$Z,13,FALSE)</f>
        <v>50</v>
      </c>
      <c r="N26" s="1">
        <v>57</v>
      </c>
      <c r="O26" s="1">
        <v>39</v>
      </c>
      <c r="P26" s="1">
        <f>VLOOKUP($B26&amp;"__wt",'Xtal_SegEnds_BW#'!$A:$Z,16,FALSE)</f>
        <v>64</v>
      </c>
      <c r="Q26" s="1">
        <f>VLOOKUP($B26&amp;"__wt",'Xtal_SegEnds_BW#'!$A:$Z,17,FALSE)</f>
        <v>50</v>
      </c>
      <c r="R26" s="1">
        <f>VLOOKUP($B26&amp;"__wt",'Xtal_SegEnds_BW#'!$A:$Z,18,FALSE)</f>
        <v>52</v>
      </c>
      <c r="S26" s="1">
        <f>VLOOKUP($B26&amp;"__wt",'Xtal_SegEnds_BW#'!$A:$Z,19,FALSE)</f>
        <v>31</v>
      </c>
      <c r="T26" s="23">
        <f t="array" ref="T26">INDEX('ICL3'!$G$2:$G$31,MATCH(MIN(ABS(AF26-'ICL3'!$F$2:$F$31)),ABS(AF26-'ICL3'!$F$2:$F$31),0))</f>
        <v>68</v>
      </c>
      <c r="U26" s="1">
        <f t="array" ref="U26">INDEX('ICL3'!$H$2:$H$31,MATCH(MIN(ABS(AF26-'ICL3'!$F$2:$F$31)),ABS(AF26-'ICL3'!$F$2:$F$31),0))</f>
        <v>30</v>
      </c>
      <c r="V26" s="1">
        <v>65</v>
      </c>
      <c r="W26" s="1">
        <v>24</v>
      </c>
      <c r="X26" s="1">
        <f>VLOOKUP($B26&amp;"__wt",'Xtal_SegEnds_BW#'!$A:$Z,24,FALSE)</f>
        <v>56</v>
      </c>
      <c r="Y26" s="1">
        <f>VLOOKUP($B26&amp;"__wt",'Xtal_SegEnds_BW#'!$A:$Z,25,FALSE)</f>
        <v>47</v>
      </c>
      <c r="Z26" s="1">
        <f>VLOOKUP($B26&amp;"__wt",'Xtal_SegEnds_BW#'!$A:$Z,26,FALSE)</f>
        <v>59</v>
      </c>
      <c r="AA26" s="63" t="str">
        <f>VLOOKUP(A26,Classification!A:B,2,FALSE)</f>
        <v>A</v>
      </c>
      <c r="AB26" s="1">
        <f>VLOOKUP(A26,'NonXtal_SegEnds_Prot#'!A:AL,10,FALSE)-VLOOKUP(A26,'NonXtal_SegEnds_Prot#'!A:AL,7,FALSE)</f>
        <v>15</v>
      </c>
      <c r="AC26" s="1">
        <f>VLOOKUP(A26,'NonXtal_SegEnds_Prot#'!A:AL,13,FALSE)-VLOOKUP(A26,'NonXtal_SegEnds_Prot#'!A:AL,10,FALSE)</f>
        <v>18</v>
      </c>
      <c r="AD26" s="1">
        <f>VLOOKUP(A26,'NonXtal_SegEnds_Prot#'!A:AL,16,FALSE)-VLOOKUP(A26,'NonXtal_SegEnds_Prot#'!A:AL,10,FALSE)</f>
        <v>50</v>
      </c>
      <c r="AE26" s="1">
        <f>VLOOKUP(A26,'NonXtal_SegEnds_Prot#'!A:AL,28,FALSE)-VLOOKUP(A26,'NonXtal_SegEnds_Prot#'!A:AL,25,FALSE)</f>
        <v>27</v>
      </c>
      <c r="AF26" s="1">
        <f>VLOOKUP(A26,'NonXtal_SegEnds_Prot#'!A:AL,31,FALSE)-VLOOKUP(A26,'NonXtal_SegEnds_Prot#'!A:AL,28,FALSE)</f>
        <v>43</v>
      </c>
      <c r="AG26" s="1">
        <f>VLOOKUP(A26,'NonXtal_SegEnds_Prot#'!A:AL,34,FALSE)-VLOOKUP(A26,'NonXtal_SegEnds_Prot#'!A:AL,31,FALSE)</f>
        <v>44</v>
      </c>
    </row>
    <row r="27" spans="1:33" x14ac:dyDescent="0.2">
      <c r="A27" s="1" t="s">
        <v>371</v>
      </c>
      <c r="B27" s="1" t="str">
        <f>VLOOKUP(A27,Xtal_Templ!A:B,2,FALSE)</f>
        <v>ccr5_human</v>
      </c>
      <c r="C27" s="5">
        <f>VLOOKUP($B27&amp;"__wt",'Xtal_SegEnds_BW#'!$A:$Z,3,FALSE)</f>
        <v>27</v>
      </c>
      <c r="D27" s="1">
        <f>VLOOKUP($B27&amp;"__wt",'Xtal_SegEnds_BW#'!$A:$Z,4,FALSE)</f>
        <v>60</v>
      </c>
      <c r="E27" s="1">
        <f>VLOOKUP($B27&amp;"__wt",'Xtal_SegEnds_BW#'!$A:$Z,5,FALSE)</f>
        <v>48</v>
      </c>
      <c r="F27" s="1">
        <f>VLOOKUP($B27&amp;"__wt",'Xtal_SegEnds_BW#'!$A:$Z,6,FALSE)</f>
        <v>51</v>
      </c>
      <c r="G27" s="1">
        <v>37</v>
      </c>
      <c r="H27" s="1">
        <v>66</v>
      </c>
      <c r="I27" s="1">
        <f>VLOOKUP($B27&amp;"__wt",'Xtal_SegEnds_BW#'!$A:$Z,9,FALSE)</f>
        <v>49</v>
      </c>
      <c r="J27" s="1">
        <f>VLOOKUP($B27&amp;"__wt",'Xtal_SegEnds_BW#'!$A:$Z,10,FALSE)</f>
        <v>52</v>
      </c>
      <c r="K27" s="1">
        <v>24</v>
      </c>
      <c r="L27" s="1">
        <f>VLOOKUP($B27&amp;"__wt",'Xtal_SegEnds_BW#'!$A:$Z,12,FALSE)</f>
        <v>56</v>
      </c>
      <c r="M27" s="1">
        <f>VLOOKUP($B27&amp;"__wt",'Xtal_SegEnds_BW#'!$A:$Z,13,FALSE)</f>
        <v>50</v>
      </c>
      <c r="N27" s="1">
        <v>58</v>
      </c>
      <c r="O27" s="1">
        <v>39</v>
      </c>
      <c r="P27" s="1">
        <f>VLOOKUP($B27&amp;"__wt",'Xtal_SegEnds_BW#'!$A:$Z,16,FALSE)</f>
        <v>64</v>
      </c>
      <c r="Q27" s="1">
        <f>VLOOKUP($B27&amp;"__wt",'Xtal_SegEnds_BW#'!$A:$Z,17,FALSE)</f>
        <v>50</v>
      </c>
      <c r="R27" s="1">
        <f>VLOOKUP($B27&amp;"__wt",'Xtal_SegEnds_BW#'!$A:$Z,18,FALSE)</f>
        <v>52</v>
      </c>
      <c r="S27" s="1">
        <f>VLOOKUP($B27&amp;"__wt",'Xtal_SegEnds_BW#'!$A:$Z,19,FALSE)</f>
        <v>31</v>
      </c>
      <c r="T27" s="23">
        <f t="array" ref="T27">INDEX('ICL3'!$G$2:$G$31,MATCH(MIN(ABS(AF27-'ICL3'!$F$2:$F$31)),ABS(AF27-'ICL3'!$F$2:$F$31),0))</f>
        <v>68</v>
      </c>
      <c r="U27" s="1">
        <f t="array" ref="U27">INDEX('ICL3'!$H$2:$H$31,MATCH(MIN(ABS(AF27-'ICL3'!$F$2:$F$31)),ABS(AF27-'ICL3'!$F$2:$F$31),0))</f>
        <v>30</v>
      </c>
      <c r="V27" s="1">
        <v>65</v>
      </c>
      <c r="W27" s="1">
        <v>24</v>
      </c>
      <c r="X27" s="1">
        <f>VLOOKUP($B27&amp;"__wt",'Xtal_SegEnds_BW#'!$A:$Z,24,FALSE)</f>
        <v>56</v>
      </c>
      <c r="Y27" s="1">
        <f>VLOOKUP($B27&amp;"__wt",'Xtal_SegEnds_BW#'!$A:$Z,25,FALSE)</f>
        <v>47</v>
      </c>
      <c r="Z27" s="1">
        <f>VLOOKUP($B27&amp;"__wt",'Xtal_SegEnds_BW#'!$A:$Z,26,FALSE)</f>
        <v>59</v>
      </c>
      <c r="AA27" s="63" t="str">
        <f>VLOOKUP(A27,Classification!A:B,2,FALSE)</f>
        <v>A</v>
      </c>
      <c r="AB27" s="1">
        <f>VLOOKUP(A27,'NonXtal_SegEnds_Prot#'!A:AL,10,FALSE)-VLOOKUP(A27,'NonXtal_SegEnds_Prot#'!A:AL,7,FALSE)</f>
        <v>15</v>
      </c>
      <c r="AC27" s="1">
        <f>VLOOKUP(A27,'NonXtal_SegEnds_Prot#'!A:AL,13,FALSE)-VLOOKUP(A27,'NonXtal_SegEnds_Prot#'!A:AL,10,FALSE)</f>
        <v>18</v>
      </c>
      <c r="AD27" s="1">
        <f>VLOOKUP(A27,'NonXtal_SegEnds_Prot#'!A:AL,16,FALSE)-VLOOKUP(A27,'NonXtal_SegEnds_Prot#'!A:AL,10,FALSE)</f>
        <v>50</v>
      </c>
      <c r="AE27" s="1">
        <f>VLOOKUP(A27,'NonXtal_SegEnds_Prot#'!A:AL,28,FALSE)-VLOOKUP(A27,'NonXtal_SegEnds_Prot#'!A:AL,25,FALSE)</f>
        <v>28</v>
      </c>
      <c r="AF27" s="1">
        <f>VLOOKUP(A27,'NonXtal_SegEnds_Prot#'!A:AL,31,FALSE)-VLOOKUP(A27,'NonXtal_SegEnds_Prot#'!A:AL,28,FALSE)</f>
        <v>43</v>
      </c>
      <c r="AG27" s="1">
        <f>VLOOKUP(A27,'NonXtal_SegEnds_Prot#'!A:AL,34,FALSE)-VLOOKUP(A27,'NonXtal_SegEnds_Prot#'!A:AL,31,FALSE)</f>
        <v>45</v>
      </c>
    </row>
    <row r="28" spans="1:33" x14ac:dyDescent="0.2">
      <c r="A28" s="1" t="s">
        <v>375</v>
      </c>
      <c r="B28" s="1" t="str">
        <f>VLOOKUP(A28,Xtal_Templ!A:B,2,FALSE)</f>
        <v>agtr1_human</v>
      </c>
      <c r="C28" s="5">
        <f>VLOOKUP($B28&amp;"__wt",'Xtal_SegEnds_BW#'!$A:$Z,3,FALSE)</f>
        <v>30</v>
      </c>
      <c r="D28" s="1">
        <f>VLOOKUP($B28&amp;"__wt",'Xtal_SegEnds_BW#'!$A:$Z,4,FALSE)</f>
        <v>60</v>
      </c>
      <c r="E28" s="1">
        <f>VLOOKUP($B28&amp;"__wt",'Xtal_SegEnds_BW#'!$A:$Z,5,FALSE)</f>
        <v>48</v>
      </c>
      <c r="F28" s="1">
        <f>VLOOKUP($B28&amp;"__wt",'Xtal_SegEnds_BW#'!$A:$Z,6,FALSE)</f>
        <v>51</v>
      </c>
      <c r="G28" s="1">
        <v>37</v>
      </c>
      <c r="H28" s="1">
        <f>VLOOKUP($B28&amp;"__wt",'Xtal_SegEnds_BW#'!$A:$Z,8,FALSE)</f>
        <v>66</v>
      </c>
      <c r="I28" s="1">
        <f>VLOOKUP($B28&amp;"__wt",'Xtal_SegEnds_BW#'!$A:$Z,9,FALSE)</f>
        <v>49</v>
      </c>
      <c r="J28" s="1">
        <f>VLOOKUP($B28&amp;"__wt",'Xtal_SegEnds_BW#'!$A:$Z,10,FALSE)</f>
        <v>52</v>
      </c>
      <c r="K28" s="1">
        <v>18</v>
      </c>
      <c r="L28" s="1">
        <f>VLOOKUP($B28&amp;"__wt",'Xtal_SegEnds_BW#'!$A:$Z,12,FALSE)</f>
        <v>56</v>
      </c>
      <c r="M28" s="1">
        <f>VLOOKUP($B28&amp;"__wt",'Xtal_SegEnds_BW#'!$A:$Z,13,FALSE)</f>
        <v>50</v>
      </c>
      <c r="N28" s="1">
        <v>57</v>
      </c>
      <c r="O28" s="1">
        <v>39</v>
      </c>
      <c r="P28" s="1">
        <f>VLOOKUP($B28&amp;"__wt",'Xtal_SegEnds_BW#'!$A:$Z,16,FALSE)</f>
        <v>64</v>
      </c>
      <c r="Q28" s="1">
        <f>VLOOKUP($B28&amp;"__wt",'Xtal_SegEnds_BW#'!$A:$Z,17,FALSE)</f>
        <v>50</v>
      </c>
      <c r="R28" s="1">
        <f>VLOOKUP($B28&amp;"__wt",'Xtal_SegEnds_BW#'!$A:$Z,18,FALSE)</f>
        <v>52</v>
      </c>
      <c r="S28" s="1">
        <f>VLOOKUP($B28&amp;"__wt",'Xtal_SegEnds_BW#'!$A:$Z,19,FALSE)</f>
        <v>34</v>
      </c>
      <c r="T28" s="23">
        <f t="array" ref="T28">INDEX('ICL3'!$G$2:$G$31,MATCH(MIN(ABS(AF28-'ICL3'!$F$2:$F$31)),ABS(AF28-'ICL3'!$F$2:$F$31),0))</f>
        <v>68</v>
      </c>
      <c r="U28" s="1">
        <f t="array" ref="U28">INDEX('ICL3'!$H$2:$H$31,MATCH(MIN(ABS(AF28-'ICL3'!$F$2:$F$31)),ABS(AF28-'ICL3'!$F$2:$F$31),0))</f>
        <v>30</v>
      </c>
      <c r="V28" s="1">
        <v>61</v>
      </c>
      <c r="W28" s="1">
        <v>28</v>
      </c>
      <c r="X28" s="1">
        <f>VLOOKUP($B28&amp;"__wt",'Xtal_SegEnds_BW#'!$A:$Z,24,FALSE)</f>
        <v>56</v>
      </c>
      <c r="Y28" s="1">
        <f>VLOOKUP($B28&amp;"__wt",'Xtal_SegEnds_BW#'!$A:$Z,25,FALSE)</f>
        <v>47</v>
      </c>
      <c r="Z28" s="1">
        <f>VLOOKUP($B28&amp;"__wt",'Xtal_SegEnds_BW#'!$A:$Z,26,FALSE)</f>
        <v>61</v>
      </c>
      <c r="AA28" s="63" t="str">
        <f>VLOOKUP(A28,Classification!A:B,2,FALSE)</f>
        <v>A</v>
      </c>
      <c r="AB28" s="1" t="e">
        <f>VLOOKUP(A28,'NonXtal_SegEnds_Prot#'!A:AL,10,FALSE)-VLOOKUP(A28,'NonXtal_SegEnds_Prot#'!A:AL,7,FALSE)</f>
        <v>#VALUE!</v>
      </c>
      <c r="AC28" s="1">
        <f>VLOOKUP(A28,'NonXtal_SegEnds_Prot#'!A:AL,13,FALSE)-VLOOKUP(A28,'NonXtal_SegEnds_Prot#'!A:AL,10,FALSE)</f>
        <v>20</v>
      </c>
      <c r="AD28" s="1">
        <f>VLOOKUP(A28,'NonXtal_SegEnds_Prot#'!A:AL,16,FALSE)-VLOOKUP(A28,'NonXtal_SegEnds_Prot#'!A:AL,10,FALSE)</f>
        <v>52</v>
      </c>
      <c r="AE28" s="1">
        <f>VLOOKUP(A28,'NonXtal_SegEnds_Prot#'!A:AL,28,FALSE)-VLOOKUP(A28,'NonXtal_SegEnds_Prot#'!A:AL,25,FALSE)</f>
        <v>43</v>
      </c>
      <c r="AF28" s="1">
        <f>VLOOKUP(A28,'NonXtal_SegEnds_Prot#'!A:AL,31,FALSE)-VLOOKUP(A28,'NonXtal_SegEnds_Prot#'!A:AL,28,FALSE)</f>
        <v>43</v>
      </c>
      <c r="AG28" s="1">
        <f>VLOOKUP(A28,'NonXtal_SegEnds_Prot#'!A:AL,34,FALSE)-VLOOKUP(A28,'NonXtal_SegEnds_Prot#'!A:AL,31,FALSE)</f>
        <v>38</v>
      </c>
    </row>
    <row r="29" spans="1:33" x14ac:dyDescent="0.2">
      <c r="A29" s="1" t="s">
        <v>378</v>
      </c>
      <c r="B29" s="1" t="str">
        <f>VLOOKUP(A29,Xtal_Templ!A:B,2,FALSE)</f>
        <v>ccr5_human</v>
      </c>
      <c r="C29" s="5">
        <f>VLOOKUP($B29&amp;"__wt",'Xtal_SegEnds_BW#'!$A:$Z,3,FALSE)</f>
        <v>27</v>
      </c>
      <c r="D29" s="1">
        <f>VLOOKUP($B29&amp;"__wt",'Xtal_SegEnds_BW#'!$A:$Z,4,FALSE)</f>
        <v>60</v>
      </c>
      <c r="E29" s="1">
        <f>VLOOKUP($B29&amp;"__wt",'Xtal_SegEnds_BW#'!$A:$Z,5,FALSE)</f>
        <v>48</v>
      </c>
      <c r="F29" s="1">
        <f>VLOOKUP($B29&amp;"__wt",'Xtal_SegEnds_BW#'!$A:$Z,6,FALSE)</f>
        <v>51</v>
      </c>
      <c r="G29" s="1">
        <v>37</v>
      </c>
      <c r="H29" s="1">
        <v>66</v>
      </c>
      <c r="I29" s="1">
        <f>VLOOKUP($B29&amp;"__wt",'Xtal_SegEnds_BW#'!$A:$Z,9,FALSE)</f>
        <v>49</v>
      </c>
      <c r="J29" s="1">
        <f>VLOOKUP($B29&amp;"__wt",'Xtal_SegEnds_BW#'!$A:$Z,10,FALSE)</f>
        <v>52</v>
      </c>
      <c r="K29" s="1">
        <v>24</v>
      </c>
      <c r="L29" s="1">
        <f>VLOOKUP($B29&amp;"__wt",'Xtal_SegEnds_BW#'!$A:$Z,12,FALSE)</f>
        <v>56</v>
      </c>
      <c r="M29" s="1">
        <f>VLOOKUP($B29&amp;"__wt",'Xtal_SegEnds_BW#'!$A:$Z,13,FALSE)</f>
        <v>50</v>
      </c>
      <c r="N29" s="1">
        <v>57</v>
      </c>
      <c r="O29" s="1">
        <v>39</v>
      </c>
      <c r="P29" s="1">
        <f>VLOOKUP($B29&amp;"__wt",'Xtal_SegEnds_BW#'!$A:$Z,16,FALSE)</f>
        <v>64</v>
      </c>
      <c r="Q29" s="1">
        <f>VLOOKUP($B29&amp;"__wt",'Xtal_SegEnds_BW#'!$A:$Z,17,FALSE)</f>
        <v>50</v>
      </c>
      <c r="R29" s="1">
        <f>VLOOKUP($B29&amp;"__wt",'Xtal_SegEnds_BW#'!$A:$Z,18,FALSE)</f>
        <v>52</v>
      </c>
      <c r="S29" s="1">
        <f>VLOOKUP($B29&amp;"__wt",'Xtal_SegEnds_BW#'!$A:$Z,19,FALSE)</f>
        <v>31</v>
      </c>
      <c r="T29" s="23">
        <f t="array" ref="T29">INDEX('ICL3'!$G$2:$G$31,MATCH(MIN(ABS(AF29-'ICL3'!$F$2:$F$31)),ABS(AF29-'ICL3'!$F$2:$F$31),0))</f>
        <v>68</v>
      </c>
      <c r="U29" s="1">
        <f t="array" ref="U29">INDEX('ICL3'!$H$2:$H$31,MATCH(MIN(ABS(AF29-'ICL3'!$F$2:$F$31)),ABS(AF29-'ICL3'!$F$2:$F$31),0))</f>
        <v>30</v>
      </c>
      <c r="V29" s="1">
        <v>64</v>
      </c>
      <c r="W29" s="1">
        <v>24</v>
      </c>
      <c r="X29" s="1">
        <f>VLOOKUP($B29&amp;"__wt",'Xtal_SegEnds_BW#'!$A:$Z,24,FALSE)</f>
        <v>56</v>
      </c>
      <c r="Y29" s="1">
        <f>VLOOKUP($B29&amp;"__wt",'Xtal_SegEnds_BW#'!$A:$Z,25,FALSE)</f>
        <v>47</v>
      </c>
      <c r="Z29" s="1">
        <f>VLOOKUP($B29&amp;"__wt",'Xtal_SegEnds_BW#'!$A:$Z,26,FALSE)</f>
        <v>59</v>
      </c>
      <c r="AA29" s="63" t="str">
        <f>VLOOKUP(A29,Classification!A:B,2,FALSE)</f>
        <v>A</v>
      </c>
      <c r="AB29" s="1">
        <f>VLOOKUP(A29,'NonXtal_SegEnds_Prot#'!A:AL,10,FALSE)-VLOOKUP(A29,'NonXtal_SegEnds_Prot#'!A:AL,7,FALSE)</f>
        <v>15</v>
      </c>
      <c r="AC29" s="1" t="e">
        <f>VLOOKUP(A29,'NonXtal_SegEnds_Prot#'!A:AL,13,FALSE)-VLOOKUP(A29,'NonXtal_SegEnds_Prot#'!A:AL,10,FALSE)</f>
        <v>#VALUE!</v>
      </c>
      <c r="AD29" s="1">
        <f>VLOOKUP(A29,'NonXtal_SegEnds_Prot#'!A:AL,16,FALSE)-VLOOKUP(A29,'NonXtal_SegEnds_Prot#'!A:AL,10,FALSE)</f>
        <v>50</v>
      </c>
      <c r="AE29" s="1">
        <f>VLOOKUP(A29,'NonXtal_SegEnds_Prot#'!A:AL,28,FALSE)-VLOOKUP(A29,'NonXtal_SegEnds_Prot#'!A:AL,25,FALSE)</f>
        <v>28</v>
      </c>
      <c r="AF29" s="1">
        <f>VLOOKUP(A29,'NonXtal_SegEnds_Prot#'!A:AL,31,FALSE)-VLOOKUP(A29,'NonXtal_SegEnds_Prot#'!A:AL,28,FALSE)</f>
        <v>43</v>
      </c>
      <c r="AG29" s="1">
        <f>VLOOKUP(A29,'NonXtal_SegEnds_Prot#'!A:AL,34,FALSE)-VLOOKUP(A29,'NonXtal_SegEnds_Prot#'!A:AL,31,FALSE)</f>
        <v>44</v>
      </c>
    </row>
    <row r="30" spans="1:33" x14ac:dyDescent="0.2">
      <c r="A30" s="1" t="s">
        <v>379</v>
      </c>
      <c r="B30" s="1" t="str">
        <f>VLOOKUP(A30,Xtal_Templ!A:B,2,FALSE)</f>
        <v>ccr5_human</v>
      </c>
      <c r="C30" s="5">
        <f>VLOOKUP($B30&amp;"__wt",'Xtal_SegEnds_BW#'!$A:$Z,3,FALSE)</f>
        <v>27</v>
      </c>
      <c r="D30" s="1">
        <f>VLOOKUP($B30&amp;"__wt",'Xtal_SegEnds_BW#'!$A:$Z,4,FALSE)</f>
        <v>60</v>
      </c>
      <c r="E30" s="1">
        <f>VLOOKUP($B30&amp;"__wt",'Xtal_SegEnds_BW#'!$A:$Z,5,FALSE)</f>
        <v>48</v>
      </c>
      <c r="F30" s="1">
        <f>VLOOKUP($B30&amp;"__wt",'Xtal_SegEnds_BW#'!$A:$Z,6,FALSE)</f>
        <v>51</v>
      </c>
      <c r="G30" s="1">
        <v>37</v>
      </c>
      <c r="H30" s="1">
        <v>66</v>
      </c>
      <c r="I30" s="1">
        <f>VLOOKUP($B30&amp;"__wt",'Xtal_SegEnds_BW#'!$A:$Z,9,FALSE)</f>
        <v>49</v>
      </c>
      <c r="J30" s="1">
        <f>VLOOKUP($B30&amp;"__wt",'Xtal_SegEnds_BW#'!$A:$Z,10,FALSE)</f>
        <v>52</v>
      </c>
      <c r="K30" s="1">
        <v>24</v>
      </c>
      <c r="L30" s="1">
        <f>VLOOKUP($B30&amp;"__wt",'Xtal_SegEnds_BW#'!$A:$Z,12,FALSE)</f>
        <v>56</v>
      </c>
      <c r="M30" s="1">
        <f>VLOOKUP($B30&amp;"__wt",'Xtal_SegEnds_BW#'!$A:$Z,13,FALSE)</f>
        <v>50</v>
      </c>
      <c r="N30" s="1">
        <v>57</v>
      </c>
      <c r="O30" s="1">
        <v>39</v>
      </c>
      <c r="P30" s="1">
        <f>VLOOKUP($B30&amp;"__wt",'Xtal_SegEnds_BW#'!$A:$Z,16,FALSE)</f>
        <v>64</v>
      </c>
      <c r="Q30" s="1">
        <f>VLOOKUP($B30&amp;"__wt",'Xtal_SegEnds_BW#'!$A:$Z,17,FALSE)</f>
        <v>50</v>
      </c>
      <c r="R30" s="1">
        <f>VLOOKUP($B30&amp;"__wt",'Xtal_SegEnds_BW#'!$A:$Z,18,FALSE)</f>
        <v>52</v>
      </c>
      <c r="S30" s="1">
        <f>VLOOKUP($B30&amp;"__wt",'Xtal_SegEnds_BW#'!$A:$Z,19,FALSE)</f>
        <v>31</v>
      </c>
      <c r="T30" s="23">
        <f t="array" ref="T30">INDEX('ICL3'!$G$2:$G$31,MATCH(MIN(ABS(AF30-'ICL3'!$F$2:$F$31)),ABS(AF30-'ICL3'!$F$2:$F$31),0))</f>
        <v>68</v>
      </c>
      <c r="U30" s="1">
        <f t="array" ref="U30">INDEX('ICL3'!$H$2:$H$31,MATCH(MIN(ABS(AF30-'ICL3'!$F$2:$F$31)),ABS(AF30-'ICL3'!$F$2:$F$31),0))</f>
        <v>30</v>
      </c>
      <c r="V30" s="1">
        <v>64</v>
      </c>
      <c r="W30" s="1">
        <v>24</v>
      </c>
      <c r="X30" s="1">
        <f>VLOOKUP($B30&amp;"__wt",'Xtal_SegEnds_BW#'!$A:$Z,24,FALSE)</f>
        <v>56</v>
      </c>
      <c r="Y30" s="1">
        <f>VLOOKUP($B30&amp;"__wt",'Xtal_SegEnds_BW#'!$A:$Z,25,FALSE)</f>
        <v>47</v>
      </c>
      <c r="Z30" s="1">
        <f>VLOOKUP($B30&amp;"__wt",'Xtal_SegEnds_BW#'!$A:$Z,26,FALSE)</f>
        <v>59</v>
      </c>
      <c r="AA30" s="63" t="str">
        <f>VLOOKUP(A30,Classification!A:B,2,FALSE)</f>
        <v>A</v>
      </c>
      <c r="AB30" s="1">
        <f>VLOOKUP(A30,'NonXtal_SegEnds_Prot#'!A:AL,10,FALSE)-VLOOKUP(A30,'NonXtal_SegEnds_Prot#'!A:AL,7,FALSE)</f>
        <v>15</v>
      </c>
      <c r="AC30" s="1">
        <f>VLOOKUP(A30,'NonXtal_SegEnds_Prot#'!A:AL,13,FALSE)-VLOOKUP(A30,'NonXtal_SegEnds_Prot#'!A:AL,10,FALSE)</f>
        <v>18</v>
      </c>
      <c r="AD30" s="1">
        <f>VLOOKUP(A30,'NonXtal_SegEnds_Prot#'!A:AL,16,FALSE)-VLOOKUP(A30,'NonXtal_SegEnds_Prot#'!A:AL,10,FALSE)</f>
        <v>50</v>
      </c>
      <c r="AE30" s="1">
        <f>VLOOKUP(A30,'NonXtal_SegEnds_Prot#'!A:AL,28,FALSE)-VLOOKUP(A30,'NonXtal_SegEnds_Prot#'!A:AL,25,FALSE)</f>
        <v>27</v>
      </c>
      <c r="AF30" s="1">
        <f>VLOOKUP(A30,'NonXtal_SegEnds_Prot#'!A:AL,31,FALSE)-VLOOKUP(A30,'NonXtal_SegEnds_Prot#'!A:AL,28,FALSE)</f>
        <v>43</v>
      </c>
      <c r="AG30" s="1">
        <f>VLOOKUP(A30,'NonXtal_SegEnds_Prot#'!A:AL,34,FALSE)-VLOOKUP(A30,'NonXtal_SegEnds_Prot#'!A:AL,31,FALSE)</f>
        <v>45</v>
      </c>
    </row>
    <row r="31" spans="1:33" x14ac:dyDescent="0.2">
      <c r="A31" s="1" t="s">
        <v>380</v>
      </c>
      <c r="B31" s="1" t="str">
        <f>VLOOKUP(A31,Xtal_Templ!A:B,2,FALSE)</f>
        <v>ccr5_human</v>
      </c>
      <c r="C31" s="5">
        <f>VLOOKUP($B31&amp;"__wt",'Xtal_SegEnds_BW#'!$A:$Z,3,FALSE)</f>
        <v>27</v>
      </c>
      <c r="D31" s="1">
        <f>VLOOKUP($B31&amp;"__wt",'Xtal_SegEnds_BW#'!$A:$Z,4,FALSE)</f>
        <v>60</v>
      </c>
      <c r="E31" s="1">
        <f>VLOOKUP($B31&amp;"__wt",'Xtal_SegEnds_BW#'!$A:$Z,5,FALSE)</f>
        <v>48</v>
      </c>
      <c r="F31" s="1">
        <f>VLOOKUP($B31&amp;"__wt",'Xtal_SegEnds_BW#'!$A:$Z,6,FALSE)</f>
        <v>51</v>
      </c>
      <c r="G31" s="1">
        <v>37</v>
      </c>
      <c r="H31" s="1">
        <v>66</v>
      </c>
      <c r="I31" s="1">
        <f>VLOOKUP($B31&amp;"__wt",'Xtal_SegEnds_BW#'!$A:$Z,9,FALSE)</f>
        <v>49</v>
      </c>
      <c r="J31" s="1">
        <f>VLOOKUP($B31&amp;"__wt",'Xtal_SegEnds_BW#'!$A:$Z,10,FALSE)</f>
        <v>52</v>
      </c>
      <c r="K31" s="1">
        <v>24</v>
      </c>
      <c r="L31" s="1">
        <f>VLOOKUP($B31&amp;"__wt",'Xtal_SegEnds_BW#'!$A:$Z,12,FALSE)</f>
        <v>56</v>
      </c>
      <c r="M31" s="1">
        <f>VLOOKUP($B31&amp;"__wt",'Xtal_SegEnds_BW#'!$A:$Z,13,FALSE)</f>
        <v>50</v>
      </c>
      <c r="N31" s="1">
        <v>57</v>
      </c>
      <c r="O31" s="1">
        <v>39</v>
      </c>
      <c r="P31" s="1">
        <f>VLOOKUP($B31&amp;"__wt",'Xtal_SegEnds_BW#'!$A:$Z,16,FALSE)</f>
        <v>64</v>
      </c>
      <c r="Q31" s="1">
        <f>VLOOKUP($B31&amp;"__wt",'Xtal_SegEnds_BW#'!$A:$Z,17,FALSE)</f>
        <v>50</v>
      </c>
      <c r="R31" s="1">
        <f>VLOOKUP($B31&amp;"__wt",'Xtal_SegEnds_BW#'!$A:$Z,18,FALSE)</f>
        <v>52</v>
      </c>
      <c r="S31" s="1">
        <f>VLOOKUP($B31&amp;"__wt",'Xtal_SegEnds_BW#'!$A:$Z,19,FALSE)</f>
        <v>31</v>
      </c>
      <c r="T31" s="23">
        <f t="array" ref="T31">INDEX('ICL3'!$G$2:$G$31,MATCH(MIN(ABS(AF31-'ICL3'!$F$2:$F$31)),ABS(AF31-'ICL3'!$F$2:$F$31),0))</f>
        <v>68</v>
      </c>
      <c r="U31" s="1">
        <f t="array" ref="U31">INDEX('ICL3'!$H$2:$H$31,MATCH(MIN(ABS(AF31-'ICL3'!$F$2:$F$31)),ABS(AF31-'ICL3'!$F$2:$F$31),0))</f>
        <v>30</v>
      </c>
      <c r="V31" s="1">
        <v>64</v>
      </c>
      <c r="W31" s="1">
        <v>24</v>
      </c>
      <c r="X31" s="1">
        <f>VLOOKUP($B31&amp;"__wt",'Xtal_SegEnds_BW#'!$A:$Z,24,FALSE)</f>
        <v>56</v>
      </c>
      <c r="Y31" s="1">
        <f>VLOOKUP($B31&amp;"__wt",'Xtal_SegEnds_BW#'!$A:$Z,25,FALSE)</f>
        <v>47</v>
      </c>
      <c r="Z31" s="1">
        <f>VLOOKUP($B31&amp;"__wt",'Xtal_SegEnds_BW#'!$A:$Z,26,FALSE)</f>
        <v>59</v>
      </c>
      <c r="AA31" s="63" t="str">
        <f>VLOOKUP(A31,Classification!A:B,2,FALSE)</f>
        <v>A</v>
      </c>
      <c r="AB31" s="1">
        <f>VLOOKUP(A31,'NonXtal_SegEnds_Prot#'!A:AL,10,FALSE)-VLOOKUP(A31,'NonXtal_SegEnds_Prot#'!A:AL,7,FALSE)</f>
        <v>15</v>
      </c>
      <c r="AC31" s="1">
        <f>VLOOKUP(A31,'NonXtal_SegEnds_Prot#'!A:AL,13,FALSE)-VLOOKUP(A31,'NonXtal_SegEnds_Prot#'!A:AL,10,FALSE)</f>
        <v>18</v>
      </c>
      <c r="AD31" s="1">
        <f>VLOOKUP(A31,'NonXtal_SegEnds_Prot#'!A:AL,16,FALSE)-VLOOKUP(A31,'NonXtal_SegEnds_Prot#'!A:AL,10,FALSE)</f>
        <v>50</v>
      </c>
      <c r="AE31" s="1">
        <f>VLOOKUP(A31,'NonXtal_SegEnds_Prot#'!A:AL,28,FALSE)-VLOOKUP(A31,'NonXtal_SegEnds_Prot#'!A:AL,25,FALSE)</f>
        <v>27</v>
      </c>
      <c r="AF31" s="1">
        <f>VLOOKUP(A31,'NonXtal_SegEnds_Prot#'!A:AL,31,FALSE)-VLOOKUP(A31,'NonXtal_SegEnds_Prot#'!A:AL,28,FALSE)</f>
        <v>43</v>
      </c>
      <c r="AG31" s="1">
        <f>VLOOKUP(A31,'NonXtal_SegEnds_Prot#'!A:AL,34,FALSE)-VLOOKUP(A31,'NonXtal_SegEnds_Prot#'!A:AL,31,FALSE)</f>
        <v>45</v>
      </c>
    </row>
    <row r="32" spans="1:33" x14ac:dyDescent="0.2">
      <c r="A32" s="1" t="s">
        <v>381</v>
      </c>
      <c r="B32" s="1" t="str">
        <f>VLOOKUP(A32,Xtal_Templ!A:B,2,FALSE)</f>
        <v>cxcr4_human</v>
      </c>
      <c r="C32" s="5">
        <f>VLOOKUP($B32&amp;"__wt",'Xtal_SegEnds_BW#'!$A:$Z,3,FALSE)</f>
        <v>24</v>
      </c>
      <c r="D32" s="1">
        <f>VLOOKUP($B32&amp;"__wt",'Xtal_SegEnds_BW#'!$A:$Z,4,FALSE)</f>
        <v>60</v>
      </c>
      <c r="E32" s="1">
        <f>VLOOKUP($B32&amp;"__wt",'Xtal_SegEnds_BW#'!$A:$Z,5,FALSE)</f>
        <v>48</v>
      </c>
      <c r="F32" s="1">
        <f>VLOOKUP($B32&amp;"__wt",'Xtal_SegEnds_BW#'!$A:$Z,6,FALSE)</f>
        <v>51</v>
      </c>
      <c r="G32" s="1">
        <v>37</v>
      </c>
      <c r="H32" s="1">
        <v>66</v>
      </c>
      <c r="I32" s="1">
        <f>VLOOKUP($B32&amp;"__wt",'Xtal_SegEnds_BW#'!$A:$Z,9,FALSE)</f>
        <v>49</v>
      </c>
      <c r="J32" s="1">
        <f>VLOOKUP($B32&amp;"__wt",'Xtal_SegEnds_BW#'!$A:$Z,10,FALSE)</f>
        <v>52</v>
      </c>
      <c r="K32" s="1">
        <v>24</v>
      </c>
      <c r="L32" s="1">
        <f>VLOOKUP($B32&amp;"__wt",'Xtal_SegEnds_BW#'!$A:$Z,12,FALSE)</f>
        <v>56</v>
      </c>
      <c r="M32" s="1">
        <f>VLOOKUP($B32&amp;"__wt",'Xtal_SegEnds_BW#'!$A:$Z,13,FALSE)</f>
        <v>50</v>
      </c>
      <c r="N32" s="1">
        <v>57</v>
      </c>
      <c r="O32" s="1">
        <v>39</v>
      </c>
      <c r="P32" s="1">
        <f>VLOOKUP($B32&amp;"__wt",'Xtal_SegEnds_BW#'!$A:$Z,16,FALSE)</f>
        <v>64</v>
      </c>
      <c r="Q32" s="1">
        <f>VLOOKUP($B32&amp;"__wt",'Xtal_SegEnds_BW#'!$A:$Z,17,FALSE)</f>
        <v>50</v>
      </c>
      <c r="R32" s="1">
        <f>VLOOKUP($B32&amp;"__wt",'Xtal_SegEnds_BW#'!$A:$Z,18,FALSE)</f>
        <v>52</v>
      </c>
      <c r="S32" s="1">
        <f>VLOOKUP($B32&amp;"__wt",'Xtal_SegEnds_BW#'!$A:$Z,19,FALSE)</f>
        <v>32</v>
      </c>
      <c r="T32" s="23">
        <f t="array" ref="T32">INDEX('ICL3'!$G$2:$G$31,MATCH(MIN(ABS(AF32-'ICL3'!$F$2:$F$31)),ABS(AF32-'ICL3'!$F$2:$F$31),0))</f>
        <v>68</v>
      </c>
      <c r="U32" s="1">
        <f t="array" ref="U32">INDEX('ICL3'!$H$2:$H$31,MATCH(MIN(ABS(AF32-'ICL3'!$F$2:$F$31)),ABS(AF32-'ICL3'!$F$2:$F$31),0))</f>
        <v>30</v>
      </c>
      <c r="V32" s="1">
        <v>64</v>
      </c>
      <c r="W32" s="1">
        <v>24</v>
      </c>
      <c r="X32" s="1">
        <f>VLOOKUP($B32&amp;"__wt",'Xtal_SegEnds_BW#'!$A:$Z,24,FALSE)</f>
        <v>56</v>
      </c>
      <c r="Y32" s="1">
        <f>VLOOKUP($B32&amp;"__wt",'Xtal_SegEnds_BW#'!$A:$Z,25,FALSE)</f>
        <v>47</v>
      </c>
      <c r="Z32" s="1">
        <f>VLOOKUP($B32&amp;"__wt",'Xtal_SegEnds_BW#'!$A:$Z,26,FALSE)</f>
        <v>59</v>
      </c>
      <c r="AA32" s="63" t="str">
        <f>VLOOKUP(A32,Classification!A:B,2,FALSE)</f>
        <v>A</v>
      </c>
      <c r="AB32" s="1">
        <f>VLOOKUP(A32,'NonXtal_SegEnds_Prot#'!A:AL,10,FALSE)-VLOOKUP(A32,'NonXtal_SegEnds_Prot#'!A:AL,7,FALSE)</f>
        <v>15</v>
      </c>
      <c r="AC32" s="1">
        <f>VLOOKUP(A32,'NonXtal_SegEnds_Prot#'!A:AL,13,FALSE)-VLOOKUP(A32,'NonXtal_SegEnds_Prot#'!A:AL,10,FALSE)</f>
        <v>18</v>
      </c>
      <c r="AD32" s="1">
        <f>VLOOKUP(A32,'NonXtal_SegEnds_Prot#'!A:AL,16,FALSE)-VLOOKUP(A32,'NonXtal_SegEnds_Prot#'!A:AL,10,FALSE)</f>
        <v>50</v>
      </c>
      <c r="AE32" s="1">
        <f>VLOOKUP(A32,'NonXtal_SegEnds_Prot#'!A:AL,28,FALSE)-VLOOKUP(A32,'NonXtal_SegEnds_Prot#'!A:AL,25,FALSE)</f>
        <v>24</v>
      </c>
      <c r="AF32" s="1">
        <f>VLOOKUP(A32,'NonXtal_SegEnds_Prot#'!A:AL,31,FALSE)-VLOOKUP(A32,'NonXtal_SegEnds_Prot#'!A:AL,28,FALSE)</f>
        <v>43</v>
      </c>
      <c r="AG32" s="1">
        <f>VLOOKUP(A32,'NonXtal_SegEnds_Prot#'!A:AL,34,FALSE)-VLOOKUP(A32,'NonXtal_SegEnds_Prot#'!A:AL,31,FALSE)</f>
        <v>45</v>
      </c>
    </row>
    <row r="33" spans="1:33" x14ac:dyDescent="0.2">
      <c r="A33" s="1" t="s">
        <v>1391</v>
      </c>
      <c r="B33" s="1" t="str">
        <f>VLOOKUP(A33,Xtal_Templ!A:B,2,FALSE)</f>
        <v>cxcr4_human</v>
      </c>
      <c r="C33" s="5">
        <f>VLOOKUP($B33&amp;"__wt",'Xtal_SegEnds_BW#'!$A:$Z,3,FALSE)</f>
        <v>24</v>
      </c>
      <c r="D33" s="1">
        <f>VLOOKUP($B33&amp;"__wt",'Xtal_SegEnds_BW#'!$A:$Z,4,FALSE)</f>
        <v>60</v>
      </c>
      <c r="E33" s="1">
        <f>VLOOKUP($B33&amp;"__wt",'Xtal_SegEnds_BW#'!$A:$Z,5,FALSE)</f>
        <v>48</v>
      </c>
      <c r="F33" s="1">
        <f>VLOOKUP($B33&amp;"__wt",'Xtal_SegEnds_BW#'!$A:$Z,6,FALSE)</f>
        <v>51</v>
      </c>
      <c r="G33" s="1">
        <v>37</v>
      </c>
      <c r="H33" s="1">
        <v>66</v>
      </c>
      <c r="I33" s="1">
        <f>VLOOKUP($B33&amp;"__wt",'Xtal_SegEnds_BW#'!$A:$Z,9,FALSE)</f>
        <v>49</v>
      </c>
      <c r="J33" s="1">
        <f>VLOOKUP($B33&amp;"__wt",'Xtal_SegEnds_BW#'!$A:$Z,10,FALSE)</f>
        <v>52</v>
      </c>
      <c r="K33" s="1">
        <v>24</v>
      </c>
      <c r="L33" s="1">
        <f>VLOOKUP($B33&amp;"__wt",'Xtal_SegEnds_BW#'!$A:$Z,12,FALSE)</f>
        <v>56</v>
      </c>
      <c r="M33" s="1">
        <f>VLOOKUP($B33&amp;"__wt",'Xtal_SegEnds_BW#'!$A:$Z,13,FALSE)</f>
        <v>50</v>
      </c>
      <c r="N33" s="1">
        <v>57</v>
      </c>
      <c r="O33" s="1">
        <v>39</v>
      </c>
      <c r="P33" s="1">
        <f>VLOOKUP($B33&amp;"__wt",'Xtal_SegEnds_BW#'!$A:$Z,16,FALSE)</f>
        <v>64</v>
      </c>
      <c r="Q33" s="1">
        <f>VLOOKUP($B33&amp;"__wt",'Xtal_SegEnds_BW#'!$A:$Z,17,FALSE)</f>
        <v>50</v>
      </c>
      <c r="R33" s="1">
        <f>VLOOKUP($B33&amp;"__wt",'Xtal_SegEnds_BW#'!$A:$Z,18,FALSE)</f>
        <v>52</v>
      </c>
      <c r="S33" s="1">
        <f>VLOOKUP($B33&amp;"__wt",'Xtal_SegEnds_BW#'!$A:$Z,19,FALSE)</f>
        <v>32</v>
      </c>
      <c r="T33" s="23">
        <f t="array" ref="T33">INDEX('ICL3'!$G$2:$G$31,MATCH(MIN(ABS(AF33-'ICL3'!$F$2:$F$31)),ABS(AF33-'ICL3'!$F$2:$F$31),0))</f>
        <v>68</v>
      </c>
      <c r="U33" s="1">
        <f t="array" ref="U33">INDEX('ICL3'!$H$2:$H$31,MATCH(MIN(ABS(AF33-'ICL3'!$F$2:$F$31)),ABS(AF33-'ICL3'!$F$2:$F$31),0))</f>
        <v>30</v>
      </c>
      <c r="V33" s="1">
        <v>64</v>
      </c>
      <c r="W33" s="1">
        <v>24</v>
      </c>
      <c r="X33" s="1">
        <f>VLOOKUP($B33&amp;"__wt",'Xtal_SegEnds_BW#'!$A:$Z,24,FALSE)</f>
        <v>56</v>
      </c>
      <c r="Y33" s="1">
        <f>VLOOKUP($B33&amp;"__wt",'Xtal_SegEnds_BW#'!$A:$Z,25,FALSE)</f>
        <v>47</v>
      </c>
      <c r="Z33" s="1">
        <f>VLOOKUP($B33&amp;"__wt",'Xtal_SegEnds_BW#'!$A:$Z,26,FALSE)</f>
        <v>59</v>
      </c>
      <c r="AA33" s="63" t="str">
        <f>VLOOKUP(A33,Classification!A:B,2,FALSE)</f>
        <v>A</v>
      </c>
      <c r="AB33" s="1">
        <f>VLOOKUP(A33,'NonXtal_SegEnds_Prot#'!A:AL,10,FALSE)-VLOOKUP(A33,'NonXtal_SegEnds_Prot#'!A:AL,7,FALSE)</f>
        <v>15</v>
      </c>
      <c r="AC33" s="1">
        <f>VLOOKUP(A33,'NonXtal_SegEnds_Prot#'!A:AL,13,FALSE)-VLOOKUP(A33,'NonXtal_SegEnds_Prot#'!A:AL,10,FALSE)</f>
        <v>18</v>
      </c>
      <c r="AD33" s="1">
        <f>VLOOKUP(A33,'NonXtal_SegEnds_Prot#'!A:AL,16,FALSE)-VLOOKUP(A33,'NonXtal_SegEnds_Prot#'!A:AL,10,FALSE)</f>
        <v>50</v>
      </c>
      <c r="AE33" s="1">
        <f>VLOOKUP(A33,'NonXtal_SegEnds_Prot#'!A:AL,28,FALSE)-VLOOKUP(A33,'NonXtal_SegEnds_Prot#'!A:AL,25,FALSE)</f>
        <v>25</v>
      </c>
      <c r="AF33" s="1">
        <f>VLOOKUP(A33,'NonXtal_SegEnds_Prot#'!A:AL,31,FALSE)-VLOOKUP(A33,'NonXtal_SegEnds_Prot#'!A:AL,28,FALSE)</f>
        <v>43</v>
      </c>
      <c r="AG33" s="1">
        <f>VLOOKUP(A33,'NonXtal_SegEnds_Prot#'!A:AL,34,FALSE)-VLOOKUP(A33,'NonXtal_SegEnds_Prot#'!A:AL,31,FALSE)</f>
        <v>45</v>
      </c>
    </row>
    <row r="34" spans="1:33" x14ac:dyDescent="0.2">
      <c r="A34" s="1" t="s">
        <v>383</v>
      </c>
      <c r="B34" s="1" t="str">
        <f>VLOOKUP(A34,Xtal_Templ!A:B,2,FALSE)</f>
        <v>ccr5_human</v>
      </c>
      <c r="C34" s="5">
        <f>VLOOKUP($B34&amp;"__wt",'Xtal_SegEnds_BW#'!$A:$Z,3,FALSE)</f>
        <v>27</v>
      </c>
      <c r="D34" s="1">
        <f>VLOOKUP($B34&amp;"__wt",'Xtal_SegEnds_BW#'!$A:$Z,4,FALSE)</f>
        <v>60</v>
      </c>
      <c r="E34" s="1">
        <f>VLOOKUP($B34&amp;"__wt",'Xtal_SegEnds_BW#'!$A:$Z,5,FALSE)</f>
        <v>48</v>
      </c>
      <c r="F34" s="1">
        <f>VLOOKUP($B34&amp;"__wt",'Xtal_SegEnds_BW#'!$A:$Z,6,FALSE)</f>
        <v>51</v>
      </c>
      <c r="G34" s="1">
        <v>37</v>
      </c>
      <c r="H34" s="1">
        <v>66</v>
      </c>
      <c r="I34" s="1">
        <f>VLOOKUP($B34&amp;"__wt",'Xtal_SegEnds_BW#'!$A:$Z,9,FALSE)</f>
        <v>49</v>
      </c>
      <c r="J34" s="1">
        <f>VLOOKUP($B34&amp;"__wt",'Xtal_SegEnds_BW#'!$A:$Z,10,FALSE)</f>
        <v>52</v>
      </c>
      <c r="K34" s="1">
        <v>24</v>
      </c>
      <c r="L34" s="1">
        <f>VLOOKUP($B34&amp;"__wt",'Xtal_SegEnds_BW#'!$A:$Z,12,FALSE)</f>
        <v>56</v>
      </c>
      <c r="M34" s="1">
        <f>VLOOKUP($B34&amp;"__wt",'Xtal_SegEnds_BW#'!$A:$Z,13,FALSE)</f>
        <v>50</v>
      </c>
      <c r="N34" s="1">
        <v>58</v>
      </c>
      <c r="O34" s="1">
        <v>39</v>
      </c>
      <c r="P34" s="1">
        <f>VLOOKUP($B34&amp;"__wt",'Xtal_SegEnds_BW#'!$A:$Z,16,FALSE)</f>
        <v>64</v>
      </c>
      <c r="Q34" s="1">
        <f>VLOOKUP($B34&amp;"__wt",'Xtal_SegEnds_BW#'!$A:$Z,17,FALSE)</f>
        <v>50</v>
      </c>
      <c r="R34" s="1">
        <f>VLOOKUP($B34&amp;"__wt",'Xtal_SegEnds_BW#'!$A:$Z,18,FALSE)</f>
        <v>52</v>
      </c>
      <c r="S34" s="1">
        <f>VLOOKUP($B34&amp;"__wt",'Xtal_SegEnds_BW#'!$A:$Z,19,FALSE)</f>
        <v>31</v>
      </c>
      <c r="T34" s="23">
        <f t="array" ref="T34">INDEX('ICL3'!$G$2:$G$31,MATCH(MIN(ABS(AF34-'ICL3'!$F$2:$F$31)),ABS(AF34-'ICL3'!$F$2:$F$31),0))</f>
        <v>68</v>
      </c>
      <c r="U34" s="1">
        <f t="array" ref="U34">INDEX('ICL3'!$H$2:$H$31,MATCH(MIN(ABS(AF34-'ICL3'!$F$2:$F$31)),ABS(AF34-'ICL3'!$F$2:$F$31),0))</f>
        <v>30</v>
      </c>
      <c r="V34" s="1">
        <v>61</v>
      </c>
      <c r="W34" s="1">
        <v>28</v>
      </c>
      <c r="X34" s="1">
        <f>VLOOKUP($B34&amp;"__wt",'Xtal_SegEnds_BW#'!$A:$Z,24,FALSE)</f>
        <v>56</v>
      </c>
      <c r="Y34" s="1">
        <f>VLOOKUP($B34&amp;"__wt",'Xtal_SegEnds_BW#'!$A:$Z,25,FALSE)</f>
        <v>47</v>
      </c>
      <c r="Z34" s="1">
        <f>VLOOKUP($B34&amp;"__wt",'Xtal_SegEnds_BW#'!$A:$Z,26,FALSE)</f>
        <v>59</v>
      </c>
      <c r="AA34" s="63" t="str">
        <f>VLOOKUP(A34,Classification!A:B,2,FALSE)</f>
        <v>A</v>
      </c>
      <c r="AB34" s="1">
        <f>VLOOKUP(A34,'NonXtal_SegEnds_Prot#'!A:AL,10,FALSE)-VLOOKUP(A34,'NonXtal_SegEnds_Prot#'!A:AL,7,FALSE)</f>
        <v>15</v>
      </c>
      <c r="AC34" s="1">
        <f>VLOOKUP(A34,'NonXtal_SegEnds_Prot#'!A:AL,13,FALSE)-VLOOKUP(A34,'NonXtal_SegEnds_Prot#'!A:AL,10,FALSE)</f>
        <v>18</v>
      </c>
      <c r="AD34" s="1">
        <f>VLOOKUP(A34,'NonXtal_SegEnds_Prot#'!A:AL,16,FALSE)-VLOOKUP(A34,'NonXtal_SegEnds_Prot#'!A:AL,10,FALSE)</f>
        <v>50</v>
      </c>
      <c r="AE34" s="1">
        <f>VLOOKUP(A34,'NonXtal_SegEnds_Prot#'!A:AL,28,FALSE)-VLOOKUP(A34,'NonXtal_SegEnds_Prot#'!A:AL,25,FALSE)</f>
        <v>23</v>
      </c>
      <c r="AF34" s="1">
        <f>VLOOKUP(A34,'NonXtal_SegEnds_Prot#'!A:AL,31,FALSE)-VLOOKUP(A34,'NonXtal_SegEnds_Prot#'!A:AL,28,FALSE)</f>
        <v>43</v>
      </c>
      <c r="AG34" s="1">
        <f>VLOOKUP(A34,'NonXtal_SegEnds_Prot#'!A:AL,34,FALSE)-VLOOKUP(A34,'NonXtal_SegEnds_Prot#'!A:AL,31,FALSE)</f>
        <v>39</v>
      </c>
    </row>
    <row r="35" spans="1:33" x14ac:dyDescent="0.2">
      <c r="A35" s="1" t="s">
        <v>395</v>
      </c>
      <c r="B35" s="1" t="str">
        <f>VLOOKUP(A35,Xtal_Templ!A:B,2,FALSE)</f>
        <v>cxcr4_human</v>
      </c>
      <c r="C35" s="5">
        <f>VLOOKUP($B35&amp;"__wt",'Xtal_SegEnds_BW#'!$A:$Z,3,FALSE)</f>
        <v>24</v>
      </c>
      <c r="D35" s="1">
        <f>VLOOKUP($B35&amp;"__wt",'Xtal_SegEnds_BW#'!$A:$Z,4,FALSE)</f>
        <v>60</v>
      </c>
      <c r="E35" s="1">
        <f>VLOOKUP($B35&amp;"__wt",'Xtal_SegEnds_BW#'!$A:$Z,5,FALSE)</f>
        <v>48</v>
      </c>
      <c r="F35" s="1">
        <f>VLOOKUP($B35&amp;"__wt",'Xtal_SegEnds_BW#'!$A:$Z,6,FALSE)</f>
        <v>51</v>
      </c>
      <c r="G35" s="1">
        <v>37</v>
      </c>
      <c r="H35" s="1">
        <f>VLOOKUP($B35&amp;"__wt",'Xtal_SegEnds_BW#'!$A:$Z,8,FALSE)</f>
        <v>66</v>
      </c>
      <c r="I35" s="1">
        <f>VLOOKUP($B35&amp;"__wt",'Xtal_SegEnds_BW#'!$A:$Z,9,FALSE)</f>
        <v>49</v>
      </c>
      <c r="J35" s="1">
        <f>VLOOKUP($B35&amp;"__wt",'Xtal_SegEnds_BW#'!$A:$Z,10,FALSE)</f>
        <v>52</v>
      </c>
      <c r="K35" s="1">
        <v>18</v>
      </c>
      <c r="L35" s="1">
        <f>VLOOKUP($B35&amp;"__wt",'Xtal_SegEnds_BW#'!$A:$Z,12,FALSE)</f>
        <v>56</v>
      </c>
      <c r="M35" s="1">
        <f>VLOOKUP($B35&amp;"__wt",'Xtal_SegEnds_BW#'!$A:$Z,13,FALSE)</f>
        <v>50</v>
      </c>
      <c r="N35" s="1">
        <v>57</v>
      </c>
      <c r="O35" s="1">
        <v>39</v>
      </c>
      <c r="P35" s="1">
        <f>VLOOKUP($B35&amp;"__wt",'Xtal_SegEnds_BW#'!$A:$Z,16,FALSE)</f>
        <v>64</v>
      </c>
      <c r="Q35" s="1">
        <f>VLOOKUP($B35&amp;"__wt",'Xtal_SegEnds_BW#'!$A:$Z,17,FALSE)</f>
        <v>50</v>
      </c>
      <c r="R35" s="1">
        <f>VLOOKUP($B35&amp;"__wt",'Xtal_SegEnds_BW#'!$A:$Z,18,FALSE)</f>
        <v>52</v>
      </c>
      <c r="S35" s="1">
        <f>VLOOKUP($B35&amp;"__wt",'Xtal_SegEnds_BW#'!$A:$Z,19,FALSE)</f>
        <v>32</v>
      </c>
      <c r="T35" s="23">
        <f t="array" ref="T35">INDEX('ICL3'!$G$2:$G$31,MATCH(MIN(ABS(AF35-'ICL3'!$F$2:$F$31)),ABS(AF35-'ICL3'!$F$2:$F$31),0))</f>
        <v>68</v>
      </c>
      <c r="U35" s="1">
        <f t="array" ref="U35">INDEX('ICL3'!$H$2:$H$31,MATCH(MIN(ABS(AF35-'ICL3'!$F$2:$F$31)),ABS(AF35-'ICL3'!$F$2:$F$31),0))</f>
        <v>30</v>
      </c>
      <c r="V35" s="1">
        <v>61</v>
      </c>
      <c r="W35" s="1">
        <v>28</v>
      </c>
      <c r="X35" s="1">
        <f>VLOOKUP($B35&amp;"__wt",'Xtal_SegEnds_BW#'!$A:$Z,24,FALSE)</f>
        <v>56</v>
      </c>
      <c r="Y35" s="1">
        <f>VLOOKUP($B35&amp;"__wt",'Xtal_SegEnds_BW#'!$A:$Z,25,FALSE)</f>
        <v>47</v>
      </c>
      <c r="Z35" s="1">
        <f>VLOOKUP($B35&amp;"__wt",'Xtal_SegEnds_BW#'!$A:$Z,26,FALSE)</f>
        <v>59</v>
      </c>
      <c r="AA35" s="63" t="str">
        <f>VLOOKUP(A35,Classification!A:B,2,FALSE)</f>
        <v>A</v>
      </c>
      <c r="AB35" s="1" t="e">
        <f>VLOOKUP(A35,'NonXtal_SegEnds_Prot#'!A:AL,10,FALSE)-VLOOKUP(A35,'NonXtal_SegEnds_Prot#'!A:AL,7,FALSE)</f>
        <v>#VALUE!</v>
      </c>
      <c r="AC35" s="1">
        <f>VLOOKUP(A35,'NonXtal_SegEnds_Prot#'!A:AL,13,FALSE)-VLOOKUP(A35,'NonXtal_SegEnds_Prot#'!A:AL,10,FALSE)</f>
        <v>20</v>
      </c>
      <c r="AD35" s="1">
        <f>VLOOKUP(A35,'NonXtal_SegEnds_Prot#'!A:AL,16,FALSE)-VLOOKUP(A35,'NonXtal_SegEnds_Prot#'!A:AL,10,FALSE)</f>
        <v>52</v>
      </c>
      <c r="AE35" s="1">
        <f>VLOOKUP(A35,'NonXtal_SegEnds_Prot#'!A:AL,28,FALSE)-VLOOKUP(A35,'NonXtal_SegEnds_Prot#'!A:AL,25,FALSE)</f>
        <v>37</v>
      </c>
      <c r="AF35" s="1">
        <f>VLOOKUP(A35,'NonXtal_SegEnds_Prot#'!A:AL,31,FALSE)-VLOOKUP(A35,'NonXtal_SegEnds_Prot#'!A:AL,28,FALSE)</f>
        <v>43</v>
      </c>
      <c r="AG35" s="1">
        <f>VLOOKUP(A35,'NonXtal_SegEnds_Prot#'!A:AL,34,FALSE)-VLOOKUP(A35,'NonXtal_SegEnds_Prot#'!A:AL,31,FALSE)</f>
        <v>42</v>
      </c>
    </row>
    <row r="36" spans="1:33" x14ac:dyDescent="0.2">
      <c r="A36" s="1" t="s">
        <v>396</v>
      </c>
      <c r="B36" s="1" t="str">
        <f>VLOOKUP(A36,Xtal_Templ!A:B,2,FALSE)</f>
        <v>cxcr4_human</v>
      </c>
      <c r="C36" s="5">
        <f>VLOOKUP($B36&amp;"__wt",'Xtal_SegEnds_BW#'!$A:$Z,3,FALSE)</f>
        <v>24</v>
      </c>
      <c r="D36" s="1">
        <f>VLOOKUP($B36&amp;"__wt",'Xtal_SegEnds_BW#'!$A:$Z,4,FALSE)</f>
        <v>60</v>
      </c>
      <c r="E36" s="1">
        <f>VLOOKUP($B36&amp;"__wt",'Xtal_SegEnds_BW#'!$A:$Z,5,FALSE)</f>
        <v>48</v>
      </c>
      <c r="F36" s="1">
        <f>VLOOKUP($B36&amp;"__wt",'Xtal_SegEnds_BW#'!$A:$Z,6,FALSE)</f>
        <v>51</v>
      </c>
      <c r="G36" s="1">
        <v>37</v>
      </c>
      <c r="H36" s="1">
        <f>VLOOKUP($B36&amp;"__wt",'Xtal_SegEnds_BW#'!$A:$Z,8,FALSE)</f>
        <v>66</v>
      </c>
      <c r="I36" s="1">
        <f>VLOOKUP($B36&amp;"__wt",'Xtal_SegEnds_BW#'!$A:$Z,9,FALSE)</f>
        <v>49</v>
      </c>
      <c r="J36" s="1">
        <f>VLOOKUP($B36&amp;"__wt",'Xtal_SegEnds_BW#'!$A:$Z,10,FALSE)</f>
        <v>52</v>
      </c>
      <c r="K36" s="1">
        <v>18</v>
      </c>
      <c r="L36" s="1">
        <f>VLOOKUP($B36&amp;"__wt",'Xtal_SegEnds_BW#'!$A:$Z,12,FALSE)</f>
        <v>56</v>
      </c>
      <c r="M36" s="1">
        <f>VLOOKUP($B36&amp;"__wt",'Xtal_SegEnds_BW#'!$A:$Z,13,FALSE)</f>
        <v>50</v>
      </c>
      <c r="N36" s="1">
        <v>57</v>
      </c>
      <c r="O36" s="1">
        <v>39</v>
      </c>
      <c r="P36" s="1">
        <f>VLOOKUP($B36&amp;"__wt",'Xtal_SegEnds_BW#'!$A:$Z,16,FALSE)</f>
        <v>64</v>
      </c>
      <c r="Q36" s="1">
        <f>VLOOKUP($B36&amp;"__wt",'Xtal_SegEnds_BW#'!$A:$Z,17,FALSE)</f>
        <v>50</v>
      </c>
      <c r="R36" s="1">
        <f>VLOOKUP($B36&amp;"__wt",'Xtal_SegEnds_BW#'!$A:$Z,18,FALSE)</f>
        <v>52</v>
      </c>
      <c r="S36" s="1">
        <f>VLOOKUP($B36&amp;"__wt",'Xtal_SegEnds_BW#'!$A:$Z,19,FALSE)</f>
        <v>32</v>
      </c>
      <c r="T36" s="23">
        <f t="array" ref="T36">INDEX('ICL3'!$G$2:$G$31,MATCH(MIN(ABS(AF36-'ICL3'!$F$2:$F$31)),ABS(AF36-'ICL3'!$F$2:$F$31),0))</f>
        <v>68</v>
      </c>
      <c r="U36" s="1">
        <f t="array" ref="U36">INDEX('ICL3'!$H$2:$H$31,MATCH(MIN(ABS(AF36-'ICL3'!$F$2:$F$31)),ABS(AF36-'ICL3'!$F$2:$F$31),0))</f>
        <v>30</v>
      </c>
      <c r="V36" s="1">
        <v>61</v>
      </c>
      <c r="W36" s="1">
        <v>24</v>
      </c>
      <c r="X36" s="1">
        <f>VLOOKUP($B36&amp;"__wt",'Xtal_SegEnds_BW#'!$A:$Z,24,FALSE)</f>
        <v>56</v>
      </c>
      <c r="Y36" s="1">
        <f>VLOOKUP($B36&amp;"__wt",'Xtal_SegEnds_BW#'!$A:$Z,25,FALSE)</f>
        <v>47</v>
      </c>
      <c r="Z36" s="1">
        <f>VLOOKUP($B36&amp;"__wt",'Xtal_SegEnds_BW#'!$A:$Z,26,FALSE)</f>
        <v>59</v>
      </c>
      <c r="AA36" s="63" t="str">
        <f>VLOOKUP(A36,Classification!A:B,2,FALSE)</f>
        <v>A</v>
      </c>
      <c r="AB36" s="1" t="e">
        <f>VLOOKUP(A36,'NonXtal_SegEnds_Prot#'!A:AL,10,FALSE)-VLOOKUP(A36,'NonXtal_SegEnds_Prot#'!A:AL,7,FALSE)</f>
        <v>#VALUE!</v>
      </c>
      <c r="AC36" s="1">
        <f>VLOOKUP(A36,'NonXtal_SegEnds_Prot#'!A:AL,13,FALSE)-VLOOKUP(A36,'NonXtal_SegEnds_Prot#'!A:AL,10,FALSE)</f>
        <v>20</v>
      </c>
      <c r="AD36" s="1">
        <f>VLOOKUP(A36,'NonXtal_SegEnds_Prot#'!A:AL,16,FALSE)-VLOOKUP(A36,'NonXtal_SegEnds_Prot#'!A:AL,10,FALSE)</f>
        <v>52</v>
      </c>
      <c r="AE36" s="1">
        <f>VLOOKUP(A36,'NonXtal_SegEnds_Prot#'!A:AL,28,FALSE)-VLOOKUP(A36,'NonXtal_SegEnds_Prot#'!A:AL,25,FALSE)</f>
        <v>37</v>
      </c>
      <c r="AF36" s="1">
        <f>VLOOKUP(A36,'NonXtal_SegEnds_Prot#'!A:AL,31,FALSE)-VLOOKUP(A36,'NonXtal_SegEnds_Prot#'!A:AL,28,FALSE)</f>
        <v>43</v>
      </c>
      <c r="AG36" s="1">
        <f>VLOOKUP(A36,'NonXtal_SegEnds_Prot#'!A:AL,34,FALSE)-VLOOKUP(A36,'NonXtal_SegEnds_Prot#'!A:AL,31,FALSE)</f>
        <v>43</v>
      </c>
    </row>
    <row r="37" spans="1:33" x14ac:dyDescent="0.2">
      <c r="A37" s="1" t="s">
        <v>397</v>
      </c>
      <c r="B37" s="1" t="str">
        <f>VLOOKUP(A37,Xtal_Templ!A:B,2,FALSE)</f>
        <v>cxcr4_human</v>
      </c>
      <c r="C37" s="5">
        <f>VLOOKUP($B37&amp;"__wt",'Xtal_SegEnds_BW#'!$A:$Z,3,FALSE)</f>
        <v>24</v>
      </c>
      <c r="D37" s="1">
        <f>VLOOKUP($B37&amp;"__wt",'Xtal_SegEnds_BW#'!$A:$Z,4,FALSE)</f>
        <v>60</v>
      </c>
      <c r="E37" s="1">
        <f>VLOOKUP($B37&amp;"__wt",'Xtal_SegEnds_BW#'!$A:$Z,5,FALSE)</f>
        <v>48</v>
      </c>
      <c r="F37" s="1">
        <f>VLOOKUP($B37&amp;"__wt",'Xtal_SegEnds_BW#'!$A:$Z,6,FALSE)</f>
        <v>51</v>
      </c>
      <c r="G37" s="1">
        <v>37</v>
      </c>
      <c r="H37" s="1">
        <f>VLOOKUP($B37&amp;"__wt",'Xtal_SegEnds_BW#'!$A:$Z,8,FALSE)</f>
        <v>66</v>
      </c>
      <c r="I37" s="1">
        <f>VLOOKUP($B37&amp;"__wt",'Xtal_SegEnds_BW#'!$A:$Z,9,FALSE)</f>
        <v>49</v>
      </c>
      <c r="J37" s="1">
        <f>VLOOKUP($B37&amp;"__wt",'Xtal_SegEnds_BW#'!$A:$Z,10,FALSE)</f>
        <v>52</v>
      </c>
      <c r="K37" s="1">
        <v>18</v>
      </c>
      <c r="L37" s="1">
        <f>VLOOKUP($B37&amp;"__wt",'Xtal_SegEnds_BW#'!$A:$Z,12,FALSE)</f>
        <v>56</v>
      </c>
      <c r="M37" s="1">
        <f>VLOOKUP($B37&amp;"__wt",'Xtal_SegEnds_BW#'!$A:$Z,13,FALSE)</f>
        <v>50</v>
      </c>
      <c r="N37" s="1">
        <v>57</v>
      </c>
      <c r="O37" s="1">
        <v>39</v>
      </c>
      <c r="P37" s="1">
        <f>VLOOKUP($B37&amp;"__wt",'Xtal_SegEnds_BW#'!$A:$Z,16,FALSE)</f>
        <v>64</v>
      </c>
      <c r="Q37" s="1">
        <f>VLOOKUP($B37&amp;"__wt",'Xtal_SegEnds_BW#'!$A:$Z,17,FALSE)</f>
        <v>50</v>
      </c>
      <c r="R37" s="1">
        <f>VLOOKUP($B37&amp;"__wt",'Xtal_SegEnds_BW#'!$A:$Z,18,FALSE)</f>
        <v>52</v>
      </c>
      <c r="S37" s="1">
        <f>VLOOKUP($B37&amp;"__wt",'Xtal_SegEnds_BW#'!$A:$Z,19,FALSE)</f>
        <v>32</v>
      </c>
      <c r="T37" s="23">
        <f t="array" ref="T37">INDEX('ICL3'!$G$2:$G$31,MATCH(MIN(ABS(AF37-'ICL3'!$F$2:$F$31)),ABS(AF37-'ICL3'!$F$2:$F$31),0))</f>
        <v>68</v>
      </c>
      <c r="U37" s="1">
        <f t="array" ref="U37">INDEX('ICL3'!$H$2:$H$31,MATCH(MIN(ABS(AF37-'ICL3'!$F$2:$F$31)),ABS(AF37-'ICL3'!$F$2:$F$31),0))</f>
        <v>30</v>
      </c>
      <c r="V37" s="1">
        <v>61</v>
      </c>
      <c r="W37" s="1">
        <v>24</v>
      </c>
      <c r="X37" s="1">
        <f>VLOOKUP($B37&amp;"__wt",'Xtal_SegEnds_BW#'!$A:$Z,24,FALSE)</f>
        <v>56</v>
      </c>
      <c r="Y37" s="1">
        <f>VLOOKUP($B37&amp;"__wt",'Xtal_SegEnds_BW#'!$A:$Z,25,FALSE)</f>
        <v>47</v>
      </c>
      <c r="Z37" s="1">
        <f>VLOOKUP($B37&amp;"__wt",'Xtal_SegEnds_BW#'!$A:$Z,26,FALSE)</f>
        <v>59</v>
      </c>
      <c r="AA37" s="63" t="str">
        <f>VLOOKUP(A37,Classification!A:B,2,FALSE)</f>
        <v>A</v>
      </c>
      <c r="AB37" s="1" t="e">
        <f>VLOOKUP(A37,'NonXtal_SegEnds_Prot#'!A:AL,10,FALSE)-VLOOKUP(A37,'NonXtal_SegEnds_Prot#'!A:AL,7,FALSE)</f>
        <v>#VALUE!</v>
      </c>
      <c r="AC37" s="1">
        <f>VLOOKUP(A37,'NonXtal_SegEnds_Prot#'!A:AL,13,FALSE)-VLOOKUP(A37,'NonXtal_SegEnds_Prot#'!A:AL,10,FALSE)</f>
        <v>20</v>
      </c>
      <c r="AD37" s="1">
        <f>VLOOKUP(A37,'NonXtal_SegEnds_Prot#'!A:AL,16,FALSE)-VLOOKUP(A37,'NonXtal_SegEnds_Prot#'!A:AL,10,FALSE)</f>
        <v>52</v>
      </c>
      <c r="AE37" s="1">
        <f>VLOOKUP(A37,'NonXtal_SegEnds_Prot#'!A:AL,28,FALSE)-VLOOKUP(A37,'NonXtal_SegEnds_Prot#'!A:AL,25,FALSE)</f>
        <v>37</v>
      </c>
      <c r="AF37" s="1">
        <f>VLOOKUP(A37,'NonXtal_SegEnds_Prot#'!A:AL,31,FALSE)-VLOOKUP(A37,'NonXtal_SegEnds_Prot#'!A:AL,28,FALSE)</f>
        <v>43</v>
      </c>
      <c r="AG37" s="1">
        <f>VLOOKUP(A37,'NonXtal_SegEnds_Prot#'!A:AL,34,FALSE)-VLOOKUP(A37,'NonXtal_SegEnds_Prot#'!A:AL,31,FALSE)</f>
        <v>43</v>
      </c>
    </row>
    <row r="38" spans="1:33" x14ac:dyDescent="0.2">
      <c r="A38" s="1" t="s">
        <v>427</v>
      </c>
      <c r="B38" s="1" t="str">
        <f>VLOOKUP(A38,Xtal_Templ!A:B,2,FALSE)</f>
        <v>agtr1_human</v>
      </c>
      <c r="C38" s="5">
        <f>VLOOKUP($B38&amp;"__wt",'Xtal_SegEnds_BW#'!$A:$Z,3,FALSE)</f>
        <v>30</v>
      </c>
      <c r="D38" s="1">
        <f>VLOOKUP($B38&amp;"__wt",'Xtal_SegEnds_BW#'!$A:$Z,4,FALSE)</f>
        <v>60</v>
      </c>
      <c r="E38" s="1">
        <f>VLOOKUP($B38&amp;"__wt",'Xtal_SegEnds_BW#'!$A:$Z,5,FALSE)</f>
        <v>48</v>
      </c>
      <c r="F38" s="1">
        <f>VLOOKUP($B38&amp;"__wt",'Xtal_SegEnds_BW#'!$A:$Z,6,FALSE)</f>
        <v>51</v>
      </c>
      <c r="G38" s="1">
        <v>37</v>
      </c>
      <c r="H38" s="1">
        <f>VLOOKUP($B38&amp;"__wt",'Xtal_SegEnds_BW#'!$A:$Z,8,FALSE)</f>
        <v>66</v>
      </c>
      <c r="I38" s="1">
        <f>VLOOKUP($B38&amp;"__wt",'Xtal_SegEnds_BW#'!$A:$Z,9,FALSE)</f>
        <v>49</v>
      </c>
      <c r="J38" s="1">
        <f>VLOOKUP($B38&amp;"__wt",'Xtal_SegEnds_BW#'!$A:$Z,10,FALSE)</f>
        <v>52</v>
      </c>
      <c r="K38" s="1">
        <v>18</v>
      </c>
      <c r="L38" s="1">
        <f>VLOOKUP($B38&amp;"__wt",'Xtal_SegEnds_BW#'!$A:$Z,12,FALSE)</f>
        <v>56</v>
      </c>
      <c r="M38" s="1">
        <f>VLOOKUP($B38&amp;"__wt",'Xtal_SegEnds_BW#'!$A:$Z,13,FALSE)</f>
        <v>50</v>
      </c>
      <c r="N38" s="1">
        <v>57</v>
      </c>
      <c r="O38" s="1">
        <v>39</v>
      </c>
      <c r="P38" s="1">
        <f>VLOOKUP($B38&amp;"__wt",'Xtal_SegEnds_BW#'!$A:$Z,16,FALSE)</f>
        <v>64</v>
      </c>
      <c r="Q38" s="1">
        <f>VLOOKUP($B38&amp;"__wt",'Xtal_SegEnds_BW#'!$A:$Z,17,FALSE)</f>
        <v>50</v>
      </c>
      <c r="R38" s="1">
        <f>VLOOKUP($B38&amp;"__wt",'Xtal_SegEnds_BW#'!$A:$Z,18,FALSE)</f>
        <v>52</v>
      </c>
      <c r="S38" s="1">
        <f>VLOOKUP($B38&amp;"__wt",'Xtal_SegEnds_BW#'!$A:$Z,19,FALSE)</f>
        <v>34</v>
      </c>
      <c r="T38" s="23">
        <f t="array" ref="T38">INDEX('ICL3'!$G$2:$G$31,MATCH(MIN(ABS(AF38-'ICL3'!$F$2:$F$31)),ABS(AF38-'ICL3'!$F$2:$F$31),0))</f>
        <v>68</v>
      </c>
      <c r="U38" s="1">
        <f t="array" ref="U38">INDEX('ICL3'!$H$2:$H$31,MATCH(MIN(ABS(AF38-'ICL3'!$F$2:$F$31)),ABS(AF38-'ICL3'!$F$2:$F$31),0))</f>
        <v>30</v>
      </c>
      <c r="V38" s="1">
        <v>64</v>
      </c>
      <c r="W38" s="1">
        <v>24</v>
      </c>
      <c r="X38" s="1">
        <f>VLOOKUP($B38&amp;"__wt",'Xtal_SegEnds_BW#'!$A:$Z,24,FALSE)</f>
        <v>56</v>
      </c>
      <c r="Y38" s="1">
        <f>VLOOKUP($B38&amp;"__wt",'Xtal_SegEnds_BW#'!$A:$Z,25,FALSE)</f>
        <v>47</v>
      </c>
      <c r="Z38" s="1">
        <f>VLOOKUP($B38&amp;"__wt",'Xtal_SegEnds_BW#'!$A:$Z,26,FALSE)</f>
        <v>61</v>
      </c>
      <c r="AA38" s="63" t="str">
        <f>VLOOKUP(A38,Classification!A:B,2,FALSE)</f>
        <v>A</v>
      </c>
      <c r="AB38" s="1">
        <f>VLOOKUP(A38,'NonXtal_SegEnds_Prot#'!A:AL,10,FALSE)-VLOOKUP(A38,'NonXtal_SegEnds_Prot#'!A:AL,7,FALSE)</f>
        <v>15</v>
      </c>
      <c r="AC38" s="1">
        <f>VLOOKUP(A38,'NonXtal_SegEnds_Prot#'!A:AL,13,FALSE)-VLOOKUP(A38,'NonXtal_SegEnds_Prot#'!A:AL,10,FALSE)</f>
        <v>20</v>
      </c>
      <c r="AD38" s="1">
        <f>VLOOKUP(A38,'NonXtal_SegEnds_Prot#'!A:AL,16,FALSE)-VLOOKUP(A38,'NonXtal_SegEnds_Prot#'!A:AL,10,FALSE)</f>
        <v>52</v>
      </c>
      <c r="AE38" s="1">
        <f>VLOOKUP(A38,'NonXtal_SegEnds_Prot#'!A:AL,28,FALSE)-VLOOKUP(A38,'NonXtal_SegEnds_Prot#'!A:AL,25,FALSE)</f>
        <v>28</v>
      </c>
      <c r="AF38" s="1">
        <f>VLOOKUP(A38,'NonXtal_SegEnds_Prot#'!A:AL,31,FALSE)-VLOOKUP(A38,'NonXtal_SegEnds_Prot#'!A:AL,28,FALSE)</f>
        <v>43</v>
      </c>
      <c r="AG38" s="1">
        <f>VLOOKUP(A38,'NonXtal_SegEnds_Prot#'!A:AL,34,FALSE)-VLOOKUP(A38,'NonXtal_SegEnds_Prot#'!A:AL,31,FALSE)</f>
        <v>44</v>
      </c>
    </row>
    <row r="39" spans="1:33" x14ac:dyDescent="0.2">
      <c r="A39" s="1" t="s">
        <v>431</v>
      </c>
      <c r="B39" s="1" t="str">
        <f>VLOOKUP(A39,Xtal_Templ!A:B,2,FALSE)</f>
        <v>agtr1_human</v>
      </c>
      <c r="C39" s="5">
        <f>VLOOKUP($B39&amp;"__wt",'Xtal_SegEnds_BW#'!$A:$Z,3,FALSE)</f>
        <v>30</v>
      </c>
      <c r="D39" s="1">
        <f>VLOOKUP($B39&amp;"__wt",'Xtal_SegEnds_BW#'!$A:$Z,4,FALSE)</f>
        <v>60</v>
      </c>
      <c r="E39" s="1">
        <f>VLOOKUP($B39&amp;"__wt",'Xtal_SegEnds_BW#'!$A:$Z,5,FALSE)</f>
        <v>48</v>
      </c>
      <c r="F39" s="1">
        <f>VLOOKUP($B39&amp;"__wt",'Xtal_SegEnds_BW#'!$A:$Z,6,FALSE)</f>
        <v>51</v>
      </c>
      <c r="G39" s="1">
        <v>37</v>
      </c>
      <c r="H39" s="1">
        <f>VLOOKUP($B39&amp;"__wt",'Xtal_SegEnds_BW#'!$A:$Z,8,FALSE)</f>
        <v>66</v>
      </c>
      <c r="I39" s="1">
        <f>VLOOKUP($B39&amp;"__wt",'Xtal_SegEnds_BW#'!$A:$Z,9,FALSE)</f>
        <v>49</v>
      </c>
      <c r="J39" s="1">
        <f>VLOOKUP($B39&amp;"__wt",'Xtal_SegEnds_BW#'!$A:$Z,10,FALSE)</f>
        <v>52</v>
      </c>
      <c r="K39" s="1">
        <v>18</v>
      </c>
      <c r="L39" s="1">
        <f>VLOOKUP($B39&amp;"__wt",'Xtal_SegEnds_BW#'!$A:$Z,12,FALSE)</f>
        <v>56</v>
      </c>
      <c r="M39" s="1">
        <f>VLOOKUP($B39&amp;"__wt",'Xtal_SegEnds_BW#'!$A:$Z,13,FALSE)</f>
        <v>50</v>
      </c>
      <c r="N39" s="1">
        <v>57</v>
      </c>
      <c r="O39" s="1">
        <v>39</v>
      </c>
      <c r="P39" s="1">
        <f>VLOOKUP($B39&amp;"__wt",'Xtal_SegEnds_BW#'!$A:$Z,16,FALSE)</f>
        <v>64</v>
      </c>
      <c r="Q39" s="1">
        <f>VLOOKUP($B39&amp;"__wt",'Xtal_SegEnds_BW#'!$A:$Z,17,FALSE)</f>
        <v>50</v>
      </c>
      <c r="R39" s="1">
        <f>VLOOKUP($B39&amp;"__wt",'Xtal_SegEnds_BW#'!$A:$Z,18,FALSE)</f>
        <v>52</v>
      </c>
      <c r="S39" s="1">
        <f>VLOOKUP($B39&amp;"__wt",'Xtal_SegEnds_BW#'!$A:$Z,19,FALSE)</f>
        <v>34</v>
      </c>
      <c r="T39" s="23">
        <f t="array" ref="T39">INDEX('ICL3'!$G$2:$G$31,MATCH(MIN(ABS(AF39-'ICL3'!$F$2:$F$31)),ABS(AF39-'ICL3'!$F$2:$F$31),0))</f>
        <v>68</v>
      </c>
      <c r="U39" s="1">
        <f t="array" ref="U39">INDEX('ICL3'!$H$2:$H$31,MATCH(MIN(ABS(AF39-'ICL3'!$F$2:$F$31)),ABS(AF39-'ICL3'!$F$2:$F$31),0))</f>
        <v>30</v>
      </c>
      <c r="V39" s="1">
        <v>61</v>
      </c>
      <c r="W39" s="1">
        <v>28</v>
      </c>
      <c r="X39" s="1">
        <f>VLOOKUP($B39&amp;"__wt",'Xtal_SegEnds_BW#'!$A:$Z,24,FALSE)</f>
        <v>56</v>
      </c>
      <c r="Y39" s="1">
        <f>VLOOKUP($B39&amp;"__wt",'Xtal_SegEnds_BW#'!$A:$Z,25,FALSE)</f>
        <v>47</v>
      </c>
      <c r="Z39" s="1">
        <f>VLOOKUP($B39&amp;"__wt",'Xtal_SegEnds_BW#'!$A:$Z,26,FALSE)</f>
        <v>61</v>
      </c>
      <c r="AA39" s="63" t="str">
        <f>VLOOKUP(A39,Classification!A:B,2,FALSE)</f>
        <v>A</v>
      </c>
      <c r="AB39" s="1" t="e">
        <f>VLOOKUP(A39,'NonXtal_SegEnds_Prot#'!A:AL,10,FALSE)-VLOOKUP(A39,'NonXtal_SegEnds_Prot#'!A:AL,7,FALSE)</f>
        <v>#VALUE!</v>
      </c>
      <c r="AC39" s="1">
        <f>VLOOKUP(A39,'NonXtal_SegEnds_Prot#'!A:AL,13,FALSE)-VLOOKUP(A39,'NonXtal_SegEnds_Prot#'!A:AL,10,FALSE)</f>
        <v>20</v>
      </c>
      <c r="AD39" s="1">
        <f>VLOOKUP(A39,'NonXtal_SegEnds_Prot#'!A:AL,16,FALSE)-VLOOKUP(A39,'NonXtal_SegEnds_Prot#'!A:AL,10,FALSE)</f>
        <v>52</v>
      </c>
      <c r="AE39" s="1">
        <f>VLOOKUP(A39,'NonXtal_SegEnds_Prot#'!A:AL,28,FALSE)-VLOOKUP(A39,'NonXtal_SegEnds_Prot#'!A:AL,25,FALSE)</f>
        <v>31</v>
      </c>
      <c r="AF39" s="1">
        <f>VLOOKUP(A39,'NonXtal_SegEnds_Prot#'!A:AL,31,FALSE)-VLOOKUP(A39,'NonXtal_SegEnds_Prot#'!A:AL,28,FALSE)</f>
        <v>43</v>
      </c>
      <c r="AG39" s="1">
        <f>VLOOKUP(A39,'NonXtal_SegEnds_Prot#'!A:AL,34,FALSE)-VLOOKUP(A39,'NonXtal_SegEnds_Prot#'!A:AL,31,FALSE)</f>
        <v>40</v>
      </c>
    </row>
    <row r="40" spans="1:33" x14ac:dyDescent="0.2">
      <c r="A40" s="1" t="s">
        <v>445</v>
      </c>
      <c r="B40" s="1" t="str">
        <f>VLOOKUP(A40,Xtal_Templ!A:B,2,FALSE)</f>
        <v>oprk_human</v>
      </c>
      <c r="C40" s="5">
        <f>VLOOKUP($B40&amp;"__wt",'Xtal_SegEnds_BW#'!$A:$Z,3,FALSE)</f>
        <v>30</v>
      </c>
      <c r="D40" s="1">
        <f>VLOOKUP($B40&amp;"__wt",'Xtal_SegEnds_BW#'!$A:$Z,4,FALSE)</f>
        <v>60</v>
      </c>
      <c r="E40" s="1">
        <f>VLOOKUP($B40&amp;"__wt",'Xtal_SegEnds_BW#'!$A:$Z,5,FALSE)</f>
        <v>48</v>
      </c>
      <c r="F40" s="1">
        <f>VLOOKUP($B40&amp;"__wt",'Xtal_SegEnds_BW#'!$A:$Z,6,FALSE)</f>
        <v>51</v>
      </c>
      <c r="G40" s="1">
        <v>37</v>
      </c>
      <c r="H40" s="1">
        <v>66</v>
      </c>
      <c r="I40" s="1">
        <f>VLOOKUP($B40&amp;"__wt",'Xtal_SegEnds_BW#'!$A:$Z,9,FALSE)</f>
        <v>49</v>
      </c>
      <c r="J40" s="1">
        <f>VLOOKUP($B40&amp;"__wt",'Xtal_SegEnds_BW#'!$A:$Z,10,FALSE)</f>
        <v>52</v>
      </c>
      <c r="K40" s="1">
        <v>18</v>
      </c>
      <c r="L40" s="1">
        <f>VLOOKUP($B40&amp;"__wt",'Xtal_SegEnds_BW#'!$A:$Z,12,FALSE)</f>
        <v>56</v>
      </c>
      <c r="M40" s="1">
        <f>VLOOKUP($B40&amp;"__wt",'Xtal_SegEnds_BW#'!$A:$Z,13,FALSE)</f>
        <v>50</v>
      </c>
      <c r="N40" s="1">
        <v>57</v>
      </c>
      <c r="O40" s="1">
        <v>39</v>
      </c>
      <c r="P40" s="1">
        <f>VLOOKUP($B40&amp;"__wt",'Xtal_SegEnds_BW#'!$A:$Z,16,FALSE)</f>
        <v>64</v>
      </c>
      <c r="Q40" s="1">
        <f>VLOOKUP($B40&amp;"__wt",'Xtal_SegEnds_BW#'!$A:$Z,17,FALSE)</f>
        <v>50</v>
      </c>
      <c r="R40" s="1">
        <f>VLOOKUP($B40&amp;"__wt",'Xtal_SegEnds_BW#'!$A:$Z,18,FALSE)</f>
        <v>52</v>
      </c>
      <c r="S40" s="1">
        <f>VLOOKUP($B40&amp;"__wt",'Xtal_SegEnds_BW#'!$A:$Z,19,FALSE)</f>
        <v>31</v>
      </c>
      <c r="T40" s="23">
        <f t="array" ref="T40">INDEX('ICL3'!$G$2:$G$31,MATCH(MIN(ABS(AF40-'ICL3'!$F$2:$F$31)),ABS(AF40-'ICL3'!$F$2:$F$31),0))</f>
        <v>68</v>
      </c>
      <c r="U40" s="1">
        <f t="array" ref="U40">INDEX('ICL3'!$H$2:$H$31,MATCH(MIN(ABS(AF40-'ICL3'!$F$2:$F$31)),ABS(AF40-'ICL3'!$F$2:$F$31),0))</f>
        <v>30</v>
      </c>
      <c r="V40" s="1">
        <v>61</v>
      </c>
      <c r="W40" s="1">
        <v>28</v>
      </c>
      <c r="X40" s="1">
        <f>VLOOKUP($B40&amp;"__wt",'Xtal_SegEnds_BW#'!$A:$Z,24,FALSE)</f>
        <v>56</v>
      </c>
      <c r="Y40" s="1">
        <f>VLOOKUP($B40&amp;"__wt",'Xtal_SegEnds_BW#'!$A:$Z,25,FALSE)</f>
        <v>47</v>
      </c>
      <c r="Z40" s="1">
        <f>VLOOKUP($B40&amp;"__wt",'Xtal_SegEnds_BW#'!$A:$Z,26,FALSE)</f>
        <v>59</v>
      </c>
      <c r="AA40" s="63" t="str">
        <f>VLOOKUP(A40,Classification!A:B,2,FALSE)</f>
        <v>A</v>
      </c>
      <c r="AB40" s="1" t="e">
        <f>VLOOKUP(A40,'NonXtal_SegEnds_Prot#'!A:AL,10,FALSE)-VLOOKUP(A40,'NonXtal_SegEnds_Prot#'!A:AL,7,FALSE)</f>
        <v>#VALUE!</v>
      </c>
      <c r="AC40" s="1">
        <f>VLOOKUP(A40,'NonXtal_SegEnds_Prot#'!A:AL,13,FALSE)-VLOOKUP(A40,'NonXtal_SegEnds_Prot#'!A:AL,10,FALSE)</f>
        <v>19</v>
      </c>
      <c r="AD40" s="1">
        <f>VLOOKUP(A40,'NonXtal_SegEnds_Prot#'!A:AL,16,FALSE)-VLOOKUP(A40,'NonXtal_SegEnds_Prot#'!A:AL,10,FALSE)</f>
        <v>51</v>
      </c>
      <c r="AE40" s="1">
        <f>VLOOKUP(A40,'NonXtal_SegEnds_Prot#'!A:AL,28,FALSE)-VLOOKUP(A40,'NonXtal_SegEnds_Prot#'!A:AL,25,FALSE)</f>
        <v>37</v>
      </c>
      <c r="AF40" s="1">
        <f>VLOOKUP(A40,'NonXtal_SegEnds_Prot#'!A:AL,31,FALSE)-VLOOKUP(A40,'NonXtal_SegEnds_Prot#'!A:AL,28,FALSE)</f>
        <v>43</v>
      </c>
      <c r="AG40" s="1">
        <f>VLOOKUP(A40,'NonXtal_SegEnds_Prot#'!A:AL,34,FALSE)-VLOOKUP(A40,'NonXtal_SegEnds_Prot#'!A:AL,31,FALSE)</f>
        <v>42</v>
      </c>
    </row>
    <row r="41" spans="1:33" x14ac:dyDescent="0.2">
      <c r="A41" s="1" t="s">
        <v>446</v>
      </c>
      <c r="B41" s="1" t="str">
        <f>VLOOKUP(A41,Xtal_Templ!A:B,2,FALSE)</f>
        <v>agtr1_human</v>
      </c>
      <c r="C41" s="5">
        <f>VLOOKUP($B41&amp;"__wt",'Xtal_SegEnds_BW#'!$A:$Z,3,FALSE)</f>
        <v>30</v>
      </c>
      <c r="D41" s="1">
        <f>VLOOKUP($B41&amp;"__wt",'Xtal_SegEnds_BW#'!$A:$Z,4,FALSE)</f>
        <v>60</v>
      </c>
      <c r="E41" s="1">
        <f>VLOOKUP($B41&amp;"__wt",'Xtal_SegEnds_BW#'!$A:$Z,5,FALSE)</f>
        <v>48</v>
      </c>
      <c r="F41" s="1">
        <f>VLOOKUP($B41&amp;"__wt",'Xtal_SegEnds_BW#'!$A:$Z,6,FALSE)</f>
        <v>51</v>
      </c>
      <c r="G41" s="1">
        <v>37</v>
      </c>
      <c r="H41" s="1">
        <f>VLOOKUP($B41&amp;"__wt",'Xtal_SegEnds_BW#'!$A:$Z,8,FALSE)</f>
        <v>66</v>
      </c>
      <c r="I41" s="1">
        <f>VLOOKUP($B41&amp;"__wt",'Xtal_SegEnds_BW#'!$A:$Z,9,FALSE)</f>
        <v>49</v>
      </c>
      <c r="J41" s="1">
        <f>VLOOKUP($B41&amp;"__wt",'Xtal_SegEnds_BW#'!$A:$Z,10,FALSE)</f>
        <v>52</v>
      </c>
      <c r="K41" s="1">
        <v>18</v>
      </c>
      <c r="L41" s="1">
        <f>VLOOKUP($B41&amp;"__wt",'Xtal_SegEnds_BW#'!$A:$Z,12,FALSE)</f>
        <v>56</v>
      </c>
      <c r="M41" s="1">
        <f>VLOOKUP($B41&amp;"__wt",'Xtal_SegEnds_BW#'!$A:$Z,13,FALSE)</f>
        <v>50</v>
      </c>
      <c r="N41" s="1">
        <v>57</v>
      </c>
      <c r="O41" s="1">
        <v>39</v>
      </c>
      <c r="P41" s="1">
        <f>VLOOKUP($B41&amp;"__wt",'Xtal_SegEnds_BW#'!$A:$Z,16,FALSE)</f>
        <v>64</v>
      </c>
      <c r="Q41" s="1">
        <f>VLOOKUP($B41&amp;"__wt",'Xtal_SegEnds_BW#'!$A:$Z,17,FALSE)</f>
        <v>50</v>
      </c>
      <c r="R41" s="1">
        <f>VLOOKUP($B41&amp;"__wt",'Xtal_SegEnds_BW#'!$A:$Z,18,FALSE)</f>
        <v>52</v>
      </c>
      <c r="S41" s="1">
        <f>VLOOKUP($B41&amp;"__wt",'Xtal_SegEnds_BW#'!$A:$Z,19,FALSE)</f>
        <v>34</v>
      </c>
      <c r="T41" s="23">
        <f t="array" ref="T41">INDEX('ICL3'!$G$2:$G$31,MATCH(MIN(ABS(AF41-'ICL3'!$F$2:$F$31)),ABS(AF41-'ICL3'!$F$2:$F$31),0))</f>
        <v>68</v>
      </c>
      <c r="U41" s="1">
        <f t="array" ref="U41">INDEX('ICL3'!$H$2:$H$31,MATCH(MIN(ABS(AF41-'ICL3'!$F$2:$F$31)),ABS(AF41-'ICL3'!$F$2:$F$31),0))</f>
        <v>30</v>
      </c>
      <c r="V41" s="1">
        <v>61</v>
      </c>
      <c r="W41" s="1">
        <v>31</v>
      </c>
      <c r="X41" s="1">
        <f>VLOOKUP($B41&amp;"__wt",'Xtal_SegEnds_BW#'!$A:$Z,24,FALSE)</f>
        <v>56</v>
      </c>
      <c r="Y41" s="1">
        <f>VLOOKUP($B41&amp;"__wt",'Xtal_SegEnds_BW#'!$A:$Z,25,FALSE)</f>
        <v>47</v>
      </c>
      <c r="Z41" s="1">
        <f>VLOOKUP($B41&amp;"__wt",'Xtal_SegEnds_BW#'!$A:$Z,26,FALSE)</f>
        <v>61</v>
      </c>
      <c r="AA41" s="63" t="str">
        <f>VLOOKUP(A41,Classification!A:B,2,FALSE)</f>
        <v>A</v>
      </c>
      <c r="AB41" s="1" t="e">
        <f>VLOOKUP(A41,'NonXtal_SegEnds_Prot#'!A:AL,10,FALSE)-VLOOKUP(A41,'NonXtal_SegEnds_Prot#'!A:AL,7,FALSE)</f>
        <v>#VALUE!</v>
      </c>
      <c r="AC41" s="1">
        <f>VLOOKUP(A41,'NonXtal_SegEnds_Prot#'!A:AL,13,FALSE)-VLOOKUP(A41,'NonXtal_SegEnds_Prot#'!A:AL,10,FALSE)</f>
        <v>20</v>
      </c>
      <c r="AD41" s="1">
        <f>VLOOKUP(A41,'NonXtal_SegEnds_Prot#'!A:AL,16,FALSE)-VLOOKUP(A41,'NonXtal_SegEnds_Prot#'!A:AL,10,FALSE)</f>
        <v>52</v>
      </c>
      <c r="AE41" s="1">
        <f>VLOOKUP(A41,'NonXtal_SegEnds_Prot#'!A:AL,28,FALSE)-VLOOKUP(A41,'NonXtal_SegEnds_Prot#'!A:AL,25,FALSE)</f>
        <v>38</v>
      </c>
      <c r="AF41" s="1">
        <f>VLOOKUP(A41,'NonXtal_SegEnds_Prot#'!A:AL,31,FALSE)-VLOOKUP(A41,'NonXtal_SegEnds_Prot#'!A:AL,28,FALSE)</f>
        <v>43</v>
      </c>
      <c r="AG41" s="1">
        <f>VLOOKUP(A41,'NonXtal_SegEnds_Prot#'!A:AL,34,FALSE)-VLOOKUP(A41,'NonXtal_SegEnds_Prot#'!A:AL,31,FALSE)</f>
        <v>36</v>
      </c>
    </row>
    <row r="42" spans="1:33" x14ac:dyDescent="0.2">
      <c r="A42" s="1" t="s">
        <v>486</v>
      </c>
      <c r="B42" s="1" t="str">
        <f>VLOOKUP(A42,Xtal_Templ!A:B,2,FALSE)</f>
        <v>agtr1_human</v>
      </c>
      <c r="C42" s="5">
        <f>VLOOKUP($B42&amp;"__wt",'Xtal_SegEnds_BW#'!$A:$Z,3,FALSE)</f>
        <v>30</v>
      </c>
      <c r="D42" s="1">
        <f>VLOOKUP($B42&amp;"__wt",'Xtal_SegEnds_BW#'!$A:$Z,4,FALSE)</f>
        <v>60</v>
      </c>
      <c r="E42" s="1">
        <f>VLOOKUP($B42&amp;"__wt",'Xtal_SegEnds_BW#'!$A:$Z,5,FALSE)</f>
        <v>48</v>
      </c>
      <c r="F42" s="1">
        <f>VLOOKUP($B42&amp;"__wt",'Xtal_SegEnds_BW#'!$A:$Z,6,FALSE)</f>
        <v>51</v>
      </c>
      <c r="G42" s="1">
        <v>37</v>
      </c>
      <c r="H42" s="1">
        <v>66</v>
      </c>
      <c r="I42" s="1">
        <f>VLOOKUP($B42&amp;"__wt",'Xtal_SegEnds_BW#'!$A:$Z,9,FALSE)</f>
        <v>49</v>
      </c>
      <c r="J42" s="1">
        <f>VLOOKUP($B42&amp;"__wt",'Xtal_SegEnds_BW#'!$A:$Z,10,FALSE)</f>
        <v>52</v>
      </c>
      <c r="K42" s="1">
        <v>18</v>
      </c>
      <c r="L42" s="1">
        <f>VLOOKUP($B42&amp;"__wt",'Xtal_SegEnds_BW#'!$A:$Z,12,FALSE)</f>
        <v>56</v>
      </c>
      <c r="M42" s="1">
        <f>VLOOKUP($B42&amp;"__wt",'Xtal_SegEnds_BW#'!$A:$Z,13,FALSE)</f>
        <v>50</v>
      </c>
      <c r="N42" s="1">
        <v>57</v>
      </c>
      <c r="O42" s="1">
        <v>39</v>
      </c>
      <c r="P42" s="1">
        <f>VLOOKUP($B42&amp;"__wt",'Xtal_SegEnds_BW#'!$A:$Z,16,FALSE)</f>
        <v>64</v>
      </c>
      <c r="Q42" s="1">
        <f>VLOOKUP($B42&amp;"__wt",'Xtal_SegEnds_BW#'!$A:$Z,17,FALSE)</f>
        <v>50</v>
      </c>
      <c r="R42" s="1">
        <f>VLOOKUP($B42&amp;"__wt",'Xtal_SegEnds_BW#'!$A:$Z,18,FALSE)</f>
        <v>52</v>
      </c>
      <c r="S42" s="1">
        <f>VLOOKUP($B42&amp;"__wt",'Xtal_SegEnds_BW#'!$A:$Z,19,FALSE)</f>
        <v>34</v>
      </c>
      <c r="T42" s="23">
        <f t="array" ref="T42">INDEX('ICL3'!$G$2:$G$31,MATCH(MIN(ABS(AF42-'ICL3'!$F$2:$F$31)),ABS(AF42-'ICL3'!$F$2:$F$31),0))</f>
        <v>68</v>
      </c>
      <c r="U42" s="1">
        <f t="array" ref="U42">INDEX('ICL3'!$H$2:$H$31,MATCH(MIN(ABS(AF42-'ICL3'!$F$2:$F$31)),ABS(AF42-'ICL3'!$F$2:$F$31),0))</f>
        <v>30</v>
      </c>
      <c r="V42" s="1">
        <v>64</v>
      </c>
      <c r="W42" s="1">
        <v>24</v>
      </c>
      <c r="X42" s="1">
        <f>VLOOKUP($B42&amp;"__wt",'Xtal_SegEnds_BW#'!$A:$Z,24,FALSE)</f>
        <v>56</v>
      </c>
      <c r="Y42" s="1">
        <f>VLOOKUP($B42&amp;"__wt",'Xtal_SegEnds_BW#'!$A:$Z,25,FALSE)</f>
        <v>47</v>
      </c>
      <c r="Z42" s="1">
        <f>VLOOKUP($B42&amp;"__wt",'Xtal_SegEnds_BW#'!$A:$Z,26,FALSE)</f>
        <v>61</v>
      </c>
      <c r="AA42" s="63" t="str">
        <f>VLOOKUP(A42,Classification!A:B,2,FALSE)</f>
        <v>A</v>
      </c>
      <c r="AB42" s="1">
        <f>VLOOKUP(A42,'NonXtal_SegEnds_Prot#'!A:AL,10,FALSE)-VLOOKUP(A42,'NonXtal_SegEnds_Prot#'!A:AL,7,FALSE)</f>
        <v>15</v>
      </c>
      <c r="AC42" s="1">
        <f>VLOOKUP(A42,'NonXtal_SegEnds_Prot#'!A:AL,13,FALSE)-VLOOKUP(A42,'NonXtal_SegEnds_Prot#'!A:AL,10,FALSE)</f>
        <v>19</v>
      </c>
      <c r="AD42" s="1">
        <f>VLOOKUP(A42,'NonXtal_SegEnds_Prot#'!A:AL,16,FALSE)-VLOOKUP(A42,'NonXtal_SegEnds_Prot#'!A:AL,10,FALSE)</f>
        <v>51</v>
      </c>
      <c r="AE42" s="1">
        <f>VLOOKUP(A42,'NonXtal_SegEnds_Prot#'!A:AL,28,FALSE)-VLOOKUP(A42,'NonXtal_SegEnds_Prot#'!A:AL,25,FALSE)</f>
        <v>25</v>
      </c>
      <c r="AF42" s="1">
        <f>VLOOKUP(A42,'NonXtal_SegEnds_Prot#'!A:AL,31,FALSE)-VLOOKUP(A42,'NonXtal_SegEnds_Prot#'!A:AL,28,FALSE)</f>
        <v>43</v>
      </c>
      <c r="AG42" s="1">
        <f>VLOOKUP(A42,'NonXtal_SegEnds_Prot#'!A:AL,34,FALSE)-VLOOKUP(A42,'NonXtal_SegEnds_Prot#'!A:AL,31,FALSE)</f>
        <v>46</v>
      </c>
    </row>
    <row r="43" spans="1:33" x14ac:dyDescent="0.2">
      <c r="A43" s="1" t="s">
        <v>497</v>
      </c>
      <c r="B43" s="1" t="str">
        <f>VLOOKUP(A43,Xtal_Templ!A:B,2,FALSE)</f>
        <v>p2ry1_human</v>
      </c>
      <c r="C43" s="5">
        <f>VLOOKUP($B43&amp;"__wt",'Xtal_SegEnds_BW#'!$A:$Z,3,FALSE)</f>
        <v>30</v>
      </c>
      <c r="D43" s="1">
        <f>VLOOKUP($B43&amp;"__wt",'Xtal_SegEnds_BW#'!$A:$Z,4,FALSE)</f>
        <v>60</v>
      </c>
      <c r="E43" s="1" t="str">
        <f>VLOOKUP($B43&amp;"__wt",'Xtal_SegEnds_BW#'!$A:$Z,5,FALSE)</f>
        <v>-</v>
      </c>
      <c r="F43" s="1" t="str">
        <f>VLOOKUP($B43&amp;"__wt",'Xtal_SegEnds_BW#'!$A:$Z,6,FALSE)</f>
        <v>-</v>
      </c>
      <c r="G43" s="1">
        <v>37</v>
      </c>
      <c r="H43" s="1">
        <f>VLOOKUP($B43&amp;"__wt",'Xtal_SegEnds_BW#'!$A:$Z,8,FALSE)</f>
        <v>66</v>
      </c>
      <c r="I43" s="1">
        <f>VLOOKUP($B43&amp;"__wt",'Xtal_SegEnds_BW#'!$A:$Z,9,FALSE)</f>
        <v>49</v>
      </c>
      <c r="J43" s="1">
        <f>VLOOKUP($B43&amp;"__wt",'Xtal_SegEnds_BW#'!$A:$Z,10,FALSE)</f>
        <v>52</v>
      </c>
      <c r="K43" s="1">
        <v>18</v>
      </c>
      <c r="L43" s="1">
        <f>VLOOKUP($B43&amp;"__wt",'Xtal_SegEnds_BW#'!$A:$Z,12,FALSE)</f>
        <v>56</v>
      </c>
      <c r="M43" s="1">
        <f>VLOOKUP($B43&amp;"__wt",'Xtal_SegEnds_BW#'!$A:$Z,13,FALSE)</f>
        <v>50</v>
      </c>
      <c r="N43" s="1">
        <v>57</v>
      </c>
      <c r="O43" s="1">
        <v>39</v>
      </c>
      <c r="P43" s="1">
        <f>VLOOKUP($B43&amp;"__wt",'Xtal_SegEnds_BW#'!$A:$Z,16,FALSE)</f>
        <v>64</v>
      </c>
      <c r="Q43" s="1">
        <f>VLOOKUP($B43&amp;"__wt",'Xtal_SegEnds_BW#'!$A:$Z,17,FALSE)</f>
        <v>50</v>
      </c>
      <c r="R43" s="1">
        <f>VLOOKUP($B43&amp;"__wt",'Xtal_SegEnds_BW#'!$A:$Z,18,FALSE)</f>
        <v>52</v>
      </c>
      <c r="S43" s="1">
        <f>VLOOKUP($B43&amp;"__wt",'Xtal_SegEnds_BW#'!$A:$Z,19,FALSE)</f>
        <v>32</v>
      </c>
      <c r="T43" s="23">
        <f t="array" ref="T43">INDEX('ICL3'!$G$2:$G$31,MATCH(MIN(ABS(AF43-'ICL3'!$F$2:$F$31)),ABS(AF43-'ICL3'!$F$2:$F$31),0))</f>
        <v>68</v>
      </c>
      <c r="U43" s="1">
        <f t="array" ref="U43">INDEX('ICL3'!$H$2:$H$31,MATCH(MIN(ABS(AF43-'ICL3'!$F$2:$F$31)),ABS(AF43-'ICL3'!$F$2:$F$31),0))</f>
        <v>30</v>
      </c>
      <c r="V43" s="1">
        <v>61</v>
      </c>
      <c r="W43" s="1">
        <v>32</v>
      </c>
      <c r="X43" s="1">
        <f>VLOOKUP($B43&amp;"__wt",'Xtal_SegEnds_BW#'!$A:$Z,24,FALSE)</f>
        <v>56</v>
      </c>
      <c r="Y43" s="1">
        <f>VLOOKUP($B43&amp;"__wt",'Xtal_SegEnds_BW#'!$A:$Z,25,FALSE)</f>
        <v>47</v>
      </c>
      <c r="Z43" s="1">
        <f>VLOOKUP($B43&amp;"__wt",'Xtal_SegEnds_BW#'!$A:$Z,26,FALSE)</f>
        <v>59</v>
      </c>
      <c r="AA43" s="63" t="str">
        <f>VLOOKUP(A43,Classification!A:B,2,FALSE)</f>
        <v>A</v>
      </c>
      <c r="AB43" s="1" t="e">
        <f>VLOOKUP(A43,'NonXtal_SegEnds_Prot#'!A:AL,10,FALSE)-VLOOKUP(A43,'NonXtal_SegEnds_Prot#'!A:AL,7,FALSE)</f>
        <v>#VALUE!</v>
      </c>
      <c r="AC43" s="1" t="e">
        <f>VLOOKUP(A43,'NonXtal_SegEnds_Prot#'!A:AL,13,FALSE)-VLOOKUP(A43,'NonXtal_SegEnds_Prot#'!A:AL,10,FALSE)</f>
        <v>#VALUE!</v>
      </c>
      <c r="AD43" s="1">
        <f>VLOOKUP(A43,'NonXtal_SegEnds_Prot#'!A:AL,16,FALSE)-VLOOKUP(A43,'NonXtal_SegEnds_Prot#'!A:AL,10,FALSE)</f>
        <v>52</v>
      </c>
      <c r="AE43" s="1" t="e">
        <f>VLOOKUP(A43,'NonXtal_SegEnds_Prot#'!A:AL,28,FALSE)-VLOOKUP(A43,'NonXtal_SegEnds_Prot#'!A:AL,25,FALSE)</f>
        <v>#VALUE!</v>
      </c>
      <c r="AF43" s="1">
        <f>VLOOKUP(A43,'NonXtal_SegEnds_Prot#'!A:AL,31,FALSE)-VLOOKUP(A43,'NonXtal_SegEnds_Prot#'!A:AL,28,FALSE)</f>
        <v>43</v>
      </c>
      <c r="AG43" s="1">
        <f>VLOOKUP(A43,'NonXtal_SegEnds_Prot#'!A:AL,34,FALSE)-VLOOKUP(A43,'NonXtal_SegEnds_Prot#'!A:AL,31,FALSE)</f>
        <v>34</v>
      </c>
    </row>
    <row r="44" spans="1:33" x14ac:dyDescent="0.2">
      <c r="A44" s="1" t="s">
        <v>554</v>
      </c>
      <c r="B44" s="1" t="str">
        <f>VLOOKUP(A44,Xtal_Templ!A:B,2,FALSE)</f>
        <v>oprd_mouse</v>
      </c>
      <c r="C44" s="5">
        <f>VLOOKUP($B44&amp;"__wt",'Xtal_SegEnds_BW#'!$A:$Z,3,FALSE)</f>
        <v>24</v>
      </c>
      <c r="D44" s="1">
        <f>VLOOKUP($B44&amp;"__wt",'Xtal_SegEnds_BW#'!$A:$Z,4,FALSE)</f>
        <v>60</v>
      </c>
      <c r="E44" s="1">
        <f>VLOOKUP($B44&amp;"__wt",'Xtal_SegEnds_BW#'!$A:$Z,5,FALSE)</f>
        <v>48</v>
      </c>
      <c r="F44" s="1">
        <f>VLOOKUP($B44&amp;"__wt",'Xtal_SegEnds_BW#'!$A:$Z,6,FALSE)</f>
        <v>51</v>
      </c>
      <c r="G44" s="1">
        <v>37</v>
      </c>
      <c r="H44" s="1">
        <f>VLOOKUP($B44&amp;"__wt",'Xtal_SegEnds_BW#'!$A:$Z,8,FALSE)</f>
        <v>66</v>
      </c>
      <c r="I44" s="1">
        <f>VLOOKUP($B44&amp;"__wt",'Xtal_SegEnds_BW#'!$A:$Z,9,FALSE)</f>
        <v>49</v>
      </c>
      <c r="J44" s="1">
        <f>VLOOKUP($B44&amp;"__wt",'Xtal_SegEnds_BW#'!$A:$Z,10,FALSE)</f>
        <v>52</v>
      </c>
      <c r="K44" s="1">
        <v>18</v>
      </c>
      <c r="L44" s="1">
        <f>VLOOKUP($B44&amp;"__wt",'Xtal_SegEnds_BW#'!$A:$Z,12,FALSE)</f>
        <v>56</v>
      </c>
      <c r="M44" s="1">
        <f>VLOOKUP($B44&amp;"__wt",'Xtal_SegEnds_BW#'!$A:$Z,13,FALSE)</f>
        <v>50</v>
      </c>
      <c r="N44" s="1">
        <v>57</v>
      </c>
      <c r="O44" s="1">
        <v>39</v>
      </c>
      <c r="P44" s="1">
        <f>VLOOKUP($B44&amp;"__wt",'Xtal_SegEnds_BW#'!$A:$Z,16,FALSE)</f>
        <v>64</v>
      </c>
      <c r="Q44" s="1">
        <f>VLOOKUP($B44&amp;"__wt",'Xtal_SegEnds_BW#'!$A:$Z,17,FALSE)</f>
        <v>50</v>
      </c>
      <c r="R44" s="1">
        <f>VLOOKUP($B44&amp;"__wt",'Xtal_SegEnds_BW#'!$A:$Z,18,FALSE)</f>
        <v>52</v>
      </c>
      <c r="S44" s="1">
        <f>VLOOKUP($B44&amp;"__wt",'Xtal_SegEnds_BW#'!$A:$Z,19,FALSE)</f>
        <v>31</v>
      </c>
      <c r="T44" s="23">
        <f t="array" ref="T44">INDEX('ICL3'!$G$2:$G$31,MATCH(MIN(ABS(AF44-'ICL3'!$F$2:$F$31)),ABS(AF44-'ICL3'!$F$2:$F$31),0))</f>
        <v>68</v>
      </c>
      <c r="U44" s="1">
        <f t="array" ref="U44">INDEX('ICL3'!$H$2:$H$31,MATCH(MIN(ABS(AF44-'ICL3'!$F$2:$F$31)),ABS(AF44-'ICL3'!$F$2:$F$31),0))</f>
        <v>30</v>
      </c>
      <c r="V44" s="1">
        <v>61</v>
      </c>
      <c r="W44" s="1">
        <v>28</v>
      </c>
      <c r="X44" s="1">
        <f>VLOOKUP($B44&amp;"__wt",'Xtal_SegEnds_BW#'!$A:$Z,24,FALSE)</f>
        <v>56</v>
      </c>
      <c r="Y44" s="1">
        <f>VLOOKUP($B44&amp;"__wt",'Xtal_SegEnds_BW#'!$A:$Z,25,FALSE)</f>
        <v>47</v>
      </c>
      <c r="Z44" s="1">
        <f>VLOOKUP($B44&amp;"__wt",'Xtal_SegEnds_BW#'!$A:$Z,26,FALSE)</f>
        <v>60</v>
      </c>
      <c r="AA44" s="63" t="str">
        <f>VLOOKUP(A44,Classification!A:B,2,FALSE)</f>
        <v>A</v>
      </c>
      <c r="AB44" s="1" t="e">
        <f>VLOOKUP(A44,'NonXtal_SegEnds_Prot#'!A:AL,10,FALSE)-VLOOKUP(A44,'NonXtal_SegEnds_Prot#'!A:AL,7,FALSE)</f>
        <v>#VALUE!</v>
      </c>
      <c r="AC44" s="1">
        <f>VLOOKUP(A44,'NonXtal_SegEnds_Prot#'!A:AL,13,FALSE)-VLOOKUP(A44,'NonXtal_SegEnds_Prot#'!A:AL,10,FALSE)</f>
        <v>20</v>
      </c>
      <c r="AD44" s="1">
        <f>VLOOKUP(A44,'NonXtal_SegEnds_Prot#'!A:AL,16,FALSE)-VLOOKUP(A44,'NonXtal_SegEnds_Prot#'!A:AL,10,FALSE)</f>
        <v>52</v>
      </c>
      <c r="AE44" s="1">
        <f>VLOOKUP(A44,'NonXtal_SegEnds_Prot#'!A:AL,28,FALSE)-VLOOKUP(A44,'NonXtal_SegEnds_Prot#'!A:AL,25,FALSE)</f>
        <v>36</v>
      </c>
      <c r="AF44" s="1">
        <f>VLOOKUP(A44,'NonXtal_SegEnds_Prot#'!A:AL,31,FALSE)-VLOOKUP(A44,'NonXtal_SegEnds_Prot#'!A:AL,28,FALSE)</f>
        <v>43</v>
      </c>
      <c r="AG44" s="1">
        <f>VLOOKUP(A44,'NonXtal_SegEnds_Prot#'!A:AL,34,FALSE)-VLOOKUP(A44,'NonXtal_SegEnds_Prot#'!A:AL,31,FALSE)</f>
        <v>40</v>
      </c>
    </row>
    <row r="45" spans="1:33" x14ac:dyDescent="0.2">
      <c r="A45" s="1" t="s">
        <v>1120</v>
      </c>
      <c r="B45" s="1" t="str">
        <f>VLOOKUP(A45,Xtal_Templ!A:B,2,FALSE)</f>
        <v>us28_hcmva</v>
      </c>
      <c r="C45" s="5">
        <f>VLOOKUP($B45&amp;"__wt",'Xtal_SegEnds_BW#'!$A:$Z,3,FALSE)</f>
        <v>25</v>
      </c>
      <c r="D45" s="1">
        <f>VLOOKUP($B45&amp;"__wt",'Xtal_SegEnds_BW#'!$A:$Z,4,FALSE)</f>
        <v>60</v>
      </c>
      <c r="E45" s="1">
        <f>VLOOKUP($B45&amp;"__wt",'Xtal_SegEnds_BW#'!$A:$Z,5,FALSE)</f>
        <v>48</v>
      </c>
      <c r="F45" s="1">
        <f>VLOOKUP($B45&amp;"__wt",'Xtal_SegEnds_BW#'!$A:$Z,6,FALSE)</f>
        <v>51</v>
      </c>
      <c r="G45" s="1">
        <v>37</v>
      </c>
      <c r="H45" s="1">
        <v>66</v>
      </c>
      <c r="I45" s="1" t="str">
        <f>VLOOKUP($B45&amp;"__wt",'Xtal_SegEnds_BW#'!$A:$Z,9,FALSE)</f>
        <v>-</v>
      </c>
      <c r="J45" s="1" t="str">
        <f>VLOOKUP($B45&amp;"__wt",'Xtal_SegEnds_BW#'!$A:$Z,10,FALSE)</f>
        <v>-</v>
      </c>
      <c r="K45" s="1">
        <v>24</v>
      </c>
      <c r="L45" s="1">
        <f>VLOOKUP($B45&amp;"__wt",'Xtal_SegEnds_BW#'!$A:$Z,12,FALSE)</f>
        <v>56</v>
      </c>
      <c r="M45" s="1" t="str">
        <f>VLOOKUP($B45&amp;"__wt",'Xtal_SegEnds_BW#'!$A:$Z,13,FALSE)</f>
        <v>-</v>
      </c>
      <c r="N45" s="1" t="str">
        <f>VLOOKUP($B45&amp;"__wt",'Xtal_SegEnds_BW#'!$A:$Z,14,FALSE)</f>
        <v>-</v>
      </c>
      <c r="O45" s="1">
        <v>39</v>
      </c>
      <c r="P45" s="1">
        <f>VLOOKUP($B45&amp;"__wt",'Xtal_SegEnds_BW#'!$A:$Z,16,FALSE)</f>
        <v>63</v>
      </c>
      <c r="Q45" s="1">
        <f>VLOOKUP($B45&amp;"__wt",'Xtal_SegEnds_BW#'!$A:$Z,17,FALSE)</f>
        <v>50</v>
      </c>
      <c r="R45" s="1">
        <f>VLOOKUP($B45&amp;"__wt",'Xtal_SegEnds_BW#'!$A:$Z,18,FALSE)</f>
        <v>52</v>
      </c>
      <c r="S45" s="1">
        <f>VLOOKUP($B45&amp;"__wt",'Xtal_SegEnds_BW#'!$A:$Z,19,FALSE)</f>
        <v>32</v>
      </c>
      <c r="T45" s="23">
        <f t="array" ref="T45">INDEX('ICL3'!$G$2:$G$31,MATCH(MIN(ABS(AF45-'ICL3'!$F$2:$F$31)),ABS(AF45-'ICL3'!$F$2:$F$31),0))</f>
        <v>68</v>
      </c>
      <c r="U45" s="1">
        <v>29</v>
      </c>
      <c r="V45" s="1">
        <v>64</v>
      </c>
      <c r="W45" s="1">
        <v>24</v>
      </c>
      <c r="X45" s="1">
        <f>VLOOKUP($B45&amp;"__wt",'Xtal_SegEnds_BW#'!$A:$Z,24,FALSE)</f>
        <v>56</v>
      </c>
      <c r="Y45" s="1">
        <f>VLOOKUP($B45&amp;"__wt",'Xtal_SegEnds_BW#'!$A:$Z,25,FALSE)</f>
        <v>47</v>
      </c>
      <c r="Z45" s="1">
        <f>VLOOKUP($B45&amp;"__wt",'Xtal_SegEnds_BW#'!$A:$Z,26,FALSE)</f>
        <v>62</v>
      </c>
      <c r="AA45" s="63" t="str">
        <f>VLOOKUP(A45,Classification!A:B,2,FALSE)</f>
        <v>A</v>
      </c>
      <c r="AB45" s="1">
        <f>VLOOKUP(A45,'NonXtal_SegEnds_Prot#'!A:AL,10,FALSE)-VLOOKUP(A45,'NonXtal_SegEnds_Prot#'!A:AL,7,FALSE)</f>
        <v>15</v>
      </c>
      <c r="AC45" s="1" t="e">
        <f>VLOOKUP(A45,'NonXtal_SegEnds_Prot#'!A:AL,13,FALSE)-VLOOKUP(A45,'NonXtal_SegEnds_Prot#'!A:AL,10,FALSE)</f>
        <v>#VALUE!</v>
      </c>
      <c r="AD45" s="1">
        <f>VLOOKUP(A45,'NonXtal_SegEnds_Prot#'!A:AL,16,FALSE)-VLOOKUP(A45,'NonXtal_SegEnds_Prot#'!A:AL,10,FALSE)</f>
        <v>50</v>
      </c>
      <c r="AE45" s="1">
        <f>VLOOKUP(A45,'NonXtal_SegEnds_Prot#'!A:AL,28,FALSE)-VLOOKUP(A45,'NonXtal_SegEnds_Prot#'!A:AL,25,FALSE)</f>
        <v>27</v>
      </c>
      <c r="AF45" s="1">
        <f>VLOOKUP(A45,'NonXtal_SegEnds_Prot#'!A:AL,31,FALSE)-VLOOKUP(A45,'NonXtal_SegEnds_Prot#'!A:AL,28,FALSE)</f>
        <v>43</v>
      </c>
      <c r="AG45" s="1">
        <f>VLOOKUP(A45,'NonXtal_SegEnds_Prot#'!A:AL,34,FALSE)-VLOOKUP(A45,'NonXtal_SegEnds_Prot#'!A:AL,31,FALSE)</f>
        <v>45</v>
      </c>
    </row>
    <row r="46" spans="1:33" x14ac:dyDescent="0.2">
      <c r="A46" s="1" t="s">
        <v>594</v>
      </c>
      <c r="B46" s="1" t="str">
        <f>VLOOKUP(A46,Xtal_Templ!A:B,2,FALSE)</f>
        <v>ccr5_human</v>
      </c>
      <c r="C46" s="5">
        <f>VLOOKUP($B46&amp;"__wt",'Xtal_SegEnds_BW#'!$A:$Z,3,FALSE)</f>
        <v>27</v>
      </c>
      <c r="D46" s="1">
        <f>VLOOKUP($B46&amp;"__wt",'Xtal_SegEnds_BW#'!$A:$Z,4,FALSE)</f>
        <v>60</v>
      </c>
      <c r="E46" s="1">
        <f>VLOOKUP($B46&amp;"__wt",'Xtal_SegEnds_BW#'!$A:$Z,5,FALSE)</f>
        <v>48</v>
      </c>
      <c r="F46" s="1">
        <f>VLOOKUP($B46&amp;"__wt",'Xtal_SegEnds_BW#'!$A:$Z,6,FALSE)</f>
        <v>51</v>
      </c>
      <c r="G46" s="1">
        <v>37</v>
      </c>
      <c r="H46" s="1">
        <v>66</v>
      </c>
      <c r="I46" s="1">
        <f>VLOOKUP($B46&amp;"__wt",'Xtal_SegEnds_BW#'!$A:$Z,9,FALSE)</f>
        <v>49</v>
      </c>
      <c r="J46" s="1">
        <f>VLOOKUP($B46&amp;"__wt",'Xtal_SegEnds_BW#'!$A:$Z,10,FALSE)</f>
        <v>52</v>
      </c>
      <c r="K46" s="1">
        <v>24</v>
      </c>
      <c r="L46" s="1">
        <f>VLOOKUP($B46&amp;"__wt",'Xtal_SegEnds_BW#'!$A:$Z,12,FALSE)</f>
        <v>56</v>
      </c>
      <c r="M46" s="1">
        <f>VLOOKUP($B46&amp;"__wt",'Xtal_SegEnds_BW#'!$A:$Z,13,FALSE)</f>
        <v>50</v>
      </c>
      <c r="N46" s="1">
        <v>57</v>
      </c>
      <c r="O46" s="1">
        <v>39</v>
      </c>
      <c r="P46" s="1">
        <f>VLOOKUP($B46&amp;"__wt",'Xtal_SegEnds_BW#'!$A:$Z,16,FALSE)</f>
        <v>64</v>
      </c>
      <c r="Q46" s="1">
        <f>VLOOKUP($B46&amp;"__wt",'Xtal_SegEnds_BW#'!$A:$Z,17,FALSE)</f>
        <v>50</v>
      </c>
      <c r="R46" s="1">
        <f>VLOOKUP($B46&amp;"__wt",'Xtal_SegEnds_BW#'!$A:$Z,18,FALSE)</f>
        <v>52</v>
      </c>
      <c r="S46" s="1">
        <v>35</v>
      </c>
      <c r="T46" s="23">
        <f t="array" ref="T46">INDEX('ICL3'!$G$2:$G$31,MATCH(MIN(ABS(AF46-'ICL3'!$F$2:$F$31)),ABS(AF46-'ICL3'!$F$2:$F$31),0))</f>
        <v>68</v>
      </c>
      <c r="U46" s="1">
        <f t="array" ref="U46">INDEX('ICL3'!$H$2:$H$31,MATCH(MIN(ABS(AF46-'ICL3'!$F$2:$F$31)),ABS(AF46-'ICL3'!$F$2:$F$31),0))</f>
        <v>30</v>
      </c>
      <c r="V46" s="1">
        <v>64</v>
      </c>
      <c r="W46" s="1">
        <v>24</v>
      </c>
      <c r="X46" s="1">
        <f>VLOOKUP($B46&amp;"__wt",'Xtal_SegEnds_BW#'!$A:$Z,24,FALSE)</f>
        <v>56</v>
      </c>
      <c r="Y46" s="1">
        <f>VLOOKUP($B46&amp;"__wt",'Xtal_SegEnds_BW#'!$A:$Z,25,FALSE)</f>
        <v>47</v>
      </c>
      <c r="Z46" s="1">
        <f>VLOOKUP($B46&amp;"__wt",'Xtal_SegEnds_BW#'!$A:$Z,26,FALSE)</f>
        <v>59</v>
      </c>
      <c r="AA46" s="63" t="str">
        <f>VLOOKUP(A46,Classification!A:B,2,FALSE)</f>
        <v>A</v>
      </c>
      <c r="AB46" s="1">
        <f>VLOOKUP(A46,'NonXtal_SegEnds_Prot#'!A:AL,10,FALSE)-VLOOKUP(A46,'NonXtal_SegEnds_Prot#'!A:AL,7,FALSE)</f>
        <v>15</v>
      </c>
      <c r="AC46" s="1">
        <f>VLOOKUP(A46,'NonXtal_SegEnds_Prot#'!A:AL,13,FALSE)-VLOOKUP(A46,'NonXtal_SegEnds_Prot#'!A:AL,10,FALSE)</f>
        <v>18</v>
      </c>
      <c r="AD46" s="1">
        <f>VLOOKUP(A46,'NonXtal_SegEnds_Prot#'!A:AL,16,FALSE)-VLOOKUP(A46,'NonXtal_SegEnds_Prot#'!A:AL,10,FALSE)</f>
        <v>50</v>
      </c>
      <c r="AE46" s="1">
        <f>VLOOKUP(A46,'NonXtal_SegEnds_Prot#'!A:AL,28,FALSE)-VLOOKUP(A46,'NonXtal_SegEnds_Prot#'!A:AL,25,FALSE)</f>
        <v>22</v>
      </c>
      <c r="AF46" s="1">
        <f>VLOOKUP(A46,'NonXtal_SegEnds_Prot#'!A:AL,31,FALSE)-VLOOKUP(A46,'NonXtal_SegEnds_Prot#'!A:AL,28,FALSE)</f>
        <v>43</v>
      </c>
      <c r="AG46" s="1">
        <f>VLOOKUP(A46,'NonXtal_SegEnds_Prot#'!A:AL,34,FALSE)-VLOOKUP(A46,'NonXtal_SegEnds_Prot#'!A:AL,31,FALSE)</f>
        <v>44</v>
      </c>
    </row>
    <row r="47" spans="1:33" x14ac:dyDescent="0.2">
      <c r="A47" s="1" t="s">
        <v>358</v>
      </c>
      <c r="B47" s="1" t="str">
        <f>VLOOKUP(A47,Xtal_Templ!A:B,2,FALSE)</f>
        <v>oprk_human</v>
      </c>
      <c r="C47" s="5">
        <f>VLOOKUP($B47&amp;"__wt",'Xtal_SegEnds_BW#'!$A:$Z,3,FALSE)</f>
        <v>30</v>
      </c>
      <c r="D47" s="1">
        <f>VLOOKUP($B47&amp;"__wt",'Xtal_SegEnds_BW#'!$A:$Z,4,FALSE)</f>
        <v>60</v>
      </c>
      <c r="E47" s="1">
        <f>VLOOKUP($B47&amp;"__wt",'Xtal_SegEnds_BW#'!$A:$Z,5,FALSE)</f>
        <v>48</v>
      </c>
      <c r="F47" s="1">
        <f>VLOOKUP($B47&amp;"__wt",'Xtal_SegEnds_BW#'!$A:$Z,6,FALSE)</f>
        <v>51</v>
      </c>
      <c r="G47" s="1">
        <v>37</v>
      </c>
      <c r="H47" s="1">
        <f>VLOOKUP($B47&amp;"__wt",'Xtal_SegEnds_BW#'!$A:$Z,8,FALSE)</f>
        <v>66</v>
      </c>
      <c r="I47" s="1">
        <f>VLOOKUP($B47&amp;"__wt",'Xtal_SegEnds_BW#'!$A:$Z,9,FALSE)</f>
        <v>49</v>
      </c>
      <c r="J47" s="1">
        <f>VLOOKUP($B47&amp;"__wt",'Xtal_SegEnds_BW#'!$A:$Z,10,FALSE)</f>
        <v>52</v>
      </c>
      <c r="K47" s="1">
        <v>18</v>
      </c>
      <c r="L47" s="1">
        <f>VLOOKUP($B47&amp;"__wt",'Xtal_SegEnds_BW#'!$A:$Z,12,FALSE)</f>
        <v>56</v>
      </c>
      <c r="M47" s="1">
        <f>VLOOKUP($B47&amp;"__wt",'Xtal_SegEnds_BW#'!$A:$Z,13,FALSE)</f>
        <v>50</v>
      </c>
      <c r="N47" s="1">
        <v>57</v>
      </c>
      <c r="O47" s="1">
        <v>39</v>
      </c>
      <c r="P47" s="1">
        <f>VLOOKUP($B47&amp;"__wt",'Xtal_SegEnds_BW#'!$A:$Z,16,FALSE)</f>
        <v>64</v>
      </c>
      <c r="Q47" s="1">
        <f>VLOOKUP($B47&amp;"__wt",'Xtal_SegEnds_BW#'!$A:$Z,17,FALSE)</f>
        <v>50</v>
      </c>
      <c r="R47" s="1">
        <f>VLOOKUP($B47&amp;"__wt",'Xtal_SegEnds_BW#'!$A:$Z,18,FALSE)</f>
        <v>52</v>
      </c>
      <c r="S47" s="1">
        <f>VLOOKUP($B47&amp;"__wt",'Xtal_SegEnds_BW#'!$A:$Z,19,FALSE)</f>
        <v>31</v>
      </c>
      <c r="T47" s="23">
        <f t="array" ref="T47">INDEX('ICL3'!$G$2:$G$31,MATCH(MIN(ABS(AF47-'ICL3'!$F$2:$F$31)),ABS(AF47-'ICL3'!$F$2:$F$31),0))</f>
        <v>68</v>
      </c>
      <c r="U47" s="1">
        <f t="array" ref="U47">INDEX('ICL3'!$H$2:$H$31,MATCH(MIN(ABS(AF47-'ICL3'!$F$2:$F$31)),ABS(AF47-'ICL3'!$F$2:$F$31),0))</f>
        <v>30</v>
      </c>
      <c r="V47" s="1">
        <v>61</v>
      </c>
      <c r="W47" s="1">
        <v>28</v>
      </c>
      <c r="X47" s="1">
        <f>VLOOKUP($B47&amp;"__wt",'Xtal_SegEnds_BW#'!$A:$Z,24,FALSE)</f>
        <v>56</v>
      </c>
      <c r="Y47" s="1">
        <f>VLOOKUP($B47&amp;"__wt",'Xtal_SegEnds_BW#'!$A:$Z,25,FALSE)</f>
        <v>47</v>
      </c>
      <c r="Z47" s="1">
        <f>VLOOKUP($B47&amp;"__wt",'Xtal_SegEnds_BW#'!$A:$Z,26,FALSE)</f>
        <v>59</v>
      </c>
      <c r="AA47" s="63" t="str">
        <f>VLOOKUP(A47,Classification!A:B,2,FALSE)</f>
        <v>A</v>
      </c>
      <c r="AB47" s="1" t="e">
        <f>VLOOKUP(A47,'NonXtal_SegEnds_Prot#'!A:AL,10,FALSE)-VLOOKUP(A47,'NonXtal_SegEnds_Prot#'!A:AL,7,FALSE)</f>
        <v>#VALUE!</v>
      </c>
      <c r="AC47" s="1">
        <f>VLOOKUP(A47,'NonXtal_SegEnds_Prot#'!A:AL,13,FALSE)-VLOOKUP(A47,'NonXtal_SegEnds_Prot#'!A:AL,10,FALSE)</f>
        <v>20</v>
      </c>
      <c r="AD47" s="1">
        <f>VLOOKUP(A47,'NonXtal_SegEnds_Prot#'!A:AL,16,FALSE)-VLOOKUP(A47,'NonXtal_SegEnds_Prot#'!A:AL,10,FALSE)</f>
        <v>52</v>
      </c>
      <c r="AE47" s="1">
        <f>VLOOKUP(A47,'NonXtal_SegEnds_Prot#'!A:AL,28,FALSE)-VLOOKUP(A47,'NonXtal_SegEnds_Prot#'!A:AL,25,FALSE)</f>
        <v>176</v>
      </c>
      <c r="AF47" s="1">
        <f>VLOOKUP(A47,'NonXtal_SegEnds_Prot#'!A:AL,31,FALSE)-VLOOKUP(A47,'NonXtal_SegEnds_Prot#'!A:AL,28,FALSE)</f>
        <v>44</v>
      </c>
      <c r="AG47" s="1">
        <f>VLOOKUP(A47,'NonXtal_SegEnds_Prot#'!A:AL,34,FALSE)-VLOOKUP(A47,'NonXtal_SegEnds_Prot#'!A:AL,31,FALSE)</f>
        <v>40</v>
      </c>
    </row>
    <row r="48" spans="1:33" x14ac:dyDescent="0.2">
      <c r="A48" s="1" t="s">
        <v>364</v>
      </c>
      <c r="B48" s="1" t="str">
        <f>VLOOKUP(A48,Xtal_Templ!A:B,2,FALSE)</f>
        <v>ccr5_human</v>
      </c>
      <c r="C48" s="5">
        <f>VLOOKUP($B48&amp;"__wt",'Xtal_SegEnds_BW#'!$A:$Z,3,FALSE)</f>
        <v>27</v>
      </c>
      <c r="D48" s="1">
        <f>VLOOKUP($B48&amp;"__wt",'Xtal_SegEnds_BW#'!$A:$Z,4,FALSE)</f>
        <v>60</v>
      </c>
      <c r="E48" s="1">
        <f>VLOOKUP($B48&amp;"__wt",'Xtal_SegEnds_BW#'!$A:$Z,5,FALSE)</f>
        <v>48</v>
      </c>
      <c r="F48" s="1">
        <f>VLOOKUP($B48&amp;"__wt",'Xtal_SegEnds_BW#'!$A:$Z,6,FALSE)</f>
        <v>51</v>
      </c>
      <c r="G48" s="1">
        <v>37</v>
      </c>
      <c r="H48" s="1">
        <v>66</v>
      </c>
      <c r="I48" s="1">
        <f>VLOOKUP($B48&amp;"__wt",'Xtal_SegEnds_BW#'!$A:$Z,9,FALSE)</f>
        <v>49</v>
      </c>
      <c r="J48" s="1">
        <f>VLOOKUP($B48&amp;"__wt",'Xtal_SegEnds_BW#'!$A:$Z,10,FALSE)</f>
        <v>52</v>
      </c>
      <c r="K48" s="1">
        <v>24</v>
      </c>
      <c r="L48" s="1">
        <f>VLOOKUP($B48&amp;"__wt",'Xtal_SegEnds_BW#'!$A:$Z,12,FALSE)</f>
        <v>56</v>
      </c>
      <c r="M48" s="1">
        <f>VLOOKUP($B48&amp;"__wt",'Xtal_SegEnds_BW#'!$A:$Z,13,FALSE)</f>
        <v>50</v>
      </c>
      <c r="N48" s="1">
        <v>57</v>
      </c>
      <c r="O48" s="1">
        <v>39</v>
      </c>
      <c r="P48" s="1">
        <f>VLOOKUP($B48&amp;"__wt",'Xtal_SegEnds_BW#'!$A:$Z,16,FALSE)</f>
        <v>64</v>
      </c>
      <c r="Q48" s="1">
        <f>VLOOKUP($B48&amp;"__wt",'Xtal_SegEnds_BW#'!$A:$Z,17,FALSE)</f>
        <v>50</v>
      </c>
      <c r="R48" s="1">
        <f>VLOOKUP($B48&amp;"__wt",'Xtal_SegEnds_BW#'!$A:$Z,18,FALSE)</f>
        <v>52</v>
      </c>
      <c r="S48" s="1">
        <f>VLOOKUP($B48&amp;"__wt",'Xtal_SegEnds_BW#'!$A:$Z,19,FALSE)</f>
        <v>31</v>
      </c>
      <c r="T48" s="23">
        <f t="array" ref="T48">INDEX('ICL3'!$G$2:$G$31,MATCH(MIN(ABS(AF48-'ICL3'!$F$2:$F$31)),ABS(AF48-'ICL3'!$F$2:$F$31),0))</f>
        <v>68</v>
      </c>
      <c r="U48" s="1">
        <f t="array" ref="U48">INDEX('ICL3'!$H$2:$H$31,MATCH(MIN(ABS(AF48-'ICL3'!$F$2:$F$31)),ABS(AF48-'ICL3'!$F$2:$F$31),0))</f>
        <v>30</v>
      </c>
      <c r="V48" s="1">
        <v>65</v>
      </c>
      <c r="W48" s="1">
        <v>24</v>
      </c>
      <c r="X48" s="1">
        <f>VLOOKUP($B48&amp;"__wt",'Xtal_SegEnds_BW#'!$A:$Z,24,FALSE)</f>
        <v>56</v>
      </c>
      <c r="Y48" s="1">
        <f>VLOOKUP($B48&amp;"__wt",'Xtal_SegEnds_BW#'!$A:$Z,25,FALSE)</f>
        <v>47</v>
      </c>
      <c r="Z48" s="1">
        <f>VLOOKUP($B48&amp;"__wt",'Xtal_SegEnds_BW#'!$A:$Z,26,FALSE)</f>
        <v>59</v>
      </c>
      <c r="AA48" s="63" t="str">
        <f>VLOOKUP(A48,Classification!A:B,2,FALSE)</f>
        <v>A</v>
      </c>
      <c r="AB48" s="1">
        <f>VLOOKUP(A48,'NonXtal_SegEnds_Prot#'!A:AL,10,FALSE)-VLOOKUP(A48,'NonXtal_SegEnds_Prot#'!A:AL,7,FALSE)</f>
        <v>15</v>
      </c>
      <c r="AC48" s="1">
        <f>VLOOKUP(A48,'NonXtal_SegEnds_Prot#'!A:AL,13,FALSE)-VLOOKUP(A48,'NonXtal_SegEnds_Prot#'!A:AL,10,FALSE)</f>
        <v>18</v>
      </c>
      <c r="AD48" s="1">
        <f>VLOOKUP(A48,'NonXtal_SegEnds_Prot#'!A:AL,16,FALSE)-VLOOKUP(A48,'NonXtal_SegEnds_Prot#'!A:AL,10,FALSE)</f>
        <v>50</v>
      </c>
      <c r="AE48" s="1">
        <f>VLOOKUP(A48,'NonXtal_SegEnds_Prot#'!A:AL,28,FALSE)-VLOOKUP(A48,'NonXtal_SegEnds_Prot#'!A:AL,25,FALSE)</f>
        <v>24</v>
      </c>
      <c r="AF48" s="1">
        <f>VLOOKUP(A48,'NonXtal_SegEnds_Prot#'!A:AL,31,FALSE)-VLOOKUP(A48,'NonXtal_SegEnds_Prot#'!A:AL,28,FALSE)</f>
        <v>44</v>
      </c>
      <c r="AG48" s="1">
        <f>VLOOKUP(A48,'NonXtal_SegEnds_Prot#'!A:AL,34,FALSE)-VLOOKUP(A48,'NonXtal_SegEnds_Prot#'!A:AL,31,FALSE)</f>
        <v>44</v>
      </c>
    </row>
    <row r="49" spans="1:33" x14ac:dyDescent="0.2">
      <c r="A49" s="1" t="s">
        <v>367</v>
      </c>
      <c r="B49" s="1" t="str">
        <f>VLOOKUP(A49,Xtal_Templ!A:B,2,FALSE)</f>
        <v>ccr5_human</v>
      </c>
      <c r="C49" s="5">
        <f>VLOOKUP($B49&amp;"__wt",'Xtal_SegEnds_BW#'!$A:$Z,3,FALSE)</f>
        <v>27</v>
      </c>
      <c r="D49" s="1">
        <f>VLOOKUP($B49&amp;"__wt",'Xtal_SegEnds_BW#'!$A:$Z,4,FALSE)</f>
        <v>60</v>
      </c>
      <c r="E49" s="1">
        <f>VLOOKUP($B49&amp;"__wt",'Xtal_SegEnds_BW#'!$A:$Z,5,FALSE)</f>
        <v>48</v>
      </c>
      <c r="F49" s="1">
        <f>VLOOKUP($B49&amp;"__wt",'Xtal_SegEnds_BW#'!$A:$Z,6,FALSE)</f>
        <v>51</v>
      </c>
      <c r="G49" s="1">
        <v>37</v>
      </c>
      <c r="H49" s="1">
        <v>66</v>
      </c>
      <c r="I49" s="1">
        <f>VLOOKUP($B49&amp;"__wt",'Xtal_SegEnds_BW#'!$A:$Z,9,FALSE)</f>
        <v>49</v>
      </c>
      <c r="J49" s="1">
        <f>VLOOKUP($B49&amp;"__wt",'Xtal_SegEnds_BW#'!$A:$Z,10,FALSE)</f>
        <v>52</v>
      </c>
      <c r="K49" s="1">
        <v>24</v>
      </c>
      <c r="L49" s="1">
        <f>VLOOKUP($B49&amp;"__wt",'Xtal_SegEnds_BW#'!$A:$Z,12,FALSE)</f>
        <v>56</v>
      </c>
      <c r="M49" s="1">
        <f>VLOOKUP($B49&amp;"__wt",'Xtal_SegEnds_BW#'!$A:$Z,13,FALSE)</f>
        <v>50</v>
      </c>
      <c r="N49" s="1">
        <v>57</v>
      </c>
      <c r="O49" s="1">
        <v>39</v>
      </c>
      <c r="P49" s="1">
        <f>VLOOKUP($B49&amp;"__wt",'Xtal_SegEnds_BW#'!$A:$Z,16,FALSE)</f>
        <v>64</v>
      </c>
      <c r="Q49" s="1">
        <f>VLOOKUP($B49&amp;"__wt",'Xtal_SegEnds_BW#'!$A:$Z,17,FALSE)</f>
        <v>50</v>
      </c>
      <c r="R49" s="1">
        <f>VLOOKUP($B49&amp;"__wt",'Xtal_SegEnds_BW#'!$A:$Z,18,FALSE)</f>
        <v>52</v>
      </c>
      <c r="S49" s="1">
        <f>VLOOKUP($B49&amp;"__wt",'Xtal_SegEnds_BW#'!$A:$Z,19,FALSE)</f>
        <v>31</v>
      </c>
      <c r="T49" s="23">
        <f t="array" ref="T49">INDEX('ICL3'!$G$2:$G$31,MATCH(MIN(ABS(AF49-'ICL3'!$F$2:$F$31)),ABS(AF49-'ICL3'!$F$2:$F$31),0))</f>
        <v>68</v>
      </c>
      <c r="U49" s="1">
        <f t="array" ref="U49">INDEX('ICL3'!$H$2:$H$31,MATCH(MIN(ABS(AF49-'ICL3'!$F$2:$F$31)),ABS(AF49-'ICL3'!$F$2:$F$31),0))</f>
        <v>30</v>
      </c>
      <c r="V49" s="1">
        <v>65</v>
      </c>
      <c r="W49" s="1">
        <v>24</v>
      </c>
      <c r="X49" s="1">
        <f>VLOOKUP($B49&amp;"__wt",'Xtal_SegEnds_BW#'!$A:$Z,24,FALSE)</f>
        <v>56</v>
      </c>
      <c r="Y49" s="1">
        <f>VLOOKUP($B49&amp;"__wt",'Xtal_SegEnds_BW#'!$A:$Z,25,FALSE)</f>
        <v>47</v>
      </c>
      <c r="Z49" s="1">
        <f>VLOOKUP($B49&amp;"__wt",'Xtal_SegEnds_BW#'!$A:$Z,26,FALSE)</f>
        <v>59</v>
      </c>
      <c r="AA49" s="63" t="str">
        <f>VLOOKUP(A49,Classification!A:B,2,FALSE)</f>
        <v>A</v>
      </c>
      <c r="AB49" s="1">
        <f>VLOOKUP(A49,'NonXtal_SegEnds_Prot#'!A:AL,10,FALSE)-VLOOKUP(A49,'NonXtal_SegEnds_Prot#'!A:AL,7,FALSE)</f>
        <v>15</v>
      </c>
      <c r="AC49" s="1">
        <f>VLOOKUP(A49,'NonXtal_SegEnds_Prot#'!A:AL,13,FALSE)-VLOOKUP(A49,'NonXtal_SegEnds_Prot#'!A:AL,10,FALSE)</f>
        <v>18</v>
      </c>
      <c r="AD49" s="1">
        <f>VLOOKUP(A49,'NonXtal_SegEnds_Prot#'!A:AL,16,FALSE)-VLOOKUP(A49,'NonXtal_SegEnds_Prot#'!A:AL,10,FALSE)</f>
        <v>50</v>
      </c>
      <c r="AE49" s="1">
        <f>VLOOKUP(A49,'NonXtal_SegEnds_Prot#'!A:AL,28,FALSE)-VLOOKUP(A49,'NonXtal_SegEnds_Prot#'!A:AL,25,FALSE)</f>
        <v>28</v>
      </c>
      <c r="AF49" s="1">
        <f>VLOOKUP(A49,'NonXtal_SegEnds_Prot#'!A:AL,31,FALSE)-VLOOKUP(A49,'NonXtal_SegEnds_Prot#'!A:AL,28,FALSE)</f>
        <v>44</v>
      </c>
      <c r="AG49" s="1">
        <f>VLOOKUP(A49,'NonXtal_SegEnds_Prot#'!A:AL,34,FALSE)-VLOOKUP(A49,'NonXtal_SegEnds_Prot#'!A:AL,31,FALSE)</f>
        <v>44</v>
      </c>
    </row>
    <row r="50" spans="1:33" x14ac:dyDescent="0.2">
      <c r="A50" s="1" t="s">
        <v>382</v>
      </c>
      <c r="B50" s="1" t="str">
        <f>VLOOKUP(A50,Xtal_Templ!A:B,2,FALSE)</f>
        <v>cxcr4_human</v>
      </c>
      <c r="C50" s="5">
        <f>VLOOKUP($B50&amp;"__wt",'Xtal_SegEnds_BW#'!$A:$Z,3,FALSE)</f>
        <v>24</v>
      </c>
      <c r="D50" s="1">
        <f>VLOOKUP($B50&amp;"__wt",'Xtal_SegEnds_BW#'!$A:$Z,4,FALSE)</f>
        <v>60</v>
      </c>
      <c r="E50" s="1">
        <f>VLOOKUP($B50&amp;"__wt",'Xtal_SegEnds_BW#'!$A:$Z,5,FALSE)</f>
        <v>48</v>
      </c>
      <c r="F50" s="1">
        <f>VLOOKUP($B50&amp;"__wt",'Xtal_SegEnds_BW#'!$A:$Z,6,FALSE)</f>
        <v>51</v>
      </c>
      <c r="G50" s="1">
        <v>37</v>
      </c>
      <c r="H50" s="1">
        <v>66</v>
      </c>
      <c r="I50" s="1">
        <f>VLOOKUP($B50&amp;"__wt",'Xtal_SegEnds_BW#'!$A:$Z,9,FALSE)</f>
        <v>49</v>
      </c>
      <c r="J50" s="1">
        <f>VLOOKUP($B50&amp;"__wt",'Xtal_SegEnds_BW#'!$A:$Z,10,FALSE)</f>
        <v>52</v>
      </c>
      <c r="K50" s="1">
        <v>24</v>
      </c>
      <c r="L50" s="1">
        <f>VLOOKUP($B50&amp;"__wt",'Xtal_SegEnds_BW#'!$A:$Z,12,FALSE)</f>
        <v>56</v>
      </c>
      <c r="M50" s="1">
        <f>VLOOKUP($B50&amp;"__wt",'Xtal_SegEnds_BW#'!$A:$Z,13,FALSE)</f>
        <v>50</v>
      </c>
      <c r="N50" s="1">
        <v>57</v>
      </c>
      <c r="O50" s="1">
        <v>39</v>
      </c>
      <c r="P50" s="1">
        <f>VLOOKUP($B50&amp;"__wt",'Xtal_SegEnds_BW#'!$A:$Z,16,FALSE)</f>
        <v>64</v>
      </c>
      <c r="Q50" s="1">
        <f>VLOOKUP($B50&amp;"__wt",'Xtal_SegEnds_BW#'!$A:$Z,17,FALSE)</f>
        <v>50</v>
      </c>
      <c r="R50" s="1">
        <f>VLOOKUP($B50&amp;"__wt",'Xtal_SegEnds_BW#'!$A:$Z,18,FALSE)</f>
        <v>52</v>
      </c>
      <c r="S50" s="1">
        <f>VLOOKUP($B50&amp;"__wt",'Xtal_SegEnds_BW#'!$A:$Z,19,FALSE)</f>
        <v>32</v>
      </c>
      <c r="T50" s="23">
        <f t="array" ref="T50">INDEX('ICL3'!$G$2:$G$31,MATCH(MIN(ABS(AF50-'ICL3'!$F$2:$F$31)),ABS(AF50-'ICL3'!$F$2:$F$31),0))</f>
        <v>68</v>
      </c>
      <c r="U50" s="1">
        <f t="array" ref="U50">INDEX('ICL3'!$H$2:$H$31,MATCH(MIN(ABS(AF50-'ICL3'!$F$2:$F$31)),ABS(AF50-'ICL3'!$F$2:$F$31),0))</f>
        <v>30</v>
      </c>
      <c r="V50" s="1">
        <v>64</v>
      </c>
      <c r="W50" s="1">
        <v>24</v>
      </c>
      <c r="X50" s="1">
        <f>VLOOKUP($B50&amp;"__wt",'Xtal_SegEnds_BW#'!$A:$Z,24,FALSE)</f>
        <v>56</v>
      </c>
      <c r="Y50" s="1">
        <f>VLOOKUP($B50&amp;"__wt",'Xtal_SegEnds_BW#'!$A:$Z,25,FALSE)</f>
        <v>47</v>
      </c>
      <c r="Z50" s="1">
        <f>VLOOKUP($B50&amp;"__wt",'Xtal_SegEnds_BW#'!$A:$Z,26,FALSE)</f>
        <v>59</v>
      </c>
      <c r="AA50" s="63" t="str">
        <f>VLOOKUP(A50,Classification!A:B,2,FALSE)</f>
        <v>A</v>
      </c>
      <c r="AB50" s="1">
        <f>VLOOKUP(A50,'NonXtal_SegEnds_Prot#'!A:AL,10,FALSE)-VLOOKUP(A50,'NonXtal_SegEnds_Prot#'!A:AL,7,FALSE)</f>
        <v>15</v>
      </c>
      <c r="AC50" s="1">
        <f>VLOOKUP(A50,'NonXtal_SegEnds_Prot#'!A:AL,13,FALSE)-VLOOKUP(A50,'NonXtal_SegEnds_Prot#'!A:AL,10,FALSE)</f>
        <v>18</v>
      </c>
      <c r="AD50" s="1">
        <f>VLOOKUP(A50,'NonXtal_SegEnds_Prot#'!A:AL,16,FALSE)-VLOOKUP(A50,'NonXtal_SegEnds_Prot#'!A:AL,10,FALSE)</f>
        <v>50</v>
      </c>
      <c r="AE50" s="1">
        <f>VLOOKUP(A50,'NonXtal_SegEnds_Prot#'!A:AL,28,FALSE)-VLOOKUP(A50,'NonXtal_SegEnds_Prot#'!A:AL,25,FALSE)</f>
        <v>28</v>
      </c>
      <c r="AF50" s="1">
        <f>VLOOKUP(A50,'NonXtal_SegEnds_Prot#'!A:AL,31,FALSE)-VLOOKUP(A50,'NonXtal_SegEnds_Prot#'!A:AL,28,FALSE)</f>
        <v>44</v>
      </c>
      <c r="AG50" s="1">
        <f>VLOOKUP(A50,'NonXtal_SegEnds_Prot#'!A:AL,34,FALSE)-VLOOKUP(A50,'NonXtal_SegEnds_Prot#'!A:AL,31,FALSE)</f>
        <v>45</v>
      </c>
    </row>
    <row r="51" spans="1:33" x14ac:dyDescent="0.2">
      <c r="A51" s="1" t="s">
        <v>393</v>
      </c>
      <c r="B51" s="1" t="str">
        <f>VLOOKUP(A51,Xtal_Templ!A:B,2,FALSE)</f>
        <v>par1_human</v>
      </c>
      <c r="C51" s="5">
        <f>VLOOKUP($B51&amp;"__wt",'Xtal_SegEnds_BW#'!$A:$Z,3,FALSE)</f>
        <v>29</v>
      </c>
      <c r="D51" s="1">
        <f>VLOOKUP($B51&amp;"__wt",'Xtal_SegEnds_BW#'!$A:$Z,4,FALSE)</f>
        <v>60</v>
      </c>
      <c r="E51" s="1">
        <f>VLOOKUP($B51&amp;"__wt",'Xtal_SegEnds_BW#'!$A:$Z,5,FALSE)</f>
        <v>48</v>
      </c>
      <c r="F51" s="1">
        <f>VLOOKUP($B51&amp;"__wt",'Xtal_SegEnds_BW#'!$A:$Z,6,FALSE)</f>
        <v>51</v>
      </c>
      <c r="G51" s="1">
        <v>37</v>
      </c>
      <c r="H51" s="1">
        <f>VLOOKUP($B51&amp;"__wt",'Xtal_SegEnds_BW#'!$A:$Z,8,FALSE)</f>
        <v>66</v>
      </c>
      <c r="I51" s="1">
        <f>VLOOKUP($B51&amp;"__wt",'Xtal_SegEnds_BW#'!$A:$Z,9,FALSE)</f>
        <v>49</v>
      </c>
      <c r="J51" s="1">
        <f>VLOOKUP($B51&amp;"__wt",'Xtal_SegEnds_BW#'!$A:$Z,10,FALSE)</f>
        <v>52</v>
      </c>
      <c r="K51" s="1">
        <v>18</v>
      </c>
      <c r="L51" s="1">
        <f>VLOOKUP($B51&amp;"__wt",'Xtal_SegEnds_BW#'!$A:$Z,12,FALSE)</f>
        <v>56</v>
      </c>
      <c r="M51" s="1">
        <f>VLOOKUP($B51&amp;"__wt",'Xtal_SegEnds_BW#'!$A:$Z,13,FALSE)</f>
        <v>50</v>
      </c>
      <c r="N51" s="1">
        <v>57</v>
      </c>
      <c r="O51" s="1">
        <v>39</v>
      </c>
      <c r="P51" s="1">
        <f>VLOOKUP($B51&amp;"__wt",'Xtal_SegEnds_BW#'!$A:$Z,16,FALSE)</f>
        <v>63</v>
      </c>
      <c r="Q51" s="1">
        <f>VLOOKUP($B51&amp;"__wt",'Xtal_SegEnds_BW#'!$A:$Z,17,FALSE)</f>
        <v>50</v>
      </c>
      <c r="R51" s="1">
        <f>VLOOKUP($B51&amp;"__wt",'Xtal_SegEnds_BW#'!$A:$Z,18,FALSE)</f>
        <v>52</v>
      </c>
      <c r="S51" s="1">
        <f>VLOOKUP($B51&amp;"__wt",'Xtal_SegEnds_BW#'!$A:$Z,19,FALSE)</f>
        <v>32</v>
      </c>
      <c r="T51" s="23">
        <f t="array" ref="T51">INDEX('ICL3'!$G$2:$G$31,MATCH(MIN(ABS(AF51-'ICL3'!$F$2:$F$31)),ABS(AF51-'ICL3'!$F$2:$F$31),0))</f>
        <v>68</v>
      </c>
      <c r="U51" s="1">
        <f t="array" ref="U51">INDEX('ICL3'!$H$2:$H$31,MATCH(MIN(ABS(AF51-'ICL3'!$F$2:$F$31)),ABS(AF51-'ICL3'!$F$2:$F$31),0))</f>
        <v>30</v>
      </c>
      <c r="V51" s="1">
        <v>61</v>
      </c>
      <c r="W51" s="1">
        <v>33</v>
      </c>
      <c r="X51" s="1">
        <f>VLOOKUP($B51&amp;"__wt",'Xtal_SegEnds_BW#'!$A:$Z,24,FALSE)</f>
        <v>56</v>
      </c>
      <c r="Y51" s="1">
        <f>VLOOKUP($B51&amp;"__wt",'Xtal_SegEnds_BW#'!$A:$Z,25,FALSE)</f>
        <v>47</v>
      </c>
      <c r="Z51" s="1">
        <f>VLOOKUP($B51&amp;"__wt",'Xtal_SegEnds_BW#'!$A:$Z,26,FALSE)</f>
        <v>61</v>
      </c>
      <c r="AA51" s="63" t="str">
        <f>VLOOKUP(A51,Classification!A:B,2,FALSE)</f>
        <v>A</v>
      </c>
      <c r="AB51" s="1" t="e">
        <f>VLOOKUP(A51,'NonXtal_SegEnds_Prot#'!A:AL,10,FALSE)-VLOOKUP(A51,'NonXtal_SegEnds_Prot#'!A:AL,7,FALSE)</f>
        <v>#VALUE!</v>
      </c>
      <c r="AC51" s="1">
        <f>VLOOKUP(A51,'NonXtal_SegEnds_Prot#'!A:AL,13,FALSE)-VLOOKUP(A51,'NonXtal_SegEnds_Prot#'!A:AL,10,FALSE)</f>
        <v>20</v>
      </c>
      <c r="AD51" s="1">
        <f>VLOOKUP(A51,'NonXtal_SegEnds_Prot#'!A:AL,16,FALSE)-VLOOKUP(A51,'NonXtal_SegEnds_Prot#'!A:AL,10,FALSE)</f>
        <v>52</v>
      </c>
      <c r="AE51" s="1">
        <f>VLOOKUP(A51,'NonXtal_SegEnds_Prot#'!A:AL,28,FALSE)-VLOOKUP(A51,'NonXtal_SegEnds_Prot#'!A:AL,25,FALSE)</f>
        <v>27</v>
      </c>
      <c r="AF51" s="1">
        <f>VLOOKUP(A51,'NonXtal_SegEnds_Prot#'!A:AL,31,FALSE)-VLOOKUP(A51,'NonXtal_SegEnds_Prot#'!A:AL,28,FALSE)</f>
        <v>44</v>
      </c>
      <c r="AG51" s="1">
        <f>VLOOKUP(A51,'NonXtal_SegEnds_Prot#'!A:AL,34,FALSE)-VLOOKUP(A51,'NonXtal_SegEnds_Prot#'!A:AL,31,FALSE)</f>
        <v>33</v>
      </c>
    </row>
    <row r="52" spans="1:33" x14ac:dyDescent="0.2">
      <c r="A52" s="1" t="s">
        <v>411</v>
      </c>
      <c r="B52" s="1" t="str">
        <f>VLOOKUP(A52,Xtal_Templ!A:B,2,FALSE)</f>
        <v>oprx_human</v>
      </c>
      <c r="C52" s="5">
        <f>VLOOKUP($B52&amp;"__wt",'Xtal_SegEnds_BW#'!$A:$Z,3,FALSE)</f>
        <v>29</v>
      </c>
      <c r="D52" s="1">
        <f>VLOOKUP($B52&amp;"__wt",'Xtal_SegEnds_BW#'!$A:$Z,4,FALSE)</f>
        <v>60</v>
      </c>
      <c r="E52" s="1">
        <f>VLOOKUP($B52&amp;"__wt",'Xtal_SegEnds_BW#'!$A:$Z,5,FALSE)</f>
        <v>48</v>
      </c>
      <c r="F52" s="1">
        <f>VLOOKUP($B52&amp;"__wt",'Xtal_SegEnds_BW#'!$A:$Z,6,FALSE)</f>
        <v>51</v>
      </c>
      <c r="G52" s="1">
        <v>37</v>
      </c>
      <c r="H52" s="1">
        <v>66</v>
      </c>
      <c r="I52" s="1">
        <f>VLOOKUP($B52&amp;"__wt",'Xtal_SegEnds_BW#'!$A:$Z,9,FALSE)</f>
        <v>49</v>
      </c>
      <c r="J52" s="1">
        <f>VLOOKUP($B52&amp;"__wt",'Xtal_SegEnds_BW#'!$A:$Z,10,FALSE)</f>
        <v>52</v>
      </c>
      <c r="K52" s="1">
        <v>18</v>
      </c>
      <c r="L52" s="1">
        <f>VLOOKUP($B52&amp;"__wt",'Xtal_SegEnds_BW#'!$A:$Z,12,FALSE)</f>
        <v>56</v>
      </c>
      <c r="M52" s="1">
        <f>VLOOKUP($B52&amp;"__wt",'Xtal_SegEnds_BW#'!$A:$Z,13,FALSE)</f>
        <v>50</v>
      </c>
      <c r="N52" s="1">
        <v>57</v>
      </c>
      <c r="O52" s="1">
        <v>39</v>
      </c>
      <c r="P52" s="1">
        <f>VLOOKUP($B52&amp;"__wt",'Xtal_SegEnds_BW#'!$A:$Z,16,FALSE)</f>
        <v>64</v>
      </c>
      <c r="Q52" s="1">
        <f>VLOOKUP($B52&amp;"__wt",'Xtal_SegEnds_BW#'!$A:$Z,17,FALSE)</f>
        <v>50</v>
      </c>
      <c r="R52" s="1">
        <f>VLOOKUP($B52&amp;"__wt",'Xtal_SegEnds_BW#'!$A:$Z,18,FALSE)</f>
        <v>52</v>
      </c>
      <c r="S52" s="1">
        <f>VLOOKUP($B52&amp;"__wt",'Xtal_SegEnds_BW#'!$A:$Z,19,FALSE)</f>
        <v>31</v>
      </c>
      <c r="T52" s="23">
        <f t="array" ref="T52">INDEX('ICL3'!$G$2:$G$31,MATCH(MIN(ABS(AF52-'ICL3'!$F$2:$F$31)),ABS(AF52-'ICL3'!$F$2:$F$31),0))</f>
        <v>68</v>
      </c>
      <c r="U52" s="1">
        <f t="array" ref="U52">INDEX('ICL3'!$H$2:$H$31,MATCH(MIN(ABS(AF52-'ICL3'!$F$2:$F$31)),ABS(AF52-'ICL3'!$F$2:$F$31),0))</f>
        <v>30</v>
      </c>
      <c r="V52" s="1">
        <v>61</v>
      </c>
      <c r="W52" s="1">
        <v>28</v>
      </c>
      <c r="X52" s="1">
        <f>VLOOKUP($B52&amp;"__wt",'Xtal_SegEnds_BW#'!$A:$Z,24,FALSE)</f>
        <v>56</v>
      </c>
      <c r="Y52" s="1">
        <f>VLOOKUP($B52&amp;"__wt",'Xtal_SegEnds_BW#'!$A:$Z,25,FALSE)</f>
        <v>47</v>
      </c>
      <c r="Z52" s="1">
        <f>VLOOKUP($B52&amp;"__wt",'Xtal_SegEnds_BW#'!$A:$Z,26,FALSE)</f>
        <v>59</v>
      </c>
      <c r="AA52" s="63" t="str">
        <f>VLOOKUP(A52,Classification!A:B,2,FALSE)</f>
        <v>A</v>
      </c>
      <c r="AB52" s="1">
        <f>VLOOKUP(A52,'NonXtal_SegEnds_Prot#'!A:AL,10,FALSE)-VLOOKUP(A52,'NonXtal_SegEnds_Prot#'!A:AL,7,FALSE)</f>
        <v>15</v>
      </c>
      <c r="AC52" s="1">
        <f>VLOOKUP(A52,'NonXtal_SegEnds_Prot#'!A:AL,13,FALSE)-VLOOKUP(A52,'NonXtal_SegEnds_Prot#'!A:AL,10,FALSE)</f>
        <v>19</v>
      </c>
      <c r="AD52" s="1">
        <f>VLOOKUP(A52,'NonXtal_SegEnds_Prot#'!A:AL,16,FALSE)-VLOOKUP(A52,'NonXtal_SegEnds_Prot#'!A:AL,10,FALSE)</f>
        <v>51</v>
      </c>
      <c r="AE52" s="1">
        <f>VLOOKUP(A52,'NonXtal_SegEnds_Prot#'!A:AL,28,FALSE)-VLOOKUP(A52,'NonXtal_SegEnds_Prot#'!A:AL,25,FALSE)</f>
        <v>30</v>
      </c>
      <c r="AF52" s="1">
        <f>VLOOKUP(A52,'NonXtal_SegEnds_Prot#'!A:AL,31,FALSE)-VLOOKUP(A52,'NonXtal_SegEnds_Prot#'!A:AL,28,FALSE)</f>
        <v>44</v>
      </c>
      <c r="AG52" s="1">
        <f>VLOOKUP(A52,'NonXtal_SegEnds_Prot#'!A:AL,34,FALSE)-VLOOKUP(A52,'NonXtal_SegEnds_Prot#'!A:AL,31,FALSE)</f>
        <v>40</v>
      </c>
    </row>
    <row r="53" spans="1:33" x14ac:dyDescent="0.2">
      <c r="A53" s="1" t="s">
        <v>452</v>
      </c>
      <c r="B53" s="1" t="str">
        <f>VLOOKUP(A53,Xtal_Templ!A:B,2,FALSE)</f>
        <v>par1_human</v>
      </c>
      <c r="C53" s="5">
        <f>VLOOKUP($B53&amp;"__wt",'Xtal_SegEnds_BW#'!$A:$Z,3,FALSE)</f>
        <v>29</v>
      </c>
      <c r="D53" s="1">
        <f>VLOOKUP($B53&amp;"__wt",'Xtal_SegEnds_BW#'!$A:$Z,4,FALSE)</f>
        <v>60</v>
      </c>
      <c r="E53" s="1">
        <f>VLOOKUP($B53&amp;"__wt",'Xtal_SegEnds_BW#'!$A:$Z,5,FALSE)</f>
        <v>48</v>
      </c>
      <c r="F53" s="1">
        <f>VLOOKUP($B53&amp;"__wt",'Xtal_SegEnds_BW#'!$A:$Z,6,FALSE)</f>
        <v>51</v>
      </c>
      <c r="G53" s="1">
        <v>37</v>
      </c>
      <c r="H53" s="1">
        <f>VLOOKUP($B53&amp;"__wt",'Xtal_SegEnds_BW#'!$A:$Z,8,FALSE)</f>
        <v>66</v>
      </c>
      <c r="I53" s="1">
        <f>VLOOKUP($B53&amp;"__wt",'Xtal_SegEnds_BW#'!$A:$Z,9,FALSE)</f>
        <v>49</v>
      </c>
      <c r="J53" s="1">
        <f>VLOOKUP($B53&amp;"__wt",'Xtal_SegEnds_BW#'!$A:$Z,10,FALSE)</f>
        <v>52</v>
      </c>
      <c r="K53" s="1">
        <v>18</v>
      </c>
      <c r="L53" s="1">
        <f>VLOOKUP($B53&amp;"__wt",'Xtal_SegEnds_BW#'!$A:$Z,12,FALSE)</f>
        <v>56</v>
      </c>
      <c r="M53" s="1">
        <f>VLOOKUP($B53&amp;"__wt",'Xtal_SegEnds_BW#'!$A:$Z,13,FALSE)</f>
        <v>50</v>
      </c>
      <c r="N53" s="1">
        <v>57</v>
      </c>
      <c r="O53" s="1">
        <v>39</v>
      </c>
      <c r="P53" s="1">
        <f>VLOOKUP($B53&amp;"__wt",'Xtal_SegEnds_BW#'!$A:$Z,16,FALSE)</f>
        <v>63</v>
      </c>
      <c r="Q53" s="1">
        <f>VLOOKUP($B53&amp;"__wt",'Xtal_SegEnds_BW#'!$A:$Z,17,FALSE)</f>
        <v>50</v>
      </c>
      <c r="R53" s="1">
        <f>VLOOKUP($B53&amp;"__wt",'Xtal_SegEnds_BW#'!$A:$Z,18,FALSE)</f>
        <v>52</v>
      </c>
      <c r="S53" s="1">
        <f>VLOOKUP($B53&amp;"__wt",'Xtal_SegEnds_BW#'!$A:$Z,19,FALSE)</f>
        <v>32</v>
      </c>
      <c r="T53" s="23">
        <f t="array" ref="T53">INDEX('ICL3'!$G$2:$G$31,MATCH(MIN(ABS(AF53-'ICL3'!$F$2:$F$31)),ABS(AF53-'ICL3'!$F$2:$F$31),0))</f>
        <v>68</v>
      </c>
      <c r="U53" s="1">
        <f t="array" ref="U53">INDEX('ICL3'!$H$2:$H$31,MATCH(MIN(ABS(AF53-'ICL3'!$F$2:$F$31)),ABS(AF53-'ICL3'!$F$2:$F$31),0))</f>
        <v>30</v>
      </c>
      <c r="V53" s="1">
        <v>61</v>
      </c>
      <c r="W53" s="1">
        <v>33</v>
      </c>
      <c r="X53" s="1">
        <f>VLOOKUP($B53&amp;"__wt",'Xtal_SegEnds_BW#'!$A:$Z,24,FALSE)</f>
        <v>56</v>
      </c>
      <c r="Y53" s="1">
        <f>VLOOKUP($B53&amp;"__wt",'Xtal_SegEnds_BW#'!$A:$Z,25,FALSE)</f>
        <v>47</v>
      </c>
      <c r="Z53" s="1">
        <f>VLOOKUP($B53&amp;"__wt",'Xtal_SegEnds_BW#'!$A:$Z,26,FALSE)</f>
        <v>61</v>
      </c>
      <c r="AA53" s="63" t="str">
        <f>VLOOKUP(A53,Classification!A:B,2,FALSE)</f>
        <v>A</v>
      </c>
      <c r="AB53" s="1" t="e">
        <f>VLOOKUP(A53,'NonXtal_SegEnds_Prot#'!A:AL,10,FALSE)-VLOOKUP(A53,'NonXtal_SegEnds_Prot#'!A:AL,7,FALSE)</f>
        <v>#VALUE!</v>
      </c>
      <c r="AC53" s="1">
        <f>VLOOKUP(A53,'NonXtal_SegEnds_Prot#'!A:AL,13,FALSE)-VLOOKUP(A53,'NonXtal_SegEnds_Prot#'!A:AL,10,FALSE)</f>
        <v>20</v>
      </c>
      <c r="AD53" s="1">
        <f>VLOOKUP(A53,'NonXtal_SegEnds_Prot#'!A:AL,16,FALSE)-VLOOKUP(A53,'NonXtal_SegEnds_Prot#'!A:AL,10,FALSE)</f>
        <v>52</v>
      </c>
      <c r="AE53" s="1">
        <f>VLOOKUP(A53,'NonXtal_SegEnds_Prot#'!A:AL,28,FALSE)-VLOOKUP(A53,'NonXtal_SegEnds_Prot#'!A:AL,25,FALSE)</f>
        <v>27</v>
      </c>
      <c r="AF53" s="1">
        <f>VLOOKUP(A53,'NonXtal_SegEnds_Prot#'!A:AL,31,FALSE)-VLOOKUP(A53,'NonXtal_SegEnds_Prot#'!A:AL,28,FALSE)</f>
        <v>44</v>
      </c>
      <c r="AG53" s="1">
        <f>VLOOKUP(A53,'NonXtal_SegEnds_Prot#'!A:AL,34,FALSE)-VLOOKUP(A53,'NonXtal_SegEnds_Prot#'!A:AL,31,FALSE)</f>
        <v>33</v>
      </c>
    </row>
    <row r="54" spans="1:33" x14ac:dyDescent="0.2">
      <c r="A54" s="1" t="s">
        <v>495</v>
      </c>
      <c r="B54" s="1" t="str">
        <f>VLOOKUP(A54,Xtal_Templ!A:B,2,FALSE)</f>
        <v>p2ry1_human</v>
      </c>
      <c r="C54" s="5">
        <f>VLOOKUP($B54&amp;"__wt",'Xtal_SegEnds_BW#'!$A:$Z,3,FALSE)</f>
        <v>30</v>
      </c>
      <c r="D54" s="1">
        <f>VLOOKUP($B54&amp;"__wt",'Xtal_SegEnds_BW#'!$A:$Z,4,FALSE)</f>
        <v>60</v>
      </c>
      <c r="E54" s="1" t="str">
        <f>VLOOKUP($B54&amp;"__wt",'Xtal_SegEnds_BW#'!$A:$Z,5,FALSE)</f>
        <v>-</v>
      </c>
      <c r="F54" s="1" t="str">
        <f>VLOOKUP($B54&amp;"__wt",'Xtal_SegEnds_BW#'!$A:$Z,6,FALSE)</f>
        <v>-</v>
      </c>
      <c r="G54" s="1">
        <v>37</v>
      </c>
      <c r="H54" s="1">
        <v>66</v>
      </c>
      <c r="I54" s="1">
        <f>VLOOKUP($B54&amp;"__wt",'Xtal_SegEnds_BW#'!$A:$Z,9,FALSE)</f>
        <v>49</v>
      </c>
      <c r="J54" s="1">
        <f>VLOOKUP($B54&amp;"__wt",'Xtal_SegEnds_BW#'!$A:$Z,10,FALSE)</f>
        <v>52</v>
      </c>
      <c r="K54" s="1">
        <v>18</v>
      </c>
      <c r="L54" s="1">
        <f>VLOOKUP($B54&amp;"__wt",'Xtal_SegEnds_BW#'!$A:$Z,12,FALSE)</f>
        <v>56</v>
      </c>
      <c r="M54" s="1">
        <f>VLOOKUP($B54&amp;"__wt",'Xtal_SegEnds_BW#'!$A:$Z,13,FALSE)</f>
        <v>50</v>
      </c>
      <c r="N54" s="1">
        <v>57</v>
      </c>
      <c r="O54" s="1">
        <v>39</v>
      </c>
      <c r="P54" s="1">
        <f>VLOOKUP($B54&amp;"__wt",'Xtal_SegEnds_BW#'!$A:$Z,16,FALSE)</f>
        <v>64</v>
      </c>
      <c r="Q54" s="1">
        <f>VLOOKUP($B54&amp;"__wt",'Xtal_SegEnds_BW#'!$A:$Z,17,FALSE)</f>
        <v>50</v>
      </c>
      <c r="R54" s="1">
        <f>VLOOKUP($B54&amp;"__wt",'Xtal_SegEnds_BW#'!$A:$Z,18,FALSE)</f>
        <v>52</v>
      </c>
      <c r="S54" s="1">
        <f>VLOOKUP($B54&amp;"__wt",'Xtal_SegEnds_BW#'!$A:$Z,19,FALSE)</f>
        <v>32</v>
      </c>
      <c r="T54" s="23">
        <f t="array" ref="T54">INDEX('ICL3'!$G$2:$G$31,MATCH(MIN(ABS(AF54-'ICL3'!$F$2:$F$31)),ABS(AF54-'ICL3'!$F$2:$F$31),0))</f>
        <v>68</v>
      </c>
      <c r="U54" s="1">
        <f t="array" ref="U54">INDEX('ICL3'!$H$2:$H$31,MATCH(MIN(ABS(AF54-'ICL3'!$F$2:$F$31)),ABS(AF54-'ICL3'!$F$2:$F$31),0))</f>
        <v>30</v>
      </c>
      <c r="V54" s="1">
        <v>61</v>
      </c>
      <c r="W54" s="1">
        <v>31</v>
      </c>
      <c r="X54" s="1">
        <f>VLOOKUP($B54&amp;"__wt",'Xtal_SegEnds_BW#'!$A:$Z,24,FALSE)</f>
        <v>56</v>
      </c>
      <c r="Y54" s="1">
        <f>VLOOKUP($B54&amp;"__wt",'Xtal_SegEnds_BW#'!$A:$Z,25,FALSE)</f>
        <v>47</v>
      </c>
      <c r="Z54" s="1">
        <f>VLOOKUP($B54&amp;"__wt",'Xtal_SegEnds_BW#'!$A:$Z,26,FALSE)</f>
        <v>59</v>
      </c>
      <c r="AA54" s="63" t="str">
        <f>VLOOKUP(A54,Classification!A:B,2,FALSE)</f>
        <v>A</v>
      </c>
      <c r="AB54" s="1" t="e">
        <f>VLOOKUP(A54,'NonXtal_SegEnds_Prot#'!A:AL,10,FALSE)-VLOOKUP(A54,'NonXtal_SegEnds_Prot#'!A:AL,7,FALSE)</f>
        <v>#VALUE!</v>
      </c>
      <c r="AC54" s="1" t="e">
        <f>VLOOKUP(A54,'NonXtal_SegEnds_Prot#'!A:AL,13,FALSE)-VLOOKUP(A54,'NonXtal_SegEnds_Prot#'!A:AL,10,FALSE)</f>
        <v>#VALUE!</v>
      </c>
      <c r="AD54" s="1">
        <f>VLOOKUP(A54,'NonXtal_SegEnds_Prot#'!A:AL,16,FALSE)-VLOOKUP(A54,'NonXtal_SegEnds_Prot#'!A:AL,10,FALSE)</f>
        <v>51</v>
      </c>
      <c r="AE54" s="1" t="e">
        <f>VLOOKUP(A54,'NonXtal_SegEnds_Prot#'!A:AL,28,FALSE)-VLOOKUP(A54,'NonXtal_SegEnds_Prot#'!A:AL,25,FALSE)</f>
        <v>#VALUE!</v>
      </c>
      <c r="AF54" s="1">
        <f>VLOOKUP(A54,'NonXtal_SegEnds_Prot#'!A:AL,31,FALSE)-VLOOKUP(A54,'NonXtal_SegEnds_Prot#'!A:AL,28,FALSE)</f>
        <v>44</v>
      </c>
      <c r="AG54" s="1">
        <f>VLOOKUP(A54,'NonXtal_SegEnds_Prot#'!A:AL,34,FALSE)-VLOOKUP(A54,'NonXtal_SegEnds_Prot#'!A:AL,31,FALSE)</f>
        <v>37</v>
      </c>
    </row>
    <row r="55" spans="1:33" x14ac:dyDescent="0.2">
      <c r="A55" s="1" t="s">
        <v>1392</v>
      </c>
      <c r="B55" s="1" t="str">
        <f>VLOOKUP(A55,Xtal_Templ!A:B,2,FALSE)</f>
        <v>ffar1_human</v>
      </c>
      <c r="C55" s="5">
        <f>VLOOKUP($B55&amp;"__wt",'Xtal_SegEnds_BW#'!$A:$Z,3,FALSE)</f>
        <v>33</v>
      </c>
      <c r="D55" s="1">
        <f>VLOOKUP($B55&amp;"__wt",'Xtal_SegEnds_BW#'!$A:$Z,4,FALSE)</f>
        <v>64</v>
      </c>
      <c r="E55" s="1" t="str">
        <f>VLOOKUP($B55&amp;"__wt",'Xtal_SegEnds_BW#'!$A:$Z,5,FALSE)</f>
        <v>-</v>
      </c>
      <c r="F55" s="1" t="str">
        <f>VLOOKUP($B55&amp;"__wt",'Xtal_SegEnds_BW#'!$A:$Z,6,FALSE)</f>
        <v>-</v>
      </c>
      <c r="G55" s="1">
        <v>37</v>
      </c>
      <c r="H55" s="1">
        <f>VLOOKUP($B55&amp;"__wt",'Xtal_SegEnds_BW#'!$A:$Z,8,FALSE)</f>
        <v>66</v>
      </c>
      <c r="I55" s="1">
        <f>VLOOKUP($B55&amp;"__wt",'Xtal_SegEnds_BW#'!$A:$Z,9,FALSE)</f>
        <v>49</v>
      </c>
      <c r="J55" s="1">
        <f>VLOOKUP($B55&amp;"__wt",'Xtal_SegEnds_BW#'!$A:$Z,10,FALSE)</f>
        <v>52</v>
      </c>
      <c r="K55" s="1">
        <v>18</v>
      </c>
      <c r="L55" s="1">
        <f>VLOOKUP($B55&amp;"__wt",'Xtal_SegEnds_BW#'!$A:$Z,12,FALSE)</f>
        <v>56</v>
      </c>
      <c r="M55" s="1">
        <f>VLOOKUP($B55&amp;"__wt",'Xtal_SegEnds_BW#'!$A:$Z,13,FALSE)</f>
        <v>50</v>
      </c>
      <c r="N55" s="1">
        <v>57</v>
      </c>
      <c r="O55" s="1">
        <v>39</v>
      </c>
      <c r="P55" s="1">
        <f>VLOOKUP($B55&amp;"__wt",'Xtal_SegEnds_BW#'!$A:$Z,16,FALSE)</f>
        <v>64</v>
      </c>
      <c r="Q55" s="1">
        <f>VLOOKUP($B55&amp;"__wt",'Xtal_SegEnds_BW#'!$A:$Z,17,FALSE)</f>
        <v>50</v>
      </c>
      <c r="R55" s="1">
        <f>VLOOKUP($B55&amp;"__wt",'Xtal_SegEnds_BW#'!$A:$Z,18,FALSE)</f>
        <v>52</v>
      </c>
      <c r="S55" s="1">
        <f>VLOOKUP($B55&amp;"__wt",'Xtal_SegEnds_BW#'!$A:$Z,19,FALSE)</f>
        <v>32</v>
      </c>
      <c r="T55" s="23">
        <f t="array" ref="T55">INDEX('ICL3'!$G$2:$G$31,MATCH(MIN(ABS(AF55-'ICL3'!$F$2:$F$31)),ABS(AF55-'ICL3'!$F$2:$F$31),0))</f>
        <v>67</v>
      </c>
      <c r="U55" s="1">
        <f t="array" ref="U55">INDEX('ICL3'!$H$2:$H$31,MATCH(MIN(ABS(AF55-'ICL3'!$F$2:$F$31)),ABS(AF55-'ICL3'!$F$2:$F$31),0))</f>
        <v>28</v>
      </c>
      <c r="V55" s="1">
        <v>61</v>
      </c>
      <c r="W55" s="1">
        <v>32</v>
      </c>
      <c r="X55" s="1">
        <f>VLOOKUP($B55&amp;"__wt",'Xtal_SegEnds_BW#'!$A:$Z,24,FALSE)</f>
        <v>56</v>
      </c>
      <c r="Y55" s="1">
        <f>VLOOKUP($B55&amp;"__wt",'Xtal_SegEnds_BW#'!$A:$Z,25,FALSE)</f>
        <v>47</v>
      </c>
      <c r="Z55" s="1">
        <f>VLOOKUP($B55&amp;"__wt",'Xtal_SegEnds_BW#'!$A:$Z,26,FALSE)</f>
        <v>61</v>
      </c>
      <c r="AA55" s="63" t="str">
        <f>VLOOKUP(A55,Classification!A:B,2,FALSE)</f>
        <v>A</v>
      </c>
      <c r="AB55" s="1" t="e">
        <f>VLOOKUP(A55,'NonXtal_SegEnds_Prot#'!A:AL,10,FALSE)-VLOOKUP(A55,'NonXtal_SegEnds_Prot#'!A:AL,7,FALSE)</f>
        <v>#VALUE!</v>
      </c>
      <c r="AC55" s="1">
        <f>VLOOKUP(A55,'NonXtal_SegEnds_Prot#'!A:AL,13,FALSE)-VLOOKUP(A55,'NonXtal_SegEnds_Prot#'!A:AL,10,FALSE)</f>
        <v>20</v>
      </c>
      <c r="AD55" s="1">
        <f>VLOOKUP(A55,'NonXtal_SegEnds_Prot#'!A:AL,16,FALSE)-VLOOKUP(A55,'NonXtal_SegEnds_Prot#'!A:AL,10,FALSE)</f>
        <v>52</v>
      </c>
      <c r="AE55" s="1">
        <f>VLOOKUP(A55,'NonXtal_SegEnds_Prot#'!A:AL,28,FALSE)-VLOOKUP(A55,'NonXtal_SegEnds_Prot#'!A:AL,25,FALSE)</f>
        <v>24</v>
      </c>
      <c r="AF55" s="1">
        <f>VLOOKUP(A55,'NonXtal_SegEnds_Prot#'!A:AL,31,FALSE)-VLOOKUP(A55,'NonXtal_SegEnds_Prot#'!A:AL,28,FALSE)</f>
        <v>45</v>
      </c>
      <c r="AG55" s="1">
        <f>VLOOKUP(A55,'NonXtal_SegEnds_Prot#'!A:AL,34,FALSE)-VLOOKUP(A55,'NonXtal_SegEnds_Prot#'!A:AL,31,FALSE)</f>
        <v>34</v>
      </c>
    </row>
    <row r="56" spans="1:33" x14ac:dyDescent="0.2">
      <c r="A56" s="1" t="s">
        <v>440</v>
      </c>
      <c r="B56" s="1" t="str">
        <f>VLOOKUP(A56,Xtal_Templ!A:B,2,FALSE)</f>
        <v>agtr1_human</v>
      </c>
      <c r="C56" s="5">
        <f>VLOOKUP($B56&amp;"__wt",'Xtal_SegEnds_BW#'!$A:$Z,3,FALSE)</f>
        <v>30</v>
      </c>
      <c r="D56" s="1">
        <f>VLOOKUP($B56&amp;"__wt",'Xtal_SegEnds_BW#'!$A:$Z,4,FALSE)</f>
        <v>60</v>
      </c>
      <c r="E56" s="1">
        <f>VLOOKUP($B56&amp;"__wt",'Xtal_SegEnds_BW#'!$A:$Z,5,FALSE)</f>
        <v>48</v>
      </c>
      <c r="F56" s="1">
        <f>VLOOKUP($B56&amp;"__wt",'Xtal_SegEnds_BW#'!$A:$Z,6,FALSE)</f>
        <v>51</v>
      </c>
      <c r="G56" s="1">
        <v>37</v>
      </c>
      <c r="H56" s="1">
        <f>VLOOKUP($B56&amp;"__wt",'Xtal_SegEnds_BW#'!$A:$Z,8,FALSE)</f>
        <v>66</v>
      </c>
      <c r="I56" s="1">
        <f>VLOOKUP($B56&amp;"__wt",'Xtal_SegEnds_BW#'!$A:$Z,9,FALSE)</f>
        <v>49</v>
      </c>
      <c r="J56" s="1">
        <f>VLOOKUP($B56&amp;"__wt",'Xtal_SegEnds_BW#'!$A:$Z,10,FALSE)</f>
        <v>52</v>
      </c>
      <c r="K56" s="1">
        <v>18</v>
      </c>
      <c r="L56" s="1">
        <f>VLOOKUP($B56&amp;"__wt",'Xtal_SegEnds_BW#'!$A:$Z,12,FALSE)</f>
        <v>56</v>
      </c>
      <c r="M56" s="1">
        <f>VLOOKUP($B56&amp;"__wt",'Xtal_SegEnds_BW#'!$A:$Z,13,FALSE)</f>
        <v>50</v>
      </c>
      <c r="N56" s="1">
        <v>57</v>
      </c>
      <c r="O56" s="1">
        <v>39</v>
      </c>
      <c r="P56" s="1">
        <f>VLOOKUP($B56&amp;"__wt",'Xtal_SegEnds_BW#'!$A:$Z,16,FALSE)</f>
        <v>64</v>
      </c>
      <c r="Q56" s="1">
        <f>VLOOKUP($B56&amp;"__wt",'Xtal_SegEnds_BW#'!$A:$Z,17,FALSE)</f>
        <v>50</v>
      </c>
      <c r="R56" s="1">
        <f>VLOOKUP($B56&amp;"__wt",'Xtal_SegEnds_BW#'!$A:$Z,18,FALSE)</f>
        <v>52</v>
      </c>
      <c r="S56" s="1">
        <f>VLOOKUP($B56&amp;"__wt",'Xtal_SegEnds_BW#'!$A:$Z,19,FALSE)</f>
        <v>34</v>
      </c>
      <c r="T56" s="23">
        <f t="array" ref="T56">INDEX('ICL3'!$G$2:$G$31,MATCH(MIN(ABS(AF56-'ICL3'!$F$2:$F$31)),ABS(AF56-'ICL3'!$F$2:$F$31),0))</f>
        <v>67</v>
      </c>
      <c r="U56" s="1">
        <f t="array" ref="U56">INDEX('ICL3'!$H$2:$H$31,MATCH(MIN(ABS(AF56-'ICL3'!$F$2:$F$31)),ABS(AF56-'ICL3'!$F$2:$F$31),0))</f>
        <v>28</v>
      </c>
      <c r="V56" s="1">
        <v>64</v>
      </c>
      <c r="W56" s="1">
        <v>24</v>
      </c>
      <c r="X56" s="1">
        <f>VLOOKUP($B56&amp;"__wt",'Xtal_SegEnds_BW#'!$A:$Z,24,FALSE)</f>
        <v>56</v>
      </c>
      <c r="Y56" s="1">
        <f>VLOOKUP($B56&amp;"__wt",'Xtal_SegEnds_BW#'!$A:$Z,25,FALSE)</f>
        <v>47</v>
      </c>
      <c r="Z56" s="1">
        <f>VLOOKUP($B56&amp;"__wt",'Xtal_SegEnds_BW#'!$A:$Z,26,FALSE)</f>
        <v>61</v>
      </c>
      <c r="AA56" s="63" t="str">
        <f>VLOOKUP(A56,Classification!A:B,2,FALSE)</f>
        <v>A</v>
      </c>
      <c r="AB56" s="1">
        <f>VLOOKUP(A56,'NonXtal_SegEnds_Prot#'!A:AL,10,FALSE)-VLOOKUP(A56,'NonXtal_SegEnds_Prot#'!A:AL,7,FALSE)</f>
        <v>15</v>
      </c>
      <c r="AC56" s="1">
        <f>VLOOKUP(A56,'NonXtal_SegEnds_Prot#'!A:AL,13,FALSE)-VLOOKUP(A56,'NonXtal_SegEnds_Prot#'!A:AL,10,FALSE)</f>
        <v>20</v>
      </c>
      <c r="AD56" s="1">
        <f>VLOOKUP(A56,'NonXtal_SegEnds_Prot#'!A:AL,16,FALSE)-VLOOKUP(A56,'NonXtal_SegEnds_Prot#'!A:AL,10,FALSE)</f>
        <v>52</v>
      </c>
      <c r="AE56" s="1">
        <f>VLOOKUP(A56,'NonXtal_SegEnds_Prot#'!A:AL,28,FALSE)-VLOOKUP(A56,'NonXtal_SegEnds_Prot#'!A:AL,25,FALSE)</f>
        <v>23</v>
      </c>
      <c r="AF56" s="1">
        <f>VLOOKUP(A56,'NonXtal_SegEnds_Prot#'!A:AL,31,FALSE)-VLOOKUP(A56,'NonXtal_SegEnds_Prot#'!A:AL,28,FALSE)</f>
        <v>45</v>
      </c>
      <c r="AG56" s="1">
        <f>VLOOKUP(A56,'NonXtal_SegEnds_Prot#'!A:AL,34,FALSE)-VLOOKUP(A56,'NonXtal_SegEnds_Prot#'!A:AL,31,FALSE)</f>
        <v>45</v>
      </c>
    </row>
    <row r="57" spans="1:33" x14ac:dyDescent="0.2">
      <c r="A57" s="1" t="s">
        <v>477</v>
      </c>
      <c r="B57" s="1" t="str">
        <f>VLOOKUP(A57,Xtal_Templ!A:B,2,FALSE)</f>
        <v>agtr1_human</v>
      </c>
      <c r="C57" s="5">
        <f>VLOOKUP($B57&amp;"__wt",'Xtal_SegEnds_BW#'!$A:$Z,3,FALSE)</f>
        <v>30</v>
      </c>
      <c r="D57" s="1">
        <f>VLOOKUP($B57&amp;"__wt",'Xtal_SegEnds_BW#'!$A:$Z,4,FALSE)</f>
        <v>60</v>
      </c>
      <c r="E57" s="1">
        <f>VLOOKUP($B57&amp;"__wt",'Xtal_SegEnds_BW#'!$A:$Z,5,FALSE)</f>
        <v>48</v>
      </c>
      <c r="F57" s="1">
        <f>VLOOKUP($B57&amp;"__wt",'Xtal_SegEnds_BW#'!$A:$Z,6,FALSE)</f>
        <v>51</v>
      </c>
      <c r="G57" s="1">
        <v>37</v>
      </c>
      <c r="H57" s="1">
        <v>67</v>
      </c>
      <c r="I57" s="1">
        <f>VLOOKUP($B57&amp;"__wt",'Xtal_SegEnds_BW#'!$A:$Z,9,FALSE)</f>
        <v>49</v>
      </c>
      <c r="J57" s="1">
        <f>VLOOKUP($B57&amp;"__wt",'Xtal_SegEnds_BW#'!$A:$Z,10,FALSE)</f>
        <v>52</v>
      </c>
      <c r="K57" s="1">
        <v>18</v>
      </c>
      <c r="L57" s="1">
        <f>VLOOKUP($B57&amp;"__wt",'Xtal_SegEnds_BW#'!$A:$Z,12,FALSE)</f>
        <v>56</v>
      </c>
      <c r="M57" s="1">
        <f>VLOOKUP($B57&amp;"__wt",'Xtal_SegEnds_BW#'!$A:$Z,13,FALSE)</f>
        <v>50</v>
      </c>
      <c r="N57" s="1">
        <v>57</v>
      </c>
      <c r="O57" s="1">
        <v>39</v>
      </c>
      <c r="P57" s="1">
        <f>VLOOKUP($B57&amp;"__wt",'Xtal_SegEnds_BW#'!$A:$Z,16,FALSE)</f>
        <v>64</v>
      </c>
      <c r="Q57" s="1">
        <f>VLOOKUP($B57&amp;"__wt",'Xtal_SegEnds_BW#'!$A:$Z,17,FALSE)</f>
        <v>50</v>
      </c>
      <c r="R57" s="1">
        <f>VLOOKUP($B57&amp;"__wt",'Xtal_SegEnds_BW#'!$A:$Z,18,FALSE)</f>
        <v>52</v>
      </c>
      <c r="S57" s="1">
        <f>VLOOKUP($B57&amp;"__wt",'Xtal_SegEnds_BW#'!$A:$Z,19,FALSE)</f>
        <v>34</v>
      </c>
      <c r="T57" s="23">
        <f t="array" ref="T57">INDEX('ICL3'!$G$2:$G$31,MATCH(MIN(ABS(AF57-'ICL3'!$F$2:$F$31)),ABS(AF57-'ICL3'!$F$2:$F$31),0))</f>
        <v>67</v>
      </c>
      <c r="U57" s="1">
        <f t="array" ref="U57">INDEX('ICL3'!$H$2:$H$31,MATCH(MIN(ABS(AF57-'ICL3'!$F$2:$F$31)),ABS(AF57-'ICL3'!$F$2:$F$31),0))</f>
        <v>28</v>
      </c>
      <c r="V57" s="1">
        <v>61</v>
      </c>
      <c r="W57" s="1">
        <v>31</v>
      </c>
      <c r="X57" s="1">
        <f>VLOOKUP($B57&amp;"__wt",'Xtal_SegEnds_BW#'!$A:$Z,24,FALSE)</f>
        <v>56</v>
      </c>
      <c r="Y57" s="1">
        <f>VLOOKUP($B57&amp;"__wt",'Xtal_SegEnds_BW#'!$A:$Z,25,FALSE)</f>
        <v>47</v>
      </c>
      <c r="Z57" s="1">
        <f>VLOOKUP($B57&amp;"__wt",'Xtal_SegEnds_BW#'!$A:$Z,26,FALSE)</f>
        <v>61</v>
      </c>
      <c r="AA57" s="63" t="str">
        <f>VLOOKUP(A57,Classification!A:B,2,FALSE)</f>
        <v>A</v>
      </c>
      <c r="AB57" s="1" t="e">
        <f>VLOOKUP(A57,'NonXtal_SegEnds_Prot#'!A:AL,10,FALSE)-VLOOKUP(A57,'NonXtal_SegEnds_Prot#'!A:AL,7,FALSE)</f>
        <v>#VALUE!</v>
      </c>
      <c r="AC57" s="1" t="e">
        <f>VLOOKUP(A57,'NonXtal_SegEnds_Prot#'!A:AL,13,FALSE)-VLOOKUP(A57,'NonXtal_SegEnds_Prot#'!A:AL,10,FALSE)</f>
        <v>#VALUE!</v>
      </c>
      <c r="AD57" s="1">
        <f>VLOOKUP(A57,'NonXtal_SegEnds_Prot#'!A:AL,16,FALSE)-VLOOKUP(A57,'NonXtal_SegEnds_Prot#'!A:AL,10,FALSE)</f>
        <v>59</v>
      </c>
      <c r="AE57" s="1">
        <f>VLOOKUP(A57,'NonXtal_SegEnds_Prot#'!A:AL,28,FALSE)-VLOOKUP(A57,'NonXtal_SegEnds_Prot#'!A:AL,25,FALSE)</f>
        <v>24</v>
      </c>
      <c r="AF57" s="1">
        <f>VLOOKUP(A57,'NonXtal_SegEnds_Prot#'!A:AL,31,FALSE)-VLOOKUP(A57,'NonXtal_SegEnds_Prot#'!A:AL,28,FALSE)</f>
        <v>45</v>
      </c>
      <c r="AG57" s="1">
        <f>VLOOKUP(A57,'NonXtal_SegEnds_Prot#'!A:AL,34,FALSE)-VLOOKUP(A57,'NonXtal_SegEnds_Prot#'!A:AL,31,FALSE)</f>
        <v>36</v>
      </c>
    </row>
    <row r="58" spans="1:33" x14ac:dyDescent="0.2">
      <c r="A58" s="1" t="s">
        <v>478</v>
      </c>
      <c r="B58" s="1" t="str">
        <f>VLOOKUP(A58,Xtal_Templ!A:B,2,FALSE)</f>
        <v>aa2ar_human</v>
      </c>
      <c r="C58" s="5">
        <f>VLOOKUP($B58&amp;"__wt",'Xtal_SegEnds_BW#'!$A:$Z,3,FALSE)</f>
        <v>28</v>
      </c>
      <c r="D58" s="1">
        <f>VLOOKUP($B58&amp;"__wt",'Xtal_SegEnds_BW#'!$A:$Z,4,FALSE)</f>
        <v>60</v>
      </c>
      <c r="E58" s="1">
        <f>VLOOKUP($B58&amp;"__wt",'Xtal_SegEnds_BW#'!$A:$Z,5,FALSE)</f>
        <v>48</v>
      </c>
      <c r="F58" s="1">
        <f>VLOOKUP($B58&amp;"__wt",'Xtal_SegEnds_BW#'!$A:$Z,6,FALSE)</f>
        <v>51</v>
      </c>
      <c r="G58" s="1">
        <v>37</v>
      </c>
      <c r="H58" s="1">
        <f>VLOOKUP($B58&amp;"__wt",'Xtal_SegEnds_BW#'!$A:$Z,8,FALSE)</f>
        <v>67</v>
      </c>
      <c r="I58" s="1">
        <v>49</v>
      </c>
      <c r="J58" s="1">
        <f>VLOOKUP($B58&amp;"__wt",'Xtal_SegEnds_BW#'!$A:$Z,10,FALSE)</f>
        <v>52</v>
      </c>
      <c r="K58" s="1">
        <v>18</v>
      </c>
      <c r="L58" s="1">
        <f>VLOOKUP($B58&amp;"__wt",'Xtal_SegEnds_BW#'!$A:$Z,12,FALSE)</f>
        <v>56</v>
      </c>
      <c r="M58" s="1">
        <f>VLOOKUP($B58&amp;"__wt",'Xtal_SegEnds_BW#'!$A:$Z,13,FALSE)</f>
        <v>50</v>
      </c>
      <c r="N58" s="1">
        <v>57</v>
      </c>
      <c r="O58" s="1">
        <v>39</v>
      </c>
      <c r="P58" s="1">
        <f>VLOOKUP($B58&amp;"__wt",'Xtal_SegEnds_BW#'!$A:$Z,16,FALSE)</f>
        <v>63</v>
      </c>
      <c r="Q58" s="1">
        <f>VLOOKUP($B58&amp;"__wt",'Xtal_SegEnds_BW#'!$A:$Z,17,FALSE)</f>
        <v>50</v>
      </c>
      <c r="R58" s="1">
        <f>VLOOKUP($B58&amp;"__wt",'Xtal_SegEnds_BW#'!$A:$Z,18,FALSE)</f>
        <v>52</v>
      </c>
      <c r="S58" s="1">
        <f>VLOOKUP($B58&amp;"__wt",'Xtal_SegEnds_BW#'!$A:$Z,19,FALSE)</f>
        <v>34</v>
      </c>
      <c r="T58" s="23">
        <f t="array" ref="T58">INDEX('ICL3'!$G$2:$G$31,MATCH(MIN(ABS(AF58-'ICL3'!$F$2:$F$31)),ABS(AF58-'ICL3'!$F$2:$F$31),0))</f>
        <v>67</v>
      </c>
      <c r="U58" s="1">
        <f t="array" ref="U58">INDEX('ICL3'!$H$2:$H$31,MATCH(MIN(ABS(AF58-'ICL3'!$F$2:$F$31)),ABS(AF58-'ICL3'!$F$2:$F$31),0))</f>
        <v>28</v>
      </c>
      <c r="V58" s="1">
        <v>61</v>
      </c>
      <c r="W58" s="1">
        <v>31</v>
      </c>
      <c r="X58" s="1">
        <f>VLOOKUP($B58&amp;"__wt",'Xtal_SegEnds_BW#'!$A:$Z,24,FALSE)</f>
        <v>56</v>
      </c>
      <c r="Y58" s="1">
        <f>VLOOKUP($B58&amp;"__wt",'Xtal_SegEnds_BW#'!$A:$Z,25,FALSE)</f>
        <v>47</v>
      </c>
      <c r="Z58" s="1">
        <f>VLOOKUP($B58&amp;"__wt",'Xtal_SegEnds_BW#'!$A:$Z,26,FALSE)</f>
        <v>69</v>
      </c>
      <c r="AA58" s="63" t="str">
        <f>VLOOKUP(A58,Classification!A:B,2,FALSE)</f>
        <v>A</v>
      </c>
      <c r="AB58" s="1" t="e">
        <f>VLOOKUP(A58,'NonXtal_SegEnds_Prot#'!A:AL,10,FALSE)-VLOOKUP(A58,'NonXtal_SegEnds_Prot#'!A:AL,7,FALSE)</f>
        <v>#VALUE!</v>
      </c>
      <c r="AC58" s="1" t="e">
        <f>VLOOKUP(A58,'NonXtal_SegEnds_Prot#'!A:AL,13,FALSE)-VLOOKUP(A58,'NonXtal_SegEnds_Prot#'!A:AL,10,FALSE)</f>
        <v>#VALUE!</v>
      </c>
      <c r="AD58" s="1">
        <f>VLOOKUP(A58,'NonXtal_SegEnds_Prot#'!A:AL,16,FALSE)-VLOOKUP(A58,'NonXtal_SegEnds_Prot#'!A:AL,10,FALSE)</f>
        <v>59</v>
      </c>
      <c r="AE58" s="1">
        <f>VLOOKUP(A58,'NonXtal_SegEnds_Prot#'!A:AL,28,FALSE)-VLOOKUP(A58,'NonXtal_SegEnds_Prot#'!A:AL,25,FALSE)</f>
        <v>24</v>
      </c>
      <c r="AF58" s="1">
        <f>VLOOKUP(A58,'NonXtal_SegEnds_Prot#'!A:AL,31,FALSE)-VLOOKUP(A58,'NonXtal_SegEnds_Prot#'!A:AL,28,FALSE)</f>
        <v>45</v>
      </c>
      <c r="AG58" s="1">
        <f>VLOOKUP(A58,'NonXtal_SegEnds_Prot#'!A:AL,34,FALSE)-VLOOKUP(A58,'NonXtal_SegEnds_Prot#'!A:AL,31,FALSE)</f>
        <v>36</v>
      </c>
    </row>
    <row r="59" spans="1:33" x14ac:dyDescent="0.2">
      <c r="A59" s="1" t="s">
        <v>479</v>
      </c>
      <c r="B59" s="1" t="str">
        <f>VLOOKUP(A59,Xtal_Templ!A:B,2,FALSE)</f>
        <v>opsd_human</v>
      </c>
      <c r="C59" s="5">
        <f>VLOOKUP($B59&amp;"__wt",'Xtal_SegEnds_BW#'!$A:$Z,3,FALSE)</f>
        <v>29</v>
      </c>
      <c r="D59" s="1">
        <f>VLOOKUP($B59&amp;"__wt",'Xtal_SegEnds_BW#'!$A:$Z,4,FALSE)</f>
        <v>60</v>
      </c>
      <c r="E59" s="1">
        <f>VLOOKUP($B59&amp;"__wt",'Xtal_SegEnds_BW#'!$A:$Z,5,FALSE)</f>
        <v>48</v>
      </c>
      <c r="F59" s="1">
        <f>VLOOKUP($B59&amp;"__wt",'Xtal_SegEnds_BW#'!$A:$Z,6,FALSE)</f>
        <v>51</v>
      </c>
      <c r="G59" s="1">
        <v>37</v>
      </c>
      <c r="H59" s="1">
        <f>VLOOKUP($B59&amp;"__wt",'Xtal_SegEnds_BW#'!$A:$Z,8,FALSE)</f>
        <v>67</v>
      </c>
      <c r="I59" s="1">
        <f>VLOOKUP($B59&amp;"__wt",'Xtal_SegEnds_BW#'!$A:$Z,9,FALSE)</f>
        <v>49</v>
      </c>
      <c r="J59" s="1">
        <f>VLOOKUP($B59&amp;"__wt",'Xtal_SegEnds_BW#'!$A:$Z,10,FALSE)</f>
        <v>52</v>
      </c>
      <c r="K59" s="1">
        <v>18</v>
      </c>
      <c r="L59" s="1">
        <f>VLOOKUP($B59&amp;"__wt",'Xtal_SegEnds_BW#'!$A:$Z,12,FALSE)</f>
        <v>56</v>
      </c>
      <c r="M59" s="1">
        <f>VLOOKUP($B59&amp;"__wt",'Xtal_SegEnds_BW#'!$A:$Z,13,FALSE)</f>
        <v>50</v>
      </c>
      <c r="N59" s="1">
        <v>57</v>
      </c>
      <c r="O59" s="1">
        <v>39</v>
      </c>
      <c r="P59" s="1">
        <f>VLOOKUP($B59&amp;"__wt",'Xtal_SegEnds_BW#'!$A:$Z,16,FALSE)</f>
        <v>62</v>
      </c>
      <c r="Q59" s="1">
        <f>VLOOKUP($B59&amp;"__wt",'Xtal_SegEnds_BW#'!$A:$Z,17,FALSE)</f>
        <v>50</v>
      </c>
      <c r="R59" s="1">
        <f>VLOOKUP($B59&amp;"__wt",'Xtal_SegEnds_BW#'!$A:$Z,18,FALSE)</f>
        <v>52</v>
      </c>
      <c r="S59" s="1">
        <v>35</v>
      </c>
      <c r="T59" s="23">
        <f t="array" ref="T59">INDEX('ICL3'!$G$2:$G$31,MATCH(MIN(ABS(AF59-'ICL3'!$F$2:$F$31)),ABS(AF59-'ICL3'!$F$2:$F$31),0))</f>
        <v>67</v>
      </c>
      <c r="U59" s="1">
        <f t="array" ref="U59">INDEX('ICL3'!$H$2:$H$31,MATCH(MIN(ABS(AF59-'ICL3'!$F$2:$F$31)),ABS(AF59-'ICL3'!$F$2:$F$31),0))</f>
        <v>28</v>
      </c>
      <c r="V59" s="1">
        <v>61</v>
      </c>
      <c r="W59" s="1">
        <v>31</v>
      </c>
      <c r="X59" s="1">
        <f>VLOOKUP($B59&amp;"__wt",'Xtal_SegEnds_BW#'!$A:$Z,24,FALSE)</f>
        <v>56</v>
      </c>
      <c r="Y59" s="1">
        <f>VLOOKUP($B59&amp;"__wt",'Xtal_SegEnds_BW#'!$A:$Z,25,FALSE)</f>
        <v>47</v>
      </c>
      <c r="Z59" s="1">
        <f>VLOOKUP($B59&amp;"__wt",'Xtal_SegEnds_BW#'!$A:$Z,26,FALSE)</f>
        <v>59</v>
      </c>
      <c r="AA59" s="63" t="str">
        <f>VLOOKUP(A59,Classification!A:B,2,FALSE)</f>
        <v>A</v>
      </c>
      <c r="AB59" s="1" t="e">
        <f>VLOOKUP(A59,'NonXtal_SegEnds_Prot#'!A:AL,10,FALSE)-VLOOKUP(A59,'NonXtal_SegEnds_Prot#'!A:AL,7,FALSE)</f>
        <v>#VALUE!</v>
      </c>
      <c r="AC59" s="1" t="e">
        <f>VLOOKUP(A59,'NonXtal_SegEnds_Prot#'!A:AL,13,FALSE)-VLOOKUP(A59,'NonXtal_SegEnds_Prot#'!A:AL,10,FALSE)</f>
        <v>#VALUE!</v>
      </c>
      <c r="AD59" s="1">
        <f>VLOOKUP(A59,'NonXtal_SegEnds_Prot#'!A:AL,16,FALSE)-VLOOKUP(A59,'NonXtal_SegEnds_Prot#'!A:AL,10,FALSE)</f>
        <v>59</v>
      </c>
      <c r="AE59" s="1">
        <f>VLOOKUP(A59,'NonXtal_SegEnds_Prot#'!A:AL,28,FALSE)-VLOOKUP(A59,'NonXtal_SegEnds_Prot#'!A:AL,25,FALSE)</f>
        <v>26</v>
      </c>
      <c r="AF59" s="1">
        <f>VLOOKUP(A59,'NonXtal_SegEnds_Prot#'!A:AL,31,FALSE)-VLOOKUP(A59,'NonXtal_SegEnds_Prot#'!A:AL,28,FALSE)</f>
        <v>45</v>
      </c>
      <c r="AG59" s="1">
        <f>VLOOKUP(A59,'NonXtal_SegEnds_Prot#'!A:AL,34,FALSE)-VLOOKUP(A59,'NonXtal_SegEnds_Prot#'!A:AL,31,FALSE)</f>
        <v>36</v>
      </c>
    </row>
    <row r="60" spans="1:33" x14ac:dyDescent="0.2">
      <c r="A60" s="1" t="s">
        <v>568</v>
      </c>
      <c r="B60" s="1" t="str">
        <f>VLOOKUP(A60,Xtal_Templ!A:B,2,FALSE)</f>
        <v>agtr1_human</v>
      </c>
      <c r="C60" s="5">
        <f>VLOOKUP($B60&amp;"__wt",'Xtal_SegEnds_BW#'!$A:$Z,3,FALSE)</f>
        <v>30</v>
      </c>
      <c r="D60" s="1">
        <f>VLOOKUP($B60&amp;"__wt",'Xtal_SegEnds_BW#'!$A:$Z,4,FALSE)</f>
        <v>60</v>
      </c>
      <c r="E60" s="1">
        <f>VLOOKUP($B60&amp;"__wt",'Xtal_SegEnds_BW#'!$A:$Z,5,FALSE)</f>
        <v>48</v>
      </c>
      <c r="F60" s="1">
        <f>VLOOKUP($B60&amp;"__wt",'Xtal_SegEnds_BW#'!$A:$Z,6,FALSE)</f>
        <v>51</v>
      </c>
      <c r="G60" s="1">
        <v>37</v>
      </c>
      <c r="H60" s="1">
        <f>VLOOKUP($B60&amp;"__wt",'Xtal_SegEnds_BW#'!$A:$Z,8,FALSE)</f>
        <v>66</v>
      </c>
      <c r="I60" s="1">
        <f>VLOOKUP($B60&amp;"__wt",'Xtal_SegEnds_BW#'!$A:$Z,9,FALSE)</f>
        <v>49</v>
      </c>
      <c r="J60" s="1">
        <f>VLOOKUP($B60&amp;"__wt",'Xtal_SegEnds_BW#'!$A:$Z,10,FALSE)</f>
        <v>52</v>
      </c>
      <c r="K60" s="1">
        <v>18</v>
      </c>
      <c r="L60" s="1">
        <f>VLOOKUP($B60&amp;"__wt",'Xtal_SegEnds_BW#'!$A:$Z,12,FALSE)</f>
        <v>56</v>
      </c>
      <c r="M60" s="1">
        <f>VLOOKUP($B60&amp;"__wt",'Xtal_SegEnds_BW#'!$A:$Z,13,FALSE)</f>
        <v>50</v>
      </c>
      <c r="N60" s="1">
        <v>57</v>
      </c>
      <c r="O60" s="1">
        <v>39</v>
      </c>
      <c r="P60" s="1">
        <f>VLOOKUP($B60&amp;"__wt",'Xtal_SegEnds_BW#'!$A:$Z,16,FALSE)</f>
        <v>64</v>
      </c>
      <c r="Q60" s="1">
        <f>VLOOKUP($B60&amp;"__wt",'Xtal_SegEnds_BW#'!$A:$Z,17,FALSE)</f>
        <v>50</v>
      </c>
      <c r="R60" s="1">
        <f>VLOOKUP($B60&amp;"__wt",'Xtal_SegEnds_BW#'!$A:$Z,18,FALSE)</f>
        <v>52</v>
      </c>
      <c r="S60" s="1">
        <f>VLOOKUP($B60&amp;"__wt",'Xtal_SegEnds_BW#'!$A:$Z,19,FALSE)</f>
        <v>34</v>
      </c>
      <c r="T60" s="23">
        <f t="array" ref="T60">INDEX('ICL3'!$G$2:$G$31,MATCH(MIN(ABS(AF60-'ICL3'!$F$2:$F$31)),ABS(AF60-'ICL3'!$F$2:$F$31),0))</f>
        <v>67</v>
      </c>
      <c r="U60" s="1">
        <f t="array" ref="U60">INDEX('ICL3'!$H$2:$H$31,MATCH(MIN(ABS(AF60-'ICL3'!$F$2:$F$31)),ABS(AF60-'ICL3'!$F$2:$F$31),0))</f>
        <v>28</v>
      </c>
      <c r="V60" s="1">
        <v>64</v>
      </c>
      <c r="W60" s="1">
        <v>24</v>
      </c>
      <c r="X60" s="1">
        <f>VLOOKUP($B60&amp;"__wt",'Xtal_SegEnds_BW#'!$A:$Z,24,FALSE)</f>
        <v>56</v>
      </c>
      <c r="Y60" s="1">
        <f>VLOOKUP($B60&amp;"__wt",'Xtal_SegEnds_BW#'!$A:$Z,25,FALSE)</f>
        <v>47</v>
      </c>
      <c r="Z60" s="1">
        <f>VLOOKUP($B60&amp;"__wt",'Xtal_SegEnds_BW#'!$A:$Z,26,FALSE)</f>
        <v>61</v>
      </c>
      <c r="AA60" s="63" t="str">
        <f>VLOOKUP(A60,Classification!A:B,2,FALSE)</f>
        <v>A</v>
      </c>
      <c r="AB60" s="1">
        <f>VLOOKUP(A60,'NonXtal_SegEnds_Prot#'!A:AL,10,FALSE)-VLOOKUP(A60,'NonXtal_SegEnds_Prot#'!A:AL,7,FALSE)</f>
        <v>16</v>
      </c>
      <c r="AC60" s="1">
        <f>VLOOKUP(A60,'NonXtal_SegEnds_Prot#'!A:AL,13,FALSE)-VLOOKUP(A60,'NonXtal_SegEnds_Prot#'!A:AL,10,FALSE)</f>
        <v>20</v>
      </c>
      <c r="AD60" s="1">
        <f>VLOOKUP(A60,'NonXtal_SegEnds_Prot#'!A:AL,16,FALSE)-VLOOKUP(A60,'NonXtal_SegEnds_Prot#'!A:AL,10,FALSE)</f>
        <v>52</v>
      </c>
      <c r="AE60" s="1">
        <f>VLOOKUP(A60,'NonXtal_SegEnds_Prot#'!A:AL,28,FALSE)-VLOOKUP(A60,'NonXtal_SegEnds_Prot#'!A:AL,25,FALSE)</f>
        <v>25</v>
      </c>
      <c r="AF60" s="1">
        <f>VLOOKUP(A60,'NonXtal_SegEnds_Prot#'!A:AL,31,FALSE)-VLOOKUP(A60,'NonXtal_SegEnds_Prot#'!A:AL,28,FALSE)</f>
        <v>45</v>
      </c>
      <c r="AG60" s="1">
        <f>VLOOKUP(A60,'NonXtal_SegEnds_Prot#'!A:AL,34,FALSE)-VLOOKUP(A60,'NonXtal_SegEnds_Prot#'!A:AL,31,FALSE)</f>
        <v>45</v>
      </c>
    </row>
    <row r="61" spans="1:33" x14ac:dyDescent="0.2">
      <c r="A61" s="1" t="s">
        <v>392</v>
      </c>
      <c r="B61" s="1" t="str">
        <f>VLOOKUP(A61,Xtal_Templ!A:B,2,FALSE)</f>
        <v>ffar1_human</v>
      </c>
      <c r="C61" s="5">
        <f>VLOOKUP($B61&amp;"__wt",'Xtal_SegEnds_BW#'!$A:$Z,3,FALSE)</f>
        <v>33</v>
      </c>
      <c r="D61" s="1">
        <f>VLOOKUP($B61&amp;"__wt",'Xtal_SegEnds_BW#'!$A:$Z,4,FALSE)</f>
        <v>64</v>
      </c>
      <c r="E61" s="1" t="str">
        <f>VLOOKUP($B61&amp;"__wt",'Xtal_SegEnds_BW#'!$A:$Z,5,FALSE)</f>
        <v>-</v>
      </c>
      <c r="F61" s="1" t="str">
        <f>VLOOKUP($B61&amp;"__wt",'Xtal_SegEnds_BW#'!$A:$Z,6,FALSE)</f>
        <v>-</v>
      </c>
      <c r="G61" s="1">
        <v>37</v>
      </c>
      <c r="H61" s="1">
        <f>VLOOKUP($B61&amp;"__wt",'Xtal_SegEnds_BW#'!$A:$Z,8,FALSE)</f>
        <v>66</v>
      </c>
      <c r="I61" s="1">
        <f>VLOOKUP($B61&amp;"__wt",'Xtal_SegEnds_BW#'!$A:$Z,9,FALSE)</f>
        <v>49</v>
      </c>
      <c r="J61" s="1">
        <f>VLOOKUP($B61&amp;"__wt",'Xtal_SegEnds_BW#'!$A:$Z,10,FALSE)</f>
        <v>52</v>
      </c>
      <c r="K61" s="1">
        <v>18</v>
      </c>
      <c r="L61" s="1">
        <f>VLOOKUP($B61&amp;"__wt",'Xtal_SegEnds_BW#'!$A:$Z,12,FALSE)</f>
        <v>56</v>
      </c>
      <c r="M61" s="1">
        <f>VLOOKUP($B61&amp;"__wt",'Xtal_SegEnds_BW#'!$A:$Z,13,FALSE)</f>
        <v>50</v>
      </c>
      <c r="N61" s="1">
        <v>57</v>
      </c>
      <c r="O61" s="1">
        <v>39</v>
      </c>
      <c r="P61" s="1">
        <f>VLOOKUP($B61&amp;"__wt",'Xtal_SegEnds_BW#'!$A:$Z,16,FALSE)</f>
        <v>64</v>
      </c>
      <c r="Q61" s="1">
        <f>VLOOKUP($B61&amp;"__wt",'Xtal_SegEnds_BW#'!$A:$Z,17,FALSE)</f>
        <v>50</v>
      </c>
      <c r="R61" s="1">
        <f>VLOOKUP($B61&amp;"__wt",'Xtal_SegEnds_BW#'!$A:$Z,18,FALSE)</f>
        <v>52</v>
      </c>
      <c r="S61" s="1">
        <f>VLOOKUP($B61&amp;"__wt",'Xtal_SegEnds_BW#'!$A:$Z,19,FALSE)</f>
        <v>32</v>
      </c>
      <c r="T61" s="23">
        <f t="array" ref="T61">INDEX('ICL3'!$G$2:$G$31,MATCH(MIN(ABS(AF61-'ICL3'!$F$2:$F$31)),ABS(AF61-'ICL3'!$F$2:$F$31),0))</f>
        <v>67</v>
      </c>
      <c r="U61" s="1">
        <f t="array" ref="U61">INDEX('ICL3'!$H$2:$H$31,MATCH(MIN(ABS(AF61-'ICL3'!$F$2:$F$31)),ABS(AF61-'ICL3'!$F$2:$F$31),0))</f>
        <v>26</v>
      </c>
      <c r="V61" s="1">
        <v>61</v>
      </c>
      <c r="W61" s="1">
        <v>33</v>
      </c>
      <c r="X61" s="1">
        <f>VLOOKUP($B61&amp;"__wt",'Xtal_SegEnds_BW#'!$A:$Z,24,FALSE)</f>
        <v>56</v>
      </c>
      <c r="Y61" s="1">
        <f>VLOOKUP($B61&amp;"__wt",'Xtal_SegEnds_BW#'!$A:$Z,25,FALSE)</f>
        <v>47</v>
      </c>
      <c r="Z61" s="1">
        <f>VLOOKUP($B61&amp;"__wt",'Xtal_SegEnds_BW#'!$A:$Z,26,FALSE)</f>
        <v>61</v>
      </c>
      <c r="AA61" s="63" t="str">
        <f>VLOOKUP(A61,Classification!A:B,2,FALSE)</f>
        <v>A</v>
      </c>
      <c r="AB61" s="1" t="e">
        <f>VLOOKUP(A61,'NonXtal_SegEnds_Prot#'!A:AL,10,FALSE)-VLOOKUP(A61,'NonXtal_SegEnds_Prot#'!A:AL,7,FALSE)</f>
        <v>#VALUE!</v>
      </c>
      <c r="AC61" s="1">
        <f>VLOOKUP(A61,'NonXtal_SegEnds_Prot#'!A:AL,13,FALSE)-VLOOKUP(A61,'NonXtal_SegEnds_Prot#'!A:AL,10,FALSE)</f>
        <v>20</v>
      </c>
      <c r="AD61" s="1">
        <f>VLOOKUP(A61,'NonXtal_SegEnds_Prot#'!A:AL,16,FALSE)-VLOOKUP(A61,'NonXtal_SegEnds_Prot#'!A:AL,10,FALSE)</f>
        <v>52</v>
      </c>
      <c r="AE61" s="1">
        <f>VLOOKUP(A61,'NonXtal_SegEnds_Prot#'!A:AL,28,FALSE)-VLOOKUP(A61,'NonXtal_SegEnds_Prot#'!A:AL,25,FALSE)</f>
        <v>27</v>
      </c>
      <c r="AF61" s="1">
        <f>VLOOKUP(A61,'NonXtal_SegEnds_Prot#'!A:AL,31,FALSE)-VLOOKUP(A61,'NonXtal_SegEnds_Prot#'!A:AL,28,FALSE)</f>
        <v>46</v>
      </c>
      <c r="AG61" s="1">
        <f>VLOOKUP(A61,'NonXtal_SegEnds_Prot#'!A:AL,34,FALSE)-VLOOKUP(A61,'NonXtal_SegEnds_Prot#'!A:AL,31,FALSE)</f>
        <v>33</v>
      </c>
    </row>
    <row r="62" spans="1:33" x14ac:dyDescent="0.2">
      <c r="A62" s="1" t="s">
        <v>398</v>
      </c>
      <c r="B62" s="1" t="str">
        <f>VLOOKUP(A62,Xtal_Templ!A:B,2,FALSE)</f>
        <v>aa2ar_human</v>
      </c>
      <c r="C62" s="5">
        <f>VLOOKUP($B62&amp;"__wt",'Xtal_SegEnds_BW#'!$A:$Z,3,FALSE)</f>
        <v>28</v>
      </c>
      <c r="D62" s="1">
        <f>VLOOKUP($B62&amp;"__wt",'Xtal_SegEnds_BW#'!$A:$Z,4,FALSE)</f>
        <v>60</v>
      </c>
      <c r="E62" s="1">
        <f>VLOOKUP($B62&amp;"__wt",'Xtal_SegEnds_BW#'!$A:$Z,5,FALSE)</f>
        <v>48</v>
      </c>
      <c r="F62" s="1">
        <f>VLOOKUP($B62&amp;"__wt",'Xtal_SegEnds_BW#'!$A:$Z,6,FALSE)</f>
        <v>51</v>
      </c>
      <c r="G62" s="1">
        <v>37</v>
      </c>
      <c r="H62" s="1">
        <f>VLOOKUP($B62&amp;"__wt",'Xtal_SegEnds_BW#'!$A:$Z,8,FALSE)</f>
        <v>67</v>
      </c>
      <c r="I62" s="1">
        <v>49</v>
      </c>
      <c r="J62" s="1">
        <f>VLOOKUP($B62&amp;"__wt",'Xtal_SegEnds_BW#'!$A:$Z,10,FALSE)</f>
        <v>52</v>
      </c>
      <c r="K62" s="1">
        <v>18</v>
      </c>
      <c r="L62" s="1">
        <f>VLOOKUP($B62&amp;"__wt",'Xtal_SegEnds_BW#'!$A:$Z,12,FALSE)</f>
        <v>56</v>
      </c>
      <c r="M62" s="1">
        <f>VLOOKUP($B62&amp;"__wt",'Xtal_SegEnds_BW#'!$A:$Z,13,FALSE)</f>
        <v>50</v>
      </c>
      <c r="N62" s="1">
        <v>57</v>
      </c>
      <c r="O62" s="1">
        <v>39</v>
      </c>
      <c r="P62" s="1">
        <f>VLOOKUP($B62&amp;"__wt",'Xtal_SegEnds_BW#'!$A:$Z,16,FALSE)</f>
        <v>63</v>
      </c>
      <c r="Q62" s="1">
        <f>VLOOKUP($B62&amp;"__wt",'Xtal_SegEnds_BW#'!$A:$Z,17,FALSE)</f>
        <v>50</v>
      </c>
      <c r="R62" s="1">
        <f>VLOOKUP($B62&amp;"__wt",'Xtal_SegEnds_BW#'!$A:$Z,18,FALSE)</f>
        <v>52</v>
      </c>
      <c r="S62" s="1">
        <f>VLOOKUP($B62&amp;"__wt",'Xtal_SegEnds_BW#'!$A:$Z,19,FALSE)</f>
        <v>34</v>
      </c>
      <c r="T62" s="23">
        <f t="array" ref="T62">INDEX('ICL3'!$G$2:$G$31,MATCH(MIN(ABS(AF62-'ICL3'!$F$2:$F$31)),ABS(AF62-'ICL3'!$F$2:$F$31),0))</f>
        <v>67</v>
      </c>
      <c r="U62" s="1">
        <f t="array" ref="U62">INDEX('ICL3'!$H$2:$H$31,MATCH(MIN(ABS(AF62-'ICL3'!$F$2:$F$31)),ABS(AF62-'ICL3'!$F$2:$F$31),0))</f>
        <v>26</v>
      </c>
      <c r="V62" s="1">
        <v>61</v>
      </c>
      <c r="W62" s="1">
        <v>31</v>
      </c>
      <c r="X62" s="1">
        <f>VLOOKUP($B62&amp;"__wt",'Xtal_SegEnds_BW#'!$A:$Z,24,FALSE)</f>
        <v>56</v>
      </c>
      <c r="Y62" s="1">
        <f>VLOOKUP($B62&amp;"__wt",'Xtal_SegEnds_BW#'!$A:$Z,25,FALSE)</f>
        <v>47</v>
      </c>
      <c r="Z62" s="1">
        <f>VLOOKUP($B62&amp;"__wt",'Xtal_SegEnds_BW#'!$A:$Z,26,FALSE)</f>
        <v>69</v>
      </c>
      <c r="AA62" s="63" t="str">
        <f>VLOOKUP(A62,Classification!A:B,2,FALSE)</f>
        <v>A</v>
      </c>
      <c r="AB62" s="1">
        <f>VLOOKUP(A62,'NonXtal_SegEnds_Prot#'!A:AL,10,FALSE)-VLOOKUP(A62,'NonXtal_SegEnds_Prot#'!A:AL,7,FALSE)</f>
        <v>14</v>
      </c>
      <c r="AC62" s="1">
        <f>VLOOKUP(A62,'NonXtal_SegEnds_Prot#'!A:AL,13,FALSE)-VLOOKUP(A62,'NonXtal_SegEnds_Prot#'!A:AL,10,FALSE)</f>
        <v>28</v>
      </c>
      <c r="AD62" s="1">
        <f>VLOOKUP(A62,'NonXtal_SegEnds_Prot#'!A:AL,16,FALSE)-VLOOKUP(A62,'NonXtal_SegEnds_Prot#'!A:AL,10,FALSE)</f>
        <v>59</v>
      </c>
      <c r="AE62" s="1">
        <f>VLOOKUP(A62,'NonXtal_SegEnds_Prot#'!A:AL,28,FALSE)-VLOOKUP(A62,'NonXtal_SegEnds_Prot#'!A:AL,25,FALSE)</f>
        <v>24</v>
      </c>
      <c r="AF62" s="1">
        <f>VLOOKUP(A62,'NonXtal_SegEnds_Prot#'!A:AL,31,FALSE)-VLOOKUP(A62,'NonXtal_SegEnds_Prot#'!A:AL,28,FALSE)</f>
        <v>46</v>
      </c>
      <c r="AG62" s="1">
        <f>VLOOKUP(A62,'NonXtal_SegEnds_Prot#'!A:AL,34,FALSE)-VLOOKUP(A62,'NonXtal_SegEnds_Prot#'!A:AL,31,FALSE)</f>
        <v>36</v>
      </c>
    </row>
    <row r="63" spans="1:33" x14ac:dyDescent="0.2">
      <c r="A63" s="1" t="s">
        <v>408</v>
      </c>
      <c r="B63" s="1" t="str">
        <f>VLOOKUP(A63,Xtal_Templ!A:B,2,FALSE)</f>
        <v>p2ry1_human</v>
      </c>
      <c r="C63" s="5">
        <f>VLOOKUP($B63&amp;"__wt",'Xtal_SegEnds_BW#'!$A:$Z,3,FALSE)</f>
        <v>30</v>
      </c>
      <c r="D63" s="1">
        <f>VLOOKUP($B63&amp;"__wt",'Xtal_SegEnds_BW#'!$A:$Z,4,FALSE)</f>
        <v>60</v>
      </c>
      <c r="E63" s="1" t="str">
        <f>VLOOKUP($B63&amp;"__wt",'Xtal_SegEnds_BW#'!$A:$Z,5,FALSE)</f>
        <v>-</v>
      </c>
      <c r="F63" s="1" t="str">
        <f>VLOOKUP($B63&amp;"__wt",'Xtal_SegEnds_BW#'!$A:$Z,6,FALSE)</f>
        <v>-</v>
      </c>
      <c r="G63" s="1">
        <v>37</v>
      </c>
      <c r="H63" s="1">
        <f>VLOOKUP($B63&amp;"__wt",'Xtal_SegEnds_BW#'!$A:$Z,8,FALSE)</f>
        <v>66</v>
      </c>
      <c r="I63" s="1">
        <f>VLOOKUP($B63&amp;"__wt",'Xtal_SegEnds_BW#'!$A:$Z,9,FALSE)</f>
        <v>49</v>
      </c>
      <c r="J63" s="1">
        <f>VLOOKUP($B63&amp;"__wt",'Xtal_SegEnds_BW#'!$A:$Z,10,FALSE)</f>
        <v>52</v>
      </c>
      <c r="K63" s="1">
        <v>18</v>
      </c>
      <c r="L63" s="1">
        <f>VLOOKUP($B63&amp;"__wt",'Xtal_SegEnds_BW#'!$A:$Z,12,FALSE)</f>
        <v>56</v>
      </c>
      <c r="M63" s="1">
        <f>VLOOKUP($B63&amp;"__wt",'Xtal_SegEnds_BW#'!$A:$Z,13,FALSE)</f>
        <v>50</v>
      </c>
      <c r="N63" s="1">
        <f>VLOOKUP($B63&amp;"__wt",'Xtal_SegEnds_BW#'!$A:$Z,14,FALSE)</f>
        <v>57</v>
      </c>
      <c r="O63" s="1">
        <v>39</v>
      </c>
      <c r="P63" s="1">
        <f>VLOOKUP($B63&amp;"__wt",'Xtal_SegEnds_BW#'!$A:$Z,16,FALSE)</f>
        <v>64</v>
      </c>
      <c r="Q63" s="1">
        <f>VLOOKUP($B63&amp;"__wt",'Xtal_SegEnds_BW#'!$A:$Z,17,FALSE)</f>
        <v>50</v>
      </c>
      <c r="R63" s="1">
        <f>VLOOKUP($B63&amp;"__wt",'Xtal_SegEnds_BW#'!$A:$Z,18,FALSE)</f>
        <v>52</v>
      </c>
      <c r="S63" s="1">
        <f>VLOOKUP($B63&amp;"__wt",'Xtal_SegEnds_BW#'!$A:$Z,19,FALSE)</f>
        <v>32</v>
      </c>
      <c r="T63" s="23">
        <f t="array" ref="T63">INDEX('ICL3'!$G$2:$G$31,MATCH(MIN(ABS(AF63-'ICL3'!$F$2:$F$31)),ABS(AF63-'ICL3'!$F$2:$F$31),0))</f>
        <v>67</v>
      </c>
      <c r="U63" s="1">
        <f t="array" ref="U63">INDEX('ICL3'!$H$2:$H$31,MATCH(MIN(ABS(AF63-'ICL3'!$F$2:$F$31)),ABS(AF63-'ICL3'!$F$2:$F$31),0))</f>
        <v>26</v>
      </c>
      <c r="V63" s="1">
        <v>64</v>
      </c>
      <c r="W63" s="1">
        <v>24</v>
      </c>
      <c r="X63" s="1">
        <f>VLOOKUP($B63&amp;"__wt",'Xtal_SegEnds_BW#'!$A:$Z,24,FALSE)</f>
        <v>56</v>
      </c>
      <c r="Y63" s="1">
        <f>VLOOKUP($B63&amp;"__wt",'Xtal_SegEnds_BW#'!$A:$Z,25,FALSE)</f>
        <v>47</v>
      </c>
      <c r="Z63" s="1">
        <f>VLOOKUP($B63&amp;"__wt",'Xtal_SegEnds_BW#'!$A:$Z,26,FALSE)</f>
        <v>59</v>
      </c>
      <c r="AA63" s="63" t="str">
        <f>VLOOKUP(A63,Classification!A:B,2,FALSE)</f>
        <v>A</v>
      </c>
      <c r="AB63" s="1" t="e">
        <f>VLOOKUP(A63,'NonXtal_SegEnds_Prot#'!A:AL,10,FALSE)-VLOOKUP(A63,'NonXtal_SegEnds_Prot#'!A:AL,7,FALSE)</f>
        <v>#VALUE!</v>
      </c>
      <c r="AC63" s="1">
        <f>VLOOKUP(A63,'NonXtal_SegEnds_Prot#'!A:AL,13,FALSE)-VLOOKUP(A63,'NonXtal_SegEnds_Prot#'!A:AL,10,FALSE)</f>
        <v>20</v>
      </c>
      <c r="AD63" s="1">
        <f>VLOOKUP(A63,'NonXtal_SegEnds_Prot#'!A:AL,16,FALSE)-VLOOKUP(A63,'NonXtal_SegEnds_Prot#'!A:AL,10,FALSE)</f>
        <v>52</v>
      </c>
      <c r="AE63" s="1">
        <f>VLOOKUP(A63,'NonXtal_SegEnds_Prot#'!A:AL,28,FALSE)-VLOOKUP(A63,'NonXtal_SegEnds_Prot#'!A:AL,25,FALSE)</f>
        <v>25</v>
      </c>
      <c r="AF63" s="1">
        <f>VLOOKUP(A63,'NonXtal_SegEnds_Prot#'!A:AL,31,FALSE)-VLOOKUP(A63,'NonXtal_SegEnds_Prot#'!A:AL,28,FALSE)</f>
        <v>46</v>
      </c>
      <c r="AG63" s="1">
        <f>VLOOKUP(A63,'NonXtal_SegEnds_Prot#'!A:AL,34,FALSE)-VLOOKUP(A63,'NonXtal_SegEnds_Prot#'!A:AL,31,FALSE)</f>
        <v>48</v>
      </c>
    </row>
    <row r="64" spans="1:33" x14ac:dyDescent="0.2">
      <c r="A64" s="1" t="s">
        <v>434</v>
      </c>
      <c r="B64" s="1" t="str">
        <f>VLOOKUP(A64,Xtal_Templ!A:B,2,FALSE)</f>
        <v>p2ry1_human</v>
      </c>
      <c r="C64" s="5">
        <f>VLOOKUP($B64&amp;"__wt",'Xtal_SegEnds_BW#'!$A:$Z,3,FALSE)</f>
        <v>30</v>
      </c>
      <c r="D64" s="1">
        <f>VLOOKUP($B64&amp;"__wt",'Xtal_SegEnds_BW#'!$A:$Z,4,FALSE)</f>
        <v>60</v>
      </c>
      <c r="E64" s="1" t="str">
        <f>VLOOKUP($B64&amp;"__wt",'Xtal_SegEnds_BW#'!$A:$Z,5,FALSE)</f>
        <v>-</v>
      </c>
      <c r="F64" s="1" t="str">
        <f>VLOOKUP($B64&amp;"__wt",'Xtal_SegEnds_BW#'!$A:$Z,6,FALSE)</f>
        <v>-</v>
      </c>
      <c r="G64" s="1">
        <v>37</v>
      </c>
      <c r="H64" s="1">
        <f>VLOOKUP($B64&amp;"__wt",'Xtal_SegEnds_BW#'!$A:$Z,8,FALSE)</f>
        <v>66</v>
      </c>
      <c r="I64" s="1">
        <f>VLOOKUP($B64&amp;"__wt",'Xtal_SegEnds_BW#'!$A:$Z,9,FALSE)</f>
        <v>49</v>
      </c>
      <c r="J64" s="1">
        <f>VLOOKUP($B64&amp;"__wt",'Xtal_SegEnds_BW#'!$A:$Z,10,FALSE)</f>
        <v>52</v>
      </c>
      <c r="K64" s="1">
        <v>18</v>
      </c>
      <c r="L64" s="1">
        <f>VLOOKUP($B64&amp;"__wt",'Xtal_SegEnds_BW#'!$A:$Z,12,FALSE)</f>
        <v>56</v>
      </c>
      <c r="M64" s="1">
        <f>VLOOKUP($B64&amp;"__wt",'Xtal_SegEnds_BW#'!$A:$Z,13,FALSE)</f>
        <v>50</v>
      </c>
      <c r="N64" s="1">
        <v>57</v>
      </c>
      <c r="O64" s="1">
        <v>39</v>
      </c>
      <c r="P64" s="1">
        <f>VLOOKUP($B64&amp;"__wt",'Xtal_SegEnds_BW#'!$A:$Z,16,FALSE)</f>
        <v>64</v>
      </c>
      <c r="Q64" s="1">
        <f>VLOOKUP($B64&amp;"__wt",'Xtal_SegEnds_BW#'!$A:$Z,17,FALSE)</f>
        <v>50</v>
      </c>
      <c r="R64" s="1">
        <f>VLOOKUP($B64&amp;"__wt",'Xtal_SegEnds_BW#'!$A:$Z,18,FALSE)</f>
        <v>52</v>
      </c>
      <c r="S64" s="1">
        <f>VLOOKUP($B64&amp;"__wt",'Xtal_SegEnds_BW#'!$A:$Z,19,FALSE)</f>
        <v>32</v>
      </c>
      <c r="T64" s="23">
        <f t="array" ref="T64">INDEX('ICL3'!$G$2:$G$31,MATCH(MIN(ABS(AF64-'ICL3'!$F$2:$F$31)),ABS(AF64-'ICL3'!$F$2:$F$31),0))</f>
        <v>67</v>
      </c>
      <c r="U64" s="1">
        <f t="array" ref="U64">INDEX('ICL3'!$H$2:$H$31,MATCH(MIN(ABS(AF64-'ICL3'!$F$2:$F$31)),ABS(AF64-'ICL3'!$F$2:$F$31),0))</f>
        <v>26</v>
      </c>
      <c r="V64" s="1">
        <v>64</v>
      </c>
      <c r="W64" s="1">
        <v>24</v>
      </c>
      <c r="X64" s="1">
        <f>VLOOKUP($B64&amp;"__wt",'Xtal_SegEnds_BW#'!$A:$Z,24,FALSE)</f>
        <v>56</v>
      </c>
      <c r="Y64" s="1">
        <f>VLOOKUP($B64&amp;"__wt",'Xtal_SegEnds_BW#'!$A:$Z,25,FALSE)</f>
        <v>47</v>
      </c>
      <c r="Z64" s="1">
        <f>VLOOKUP($B64&amp;"__wt",'Xtal_SegEnds_BW#'!$A:$Z,26,FALSE)</f>
        <v>59</v>
      </c>
      <c r="AA64" s="63" t="str">
        <f>VLOOKUP(A64,Classification!A:B,2,FALSE)</f>
        <v>A</v>
      </c>
      <c r="AB64" s="1" t="e">
        <f>VLOOKUP(A64,'NonXtal_SegEnds_Prot#'!A:AL,10,FALSE)-VLOOKUP(A64,'NonXtal_SegEnds_Prot#'!A:AL,7,FALSE)</f>
        <v>#VALUE!</v>
      </c>
      <c r="AC64" s="1">
        <f>VLOOKUP(A64,'NonXtal_SegEnds_Prot#'!A:AL,13,FALSE)-VLOOKUP(A64,'NonXtal_SegEnds_Prot#'!A:AL,10,FALSE)</f>
        <v>20</v>
      </c>
      <c r="AD64" s="1">
        <f>VLOOKUP(A64,'NonXtal_SegEnds_Prot#'!A:AL,16,FALSE)-VLOOKUP(A64,'NonXtal_SegEnds_Prot#'!A:AL,10,FALSE)</f>
        <v>52</v>
      </c>
      <c r="AE64" s="1">
        <f>VLOOKUP(A64,'NonXtal_SegEnds_Prot#'!A:AL,28,FALSE)-VLOOKUP(A64,'NonXtal_SegEnds_Prot#'!A:AL,25,FALSE)</f>
        <v>23</v>
      </c>
      <c r="AF64" s="1">
        <f>VLOOKUP(A64,'NonXtal_SegEnds_Prot#'!A:AL,31,FALSE)-VLOOKUP(A64,'NonXtal_SegEnds_Prot#'!A:AL,28,FALSE)</f>
        <v>46</v>
      </c>
      <c r="AG64" s="1">
        <f>VLOOKUP(A64,'NonXtal_SegEnds_Prot#'!A:AL,34,FALSE)-VLOOKUP(A64,'NonXtal_SegEnds_Prot#'!A:AL,31,FALSE)</f>
        <v>44</v>
      </c>
    </row>
    <row r="65" spans="1:33" x14ac:dyDescent="0.2">
      <c r="A65" s="1" t="s">
        <v>451</v>
      </c>
      <c r="B65" s="1" t="str">
        <f>VLOOKUP(A65,Xtal_Templ!A:B,2,FALSE)</f>
        <v>p2ry1_human</v>
      </c>
      <c r="C65" s="5">
        <f>VLOOKUP($B65&amp;"__wt",'Xtal_SegEnds_BW#'!$A:$Z,3,FALSE)</f>
        <v>30</v>
      </c>
      <c r="D65" s="1">
        <f>VLOOKUP($B65&amp;"__wt",'Xtal_SegEnds_BW#'!$A:$Z,4,FALSE)</f>
        <v>60</v>
      </c>
      <c r="E65" s="1" t="str">
        <f>VLOOKUP($B65&amp;"__wt",'Xtal_SegEnds_BW#'!$A:$Z,5,FALSE)</f>
        <v>-</v>
      </c>
      <c r="F65" s="1" t="str">
        <f>VLOOKUP($B65&amp;"__wt",'Xtal_SegEnds_BW#'!$A:$Z,6,FALSE)</f>
        <v>-</v>
      </c>
      <c r="G65" s="1">
        <v>37</v>
      </c>
      <c r="H65" s="1">
        <f>VLOOKUP($B65&amp;"__wt",'Xtal_SegEnds_BW#'!$A:$Z,8,FALSE)</f>
        <v>66</v>
      </c>
      <c r="I65" s="1">
        <f>VLOOKUP($B65&amp;"__wt",'Xtal_SegEnds_BW#'!$A:$Z,9,FALSE)</f>
        <v>49</v>
      </c>
      <c r="J65" s="1">
        <f>VLOOKUP($B65&amp;"__wt",'Xtal_SegEnds_BW#'!$A:$Z,10,FALSE)</f>
        <v>52</v>
      </c>
      <c r="K65" s="1">
        <v>18</v>
      </c>
      <c r="L65" s="1">
        <f>VLOOKUP($B65&amp;"__wt",'Xtal_SegEnds_BW#'!$A:$Z,12,FALSE)</f>
        <v>56</v>
      </c>
      <c r="M65" s="1">
        <f>VLOOKUP($B65&amp;"__wt",'Xtal_SegEnds_BW#'!$A:$Z,13,FALSE)</f>
        <v>50</v>
      </c>
      <c r="N65" s="1">
        <v>57</v>
      </c>
      <c r="O65" s="1">
        <v>39</v>
      </c>
      <c r="P65" s="1">
        <f>VLOOKUP($B65&amp;"__wt",'Xtal_SegEnds_BW#'!$A:$Z,16,FALSE)</f>
        <v>64</v>
      </c>
      <c r="Q65" s="1">
        <f>VLOOKUP($B65&amp;"__wt",'Xtal_SegEnds_BW#'!$A:$Z,17,FALSE)</f>
        <v>50</v>
      </c>
      <c r="R65" s="1">
        <f>VLOOKUP($B65&amp;"__wt",'Xtal_SegEnds_BW#'!$A:$Z,18,FALSE)</f>
        <v>52</v>
      </c>
      <c r="S65" s="1">
        <f>VLOOKUP($B65&amp;"__wt",'Xtal_SegEnds_BW#'!$A:$Z,19,FALSE)</f>
        <v>32</v>
      </c>
      <c r="T65" s="23">
        <f t="array" ref="T65">INDEX('ICL3'!$G$2:$G$31,MATCH(MIN(ABS(AF65-'ICL3'!$F$2:$F$31)),ABS(AF65-'ICL3'!$F$2:$F$31),0))</f>
        <v>67</v>
      </c>
      <c r="U65" s="1">
        <f t="array" ref="U65">INDEX('ICL3'!$H$2:$H$31,MATCH(MIN(ABS(AF65-'ICL3'!$F$2:$F$31)),ABS(AF65-'ICL3'!$F$2:$F$31),0))</f>
        <v>26</v>
      </c>
      <c r="V65" s="1">
        <v>64</v>
      </c>
      <c r="W65" s="1">
        <v>24</v>
      </c>
      <c r="X65" s="1">
        <f>VLOOKUP($B65&amp;"__wt",'Xtal_SegEnds_BW#'!$A:$Z,24,FALSE)</f>
        <v>56</v>
      </c>
      <c r="Y65" s="1">
        <f>VLOOKUP($B65&amp;"__wt",'Xtal_SegEnds_BW#'!$A:$Z,25,FALSE)</f>
        <v>47</v>
      </c>
      <c r="Z65" s="1">
        <f>VLOOKUP($B65&amp;"__wt",'Xtal_SegEnds_BW#'!$A:$Z,26,FALSE)</f>
        <v>59</v>
      </c>
      <c r="AA65" s="63" t="str">
        <f>VLOOKUP(A65,Classification!A:B,2,FALSE)</f>
        <v>A</v>
      </c>
      <c r="AB65" s="1" t="e">
        <f>VLOOKUP(A65,'NonXtal_SegEnds_Prot#'!A:AL,10,FALSE)-VLOOKUP(A65,'NonXtal_SegEnds_Prot#'!A:AL,7,FALSE)</f>
        <v>#VALUE!</v>
      </c>
      <c r="AC65" s="1">
        <f>VLOOKUP(A65,'NonXtal_SegEnds_Prot#'!A:AL,13,FALSE)-VLOOKUP(A65,'NonXtal_SegEnds_Prot#'!A:AL,10,FALSE)</f>
        <v>20</v>
      </c>
      <c r="AD65" s="1">
        <f>VLOOKUP(A65,'NonXtal_SegEnds_Prot#'!A:AL,16,FALSE)-VLOOKUP(A65,'NonXtal_SegEnds_Prot#'!A:AL,10,FALSE)</f>
        <v>52</v>
      </c>
      <c r="AE65" s="1">
        <f>VLOOKUP(A65,'NonXtal_SegEnds_Prot#'!A:AL,28,FALSE)-VLOOKUP(A65,'NonXtal_SegEnds_Prot#'!A:AL,25,FALSE)</f>
        <v>25</v>
      </c>
      <c r="AF65" s="1">
        <f>VLOOKUP(A65,'NonXtal_SegEnds_Prot#'!A:AL,31,FALSE)-VLOOKUP(A65,'NonXtal_SegEnds_Prot#'!A:AL,28,FALSE)</f>
        <v>46</v>
      </c>
      <c r="AG65" s="1">
        <f>VLOOKUP(A65,'NonXtal_SegEnds_Prot#'!A:AL,34,FALSE)-VLOOKUP(A65,'NonXtal_SegEnds_Prot#'!A:AL,31,FALSE)</f>
        <v>44</v>
      </c>
    </row>
    <row r="66" spans="1:33" x14ac:dyDescent="0.2">
      <c r="A66" s="1" t="s">
        <v>470</v>
      </c>
      <c r="B66" s="1" t="str">
        <f>VLOOKUP(A66,Xtal_Templ!A:B,2,FALSE)</f>
        <v>p2ry1_human</v>
      </c>
      <c r="C66" s="5">
        <f>VLOOKUP($B66&amp;"__wt",'Xtal_SegEnds_BW#'!$A:$Z,3,FALSE)</f>
        <v>30</v>
      </c>
      <c r="D66" s="1">
        <f>VLOOKUP($B66&amp;"__wt",'Xtal_SegEnds_BW#'!$A:$Z,4,FALSE)</f>
        <v>60</v>
      </c>
      <c r="E66" s="1" t="str">
        <f>VLOOKUP($B66&amp;"__wt",'Xtal_SegEnds_BW#'!$A:$Z,5,FALSE)</f>
        <v>-</v>
      </c>
      <c r="F66" s="1" t="str">
        <f>VLOOKUP($B66&amp;"__wt",'Xtal_SegEnds_BW#'!$A:$Z,6,FALSE)</f>
        <v>-</v>
      </c>
      <c r="G66" s="1">
        <v>37</v>
      </c>
      <c r="H66" s="1">
        <f>VLOOKUP($B66&amp;"__wt",'Xtal_SegEnds_BW#'!$A:$Z,8,FALSE)</f>
        <v>66</v>
      </c>
      <c r="I66" s="1">
        <f>VLOOKUP($B66&amp;"__wt",'Xtal_SegEnds_BW#'!$A:$Z,9,FALSE)</f>
        <v>49</v>
      </c>
      <c r="J66" s="1">
        <f>VLOOKUP($B66&amp;"__wt",'Xtal_SegEnds_BW#'!$A:$Z,10,FALSE)</f>
        <v>52</v>
      </c>
      <c r="K66" s="1">
        <v>18</v>
      </c>
      <c r="L66" s="1">
        <f>VLOOKUP($B66&amp;"__wt",'Xtal_SegEnds_BW#'!$A:$Z,12,FALSE)</f>
        <v>56</v>
      </c>
      <c r="M66" s="1">
        <f>VLOOKUP($B66&amp;"__wt",'Xtal_SegEnds_BW#'!$A:$Z,13,FALSE)</f>
        <v>50</v>
      </c>
      <c r="N66" s="1">
        <v>57</v>
      </c>
      <c r="O66" s="1">
        <v>39</v>
      </c>
      <c r="P66" s="1">
        <f>VLOOKUP($B66&amp;"__wt",'Xtal_SegEnds_BW#'!$A:$Z,16,FALSE)</f>
        <v>64</v>
      </c>
      <c r="Q66" s="1">
        <f>VLOOKUP($B66&amp;"__wt",'Xtal_SegEnds_BW#'!$A:$Z,17,FALSE)</f>
        <v>50</v>
      </c>
      <c r="R66" s="1">
        <f>VLOOKUP($B66&amp;"__wt",'Xtal_SegEnds_BW#'!$A:$Z,18,FALSE)</f>
        <v>52</v>
      </c>
      <c r="S66" s="1">
        <f>VLOOKUP($B66&amp;"__wt",'Xtal_SegEnds_BW#'!$A:$Z,19,FALSE)</f>
        <v>32</v>
      </c>
      <c r="T66" s="23">
        <f t="array" ref="T66">INDEX('ICL3'!$G$2:$G$31,MATCH(MIN(ABS(AF66-'ICL3'!$F$2:$F$31)),ABS(AF66-'ICL3'!$F$2:$F$31),0))</f>
        <v>67</v>
      </c>
      <c r="U66" s="1">
        <f t="array" ref="U66">INDEX('ICL3'!$H$2:$H$31,MATCH(MIN(ABS(AF66-'ICL3'!$F$2:$F$31)),ABS(AF66-'ICL3'!$F$2:$F$31),0))</f>
        <v>26</v>
      </c>
      <c r="V66" s="1">
        <v>64</v>
      </c>
      <c r="W66" s="1">
        <v>24</v>
      </c>
      <c r="X66" s="1">
        <f>VLOOKUP($B66&amp;"__wt",'Xtal_SegEnds_BW#'!$A:$Z,24,FALSE)</f>
        <v>56</v>
      </c>
      <c r="Y66" s="1">
        <f>VLOOKUP($B66&amp;"__wt",'Xtal_SegEnds_BW#'!$A:$Z,25,FALSE)</f>
        <v>47</v>
      </c>
      <c r="Z66" s="1">
        <f>VLOOKUP($B66&amp;"__wt",'Xtal_SegEnds_BW#'!$A:$Z,26,FALSE)</f>
        <v>59</v>
      </c>
      <c r="AA66" s="63" t="str">
        <f>VLOOKUP(A66,Classification!A:B,2,FALSE)</f>
        <v>A</v>
      </c>
      <c r="AB66" s="1" t="e">
        <f>VLOOKUP(A66,'NonXtal_SegEnds_Prot#'!A:AL,10,FALSE)-VLOOKUP(A66,'NonXtal_SegEnds_Prot#'!A:AL,7,FALSE)</f>
        <v>#VALUE!</v>
      </c>
      <c r="AC66" s="1">
        <f>VLOOKUP(A66,'NonXtal_SegEnds_Prot#'!A:AL,13,FALSE)-VLOOKUP(A66,'NonXtal_SegEnds_Prot#'!A:AL,10,FALSE)</f>
        <v>20</v>
      </c>
      <c r="AD66" s="1">
        <f>VLOOKUP(A66,'NonXtal_SegEnds_Prot#'!A:AL,16,FALSE)-VLOOKUP(A66,'NonXtal_SegEnds_Prot#'!A:AL,10,FALSE)</f>
        <v>52</v>
      </c>
      <c r="AE66" s="1">
        <f>VLOOKUP(A66,'NonXtal_SegEnds_Prot#'!A:AL,28,FALSE)-VLOOKUP(A66,'NonXtal_SegEnds_Prot#'!A:AL,25,FALSE)</f>
        <v>23</v>
      </c>
      <c r="AF66" s="1">
        <f>VLOOKUP(A66,'NonXtal_SegEnds_Prot#'!A:AL,31,FALSE)-VLOOKUP(A66,'NonXtal_SegEnds_Prot#'!A:AL,28,FALSE)</f>
        <v>46</v>
      </c>
      <c r="AG66" s="1">
        <f>VLOOKUP(A66,'NonXtal_SegEnds_Prot#'!A:AL,34,FALSE)-VLOOKUP(A66,'NonXtal_SegEnds_Prot#'!A:AL,31,FALSE)</f>
        <v>45</v>
      </c>
    </row>
    <row r="67" spans="1:33" x14ac:dyDescent="0.2">
      <c r="A67" s="1" t="s">
        <v>471</v>
      </c>
      <c r="B67" s="1" t="str">
        <f>VLOOKUP(A67,Xtal_Templ!A:B,2,FALSE)</f>
        <v>p2ry1_human</v>
      </c>
      <c r="C67" s="5">
        <f>VLOOKUP($B67&amp;"__wt",'Xtal_SegEnds_BW#'!$A:$Z,3,FALSE)</f>
        <v>30</v>
      </c>
      <c r="D67" s="1">
        <f>VLOOKUP($B67&amp;"__wt",'Xtal_SegEnds_BW#'!$A:$Z,4,FALSE)</f>
        <v>60</v>
      </c>
      <c r="E67" s="1" t="str">
        <f>VLOOKUP($B67&amp;"__wt",'Xtal_SegEnds_BW#'!$A:$Z,5,FALSE)</f>
        <v>-</v>
      </c>
      <c r="F67" s="1" t="str">
        <f>VLOOKUP($B67&amp;"__wt",'Xtal_SegEnds_BW#'!$A:$Z,6,FALSE)</f>
        <v>-</v>
      </c>
      <c r="G67" s="1">
        <v>37</v>
      </c>
      <c r="H67" s="1">
        <f>VLOOKUP($B67&amp;"__wt",'Xtal_SegEnds_BW#'!$A:$Z,8,FALSE)</f>
        <v>66</v>
      </c>
      <c r="I67" s="1">
        <f>VLOOKUP($B67&amp;"__wt",'Xtal_SegEnds_BW#'!$A:$Z,9,FALSE)</f>
        <v>49</v>
      </c>
      <c r="J67" s="1">
        <f>VLOOKUP($B67&amp;"__wt",'Xtal_SegEnds_BW#'!$A:$Z,10,FALSE)</f>
        <v>52</v>
      </c>
      <c r="K67" s="1">
        <v>18</v>
      </c>
      <c r="L67" s="1">
        <f>VLOOKUP($B67&amp;"__wt",'Xtal_SegEnds_BW#'!$A:$Z,12,FALSE)</f>
        <v>56</v>
      </c>
      <c r="M67" s="1">
        <f>VLOOKUP($B67&amp;"__wt",'Xtal_SegEnds_BW#'!$A:$Z,13,FALSE)</f>
        <v>50</v>
      </c>
      <c r="N67" s="1">
        <v>57</v>
      </c>
      <c r="O67" s="1">
        <v>39</v>
      </c>
      <c r="P67" s="1">
        <f>VLOOKUP($B67&amp;"__wt",'Xtal_SegEnds_BW#'!$A:$Z,16,FALSE)</f>
        <v>64</v>
      </c>
      <c r="Q67" s="1">
        <f>VLOOKUP($B67&amp;"__wt",'Xtal_SegEnds_BW#'!$A:$Z,17,FALSE)</f>
        <v>50</v>
      </c>
      <c r="R67" s="1">
        <f>VLOOKUP($B67&amp;"__wt",'Xtal_SegEnds_BW#'!$A:$Z,18,FALSE)</f>
        <v>52</v>
      </c>
      <c r="S67" s="1">
        <f>VLOOKUP($B67&amp;"__wt",'Xtal_SegEnds_BW#'!$A:$Z,19,FALSE)</f>
        <v>32</v>
      </c>
      <c r="T67" s="23">
        <f t="array" ref="T67">INDEX('ICL3'!$G$2:$G$31,MATCH(MIN(ABS(AF67-'ICL3'!$F$2:$F$31)),ABS(AF67-'ICL3'!$F$2:$F$31),0))</f>
        <v>67</v>
      </c>
      <c r="U67" s="1">
        <f t="array" ref="U67">INDEX('ICL3'!$H$2:$H$31,MATCH(MIN(ABS(AF67-'ICL3'!$F$2:$F$31)),ABS(AF67-'ICL3'!$F$2:$F$31),0))</f>
        <v>26</v>
      </c>
      <c r="V67" s="1">
        <v>64</v>
      </c>
      <c r="W67" s="1">
        <v>24</v>
      </c>
      <c r="X67" s="1">
        <f>VLOOKUP($B67&amp;"__wt",'Xtal_SegEnds_BW#'!$A:$Z,24,FALSE)</f>
        <v>56</v>
      </c>
      <c r="Y67" s="1">
        <f>VLOOKUP($B67&amp;"__wt",'Xtal_SegEnds_BW#'!$A:$Z,25,FALSE)</f>
        <v>47</v>
      </c>
      <c r="Z67" s="1">
        <f>VLOOKUP($B67&amp;"__wt",'Xtal_SegEnds_BW#'!$A:$Z,26,FALSE)</f>
        <v>59</v>
      </c>
      <c r="AA67" s="63" t="str">
        <f>VLOOKUP(A67,Classification!A:B,2,FALSE)</f>
        <v>A</v>
      </c>
      <c r="AB67" s="1" t="e">
        <f>VLOOKUP(A67,'NonXtal_SegEnds_Prot#'!A:AL,10,FALSE)-VLOOKUP(A67,'NonXtal_SegEnds_Prot#'!A:AL,7,FALSE)</f>
        <v>#VALUE!</v>
      </c>
      <c r="AC67" s="1">
        <f>VLOOKUP(A67,'NonXtal_SegEnds_Prot#'!A:AL,13,FALSE)-VLOOKUP(A67,'NonXtal_SegEnds_Prot#'!A:AL,10,FALSE)</f>
        <v>20</v>
      </c>
      <c r="AD67" s="1">
        <f>VLOOKUP(A67,'NonXtal_SegEnds_Prot#'!A:AL,16,FALSE)-VLOOKUP(A67,'NonXtal_SegEnds_Prot#'!A:AL,10,FALSE)</f>
        <v>52</v>
      </c>
      <c r="AE67" s="1">
        <f>VLOOKUP(A67,'NonXtal_SegEnds_Prot#'!A:AL,28,FALSE)-VLOOKUP(A67,'NonXtal_SegEnds_Prot#'!A:AL,25,FALSE)</f>
        <v>23</v>
      </c>
      <c r="AF67" s="1">
        <f>VLOOKUP(A67,'NonXtal_SegEnds_Prot#'!A:AL,31,FALSE)-VLOOKUP(A67,'NonXtal_SegEnds_Prot#'!A:AL,28,FALSE)</f>
        <v>46</v>
      </c>
      <c r="AG67" s="1">
        <f>VLOOKUP(A67,'NonXtal_SegEnds_Prot#'!A:AL,34,FALSE)-VLOOKUP(A67,'NonXtal_SegEnds_Prot#'!A:AL,31,FALSE)</f>
        <v>45</v>
      </c>
    </row>
    <row r="68" spans="1:33" x14ac:dyDescent="0.2">
      <c r="A68" s="1" t="s">
        <v>483</v>
      </c>
      <c r="B68" s="1" t="str">
        <f>VLOOKUP(A68,Xtal_Templ!A:B,2,FALSE)</f>
        <v>p2ry1_human</v>
      </c>
      <c r="C68" s="5">
        <f>VLOOKUP($B68&amp;"__wt",'Xtal_SegEnds_BW#'!$A:$Z,3,FALSE)</f>
        <v>30</v>
      </c>
      <c r="D68" s="1">
        <f>VLOOKUP($B68&amp;"__wt",'Xtal_SegEnds_BW#'!$A:$Z,4,FALSE)</f>
        <v>60</v>
      </c>
      <c r="E68" s="1" t="str">
        <f>VLOOKUP($B68&amp;"__wt",'Xtal_SegEnds_BW#'!$A:$Z,5,FALSE)</f>
        <v>-</v>
      </c>
      <c r="F68" s="1" t="str">
        <f>VLOOKUP($B68&amp;"__wt",'Xtal_SegEnds_BW#'!$A:$Z,6,FALSE)</f>
        <v>-</v>
      </c>
      <c r="G68" s="1">
        <v>37</v>
      </c>
      <c r="H68" s="1">
        <v>66</v>
      </c>
      <c r="I68" s="1">
        <f>VLOOKUP($B68&amp;"__wt",'Xtal_SegEnds_BW#'!$A:$Z,9,FALSE)</f>
        <v>49</v>
      </c>
      <c r="J68" s="1">
        <f>VLOOKUP($B68&amp;"__wt",'Xtal_SegEnds_BW#'!$A:$Z,10,FALSE)</f>
        <v>52</v>
      </c>
      <c r="K68" s="1">
        <v>18</v>
      </c>
      <c r="L68" s="1">
        <f>VLOOKUP($B68&amp;"__wt",'Xtal_SegEnds_BW#'!$A:$Z,12,FALSE)</f>
        <v>56</v>
      </c>
      <c r="M68" s="1">
        <f>VLOOKUP($B68&amp;"__wt",'Xtal_SegEnds_BW#'!$A:$Z,13,FALSE)</f>
        <v>50</v>
      </c>
      <c r="N68" s="1">
        <v>57</v>
      </c>
      <c r="O68" s="1">
        <v>39</v>
      </c>
      <c r="P68" s="1">
        <f>VLOOKUP($B68&amp;"__wt",'Xtal_SegEnds_BW#'!$A:$Z,16,FALSE)</f>
        <v>64</v>
      </c>
      <c r="Q68" s="1">
        <f>VLOOKUP($B68&amp;"__wt",'Xtal_SegEnds_BW#'!$A:$Z,17,FALSE)</f>
        <v>50</v>
      </c>
      <c r="R68" s="1">
        <f>VLOOKUP($B68&amp;"__wt",'Xtal_SegEnds_BW#'!$A:$Z,18,FALSE)</f>
        <v>52</v>
      </c>
      <c r="S68" s="1">
        <f>VLOOKUP($B68&amp;"__wt",'Xtal_SegEnds_BW#'!$A:$Z,19,FALSE)</f>
        <v>32</v>
      </c>
      <c r="T68" s="23">
        <f t="array" ref="T68">INDEX('ICL3'!$G$2:$G$31,MATCH(MIN(ABS(AF68-'ICL3'!$F$2:$F$31)),ABS(AF68-'ICL3'!$F$2:$F$31),0))</f>
        <v>67</v>
      </c>
      <c r="U68" s="1">
        <f t="array" ref="U68">INDEX('ICL3'!$H$2:$H$31,MATCH(MIN(ABS(AF68-'ICL3'!$F$2:$F$31)),ABS(AF68-'ICL3'!$F$2:$F$31),0))</f>
        <v>26</v>
      </c>
      <c r="V68" s="1">
        <v>64</v>
      </c>
      <c r="W68" s="1">
        <v>24</v>
      </c>
      <c r="X68" s="1">
        <f>VLOOKUP($B68&amp;"__wt",'Xtal_SegEnds_BW#'!$A:$Z,24,FALSE)</f>
        <v>56</v>
      </c>
      <c r="Y68" s="1">
        <f>VLOOKUP($B68&amp;"__wt",'Xtal_SegEnds_BW#'!$A:$Z,25,FALSE)</f>
        <v>47</v>
      </c>
      <c r="Z68" s="1">
        <f>VLOOKUP($B68&amp;"__wt",'Xtal_SegEnds_BW#'!$A:$Z,26,FALSE)</f>
        <v>59</v>
      </c>
      <c r="AA68" s="63" t="str">
        <f>VLOOKUP(A68,Classification!A:B,2,FALSE)</f>
        <v>A</v>
      </c>
      <c r="AB68" s="1">
        <f>VLOOKUP(A68,'NonXtal_SegEnds_Prot#'!A:AL,10,FALSE)-VLOOKUP(A68,'NonXtal_SegEnds_Prot#'!A:AL,7,FALSE)</f>
        <v>15</v>
      </c>
      <c r="AC68" s="1">
        <f>VLOOKUP(A68,'NonXtal_SegEnds_Prot#'!A:AL,13,FALSE)-VLOOKUP(A68,'NonXtal_SegEnds_Prot#'!A:AL,10,FALSE)</f>
        <v>19</v>
      </c>
      <c r="AD68" s="1">
        <f>VLOOKUP(A68,'NonXtal_SegEnds_Prot#'!A:AL,16,FALSE)-VLOOKUP(A68,'NonXtal_SegEnds_Prot#'!A:AL,10,FALSE)</f>
        <v>51</v>
      </c>
      <c r="AE68" s="1">
        <f>VLOOKUP(A68,'NonXtal_SegEnds_Prot#'!A:AL,28,FALSE)-VLOOKUP(A68,'NonXtal_SegEnds_Prot#'!A:AL,25,FALSE)</f>
        <v>28</v>
      </c>
      <c r="AF68" s="1">
        <f>VLOOKUP(A68,'NonXtal_SegEnds_Prot#'!A:AL,31,FALSE)-VLOOKUP(A68,'NonXtal_SegEnds_Prot#'!A:AL,28,FALSE)</f>
        <v>46</v>
      </c>
      <c r="AG68" s="1">
        <f>VLOOKUP(A68,'NonXtal_SegEnds_Prot#'!A:AL,34,FALSE)-VLOOKUP(A68,'NonXtal_SegEnds_Prot#'!A:AL,31,FALSE)</f>
        <v>45</v>
      </c>
    </row>
    <row r="69" spans="1:33" x14ac:dyDescent="0.2">
      <c r="A69" s="1" t="s">
        <v>485</v>
      </c>
      <c r="B69" s="1" t="str">
        <f>VLOOKUP(A69,Xtal_Templ!A:B,2,FALSE)</f>
        <v>aa2ar_human</v>
      </c>
      <c r="C69" s="5">
        <f>VLOOKUP($B69&amp;"__wt",'Xtal_SegEnds_BW#'!$A:$Z,3,FALSE)</f>
        <v>28</v>
      </c>
      <c r="D69" s="1">
        <f>VLOOKUP($B69&amp;"__wt",'Xtal_SegEnds_BW#'!$A:$Z,4,FALSE)</f>
        <v>60</v>
      </c>
      <c r="E69" s="1">
        <f>VLOOKUP($B69&amp;"__wt",'Xtal_SegEnds_BW#'!$A:$Z,5,FALSE)</f>
        <v>48</v>
      </c>
      <c r="F69" s="1">
        <f>VLOOKUP($B69&amp;"__wt",'Xtal_SegEnds_BW#'!$A:$Z,6,FALSE)</f>
        <v>51</v>
      </c>
      <c r="G69" s="1">
        <v>37</v>
      </c>
      <c r="H69" s="1">
        <f>VLOOKUP($B69&amp;"__wt",'Xtal_SegEnds_BW#'!$A:$Z,8,FALSE)</f>
        <v>67</v>
      </c>
      <c r="I69" s="1">
        <v>49</v>
      </c>
      <c r="J69" s="1">
        <f>VLOOKUP($B69&amp;"__wt",'Xtal_SegEnds_BW#'!$A:$Z,10,FALSE)</f>
        <v>52</v>
      </c>
      <c r="K69" s="1">
        <v>18</v>
      </c>
      <c r="L69" s="1">
        <f>VLOOKUP($B69&amp;"__wt",'Xtal_SegEnds_BW#'!$A:$Z,12,FALSE)</f>
        <v>56</v>
      </c>
      <c r="M69" s="1">
        <f>VLOOKUP($B69&amp;"__wt",'Xtal_SegEnds_BW#'!$A:$Z,13,FALSE)</f>
        <v>50</v>
      </c>
      <c r="N69" s="1">
        <v>57</v>
      </c>
      <c r="O69" s="1">
        <v>39</v>
      </c>
      <c r="P69" s="1">
        <f>VLOOKUP($B69&amp;"__wt",'Xtal_SegEnds_BW#'!$A:$Z,16,FALSE)</f>
        <v>63</v>
      </c>
      <c r="Q69" s="1">
        <f>VLOOKUP($B69&amp;"__wt",'Xtal_SegEnds_BW#'!$A:$Z,17,FALSE)</f>
        <v>50</v>
      </c>
      <c r="R69" s="1">
        <f>VLOOKUP($B69&amp;"__wt",'Xtal_SegEnds_BW#'!$A:$Z,18,FALSE)</f>
        <v>52</v>
      </c>
      <c r="S69" s="1">
        <f>VLOOKUP($B69&amp;"__wt",'Xtal_SegEnds_BW#'!$A:$Z,19,FALSE)</f>
        <v>34</v>
      </c>
      <c r="T69" s="23">
        <f t="array" ref="T69">INDEX('ICL3'!$G$2:$G$31,MATCH(MIN(ABS(AF69-'ICL3'!$F$2:$F$31)),ABS(AF69-'ICL3'!$F$2:$F$31),0))</f>
        <v>67</v>
      </c>
      <c r="U69" s="1">
        <f t="array" ref="U69">INDEX('ICL3'!$H$2:$H$31,MATCH(MIN(ABS(AF69-'ICL3'!$F$2:$F$31)),ABS(AF69-'ICL3'!$F$2:$F$31),0))</f>
        <v>26</v>
      </c>
      <c r="V69" s="1">
        <v>61</v>
      </c>
      <c r="W69" s="1">
        <v>31</v>
      </c>
      <c r="X69" s="1">
        <f>VLOOKUP($B69&amp;"__wt",'Xtal_SegEnds_BW#'!$A:$Z,24,FALSE)</f>
        <v>56</v>
      </c>
      <c r="Y69" s="1">
        <f>VLOOKUP($B69&amp;"__wt",'Xtal_SegEnds_BW#'!$A:$Z,25,FALSE)</f>
        <v>47</v>
      </c>
      <c r="Z69" s="1">
        <f>VLOOKUP($B69&amp;"__wt",'Xtal_SegEnds_BW#'!$A:$Z,26,FALSE)</f>
        <v>69</v>
      </c>
      <c r="AA69" s="63" t="str">
        <f>VLOOKUP(A69,Classification!A:B,2,FALSE)</f>
        <v>A</v>
      </c>
      <c r="AB69" s="1">
        <f>VLOOKUP(A69,'NonXtal_SegEnds_Prot#'!A:AL,10,FALSE)-VLOOKUP(A69,'NonXtal_SegEnds_Prot#'!A:AL,7,FALSE)</f>
        <v>14</v>
      </c>
      <c r="AC69" s="1">
        <f>VLOOKUP(A69,'NonXtal_SegEnds_Prot#'!A:AL,13,FALSE)-VLOOKUP(A69,'NonXtal_SegEnds_Prot#'!A:AL,10,FALSE)</f>
        <v>28</v>
      </c>
      <c r="AD69" s="1">
        <f>VLOOKUP(A69,'NonXtal_SegEnds_Prot#'!A:AL,16,FALSE)-VLOOKUP(A69,'NonXtal_SegEnds_Prot#'!A:AL,10,FALSE)</f>
        <v>59</v>
      </c>
      <c r="AE69" s="1">
        <f>VLOOKUP(A69,'NonXtal_SegEnds_Prot#'!A:AL,28,FALSE)-VLOOKUP(A69,'NonXtal_SegEnds_Prot#'!A:AL,25,FALSE)</f>
        <v>24</v>
      </c>
      <c r="AF69" s="1">
        <f>VLOOKUP(A69,'NonXtal_SegEnds_Prot#'!A:AL,31,FALSE)-VLOOKUP(A69,'NonXtal_SegEnds_Prot#'!A:AL,28,FALSE)</f>
        <v>46</v>
      </c>
      <c r="AG69" s="1">
        <f>VLOOKUP(A69,'NonXtal_SegEnds_Prot#'!A:AL,34,FALSE)-VLOOKUP(A69,'NonXtal_SegEnds_Prot#'!A:AL,31,FALSE)</f>
        <v>36</v>
      </c>
    </row>
    <row r="70" spans="1:33" x14ac:dyDescent="0.2">
      <c r="A70" s="1" t="s">
        <v>487</v>
      </c>
      <c r="B70" s="1" t="str">
        <f>VLOOKUP(A70,Xtal_Templ!A:B,2,FALSE)</f>
        <v>cxcr4_human</v>
      </c>
      <c r="C70" s="5">
        <f>VLOOKUP($B70&amp;"__wt",'Xtal_SegEnds_BW#'!$A:$Z,3,FALSE)</f>
        <v>24</v>
      </c>
      <c r="D70" s="1">
        <f>VLOOKUP($B70&amp;"__wt",'Xtal_SegEnds_BW#'!$A:$Z,4,FALSE)</f>
        <v>60</v>
      </c>
      <c r="E70" s="1">
        <f>VLOOKUP($B70&amp;"__wt",'Xtal_SegEnds_BW#'!$A:$Z,5,FALSE)</f>
        <v>48</v>
      </c>
      <c r="F70" s="1">
        <f>VLOOKUP($B70&amp;"__wt",'Xtal_SegEnds_BW#'!$A:$Z,6,FALSE)</f>
        <v>51</v>
      </c>
      <c r="G70" s="1">
        <v>37</v>
      </c>
      <c r="H70" s="1">
        <v>66</v>
      </c>
      <c r="I70" s="1">
        <f>VLOOKUP($B70&amp;"__wt",'Xtal_SegEnds_BW#'!$A:$Z,9,FALSE)</f>
        <v>49</v>
      </c>
      <c r="J70" s="1">
        <f>VLOOKUP($B70&amp;"__wt",'Xtal_SegEnds_BW#'!$A:$Z,10,FALSE)</f>
        <v>52</v>
      </c>
      <c r="K70" s="1">
        <v>18</v>
      </c>
      <c r="L70" s="1">
        <f>VLOOKUP($B70&amp;"__wt",'Xtal_SegEnds_BW#'!$A:$Z,12,FALSE)</f>
        <v>56</v>
      </c>
      <c r="M70" s="1">
        <f>VLOOKUP($B70&amp;"__wt",'Xtal_SegEnds_BW#'!$A:$Z,13,FALSE)</f>
        <v>50</v>
      </c>
      <c r="N70" s="1">
        <v>57</v>
      </c>
      <c r="O70" s="1">
        <v>39</v>
      </c>
      <c r="P70" s="1">
        <f>VLOOKUP($B70&amp;"__wt",'Xtal_SegEnds_BW#'!$A:$Z,16,FALSE)</f>
        <v>64</v>
      </c>
      <c r="Q70" s="1">
        <f>VLOOKUP($B70&amp;"__wt",'Xtal_SegEnds_BW#'!$A:$Z,17,FALSE)</f>
        <v>50</v>
      </c>
      <c r="R70" s="1">
        <f>VLOOKUP($B70&amp;"__wt",'Xtal_SegEnds_BW#'!$A:$Z,18,FALSE)</f>
        <v>52</v>
      </c>
      <c r="S70" s="1">
        <v>35</v>
      </c>
      <c r="T70" s="23">
        <f t="array" ref="T70">INDEX('ICL3'!$G$2:$G$31,MATCH(MIN(ABS(AF70-'ICL3'!$F$2:$F$31)),ABS(AF70-'ICL3'!$F$2:$F$31),0))</f>
        <v>67</v>
      </c>
      <c r="U70" s="1">
        <f t="array" ref="U70">INDEX('ICL3'!$H$2:$H$31,MATCH(MIN(ABS(AF70-'ICL3'!$F$2:$F$31)),ABS(AF70-'ICL3'!$F$2:$F$31),0))</f>
        <v>26</v>
      </c>
      <c r="V70" s="1">
        <v>64</v>
      </c>
      <c r="W70" s="1">
        <v>24</v>
      </c>
      <c r="X70" s="1">
        <f>VLOOKUP($B70&amp;"__wt",'Xtal_SegEnds_BW#'!$A:$Z,24,FALSE)</f>
        <v>56</v>
      </c>
      <c r="Y70" s="1">
        <f>VLOOKUP($B70&amp;"__wt",'Xtal_SegEnds_BW#'!$A:$Z,25,FALSE)</f>
        <v>47</v>
      </c>
      <c r="Z70" s="1">
        <f>VLOOKUP($B70&amp;"__wt",'Xtal_SegEnds_BW#'!$A:$Z,26,FALSE)</f>
        <v>59</v>
      </c>
      <c r="AA70" s="63" t="str">
        <f>VLOOKUP(A70,Classification!A:B,2,FALSE)</f>
        <v>A</v>
      </c>
      <c r="AB70" s="1">
        <f>VLOOKUP(A70,'NonXtal_SegEnds_Prot#'!A:AL,10,FALSE)-VLOOKUP(A70,'NonXtal_SegEnds_Prot#'!A:AL,7,FALSE)</f>
        <v>17</v>
      </c>
      <c r="AC70" s="1">
        <f>VLOOKUP(A70,'NonXtal_SegEnds_Prot#'!A:AL,13,FALSE)-VLOOKUP(A70,'NonXtal_SegEnds_Prot#'!A:AL,10,FALSE)</f>
        <v>19</v>
      </c>
      <c r="AD70" s="1">
        <f>VLOOKUP(A70,'NonXtal_SegEnds_Prot#'!A:AL,16,FALSE)-VLOOKUP(A70,'NonXtal_SegEnds_Prot#'!A:AL,10,FALSE)</f>
        <v>51</v>
      </c>
      <c r="AE70" s="1">
        <f>VLOOKUP(A70,'NonXtal_SegEnds_Prot#'!A:AL,28,FALSE)-VLOOKUP(A70,'NonXtal_SegEnds_Prot#'!A:AL,25,FALSE)</f>
        <v>22</v>
      </c>
      <c r="AF70" s="1">
        <f>VLOOKUP(A70,'NonXtal_SegEnds_Prot#'!A:AL,31,FALSE)-VLOOKUP(A70,'NonXtal_SegEnds_Prot#'!A:AL,28,FALSE)</f>
        <v>46</v>
      </c>
      <c r="AG70" s="1">
        <f>VLOOKUP(A70,'NonXtal_SegEnds_Prot#'!A:AL,34,FALSE)-VLOOKUP(A70,'NonXtal_SegEnds_Prot#'!A:AL,31,FALSE)</f>
        <v>46</v>
      </c>
    </row>
    <row r="71" spans="1:33" x14ac:dyDescent="0.2">
      <c r="A71" s="1" t="s">
        <v>525</v>
      </c>
      <c r="B71" s="1" t="str">
        <f>VLOOKUP(A71,Xtal_Templ!A:B,2,FALSE)</f>
        <v>agtr1_human</v>
      </c>
      <c r="C71" s="5">
        <f>VLOOKUP($B71&amp;"__wt",'Xtal_SegEnds_BW#'!$A:$Z,3,FALSE)</f>
        <v>30</v>
      </c>
      <c r="D71" s="1">
        <f>VLOOKUP($B71&amp;"__wt",'Xtal_SegEnds_BW#'!$A:$Z,4,FALSE)</f>
        <v>60</v>
      </c>
      <c r="E71" s="1">
        <f>VLOOKUP($B71&amp;"__wt",'Xtal_SegEnds_BW#'!$A:$Z,5,FALSE)</f>
        <v>48</v>
      </c>
      <c r="F71" s="1">
        <f>VLOOKUP($B71&amp;"__wt",'Xtal_SegEnds_BW#'!$A:$Z,6,FALSE)</f>
        <v>51</v>
      </c>
      <c r="G71" s="1">
        <v>37</v>
      </c>
      <c r="H71" s="1">
        <f>VLOOKUP($B71&amp;"__wt",'Xtal_SegEnds_BW#'!$A:$Z,8,FALSE)</f>
        <v>66</v>
      </c>
      <c r="I71" s="1">
        <f>VLOOKUP($B71&amp;"__wt",'Xtal_SegEnds_BW#'!$A:$Z,9,FALSE)</f>
        <v>49</v>
      </c>
      <c r="J71" s="1">
        <f>VLOOKUP($B71&amp;"__wt",'Xtal_SegEnds_BW#'!$A:$Z,10,FALSE)</f>
        <v>52</v>
      </c>
      <c r="K71" s="1">
        <v>18</v>
      </c>
      <c r="L71" s="1">
        <f>VLOOKUP($B71&amp;"__wt",'Xtal_SegEnds_BW#'!$A:$Z,12,FALSE)</f>
        <v>56</v>
      </c>
      <c r="M71" s="1">
        <f>VLOOKUP($B71&amp;"__wt",'Xtal_SegEnds_BW#'!$A:$Z,13,FALSE)</f>
        <v>50</v>
      </c>
      <c r="N71" s="1">
        <v>57</v>
      </c>
      <c r="O71" s="1">
        <v>39</v>
      </c>
      <c r="P71" s="1">
        <f>VLOOKUP($B71&amp;"__wt",'Xtal_SegEnds_BW#'!$A:$Z,16,FALSE)</f>
        <v>64</v>
      </c>
      <c r="Q71" s="1">
        <f>VLOOKUP($B71&amp;"__wt",'Xtal_SegEnds_BW#'!$A:$Z,17,FALSE)</f>
        <v>50</v>
      </c>
      <c r="R71" s="1">
        <f>VLOOKUP($B71&amp;"__wt",'Xtal_SegEnds_BW#'!$A:$Z,18,FALSE)</f>
        <v>52</v>
      </c>
      <c r="S71" s="1">
        <f>VLOOKUP($B71&amp;"__wt",'Xtal_SegEnds_BW#'!$A:$Z,19,FALSE)</f>
        <v>34</v>
      </c>
      <c r="T71" s="23">
        <f t="array" ref="T71">INDEX('ICL3'!$G$2:$G$31,MATCH(MIN(ABS(AF71-'ICL3'!$F$2:$F$31)),ABS(AF71-'ICL3'!$F$2:$F$31),0))</f>
        <v>67</v>
      </c>
      <c r="U71" s="1">
        <f t="array" ref="U71">INDEX('ICL3'!$H$2:$H$31,MATCH(MIN(ABS(AF71-'ICL3'!$F$2:$F$31)),ABS(AF71-'ICL3'!$F$2:$F$31),0))</f>
        <v>26</v>
      </c>
      <c r="V71" s="1">
        <v>61</v>
      </c>
      <c r="W71" s="1">
        <v>28</v>
      </c>
      <c r="X71" s="1">
        <f>VLOOKUP($B71&amp;"__wt",'Xtal_SegEnds_BW#'!$A:$Z,24,FALSE)</f>
        <v>56</v>
      </c>
      <c r="Y71" s="1">
        <f>VLOOKUP($B71&amp;"__wt",'Xtal_SegEnds_BW#'!$A:$Z,25,FALSE)</f>
        <v>47</v>
      </c>
      <c r="Z71" s="1">
        <f>VLOOKUP($B71&amp;"__wt",'Xtal_SegEnds_BW#'!$A:$Z,26,FALSE)</f>
        <v>61</v>
      </c>
      <c r="AA71" s="63" t="str">
        <f>VLOOKUP(A71,Classification!A:B,2,FALSE)</f>
        <v>A</v>
      </c>
      <c r="AB71" s="1" t="e">
        <f>VLOOKUP(A71,'NonXtal_SegEnds_Prot#'!A:AL,10,FALSE)-VLOOKUP(A71,'NonXtal_SegEnds_Prot#'!A:AL,7,FALSE)</f>
        <v>#VALUE!</v>
      </c>
      <c r="AC71" s="1">
        <f>VLOOKUP(A71,'NonXtal_SegEnds_Prot#'!A:AL,13,FALSE)-VLOOKUP(A71,'NonXtal_SegEnds_Prot#'!A:AL,10,FALSE)</f>
        <v>20</v>
      </c>
      <c r="AD71" s="1">
        <f>VLOOKUP(A71,'NonXtal_SegEnds_Prot#'!A:AL,16,FALSE)-VLOOKUP(A71,'NonXtal_SegEnds_Prot#'!A:AL,10,FALSE)</f>
        <v>52</v>
      </c>
      <c r="AE71" s="1">
        <f>VLOOKUP(A71,'NonXtal_SegEnds_Prot#'!A:AL,28,FALSE)-VLOOKUP(A71,'NonXtal_SegEnds_Prot#'!A:AL,25,FALSE)</f>
        <v>25</v>
      </c>
      <c r="AF71" s="1">
        <f>VLOOKUP(A71,'NonXtal_SegEnds_Prot#'!A:AL,31,FALSE)-VLOOKUP(A71,'NonXtal_SegEnds_Prot#'!A:AL,28,FALSE)</f>
        <v>46</v>
      </c>
      <c r="AG71" s="1">
        <f>VLOOKUP(A71,'NonXtal_SegEnds_Prot#'!A:AL,34,FALSE)-VLOOKUP(A71,'NonXtal_SegEnds_Prot#'!A:AL,31,FALSE)</f>
        <v>40</v>
      </c>
    </row>
    <row r="72" spans="1:33" x14ac:dyDescent="0.2">
      <c r="A72" s="1" t="s">
        <v>536</v>
      </c>
      <c r="B72" s="1" t="str">
        <f>VLOOKUP(A72,Xtal_Templ!A:B,2,FALSE)</f>
        <v>oprk_human</v>
      </c>
      <c r="C72" s="5">
        <f>VLOOKUP($B72&amp;"__wt",'Xtal_SegEnds_BW#'!$A:$Z,3,FALSE)</f>
        <v>30</v>
      </c>
      <c r="D72" s="1">
        <f>VLOOKUP($B72&amp;"__wt",'Xtal_SegEnds_BW#'!$A:$Z,4,FALSE)</f>
        <v>60</v>
      </c>
      <c r="E72" s="1">
        <f>VLOOKUP($B72&amp;"__wt",'Xtal_SegEnds_BW#'!$A:$Z,5,FALSE)</f>
        <v>48</v>
      </c>
      <c r="F72" s="1">
        <f>VLOOKUP($B72&amp;"__wt",'Xtal_SegEnds_BW#'!$A:$Z,6,FALSE)</f>
        <v>51</v>
      </c>
      <c r="G72" s="1">
        <v>37</v>
      </c>
      <c r="H72" s="1">
        <f>VLOOKUP($B72&amp;"__wt",'Xtal_SegEnds_BW#'!$A:$Z,8,FALSE)</f>
        <v>66</v>
      </c>
      <c r="I72" s="1">
        <f>VLOOKUP($B72&amp;"__wt",'Xtal_SegEnds_BW#'!$A:$Z,9,FALSE)</f>
        <v>49</v>
      </c>
      <c r="J72" s="1">
        <f>VLOOKUP($B72&amp;"__wt",'Xtal_SegEnds_BW#'!$A:$Z,10,FALSE)</f>
        <v>52</v>
      </c>
      <c r="K72" s="1">
        <v>18</v>
      </c>
      <c r="L72" s="1">
        <f>VLOOKUP($B72&amp;"__wt",'Xtal_SegEnds_BW#'!$A:$Z,12,FALSE)</f>
        <v>56</v>
      </c>
      <c r="M72" s="1">
        <f>VLOOKUP($B72&amp;"__wt",'Xtal_SegEnds_BW#'!$A:$Z,13,FALSE)</f>
        <v>50</v>
      </c>
      <c r="N72" s="1">
        <v>57</v>
      </c>
      <c r="O72" s="1">
        <v>39</v>
      </c>
      <c r="P72" s="1">
        <f>VLOOKUP($B72&amp;"__wt",'Xtal_SegEnds_BW#'!$A:$Z,16,FALSE)</f>
        <v>64</v>
      </c>
      <c r="Q72" s="1">
        <f>VLOOKUP($B72&amp;"__wt",'Xtal_SegEnds_BW#'!$A:$Z,17,FALSE)</f>
        <v>50</v>
      </c>
      <c r="R72" s="1">
        <f>VLOOKUP($B72&amp;"__wt",'Xtal_SegEnds_BW#'!$A:$Z,18,FALSE)</f>
        <v>52</v>
      </c>
      <c r="S72" s="1">
        <f>VLOOKUP($B72&amp;"__wt",'Xtal_SegEnds_BW#'!$A:$Z,19,FALSE)</f>
        <v>31</v>
      </c>
      <c r="T72" s="23">
        <f t="array" ref="T72">INDEX('ICL3'!$G$2:$G$31,MATCH(MIN(ABS(AF72-'ICL3'!$F$2:$F$31)),ABS(AF72-'ICL3'!$F$2:$F$31),0))</f>
        <v>67</v>
      </c>
      <c r="U72" s="1">
        <f t="array" ref="U72">INDEX('ICL3'!$H$2:$H$31,MATCH(MIN(ABS(AF72-'ICL3'!$F$2:$F$31)),ABS(AF72-'ICL3'!$F$2:$F$31),0))</f>
        <v>26</v>
      </c>
      <c r="V72" s="1">
        <v>61</v>
      </c>
      <c r="W72" s="1">
        <v>28</v>
      </c>
      <c r="X72" s="1">
        <f>VLOOKUP($B72&amp;"__wt",'Xtal_SegEnds_BW#'!$A:$Z,24,FALSE)</f>
        <v>56</v>
      </c>
      <c r="Y72" s="1">
        <f>VLOOKUP($B72&amp;"__wt",'Xtal_SegEnds_BW#'!$A:$Z,25,FALSE)</f>
        <v>47</v>
      </c>
      <c r="Z72" s="1">
        <f>VLOOKUP($B72&amp;"__wt",'Xtal_SegEnds_BW#'!$A:$Z,26,FALSE)</f>
        <v>59</v>
      </c>
      <c r="AA72" s="63" t="str">
        <f>VLOOKUP(A72,Classification!A:B,2,FALSE)</f>
        <v>A</v>
      </c>
      <c r="AB72" s="1">
        <f>VLOOKUP(A72,'NonXtal_SegEnds_Prot#'!A:AL,10,FALSE)-VLOOKUP(A72,'NonXtal_SegEnds_Prot#'!A:AL,7,FALSE)</f>
        <v>15</v>
      </c>
      <c r="AC72" s="1">
        <f>VLOOKUP(A72,'NonXtal_SegEnds_Prot#'!A:AL,13,FALSE)-VLOOKUP(A72,'NonXtal_SegEnds_Prot#'!A:AL,10,FALSE)</f>
        <v>20</v>
      </c>
      <c r="AD72" s="1">
        <f>VLOOKUP(A72,'NonXtal_SegEnds_Prot#'!A:AL,16,FALSE)-VLOOKUP(A72,'NonXtal_SegEnds_Prot#'!A:AL,10,FALSE)</f>
        <v>52</v>
      </c>
      <c r="AE72" s="1">
        <f>VLOOKUP(A72,'NonXtal_SegEnds_Prot#'!A:AL,28,FALSE)-VLOOKUP(A72,'NonXtal_SegEnds_Prot#'!A:AL,25,FALSE)</f>
        <v>27</v>
      </c>
      <c r="AF72" s="1">
        <f>VLOOKUP(A72,'NonXtal_SegEnds_Prot#'!A:AL,31,FALSE)-VLOOKUP(A72,'NonXtal_SegEnds_Prot#'!A:AL,28,FALSE)</f>
        <v>46</v>
      </c>
      <c r="AG72" s="1">
        <f>VLOOKUP(A72,'NonXtal_SegEnds_Prot#'!A:AL,34,FALSE)-VLOOKUP(A72,'NonXtal_SegEnds_Prot#'!A:AL,31,FALSE)</f>
        <v>42</v>
      </c>
    </row>
    <row r="73" spans="1:33" x14ac:dyDescent="0.2">
      <c r="A73" s="1" t="s">
        <v>537</v>
      </c>
      <c r="B73" s="1" t="str">
        <f>VLOOKUP(A73,Xtal_Templ!A:B,2,FALSE)</f>
        <v>p2ry1_human</v>
      </c>
      <c r="C73" s="5">
        <f>VLOOKUP($B73&amp;"__wt",'Xtal_SegEnds_BW#'!$A:$Z,3,FALSE)</f>
        <v>30</v>
      </c>
      <c r="D73" s="1">
        <f>VLOOKUP($B73&amp;"__wt",'Xtal_SegEnds_BW#'!$A:$Z,4,FALSE)</f>
        <v>60</v>
      </c>
      <c r="E73" s="1" t="str">
        <f>VLOOKUP($B73&amp;"__wt",'Xtal_SegEnds_BW#'!$A:$Z,5,FALSE)</f>
        <v>-</v>
      </c>
      <c r="F73" s="1" t="str">
        <f>VLOOKUP($B73&amp;"__wt",'Xtal_SegEnds_BW#'!$A:$Z,6,FALSE)</f>
        <v>-</v>
      </c>
      <c r="G73" s="1">
        <v>37</v>
      </c>
      <c r="H73" s="1">
        <f>VLOOKUP($B73&amp;"__wt",'Xtal_SegEnds_BW#'!$A:$Z,8,FALSE)</f>
        <v>66</v>
      </c>
      <c r="I73" s="1">
        <f>VLOOKUP($B73&amp;"__wt",'Xtal_SegEnds_BW#'!$A:$Z,9,FALSE)</f>
        <v>49</v>
      </c>
      <c r="J73" s="1">
        <f>VLOOKUP($B73&amp;"__wt",'Xtal_SegEnds_BW#'!$A:$Z,10,FALSE)</f>
        <v>52</v>
      </c>
      <c r="K73" s="1">
        <v>18</v>
      </c>
      <c r="L73" s="1">
        <f>VLOOKUP($B73&amp;"__wt",'Xtal_SegEnds_BW#'!$A:$Z,12,FALSE)</f>
        <v>56</v>
      </c>
      <c r="M73" s="1">
        <f>VLOOKUP($B73&amp;"__wt",'Xtal_SegEnds_BW#'!$A:$Z,13,FALSE)</f>
        <v>50</v>
      </c>
      <c r="N73" s="1">
        <v>57</v>
      </c>
      <c r="O73" s="1">
        <v>39</v>
      </c>
      <c r="P73" s="1">
        <f>VLOOKUP($B73&amp;"__wt",'Xtal_SegEnds_BW#'!$A:$Z,16,FALSE)</f>
        <v>64</v>
      </c>
      <c r="Q73" s="1">
        <f>VLOOKUP($B73&amp;"__wt",'Xtal_SegEnds_BW#'!$A:$Z,17,FALSE)</f>
        <v>50</v>
      </c>
      <c r="R73" s="1">
        <f>VLOOKUP($B73&amp;"__wt",'Xtal_SegEnds_BW#'!$A:$Z,18,FALSE)</f>
        <v>52</v>
      </c>
      <c r="S73" s="1">
        <f>VLOOKUP($B73&amp;"__wt",'Xtal_SegEnds_BW#'!$A:$Z,19,FALSE)</f>
        <v>32</v>
      </c>
      <c r="T73" s="23">
        <f t="array" ref="T73">INDEX('ICL3'!$G$2:$G$31,MATCH(MIN(ABS(AF73-'ICL3'!$F$2:$F$31)),ABS(AF73-'ICL3'!$F$2:$F$31),0))</f>
        <v>67</v>
      </c>
      <c r="U73" s="1">
        <f t="array" ref="U73">INDEX('ICL3'!$H$2:$H$31,MATCH(MIN(ABS(AF73-'ICL3'!$F$2:$F$31)),ABS(AF73-'ICL3'!$F$2:$F$31),0))</f>
        <v>26</v>
      </c>
      <c r="V73" s="1">
        <v>61</v>
      </c>
      <c r="W73" s="1">
        <v>24</v>
      </c>
      <c r="X73" s="1">
        <f>VLOOKUP($B73&amp;"__wt",'Xtal_SegEnds_BW#'!$A:$Z,24,FALSE)</f>
        <v>56</v>
      </c>
      <c r="Y73" s="1">
        <f>VLOOKUP($B73&amp;"__wt",'Xtal_SegEnds_BW#'!$A:$Z,25,FALSE)</f>
        <v>47</v>
      </c>
      <c r="Z73" s="1">
        <f>VLOOKUP($B73&amp;"__wt",'Xtal_SegEnds_BW#'!$A:$Z,26,FALSE)</f>
        <v>59</v>
      </c>
      <c r="AA73" s="63" t="str">
        <f>VLOOKUP(A73,Classification!A:B,2,FALSE)</f>
        <v>A</v>
      </c>
      <c r="AB73" s="1" t="e">
        <f>VLOOKUP(A73,'NonXtal_SegEnds_Prot#'!A:AL,10,FALSE)-VLOOKUP(A73,'NonXtal_SegEnds_Prot#'!A:AL,7,FALSE)</f>
        <v>#VALUE!</v>
      </c>
      <c r="AC73" s="1">
        <f>VLOOKUP(A73,'NonXtal_SegEnds_Prot#'!A:AL,13,FALSE)-VLOOKUP(A73,'NonXtal_SegEnds_Prot#'!A:AL,10,FALSE)</f>
        <v>20</v>
      </c>
      <c r="AD73" s="1">
        <f>VLOOKUP(A73,'NonXtal_SegEnds_Prot#'!A:AL,16,FALSE)-VLOOKUP(A73,'NonXtal_SegEnds_Prot#'!A:AL,10,FALSE)</f>
        <v>52</v>
      </c>
      <c r="AE73" s="1">
        <f>VLOOKUP(A73,'NonXtal_SegEnds_Prot#'!A:AL,28,FALSE)-VLOOKUP(A73,'NonXtal_SegEnds_Prot#'!A:AL,25,FALSE)</f>
        <v>27</v>
      </c>
      <c r="AF73" s="1">
        <f>VLOOKUP(A73,'NonXtal_SegEnds_Prot#'!A:AL,31,FALSE)-VLOOKUP(A73,'NonXtal_SegEnds_Prot#'!A:AL,28,FALSE)</f>
        <v>46</v>
      </c>
      <c r="AG73" s="1">
        <f>VLOOKUP(A73,'NonXtal_SegEnds_Prot#'!A:AL,34,FALSE)-VLOOKUP(A73,'NonXtal_SegEnds_Prot#'!A:AL,31,FALSE)</f>
        <v>43</v>
      </c>
    </row>
    <row r="74" spans="1:33" s="23" customFormat="1" x14ac:dyDescent="0.2">
      <c r="A74" s="23" t="s">
        <v>539</v>
      </c>
      <c r="B74" s="23" t="str">
        <f>VLOOKUP(A74,Xtal_Templ!A:B,2,FALSE)</f>
        <v>p2ry1_human</v>
      </c>
      <c r="C74" s="24">
        <f>VLOOKUP($B74&amp;"__wt",'Xtal_SegEnds_BW#'!$A:$Z,3,FALSE)</f>
        <v>30</v>
      </c>
      <c r="D74" s="23">
        <f>VLOOKUP($B74&amp;"__wt",'Xtal_SegEnds_BW#'!$A:$Z,4,FALSE)</f>
        <v>60</v>
      </c>
      <c r="E74" s="23" t="str">
        <f>VLOOKUP($B74&amp;"__wt",'Xtal_SegEnds_BW#'!$A:$Z,5,FALSE)</f>
        <v>-</v>
      </c>
      <c r="F74" s="23" t="str">
        <f>VLOOKUP($B74&amp;"__wt",'Xtal_SegEnds_BW#'!$A:$Z,6,FALSE)</f>
        <v>-</v>
      </c>
      <c r="G74" s="23">
        <v>37</v>
      </c>
      <c r="H74" s="23">
        <f>VLOOKUP($B74&amp;"__wt",'Xtal_SegEnds_BW#'!$A:$Z,8,FALSE)</f>
        <v>66</v>
      </c>
      <c r="I74" s="23">
        <f>VLOOKUP($B74&amp;"__wt",'Xtal_SegEnds_BW#'!$A:$Z,9,FALSE)</f>
        <v>49</v>
      </c>
      <c r="J74" s="23">
        <f>VLOOKUP($B74&amp;"__wt",'Xtal_SegEnds_BW#'!$A:$Z,10,FALSE)</f>
        <v>52</v>
      </c>
      <c r="K74" s="23">
        <v>18</v>
      </c>
      <c r="L74" s="23">
        <f>VLOOKUP($B74&amp;"__wt",'Xtal_SegEnds_BW#'!$A:$Z,12,FALSE)</f>
        <v>56</v>
      </c>
      <c r="M74" s="23">
        <f>VLOOKUP($B74&amp;"__wt",'Xtal_SegEnds_BW#'!$A:$Z,13,FALSE)</f>
        <v>50</v>
      </c>
      <c r="N74" s="23">
        <v>57</v>
      </c>
      <c r="O74" s="23">
        <v>39</v>
      </c>
      <c r="P74" s="23">
        <f>VLOOKUP($B74&amp;"__wt",'Xtal_SegEnds_BW#'!$A:$Z,16,FALSE)</f>
        <v>64</v>
      </c>
      <c r="Q74" s="23">
        <f>VLOOKUP($B74&amp;"__wt",'Xtal_SegEnds_BW#'!$A:$Z,17,FALSE)</f>
        <v>50</v>
      </c>
      <c r="R74" s="23">
        <f>VLOOKUP($B74&amp;"__wt",'Xtal_SegEnds_BW#'!$A:$Z,18,FALSE)</f>
        <v>52</v>
      </c>
      <c r="S74" s="23">
        <f>VLOOKUP($B74&amp;"__wt",'Xtal_SegEnds_BW#'!$A:$Z,19,FALSE)</f>
        <v>32</v>
      </c>
      <c r="T74" s="23">
        <v>68</v>
      </c>
      <c r="U74" s="1">
        <v>28</v>
      </c>
      <c r="V74" s="23">
        <v>64</v>
      </c>
      <c r="W74" s="23">
        <v>24</v>
      </c>
      <c r="X74" s="23">
        <f>VLOOKUP($B74&amp;"__wt",'Xtal_SegEnds_BW#'!$A:$Z,24,FALSE)</f>
        <v>56</v>
      </c>
      <c r="Y74" s="23">
        <f>VLOOKUP($B74&amp;"__wt",'Xtal_SegEnds_BW#'!$A:$Z,25,FALSE)</f>
        <v>47</v>
      </c>
      <c r="Z74" s="23">
        <f>VLOOKUP($B74&amp;"__wt",'Xtal_SegEnds_BW#'!$A:$Z,26,FALSE)</f>
        <v>59</v>
      </c>
      <c r="AA74" s="85" t="str">
        <f>VLOOKUP(A74,Classification!A:B,2,FALSE)</f>
        <v>A</v>
      </c>
      <c r="AB74" s="23" t="e">
        <f>VLOOKUP(A74,'NonXtal_SegEnds_Prot#'!A:AL,10,FALSE)-VLOOKUP(A74,'NonXtal_SegEnds_Prot#'!A:AL,7,FALSE)</f>
        <v>#VALUE!</v>
      </c>
      <c r="AC74" s="23">
        <f>VLOOKUP(A74,'NonXtal_SegEnds_Prot#'!A:AL,13,FALSE)-VLOOKUP(A74,'NonXtal_SegEnds_Prot#'!A:AL,10,FALSE)</f>
        <v>20</v>
      </c>
      <c r="AD74" s="23">
        <f>VLOOKUP(A74,'NonXtal_SegEnds_Prot#'!A:AL,16,FALSE)-VLOOKUP(A74,'NonXtal_SegEnds_Prot#'!A:AL,10,FALSE)</f>
        <v>52</v>
      </c>
      <c r="AE74" s="23">
        <f>VLOOKUP(A74,'NonXtal_SegEnds_Prot#'!A:AL,28,FALSE)-VLOOKUP(A74,'NonXtal_SegEnds_Prot#'!A:AL,25,FALSE)</f>
        <v>27</v>
      </c>
      <c r="AF74" s="23">
        <f>VLOOKUP(A74,'NonXtal_SegEnds_Prot#'!A:AL,31,FALSE)-VLOOKUP(A74,'NonXtal_SegEnds_Prot#'!A:AL,28,FALSE)</f>
        <v>46</v>
      </c>
      <c r="AG74" s="23">
        <f>VLOOKUP(A74,'NonXtal_SegEnds_Prot#'!A:AL,34,FALSE)-VLOOKUP(A74,'NonXtal_SegEnds_Prot#'!A:AL,31,FALSE)</f>
        <v>46</v>
      </c>
    </row>
    <row r="75" spans="1:33" x14ac:dyDescent="0.2">
      <c r="A75" s="1" t="s">
        <v>545</v>
      </c>
      <c r="B75" s="1" t="str">
        <f>VLOOKUP(A75,Xtal_Templ!A:B,2,FALSE)</f>
        <v>p2ry1_human</v>
      </c>
      <c r="C75" s="5">
        <f>VLOOKUP($B75&amp;"__wt",'Xtal_SegEnds_BW#'!$A:$Z,3,FALSE)</f>
        <v>30</v>
      </c>
      <c r="D75" s="1">
        <f>VLOOKUP($B75&amp;"__wt",'Xtal_SegEnds_BW#'!$A:$Z,4,FALSE)</f>
        <v>60</v>
      </c>
      <c r="E75" s="1" t="str">
        <f>VLOOKUP($B75&amp;"__wt",'Xtal_SegEnds_BW#'!$A:$Z,5,FALSE)</f>
        <v>-</v>
      </c>
      <c r="F75" s="1" t="str">
        <f>VLOOKUP($B75&amp;"__wt",'Xtal_SegEnds_BW#'!$A:$Z,6,FALSE)</f>
        <v>-</v>
      </c>
      <c r="G75" s="1">
        <v>37</v>
      </c>
      <c r="H75" s="1">
        <f>VLOOKUP($B75&amp;"__wt",'Xtal_SegEnds_BW#'!$A:$Z,8,FALSE)</f>
        <v>66</v>
      </c>
      <c r="I75" s="1">
        <f>VLOOKUP($B75&amp;"__wt",'Xtal_SegEnds_BW#'!$A:$Z,9,FALSE)</f>
        <v>49</v>
      </c>
      <c r="J75" s="1">
        <f>VLOOKUP($B75&amp;"__wt",'Xtal_SegEnds_BW#'!$A:$Z,10,FALSE)</f>
        <v>52</v>
      </c>
      <c r="K75" s="1">
        <v>18</v>
      </c>
      <c r="L75" s="1">
        <f>VLOOKUP($B75&amp;"__wt",'Xtal_SegEnds_BW#'!$A:$Z,12,FALSE)</f>
        <v>56</v>
      </c>
      <c r="M75" s="1">
        <f>VLOOKUP($B75&amp;"__wt",'Xtal_SegEnds_BW#'!$A:$Z,13,FALSE)</f>
        <v>50</v>
      </c>
      <c r="N75" s="1">
        <v>57</v>
      </c>
      <c r="O75" s="1">
        <v>39</v>
      </c>
      <c r="P75" s="1">
        <f>VLOOKUP($B75&amp;"__wt",'Xtal_SegEnds_BW#'!$A:$Z,16,FALSE)</f>
        <v>64</v>
      </c>
      <c r="Q75" s="1">
        <f>VLOOKUP($B75&amp;"__wt",'Xtal_SegEnds_BW#'!$A:$Z,17,FALSE)</f>
        <v>50</v>
      </c>
      <c r="R75" s="1">
        <f>VLOOKUP($B75&amp;"__wt",'Xtal_SegEnds_BW#'!$A:$Z,18,FALSE)</f>
        <v>52</v>
      </c>
      <c r="S75" s="1">
        <f>VLOOKUP($B75&amp;"__wt",'Xtal_SegEnds_BW#'!$A:$Z,19,FALSE)</f>
        <v>32</v>
      </c>
      <c r="T75" s="23">
        <f t="array" ref="T75">INDEX('ICL3'!$G$2:$G$31,MATCH(MIN(ABS(AF75-'ICL3'!$F$2:$F$31)),ABS(AF75-'ICL3'!$F$2:$F$31),0))</f>
        <v>67</v>
      </c>
      <c r="U75" s="1">
        <f t="array" ref="U75">INDEX('ICL3'!$H$2:$H$31,MATCH(MIN(ABS(AF75-'ICL3'!$F$2:$F$31)),ABS(AF75-'ICL3'!$F$2:$F$31),0))</f>
        <v>26</v>
      </c>
      <c r="V75" s="1">
        <v>64</v>
      </c>
      <c r="W75" s="1">
        <v>24</v>
      </c>
      <c r="X75" s="1">
        <f>VLOOKUP($B75&amp;"__wt",'Xtal_SegEnds_BW#'!$A:$Z,24,FALSE)</f>
        <v>56</v>
      </c>
      <c r="Y75" s="1">
        <f>VLOOKUP($B75&amp;"__wt",'Xtal_SegEnds_BW#'!$A:$Z,25,FALSE)</f>
        <v>47</v>
      </c>
      <c r="Z75" s="1">
        <f>VLOOKUP($B75&amp;"__wt",'Xtal_SegEnds_BW#'!$A:$Z,26,FALSE)</f>
        <v>59</v>
      </c>
      <c r="AA75" s="63" t="str">
        <f>VLOOKUP(A75,Classification!A:B,2,FALSE)</f>
        <v>A</v>
      </c>
      <c r="AB75" s="1" t="e">
        <f>VLOOKUP(A75,'NonXtal_SegEnds_Prot#'!A:AL,10,FALSE)-VLOOKUP(A75,'NonXtal_SegEnds_Prot#'!A:AL,7,FALSE)</f>
        <v>#VALUE!</v>
      </c>
      <c r="AC75" s="1">
        <f>VLOOKUP(A75,'NonXtal_SegEnds_Prot#'!A:AL,13,FALSE)-VLOOKUP(A75,'NonXtal_SegEnds_Prot#'!A:AL,10,FALSE)</f>
        <v>20</v>
      </c>
      <c r="AD75" s="1">
        <f>VLOOKUP(A75,'NonXtal_SegEnds_Prot#'!A:AL,16,FALSE)-VLOOKUP(A75,'NonXtal_SegEnds_Prot#'!A:AL,10,FALSE)</f>
        <v>52</v>
      </c>
      <c r="AE75" s="1">
        <f>VLOOKUP(A75,'NonXtal_SegEnds_Prot#'!A:AL,28,FALSE)-VLOOKUP(A75,'NonXtal_SegEnds_Prot#'!A:AL,25,FALSE)</f>
        <v>26</v>
      </c>
      <c r="AF75" s="1">
        <f>VLOOKUP(A75,'NonXtal_SegEnds_Prot#'!A:AL,31,FALSE)-VLOOKUP(A75,'NonXtal_SegEnds_Prot#'!A:AL,28,FALSE)</f>
        <v>46</v>
      </c>
      <c r="AG75" s="1">
        <f>VLOOKUP(A75,'NonXtal_SegEnds_Prot#'!A:AL,34,FALSE)-VLOOKUP(A75,'NonXtal_SegEnds_Prot#'!A:AL,31,FALSE)</f>
        <v>55</v>
      </c>
    </row>
    <row r="76" spans="1:33" x14ac:dyDescent="0.2">
      <c r="A76" s="1" t="s">
        <v>549</v>
      </c>
      <c r="B76" s="1" t="str">
        <f>VLOOKUP(A76,Xtal_Templ!A:B,2,FALSE)</f>
        <v>par1_human</v>
      </c>
      <c r="C76" s="5">
        <f>VLOOKUP($B76&amp;"__wt",'Xtal_SegEnds_BW#'!$A:$Z,3,FALSE)</f>
        <v>29</v>
      </c>
      <c r="D76" s="1">
        <f>VLOOKUP($B76&amp;"__wt",'Xtal_SegEnds_BW#'!$A:$Z,4,FALSE)</f>
        <v>60</v>
      </c>
      <c r="E76" s="1">
        <f>VLOOKUP($B76&amp;"__wt",'Xtal_SegEnds_BW#'!$A:$Z,5,FALSE)</f>
        <v>48</v>
      </c>
      <c r="F76" s="1">
        <f>VLOOKUP($B76&amp;"__wt",'Xtal_SegEnds_BW#'!$A:$Z,6,FALSE)</f>
        <v>51</v>
      </c>
      <c r="G76" s="1">
        <v>37</v>
      </c>
      <c r="H76" s="1">
        <f>VLOOKUP($B76&amp;"__wt",'Xtal_SegEnds_BW#'!$A:$Z,8,FALSE)</f>
        <v>66</v>
      </c>
      <c r="I76" s="1">
        <f>VLOOKUP($B76&amp;"__wt",'Xtal_SegEnds_BW#'!$A:$Z,9,FALSE)</f>
        <v>49</v>
      </c>
      <c r="J76" s="1">
        <f>VLOOKUP($B76&amp;"__wt",'Xtal_SegEnds_BW#'!$A:$Z,10,FALSE)</f>
        <v>52</v>
      </c>
      <c r="K76" s="1">
        <v>18</v>
      </c>
      <c r="L76" s="1">
        <f>VLOOKUP($B76&amp;"__wt",'Xtal_SegEnds_BW#'!$A:$Z,12,FALSE)</f>
        <v>56</v>
      </c>
      <c r="M76" s="1">
        <f>VLOOKUP($B76&amp;"__wt",'Xtal_SegEnds_BW#'!$A:$Z,13,FALSE)</f>
        <v>50</v>
      </c>
      <c r="N76" s="1">
        <v>57</v>
      </c>
      <c r="O76" s="1">
        <v>39</v>
      </c>
      <c r="P76" s="1">
        <f>VLOOKUP($B76&amp;"__wt",'Xtal_SegEnds_BW#'!$A:$Z,16,FALSE)</f>
        <v>63</v>
      </c>
      <c r="Q76" s="1">
        <f>VLOOKUP($B76&amp;"__wt",'Xtal_SegEnds_BW#'!$A:$Z,17,FALSE)</f>
        <v>50</v>
      </c>
      <c r="R76" s="1">
        <f>VLOOKUP($B76&amp;"__wt",'Xtal_SegEnds_BW#'!$A:$Z,18,FALSE)</f>
        <v>52</v>
      </c>
      <c r="S76" s="1">
        <f>VLOOKUP($B76&amp;"__wt",'Xtal_SegEnds_BW#'!$A:$Z,19,FALSE)</f>
        <v>32</v>
      </c>
      <c r="T76" s="23">
        <f t="array" ref="T76">INDEX('ICL3'!$G$2:$G$31,MATCH(MIN(ABS(AF76-'ICL3'!$F$2:$F$31)),ABS(AF76-'ICL3'!$F$2:$F$31),0))</f>
        <v>67</v>
      </c>
      <c r="U76" s="1">
        <f t="array" ref="U76">INDEX('ICL3'!$H$2:$H$31,MATCH(MIN(ABS(AF76-'ICL3'!$F$2:$F$31)),ABS(AF76-'ICL3'!$F$2:$F$31),0))</f>
        <v>26</v>
      </c>
      <c r="V76" s="1">
        <v>62</v>
      </c>
      <c r="W76" s="1">
        <v>28</v>
      </c>
      <c r="X76" s="1">
        <f>VLOOKUP($B76&amp;"__wt",'Xtal_SegEnds_BW#'!$A:$Z,24,FALSE)</f>
        <v>56</v>
      </c>
      <c r="Y76" s="1">
        <f>VLOOKUP($B76&amp;"__wt",'Xtal_SegEnds_BW#'!$A:$Z,25,FALSE)</f>
        <v>47</v>
      </c>
      <c r="Z76" s="1">
        <f>VLOOKUP($B76&amp;"__wt",'Xtal_SegEnds_BW#'!$A:$Z,26,FALSE)</f>
        <v>61</v>
      </c>
      <c r="AA76" s="63" t="str">
        <f>VLOOKUP(A76,Classification!A:B,2,FALSE)</f>
        <v>A</v>
      </c>
      <c r="AB76" s="1">
        <f>VLOOKUP(A76,'NonXtal_SegEnds_Prot#'!A:AL,10,FALSE)-VLOOKUP(A76,'NonXtal_SegEnds_Prot#'!A:AL,7,FALSE)</f>
        <v>15</v>
      </c>
      <c r="AC76" s="1">
        <f>VLOOKUP(A76,'NonXtal_SegEnds_Prot#'!A:AL,13,FALSE)-VLOOKUP(A76,'NonXtal_SegEnds_Prot#'!A:AL,10,FALSE)</f>
        <v>20</v>
      </c>
      <c r="AD76" s="1">
        <f>VLOOKUP(A76,'NonXtal_SegEnds_Prot#'!A:AL,16,FALSE)-VLOOKUP(A76,'NonXtal_SegEnds_Prot#'!A:AL,10,FALSE)</f>
        <v>52</v>
      </c>
      <c r="AE76" s="1">
        <f>VLOOKUP(A76,'NonXtal_SegEnds_Prot#'!A:AL,28,FALSE)-VLOOKUP(A76,'NonXtal_SegEnds_Prot#'!A:AL,25,FALSE)</f>
        <v>28</v>
      </c>
      <c r="AF76" s="1">
        <f>VLOOKUP(A76,'NonXtal_SegEnds_Prot#'!A:AL,31,FALSE)-VLOOKUP(A76,'NonXtal_SegEnds_Prot#'!A:AL,28,FALSE)</f>
        <v>46</v>
      </c>
      <c r="AG76" s="1">
        <f>VLOOKUP(A76,'NonXtal_SegEnds_Prot#'!A:AL,34,FALSE)-VLOOKUP(A76,'NonXtal_SegEnds_Prot#'!A:AL,31,FALSE)</f>
        <v>40</v>
      </c>
    </row>
    <row r="77" spans="1:33" x14ac:dyDescent="0.2">
      <c r="A77" s="1" t="s">
        <v>564</v>
      </c>
      <c r="B77" s="1" t="str">
        <f>VLOOKUP(A77,Xtal_Templ!A:B,2,FALSE)</f>
        <v>p2ry1_human</v>
      </c>
      <c r="C77" s="5">
        <f>VLOOKUP($B77&amp;"__wt",'Xtal_SegEnds_BW#'!$A:$Z,3,FALSE)</f>
        <v>30</v>
      </c>
      <c r="D77" s="1">
        <f>VLOOKUP($B77&amp;"__wt",'Xtal_SegEnds_BW#'!$A:$Z,4,FALSE)</f>
        <v>60</v>
      </c>
      <c r="E77" s="1" t="str">
        <f>VLOOKUP($B77&amp;"__wt",'Xtal_SegEnds_BW#'!$A:$Z,5,FALSE)</f>
        <v>-</v>
      </c>
      <c r="F77" s="1" t="str">
        <f>VLOOKUP($B77&amp;"__wt",'Xtal_SegEnds_BW#'!$A:$Z,6,FALSE)</f>
        <v>-</v>
      </c>
      <c r="G77" s="1">
        <v>37</v>
      </c>
      <c r="H77" s="1">
        <f>VLOOKUP($B77&amp;"__wt",'Xtal_SegEnds_BW#'!$A:$Z,8,FALSE)</f>
        <v>66</v>
      </c>
      <c r="I77" s="1">
        <f>VLOOKUP($B77&amp;"__wt",'Xtal_SegEnds_BW#'!$A:$Z,9,FALSE)</f>
        <v>49</v>
      </c>
      <c r="J77" s="1">
        <f>VLOOKUP($B77&amp;"__wt",'Xtal_SegEnds_BW#'!$A:$Z,10,FALSE)</f>
        <v>52</v>
      </c>
      <c r="K77" s="1">
        <v>18</v>
      </c>
      <c r="L77" s="1">
        <f>VLOOKUP($B77&amp;"__wt",'Xtal_SegEnds_BW#'!$A:$Z,12,FALSE)</f>
        <v>56</v>
      </c>
      <c r="M77" s="1">
        <f>VLOOKUP($B77&amp;"__wt",'Xtal_SegEnds_BW#'!$A:$Z,13,FALSE)</f>
        <v>50</v>
      </c>
      <c r="N77" s="1">
        <v>57</v>
      </c>
      <c r="O77" s="1">
        <v>39</v>
      </c>
      <c r="P77" s="1">
        <f>VLOOKUP($B77&amp;"__wt",'Xtal_SegEnds_BW#'!$A:$Z,16,FALSE)</f>
        <v>64</v>
      </c>
      <c r="Q77" s="1">
        <f>VLOOKUP($B77&amp;"__wt",'Xtal_SegEnds_BW#'!$A:$Z,17,FALSE)</f>
        <v>50</v>
      </c>
      <c r="R77" s="1">
        <f>VLOOKUP($B77&amp;"__wt",'Xtal_SegEnds_BW#'!$A:$Z,18,FALSE)</f>
        <v>52</v>
      </c>
      <c r="S77" s="1">
        <f>VLOOKUP($B77&amp;"__wt",'Xtal_SegEnds_BW#'!$A:$Z,19,FALSE)</f>
        <v>32</v>
      </c>
      <c r="T77" s="23">
        <f t="array" ref="T77">INDEX('ICL3'!$G$2:$G$31,MATCH(MIN(ABS(AF77-'ICL3'!$F$2:$F$31)),ABS(AF77-'ICL3'!$F$2:$F$31),0))</f>
        <v>67</v>
      </c>
      <c r="U77" s="1">
        <f t="array" ref="U77">INDEX('ICL3'!$H$2:$H$31,MATCH(MIN(ABS(AF77-'ICL3'!$F$2:$F$31)),ABS(AF77-'ICL3'!$F$2:$F$31),0))</f>
        <v>26</v>
      </c>
      <c r="V77" s="1">
        <v>64</v>
      </c>
      <c r="W77" s="1">
        <v>24</v>
      </c>
      <c r="X77" s="1">
        <f>VLOOKUP($B77&amp;"__wt",'Xtal_SegEnds_BW#'!$A:$Z,24,FALSE)</f>
        <v>56</v>
      </c>
      <c r="Y77" s="1">
        <f>VLOOKUP($B77&amp;"__wt",'Xtal_SegEnds_BW#'!$A:$Z,25,FALSE)</f>
        <v>47</v>
      </c>
      <c r="Z77" s="1">
        <f>VLOOKUP($B77&amp;"__wt",'Xtal_SegEnds_BW#'!$A:$Z,26,FALSE)</f>
        <v>59</v>
      </c>
      <c r="AA77" s="63" t="str">
        <f>VLOOKUP(A77,Classification!A:B,2,FALSE)</f>
        <v>A</v>
      </c>
      <c r="AB77" s="1" t="e">
        <f>VLOOKUP(A77,'NonXtal_SegEnds_Prot#'!A:AL,10,FALSE)-VLOOKUP(A77,'NonXtal_SegEnds_Prot#'!A:AL,7,FALSE)</f>
        <v>#VALUE!</v>
      </c>
      <c r="AC77" s="1">
        <f>VLOOKUP(A77,'NonXtal_SegEnds_Prot#'!A:AL,13,FALSE)-VLOOKUP(A77,'NonXtal_SegEnds_Prot#'!A:AL,10,FALSE)</f>
        <v>20</v>
      </c>
      <c r="AD77" s="1">
        <f>VLOOKUP(A77,'NonXtal_SegEnds_Prot#'!A:AL,16,FALSE)-VLOOKUP(A77,'NonXtal_SegEnds_Prot#'!A:AL,10,FALSE)</f>
        <v>52</v>
      </c>
      <c r="AE77" s="1">
        <f>VLOOKUP(A77,'NonXtal_SegEnds_Prot#'!A:AL,28,FALSE)-VLOOKUP(A77,'NonXtal_SegEnds_Prot#'!A:AL,25,FALSE)</f>
        <v>25</v>
      </c>
      <c r="AF77" s="1">
        <f>VLOOKUP(A77,'NonXtal_SegEnds_Prot#'!A:AL,31,FALSE)-VLOOKUP(A77,'NonXtal_SegEnds_Prot#'!A:AL,28,FALSE)</f>
        <v>46</v>
      </c>
      <c r="AG77" s="1">
        <f>VLOOKUP(A77,'NonXtal_SegEnds_Prot#'!A:AL,34,FALSE)-VLOOKUP(A77,'NonXtal_SegEnds_Prot#'!A:AL,31,FALSE)</f>
        <v>46</v>
      </c>
    </row>
    <row r="78" spans="1:33" x14ac:dyDescent="0.2">
      <c r="A78" s="1" t="s">
        <v>589</v>
      </c>
      <c r="B78" s="1" t="str">
        <f>VLOOKUP(A78,Xtal_Templ!A:B,2,FALSE)</f>
        <v>aa2ar_human</v>
      </c>
      <c r="C78" s="5">
        <f>VLOOKUP($B78&amp;"__wt",'Xtal_SegEnds_BW#'!$A:$Z,3,FALSE)</f>
        <v>28</v>
      </c>
      <c r="D78" s="1">
        <f>VLOOKUP($B78&amp;"__wt",'Xtal_SegEnds_BW#'!$A:$Z,4,FALSE)</f>
        <v>60</v>
      </c>
      <c r="E78" s="1">
        <f>VLOOKUP($B78&amp;"__wt",'Xtal_SegEnds_BW#'!$A:$Z,5,FALSE)</f>
        <v>48</v>
      </c>
      <c r="F78" s="1">
        <f>VLOOKUP($B78&amp;"__wt",'Xtal_SegEnds_BW#'!$A:$Z,6,FALSE)</f>
        <v>51</v>
      </c>
      <c r="G78" s="1">
        <v>37</v>
      </c>
      <c r="H78" s="1">
        <f>VLOOKUP($B78&amp;"__wt",'Xtal_SegEnds_BW#'!$A:$Z,8,FALSE)</f>
        <v>67</v>
      </c>
      <c r="I78" s="1">
        <v>49</v>
      </c>
      <c r="J78" s="1">
        <f>VLOOKUP($B78&amp;"__wt",'Xtal_SegEnds_BW#'!$A:$Z,10,FALSE)</f>
        <v>52</v>
      </c>
      <c r="K78" s="1">
        <v>18</v>
      </c>
      <c r="L78" s="1">
        <f>VLOOKUP($B78&amp;"__wt",'Xtal_SegEnds_BW#'!$A:$Z,12,FALSE)</f>
        <v>56</v>
      </c>
      <c r="M78" s="1">
        <f>VLOOKUP($B78&amp;"__wt",'Xtal_SegEnds_BW#'!$A:$Z,13,FALSE)</f>
        <v>50</v>
      </c>
      <c r="N78" s="1">
        <v>57</v>
      </c>
      <c r="O78" s="1">
        <v>39</v>
      </c>
      <c r="P78" s="1">
        <f>VLOOKUP($B78&amp;"__wt",'Xtal_SegEnds_BW#'!$A:$Z,16,FALSE)</f>
        <v>63</v>
      </c>
      <c r="Q78" s="1">
        <f>VLOOKUP($B78&amp;"__wt",'Xtal_SegEnds_BW#'!$A:$Z,17,FALSE)</f>
        <v>50</v>
      </c>
      <c r="R78" s="1">
        <f>VLOOKUP($B78&amp;"__wt",'Xtal_SegEnds_BW#'!$A:$Z,18,FALSE)</f>
        <v>52</v>
      </c>
      <c r="S78" s="1">
        <f>VLOOKUP($B78&amp;"__wt",'Xtal_SegEnds_BW#'!$A:$Z,19,FALSE)</f>
        <v>34</v>
      </c>
      <c r="T78" s="23">
        <f t="array" ref="T78">INDEX('ICL3'!$G$2:$G$31,MATCH(MIN(ABS(AF78-'ICL3'!$F$2:$F$31)),ABS(AF78-'ICL3'!$F$2:$F$31),0))</f>
        <v>67</v>
      </c>
      <c r="U78" s="1">
        <f t="array" ref="U78">INDEX('ICL3'!$H$2:$H$31,MATCH(MIN(ABS(AF78-'ICL3'!$F$2:$F$31)),ABS(AF78-'ICL3'!$F$2:$F$31),0))</f>
        <v>26</v>
      </c>
      <c r="V78" s="1">
        <v>61</v>
      </c>
      <c r="W78" s="1">
        <v>31</v>
      </c>
      <c r="X78" s="1">
        <f>VLOOKUP($B78&amp;"__wt",'Xtal_SegEnds_BW#'!$A:$Z,24,FALSE)</f>
        <v>56</v>
      </c>
      <c r="Y78" s="1">
        <f>VLOOKUP($B78&amp;"__wt",'Xtal_SegEnds_BW#'!$A:$Z,25,FALSE)</f>
        <v>47</v>
      </c>
      <c r="Z78" s="1">
        <f>VLOOKUP($B78&amp;"__wt",'Xtal_SegEnds_BW#'!$A:$Z,26,FALSE)</f>
        <v>69</v>
      </c>
      <c r="AA78" s="63" t="str">
        <f>VLOOKUP(A78,Classification!A:B,2,FALSE)</f>
        <v>A</v>
      </c>
      <c r="AB78" s="1">
        <f>VLOOKUP(A78,'NonXtal_SegEnds_Prot#'!A:AL,10,FALSE)-VLOOKUP(A78,'NonXtal_SegEnds_Prot#'!A:AL,7,FALSE)</f>
        <v>14</v>
      </c>
      <c r="AC78" s="1">
        <f>VLOOKUP(A78,'NonXtal_SegEnds_Prot#'!A:AL,13,FALSE)-VLOOKUP(A78,'NonXtal_SegEnds_Prot#'!A:AL,10,FALSE)</f>
        <v>28</v>
      </c>
      <c r="AD78" s="1">
        <f>VLOOKUP(A78,'NonXtal_SegEnds_Prot#'!A:AL,16,FALSE)-VLOOKUP(A78,'NonXtal_SegEnds_Prot#'!A:AL,10,FALSE)</f>
        <v>59</v>
      </c>
      <c r="AE78" s="1">
        <f>VLOOKUP(A78,'NonXtal_SegEnds_Prot#'!A:AL,28,FALSE)-VLOOKUP(A78,'NonXtal_SegEnds_Prot#'!A:AL,25,FALSE)</f>
        <v>24</v>
      </c>
      <c r="AF78" s="1">
        <f>VLOOKUP(A78,'NonXtal_SegEnds_Prot#'!A:AL,31,FALSE)-VLOOKUP(A78,'NonXtal_SegEnds_Prot#'!A:AL,28,FALSE)</f>
        <v>46</v>
      </c>
      <c r="AG78" s="1">
        <f>VLOOKUP(A78,'NonXtal_SegEnds_Prot#'!A:AL,34,FALSE)-VLOOKUP(A78,'NonXtal_SegEnds_Prot#'!A:AL,31,FALSE)</f>
        <v>36</v>
      </c>
    </row>
    <row r="79" spans="1:33" x14ac:dyDescent="0.2">
      <c r="A79" s="1" t="s">
        <v>373</v>
      </c>
      <c r="B79" s="1" t="str">
        <f>VLOOKUP(A79,Xtal_Templ!A:B,2,FALSE)</f>
        <v>p2ry1_human</v>
      </c>
      <c r="C79" s="5">
        <f>VLOOKUP($B79&amp;"__wt",'Xtal_SegEnds_BW#'!$A:$Z,3,FALSE)</f>
        <v>30</v>
      </c>
      <c r="D79" s="1">
        <f>VLOOKUP($B79&amp;"__wt",'Xtal_SegEnds_BW#'!$A:$Z,4,FALSE)</f>
        <v>60</v>
      </c>
      <c r="E79" s="1" t="str">
        <f>VLOOKUP($B79&amp;"__wt",'Xtal_SegEnds_BW#'!$A:$Z,5,FALSE)</f>
        <v>-</v>
      </c>
      <c r="F79" s="1" t="str">
        <f>VLOOKUP($B79&amp;"__wt",'Xtal_SegEnds_BW#'!$A:$Z,6,FALSE)</f>
        <v>-</v>
      </c>
      <c r="G79" s="1">
        <v>37</v>
      </c>
      <c r="H79" s="1">
        <f>VLOOKUP($B79&amp;"__wt",'Xtal_SegEnds_BW#'!$A:$Z,8,FALSE)</f>
        <v>66</v>
      </c>
      <c r="I79" s="1">
        <f>VLOOKUP($B79&amp;"__wt",'Xtal_SegEnds_BW#'!$A:$Z,9,FALSE)</f>
        <v>49</v>
      </c>
      <c r="J79" s="1">
        <f>VLOOKUP($B79&amp;"__wt",'Xtal_SegEnds_BW#'!$A:$Z,10,FALSE)</f>
        <v>52</v>
      </c>
      <c r="K79" s="1">
        <v>18</v>
      </c>
      <c r="L79" s="1">
        <f>VLOOKUP($B79&amp;"__wt",'Xtal_SegEnds_BW#'!$A:$Z,12,FALSE)</f>
        <v>56</v>
      </c>
      <c r="M79" s="1">
        <f>VLOOKUP($B79&amp;"__wt",'Xtal_SegEnds_BW#'!$A:$Z,13,FALSE)</f>
        <v>50</v>
      </c>
      <c r="N79" s="1">
        <v>57</v>
      </c>
      <c r="O79" s="1">
        <v>39</v>
      </c>
      <c r="P79" s="1">
        <f>VLOOKUP($B79&amp;"__wt",'Xtal_SegEnds_BW#'!$A:$Z,16,FALSE)</f>
        <v>64</v>
      </c>
      <c r="Q79" s="1">
        <f>VLOOKUP($B79&amp;"__wt",'Xtal_SegEnds_BW#'!$A:$Z,17,FALSE)</f>
        <v>50</v>
      </c>
      <c r="R79" s="1">
        <f>VLOOKUP($B79&amp;"__wt",'Xtal_SegEnds_BW#'!$A:$Z,18,FALSE)</f>
        <v>52</v>
      </c>
      <c r="S79" s="1">
        <f>VLOOKUP($B79&amp;"__wt",'Xtal_SegEnds_BW#'!$A:$Z,19,FALSE)</f>
        <v>32</v>
      </c>
      <c r="T79" s="23">
        <f t="array" ref="T79">INDEX('ICL3'!$G$2:$G$31,MATCH(MIN(ABS(AF79-'ICL3'!$F$2:$F$31)),ABS(AF79-'ICL3'!$F$2:$F$31),0))</f>
        <v>67</v>
      </c>
      <c r="U79" s="1">
        <f t="array" ref="U79">INDEX('ICL3'!$H$2:$H$31,MATCH(MIN(ABS(AF79-'ICL3'!$F$2:$F$31)),ABS(AF79-'ICL3'!$F$2:$F$31),0))</f>
        <v>26</v>
      </c>
      <c r="V79" s="1">
        <v>64</v>
      </c>
      <c r="W79" s="1">
        <v>24</v>
      </c>
      <c r="X79" s="1">
        <f>VLOOKUP($B79&amp;"__wt",'Xtal_SegEnds_BW#'!$A:$Z,24,FALSE)</f>
        <v>56</v>
      </c>
      <c r="Y79" s="1">
        <f>VLOOKUP($B79&amp;"__wt",'Xtal_SegEnds_BW#'!$A:$Z,25,FALSE)</f>
        <v>47</v>
      </c>
      <c r="Z79" s="1">
        <f>VLOOKUP($B79&amp;"__wt",'Xtal_SegEnds_BW#'!$A:$Z,26,FALSE)</f>
        <v>59</v>
      </c>
      <c r="AA79" s="63" t="str">
        <f>VLOOKUP(A79,Classification!A:B,2,FALSE)</f>
        <v>A</v>
      </c>
      <c r="AB79" s="1" t="e">
        <f>VLOOKUP(A79,'NonXtal_SegEnds_Prot#'!A:AL,10,FALSE)-VLOOKUP(A79,'NonXtal_SegEnds_Prot#'!A:AL,7,FALSE)</f>
        <v>#VALUE!</v>
      </c>
      <c r="AC79" s="1">
        <f>VLOOKUP(A79,'NonXtal_SegEnds_Prot#'!A:AL,13,FALSE)-VLOOKUP(A79,'NonXtal_SegEnds_Prot#'!A:AL,10,FALSE)</f>
        <v>20</v>
      </c>
      <c r="AD79" s="1">
        <f>VLOOKUP(A79,'NonXtal_SegEnds_Prot#'!A:AL,16,FALSE)-VLOOKUP(A79,'NonXtal_SegEnds_Prot#'!A:AL,10,FALSE)</f>
        <v>52</v>
      </c>
      <c r="AE79" s="1">
        <f>VLOOKUP(A79,'NonXtal_SegEnds_Prot#'!A:AL,28,FALSE)-VLOOKUP(A79,'NonXtal_SegEnds_Prot#'!A:AL,25,FALSE)</f>
        <v>28</v>
      </c>
      <c r="AF79" s="1">
        <f>VLOOKUP(A79,'NonXtal_SegEnds_Prot#'!A:AL,31,FALSE)-VLOOKUP(A79,'NonXtal_SegEnds_Prot#'!A:AL,28,FALSE)</f>
        <v>47</v>
      </c>
      <c r="AG79" s="1">
        <f>VLOOKUP(A79,'NonXtal_SegEnds_Prot#'!A:AL,34,FALSE)-VLOOKUP(A79,'NonXtal_SegEnds_Prot#'!A:AL,31,FALSE)</f>
        <v>44</v>
      </c>
    </row>
    <row r="80" spans="1:33" x14ac:dyDescent="0.2">
      <c r="A80" s="1" t="s">
        <v>412</v>
      </c>
      <c r="B80" s="1" t="str">
        <f>VLOOKUP(A80,Xtal_Templ!A:B,2,FALSE)</f>
        <v>oprx_human</v>
      </c>
      <c r="C80" s="5">
        <f>VLOOKUP($B80&amp;"__wt",'Xtal_SegEnds_BW#'!$A:$Z,3,FALSE)</f>
        <v>29</v>
      </c>
      <c r="D80" s="1">
        <f>VLOOKUP($B80&amp;"__wt",'Xtal_SegEnds_BW#'!$A:$Z,4,FALSE)</f>
        <v>60</v>
      </c>
      <c r="E80" s="1">
        <f>VLOOKUP($B80&amp;"__wt",'Xtal_SegEnds_BW#'!$A:$Z,5,FALSE)</f>
        <v>48</v>
      </c>
      <c r="F80" s="1">
        <f>VLOOKUP($B80&amp;"__wt",'Xtal_SegEnds_BW#'!$A:$Z,6,FALSE)</f>
        <v>51</v>
      </c>
      <c r="G80" s="1">
        <v>37</v>
      </c>
      <c r="H80" s="1">
        <v>67</v>
      </c>
      <c r="I80" s="1">
        <f>VLOOKUP($B80&amp;"__wt",'Xtal_SegEnds_BW#'!$A:$Z,9,FALSE)</f>
        <v>49</v>
      </c>
      <c r="J80" s="1">
        <f>VLOOKUP($B80&amp;"__wt",'Xtal_SegEnds_BW#'!$A:$Z,10,FALSE)</f>
        <v>52</v>
      </c>
      <c r="K80" s="1">
        <v>18</v>
      </c>
      <c r="L80" s="1">
        <f>VLOOKUP($B80&amp;"__wt",'Xtal_SegEnds_BW#'!$A:$Z,12,FALSE)</f>
        <v>56</v>
      </c>
      <c r="M80" s="1">
        <f>VLOOKUP($B80&amp;"__wt",'Xtal_SegEnds_BW#'!$A:$Z,13,FALSE)</f>
        <v>50</v>
      </c>
      <c r="N80" s="1">
        <v>57</v>
      </c>
      <c r="O80" s="1">
        <v>39</v>
      </c>
      <c r="P80" s="1">
        <f>VLOOKUP($B80&amp;"__wt",'Xtal_SegEnds_BW#'!$A:$Z,16,FALSE)</f>
        <v>64</v>
      </c>
      <c r="Q80" s="1">
        <f>VLOOKUP($B80&amp;"__wt",'Xtal_SegEnds_BW#'!$A:$Z,17,FALSE)</f>
        <v>50</v>
      </c>
      <c r="R80" s="1">
        <f>VLOOKUP($B80&amp;"__wt",'Xtal_SegEnds_BW#'!$A:$Z,18,FALSE)</f>
        <v>52</v>
      </c>
      <c r="S80" s="1">
        <f>VLOOKUP($B80&amp;"__wt",'Xtal_SegEnds_BW#'!$A:$Z,19,FALSE)</f>
        <v>31</v>
      </c>
      <c r="T80" s="23">
        <f t="array" ref="T80">INDEX('ICL3'!$G$2:$G$31,MATCH(MIN(ABS(AF80-'ICL3'!$F$2:$F$31)),ABS(AF80-'ICL3'!$F$2:$F$31),0))</f>
        <v>67</v>
      </c>
      <c r="U80" s="1">
        <f t="array" ref="U80">INDEX('ICL3'!$H$2:$H$31,MATCH(MIN(ABS(AF80-'ICL3'!$F$2:$F$31)),ABS(AF80-'ICL3'!$F$2:$F$31),0))</f>
        <v>26</v>
      </c>
      <c r="V80" s="1">
        <v>61</v>
      </c>
      <c r="W80" s="1">
        <v>28</v>
      </c>
      <c r="X80" s="1">
        <f>VLOOKUP($B80&amp;"__wt",'Xtal_SegEnds_BW#'!$A:$Z,24,FALSE)</f>
        <v>56</v>
      </c>
      <c r="Y80" s="1">
        <f>VLOOKUP($B80&amp;"__wt",'Xtal_SegEnds_BW#'!$A:$Z,25,FALSE)</f>
        <v>47</v>
      </c>
      <c r="Z80" s="1">
        <f>VLOOKUP($B80&amp;"__wt",'Xtal_SegEnds_BW#'!$A:$Z,26,FALSE)</f>
        <v>59</v>
      </c>
      <c r="AA80" s="63" t="str">
        <f>VLOOKUP(A80,Classification!A:B,2,FALSE)</f>
        <v>A</v>
      </c>
      <c r="AB80" s="1" t="e">
        <f>VLOOKUP(A80,'NonXtal_SegEnds_Prot#'!A:AL,10,FALSE)-VLOOKUP(A80,'NonXtal_SegEnds_Prot#'!A:AL,7,FALSE)</f>
        <v>#VALUE!</v>
      </c>
      <c r="AC80" s="1" t="e">
        <f>VLOOKUP(A80,'NonXtal_SegEnds_Prot#'!A:AL,13,FALSE)-VLOOKUP(A80,'NonXtal_SegEnds_Prot#'!A:AL,10,FALSE)</f>
        <v>#VALUE!</v>
      </c>
      <c r="AD80" s="1">
        <f>VLOOKUP(A80,'NonXtal_SegEnds_Prot#'!A:AL,16,FALSE)-VLOOKUP(A80,'NonXtal_SegEnds_Prot#'!A:AL,10,FALSE)</f>
        <v>53</v>
      </c>
      <c r="AE80" s="1" t="e">
        <f>VLOOKUP(A80,'NonXtal_SegEnds_Prot#'!A:AL,28,FALSE)-VLOOKUP(A80,'NonXtal_SegEnds_Prot#'!A:AL,25,FALSE)</f>
        <v>#VALUE!</v>
      </c>
      <c r="AF80" s="1">
        <f>VLOOKUP(A80,'NonXtal_SegEnds_Prot#'!A:AL,31,FALSE)-VLOOKUP(A80,'NonXtal_SegEnds_Prot#'!A:AL,28,FALSE)</f>
        <v>47</v>
      </c>
      <c r="AG80" s="1">
        <f>VLOOKUP(A80,'NonXtal_SegEnds_Prot#'!A:AL,34,FALSE)-VLOOKUP(A80,'NonXtal_SegEnds_Prot#'!A:AL,31,FALSE)</f>
        <v>39</v>
      </c>
    </row>
    <row r="81" spans="1:33" x14ac:dyDescent="0.2">
      <c r="A81" s="1" t="s">
        <v>423</v>
      </c>
      <c r="B81" s="1" t="str">
        <f>VLOOKUP(A81,Xtal_Templ!A:B,2,FALSE)</f>
        <v>p2y12_human</v>
      </c>
      <c r="C81" s="5">
        <f>VLOOKUP($B81&amp;"__wt",'Xtal_SegEnds_BW#'!$A:$Z,3,FALSE)</f>
        <v>28</v>
      </c>
      <c r="D81" s="1">
        <f>VLOOKUP($B81&amp;"__wt",'Xtal_SegEnds_BW#'!$A:$Z,4,FALSE)</f>
        <v>60</v>
      </c>
      <c r="E81" s="1" t="str">
        <f>VLOOKUP($B81&amp;"__wt",'Xtal_SegEnds_BW#'!$A:$Z,5,FALSE)</f>
        <v>-</v>
      </c>
      <c r="F81" s="1" t="str">
        <f>VLOOKUP($B81&amp;"__wt",'Xtal_SegEnds_BW#'!$A:$Z,6,FALSE)</f>
        <v>-</v>
      </c>
      <c r="G81" s="1">
        <v>37</v>
      </c>
      <c r="H81" s="1">
        <f>VLOOKUP($B81&amp;"__wt",'Xtal_SegEnds_BW#'!$A:$Z,8,FALSE)</f>
        <v>66</v>
      </c>
      <c r="I81" s="1" t="str">
        <f>VLOOKUP($B81&amp;"__wt",'Xtal_SegEnds_BW#'!$A:$Z,9,FALSE)</f>
        <v>-</v>
      </c>
      <c r="J81" s="1" t="str">
        <f>VLOOKUP($B81&amp;"__wt",'Xtal_SegEnds_BW#'!$A:$Z,10,FALSE)</f>
        <v>-</v>
      </c>
      <c r="K81" s="1">
        <v>18</v>
      </c>
      <c r="L81" s="1">
        <f>VLOOKUP($B81&amp;"__wt",'Xtal_SegEnds_BW#'!$A:$Z,12,FALSE)</f>
        <v>56</v>
      </c>
      <c r="M81" s="1">
        <f>VLOOKUP($B81&amp;"__wt",'Xtal_SegEnds_BW#'!$A:$Z,13,FALSE)</f>
        <v>50</v>
      </c>
      <c r="N81" s="1">
        <v>57</v>
      </c>
      <c r="O81" s="1">
        <v>39</v>
      </c>
      <c r="P81" s="1">
        <f>VLOOKUP($B81&amp;"__wt",'Xtal_SegEnds_BW#'!$A:$Z,16,FALSE)</f>
        <v>64</v>
      </c>
      <c r="Q81" s="1">
        <f>VLOOKUP($B81&amp;"__wt",'Xtal_SegEnds_BW#'!$A:$Z,17,FALSE)</f>
        <v>50</v>
      </c>
      <c r="R81" s="1">
        <f>VLOOKUP($B81&amp;"__wt",'Xtal_SegEnds_BW#'!$A:$Z,18,FALSE)</f>
        <v>52</v>
      </c>
      <c r="S81" s="1">
        <f>VLOOKUP($B81&amp;"__wt",'Xtal_SegEnds_BW#'!$A:$Z,19,FALSE)</f>
        <v>30</v>
      </c>
      <c r="T81" s="23">
        <f t="array" ref="T81">INDEX('ICL3'!$G$2:$G$31,MATCH(MIN(ABS(AF81-'ICL3'!$F$2:$F$31)),ABS(AF81-'ICL3'!$F$2:$F$31),0))</f>
        <v>67</v>
      </c>
      <c r="U81" s="1">
        <f t="array" ref="U81">INDEX('ICL3'!$H$2:$H$31,MATCH(MIN(ABS(AF81-'ICL3'!$F$2:$F$31)),ABS(AF81-'ICL3'!$F$2:$F$31),0))</f>
        <v>26</v>
      </c>
      <c r="V81" s="1">
        <v>64</v>
      </c>
      <c r="W81" s="1">
        <v>24</v>
      </c>
      <c r="X81" s="1">
        <f>VLOOKUP($B81&amp;"__wt",'Xtal_SegEnds_BW#'!$A:$Z,24,FALSE)</f>
        <v>56</v>
      </c>
      <c r="Y81" s="1">
        <f>VLOOKUP($B81&amp;"__wt",'Xtal_SegEnds_BW#'!$A:$Z,25,FALSE)</f>
        <v>47</v>
      </c>
      <c r="Z81" s="1">
        <f>VLOOKUP($B81&amp;"__wt",'Xtal_SegEnds_BW#'!$A:$Z,26,FALSE)</f>
        <v>57</v>
      </c>
      <c r="AA81" s="63" t="str">
        <f>VLOOKUP(A81,Classification!A:B,2,FALSE)</f>
        <v>A</v>
      </c>
      <c r="AB81" s="1" t="e">
        <f>VLOOKUP(A81,'NonXtal_SegEnds_Prot#'!A:AL,10,FALSE)-VLOOKUP(A81,'NonXtal_SegEnds_Prot#'!A:AL,7,FALSE)</f>
        <v>#VALUE!</v>
      </c>
      <c r="AC81" s="1" t="e">
        <f>VLOOKUP(A81,'NonXtal_SegEnds_Prot#'!A:AL,13,FALSE)-VLOOKUP(A81,'NonXtal_SegEnds_Prot#'!A:AL,10,FALSE)</f>
        <v>#VALUE!</v>
      </c>
      <c r="AD81" s="1">
        <f>VLOOKUP(A81,'NonXtal_SegEnds_Prot#'!A:AL,16,FALSE)-VLOOKUP(A81,'NonXtal_SegEnds_Prot#'!A:AL,10,FALSE)</f>
        <v>52</v>
      </c>
      <c r="AE81" s="1">
        <f>VLOOKUP(A81,'NonXtal_SegEnds_Prot#'!A:AL,28,FALSE)-VLOOKUP(A81,'NonXtal_SegEnds_Prot#'!A:AL,25,FALSE)</f>
        <v>26</v>
      </c>
      <c r="AF81" s="1">
        <f>VLOOKUP(A81,'NonXtal_SegEnds_Prot#'!A:AL,31,FALSE)-VLOOKUP(A81,'NonXtal_SegEnds_Prot#'!A:AL,28,FALSE)</f>
        <v>47</v>
      </c>
      <c r="AG81" s="1">
        <f>VLOOKUP(A81,'NonXtal_SegEnds_Prot#'!A:AL,34,FALSE)-VLOOKUP(A81,'NonXtal_SegEnds_Prot#'!A:AL,31,FALSE)</f>
        <v>44</v>
      </c>
    </row>
    <row r="82" spans="1:33" x14ac:dyDescent="0.2">
      <c r="A82" s="1" t="s">
        <v>469</v>
      </c>
      <c r="B82" s="1" t="str">
        <f>VLOOKUP(A82,Xtal_Templ!A:B,2,FALSE)</f>
        <v>p2ry1_human</v>
      </c>
      <c r="C82" s="5">
        <f>VLOOKUP($B82&amp;"__wt",'Xtal_SegEnds_BW#'!$A:$Z,3,FALSE)</f>
        <v>30</v>
      </c>
      <c r="D82" s="1">
        <f>VLOOKUP($B82&amp;"__wt",'Xtal_SegEnds_BW#'!$A:$Z,4,FALSE)</f>
        <v>60</v>
      </c>
      <c r="E82" s="1" t="str">
        <f>VLOOKUP($B82&amp;"__wt",'Xtal_SegEnds_BW#'!$A:$Z,5,FALSE)</f>
        <v>-</v>
      </c>
      <c r="F82" s="1" t="str">
        <f>VLOOKUP($B82&amp;"__wt",'Xtal_SegEnds_BW#'!$A:$Z,6,FALSE)</f>
        <v>-</v>
      </c>
      <c r="G82" s="1">
        <v>37</v>
      </c>
      <c r="H82" s="1">
        <f>VLOOKUP($B82&amp;"__wt",'Xtal_SegEnds_BW#'!$A:$Z,8,FALSE)</f>
        <v>66</v>
      </c>
      <c r="I82" s="1">
        <f>VLOOKUP($B82&amp;"__wt",'Xtal_SegEnds_BW#'!$A:$Z,9,FALSE)</f>
        <v>49</v>
      </c>
      <c r="J82" s="1">
        <f>VLOOKUP($B82&amp;"__wt",'Xtal_SegEnds_BW#'!$A:$Z,10,FALSE)</f>
        <v>52</v>
      </c>
      <c r="K82" s="1">
        <v>18</v>
      </c>
      <c r="L82" s="1">
        <f>VLOOKUP($B82&amp;"__wt",'Xtal_SegEnds_BW#'!$A:$Z,12,FALSE)</f>
        <v>56</v>
      </c>
      <c r="M82" s="1">
        <f>VLOOKUP($B82&amp;"__wt",'Xtal_SegEnds_BW#'!$A:$Z,13,FALSE)</f>
        <v>50</v>
      </c>
      <c r="N82" s="1">
        <v>57</v>
      </c>
      <c r="O82" s="1">
        <v>39</v>
      </c>
      <c r="P82" s="1">
        <f>VLOOKUP($B82&amp;"__wt",'Xtal_SegEnds_BW#'!$A:$Z,16,FALSE)</f>
        <v>64</v>
      </c>
      <c r="Q82" s="1">
        <f>VLOOKUP($B82&amp;"__wt",'Xtal_SegEnds_BW#'!$A:$Z,17,FALSE)</f>
        <v>50</v>
      </c>
      <c r="R82" s="1">
        <f>VLOOKUP($B82&amp;"__wt",'Xtal_SegEnds_BW#'!$A:$Z,18,FALSE)</f>
        <v>52</v>
      </c>
      <c r="S82" s="1">
        <f>VLOOKUP($B82&amp;"__wt",'Xtal_SegEnds_BW#'!$A:$Z,19,FALSE)</f>
        <v>32</v>
      </c>
      <c r="T82" s="23">
        <f t="array" ref="T82">INDEX('ICL3'!$G$2:$G$31,MATCH(MIN(ABS(AF82-'ICL3'!$F$2:$F$31)),ABS(AF82-'ICL3'!$F$2:$F$31),0))</f>
        <v>67</v>
      </c>
      <c r="U82" s="1">
        <f t="array" ref="U82">INDEX('ICL3'!$H$2:$H$31,MATCH(MIN(ABS(AF82-'ICL3'!$F$2:$F$31)),ABS(AF82-'ICL3'!$F$2:$F$31),0))</f>
        <v>26</v>
      </c>
      <c r="V82" s="1">
        <v>61</v>
      </c>
      <c r="W82" s="1">
        <v>28</v>
      </c>
      <c r="X82" s="1">
        <f>VLOOKUP($B82&amp;"__wt",'Xtal_SegEnds_BW#'!$A:$Z,24,FALSE)</f>
        <v>56</v>
      </c>
      <c r="Y82" s="1">
        <f>VLOOKUP($B82&amp;"__wt",'Xtal_SegEnds_BW#'!$A:$Z,25,FALSE)</f>
        <v>47</v>
      </c>
      <c r="Z82" s="1">
        <f>VLOOKUP($B82&amp;"__wt",'Xtal_SegEnds_BW#'!$A:$Z,26,FALSE)</f>
        <v>59</v>
      </c>
      <c r="AA82" s="63" t="str">
        <f>VLOOKUP(A82,Classification!A:B,2,FALSE)</f>
        <v>A</v>
      </c>
      <c r="AB82" s="1" t="e">
        <f>VLOOKUP(A82,'NonXtal_SegEnds_Prot#'!A:AL,10,FALSE)-VLOOKUP(A82,'NonXtal_SegEnds_Prot#'!A:AL,7,FALSE)</f>
        <v>#VALUE!</v>
      </c>
      <c r="AC82" s="1">
        <f>VLOOKUP(A82,'NonXtal_SegEnds_Prot#'!A:AL,13,FALSE)-VLOOKUP(A82,'NonXtal_SegEnds_Prot#'!A:AL,10,FALSE)</f>
        <v>20</v>
      </c>
      <c r="AD82" s="1">
        <f>VLOOKUP(A82,'NonXtal_SegEnds_Prot#'!A:AL,16,FALSE)-VLOOKUP(A82,'NonXtal_SegEnds_Prot#'!A:AL,10,FALSE)</f>
        <v>52</v>
      </c>
      <c r="AE82" s="1">
        <f>VLOOKUP(A82,'NonXtal_SegEnds_Prot#'!A:AL,28,FALSE)-VLOOKUP(A82,'NonXtal_SegEnds_Prot#'!A:AL,25,FALSE)</f>
        <v>23</v>
      </c>
      <c r="AF82" s="1">
        <f>VLOOKUP(A82,'NonXtal_SegEnds_Prot#'!A:AL,31,FALSE)-VLOOKUP(A82,'NonXtal_SegEnds_Prot#'!A:AL,28,FALSE)</f>
        <v>47</v>
      </c>
      <c r="AG82" s="1">
        <f>VLOOKUP(A82,'NonXtal_SegEnds_Prot#'!A:AL,34,FALSE)-VLOOKUP(A82,'NonXtal_SegEnds_Prot#'!A:AL,31,FALSE)</f>
        <v>40</v>
      </c>
    </row>
    <row r="83" spans="1:33" x14ac:dyDescent="0.2">
      <c r="A83" s="1" t="s">
        <v>543</v>
      </c>
      <c r="B83" s="1" t="str">
        <f>VLOOKUP(A83,Xtal_Templ!A:B,2,FALSE)</f>
        <v>par1_human</v>
      </c>
      <c r="C83" s="5">
        <f>VLOOKUP($B83&amp;"__wt",'Xtal_SegEnds_BW#'!$A:$Z,3,FALSE)</f>
        <v>29</v>
      </c>
      <c r="D83" s="1">
        <f>VLOOKUP($B83&amp;"__wt",'Xtal_SegEnds_BW#'!$A:$Z,4,FALSE)</f>
        <v>60</v>
      </c>
      <c r="E83" s="1">
        <f>VLOOKUP($B83&amp;"__wt",'Xtal_SegEnds_BW#'!$A:$Z,5,FALSE)</f>
        <v>48</v>
      </c>
      <c r="F83" s="1">
        <f>VLOOKUP($B83&amp;"__wt",'Xtal_SegEnds_BW#'!$A:$Z,6,FALSE)</f>
        <v>51</v>
      </c>
      <c r="G83" s="1">
        <v>37</v>
      </c>
      <c r="H83" s="1">
        <f>VLOOKUP($B83&amp;"__wt",'Xtal_SegEnds_BW#'!$A:$Z,8,FALSE)</f>
        <v>66</v>
      </c>
      <c r="I83" s="1">
        <f>VLOOKUP($B83&amp;"__wt",'Xtal_SegEnds_BW#'!$A:$Z,9,FALSE)</f>
        <v>49</v>
      </c>
      <c r="J83" s="1">
        <f>VLOOKUP($B83&amp;"__wt",'Xtal_SegEnds_BW#'!$A:$Z,10,FALSE)</f>
        <v>52</v>
      </c>
      <c r="K83" s="1">
        <v>18</v>
      </c>
      <c r="L83" s="1">
        <f>VLOOKUP($B83&amp;"__wt",'Xtal_SegEnds_BW#'!$A:$Z,12,FALSE)</f>
        <v>56</v>
      </c>
      <c r="M83" s="1">
        <f>VLOOKUP($B83&amp;"__wt",'Xtal_SegEnds_BW#'!$A:$Z,13,FALSE)</f>
        <v>50</v>
      </c>
      <c r="N83" s="1">
        <v>57</v>
      </c>
      <c r="O83" s="1">
        <v>39</v>
      </c>
      <c r="P83" s="1">
        <f>VLOOKUP($B83&amp;"__wt",'Xtal_SegEnds_BW#'!$A:$Z,16,FALSE)</f>
        <v>63</v>
      </c>
      <c r="Q83" s="1">
        <f>VLOOKUP($B83&amp;"__wt",'Xtal_SegEnds_BW#'!$A:$Z,17,FALSE)</f>
        <v>50</v>
      </c>
      <c r="R83" s="1">
        <f>VLOOKUP($B83&amp;"__wt",'Xtal_SegEnds_BW#'!$A:$Z,18,FALSE)</f>
        <v>52</v>
      </c>
      <c r="S83" s="1">
        <f>VLOOKUP($B83&amp;"__wt",'Xtal_SegEnds_BW#'!$A:$Z,19,FALSE)</f>
        <v>32</v>
      </c>
      <c r="T83" s="23">
        <f t="array" ref="T83">INDEX('ICL3'!$G$2:$G$31,MATCH(MIN(ABS(AF83-'ICL3'!$F$2:$F$31)),ABS(AF83-'ICL3'!$F$2:$F$31),0))</f>
        <v>67</v>
      </c>
      <c r="U83" s="1">
        <f t="array" ref="U83">INDEX('ICL3'!$H$2:$H$31,MATCH(MIN(ABS(AF83-'ICL3'!$F$2:$F$31)),ABS(AF83-'ICL3'!$F$2:$F$31),0))</f>
        <v>26</v>
      </c>
      <c r="V83" s="1">
        <v>61</v>
      </c>
      <c r="W83" s="1">
        <v>28</v>
      </c>
      <c r="X83" s="1">
        <f>VLOOKUP($B83&amp;"__wt",'Xtal_SegEnds_BW#'!$A:$Z,24,FALSE)</f>
        <v>56</v>
      </c>
      <c r="Y83" s="1">
        <f>VLOOKUP($B83&amp;"__wt",'Xtal_SegEnds_BW#'!$A:$Z,25,FALSE)</f>
        <v>47</v>
      </c>
      <c r="Z83" s="1">
        <f>VLOOKUP($B83&amp;"__wt",'Xtal_SegEnds_BW#'!$A:$Z,26,FALSE)</f>
        <v>61</v>
      </c>
      <c r="AA83" s="63" t="str">
        <f>VLOOKUP(A83,Classification!A:B,2,FALSE)</f>
        <v>A</v>
      </c>
      <c r="AB83" s="1" t="e">
        <f>VLOOKUP(A83,'NonXtal_SegEnds_Prot#'!A:AL,10,FALSE)-VLOOKUP(A83,'NonXtal_SegEnds_Prot#'!A:AL,7,FALSE)</f>
        <v>#VALUE!</v>
      </c>
      <c r="AC83" s="1">
        <f>VLOOKUP(A83,'NonXtal_SegEnds_Prot#'!A:AL,13,FALSE)-VLOOKUP(A83,'NonXtal_SegEnds_Prot#'!A:AL,10,FALSE)</f>
        <v>20</v>
      </c>
      <c r="AD83" s="1">
        <f>VLOOKUP(A83,'NonXtal_SegEnds_Prot#'!A:AL,16,FALSE)-VLOOKUP(A83,'NonXtal_SegEnds_Prot#'!A:AL,10,FALSE)</f>
        <v>52</v>
      </c>
      <c r="AE83" s="1">
        <f>VLOOKUP(A83,'NonXtal_SegEnds_Prot#'!A:AL,28,FALSE)-VLOOKUP(A83,'NonXtal_SegEnds_Prot#'!A:AL,25,FALSE)</f>
        <v>30</v>
      </c>
      <c r="AF83" s="1">
        <f>VLOOKUP(A83,'NonXtal_SegEnds_Prot#'!A:AL,31,FALSE)-VLOOKUP(A83,'NonXtal_SegEnds_Prot#'!A:AL,28,FALSE)</f>
        <v>47</v>
      </c>
      <c r="AG83" s="1">
        <f>VLOOKUP(A83,'NonXtal_SegEnds_Prot#'!A:AL,34,FALSE)-VLOOKUP(A83,'NonXtal_SegEnds_Prot#'!A:AL,31,FALSE)</f>
        <v>38</v>
      </c>
    </row>
    <row r="84" spans="1:33" x14ac:dyDescent="0.2">
      <c r="A84" s="1" t="s">
        <v>571</v>
      </c>
      <c r="B84" s="1" t="str">
        <f>VLOOKUP(A84,Xtal_Templ!A:B,2,FALSE)</f>
        <v>s1pr1_human</v>
      </c>
      <c r="C84" s="5">
        <f>VLOOKUP($B84&amp;"__wt",'Xtal_SegEnds_BW#'!$A:$Z,3,FALSE)</f>
        <v>29</v>
      </c>
      <c r="D84" s="1">
        <f>VLOOKUP($B84&amp;"__wt",'Xtal_SegEnds_BW#'!$A:$Z,4,FALSE)</f>
        <v>60</v>
      </c>
      <c r="E84" s="1">
        <f>VLOOKUP($B84&amp;"__wt",'Xtal_SegEnds_BW#'!$A:$Z,5,FALSE)</f>
        <v>48</v>
      </c>
      <c r="F84" s="1">
        <f>VLOOKUP($B84&amp;"__wt",'Xtal_SegEnds_BW#'!$A:$Z,6,FALSE)</f>
        <v>51</v>
      </c>
      <c r="G84" s="1">
        <v>37</v>
      </c>
      <c r="H84" s="1">
        <v>63</v>
      </c>
      <c r="I84" s="1">
        <f>VLOOKUP($B84&amp;"__wt",'Xtal_SegEnds_BW#'!$A:$Z,9,FALSE)</f>
        <v>47</v>
      </c>
      <c r="J84" s="1">
        <f>VLOOKUP($B84&amp;"__wt",'Xtal_SegEnds_BW#'!$A:$Z,10,FALSE)</f>
        <v>53</v>
      </c>
      <c r="K84" s="1">
        <v>18</v>
      </c>
      <c r="L84" s="1">
        <f>VLOOKUP($B84&amp;"__wt",'Xtal_SegEnds_BW#'!$A:$Z,12,FALSE)</f>
        <v>56</v>
      </c>
      <c r="M84" s="1">
        <f>VLOOKUP($B84&amp;"__wt",'Xtal_SegEnds_BW#'!$A:$Z,13,FALSE)</f>
        <v>50</v>
      </c>
      <c r="N84" s="1">
        <v>57</v>
      </c>
      <c r="O84" s="1">
        <v>39</v>
      </c>
      <c r="P84" s="1">
        <f>VLOOKUP($B84&amp;"__wt",'Xtal_SegEnds_BW#'!$A:$Z,16,FALSE)</f>
        <v>63</v>
      </c>
      <c r="Q84" s="1" t="str">
        <f>VLOOKUP($B84&amp;"__wt",'Xtal_SegEnds_BW#'!$A:$Z,17,FALSE)</f>
        <v>-</v>
      </c>
      <c r="R84" s="1" t="str">
        <f>VLOOKUP($B84&amp;"__wt",'Xtal_SegEnds_BW#'!$A:$Z,18,FALSE)</f>
        <v>-</v>
      </c>
      <c r="S84" s="1">
        <f>VLOOKUP($B84&amp;"__wt",'Xtal_SegEnds_BW#'!$A:$Z,19,FALSE)</f>
        <v>36</v>
      </c>
      <c r="T84" s="23">
        <f t="array" ref="T84">INDEX('ICL3'!$G$2:$G$31,MATCH(MIN(ABS(AF84-'ICL3'!$F$2:$F$31)),ABS(AF84-'ICL3'!$F$2:$F$31),0))</f>
        <v>67</v>
      </c>
      <c r="U84" s="1">
        <f t="array" ref="U84">INDEX('ICL3'!$H$2:$H$31,MATCH(MIN(ABS(AF84-'ICL3'!$F$2:$F$31)),ABS(AF84-'ICL3'!$F$2:$F$31),0))</f>
        <v>26</v>
      </c>
      <c r="V84" s="1">
        <v>61</v>
      </c>
      <c r="W84" s="1">
        <v>30</v>
      </c>
      <c r="X84" s="1">
        <f>VLOOKUP($B84&amp;"__wt",'Xtal_SegEnds_BW#'!$A:$Z,24,FALSE)</f>
        <v>56</v>
      </c>
      <c r="Y84" s="1">
        <f>VLOOKUP($B84&amp;"__wt",'Xtal_SegEnds_BW#'!$A:$Z,25,FALSE)</f>
        <v>47</v>
      </c>
      <c r="Z84" s="1">
        <f>VLOOKUP($B84&amp;"__wt",'Xtal_SegEnds_BW#'!$A:$Z,26,FALSE)</f>
        <v>59</v>
      </c>
      <c r="AA84" s="63" t="str">
        <f>VLOOKUP(A84,Classification!A:B,2,FALSE)</f>
        <v>A</v>
      </c>
      <c r="AB84" s="1">
        <f>VLOOKUP(A84,'NonXtal_SegEnds_Prot#'!A:AL,10,FALSE)-VLOOKUP(A84,'NonXtal_SegEnds_Prot#'!A:AL,7,FALSE)</f>
        <v>15</v>
      </c>
      <c r="AC84" s="1">
        <f>VLOOKUP(A84,'NonXtal_SegEnds_Prot#'!A:AL,13,FALSE)-VLOOKUP(A84,'NonXtal_SegEnds_Prot#'!A:AL,10,FALSE)</f>
        <v>18</v>
      </c>
      <c r="AD84" s="1">
        <f>VLOOKUP(A84,'NonXtal_SegEnds_Prot#'!A:AL,16,FALSE)-VLOOKUP(A84,'NonXtal_SegEnds_Prot#'!A:AL,10,FALSE)</f>
        <v>51</v>
      </c>
      <c r="AE84" s="1" t="e">
        <f>VLOOKUP(A84,'NonXtal_SegEnds_Prot#'!A:AL,28,FALSE)-VLOOKUP(A84,'NonXtal_SegEnds_Prot#'!A:AL,25,FALSE)</f>
        <v>#VALUE!</v>
      </c>
      <c r="AF84" s="1">
        <f>VLOOKUP(A84,'NonXtal_SegEnds_Prot#'!A:AL,31,FALSE)-VLOOKUP(A84,'NonXtal_SegEnds_Prot#'!A:AL,28,FALSE)</f>
        <v>47</v>
      </c>
      <c r="AG84" s="1">
        <f>VLOOKUP(A84,'NonXtal_SegEnds_Prot#'!A:AL,34,FALSE)-VLOOKUP(A84,'NonXtal_SegEnds_Prot#'!A:AL,31,FALSE)</f>
        <v>37</v>
      </c>
    </row>
    <row r="85" spans="1:33" x14ac:dyDescent="0.2">
      <c r="A85" s="1" t="s">
        <v>352</v>
      </c>
      <c r="B85" s="1" t="str">
        <f>VLOOKUP(A85,Xtal_Templ!A:B,2,FALSE)</f>
        <v>agtr1_human</v>
      </c>
      <c r="C85" s="5">
        <f>VLOOKUP($B85&amp;"__wt",'Xtal_SegEnds_BW#'!$A:$Z,3,FALSE)</f>
        <v>30</v>
      </c>
      <c r="D85" s="1">
        <f>VLOOKUP($B85&amp;"__wt",'Xtal_SegEnds_BW#'!$A:$Z,4,FALSE)</f>
        <v>60</v>
      </c>
      <c r="E85" s="1">
        <f>VLOOKUP($B85&amp;"__wt",'Xtal_SegEnds_BW#'!$A:$Z,5,FALSE)</f>
        <v>48</v>
      </c>
      <c r="F85" s="1">
        <f>VLOOKUP($B85&amp;"__wt",'Xtal_SegEnds_BW#'!$A:$Z,6,FALSE)</f>
        <v>51</v>
      </c>
      <c r="G85" s="1">
        <v>37</v>
      </c>
      <c r="H85" s="1">
        <f>VLOOKUP($B85&amp;"__wt",'Xtal_SegEnds_BW#'!$A:$Z,8,FALSE)</f>
        <v>66</v>
      </c>
      <c r="I85" s="1">
        <f>VLOOKUP($B85&amp;"__wt",'Xtal_SegEnds_BW#'!$A:$Z,9,FALSE)</f>
        <v>49</v>
      </c>
      <c r="J85" s="1">
        <f>VLOOKUP($B85&amp;"__wt",'Xtal_SegEnds_BW#'!$A:$Z,10,FALSE)</f>
        <v>52</v>
      </c>
      <c r="K85" s="1">
        <v>18</v>
      </c>
      <c r="L85" s="1">
        <f>VLOOKUP($B85&amp;"__wt",'Xtal_SegEnds_BW#'!$A:$Z,12,FALSE)</f>
        <v>56</v>
      </c>
      <c r="M85" s="1">
        <f>VLOOKUP($B85&amp;"__wt",'Xtal_SegEnds_BW#'!$A:$Z,13,FALSE)</f>
        <v>50</v>
      </c>
      <c r="N85" s="1">
        <v>57</v>
      </c>
      <c r="O85" s="1">
        <v>39</v>
      </c>
      <c r="P85" s="1">
        <f>VLOOKUP($B85&amp;"__wt",'Xtal_SegEnds_BW#'!$A:$Z,16,FALSE)</f>
        <v>64</v>
      </c>
      <c r="Q85" s="1">
        <f>VLOOKUP($B85&amp;"__wt",'Xtal_SegEnds_BW#'!$A:$Z,17,FALSE)</f>
        <v>50</v>
      </c>
      <c r="R85" s="1">
        <f>VLOOKUP($B85&amp;"__wt",'Xtal_SegEnds_BW#'!$A:$Z,18,FALSE)</f>
        <v>52</v>
      </c>
      <c r="S85" s="1">
        <f>VLOOKUP($B85&amp;"__wt",'Xtal_SegEnds_BW#'!$A:$Z,19,FALSE)</f>
        <v>34</v>
      </c>
      <c r="T85" s="23">
        <f t="array" ref="T85">INDEX('ICL3'!$G$2:$G$31,MATCH(MIN(ABS(AF85-'ICL3'!$F$2:$F$31)),ABS(AF85-'ICL3'!$F$2:$F$31),0))</f>
        <v>68</v>
      </c>
      <c r="U85" s="1">
        <f t="array" ref="U85">INDEX('ICL3'!$H$2:$H$31,MATCH(MIN(ABS(AF85-'ICL3'!$F$2:$F$31)),ABS(AF85-'ICL3'!$F$2:$F$31),0))</f>
        <v>28</v>
      </c>
      <c r="V85" s="1">
        <v>64</v>
      </c>
      <c r="W85" s="1">
        <v>24</v>
      </c>
      <c r="X85" s="9">
        <f>VLOOKUP($B85&amp;"__wt",'Xtal_SegEnds_BW#'!$A:$Z,24,FALSE)</f>
        <v>56</v>
      </c>
      <c r="Y85" s="1">
        <f>VLOOKUP($B85&amp;"__wt",'Xtal_SegEnds_BW#'!$A:$Z,25,FALSE)</f>
        <v>47</v>
      </c>
      <c r="Z85" s="1">
        <f>VLOOKUP($B85&amp;"__wt",'Xtal_SegEnds_BW#'!$A:$Z,26,FALSE)</f>
        <v>61</v>
      </c>
      <c r="AA85" s="63" t="str">
        <f>VLOOKUP(A85,Classification!A:B,2,FALSE)</f>
        <v>A</v>
      </c>
      <c r="AB85" s="1">
        <f>VLOOKUP(A85,'NonXtal_SegEnds_Prot#'!A:AL,10,FALSE)-VLOOKUP(A85,'NonXtal_SegEnds_Prot#'!A:AL,7,FALSE)</f>
        <v>15</v>
      </c>
      <c r="AC85" s="1">
        <f>VLOOKUP(A85,'NonXtal_SegEnds_Prot#'!A:AL,13,FALSE)-VLOOKUP(A85,'NonXtal_SegEnds_Prot#'!A:AL,10,FALSE)</f>
        <v>20</v>
      </c>
      <c r="AD85" s="1">
        <f>VLOOKUP(A85,'NonXtal_SegEnds_Prot#'!A:AL,16,FALSE)-VLOOKUP(A85,'NonXtal_SegEnds_Prot#'!A:AL,10,FALSE)</f>
        <v>52</v>
      </c>
      <c r="AE85" s="1">
        <f>VLOOKUP(A85,'NonXtal_SegEnds_Prot#'!A:AL,28,FALSE)-VLOOKUP(A85,'NonXtal_SegEnds_Prot#'!A:AL,25,FALSE)</f>
        <v>27</v>
      </c>
      <c r="AF85" s="1">
        <f>VLOOKUP(A85,'NonXtal_SegEnds_Prot#'!A:AL,31,FALSE)-VLOOKUP(A85,'NonXtal_SegEnds_Prot#'!A:AL,28,FALSE)</f>
        <v>48</v>
      </c>
      <c r="AG85" s="1">
        <f>VLOOKUP(A85,'NonXtal_SegEnds_Prot#'!A:AL,34,FALSE)-VLOOKUP(A85,'NonXtal_SegEnds_Prot#'!A:AL,31,FALSE)</f>
        <v>44</v>
      </c>
    </row>
    <row r="86" spans="1:33" x14ac:dyDescent="0.2">
      <c r="A86" s="1" t="s">
        <v>353</v>
      </c>
      <c r="B86" s="1" t="str">
        <f>VLOOKUP(A86,Xtal_Templ!A:B,2,FALSE)</f>
        <v>agtr1_human</v>
      </c>
      <c r="C86" s="5">
        <f>VLOOKUP($B86&amp;"__wt",'Xtal_SegEnds_BW#'!$A:$Z,3,FALSE)</f>
        <v>30</v>
      </c>
      <c r="D86" s="1">
        <f>VLOOKUP($B86&amp;"__wt",'Xtal_SegEnds_BW#'!$A:$Z,4,FALSE)</f>
        <v>60</v>
      </c>
      <c r="E86" s="1">
        <f>VLOOKUP($B86&amp;"__wt",'Xtal_SegEnds_BW#'!$A:$Z,5,FALSE)</f>
        <v>48</v>
      </c>
      <c r="F86" s="1">
        <f>VLOOKUP($B86&amp;"__wt",'Xtal_SegEnds_BW#'!$A:$Z,6,FALSE)</f>
        <v>51</v>
      </c>
      <c r="G86" s="1">
        <v>37</v>
      </c>
      <c r="H86" s="1">
        <f>VLOOKUP($B86&amp;"__wt",'Xtal_SegEnds_BW#'!$A:$Z,8,FALSE)</f>
        <v>66</v>
      </c>
      <c r="I86" s="1">
        <f>VLOOKUP($B86&amp;"__wt",'Xtal_SegEnds_BW#'!$A:$Z,9,FALSE)</f>
        <v>49</v>
      </c>
      <c r="J86" s="1">
        <f>VLOOKUP($B86&amp;"__wt",'Xtal_SegEnds_BW#'!$A:$Z,10,FALSE)</f>
        <v>52</v>
      </c>
      <c r="K86" s="1">
        <v>18</v>
      </c>
      <c r="L86" s="1">
        <f>VLOOKUP($B86&amp;"__wt",'Xtal_SegEnds_BW#'!$A:$Z,12,FALSE)</f>
        <v>56</v>
      </c>
      <c r="M86" s="1">
        <f>VLOOKUP($B86&amp;"__wt",'Xtal_SegEnds_BW#'!$A:$Z,13,FALSE)</f>
        <v>50</v>
      </c>
      <c r="N86" s="1">
        <v>57</v>
      </c>
      <c r="O86" s="1">
        <v>39</v>
      </c>
      <c r="P86" s="1">
        <f>VLOOKUP($B86&amp;"__wt",'Xtal_SegEnds_BW#'!$A:$Z,16,FALSE)</f>
        <v>64</v>
      </c>
      <c r="Q86" s="1">
        <f>VLOOKUP($B86&amp;"__wt",'Xtal_SegEnds_BW#'!$A:$Z,17,FALSE)</f>
        <v>50</v>
      </c>
      <c r="R86" s="1">
        <f>VLOOKUP($B86&amp;"__wt",'Xtal_SegEnds_BW#'!$A:$Z,18,FALSE)</f>
        <v>52</v>
      </c>
      <c r="S86" s="1">
        <f>VLOOKUP($B86&amp;"__wt",'Xtal_SegEnds_BW#'!$A:$Z,19,FALSE)</f>
        <v>34</v>
      </c>
      <c r="T86" s="23">
        <f t="array" ref="T86">INDEX('ICL3'!$G$2:$G$31,MATCH(MIN(ABS(AF86-'ICL3'!$F$2:$F$31)),ABS(AF86-'ICL3'!$F$2:$F$31),0))</f>
        <v>68</v>
      </c>
      <c r="U86" s="1">
        <f t="array" ref="U86">INDEX('ICL3'!$H$2:$H$31,MATCH(MIN(ABS(AF86-'ICL3'!$F$2:$F$31)),ABS(AF86-'ICL3'!$F$2:$F$31),0))</f>
        <v>28</v>
      </c>
      <c r="V86" s="1">
        <v>64</v>
      </c>
      <c r="W86" s="1">
        <v>24</v>
      </c>
      <c r="X86" s="1">
        <f>VLOOKUP($B86&amp;"__wt",'Xtal_SegEnds_BW#'!$A:$Z,24,FALSE)</f>
        <v>56</v>
      </c>
      <c r="Y86" s="1">
        <f>VLOOKUP($B86&amp;"__wt",'Xtal_SegEnds_BW#'!$A:$Z,25,FALSE)</f>
        <v>47</v>
      </c>
      <c r="Z86" s="1">
        <f>VLOOKUP($B86&amp;"__wt",'Xtal_SegEnds_BW#'!$A:$Z,26,FALSE)</f>
        <v>61</v>
      </c>
      <c r="AA86" s="63" t="str">
        <f>VLOOKUP(A86,Classification!A:B,2,FALSE)</f>
        <v>A</v>
      </c>
      <c r="AB86" s="1" t="e">
        <f>VLOOKUP(A86,'NonXtal_SegEnds_Prot#'!A:AL,10,FALSE)-VLOOKUP(A86,'NonXtal_SegEnds_Prot#'!A:AL,7,FALSE)</f>
        <v>#VALUE!</v>
      </c>
      <c r="AC86" s="1">
        <f>VLOOKUP(A86,'NonXtal_SegEnds_Prot#'!A:AL,13,FALSE)-VLOOKUP(A86,'NonXtal_SegEnds_Prot#'!A:AL,10,FALSE)</f>
        <v>20</v>
      </c>
      <c r="AD86" s="1">
        <f>VLOOKUP(A86,'NonXtal_SegEnds_Prot#'!A:AL,16,FALSE)-VLOOKUP(A86,'NonXtal_SegEnds_Prot#'!A:AL,10,FALSE)</f>
        <v>52</v>
      </c>
      <c r="AE86" s="1">
        <f>VLOOKUP(A86,'NonXtal_SegEnds_Prot#'!A:AL,28,FALSE)-VLOOKUP(A86,'NonXtal_SegEnds_Prot#'!A:AL,25,FALSE)</f>
        <v>28</v>
      </c>
      <c r="AF86" s="1">
        <f>VLOOKUP(A86,'NonXtal_SegEnds_Prot#'!A:AL,31,FALSE)-VLOOKUP(A86,'NonXtal_SegEnds_Prot#'!A:AL,28,FALSE)</f>
        <v>48</v>
      </c>
      <c r="AG86" s="1">
        <f>VLOOKUP(A86,'NonXtal_SegEnds_Prot#'!A:AL,34,FALSE)-VLOOKUP(A86,'NonXtal_SegEnds_Prot#'!A:AL,31,FALSE)</f>
        <v>44</v>
      </c>
    </row>
    <row r="87" spans="1:33" x14ac:dyDescent="0.2">
      <c r="A87" s="1" t="s">
        <v>410</v>
      </c>
      <c r="B87" s="1" t="str">
        <f>VLOOKUP(A87,Xtal_Templ!A:B,2,FALSE)</f>
        <v>ntr1_rat</v>
      </c>
      <c r="C87" s="5">
        <f>VLOOKUP($B87&amp;"__wt",'Xtal_SegEnds_BW#'!$A:$Z,3,FALSE)</f>
        <v>29</v>
      </c>
      <c r="D87" s="1">
        <f>VLOOKUP($B87&amp;"__wt",'Xtal_SegEnds_BW#'!$A:$Z,4,FALSE)</f>
        <v>60</v>
      </c>
      <c r="E87" s="1">
        <f>VLOOKUP($B87&amp;"__wt",'Xtal_SegEnds_BW#'!$A:$Z,5,FALSE)</f>
        <v>48</v>
      </c>
      <c r="F87" s="1">
        <f>VLOOKUP($B87&amp;"__wt",'Xtal_SegEnds_BW#'!$A:$Z,6,FALSE)</f>
        <v>51</v>
      </c>
      <c r="G87" s="1">
        <v>37</v>
      </c>
      <c r="H87" s="1">
        <v>67</v>
      </c>
      <c r="I87" s="1">
        <f>VLOOKUP($B87&amp;"__wt",'Xtal_SegEnds_BW#'!$A:$Z,9,FALSE)</f>
        <v>49</v>
      </c>
      <c r="J87" s="1">
        <f>VLOOKUP($B87&amp;"__wt",'Xtal_SegEnds_BW#'!$A:$Z,10,FALSE)</f>
        <v>52</v>
      </c>
      <c r="K87" s="1">
        <v>18</v>
      </c>
      <c r="L87" s="1">
        <f>VLOOKUP($B87&amp;"__wt",'Xtal_SegEnds_BW#'!$A:$Z,12,FALSE)</f>
        <v>56</v>
      </c>
      <c r="M87" s="1">
        <f>VLOOKUP($B87&amp;"__wt",'Xtal_SegEnds_BW#'!$A:$Z,13,FALSE)</f>
        <v>50</v>
      </c>
      <c r="N87" s="1">
        <v>57</v>
      </c>
      <c r="O87" s="1">
        <v>39</v>
      </c>
      <c r="P87" s="1">
        <f>VLOOKUP($B87&amp;"__wt",'Xtal_SegEnds_BW#'!$A:$Z,16,FALSE)</f>
        <v>64</v>
      </c>
      <c r="Q87" s="1">
        <f>VLOOKUP($B87&amp;"__wt",'Xtal_SegEnds_BW#'!$A:$Z,17,FALSE)</f>
        <v>50</v>
      </c>
      <c r="R87" s="1">
        <f>VLOOKUP($B87&amp;"__wt",'Xtal_SegEnds_BW#'!$A:$Z,18,FALSE)</f>
        <v>52</v>
      </c>
      <c r="S87" s="1">
        <f>VLOOKUP($B87&amp;"__wt",'Xtal_SegEnds_BW#'!$A:$Z,19,FALSE)</f>
        <v>32</v>
      </c>
      <c r="T87" s="23">
        <f t="array" ref="T87">INDEX('ICL3'!$G$2:$G$31,MATCH(MIN(ABS(AF87-'ICL3'!$F$2:$F$31)),ABS(AF87-'ICL3'!$F$2:$F$31),0))</f>
        <v>68</v>
      </c>
      <c r="U87" s="1">
        <f t="array" ref="U87">INDEX('ICL3'!$H$2:$H$31,MATCH(MIN(ABS(AF87-'ICL3'!$F$2:$F$31)),ABS(AF87-'ICL3'!$F$2:$F$31),0))</f>
        <v>28</v>
      </c>
      <c r="V87" s="1">
        <v>61</v>
      </c>
      <c r="W87" s="1">
        <v>28</v>
      </c>
      <c r="X87" s="1">
        <f>VLOOKUP($B87&amp;"__wt",'Xtal_SegEnds_BW#'!$A:$Z,24,FALSE)</f>
        <v>56</v>
      </c>
      <c r="Y87" s="1">
        <f>VLOOKUP($B87&amp;"__wt",'Xtal_SegEnds_BW#'!$A:$Z,25,FALSE)</f>
        <v>47</v>
      </c>
      <c r="Z87" s="1">
        <f>VLOOKUP($B87&amp;"__wt",'Xtal_SegEnds_BW#'!$A:$Z,26,FALSE)</f>
        <v>58</v>
      </c>
      <c r="AA87" s="63" t="str">
        <f>VLOOKUP(A87,Classification!A:B,2,FALSE)</f>
        <v>A</v>
      </c>
      <c r="AB87" s="1" t="e">
        <f>VLOOKUP(A87,'NonXtal_SegEnds_Prot#'!A:AL,10,FALSE)-VLOOKUP(A87,'NonXtal_SegEnds_Prot#'!A:AL,7,FALSE)</f>
        <v>#VALUE!</v>
      </c>
      <c r="AC87" s="1" t="e">
        <f>VLOOKUP(A87,'NonXtal_SegEnds_Prot#'!A:AL,13,FALSE)-VLOOKUP(A87,'NonXtal_SegEnds_Prot#'!A:AL,10,FALSE)</f>
        <v>#VALUE!</v>
      </c>
      <c r="AD87" s="1">
        <f>VLOOKUP(A87,'NonXtal_SegEnds_Prot#'!A:AL,16,FALSE)-VLOOKUP(A87,'NonXtal_SegEnds_Prot#'!A:AL,10,FALSE)</f>
        <v>53</v>
      </c>
      <c r="AE87" s="1" t="e">
        <f>VLOOKUP(A87,'NonXtal_SegEnds_Prot#'!A:AL,28,FALSE)-VLOOKUP(A87,'NonXtal_SegEnds_Prot#'!A:AL,25,FALSE)</f>
        <v>#VALUE!</v>
      </c>
      <c r="AF87" s="1">
        <f>VLOOKUP(A87,'NonXtal_SegEnds_Prot#'!A:AL,31,FALSE)-VLOOKUP(A87,'NonXtal_SegEnds_Prot#'!A:AL,28,FALSE)</f>
        <v>48</v>
      </c>
      <c r="AG87" s="1">
        <f>VLOOKUP(A87,'NonXtal_SegEnds_Prot#'!A:AL,34,FALSE)-VLOOKUP(A87,'NonXtal_SegEnds_Prot#'!A:AL,31,FALSE)</f>
        <v>39</v>
      </c>
    </row>
    <row r="88" spans="1:33" x14ac:dyDescent="0.2">
      <c r="A88" s="1" t="s">
        <v>418</v>
      </c>
      <c r="B88" s="1" t="str">
        <f>VLOOKUP(A88,Xtal_Templ!A:B,2,FALSE)</f>
        <v>ntr1_rat</v>
      </c>
      <c r="C88" s="5">
        <f>VLOOKUP($B88&amp;"__wt",'Xtal_SegEnds_BW#'!$A:$Z,3,FALSE)</f>
        <v>29</v>
      </c>
      <c r="D88" s="1">
        <f>VLOOKUP($B88&amp;"__wt",'Xtal_SegEnds_BW#'!$A:$Z,4,FALSE)</f>
        <v>60</v>
      </c>
      <c r="E88" s="1">
        <f>VLOOKUP($B88&amp;"__wt",'Xtal_SegEnds_BW#'!$A:$Z,5,FALSE)</f>
        <v>48</v>
      </c>
      <c r="F88" s="1">
        <f>VLOOKUP($B88&amp;"__wt",'Xtal_SegEnds_BW#'!$A:$Z,6,FALSE)</f>
        <v>51</v>
      </c>
      <c r="G88" s="1">
        <v>37</v>
      </c>
      <c r="H88" s="1">
        <v>67</v>
      </c>
      <c r="I88" s="1">
        <f>VLOOKUP($B88&amp;"__wt",'Xtal_SegEnds_BW#'!$A:$Z,9,FALSE)</f>
        <v>49</v>
      </c>
      <c r="J88" s="1">
        <f>VLOOKUP($B88&amp;"__wt",'Xtal_SegEnds_BW#'!$A:$Z,10,FALSE)</f>
        <v>52</v>
      </c>
      <c r="K88" s="1">
        <v>18</v>
      </c>
      <c r="L88" s="1">
        <f>VLOOKUP($B88&amp;"__wt",'Xtal_SegEnds_BW#'!$A:$Z,12,FALSE)</f>
        <v>56</v>
      </c>
      <c r="M88" s="1">
        <f>VLOOKUP($B88&amp;"__wt",'Xtal_SegEnds_BW#'!$A:$Z,13,FALSE)</f>
        <v>50</v>
      </c>
      <c r="N88" s="1">
        <v>57</v>
      </c>
      <c r="O88" s="1">
        <v>39</v>
      </c>
      <c r="P88" s="1">
        <f>VLOOKUP($B88&amp;"__wt",'Xtal_SegEnds_BW#'!$A:$Z,16,FALSE)</f>
        <v>64</v>
      </c>
      <c r="Q88" s="1">
        <f>VLOOKUP($B88&amp;"__wt",'Xtal_SegEnds_BW#'!$A:$Z,17,FALSE)</f>
        <v>50</v>
      </c>
      <c r="R88" s="1">
        <f>VLOOKUP($B88&amp;"__wt",'Xtal_SegEnds_BW#'!$A:$Z,18,FALSE)</f>
        <v>52</v>
      </c>
      <c r="S88" s="1">
        <v>35</v>
      </c>
      <c r="T88" s="23">
        <f t="array" ref="T88">INDEX('ICL3'!$G$2:$G$31,MATCH(MIN(ABS(AF88-'ICL3'!$F$2:$F$31)),ABS(AF88-'ICL3'!$F$2:$F$31),0))</f>
        <v>68</v>
      </c>
      <c r="U88" s="1">
        <f t="array" ref="U88">INDEX('ICL3'!$H$2:$H$31,MATCH(MIN(ABS(AF88-'ICL3'!$F$2:$F$31)),ABS(AF88-'ICL3'!$F$2:$F$31),0))</f>
        <v>28</v>
      </c>
      <c r="V88" s="1">
        <v>61</v>
      </c>
      <c r="W88" s="1">
        <v>28</v>
      </c>
      <c r="X88" s="1">
        <f>VLOOKUP($B88&amp;"__wt",'Xtal_SegEnds_BW#'!$A:$Z,24,FALSE)</f>
        <v>56</v>
      </c>
      <c r="Y88" s="1">
        <f>VLOOKUP($B88&amp;"__wt",'Xtal_SegEnds_BW#'!$A:$Z,25,FALSE)</f>
        <v>47</v>
      </c>
      <c r="Z88" s="1">
        <f>VLOOKUP($B88&amp;"__wt",'Xtal_SegEnds_BW#'!$A:$Z,26,FALSE)</f>
        <v>58</v>
      </c>
      <c r="AA88" s="63" t="str">
        <f>VLOOKUP(A88,Classification!A:B,2,FALSE)</f>
        <v>A</v>
      </c>
      <c r="AB88" s="1" t="e">
        <f>VLOOKUP(A88,'NonXtal_SegEnds_Prot#'!A:AL,10,FALSE)-VLOOKUP(A88,'NonXtal_SegEnds_Prot#'!A:AL,7,FALSE)</f>
        <v>#VALUE!</v>
      </c>
      <c r="AC88" s="1">
        <f>VLOOKUP(A88,'NonXtal_SegEnds_Prot#'!A:AL,13,FALSE)-VLOOKUP(A88,'NonXtal_SegEnds_Prot#'!A:AL,10,FALSE)</f>
        <v>20</v>
      </c>
      <c r="AD88" s="1">
        <f>VLOOKUP(A88,'NonXtal_SegEnds_Prot#'!A:AL,16,FALSE)-VLOOKUP(A88,'NonXtal_SegEnds_Prot#'!A:AL,10,FALSE)</f>
        <v>52</v>
      </c>
      <c r="AE88" s="1">
        <f>VLOOKUP(A88,'NonXtal_SegEnds_Prot#'!A:AL,28,FALSE)-VLOOKUP(A88,'NonXtal_SegEnds_Prot#'!A:AL,25,FALSE)</f>
        <v>22</v>
      </c>
      <c r="AF88" s="1">
        <f>VLOOKUP(A88,'NonXtal_SegEnds_Prot#'!A:AL,31,FALSE)-VLOOKUP(A88,'NonXtal_SegEnds_Prot#'!A:AL,28,FALSE)</f>
        <v>48</v>
      </c>
      <c r="AG88" s="1">
        <f>VLOOKUP(A88,'NonXtal_SegEnds_Prot#'!A:AL,34,FALSE)-VLOOKUP(A88,'NonXtal_SegEnds_Prot#'!A:AL,31,FALSE)</f>
        <v>40</v>
      </c>
    </row>
    <row r="89" spans="1:33" x14ac:dyDescent="0.2">
      <c r="A89" s="1" t="s">
        <v>425</v>
      </c>
      <c r="B89" s="1" t="str">
        <f>VLOOKUP(A89,Xtal_Templ!A:B,2,FALSE)</f>
        <v>p2ry1_human</v>
      </c>
      <c r="C89" s="5">
        <f>VLOOKUP($B89&amp;"__wt",'Xtal_SegEnds_BW#'!$A:$Z,3,FALSE)</f>
        <v>30</v>
      </c>
      <c r="D89" s="1">
        <f>VLOOKUP($B89&amp;"__wt",'Xtal_SegEnds_BW#'!$A:$Z,4,FALSE)</f>
        <v>60</v>
      </c>
      <c r="E89" s="1" t="str">
        <f>VLOOKUP($B89&amp;"__wt",'Xtal_SegEnds_BW#'!$A:$Z,5,FALSE)</f>
        <v>-</v>
      </c>
      <c r="F89" s="1" t="str">
        <f>VLOOKUP($B89&amp;"__wt",'Xtal_SegEnds_BW#'!$A:$Z,6,FALSE)</f>
        <v>-</v>
      </c>
      <c r="G89" s="1">
        <v>37</v>
      </c>
      <c r="H89" s="1">
        <v>66</v>
      </c>
      <c r="I89" s="1">
        <f>VLOOKUP($B89&amp;"__wt",'Xtal_SegEnds_BW#'!$A:$Z,9,FALSE)</f>
        <v>49</v>
      </c>
      <c r="J89" s="1">
        <f>VLOOKUP($B89&amp;"__wt",'Xtal_SegEnds_BW#'!$A:$Z,10,FALSE)</f>
        <v>52</v>
      </c>
      <c r="K89" s="1">
        <v>18</v>
      </c>
      <c r="L89" s="1">
        <f>VLOOKUP($B89&amp;"__wt",'Xtal_SegEnds_BW#'!$A:$Z,12,FALSE)</f>
        <v>56</v>
      </c>
      <c r="M89" s="1">
        <f>VLOOKUP($B89&amp;"__wt",'Xtal_SegEnds_BW#'!$A:$Z,13,FALSE)</f>
        <v>50</v>
      </c>
      <c r="N89" s="1">
        <v>57</v>
      </c>
      <c r="O89" s="1">
        <v>39</v>
      </c>
      <c r="P89" s="1">
        <f>VLOOKUP($B89&amp;"__wt",'Xtal_SegEnds_BW#'!$A:$Z,16,FALSE)</f>
        <v>64</v>
      </c>
      <c r="Q89" s="1">
        <f>VLOOKUP($B89&amp;"__wt",'Xtal_SegEnds_BW#'!$A:$Z,17,FALSE)</f>
        <v>50</v>
      </c>
      <c r="R89" s="1">
        <f>VLOOKUP($B89&amp;"__wt",'Xtal_SegEnds_BW#'!$A:$Z,18,FALSE)</f>
        <v>52</v>
      </c>
      <c r="S89" s="1">
        <f>VLOOKUP($B89&amp;"__wt",'Xtal_SegEnds_BW#'!$A:$Z,19,FALSE)</f>
        <v>32</v>
      </c>
      <c r="T89" s="23">
        <f t="array" ref="T89">INDEX('ICL3'!$G$2:$G$31,MATCH(MIN(ABS(AF89-'ICL3'!$F$2:$F$31)),ABS(AF89-'ICL3'!$F$2:$F$31),0))</f>
        <v>68</v>
      </c>
      <c r="U89" s="1">
        <f t="array" ref="U89">INDEX('ICL3'!$H$2:$H$31,MATCH(MIN(ABS(AF89-'ICL3'!$F$2:$F$31)),ABS(AF89-'ICL3'!$F$2:$F$31),0))</f>
        <v>28</v>
      </c>
      <c r="V89" s="1">
        <v>64</v>
      </c>
      <c r="W89" s="1">
        <v>24</v>
      </c>
      <c r="X89" s="1">
        <f>VLOOKUP($B89&amp;"__wt",'Xtal_SegEnds_BW#'!$A:$Z,24,FALSE)</f>
        <v>56</v>
      </c>
      <c r="Y89" s="1">
        <f>VLOOKUP($B89&amp;"__wt",'Xtal_SegEnds_BW#'!$A:$Z,25,FALSE)</f>
        <v>47</v>
      </c>
      <c r="Z89" s="1">
        <f>VLOOKUP($B89&amp;"__wt",'Xtal_SegEnds_BW#'!$A:$Z,26,FALSE)</f>
        <v>59</v>
      </c>
      <c r="AA89" s="63" t="str">
        <f>VLOOKUP(A89,Classification!A:B,2,FALSE)</f>
        <v>A</v>
      </c>
      <c r="AB89" s="1" t="e">
        <f>VLOOKUP(A89,'NonXtal_SegEnds_Prot#'!A:AL,10,FALSE)-VLOOKUP(A89,'NonXtal_SegEnds_Prot#'!A:AL,7,FALSE)</f>
        <v>#VALUE!</v>
      </c>
      <c r="AC89" s="1">
        <f>VLOOKUP(A89,'NonXtal_SegEnds_Prot#'!A:AL,13,FALSE)-VLOOKUP(A89,'NonXtal_SegEnds_Prot#'!A:AL,10,FALSE)</f>
        <v>19</v>
      </c>
      <c r="AD89" s="1">
        <f>VLOOKUP(A89,'NonXtal_SegEnds_Prot#'!A:AL,16,FALSE)-VLOOKUP(A89,'NonXtal_SegEnds_Prot#'!A:AL,10,FALSE)</f>
        <v>51</v>
      </c>
      <c r="AE89" s="1">
        <f>VLOOKUP(A89,'NonXtal_SegEnds_Prot#'!A:AL,28,FALSE)-VLOOKUP(A89,'NonXtal_SegEnds_Prot#'!A:AL,25,FALSE)</f>
        <v>29</v>
      </c>
      <c r="AF89" s="1">
        <f>VLOOKUP(A89,'NonXtal_SegEnds_Prot#'!A:AL,31,FALSE)-VLOOKUP(A89,'NonXtal_SegEnds_Prot#'!A:AL,28,FALSE)</f>
        <v>48</v>
      </c>
      <c r="AG89" s="1">
        <f>VLOOKUP(A89,'NonXtal_SegEnds_Prot#'!A:AL,34,FALSE)-VLOOKUP(A89,'NonXtal_SegEnds_Prot#'!A:AL,31,FALSE)</f>
        <v>44</v>
      </c>
    </row>
    <row r="90" spans="1:33" x14ac:dyDescent="0.2">
      <c r="A90" s="1" t="s">
        <v>430</v>
      </c>
      <c r="B90" s="1" t="str">
        <f>VLOOKUP(A90,Xtal_Templ!A:B,2,FALSE)</f>
        <v>agtr1_human</v>
      </c>
      <c r="C90" s="5">
        <f>VLOOKUP($B90&amp;"__wt",'Xtal_SegEnds_BW#'!$A:$Z,3,FALSE)</f>
        <v>30</v>
      </c>
      <c r="D90" s="1">
        <f>VLOOKUP($B90&amp;"__wt",'Xtal_SegEnds_BW#'!$A:$Z,4,FALSE)</f>
        <v>60</v>
      </c>
      <c r="E90" s="1">
        <f>VLOOKUP($B90&amp;"__wt",'Xtal_SegEnds_BW#'!$A:$Z,5,FALSE)</f>
        <v>48</v>
      </c>
      <c r="F90" s="1">
        <f>VLOOKUP($B90&amp;"__wt",'Xtal_SegEnds_BW#'!$A:$Z,6,FALSE)</f>
        <v>51</v>
      </c>
      <c r="G90" s="1">
        <v>37</v>
      </c>
      <c r="H90" s="1">
        <v>66</v>
      </c>
      <c r="I90" s="1">
        <f>VLOOKUP($B90&amp;"__wt",'Xtal_SegEnds_BW#'!$A:$Z,9,FALSE)</f>
        <v>49</v>
      </c>
      <c r="J90" s="1">
        <f>VLOOKUP($B90&amp;"__wt",'Xtal_SegEnds_BW#'!$A:$Z,10,FALSE)</f>
        <v>52</v>
      </c>
      <c r="K90" s="1">
        <v>24</v>
      </c>
      <c r="L90" s="1">
        <f>VLOOKUP($B90&amp;"__wt",'Xtal_SegEnds_BW#'!$A:$Z,12,FALSE)</f>
        <v>56</v>
      </c>
      <c r="M90" s="1">
        <f>VLOOKUP($B90&amp;"__wt",'Xtal_SegEnds_BW#'!$A:$Z,13,FALSE)</f>
        <v>50</v>
      </c>
      <c r="N90" s="1">
        <v>57</v>
      </c>
      <c r="O90" s="1">
        <v>39</v>
      </c>
      <c r="P90" s="1">
        <f>VLOOKUP($B90&amp;"__wt",'Xtal_SegEnds_BW#'!$A:$Z,16,FALSE)</f>
        <v>64</v>
      </c>
      <c r="Q90" s="1">
        <f>VLOOKUP($B90&amp;"__wt",'Xtal_SegEnds_BW#'!$A:$Z,17,FALSE)</f>
        <v>50</v>
      </c>
      <c r="R90" s="1">
        <f>VLOOKUP($B90&amp;"__wt",'Xtal_SegEnds_BW#'!$A:$Z,18,FALSE)</f>
        <v>52</v>
      </c>
      <c r="S90" s="1">
        <v>34</v>
      </c>
      <c r="T90" s="23">
        <f t="array" ref="T90">INDEX('ICL3'!$G$2:$G$31,MATCH(MIN(ABS(AF90-'ICL3'!$F$2:$F$31)),ABS(AF90-'ICL3'!$F$2:$F$31),0))</f>
        <v>68</v>
      </c>
      <c r="U90" s="1">
        <f t="array" ref="U90">INDEX('ICL3'!$H$2:$H$31,MATCH(MIN(ABS(AF90-'ICL3'!$F$2:$F$31)),ABS(AF90-'ICL3'!$F$2:$F$31),0))</f>
        <v>28</v>
      </c>
      <c r="V90" s="1">
        <v>64</v>
      </c>
      <c r="W90" s="1">
        <v>24</v>
      </c>
      <c r="X90" s="9">
        <f>VLOOKUP($B90&amp;"__wt",'Xtal_SegEnds_BW#'!$A:$Z,24,FALSE)</f>
        <v>56</v>
      </c>
      <c r="Y90" s="1">
        <f>VLOOKUP($B90&amp;"__wt",'Xtal_SegEnds_BW#'!$A:$Z,25,FALSE)</f>
        <v>47</v>
      </c>
      <c r="Z90" s="1">
        <f>VLOOKUP($B90&amp;"__wt",'Xtal_SegEnds_BW#'!$A:$Z,26,FALSE)</f>
        <v>61</v>
      </c>
      <c r="AA90" s="63" t="str">
        <f>VLOOKUP(A90,Classification!A:B,2,FALSE)</f>
        <v>A</v>
      </c>
      <c r="AB90" s="1">
        <f>VLOOKUP(A90,'NonXtal_SegEnds_Prot#'!A:AL,10,FALSE)-VLOOKUP(A90,'NonXtal_SegEnds_Prot#'!A:AL,7,FALSE)</f>
        <v>15</v>
      </c>
      <c r="AC90" s="1">
        <f>VLOOKUP(A90,'NonXtal_SegEnds_Prot#'!A:AL,13,FALSE)-VLOOKUP(A90,'NonXtal_SegEnds_Prot#'!A:AL,10,FALSE)</f>
        <v>19</v>
      </c>
      <c r="AD90" s="1">
        <f>VLOOKUP(A90,'NonXtal_SegEnds_Prot#'!A:AL,16,FALSE)-VLOOKUP(A90,'NonXtal_SegEnds_Prot#'!A:AL,10,FALSE)</f>
        <v>50</v>
      </c>
      <c r="AE90" s="1">
        <f>VLOOKUP(A90,'NonXtal_SegEnds_Prot#'!A:AL,28,FALSE)-VLOOKUP(A90,'NonXtal_SegEnds_Prot#'!A:AL,25,FALSE)</f>
        <v>21</v>
      </c>
      <c r="AF90" s="1">
        <f>VLOOKUP(A90,'NonXtal_SegEnds_Prot#'!A:AL,31,FALSE)-VLOOKUP(A90,'NonXtal_SegEnds_Prot#'!A:AL,28,FALSE)</f>
        <v>48</v>
      </c>
      <c r="AG90" s="1">
        <f>VLOOKUP(A90,'NonXtal_SegEnds_Prot#'!A:AL,34,FALSE)-VLOOKUP(A90,'NonXtal_SegEnds_Prot#'!A:AL,31,FALSE)</f>
        <v>47</v>
      </c>
    </row>
    <row r="91" spans="1:33" x14ac:dyDescent="0.2">
      <c r="A91" s="1" t="s">
        <v>435</v>
      </c>
      <c r="B91" s="1" t="str">
        <f>VLOOKUP(A91,Xtal_Templ!A:B,2,FALSE)</f>
        <v>p2ry1_human</v>
      </c>
      <c r="C91" s="5">
        <f>VLOOKUP($B91&amp;"__wt",'Xtal_SegEnds_BW#'!$A:$Z,3,FALSE)</f>
        <v>30</v>
      </c>
      <c r="D91" s="1">
        <f>VLOOKUP($B91&amp;"__wt",'Xtal_SegEnds_BW#'!$A:$Z,4,FALSE)</f>
        <v>60</v>
      </c>
      <c r="E91" s="1" t="str">
        <f>VLOOKUP($B91&amp;"__wt",'Xtal_SegEnds_BW#'!$A:$Z,5,FALSE)</f>
        <v>-</v>
      </c>
      <c r="F91" s="1" t="str">
        <f>VLOOKUP($B91&amp;"__wt",'Xtal_SegEnds_BW#'!$A:$Z,6,FALSE)</f>
        <v>-</v>
      </c>
      <c r="G91" s="1">
        <v>37</v>
      </c>
      <c r="H91" s="1">
        <v>66</v>
      </c>
      <c r="I91" s="1">
        <f>VLOOKUP($B91&amp;"__wt",'Xtal_SegEnds_BW#'!$A:$Z,9,FALSE)</f>
        <v>49</v>
      </c>
      <c r="J91" s="1">
        <f>VLOOKUP($B91&amp;"__wt",'Xtal_SegEnds_BW#'!$A:$Z,10,FALSE)</f>
        <v>52</v>
      </c>
      <c r="K91" s="1">
        <v>18</v>
      </c>
      <c r="L91" s="1">
        <f>VLOOKUP($B91&amp;"__wt",'Xtal_SegEnds_BW#'!$A:$Z,12,FALSE)</f>
        <v>56</v>
      </c>
      <c r="M91" s="1">
        <f>VLOOKUP($B91&amp;"__wt",'Xtal_SegEnds_BW#'!$A:$Z,13,FALSE)</f>
        <v>50</v>
      </c>
      <c r="N91" s="1">
        <v>57</v>
      </c>
      <c r="O91" s="1">
        <v>39</v>
      </c>
      <c r="P91" s="1">
        <f>VLOOKUP($B91&amp;"__wt",'Xtal_SegEnds_BW#'!$A:$Z,16,FALSE)</f>
        <v>64</v>
      </c>
      <c r="Q91" s="1">
        <f>VLOOKUP($B91&amp;"__wt",'Xtal_SegEnds_BW#'!$A:$Z,17,FALSE)</f>
        <v>50</v>
      </c>
      <c r="R91" s="1">
        <f>VLOOKUP($B91&amp;"__wt",'Xtal_SegEnds_BW#'!$A:$Z,18,FALSE)</f>
        <v>52</v>
      </c>
      <c r="S91" s="1">
        <f>VLOOKUP($B91&amp;"__wt",'Xtal_SegEnds_BW#'!$A:$Z,19,FALSE)</f>
        <v>32</v>
      </c>
      <c r="T91" s="23">
        <f t="array" ref="T91">INDEX('ICL3'!$G$2:$G$31,MATCH(MIN(ABS(AF91-'ICL3'!$F$2:$F$31)),ABS(AF91-'ICL3'!$F$2:$F$31),0))</f>
        <v>68</v>
      </c>
      <c r="U91" s="1">
        <f t="array" ref="U91">INDEX('ICL3'!$H$2:$H$31,MATCH(MIN(ABS(AF91-'ICL3'!$F$2:$F$31)),ABS(AF91-'ICL3'!$F$2:$F$31),0))</f>
        <v>28</v>
      </c>
      <c r="V91" s="1">
        <v>61</v>
      </c>
      <c r="W91" s="1">
        <v>31</v>
      </c>
      <c r="X91" s="1">
        <f>VLOOKUP($B91&amp;"__wt",'Xtal_SegEnds_BW#'!$A:$Z,24,FALSE)</f>
        <v>56</v>
      </c>
      <c r="Y91" s="1">
        <f>VLOOKUP($B91&amp;"__wt",'Xtal_SegEnds_BW#'!$A:$Z,25,FALSE)</f>
        <v>47</v>
      </c>
      <c r="Z91" s="1">
        <f>VLOOKUP($B91&amp;"__wt",'Xtal_SegEnds_BW#'!$A:$Z,26,FALSE)</f>
        <v>59</v>
      </c>
      <c r="AA91" s="63" t="str">
        <f>VLOOKUP(A91,Classification!A:B,2,FALSE)</f>
        <v>A</v>
      </c>
      <c r="AB91" s="1" t="e">
        <f>VLOOKUP(A91,'NonXtal_SegEnds_Prot#'!A:AL,10,FALSE)-VLOOKUP(A91,'NonXtal_SegEnds_Prot#'!A:AL,7,FALSE)</f>
        <v>#VALUE!</v>
      </c>
      <c r="AC91" s="1">
        <f>VLOOKUP(A91,'NonXtal_SegEnds_Prot#'!A:AL,13,FALSE)-VLOOKUP(A91,'NonXtal_SegEnds_Prot#'!A:AL,10,FALSE)</f>
        <v>19</v>
      </c>
      <c r="AD91" s="1">
        <f>VLOOKUP(A91,'NonXtal_SegEnds_Prot#'!A:AL,16,FALSE)-VLOOKUP(A91,'NonXtal_SegEnds_Prot#'!A:AL,10,FALSE)</f>
        <v>51</v>
      </c>
      <c r="AE91" s="1">
        <f>VLOOKUP(A91,'NonXtal_SegEnds_Prot#'!A:AL,28,FALSE)-VLOOKUP(A91,'NonXtal_SegEnds_Prot#'!A:AL,25,FALSE)</f>
        <v>27</v>
      </c>
      <c r="AF91" s="1">
        <f>VLOOKUP(A91,'NonXtal_SegEnds_Prot#'!A:AL,31,FALSE)-VLOOKUP(A91,'NonXtal_SegEnds_Prot#'!A:AL,28,FALSE)</f>
        <v>48</v>
      </c>
      <c r="AG91" s="1">
        <f>VLOOKUP(A91,'NonXtal_SegEnds_Prot#'!A:AL,34,FALSE)-VLOOKUP(A91,'NonXtal_SegEnds_Prot#'!A:AL,31,FALSE)</f>
        <v>36</v>
      </c>
    </row>
    <row r="92" spans="1:33" x14ac:dyDescent="0.2">
      <c r="A92" s="1" t="s">
        <v>437</v>
      </c>
      <c r="B92" s="1" t="str">
        <f>VLOOKUP(A92,Xtal_Templ!A:B,2,FALSE)</f>
        <v>par1_human</v>
      </c>
      <c r="C92" s="5">
        <f>VLOOKUP($B92&amp;"__wt",'Xtal_SegEnds_BW#'!$A:$Z,3,FALSE)</f>
        <v>29</v>
      </c>
      <c r="D92" s="1">
        <f>VLOOKUP($B92&amp;"__wt",'Xtal_SegEnds_BW#'!$A:$Z,4,FALSE)</f>
        <v>60</v>
      </c>
      <c r="E92" s="1">
        <f>VLOOKUP($B92&amp;"__wt",'Xtal_SegEnds_BW#'!$A:$Z,5,FALSE)</f>
        <v>48</v>
      </c>
      <c r="F92" s="1">
        <f>VLOOKUP($B92&amp;"__wt",'Xtal_SegEnds_BW#'!$A:$Z,6,FALSE)</f>
        <v>51</v>
      </c>
      <c r="G92" s="1">
        <v>37</v>
      </c>
      <c r="H92" s="1">
        <v>66</v>
      </c>
      <c r="I92" s="1">
        <f>VLOOKUP($B92&amp;"__wt",'Xtal_SegEnds_BW#'!$A:$Z,9,FALSE)</f>
        <v>49</v>
      </c>
      <c r="J92" s="1">
        <f>VLOOKUP($B92&amp;"__wt",'Xtal_SegEnds_BW#'!$A:$Z,10,FALSE)</f>
        <v>52</v>
      </c>
      <c r="K92" s="1">
        <v>24</v>
      </c>
      <c r="L92" s="1">
        <f>VLOOKUP($B92&amp;"__wt",'Xtal_SegEnds_BW#'!$A:$Z,12,FALSE)</f>
        <v>56</v>
      </c>
      <c r="M92" s="1">
        <f>VLOOKUP($B92&amp;"__wt",'Xtal_SegEnds_BW#'!$A:$Z,13,FALSE)</f>
        <v>50</v>
      </c>
      <c r="N92" s="1">
        <v>57</v>
      </c>
      <c r="O92" s="1">
        <v>39</v>
      </c>
      <c r="P92" s="1">
        <f>VLOOKUP($B92&amp;"__wt",'Xtal_SegEnds_BW#'!$A:$Z,16,FALSE)</f>
        <v>63</v>
      </c>
      <c r="Q92" s="1">
        <f>VLOOKUP($B92&amp;"__wt",'Xtal_SegEnds_BW#'!$A:$Z,17,FALSE)</f>
        <v>50</v>
      </c>
      <c r="R92" s="1">
        <f>VLOOKUP($B92&amp;"__wt",'Xtal_SegEnds_BW#'!$A:$Z,18,FALSE)</f>
        <v>52</v>
      </c>
      <c r="S92" s="1">
        <f>VLOOKUP($B92&amp;"__wt",'Xtal_SegEnds_BW#'!$A:$Z,19,FALSE)</f>
        <v>32</v>
      </c>
      <c r="T92" s="23">
        <f t="array" ref="T92">INDEX('ICL3'!$G$2:$G$31,MATCH(MIN(ABS(AF92-'ICL3'!$F$2:$F$31)),ABS(AF92-'ICL3'!$F$2:$F$31),0))</f>
        <v>68</v>
      </c>
      <c r="U92" s="1">
        <f t="array" ref="U92">INDEX('ICL3'!$H$2:$H$31,MATCH(MIN(ABS(AF92-'ICL3'!$F$2:$F$31)),ABS(AF92-'ICL3'!$F$2:$F$31),0))</f>
        <v>28</v>
      </c>
      <c r="V92" s="1">
        <v>61</v>
      </c>
      <c r="W92" s="1">
        <v>28</v>
      </c>
      <c r="X92" s="1">
        <f>VLOOKUP($B92&amp;"__wt",'Xtal_SegEnds_BW#'!$A:$Z,24,FALSE)</f>
        <v>56</v>
      </c>
      <c r="Y92" s="1">
        <f>VLOOKUP($B92&amp;"__wt",'Xtal_SegEnds_BW#'!$A:$Z,25,FALSE)</f>
        <v>47</v>
      </c>
      <c r="Z92" s="1">
        <f>VLOOKUP($B92&amp;"__wt",'Xtal_SegEnds_BW#'!$A:$Z,26,FALSE)</f>
        <v>61</v>
      </c>
      <c r="AA92" s="63" t="str">
        <f>VLOOKUP(A92,Classification!A:B,2,FALSE)</f>
        <v>A</v>
      </c>
      <c r="AB92" s="1">
        <f>VLOOKUP(A92,'NonXtal_SegEnds_Prot#'!A:AL,10,FALSE)-VLOOKUP(A92,'NonXtal_SegEnds_Prot#'!A:AL,7,FALSE)</f>
        <v>15</v>
      </c>
      <c r="AC92" s="1" t="e">
        <f>VLOOKUP(A92,'NonXtal_SegEnds_Prot#'!A:AL,13,FALSE)-VLOOKUP(A92,'NonXtal_SegEnds_Prot#'!A:AL,10,FALSE)</f>
        <v>#VALUE!</v>
      </c>
      <c r="AD92" s="1">
        <f>VLOOKUP(A92,'NonXtal_SegEnds_Prot#'!A:AL,16,FALSE)-VLOOKUP(A92,'NonXtal_SegEnds_Prot#'!A:AL,10,FALSE)</f>
        <v>49</v>
      </c>
      <c r="AE92" s="1" t="e">
        <f>VLOOKUP(A92,'NonXtal_SegEnds_Prot#'!A:AL,28,FALSE)-VLOOKUP(A92,'NonXtal_SegEnds_Prot#'!A:AL,25,FALSE)</f>
        <v>#VALUE!</v>
      </c>
      <c r="AF92" s="1">
        <f>VLOOKUP(A92,'NonXtal_SegEnds_Prot#'!A:AL,31,FALSE)-VLOOKUP(A92,'NonXtal_SegEnds_Prot#'!A:AL,28,FALSE)</f>
        <v>48</v>
      </c>
      <c r="AG92" s="1">
        <f>VLOOKUP(A92,'NonXtal_SegEnds_Prot#'!A:AL,34,FALSE)-VLOOKUP(A92,'NonXtal_SegEnds_Prot#'!A:AL,31,FALSE)</f>
        <v>38</v>
      </c>
    </row>
    <row r="93" spans="1:33" x14ac:dyDescent="0.2">
      <c r="A93" s="1" t="s">
        <v>444</v>
      </c>
      <c r="B93" s="1" t="str">
        <f>VLOOKUP(A93,Xtal_Templ!A:B,2,FALSE)</f>
        <v>p2ry1_human</v>
      </c>
      <c r="C93" s="5">
        <f>VLOOKUP($B93&amp;"__wt",'Xtal_SegEnds_BW#'!$A:$Z,3,FALSE)</f>
        <v>30</v>
      </c>
      <c r="D93" s="1">
        <f>VLOOKUP($B93&amp;"__wt",'Xtal_SegEnds_BW#'!$A:$Z,4,FALSE)</f>
        <v>60</v>
      </c>
      <c r="E93" s="1" t="str">
        <f>VLOOKUP($B93&amp;"__wt",'Xtal_SegEnds_BW#'!$A:$Z,5,FALSE)</f>
        <v>-</v>
      </c>
      <c r="F93" s="1" t="str">
        <f>VLOOKUP($B93&amp;"__wt",'Xtal_SegEnds_BW#'!$A:$Z,6,FALSE)</f>
        <v>-</v>
      </c>
      <c r="G93" s="1">
        <v>37</v>
      </c>
      <c r="H93" s="1">
        <f>VLOOKUP($B93&amp;"__wt",'Xtal_SegEnds_BW#'!$A:$Z,8,FALSE)</f>
        <v>66</v>
      </c>
      <c r="I93" s="1">
        <f>VLOOKUP($B93&amp;"__wt",'Xtal_SegEnds_BW#'!$A:$Z,9,FALSE)</f>
        <v>49</v>
      </c>
      <c r="J93" s="1">
        <f>VLOOKUP($B93&amp;"__wt",'Xtal_SegEnds_BW#'!$A:$Z,10,FALSE)</f>
        <v>52</v>
      </c>
      <c r="K93" s="1">
        <v>18</v>
      </c>
      <c r="L93" s="1">
        <f>VLOOKUP($B93&amp;"__wt",'Xtal_SegEnds_BW#'!$A:$Z,12,FALSE)</f>
        <v>56</v>
      </c>
      <c r="M93" s="1">
        <f>VLOOKUP($B93&amp;"__wt",'Xtal_SegEnds_BW#'!$A:$Z,13,FALSE)</f>
        <v>50</v>
      </c>
      <c r="N93" s="1">
        <v>57</v>
      </c>
      <c r="O93" s="1">
        <v>39</v>
      </c>
      <c r="P93" s="1">
        <f>VLOOKUP($B93&amp;"__wt",'Xtal_SegEnds_BW#'!$A:$Z,16,FALSE)</f>
        <v>64</v>
      </c>
      <c r="Q93" s="1">
        <f>VLOOKUP($B93&amp;"__wt",'Xtal_SegEnds_BW#'!$A:$Z,17,FALSE)</f>
        <v>50</v>
      </c>
      <c r="R93" s="1">
        <f>VLOOKUP($B93&amp;"__wt",'Xtal_SegEnds_BW#'!$A:$Z,18,FALSE)</f>
        <v>52</v>
      </c>
      <c r="S93" s="1">
        <f>VLOOKUP($B93&amp;"__wt",'Xtal_SegEnds_BW#'!$A:$Z,19,FALSE)</f>
        <v>32</v>
      </c>
      <c r="T93" s="23">
        <f t="array" ref="T93">INDEX('ICL3'!$G$2:$G$31,MATCH(MIN(ABS(AF93-'ICL3'!$F$2:$F$31)),ABS(AF93-'ICL3'!$F$2:$F$31),0))</f>
        <v>68</v>
      </c>
      <c r="U93" s="1">
        <f t="array" ref="U93">INDEX('ICL3'!$H$2:$H$31,MATCH(MIN(ABS(AF93-'ICL3'!$F$2:$F$31)),ABS(AF93-'ICL3'!$F$2:$F$31),0))</f>
        <v>28</v>
      </c>
      <c r="V93" s="1">
        <v>61</v>
      </c>
      <c r="W93" s="1">
        <v>28</v>
      </c>
      <c r="X93" s="1">
        <f>VLOOKUP($B93&amp;"__wt",'Xtal_SegEnds_BW#'!$A:$Z,24,FALSE)</f>
        <v>56</v>
      </c>
      <c r="Y93" s="1">
        <f>VLOOKUP($B93&amp;"__wt",'Xtal_SegEnds_BW#'!$A:$Z,25,FALSE)</f>
        <v>47</v>
      </c>
      <c r="Z93" s="1">
        <f>VLOOKUP($B93&amp;"__wt",'Xtal_SegEnds_BW#'!$A:$Z,26,FALSE)</f>
        <v>59</v>
      </c>
      <c r="AA93" s="63" t="str">
        <f>VLOOKUP(A93,Classification!A:B,2,FALSE)</f>
        <v>A</v>
      </c>
      <c r="AB93" s="1">
        <f>VLOOKUP(A93,'NonXtal_SegEnds_Prot#'!A:AL,10,FALSE)-VLOOKUP(A93,'NonXtal_SegEnds_Prot#'!A:AL,7,FALSE)</f>
        <v>15</v>
      </c>
      <c r="AC93" s="1">
        <f>VLOOKUP(A93,'NonXtal_SegEnds_Prot#'!A:AL,13,FALSE)-VLOOKUP(A93,'NonXtal_SegEnds_Prot#'!A:AL,10,FALSE)</f>
        <v>20</v>
      </c>
      <c r="AD93" s="1">
        <f>VLOOKUP(A93,'NonXtal_SegEnds_Prot#'!A:AL,16,FALSE)-VLOOKUP(A93,'NonXtal_SegEnds_Prot#'!A:AL,10,FALSE)</f>
        <v>52</v>
      </c>
      <c r="AE93" s="1">
        <f>VLOOKUP(A93,'NonXtal_SegEnds_Prot#'!A:AL,28,FALSE)-VLOOKUP(A93,'NonXtal_SegEnds_Prot#'!A:AL,25,FALSE)</f>
        <v>27</v>
      </c>
      <c r="AF93" s="1">
        <f>VLOOKUP(A93,'NonXtal_SegEnds_Prot#'!A:AL,31,FALSE)-VLOOKUP(A93,'NonXtal_SegEnds_Prot#'!A:AL,28,FALSE)</f>
        <v>48</v>
      </c>
      <c r="AG93" s="1">
        <f>VLOOKUP(A93,'NonXtal_SegEnds_Prot#'!A:AL,34,FALSE)-VLOOKUP(A93,'NonXtal_SegEnds_Prot#'!A:AL,31,FALSE)</f>
        <v>42</v>
      </c>
    </row>
    <row r="94" spans="1:33" x14ac:dyDescent="0.2">
      <c r="A94" s="1" t="s">
        <v>455</v>
      </c>
      <c r="B94" s="1" t="str">
        <f>VLOOKUP(A94,Xtal_Templ!A:B,2,FALSE)</f>
        <v>par1_human</v>
      </c>
      <c r="C94" s="5">
        <f>VLOOKUP($B94&amp;"__wt",'Xtal_SegEnds_BW#'!$A:$Z,3,FALSE)</f>
        <v>29</v>
      </c>
      <c r="D94" s="1">
        <f>VLOOKUP($B94&amp;"__wt",'Xtal_SegEnds_BW#'!$A:$Z,4,FALSE)</f>
        <v>60</v>
      </c>
      <c r="E94" s="1">
        <f>VLOOKUP($B94&amp;"__wt",'Xtal_SegEnds_BW#'!$A:$Z,5,FALSE)</f>
        <v>48</v>
      </c>
      <c r="F94" s="1">
        <f>VLOOKUP($B94&amp;"__wt",'Xtal_SegEnds_BW#'!$A:$Z,6,FALSE)</f>
        <v>51</v>
      </c>
      <c r="G94" s="1">
        <v>37</v>
      </c>
      <c r="H94" s="1">
        <v>66</v>
      </c>
      <c r="I94" s="1">
        <f>VLOOKUP($B94&amp;"__wt",'Xtal_SegEnds_BW#'!$A:$Z,9,FALSE)</f>
        <v>49</v>
      </c>
      <c r="J94" s="1">
        <f>VLOOKUP($B94&amp;"__wt",'Xtal_SegEnds_BW#'!$A:$Z,10,FALSE)</f>
        <v>52</v>
      </c>
      <c r="K94" s="1">
        <v>24</v>
      </c>
      <c r="L94" s="1">
        <f>VLOOKUP($B94&amp;"__wt",'Xtal_SegEnds_BW#'!$A:$Z,12,FALSE)</f>
        <v>56</v>
      </c>
      <c r="M94" s="1">
        <f>VLOOKUP($B94&amp;"__wt",'Xtal_SegEnds_BW#'!$A:$Z,13,FALSE)</f>
        <v>50</v>
      </c>
      <c r="N94" s="1">
        <v>57</v>
      </c>
      <c r="O94" s="1">
        <v>39</v>
      </c>
      <c r="P94" s="1">
        <f>VLOOKUP($B94&amp;"__wt",'Xtal_SegEnds_BW#'!$A:$Z,16,FALSE)</f>
        <v>63</v>
      </c>
      <c r="Q94" s="1">
        <f>VLOOKUP($B94&amp;"__wt",'Xtal_SegEnds_BW#'!$A:$Z,17,FALSE)</f>
        <v>50</v>
      </c>
      <c r="R94" s="1">
        <f>VLOOKUP($B94&amp;"__wt",'Xtal_SegEnds_BW#'!$A:$Z,18,FALSE)</f>
        <v>52</v>
      </c>
      <c r="S94" s="1">
        <f>VLOOKUP($B94&amp;"__wt",'Xtal_SegEnds_BW#'!$A:$Z,19,FALSE)</f>
        <v>32</v>
      </c>
      <c r="T94" s="23">
        <f t="array" ref="T94">INDEX('ICL3'!$G$2:$G$31,MATCH(MIN(ABS(AF94-'ICL3'!$F$2:$F$31)),ABS(AF94-'ICL3'!$F$2:$F$31),0))</f>
        <v>68</v>
      </c>
      <c r="U94" s="1">
        <f t="array" ref="U94">INDEX('ICL3'!$H$2:$H$31,MATCH(MIN(ABS(AF94-'ICL3'!$F$2:$F$31)),ABS(AF94-'ICL3'!$F$2:$F$31),0))</f>
        <v>28</v>
      </c>
      <c r="V94" s="1">
        <v>64</v>
      </c>
      <c r="W94" s="1">
        <v>24</v>
      </c>
      <c r="X94" s="1">
        <f>VLOOKUP($B94&amp;"__wt",'Xtal_SegEnds_BW#'!$A:$Z,24,FALSE)</f>
        <v>56</v>
      </c>
      <c r="Y94" s="1">
        <f>VLOOKUP($B94&amp;"__wt",'Xtal_SegEnds_BW#'!$A:$Z,25,FALSE)</f>
        <v>47</v>
      </c>
      <c r="Z94" s="1">
        <f>VLOOKUP($B94&amp;"__wt",'Xtal_SegEnds_BW#'!$A:$Z,26,FALSE)</f>
        <v>61</v>
      </c>
      <c r="AA94" s="63" t="str">
        <f>VLOOKUP(A94,Classification!A:B,2,FALSE)</f>
        <v>A</v>
      </c>
      <c r="AB94" s="1" t="e">
        <f>VLOOKUP(A94,'NonXtal_SegEnds_Prot#'!A:AL,10,FALSE)-VLOOKUP(A94,'NonXtal_SegEnds_Prot#'!A:AL,7,FALSE)</f>
        <v>#VALUE!</v>
      </c>
      <c r="AC94" s="1" t="e">
        <f>VLOOKUP(A94,'NonXtal_SegEnds_Prot#'!A:AL,13,FALSE)-VLOOKUP(A94,'NonXtal_SegEnds_Prot#'!A:AL,10,FALSE)</f>
        <v>#VALUE!</v>
      </c>
      <c r="AD94" s="1">
        <f>VLOOKUP(A94,'NonXtal_SegEnds_Prot#'!A:AL,16,FALSE)-VLOOKUP(A94,'NonXtal_SegEnds_Prot#'!A:AL,10,FALSE)</f>
        <v>49</v>
      </c>
      <c r="AE94" s="1">
        <f>VLOOKUP(A94,'NonXtal_SegEnds_Prot#'!A:AL,28,FALSE)-VLOOKUP(A94,'NonXtal_SegEnds_Prot#'!A:AL,25,FALSE)</f>
        <v>25</v>
      </c>
      <c r="AF94" s="1">
        <f>VLOOKUP(A94,'NonXtal_SegEnds_Prot#'!A:AL,31,FALSE)-VLOOKUP(A94,'NonXtal_SegEnds_Prot#'!A:AL,28,FALSE)</f>
        <v>48</v>
      </c>
      <c r="AG94" s="1">
        <f>VLOOKUP(A94,'NonXtal_SegEnds_Prot#'!A:AL,34,FALSE)-VLOOKUP(A94,'NonXtal_SegEnds_Prot#'!A:AL,31,FALSE)</f>
        <v>44</v>
      </c>
    </row>
    <row r="95" spans="1:33" x14ac:dyDescent="0.2">
      <c r="A95" s="1" t="s">
        <v>482</v>
      </c>
      <c r="B95" s="1" t="str">
        <f>VLOOKUP(A95,Xtal_Templ!A:B,2,FALSE)</f>
        <v>p2ry1_human</v>
      </c>
      <c r="C95" s="5">
        <f>VLOOKUP($B95&amp;"__wt",'Xtal_SegEnds_BW#'!$A:$Z,3,FALSE)</f>
        <v>30</v>
      </c>
      <c r="D95" s="1">
        <f>VLOOKUP($B95&amp;"__wt",'Xtal_SegEnds_BW#'!$A:$Z,4,FALSE)</f>
        <v>60</v>
      </c>
      <c r="E95" s="1" t="str">
        <f>VLOOKUP($B95&amp;"__wt",'Xtal_SegEnds_BW#'!$A:$Z,5,FALSE)</f>
        <v>-</v>
      </c>
      <c r="F95" s="1" t="str">
        <f>VLOOKUP($B95&amp;"__wt",'Xtal_SegEnds_BW#'!$A:$Z,6,FALSE)</f>
        <v>-</v>
      </c>
      <c r="G95" s="1">
        <v>37</v>
      </c>
      <c r="H95" s="1">
        <v>66</v>
      </c>
      <c r="I95" s="1">
        <f>VLOOKUP($B95&amp;"__wt",'Xtal_SegEnds_BW#'!$A:$Z,9,FALSE)</f>
        <v>49</v>
      </c>
      <c r="J95" s="1">
        <f>VLOOKUP($B95&amp;"__wt",'Xtal_SegEnds_BW#'!$A:$Z,10,FALSE)</f>
        <v>52</v>
      </c>
      <c r="K95" s="1">
        <v>18</v>
      </c>
      <c r="L95" s="1">
        <f>VLOOKUP($B95&amp;"__wt",'Xtal_SegEnds_BW#'!$A:$Z,12,FALSE)</f>
        <v>56</v>
      </c>
      <c r="M95" s="1">
        <f>VLOOKUP($B95&amp;"__wt",'Xtal_SegEnds_BW#'!$A:$Z,13,FALSE)</f>
        <v>50</v>
      </c>
      <c r="N95" s="1">
        <v>57</v>
      </c>
      <c r="O95" s="1">
        <v>39</v>
      </c>
      <c r="P95" s="1">
        <f>VLOOKUP($B95&amp;"__wt",'Xtal_SegEnds_BW#'!$A:$Z,16,FALSE)</f>
        <v>64</v>
      </c>
      <c r="Q95" s="1">
        <f>VLOOKUP($B95&amp;"__wt",'Xtal_SegEnds_BW#'!$A:$Z,17,FALSE)</f>
        <v>50</v>
      </c>
      <c r="R95" s="1">
        <f>VLOOKUP($B95&amp;"__wt",'Xtal_SegEnds_BW#'!$A:$Z,18,FALSE)</f>
        <v>52</v>
      </c>
      <c r="S95" s="1">
        <f>VLOOKUP($B95&amp;"__wt",'Xtal_SegEnds_BW#'!$A:$Z,19,FALSE)</f>
        <v>32</v>
      </c>
      <c r="T95" s="23">
        <f t="array" ref="T95">INDEX('ICL3'!$G$2:$G$31,MATCH(MIN(ABS(AF95-'ICL3'!$F$2:$F$31)),ABS(AF95-'ICL3'!$F$2:$F$31),0))</f>
        <v>68</v>
      </c>
      <c r="U95" s="1">
        <f t="array" ref="U95">INDEX('ICL3'!$H$2:$H$31,MATCH(MIN(ABS(AF95-'ICL3'!$F$2:$F$31)),ABS(AF95-'ICL3'!$F$2:$F$31),0))</f>
        <v>28</v>
      </c>
      <c r="V95" s="1">
        <v>64</v>
      </c>
      <c r="W95" s="1">
        <v>24</v>
      </c>
      <c r="X95" s="1">
        <f>VLOOKUP($B95&amp;"__wt",'Xtal_SegEnds_BW#'!$A:$Z,24,FALSE)</f>
        <v>56</v>
      </c>
      <c r="Y95" s="1">
        <f>VLOOKUP($B95&amp;"__wt",'Xtal_SegEnds_BW#'!$A:$Z,25,FALSE)</f>
        <v>47</v>
      </c>
      <c r="Z95" s="1">
        <f>VLOOKUP($B95&amp;"__wt",'Xtal_SegEnds_BW#'!$A:$Z,26,FALSE)</f>
        <v>59</v>
      </c>
      <c r="AA95" s="63" t="str">
        <f>VLOOKUP(A95,Classification!A:B,2,FALSE)</f>
        <v>A</v>
      </c>
      <c r="AB95" s="1">
        <f>VLOOKUP(A95,'NonXtal_SegEnds_Prot#'!A:AL,10,FALSE)-VLOOKUP(A95,'NonXtal_SegEnds_Prot#'!A:AL,7,FALSE)</f>
        <v>15</v>
      </c>
      <c r="AC95" s="1">
        <f>VLOOKUP(A95,'NonXtal_SegEnds_Prot#'!A:AL,13,FALSE)-VLOOKUP(A95,'NonXtal_SegEnds_Prot#'!A:AL,10,FALSE)</f>
        <v>19</v>
      </c>
      <c r="AD95" s="1">
        <f>VLOOKUP(A95,'NonXtal_SegEnds_Prot#'!A:AL,16,FALSE)-VLOOKUP(A95,'NonXtal_SegEnds_Prot#'!A:AL,10,FALSE)</f>
        <v>51</v>
      </c>
      <c r="AE95" s="1">
        <f>VLOOKUP(A95,'NonXtal_SegEnds_Prot#'!A:AL,28,FALSE)-VLOOKUP(A95,'NonXtal_SegEnds_Prot#'!A:AL,25,FALSE)</f>
        <v>28</v>
      </c>
      <c r="AF95" s="1">
        <f>VLOOKUP(A95,'NonXtal_SegEnds_Prot#'!A:AL,31,FALSE)-VLOOKUP(A95,'NonXtal_SegEnds_Prot#'!A:AL,28,FALSE)</f>
        <v>48</v>
      </c>
      <c r="AG95" s="1">
        <f>VLOOKUP(A95,'NonXtal_SegEnds_Prot#'!A:AL,34,FALSE)-VLOOKUP(A95,'NonXtal_SegEnds_Prot#'!A:AL,31,FALSE)</f>
        <v>44</v>
      </c>
    </row>
    <row r="96" spans="1:33" x14ac:dyDescent="0.2">
      <c r="A96" s="1" t="s">
        <v>484</v>
      </c>
      <c r="B96" s="1" t="str">
        <f>VLOOKUP(A96,Xtal_Templ!A:B,2,FALSE)</f>
        <v>p2ry1_human</v>
      </c>
      <c r="C96" s="5">
        <f>VLOOKUP($B96&amp;"__wt",'Xtal_SegEnds_BW#'!$A:$Z,3,FALSE)</f>
        <v>30</v>
      </c>
      <c r="D96" s="1">
        <f>VLOOKUP($B96&amp;"__wt",'Xtal_SegEnds_BW#'!$A:$Z,4,FALSE)</f>
        <v>60</v>
      </c>
      <c r="E96" s="1" t="str">
        <f>VLOOKUP($B96&amp;"__wt",'Xtal_SegEnds_BW#'!$A:$Z,5,FALSE)</f>
        <v>-</v>
      </c>
      <c r="F96" s="1" t="str">
        <f>VLOOKUP($B96&amp;"__wt",'Xtal_SegEnds_BW#'!$A:$Z,6,FALSE)</f>
        <v>-</v>
      </c>
      <c r="G96" s="1">
        <v>37</v>
      </c>
      <c r="H96" s="1">
        <v>66</v>
      </c>
      <c r="I96" s="1">
        <f>VLOOKUP($B96&amp;"__wt",'Xtal_SegEnds_BW#'!$A:$Z,9,FALSE)</f>
        <v>49</v>
      </c>
      <c r="J96" s="1">
        <f>VLOOKUP($B96&amp;"__wt",'Xtal_SegEnds_BW#'!$A:$Z,10,FALSE)</f>
        <v>52</v>
      </c>
      <c r="K96" s="1">
        <v>18</v>
      </c>
      <c r="L96" s="1">
        <f>VLOOKUP($B96&amp;"__wt",'Xtal_SegEnds_BW#'!$A:$Z,12,FALSE)</f>
        <v>56</v>
      </c>
      <c r="M96" s="1">
        <f>VLOOKUP($B96&amp;"__wt",'Xtal_SegEnds_BW#'!$A:$Z,13,FALSE)</f>
        <v>50</v>
      </c>
      <c r="N96" s="1">
        <v>57</v>
      </c>
      <c r="O96" s="1">
        <v>39</v>
      </c>
      <c r="P96" s="1">
        <f>VLOOKUP($B96&amp;"__wt",'Xtal_SegEnds_BW#'!$A:$Z,16,FALSE)</f>
        <v>64</v>
      </c>
      <c r="Q96" s="1">
        <f>VLOOKUP($B96&amp;"__wt",'Xtal_SegEnds_BW#'!$A:$Z,17,FALSE)</f>
        <v>50</v>
      </c>
      <c r="R96" s="1">
        <f>VLOOKUP($B96&amp;"__wt",'Xtal_SegEnds_BW#'!$A:$Z,18,FALSE)</f>
        <v>52</v>
      </c>
      <c r="S96" s="1">
        <f>VLOOKUP($B96&amp;"__wt",'Xtal_SegEnds_BW#'!$A:$Z,19,FALSE)</f>
        <v>32</v>
      </c>
      <c r="T96" s="23">
        <f t="array" ref="T96">INDEX('ICL3'!$G$2:$G$31,MATCH(MIN(ABS(AF96-'ICL3'!$F$2:$F$31)),ABS(AF96-'ICL3'!$F$2:$F$31),0))</f>
        <v>68</v>
      </c>
      <c r="U96" s="1">
        <f t="array" ref="U96">INDEX('ICL3'!$H$2:$H$31,MATCH(MIN(ABS(AF96-'ICL3'!$F$2:$F$31)),ABS(AF96-'ICL3'!$F$2:$F$31),0))</f>
        <v>28</v>
      </c>
      <c r="V96" s="1">
        <v>64</v>
      </c>
      <c r="W96" s="1">
        <v>24</v>
      </c>
      <c r="X96" s="1">
        <f>VLOOKUP($B96&amp;"__wt",'Xtal_SegEnds_BW#'!$A:$Z,24,FALSE)</f>
        <v>56</v>
      </c>
      <c r="Y96" s="1">
        <f>VLOOKUP($B96&amp;"__wt",'Xtal_SegEnds_BW#'!$A:$Z,25,FALSE)</f>
        <v>47</v>
      </c>
      <c r="Z96" s="1">
        <f>VLOOKUP($B96&amp;"__wt",'Xtal_SegEnds_BW#'!$A:$Z,26,FALSE)</f>
        <v>59</v>
      </c>
      <c r="AA96" s="63" t="str">
        <f>VLOOKUP(A96,Classification!A:B,2,FALSE)</f>
        <v>A</v>
      </c>
      <c r="AB96" s="1">
        <f>VLOOKUP(A96,'NonXtal_SegEnds_Prot#'!A:AL,10,FALSE)-VLOOKUP(A96,'NonXtal_SegEnds_Prot#'!A:AL,7,FALSE)</f>
        <v>15</v>
      </c>
      <c r="AC96" s="1">
        <f>VLOOKUP(A96,'NonXtal_SegEnds_Prot#'!A:AL,13,FALSE)-VLOOKUP(A96,'NonXtal_SegEnds_Prot#'!A:AL,10,FALSE)</f>
        <v>19</v>
      </c>
      <c r="AD96" s="1">
        <f>VLOOKUP(A96,'NonXtal_SegEnds_Prot#'!A:AL,16,FALSE)-VLOOKUP(A96,'NonXtal_SegEnds_Prot#'!A:AL,10,FALSE)</f>
        <v>51</v>
      </c>
      <c r="AE96" s="1">
        <f>VLOOKUP(A96,'NonXtal_SegEnds_Prot#'!A:AL,28,FALSE)-VLOOKUP(A96,'NonXtal_SegEnds_Prot#'!A:AL,25,FALSE)</f>
        <v>28</v>
      </c>
      <c r="AF96" s="1">
        <f>VLOOKUP(A96,'NonXtal_SegEnds_Prot#'!A:AL,31,FALSE)-VLOOKUP(A96,'NonXtal_SegEnds_Prot#'!A:AL,28,FALSE)</f>
        <v>48</v>
      </c>
      <c r="AG96" s="1">
        <f>VLOOKUP(A96,'NonXtal_SegEnds_Prot#'!A:AL,34,FALSE)-VLOOKUP(A96,'NonXtal_SegEnds_Prot#'!A:AL,31,FALSE)</f>
        <v>44</v>
      </c>
    </row>
    <row r="97" spans="1:33" x14ac:dyDescent="0.2">
      <c r="A97" s="1" t="s">
        <v>541</v>
      </c>
      <c r="B97" s="1" t="str">
        <f>VLOOKUP(A97,Xtal_Templ!A:B,2,FALSE)</f>
        <v>p2ry1_human</v>
      </c>
      <c r="C97" s="5">
        <f>VLOOKUP($B97&amp;"__wt",'Xtal_SegEnds_BW#'!$A:$Z,3,FALSE)</f>
        <v>30</v>
      </c>
      <c r="D97" s="1">
        <f>VLOOKUP($B97&amp;"__wt",'Xtal_SegEnds_BW#'!$A:$Z,4,FALSE)</f>
        <v>60</v>
      </c>
      <c r="E97" s="1" t="str">
        <f>VLOOKUP($B97&amp;"__wt",'Xtal_SegEnds_BW#'!$A:$Z,5,FALSE)</f>
        <v>-</v>
      </c>
      <c r="F97" s="1" t="str">
        <f>VLOOKUP($B97&amp;"__wt",'Xtal_SegEnds_BW#'!$A:$Z,6,FALSE)</f>
        <v>-</v>
      </c>
      <c r="G97" s="1">
        <v>37</v>
      </c>
      <c r="H97" s="1">
        <f>VLOOKUP($B97&amp;"__wt",'Xtal_SegEnds_BW#'!$A:$Z,8,FALSE)</f>
        <v>66</v>
      </c>
      <c r="I97" s="1">
        <f>VLOOKUP($B97&amp;"__wt",'Xtal_SegEnds_BW#'!$A:$Z,9,FALSE)</f>
        <v>49</v>
      </c>
      <c r="J97" s="1">
        <f>VLOOKUP($B97&amp;"__wt",'Xtal_SegEnds_BW#'!$A:$Z,10,FALSE)</f>
        <v>52</v>
      </c>
      <c r="K97" s="1">
        <v>18</v>
      </c>
      <c r="L97" s="1">
        <f>VLOOKUP($B97&amp;"__wt",'Xtal_SegEnds_BW#'!$A:$Z,12,FALSE)</f>
        <v>56</v>
      </c>
      <c r="M97" s="1">
        <f>VLOOKUP($B97&amp;"__wt",'Xtal_SegEnds_BW#'!$A:$Z,13,FALSE)</f>
        <v>50</v>
      </c>
      <c r="N97" s="1">
        <v>57</v>
      </c>
      <c r="O97" s="1">
        <v>39</v>
      </c>
      <c r="P97" s="1">
        <f>VLOOKUP($B97&amp;"__wt",'Xtal_SegEnds_BW#'!$A:$Z,16,FALSE)</f>
        <v>64</v>
      </c>
      <c r="Q97" s="1">
        <f>VLOOKUP($B97&amp;"__wt",'Xtal_SegEnds_BW#'!$A:$Z,17,FALSE)</f>
        <v>50</v>
      </c>
      <c r="R97" s="1">
        <f>VLOOKUP($B97&amp;"__wt",'Xtal_SegEnds_BW#'!$A:$Z,18,FALSE)</f>
        <v>52</v>
      </c>
      <c r="S97" s="1">
        <f>VLOOKUP($B97&amp;"__wt",'Xtal_SegEnds_BW#'!$A:$Z,19,FALSE)</f>
        <v>32</v>
      </c>
      <c r="T97" s="23">
        <f t="array" ref="T97">INDEX('ICL3'!$G$2:$G$31,MATCH(MIN(ABS(AF97-'ICL3'!$F$2:$F$31)),ABS(AF97-'ICL3'!$F$2:$F$31),0))</f>
        <v>68</v>
      </c>
      <c r="U97" s="1">
        <f t="array" ref="U97">INDEX('ICL3'!$H$2:$H$31,MATCH(MIN(ABS(AF97-'ICL3'!$F$2:$F$31)),ABS(AF97-'ICL3'!$F$2:$F$31),0))</f>
        <v>28</v>
      </c>
      <c r="V97" s="1">
        <v>61</v>
      </c>
      <c r="W97" s="1">
        <v>24</v>
      </c>
      <c r="X97" s="1">
        <f>VLOOKUP($B97&amp;"__wt",'Xtal_SegEnds_BW#'!$A:$Z,24,FALSE)</f>
        <v>56</v>
      </c>
      <c r="Y97" s="1">
        <f>VLOOKUP($B97&amp;"__wt",'Xtal_SegEnds_BW#'!$A:$Z,25,FALSE)</f>
        <v>47</v>
      </c>
      <c r="Z97" s="1">
        <f>VLOOKUP($B97&amp;"__wt",'Xtal_SegEnds_BW#'!$A:$Z,26,FALSE)</f>
        <v>59</v>
      </c>
      <c r="AA97" s="63" t="str">
        <f>VLOOKUP(A97,Classification!A:B,2,FALSE)</f>
        <v>A</v>
      </c>
      <c r="AB97" s="1" t="e">
        <f>VLOOKUP(A97,'NonXtal_SegEnds_Prot#'!A:AL,10,FALSE)-VLOOKUP(A97,'NonXtal_SegEnds_Prot#'!A:AL,7,FALSE)</f>
        <v>#VALUE!</v>
      </c>
      <c r="AC97" s="1">
        <f>VLOOKUP(A97,'NonXtal_SegEnds_Prot#'!A:AL,13,FALSE)-VLOOKUP(A97,'NonXtal_SegEnds_Prot#'!A:AL,10,FALSE)</f>
        <v>20</v>
      </c>
      <c r="AD97" s="1">
        <f>VLOOKUP(A97,'NonXtal_SegEnds_Prot#'!A:AL,16,FALSE)-VLOOKUP(A97,'NonXtal_SegEnds_Prot#'!A:AL,10,FALSE)</f>
        <v>52</v>
      </c>
      <c r="AE97" s="1">
        <f>VLOOKUP(A97,'NonXtal_SegEnds_Prot#'!A:AL,28,FALSE)-VLOOKUP(A97,'NonXtal_SegEnds_Prot#'!A:AL,25,FALSE)</f>
        <v>27</v>
      </c>
      <c r="AF97" s="1">
        <f>VLOOKUP(A97,'NonXtal_SegEnds_Prot#'!A:AL,31,FALSE)-VLOOKUP(A97,'NonXtal_SegEnds_Prot#'!A:AL,28,FALSE)</f>
        <v>48</v>
      </c>
      <c r="AG97" s="1">
        <f>VLOOKUP(A97,'NonXtal_SegEnds_Prot#'!A:AL,34,FALSE)-VLOOKUP(A97,'NonXtal_SegEnds_Prot#'!A:AL,31,FALSE)</f>
        <v>43</v>
      </c>
    </row>
    <row r="98" spans="1:33" x14ac:dyDescent="0.2">
      <c r="A98" s="1" t="s">
        <v>544</v>
      </c>
      <c r="B98" s="1" t="str">
        <f>VLOOKUP(A98,Xtal_Templ!A:B,2,FALSE)</f>
        <v>p2ry1_human</v>
      </c>
      <c r="C98" s="5">
        <f>VLOOKUP($B98&amp;"__wt",'Xtal_SegEnds_BW#'!$A:$Z,3,FALSE)</f>
        <v>30</v>
      </c>
      <c r="D98" s="1">
        <f>VLOOKUP($B98&amp;"__wt",'Xtal_SegEnds_BW#'!$A:$Z,4,FALSE)</f>
        <v>60</v>
      </c>
      <c r="E98" s="1" t="str">
        <f>VLOOKUP($B98&amp;"__wt",'Xtal_SegEnds_BW#'!$A:$Z,5,FALSE)</f>
        <v>-</v>
      </c>
      <c r="F98" s="1" t="str">
        <f>VLOOKUP($B98&amp;"__wt",'Xtal_SegEnds_BW#'!$A:$Z,6,FALSE)</f>
        <v>-</v>
      </c>
      <c r="G98" s="1">
        <v>37</v>
      </c>
      <c r="H98" s="1">
        <v>66</v>
      </c>
      <c r="I98" s="1">
        <f>VLOOKUP($B98&amp;"__wt",'Xtal_SegEnds_BW#'!$A:$Z,9,FALSE)</f>
        <v>49</v>
      </c>
      <c r="J98" s="1">
        <f>VLOOKUP($B98&amp;"__wt",'Xtal_SegEnds_BW#'!$A:$Z,10,FALSE)</f>
        <v>52</v>
      </c>
      <c r="K98" s="1">
        <v>18</v>
      </c>
      <c r="L98" s="1">
        <f>VLOOKUP($B98&amp;"__wt",'Xtal_SegEnds_BW#'!$A:$Z,12,FALSE)</f>
        <v>56</v>
      </c>
      <c r="M98" s="1">
        <f>VLOOKUP($B98&amp;"__wt",'Xtal_SegEnds_BW#'!$A:$Z,13,FALSE)</f>
        <v>50</v>
      </c>
      <c r="N98" s="1">
        <v>57</v>
      </c>
      <c r="O98" s="1">
        <v>39</v>
      </c>
      <c r="P98" s="1">
        <f>VLOOKUP($B98&amp;"__wt",'Xtal_SegEnds_BW#'!$A:$Z,16,FALSE)</f>
        <v>64</v>
      </c>
      <c r="Q98" s="1">
        <f>VLOOKUP($B98&amp;"__wt",'Xtal_SegEnds_BW#'!$A:$Z,17,FALSE)</f>
        <v>50</v>
      </c>
      <c r="R98" s="1">
        <f>VLOOKUP($B98&amp;"__wt",'Xtal_SegEnds_BW#'!$A:$Z,18,FALSE)</f>
        <v>52</v>
      </c>
      <c r="S98" s="1">
        <f>VLOOKUP($B98&amp;"__wt",'Xtal_SegEnds_BW#'!$A:$Z,19,FALSE)</f>
        <v>32</v>
      </c>
      <c r="T98" s="23">
        <f t="array" ref="T98">INDEX('ICL3'!$G$2:$G$31,MATCH(MIN(ABS(AF98-'ICL3'!$F$2:$F$31)),ABS(AF98-'ICL3'!$F$2:$F$31),0))</f>
        <v>68</v>
      </c>
      <c r="U98" s="1">
        <f t="array" ref="U98">INDEX('ICL3'!$H$2:$H$31,MATCH(MIN(ABS(AF98-'ICL3'!$F$2:$F$31)),ABS(AF98-'ICL3'!$F$2:$F$31),0))</f>
        <v>28</v>
      </c>
      <c r="V98" s="1">
        <v>64</v>
      </c>
      <c r="W98" s="1">
        <v>24</v>
      </c>
      <c r="X98" s="1">
        <f>VLOOKUP($B98&amp;"__wt",'Xtal_SegEnds_BW#'!$A:$Z,24,FALSE)</f>
        <v>56</v>
      </c>
      <c r="Y98" s="1">
        <f>VLOOKUP($B98&amp;"__wt",'Xtal_SegEnds_BW#'!$A:$Z,25,FALSE)</f>
        <v>47</v>
      </c>
      <c r="Z98" s="1">
        <f>VLOOKUP($B98&amp;"__wt",'Xtal_SegEnds_BW#'!$A:$Z,26,FALSE)</f>
        <v>59</v>
      </c>
      <c r="AA98" s="63" t="str">
        <f>VLOOKUP(A98,Classification!A:B,2,FALSE)</f>
        <v>A</v>
      </c>
      <c r="AB98" s="1" t="e">
        <f>VLOOKUP(A98,'NonXtal_SegEnds_Prot#'!A:AL,10,FALSE)-VLOOKUP(A98,'NonXtal_SegEnds_Prot#'!A:AL,7,FALSE)</f>
        <v>#VALUE!</v>
      </c>
      <c r="AC98" s="1">
        <f>VLOOKUP(A98,'NonXtal_SegEnds_Prot#'!A:AL,13,FALSE)-VLOOKUP(A98,'NonXtal_SegEnds_Prot#'!A:AL,10,FALSE)</f>
        <v>19</v>
      </c>
      <c r="AD98" s="1">
        <f>VLOOKUP(A98,'NonXtal_SegEnds_Prot#'!A:AL,16,FALSE)-VLOOKUP(A98,'NonXtal_SegEnds_Prot#'!A:AL,10,FALSE)</f>
        <v>51</v>
      </c>
      <c r="AE98" s="1">
        <f>VLOOKUP(A98,'NonXtal_SegEnds_Prot#'!A:AL,28,FALSE)-VLOOKUP(A98,'NonXtal_SegEnds_Prot#'!A:AL,25,FALSE)</f>
        <v>29</v>
      </c>
      <c r="AF98" s="1">
        <f>VLOOKUP(A98,'NonXtal_SegEnds_Prot#'!A:AL,31,FALSE)-VLOOKUP(A98,'NonXtal_SegEnds_Prot#'!A:AL,28,FALSE)</f>
        <v>48</v>
      </c>
      <c r="AG98" s="1">
        <f>VLOOKUP(A98,'NonXtal_SegEnds_Prot#'!A:AL,34,FALSE)-VLOOKUP(A98,'NonXtal_SegEnds_Prot#'!A:AL,31,FALSE)</f>
        <v>44</v>
      </c>
    </row>
    <row r="99" spans="1:33" x14ac:dyDescent="0.2">
      <c r="A99" s="1" t="s">
        <v>550</v>
      </c>
      <c r="B99" s="1" t="str">
        <f>VLOOKUP(A99,Xtal_Templ!A:B,2,FALSE)</f>
        <v>par1_human</v>
      </c>
      <c r="C99" s="5">
        <f>VLOOKUP($B99&amp;"__wt",'Xtal_SegEnds_BW#'!$A:$Z,3,FALSE)</f>
        <v>29</v>
      </c>
      <c r="D99" s="1">
        <f>VLOOKUP($B99&amp;"__wt",'Xtal_SegEnds_BW#'!$A:$Z,4,FALSE)</f>
        <v>60</v>
      </c>
      <c r="E99" s="1">
        <f>VLOOKUP($B99&amp;"__wt",'Xtal_SegEnds_BW#'!$A:$Z,5,FALSE)</f>
        <v>48</v>
      </c>
      <c r="F99" s="1">
        <f>VLOOKUP($B99&amp;"__wt",'Xtal_SegEnds_BW#'!$A:$Z,6,FALSE)</f>
        <v>51</v>
      </c>
      <c r="G99" s="1">
        <v>37</v>
      </c>
      <c r="H99" s="1">
        <f>VLOOKUP($B99&amp;"__wt",'Xtal_SegEnds_BW#'!$A:$Z,8,FALSE)</f>
        <v>66</v>
      </c>
      <c r="I99" s="1">
        <f>VLOOKUP($B99&amp;"__wt",'Xtal_SegEnds_BW#'!$A:$Z,9,FALSE)</f>
        <v>49</v>
      </c>
      <c r="J99" s="1">
        <f>VLOOKUP($B99&amp;"__wt",'Xtal_SegEnds_BW#'!$A:$Z,10,FALSE)</f>
        <v>52</v>
      </c>
      <c r="K99" s="1">
        <v>18</v>
      </c>
      <c r="L99" s="1">
        <f>VLOOKUP($B99&amp;"__wt",'Xtal_SegEnds_BW#'!$A:$Z,12,FALSE)</f>
        <v>56</v>
      </c>
      <c r="M99" s="1">
        <f>VLOOKUP($B99&amp;"__wt",'Xtal_SegEnds_BW#'!$A:$Z,13,FALSE)</f>
        <v>50</v>
      </c>
      <c r="N99" s="1">
        <v>57</v>
      </c>
      <c r="O99" s="1">
        <v>39</v>
      </c>
      <c r="P99" s="1">
        <f>VLOOKUP($B99&amp;"__wt",'Xtal_SegEnds_BW#'!$A:$Z,16,FALSE)</f>
        <v>63</v>
      </c>
      <c r="Q99" s="1">
        <f>VLOOKUP($B99&amp;"__wt",'Xtal_SegEnds_BW#'!$A:$Z,17,FALSE)</f>
        <v>50</v>
      </c>
      <c r="R99" s="1">
        <f>VLOOKUP($B99&amp;"__wt",'Xtal_SegEnds_BW#'!$A:$Z,18,FALSE)</f>
        <v>52</v>
      </c>
      <c r="S99" s="1">
        <f>VLOOKUP($B99&amp;"__wt",'Xtal_SegEnds_BW#'!$A:$Z,19,FALSE)</f>
        <v>32</v>
      </c>
      <c r="T99" s="23">
        <f t="array" ref="T99">INDEX('ICL3'!$G$2:$G$31,MATCH(MIN(ABS(AF99-'ICL3'!$F$2:$F$31)),ABS(AF99-'ICL3'!$F$2:$F$31),0))</f>
        <v>68</v>
      </c>
      <c r="U99" s="1">
        <f t="array" ref="U99">INDEX('ICL3'!$H$2:$H$31,MATCH(MIN(ABS(AF99-'ICL3'!$F$2:$F$31)),ABS(AF99-'ICL3'!$F$2:$F$31),0))</f>
        <v>28</v>
      </c>
      <c r="V99" s="1">
        <v>62</v>
      </c>
      <c r="W99" s="1">
        <v>28</v>
      </c>
      <c r="X99" s="1">
        <f>VLOOKUP($B99&amp;"__wt",'Xtal_SegEnds_BW#'!$A:$Z,24,FALSE)</f>
        <v>56</v>
      </c>
      <c r="Y99" s="1">
        <f>VLOOKUP($B99&amp;"__wt",'Xtal_SegEnds_BW#'!$A:$Z,25,FALSE)</f>
        <v>47</v>
      </c>
      <c r="Z99" s="1">
        <f>VLOOKUP($B99&amp;"__wt",'Xtal_SegEnds_BW#'!$A:$Z,26,FALSE)</f>
        <v>61</v>
      </c>
      <c r="AA99" s="63" t="str">
        <f>VLOOKUP(A99,Classification!A:B,2,FALSE)</f>
        <v>A</v>
      </c>
      <c r="AB99" s="1">
        <f>VLOOKUP(A99,'NonXtal_SegEnds_Prot#'!A:AL,10,FALSE)-VLOOKUP(A99,'NonXtal_SegEnds_Prot#'!A:AL,7,FALSE)</f>
        <v>15</v>
      </c>
      <c r="AC99" s="1">
        <f>VLOOKUP(A99,'NonXtal_SegEnds_Prot#'!A:AL,13,FALSE)-VLOOKUP(A99,'NonXtal_SegEnds_Prot#'!A:AL,10,FALSE)</f>
        <v>20</v>
      </c>
      <c r="AD99" s="1">
        <f>VLOOKUP(A99,'NonXtal_SegEnds_Prot#'!A:AL,16,FALSE)-VLOOKUP(A99,'NonXtal_SegEnds_Prot#'!A:AL,10,FALSE)</f>
        <v>52</v>
      </c>
      <c r="AE99" s="1">
        <f>VLOOKUP(A99,'NonXtal_SegEnds_Prot#'!A:AL,28,FALSE)-VLOOKUP(A99,'NonXtal_SegEnds_Prot#'!A:AL,25,FALSE)</f>
        <v>28</v>
      </c>
      <c r="AF99" s="1">
        <f>VLOOKUP(A99,'NonXtal_SegEnds_Prot#'!A:AL,31,FALSE)-VLOOKUP(A99,'NonXtal_SegEnds_Prot#'!A:AL,28,FALSE)</f>
        <v>48</v>
      </c>
      <c r="AG99" s="1">
        <f>VLOOKUP(A99,'NonXtal_SegEnds_Prot#'!A:AL,34,FALSE)-VLOOKUP(A99,'NonXtal_SegEnds_Prot#'!A:AL,31,FALSE)</f>
        <v>39</v>
      </c>
    </row>
    <row r="100" spans="1:33" x14ac:dyDescent="0.2">
      <c r="A100" s="1" t="s">
        <v>580</v>
      </c>
      <c r="B100" s="1" t="str">
        <f>VLOOKUP(A100,Xtal_Templ!A:B,2,FALSE)</f>
        <v>p2ry1_human</v>
      </c>
      <c r="C100" s="5">
        <f>VLOOKUP($B100&amp;"__wt",'Xtal_SegEnds_BW#'!$A:$Z,3,FALSE)</f>
        <v>30</v>
      </c>
      <c r="D100" s="1">
        <f>VLOOKUP($B100&amp;"__wt",'Xtal_SegEnds_BW#'!$A:$Z,4,FALSE)</f>
        <v>60</v>
      </c>
      <c r="E100" s="1" t="str">
        <f>VLOOKUP($B100&amp;"__wt",'Xtal_SegEnds_BW#'!$A:$Z,5,FALSE)</f>
        <v>-</v>
      </c>
      <c r="F100" s="1" t="str">
        <f>VLOOKUP($B100&amp;"__wt",'Xtal_SegEnds_BW#'!$A:$Z,6,FALSE)</f>
        <v>-</v>
      </c>
      <c r="G100" s="1">
        <v>37</v>
      </c>
      <c r="H100" s="1">
        <v>66</v>
      </c>
      <c r="I100" s="1">
        <f>VLOOKUP($B100&amp;"__wt",'Xtal_SegEnds_BW#'!$A:$Z,9,FALSE)</f>
        <v>49</v>
      </c>
      <c r="J100" s="1">
        <f>VLOOKUP($B100&amp;"__wt",'Xtal_SegEnds_BW#'!$A:$Z,10,FALSE)</f>
        <v>52</v>
      </c>
      <c r="K100" s="1">
        <v>18</v>
      </c>
      <c r="L100" s="1">
        <f>VLOOKUP($B100&amp;"__wt",'Xtal_SegEnds_BW#'!$A:$Z,12,FALSE)</f>
        <v>56</v>
      </c>
      <c r="M100" s="1">
        <f>VLOOKUP($B100&amp;"__wt",'Xtal_SegEnds_BW#'!$A:$Z,13,FALSE)</f>
        <v>50</v>
      </c>
      <c r="N100" s="1">
        <v>57</v>
      </c>
      <c r="O100" s="1">
        <v>39</v>
      </c>
      <c r="P100" s="1">
        <f>VLOOKUP($B100&amp;"__wt",'Xtal_SegEnds_BW#'!$A:$Z,16,FALSE)</f>
        <v>64</v>
      </c>
      <c r="Q100" s="1">
        <f>VLOOKUP($B100&amp;"__wt",'Xtal_SegEnds_BW#'!$A:$Z,17,FALSE)</f>
        <v>50</v>
      </c>
      <c r="R100" s="1">
        <f>VLOOKUP($B100&amp;"__wt",'Xtal_SegEnds_BW#'!$A:$Z,18,FALSE)</f>
        <v>52</v>
      </c>
      <c r="S100" s="1">
        <f>VLOOKUP($B100&amp;"__wt",'Xtal_SegEnds_BW#'!$A:$Z,19,FALSE)</f>
        <v>32</v>
      </c>
      <c r="T100" s="23">
        <f t="array" ref="T100">INDEX('ICL3'!$G$2:$G$31,MATCH(MIN(ABS(AF100-'ICL3'!$F$2:$F$31)),ABS(AF100-'ICL3'!$F$2:$F$31),0))</f>
        <v>68</v>
      </c>
      <c r="U100" s="1">
        <f t="array" ref="U100">INDEX('ICL3'!$H$2:$H$31,MATCH(MIN(ABS(AF100-'ICL3'!$F$2:$F$31)),ABS(AF100-'ICL3'!$F$2:$F$31),0))</f>
        <v>28</v>
      </c>
      <c r="V100" s="1">
        <v>64</v>
      </c>
      <c r="W100" s="1">
        <v>24</v>
      </c>
      <c r="X100" s="9">
        <f>VLOOKUP($B100&amp;"__wt",'Xtal_SegEnds_BW#'!$A:$Z,24,FALSE)</f>
        <v>56</v>
      </c>
      <c r="Y100" s="1">
        <f>VLOOKUP($B100&amp;"__wt",'Xtal_SegEnds_BW#'!$A:$Z,25,FALSE)</f>
        <v>47</v>
      </c>
      <c r="Z100" s="1">
        <f>VLOOKUP($B100&amp;"__wt",'Xtal_SegEnds_BW#'!$A:$Z,26,FALSE)</f>
        <v>59</v>
      </c>
      <c r="AA100" s="63" t="str">
        <f>VLOOKUP(A100,Classification!A:B,2,FALSE)</f>
        <v>A</v>
      </c>
      <c r="AB100" s="1" t="e">
        <f>VLOOKUP(A100,'NonXtal_SegEnds_Prot#'!A:AL,10,FALSE)-VLOOKUP(A100,'NonXtal_SegEnds_Prot#'!A:AL,7,FALSE)</f>
        <v>#VALUE!</v>
      </c>
      <c r="AC100" s="1">
        <f>VLOOKUP(A100,'NonXtal_SegEnds_Prot#'!A:AL,13,FALSE)-VLOOKUP(A100,'NonXtal_SegEnds_Prot#'!A:AL,10,FALSE)</f>
        <v>19</v>
      </c>
      <c r="AD100" s="1">
        <f>VLOOKUP(A100,'NonXtal_SegEnds_Prot#'!A:AL,16,FALSE)-VLOOKUP(A100,'NonXtal_SegEnds_Prot#'!A:AL,10,FALSE)</f>
        <v>51</v>
      </c>
      <c r="AE100" s="1">
        <f>VLOOKUP(A100,'NonXtal_SegEnds_Prot#'!A:AL,28,FALSE)-VLOOKUP(A100,'NonXtal_SegEnds_Prot#'!A:AL,25,FALSE)</f>
        <v>27</v>
      </c>
      <c r="AF100" s="1">
        <f>VLOOKUP(A100,'NonXtal_SegEnds_Prot#'!A:AL,31,FALSE)-VLOOKUP(A100,'NonXtal_SegEnds_Prot#'!A:AL,28,FALSE)</f>
        <v>48</v>
      </c>
      <c r="AG100" s="1">
        <f>VLOOKUP(A100,'NonXtal_SegEnds_Prot#'!A:AL,34,FALSE)-VLOOKUP(A100,'NonXtal_SegEnds_Prot#'!A:AL,31,FALSE)</f>
        <v>45</v>
      </c>
    </row>
    <row r="101" spans="1:33" x14ac:dyDescent="0.2">
      <c r="A101" s="1" t="s">
        <v>345</v>
      </c>
      <c r="B101" s="1" t="str">
        <f>VLOOKUP(A101,Xtal_Templ!A:B,2,FALSE)</f>
        <v>s1pr1_human</v>
      </c>
      <c r="C101" s="5">
        <f>VLOOKUP($B101&amp;"__wt",'Xtal_SegEnds_BW#'!$A:$Z,3,FALSE)</f>
        <v>29</v>
      </c>
      <c r="D101" s="1">
        <f>VLOOKUP($B101&amp;"__wt",'Xtal_SegEnds_BW#'!$A:$Z,4,FALSE)</f>
        <v>60</v>
      </c>
      <c r="E101" s="1">
        <f>VLOOKUP($B101&amp;"__wt",'Xtal_SegEnds_BW#'!$A:$Z,5,FALSE)</f>
        <v>48</v>
      </c>
      <c r="F101" s="1">
        <f>VLOOKUP($B101&amp;"__wt",'Xtal_SegEnds_BW#'!$A:$Z,6,FALSE)</f>
        <v>51</v>
      </c>
      <c r="G101" s="1">
        <v>37</v>
      </c>
      <c r="H101" s="1">
        <v>67</v>
      </c>
      <c r="I101" s="1" t="s">
        <v>129</v>
      </c>
      <c r="J101" s="1" t="s">
        <v>129</v>
      </c>
      <c r="K101" s="1">
        <v>18</v>
      </c>
      <c r="L101" s="1">
        <f>VLOOKUP($B101&amp;"__wt",'Xtal_SegEnds_BW#'!$A:$Z,12,FALSE)</f>
        <v>56</v>
      </c>
      <c r="M101" s="1">
        <f>VLOOKUP($B101&amp;"__wt",'Xtal_SegEnds_BW#'!$A:$Z,13,FALSE)</f>
        <v>50</v>
      </c>
      <c r="N101" s="1">
        <v>57</v>
      </c>
      <c r="O101" s="1">
        <v>39</v>
      </c>
      <c r="P101" s="1">
        <f>VLOOKUP($B101&amp;"__wt",'Xtal_SegEnds_BW#'!$A:$Z,16,FALSE)</f>
        <v>63</v>
      </c>
      <c r="Q101" s="1" t="str">
        <f>VLOOKUP($B101&amp;"__wt",'Xtal_SegEnds_BW#'!$A:$Z,17,FALSE)</f>
        <v>-</v>
      </c>
      <c r="R101" s="1" t="str">
        <f>VLOOKUP($B101&amp;"__wt",'Xtal_SegEnds_BW#'!$A:$Z,18,FALSE)</f>
        <v>-</v>
      </c>
      <c r="S101" s="1">
        <f>VLOOKUP($B101&amp;"__wt",'Xtal_SegEnds_BW#'!$A:$Z,19,FALSE)</f>
        <v>36</v>
      </c>
      <c r="T101" s="23">
        <f t="array" ref="T101">INDEX('ICL3'!$G$2:$G$31,MATCH(MIN(ABS(AF101-'ICL3'!$F$2:$F$31)),ABS(AF101-'ICL3'!$F$2:$F$31),0))</f>
        <v>68</v>
      </c>
      <c r="U101" s="1">
        <f t="array" ref="U101">INDEX('ICL3'!$H$2:$H$31,MATCH(MIN(ABS(AF101-'ICL3'!$F$2:$F$31)),ABS(AF101-'ICL3'!$F$2:$F$31),0))</f>
        <v>28</v>
      </c>
      <c r="V101" s="1">
        <v>61</v>
      </c>
      <c r="W101" s="1">
        <v>28</v>
      </c>
      <c r="X101" s="1">
        <f>VLOOKUP($B101&amp;"__wt",'Xtal_SegEnds_BW#'!$A:$Z,24,FALSE)</f>
        <v>56</v>
      </c>
      <c r="Y101" s="1">
        <f>VLOOKUP($B101&amp;"__wt",'Xtal_SegEnds_BW#'!$A:$Z,25,FALSE)</f>
        <v>47</v>
      </c>
      <c r="Z101" s="1">
        <f>VLOOKUP($B101&amp;"__wt",'Xtal_SegEnds_BW#'!$A:$Z,26,FALSE)</f>
        <v>59</v>
      </c>
      <c r="AA101" s="63" t="str">
        <f>VLOOKUP(A101,Classification!A:B,2,FALSE)</f>
        <v>A</v>
      </c>
      <c r="AB101" s="1">
        <f>VLOOKUP(A101,'NonXtal_SegEnds_Prot#'!A:AL,10,FALSE)-VLOOKUP(A101,'NonXtal_SegEnds_Prot#'!A:AL,7,FALSE)</f>
        <v>15</v>
      </c>
      <c r="AC101" s="1" t="e">
        <f>VLOOKUP(A101,'NonXtal_SegEnds_Prot#'!A:AL,13,FALSE)-VLOOKUP(A101,'NonXtal_SegEnds_Prot#'!A:AL,10,FALSE)</f>
        <v>#VALUE!</v>
      </c>
      <c r="AD101" s="1">
        <f>VLOOKUP(A101,'NonXtal_SegEnds_Prot#'!A:AL,16,FALSE)-VLOOKUP(A101,'NonXtal_SegEnds_Prot#'!A:AL,10,FALSE)</f>
        <v>58</v>
      </c>
      <c r="AE101" s="1" t="e">
        <f>VLOOKUP(A101,'NonXtal_SegEnds_Prot#'!A:AL,28,FALSE)-VLOOKUP(A101,'NonXtal_SegEnds_Prot#'!A:AL,25,FALSE)</f>
        <v>#VALUE!</v>
      </c>
      <c r="AF101" s="1">
        <f>VLOOKUP(A101,'NonXtal_SegEnds_Prot#'!A:AL,31,FALSE)-VLOOKUP(A101,'NonXtal_SegEnds_Prot#'!A:AL,28,FALSE)</f>
        <v>49</v>
      </c>
      <c r="AG101" s="1">
        <f>VLOOKUP(A101,'NonXtal_SegEnds_Prot#'!A:AL,34,FALSE)-VLOOKUP(A101,'NonXtal_SegEnds_Prot#'!A:AL,31,FALSE)</f>
        <v>39</v>
      </c>
    </row>
    <row r="102" spans="1:33" x14ac:dyDescent="0.2">
      <c r="A102" s="1" t="s">
        <v>356</v>
      </c>
      <c r="B102" s="1" t="str">
        <f>VLOOKUP(A102,Xtal_Templ!A:B,2,FALSE)</f>
        <v>agtr1_human</v>
      </c>
      <c r="C102" s="5">
        <f>VLOOKUP($B102&amp;"__wt",'Xtal_SegEnds_BW#'!$A:$Z,3,FALSE)</f>
        <v>30</v>
      </c>
      <c r="D102" s="1">
        <f>VLOOKUP($B102&amp;"__wt",'Xtal_SegEnds_BW#'!$A:$Z,4,FALSE)</f>
        <v>60</v>
      </c>
      <c r="E102" s="1">
        <f>VLOOKUP($B102&amp;"__wt",'Xtal_SegEnds_BW#'!$A:$Z,5,FALSE)</f>
        <v>48</v>
      </c>
      <c r="F102" s="1">
        <f>VLOOKUP($B102&amp;"__wt",'Xtal_SegEnds_BW#'!$A:$Z,6,FALSE)</f>
        <v>51</v>
      </c>
      <c r="G102" s="1">
        <v>37</v>
      </c>
      <c r="H102" s="1">
        <f>VLOOKUP($B102&amp;"__wt",'Xtal_SegEnds_BW#'!$A:$Z,8,FALSE)</f>
        <v>66</v>
      </c>
      <c r="I102" s="1">
        <f>VLOOKUP($B102&amp;"__wt",'Xtal_SegEnds_BW#'!$A:$Z,9,FALSE)</f>
        <v>49</v>
      </c>
      <c r="J102" s="1">
        <f>VLOOKUP($B102&amp;"__wt",'Xtal_SegEnds_BW#'!$A:$Z,10,FALSE)</f>
        <v>52</v>
      </c>
      <c r="K102" s="1">
        <v>18</v>
      </c>
      <c r="L102" s="1">
        <f>VLOOKUP($B102&amp;"__wt",'Xtal_SegEnds_BW#'!$A:$Z,12,FALSE)</f>
        <v>56</v>
      </c>
      <c r="M102" s="1">
        <f>VLOOKUP($B102&amp;"__wt",'Xtal_SegEnds_BW#'!$A:$Z,13,FALSE)</f>
        <v>50</v>
      </c>
      <c r="N102" s="1">
        <v>57</v>
      </c>
      <c r="O102" s="1">
        <v>39</v>
      </c>
      <c r="P102" s="1">
        <f>VLOOKUP($B102&amp;"__wt",'Xtal_SegEnds_BW#'!$A:$Z,16,FALSE)</f>
        <v>64</v>
      </c>
      <c r="Q102" s="1">
        <f>VLOOKUP($B102&amp;"__wt",'Xtal_SegEnds_BW#'!$A:$Z,17,FALSE)</f>
        <v>50</v>
      </c>
      <c r="R102" s="1">
        <f>VLOOKUP($B102&amp;"__wt",'Xtal_SegEnds_BW#'!$A:$Z,18,FALSE)</f>
        <v>52</v>
      </c>
      <c r="S102" s="1">
        <f>VLOOKUP($B102&amp;"__wt",'Xtal_SegEnds_BW#'!$A:$Z,19,FALSE)</f>
        <v>34</v>
      </c>
      <c r="T102" s="23">
        <f t="array" ref="T102">INDEX('ICL3'!$G$2:$G$31,MATCH(MIN(ABS(AF102-'ICL3'!$F$2:$F$31)),ABS(AF102-'ICL3'!$F$2:$F$31),0))</f>
        <v>68</v>
      </c>
      <c r="U102" s="1">
        <f t="array" ref="U102">INDEX('ICL3'!$H$2:$H$31,MATCH(MIN(ABS(AF102-'ICL3'!$F$2:$F$31)),ABS(AF102-'ICL3'!$F$2:$F$31),0))</f>
        <v>28</v>
      </c>
      <c r="V102" s="1">
        <v>64</v>
      </c>
      <c r="W102" s="1">
        <v>24</v>
      </c>
      <c r="X102" s="1">
        <f>VLOOKUP($B102&amp;"__wt",'Xtal_SegEnds_BW#'!$A:$Z,24,FALSE)</f>
        <v>56</v>
      </c>
      <c r="Y102" s="1">
        <f>VLOOKUP($B102&amp;"__wt",'Xtal_SegEnds_BW#'!$A:$Z,25,FALSE)</f>
        <v>47</v>
      </c>
      <c r="Z102" s="1">
        <f>VLOOKUP($B102&amp;"__wt",'Xtal_SegEnds_BW#'!$A:$Z,26,FALSE)</f>
        <v>61</v>
      </c>
      <c r="AA102" s="63" t="str">
        <f>VLOOKUP(A102,Classification!A:B,2,FALSE)</f>
        <v>A</v>
      </c>
      <c r="AB102" s="1">
        <f>VLOOKUP(A102,'NonXtal_SegEnds_Prot#'!A:AL,10,FALSE)-VLOOKUP(A102,'NonXtal_SegEnds_Prot#'!A:AL,7,FALSE)</f>
        <v>15</v>
      </c>
      <c r="AC102" s="1">
        <f>VLOOKUP(A102,'NonXtal_SegEnds_Prot#'!A:AL,13,FALSE)-VLOOKUP(A102,'NonXtal_SegEnds_Prot#'!A:AL,10,FALSE)</f>
        <v>20</v>
      </c>
      <c r="AD102" s="1">
        <f>VLOOKUP(A102,'NonXtal_SegEnds_Prot#'!A:AL,16,FALSE)-VLOOKUP(A102,'NonXtal_SegEnds_Prot#'!A:AL,10,FALSE)</f>
        <v>52</v>
      </c>
      <c r="AE102" s="1">
        <f>VLOOKUP(A102,'NonXtal_SegEnds_Prot#'!A:AL,28,FALSE)-VLOOKUP(A102,'NonXtal_SegEnds_Prot#'!A:AL,25,FALSE)</f>
        <v>25</v>
      </c>
      <c r="AF102" s="1">
        <f>VLOOKUP(A102,'NonXtal_SegEnds_Prot#'!A:AL,31,FALSE)-VLOOKUP(A102,'NonXtal_SegEnds_Prot#'!A:AL,28,FALSE)</f>
        <v>49</v>
      </c>
      <c r="AG102" s="1">
        <f>VLOOKUP(A102,'NonXtal_SegEnds_Prot#'!A:AL,34,FALSE)-VLOOKUP(A102,'NonXtal_SegEnds_Prot#'!A:AL,31,FALSE)</f>
        <v>44</v>
      </c>
    </row>
    <row r="103" spans="1:33" x14ac:dyDescent="0.2">
      <c r="A103" s="1" t="s">
        <v>374</v>
      </c>
      <c r="B103" s="1" t="str">
        <f>VLOOKUP(A103,Xtal_Templ!A:B,2,FALSE)</f>
        <v>p2ry1_human</v>
      </c>
      <c r="C103" s="5">
        <f>VLOOKUP($B103&amp;"__wt",'Xtal_SegEnds_BW#'!$A:$Z,3,FALSE)</f>
        <v>30</v>
      </c>
      <c r="D103" s="1">
        <f>VLOOKUP($B103&amp;"__wt",'Xtal_SegEnds_BW#'!$A:$Z,4,FALSE)</f>
        <v>60</v>
      </c>
      <c r="E103" s="1" t="str">
        <f>VLOOKUP($B103&amp;"__wt",'Xtal_SegEnds_BW#'!$A:$Z,5,FALSE)</f>
        <v>-</v>
      </c>
      <c r="F103" s="1" t="str">
        <f>VLOOKUP($B103&amp;"__wt",'Xtal_SegEnds_BW#'!$A:$Z,6,FALSE)</f>
        <v>-</v>
      </c>
      <c r="G103" s="1">
        <v>37</v>
      </c>
      <c r="H103" s="1">
        <f>VLOOKUP($B103&amp;"__wt",'Xtal_SegEnds_BW#'!$A:$Z,8,FALSE)</f>
        <v>66</v>
      </c>
      <c r="I103" s="1">
        <f>VLOOKUP($B103&amp;"__wt",'Xtal_SegEnds_BW#'!$A:$Z,9,FALSE)</f>
        <v>49</v>
      </c>
      <c r="J103" s="1">
        <f>VLOOKUP($B103&amp;"__wt",'Xtal_SegEnds_BW#'!$A:$Z,10,FALSE)</f>
        <v>52</v>
      </c>
      <c r="K103" s="1">
        <v>18</v>
      </c>
      <c r="L103" s="1">
        <f>VLOOKUP($B103&amp;"__wt",'Xtal_SegEnds_BW#'!$A:$Z,12,FALSE)</f>
        <v>56</v>
      </c>
      <c r="M103" s="1">
        <f>VLOOKUP($B103&amp;"__wt",'Xtal_SegEnds_BW#'!$A:$Z,13,FALSE)</f>
        <v>50</v>
      </c>
      <c r="N103" s="1">
        <v>57</v>
      </c>
      <c r="O103" s="1">
        <v>39</v>
      </c>
      <c r="P103" s="1">
        <f>VLOOKUP($B103&amp;"__wt",'Xtal_SegEnds_BW#'!$A:$Z,16,FALSE)</f>
        <v>64</v>
      </c>
      <c r="Q103" s="1">
        <f>VLOOKUP($B103&amp;"__wt",'Xtal_SegEnds_BW#'!$A:$Z,17,FALSE)</f>
        <v>50</v>
      </c>
      <c r="R103" s="1">
        <f>VLOOKUP($B103&amp;"__wt",'Xtal_SegEnds_BW#'!$A:$Z,18,FALSE)</f>
        <v>52</v>
      </c>
      <c r="S103" s="1">
        <f>VLOOKUP($B103&amp;"__wt",'Xtal_SegEnds_BW#'!$A:$Z,19,FALSE)</f>
        <v>32</v>
      </c>
      <c r="T103" s="23">
        <f t="array" ref="T103">INDEX('ICL3'!$G$2:$G$31,MATCH(MIN(ABS(AF103-'ICL3'!$F$2:$F$31)),ABS(AF103-'ICL3'!$F$2:$F$31),0))</f>
        <v>68</v>
      </c>
      <c r="U103" s="1">
        <f t="array" ref="U103">INDEX('ICL3'!$H$2:$H$31,MATCH(MIN(ABS(AF103-'ICL3'!$F$2:$F$31)),ABS(AF103-'ICL3'!$F$2:$F$31),0))</f>
        <v>28</v>
      </c>
      <c r="V103" s="1">
        <v>61</v>
      </c>
      <c r="W103" s="1">
        <v>28</v>
      </c>
      <c r="X103" s="1">
        <f>VLOOKUP($B103&amp;"__wt",'Xtal_SegEnds_BW#'!$A:$Z,24,FALSE)</f>
        <v>56</v>
      </c>
      <c r="Y103" s="1">
        <f>VLOOKUP($B103&amp;"__wt",'Xtal_SegEnds_BW#'!$A:$Z,25,FALSE)</f>
        <v>47</v>
      </c>
      <c r="Z103" s="1">
        <f>VLOOKUP($B103&amp;"__wt",'Xtal_SegEnds_BW#'!$A:$Z,26,FALSE)</f>
        <v>59</v>
      </c>
      <c r="AA103" s="63" t="str">
        <f>VLOOKUP(A103,Classification!A:B,2,FALSE)</f>
        <v>A</v>
      </c>
      <c r="AB103" s="1" t="e">
        <f>VLOOKUP(A103,'NonXtal_SegEnds_Prot#'!A:AL,10,FALSE)-VLOOKUP(A103,'NonXtal_SegEnds_Prot#'!A:AL,7,FALSE)</f>
        <v>#VALUE!</v>
      </c>
      <c r="AC103" s="1">
        <f>VLOOKUP(A103,'NonXtal_SegEnds_Prot#'!A:AL,13,FALSE)-VLOOKUP(A103,'NonXtal_SegEnds_Prot#'!A:AL,10,FALSE)</f>
        <v>20</v>
      </c>
      <c r="AD103" s="1">
        <f>VLOOKUP(A103,'NonXtal_SegEnds_Prot#'!A:AL,16,FALSE)-VLOOKUP(A103,'NonXtal_SegEnds_Prot#'!A:AL,10,FALSE)</f>
        <v>52</v>
      </c>
      <c r="AE103" s="1">
        <f>VLOOKUP(A103,'NonXtal_SegEnds_Prot#'!A:AL,28,FALSE)-VLOOKUP(A103,'NonXtal_SegEnds_Prot#'!A:AL,25,FALSE)</f>
        <v>26</v>
      </c>
      <c r="AF103" s="1">
        <f>VLOOKUP(A103,'NonXtal_SegEnds_Prot#'!A:AL,31,FALSE)-VLOOKUP(A103,'NonXtal_SegEnds_Prot#'!A:AL,28,FALSE)</f>
        <v>49</v>
      </c>
      <c r="AG103" s="1">
        <f>VLOOKUP(A103,'NonXtal_SegEnds_Prot#'!A:AL,34,FALSE)-VLOOKUP(A103,'NonXtal_SegEnds_Prot#'!A:AL,31,FALSE)</f>
        <v>40</v>
      </c>
    </row>
    <row r="104" spans="1:33" x14ac:dyDescent="0.2">
      <c r="A104" s="1" t="s">
        <v>413</v>
      </c>
      <c r="B104" s="1" t="str">
        <f>VLOOKUP(A104,Xtal_Templ!A:B,2,FALSE)</f>
        <v>hrh1_human</v>
      </c>
      <c r="C104" s="5">
        <f>VLOOKUP($B104&amp;"__wt",'Xtal_SegEnds_BW#'!$A:$Z,3,FALSE)</f>
        <v>34</v>
      </c>
      <c r="D104" s="1">
        <f>VLOOKUP($B104&amp;"__wt",'Xtal_SegEnds_BW#'!$A:$Z,4,FALSE)</f>
        <v>60</v>
      </c>
      <c r="E104" s="1">
        <f>VLOOKUP($B104&amp;"__wt",'Xtal_SegEnds_BW#'!$A:$Z,5,FALSE)</f>
        <v>48</v>
      </c>
      <c r="F104" s="1">
        <f>VLOOKUP($B104&amp;"__wt",'Xtal_SegEnds_BW#'!$A:$Z,6,FALSE)</f>
        <v>51</v>
      </c>
      <c r="G104" s="1">
        <v>37</v>
      </c>
      <c r="H104" s="1">
        <v>63</v>
      </c>
      <c r="I104" s="1">
        <f>VLOOKUP($B104&amp;"__wt",'Xtal_SegEnds_BW#'!$A:$Z,9,FALSE)</f>
        <v>49</v>
      </c>
      <c r="J104" s="1">
        <f>VLOOKUP($B104&amp;"__wt",'Xtal_SegEnds_BW#'!$A:$Z,10,FALSE)</f>
        <v>52</v>
      </c>
      <c r="K104" s="1">
        <v>24</v>
      </c>
      <c r="L104" s="1">
        <f>VLOOKUP($B104&amp;"__wt",'Xtal_SegEnds_BW#'!$A:$Z,12,FALSE)</f>
        <v>56</v>
      </c>
      <c r="M104" s="1">
        <f>VLOOKUP($B104&amp;"__wt",'Xtal_SegEnds_BW#'!$A:$Z,13,FALSE)</f>
        <v>50</v>
      </c>
      <c r="N104" s="1">
        <v>56</v>
      </c>
      <c r="O104" s="1">
        <v>39</v>
      </c>
      <c r="P104" s="1">
        <f>VLOOKUP($B104&amp;"__wt",'Xtal_SegEnds_BW#'!$A:$Z,16,FALSE)</f>
        <v>62</v>
      </c>
      <c r="Q104" s="1">
        <f>VLOOKUP($B104&amp;"__wt",'Xtal_SegEnds_BW#'!$A:$Z,17,FALSE)</f>
        <v>50</v>
      </c>
      <c r="R104" s="1">
        <f>VLOOKUP($B104&amp;"__wt",'Xtal_SegEnds_BW#'!$A:$Z,18,FALSE)</f>
        <v>52</v>
      </c>
      <c r="S104" s="1">
        <f>VLOOKUP($B104&amp;"__wt",'Xtal_SegEnds_BW#'!$A:$Z,19,FALSE)</f>
        <v>35</v>
      </c>
      <c r="T104" s="23">
        <f t="array" ref="T104">INDEX('ICL3'!$G$2:$G$31,MATCH(MIN(ABS(AF104-'ICL3'!$F$2:$F$31)),ABS(AF104-'ICL3'!$F$2:$F$31),0))</f>
        <v>68</v>
      </c>
      <c r="U104" s="1">
        <f t="array" ref="U104">INDEX('ICL3'!$H$2:$H$31,MATCH(MIN(ABS(AF104-'ICL3'!$F$2:$F$31)),ABS(AF104-'ICL3'!$F$2:$F$31),0))</f>
        <v>28</v>
      </c>
      <c r="V104" s="1">
        <v>64</v>
      </c>
      <c r="W104" s="1">
        <v>24</v>
      </c>
      <c r="X104" s="1">
        <f>VLOOKUP($B104&amp;"__wt",'Xtal_SegEnds_BW#'!$A:$Z,24,FALSE)</f>
        <v>56</v>
      </c>
      <c r="Y104" s="1">
        <f>VLOOKUP($B104&amp;"__wt",'Xtal_SegEnds_BW#'!$A:$Z,25,FALSE)</f>
        <v>47</v>
      </c>
      <c r="Z104" s="1">
        <f>VLOOKUP($B104&amp;"__wt",'Xtal_SegEnds_BW#'!$A:$Z,26,FALSE)</f>
        <v>59</v>
      </c>
      <c r="AA104" s="63" t="str">
        <f>VLOOKUP(A104,Classification!A:B,2,FALSE)</f>
        <v>A</v>
      </c>
      <c r="AB104" s="1" t="e">
        <f>VLOOKUP(A104,'NonXtal_SegEnds_Prot#'!A:AL,10,FALSE)-VLOOKUP(A104,'NonXtal_SegEnds_Prot#'!A:AL,7,FALSE)</f>
        <v>#VALUE!</v>
      </c>
      <c r="AC104" s="1">
        <f>VLOOKUP(A104,'NonXtal_SegEnds_Prot#'!A:AL,13,FALSE)-VLOOKUP(A104,'NonXtal_SegEnds_Prot#'!A:AL,10,FALSE)</f>
        <v>17</v>
      </c>
      <c r="AD104" s="1">
        <f>VLOOKUP(A104,'NonXtal_SegEnds_Prot#'!A:AL,16,FALSE)-VLOOKUP(A104,'NonXtal_SegEnds_Prot#'!A:AL,10,FALSE)</f>
        <v>49</v>
      </c>
      <c r="AE104" s="1" t="e">
        <f>VLOOKUP(A104,'NonXtal_SegEnds_Prot#'!A:AL,28,FALSE)-VLOOKUP(A104,'NonXtal_SegEnds_Prot#'!A:AL,25,FALSE)</f>
        <v>#VALUE!</v>
      </c>
      <c r="AF104" s="1">
        <f>VLOOKUP(A104,'NonXtal_SegEnds_Prot#'!A:AL,31,FALSE)-VLOOKUP(A104,'NonXtal_SegEnds_Prot#'!A:AL,28,FALSE)</f>
        <v>49</v>
      </c>
      <c r="AG104" s="1">
        <f>VLOOKUP(A104,'NonXtal_SegEnds_Prot#'!A:AL,34,FALSE)-VLOOKUP(A104,'NonXtal_SegEnds_Prot#'!A:AL,31,FALSE)</f>
        <v>45</v>
      </c>
    </row>
    <row r="105" spans="1:33" x14ac:dyDescent="0.2">
      <c r="A105" s="1" t="s">
        <v>433</v>
      </c>
      <c r="B105" s="1" t="str">
        <f>VLOOKUP(A105,Xtal_Templ!A:B,2,FALSE)</f>
        <v>agtr1_human</v>
      </c>
      <c r="C105" s="5">
        <f>VLOOKUP($B105&amp;"__wt",'Xtal_SegEnds_BW#'!$A:$Z,3,FALSE)</f>
        <v>30</v>
      </c>
      <c r="D105" s="1">
        <f>VLOOKUP($B105&amp;"__wt",'Xtal_SegEnds_BW#'!$A:$Z,4,FALSE)</f>
        <v>60</v>
      </c>
      <c r="E105" s="1">
        <f>VLOOKUP($B105&amp;"__wt",'Xtal_SegEnds_BW#'!$A:$Z,5,FALSE)</f>
        <v>48</v>
      </c>
      <c r="F105" s="1">
        <f>VLOOKUP($B105&amp;"__wt",'Xtal_SegEnds_BW#'!$A:$Z,6,FALSE)</f>
        <v>51</v>
      </c>
      <c r="G105" s="1">
        <v>37</v>
      </c>
      <c r="H105" s="1">
        <f>VLOOKUP($B105&amp;"__wt",'Xtal_SegEnds_BW#'!$A:$Z,8,FALSE)</f>
        <v>66</v>
      </c>
      <c r="I105" s="1">
        <f>VLOOKUP($B105&amp;"__wt",'Xtal_SegEnds_BW#'!$A:$Z,9,FALSE)</f>
        <v>49</v>
      </c>
      <c r="J105" s="1">
        <f>VLOOKUP($B105&amp;"__wt",'Xtal_SegEnds_BW#'!$A:$Z,10,FALSE)</f>
        <v>52</v>
      </c>
      <c r="K105" s="1">
        <v>18</v>
      </c>
      <c r="L105" s="1">
        <f>VLOOKUP($B105&amp;"__wt",'Xtal_SegEnds_BW#'!$A:$Z,12,FALSE)</f>
        <v>56</v>
      </c>
      <c r="M105" s="1">
        <f>VLOOKUP($B105&amp;"__wt",'Xtal_SegEnds_BW#'!$A:$Z,13,FALSE)</f>
        <v>50</v>
      </c>
      <c r="N105" s="1">
        <v>57</v>
      </c>
      <c r="O105" s="1">
        <v>39</v>
      </c>
      <c r="P105" s="1">
        <f>VLOOKUP($B105&amp;"__wt",'Xtal_SegEnds_BW#'!$A:$Z,16,FALSE)</f>
        <v>64</v>
      </c>
      <c r="Q105" s="1">
        <f>VLOOKUP($B105&amp;"__wt",'Xtal_SegEnds_BW#'!$A:$Z,17,FALSE)</f>
        <v>50</v>
      </c>
      <c r="R105" s="1">
        <f>VLOOKUP($B105&amp;"__wt",'Xtal_SegEnds_BW#'!$A:$Z,18,FALSE)</f>
        <v>52</v>
      </c>
      <c r="S105" s="1">
        <f>VLOOKUP($B105&amp;"__wt",'Xtal_SegEnds_BW#'!$A:$Z,19,FALSE)</f>
        <v>34</v>
      </c>
      <c r="T105" s="23">
        <f t="array" ref="T105">INDEX('ICL3'!$G$2:$G$31,MATCH(MIN(ABS(AF105-'ICL3'!$F$2:$F$31)),ABS(AF105-'ICL3'!$F$2:$F$31),0))</f>
        <v>68</v>
      </c>
      <c r="U105" s="1">
        <f t="array" ref="U105">INDEX('ICL3'!$H$2:$H$31,MATCH(MIN(ABS(AF105-'ICL3'!$F$2:$F$31)),ABS(AF105-'ICL3'!$F$2:$F$31),0))</f>
        <v>28</v>
      </c>
      <c r="V105" s="1">
        <v>61</v>
      </c>
      <c r="W105" s="1">
        <v>24</v>
      </c>
      <c r="X105" s="1">
        <f>VLOOKUP($B105&amp;"__wt",'Xtal_SegEnds_BW#'!$A:$Z,24,FALSE)</f>
        <v>56</v>
      </c>
      <c r="Y105" s="1">
        <f>VLOOKUP($B105&amp;"__wt",'Xtal_SegEnds_BW#'!$A:$Z,25,FALSE)</f>
        <v>47</v>
      </c>
      <c r="Z105" s="1">
        <f>VLOOKUP($B105&amp;"__wt",'Xtal_SegEnds_BW#'!$A:$Z,26,FALSE)</f>
        <v>61</v>
      </c>
      <c r="AA105" s="63" t="str">
        <f>VLOOKUP(A105,Classification!A:B,2,FALSE)</f>
        <v>A</v>
      </c>
      <c r="AB105" s="1" t="e">
        <f>VLOOKUP(A105,'NonXtal_SegEnds_Prot#'!A:AL,10,FALSE)-VLOOKUP(A105,'NonXtal_SegEnds_Prot#'!A:AL,7,FALSE)</f>
        <v>#VALUE!</v>
      </c>
      <c r="AC105" s="1">
        <f>VLOOKUP(A105,'NonXtal_SegEnds_Prot#'!A:AL,13,FALSE)-VLOOKUP(A105,'NonXtal_SegEnds_Prot#'!A:AL,10,FALSE)</f>
        <v>20</v>
      </c>
      <c r="AD105" s="1">
        <f>VLOOKUP(A105,'NonXtal_SegEnds_Prot#'!A:AL,16,FALSE)-VLOOKUP(A105,'NonXtal_SegEnds_Prot#'!A:AL,10,FALSE)</f>
        <v>52</v>
      </c>
      <c r="AE105" s="1">
        <f>VLOOKUP(A105,'NonXtal_SegEnds_Prot#'!A:AL,28,FALSE)-VLOOKUP(A105,'NonXtal_SegEnds_Prot#'!A:AL,25,FALSE)</f>
        <v>24</v>
      </c>
      <c r="AF105" s="1">
        <f>VLOOKUP(A105,'NonXtal_SegEnds_Prot#'!A:AL,31,FALSE)-VLOOKUP(A105,'NonXtal_SegEnds_Prot#'!A:AL,28,FALSE)</f>
        <v>49</v>
      </c>
      <c r="AG105" s="1">
        <f>VLOOKUP(A105,'NonXtal_SegEnds_Prot#'!A:AL,34,FALSE)-VLOOKUP(A105,'NonXtal_SegEnds_Prot#'!A:AL,31,FALSE)</f>
        <v>43</v>
      </c>
    </row>
    <row r="106" spans="1:33" x14ac:dyDescent="0.2">
      <c r="A106" s="1" t="s">
        <v>448</v>
      </c>
      <c r="B106" s="1" t="str">
        <f>VLOOKUP(A106,Xtal_Templ!A:B,2,FALSE)</f>
        <v>par1_human</v>
      </c>
      <c r="C106" s="5">
        <f>VLOOKUP($B106&amp;"__wt",'Xtal_SegEnds_BW#'!$A:$Z,3,FALSE)</f>
        <v>29</v>
      </c>
      <c r="D106" s="1">
        <f>VLOOKUP($B106&amp;"__wt",'Xtal_SegEnds_BW#'!$A:$Z,4,FALSE)</f>
        <v>60</v>
      </c>
      <c r="E106" s="1">
        <f>VLOOKUP($B106&amp;"__wt",'Xtal_SegEnds_BW#'!$A:$Z,5,FALSE)</f>
        <v>48</v>
      </c>
      <c r="F106" s="1">
        <f>VLOOKUP($B106&amp;"__wt",'Xtal_SegEnds_BW#'!$A:$Z,6,FALSE)</f>
        <v>51</v>
      </c>
      <c r="G106" s="1">
        <v>37</v>
      </c>
      <c r="H106" s="1">
        <v>66</v>
      </c>
      <c r="I106" s="1">
        <f>VLOOKUP($B106&amp;"__wt",'Xtal_SegEnds_BW#'!$A:$Z,9,FALSE)</f>
        <v>49</v>
      </c>
      <c r="J106" s="1">
        <f>VLOOKUP($B106&amp;"__wt",'Xtal_SegEnds_BW#'!$A:$Z,10,FALSE)</f>
        <v>52</v>
      </c>
      <c r="K106" s="1">
        <v>24</v>
      </c>
      <c r="L106" s="1">
        <f>VLOOKUP($B106&amp;"__wt",'Xtal_SegEnds_BW#'!$A:$Z,12,FALSE)</f>
        <v>56</v>
      </c>
      <c r="M106" s="1">
        <f>VLOOKUP($B106&amp;"__wt",'Xtal_SegEnds_BW#'!$A:$Z,13,FALSE)</f>
        <v>50</v>
      </c>
      <c r="N106" s="1">
        <v>57</v>
      </c>
      <c r="O106" s="1">
        <v>39</v>
      </c>
      <c r="P106" s="1">
        <f>VLOOKUP($B106&amp;"__wt",'Xtal_SegEnds_BW#'!$A:$Z,16,FALSE)</f>
        <v>63</v>
      </c>
      <c r="Q106" s="1">
        <f>VLOOKUP($B106&amp;"__wt",'Xtal_SegEnds_BW#'!$A:$Z,17,FALSE)</f>
        <v>50</v>
      </c>
      <c r="R106" s="1">
        <f>VLOOKUP($B106&amp;"__wt",'Xtal_SegEnds_BW#'!$A:$Z,18,FALSE)</f>
        <v>52</v>
      </c>
      <c r="S106" s="1">
        <v>35</v>
      </c>
      <c r="T106" s="23">
        <f t="array" ref="T106">INDEX('ICL3'!$G$2:$G$31,MATCH(MIN(ABS(AF106-'ICL3'!$F$2:$F$31)),ABS(AF106-'ICL3'!$F$2:$F$31),0))</f>
        <v>68</v>
      </c>
      <c r="U106" s="1">
        <f t="array" ref="U106">INDEX('ICL3'!$H$2:$H$31,MATCH(MIN(ABS(AF106-'ICL3'!$F$2:$F$31)),ABS(AF106-'ICL3'!$F$2:$F$31),0))</f>
        <v>28</v>
      </c>
      <c r="V106" s="1">
        <v>61</v>
      </c>
      <c r="W106" s="1">
        <v>28</v>
      </c>
      <c r="X106" s="1">
        <f>VLOOKUP($B106&amp;"__wt",'Xtal_SegEnds_BW#'!$A:$Z,24,FALSE)</f>
        <v>56</v>
      </c>
      <c r="Y106" s="1">
        <f>VLOOKUP($B106&amp;"__wt",'Xtal_SegEnds_BW#'!$A:$Z,25,FALSE)</f>
        <v>47</v>
      </c>
      <c r="Z106" s="1">
        <f>VLOOKUP($B106&amp;"__wt",'Xtal_SegEnds_BW#'!$A:$Z,26,FALSE)</f>
        <v>61</v>
      </c>
      <c r="AA106" s="63" t="str">
        <f>VLOOKUP(A106,Classification!A:B,2,FALSE)</f>
        <v>A</v>
      </c>
      <c r="AB106" s="1">
        <f>VLOOKUP(A106,'NonXtal_SegEnds_Prot#'!A:AL,10,FALSE)-VLOOKUP(A106,'NonXtal_SegEnds_Prot#'!A:AL,7,FALSE)</f>
        <v>15</v>
      </c>
      <c r="AC106" s="1" t="e">
        <f>VLOOKUP(A106,'NonXtal_SegEnds_Prot#'!A:AL,13,FALSE)-VLOOKUP(A106,'NonXtal_SegEnds_Prot#'!A:AL,10,FALSE)</f>
        <v>#VALUE!</v>
      </c>
      <c r="AD106" s="1">
        <f>VLOOKUP(A106,'NonXtal_SegEnds_Prot#'!A:AL,16,FALSE)-VLOOKUP(A106,'NonXtal_SegEnds_Prot#'!A:AL,10,FALSE)</f>
        <v>48</v>
      </c>
      <c r="AE106" s="1">
        <f>VLOOKUP(A106,'NonXtal_SegEnds_Prot#'!A:AL,28,FALSE)-VLOOKUP(A106,'NonXtal_SegEnds_Prot#'!A:AL,25,FALSE)</f>
        <v>21</v>
      </c>
      <c r="AF106" s="1">
        <f>VLOOKUP(A106,'NonXtal_SegEnds_Prot#'!A:AL,31,FALSE)-VLOOKUP(A106,'NonXtal_SegEnds_Prot#'!A:AL,28,FALSE)</f>
        <v>49</v>
      </c>
      <c r="AG106" s="1">
        <f>VLOOKUP(A106,'NonXtal_SegEnds_Prot#'!A:AL,34,FALSE)-VLOOKUP(A106,'NonXtal_SegEnds_Prot#'!A:AL,31,FALSE)</f>
        <v>41</v>
      </c>
    </row>
    <row r="107" spans="1:33" x14ac:dyDescent="0.2">
      <c r="A107" s="1" t="s">
        <v>466</v>
      </c>
      <c r="B107" s="1" t="str">
        <f>VLOOKUP(A107,Xtal_Templ!A:B,2,FALSE)</f>
        <v>p2y12_human</v>
      </c>
      <c r="C107" s="5">
        <f>VLOOKUP($B107&amp;"__wt",'Xtal_SegEnds_BW#'!$A:$Z,3,FALSE)</f>
        <v>28</v>
      </c>
      <c r="D107" s="1">
        <f>VLOOKUP($B107&amp;"__wt",'Xtal_SegEnds_BW#'!$A:$Z,4,FALSE)</f>
        <v>60</v>
      </c>
      <c r="E107" s="1" t="str">
        <f>VLOOKUP($B107&amp;"__wt",'Xtal_SegEnds_BW#'!$A:$Z,5,FALSE)</f>
        <v>-</v>
      </c>
      <c r="F107" s="1" t="str">
        <f>VLOOKUP($B107&amp;"__wt",'Xtal_SegEnds_BW#'!$A:$Z,6,FALSE)</f>
        <v>-</v>
      </c>
      <c r="G107" s="1">
        <v>37</v>
      </c>
      <c r="H107" s="1">
        <f>VLOOKUP($B107&amp;"__wt",'Xtal_SegEnds_BW#'!$A:$Z,8,FALSE)</f>
        <v>66</v>
      </c>
      <c r="I107" s="1" t="str">
        <f>VLOOKUP($B107&amp;"__wt",'Xtal_SegEnds_BW#'!$A:$Z,9,FALSE)</f>
        <v>-</v>
      </c>
      <c r="J107" s="1" t="str">
        <f>VLOOKUP($B107&amp;"__wt",'Xtal_SegEnds_BW#'!$A:$Z,10,FALSE)</f>
        <v>-</v>
      </c>
      <c r="K107" s="1">
        <v>18</v>
      </c>
      <c r="L107" s="1">
        <f>VLOOKUP($B107&amp;"__wt",'Xtal_SegEnds_BW#'!$A:$Z,12,FALSE)</f>
        <v>56</v>
      </c>
      <c r="M107" s="1">
        <f>VLOOKUP($B107&amp;"__wt",'Xtal_SegEnds_BW#'!$A:$Z,13,FALSE)</f>
        <v>50</v>
      </c>
      <c r="N107" s="1">
        <v>57</v>
      </c>
      <c r="O107" s="1">
        <v>39</v>
      </c>
      <c r="P107" s="1">
        <f>VLOOKUP($B107&amp;"__wt",'Xtal_SegEnds_BW#'!$A:$Z,16,FALSE)</f>
        <v>64</v>
      </c>
      <c r="Q107" s="1">
        <f>VLOOKUP($B107&amp;"__wt",'Xtal_SegEnds_BW#'!$A:$Z,17,FALSE)</f>
        <v>50</v>
      </c>
      <c r="R107" s="1">
        <f>VLOOKUP($B107&amp;"__wt",'Xtal_SegEnds_BW#'!$A:$Z,18,FALSE)</f>
        <v>52</v>
      </c>
      <c r="S107" s="1">
        <f>VLOOKUP($B107&amp;"__wt",'Xtal_SegEnds_BW#'!$A:$Z,19,FALSE)</f>
        <v>30</v>
      </c>
      <c r="T107" s="23">
        <f t="array" ref="T107">INDEX('ICL3'!$G$2:$G$31,MATCH(MIN(ABS(AF107-'ICL3'!$F$2:$F$31)),ABS(AF107-'ICL3'!$F$2:$F$31),0))</f>
        <v>68</v>
      </c>
      <c r="U107" s="1">
        <f t="array" ref="U107">INDEX('ICL3'!$H$2:$H$31,MATCH(MIN(ABS(AF107-'ICL3'!$F$2:$F$31)),ABS(AF107-'ICL3'!$F$2:$F$31),0))</f>
        <v>28</v>
      </c>
      <c r="V107" s="1">
        <v>64</v>
      </c>
      <c r="W107" s="1">
        <v>24</v>
      </c>
      <c r="X107" s="1">
        <f>VLOOKUP($B107&amp;"__wt",'Xtal_SegEnds_BW#'!$A:$Z,24,FALSE)</f>
        <v>56</v>
      </c>
      <c r="Y107" s="1">
        <f>VLOOKUP($B107&amp;"__wt",'Xtal_SegEnds_BW#'!$A:$Z,25,FALSE)</f>
        <v>47</v>
      </c>
      <c r="Z107" s="1">
        <f>VLOOKUP($B107&amp;"__wt",'Xtal_SegEnds_BW#'!$A:$Z,26,FALSE)</f>
        <v>57</v>
      </c>
      <c r="AA107" s="63" t="str">
        <f>VLOOKUP(A107,Classification!A:B,2,FALSE)</f>
        <v>A</v>
      </c>
      <c r="AB107" s="1" t="e">
        <f>VLOOKUP(A107,'NonXtal_SegEnds_Prot#'!A:AL,10,FALSE)-VLOOKUP(A107,'NonXtal_SegEnds_Prot#'!A:AL,7,FALSE)</f>
        <v>#VALUE!</v>
      </c>
      <c r="AC107" s="1">
        <f>VLOOKUP(A107,'NonXtal_SegEnds_Prot#'!A:AL,13,FALSE)-VLOOKUP(A107,'NonXtal_SegEnds_Prot#'!A:AL,10,FALSE)</f>
        <v>20</v>
      </c>
      <c r="AD107" s="1">
        <f>VLOOKUP(A107,'NonXtal_SegEnds_Prot#'!A:AL,16,FALSE)-VLOOKUP(A107,'NonXtal_SegEnds_Prot#'!A:AL,10,FALSE)</f>
        <v>52</v>
      </c>
      <c r="AE107" s="1">
        <f>VLOOKUP(A107,'NonXtal_SegEnds_Prot#'!A:AL,28,FALSE)-VLOOKUP(A107,'NonXtal_SegEnds_Prot#'!A:AL,25,FALSE)</f>
        <v>26</v>
      </c>
      <c r="AF107" s="1">
        <f>VLOOKUP(A107,'NonXtal_SegEnds_Prot#'!A:AL,31,FALSE)-VLOOKUP(A107,'NonXtal_SegEnds_Prot#'!A:AL,28,FALSE)</f>
        <v>49</v>
      </c>
      <c r="AG107" s="1">
        <f>VLOOKUP(A107,'NonXtal_SegEnds_Prot#'!A:AL,34,FALSE)-VLOOKUP(A107,'NonXtal_SegEnds_Prot#'!A:AL,31,FALSE)</f>
        <v>44</v>
      </c>
    </row>
    <row r="108" spans="1:33" x14ac:dyDescent="0.2">
      <c r="A108" s="1" t="s">
        <v>565</v>
      </c>
      <c r="B108" s="1" t="str">
        <f>VLOOKUP(A108,Xtal_Templ!A:B,2,FALSE)</f>
        <v>p2y12_human</v>
      </c>
      <c r="C108" s="5">
        <f>VLOOKUP($B108&amp;"__wt",'Xtal_SegEnds_BW#'!$A:$Z,3,FALSE)</f>
        <v>28</v>
      </c>
      <c r="D108" s="1">
        <f>VLOOKUP($B108&amp;"__wt",'Xtal_SegEnds_BW#'!$A:$Z,4,FALSE)</f>
        <v>60</v>
      </c>
      <c r="E108" s="1" t="str">
        <f>VLOOKUP($B108&amp;"__wt",'Xtal_SegEnds_BW#'!$A:$Z,5,FALSE)</f>
        <v>-</v>
      </c>
      <c r="F108" s="1" t="str">
        <f>VLOOKUP($B108&amp;"__wt",'Xtal_SegEnds_BW#'!$A:$Z,6,FALSE)</f>
        <v>-</v>
      </c>
      <c r="G108" s="1">
        <v>37</v>
      </c>
      <c r="H108" s="1">
        <f>VLOOKUP($B108&amp;"__wt",'Xtal_SegEnds_BW#'!$A:$Z,8,FALSE)</f>
        <v>66</v>
      </c>
      <c r="I108" s="1" t="str">
        <f>VLOOKUP($B108&amp;"__wt",'Xtal_SegEnds_BW#'!$A:$Z,9,FALSE)</f>
        <v>-</v>
      </c>
      <c r="J108" s="1" t="str">
        <f>VLOOKUP($B108&amp;"__wt",'Xtal_SegEnds_BW#'!$A:$Z,10,FALSE)</f>
        <v>-</v>
      </c>
      <c r="K108" s="1">
        <v>18</v>
      </c>
      <c r="L108" s="1">
        <f>VLOOKUP($B108&amp;"__wt",'Xtal_SegEnds_BW#'!$A:$Z,12,FALSE)</f>
        <v>56</v>
      </c>
      <c r="M108" s="1">
        <f>VLOOKUP($B108&amp;"__wt",'Xtal_SegEnds_BW#'!$A:$Z,13,FALSE)</f>
        <v>50</v>
      </c>
      <c r="N108" s="1">
        <v>57</v>
      </c>
      <c r="O108" s="1">
        <v>39</v>
      </c>
      <c r="P108" s="1">
        <f>VLOOKUP($B108&amp;"__wt",'Xtal_SegEnds_BW#'!$A:$Z,16,FALSE)</f>
        <v>64</v>
      </c>
      <c r="Q108" s="1">
        <f>VLOOKUP($B108&amp;"__wt",'Xtal_SegEnds_BW#'!$A:$Z,17,FALSE)</f>
        <v>50</v>
      </c>
      <c r="R108" s="1">
        <f>VLOOKUP($B108&amp;"__wt",'Xtal_SegEnds_BW#'!$A:$Z,18,FALSE)</f>
        <v>52</v>
      </c>
      <c r="S108" s="1">
        <f>VLOOKUP($B108&amp;"__wt",'Xtal_SegEnds_BW#'!$A:$Z,19,FALSE)</f>
        <v>30</v>
      </c>
      <c r="T108" s="23">
        <f t="array" ref="T108">INDEX('ICL3'!$G$2:$G$31,MATCH(MIN(ABS(AF108-'ICL3'!$F$2:$F$31)),ABS(AF108-'ICL3'!$F$2:$F$31),0))</f>
        <v>68</v>
      </c>
      <c r="U108" s="1">
        <f t="array" ref="U108">INDEX('ICL3'!$H$2:$H$31,MATCH(MIN(ABS(AF108-'ICL3'!$F$2:$F$31)),ABS(AF108-'ICL3'!$F$2:$F$31),0))</f>
        <v>28</v>
      </c>
      <c r="V108" s="1">
        <v>61</v>
      </c>
      <c r="W108" s="1">
        <v>24</v>
      </c>
      <c r="X108" s="1">
        <f>VLOOKUP($B108&amp;"__wt",'Xtal_SegEnds_BW#'!$A:$Z,24,FALSE)</f>
        <v>56</v>
      </c>
      <c r="Y108" s="1">
        <f>VLOOKUP($B108&amp;"__wt",'Xtal_SegEnds_BW#'!$A:$Z,25,FALSE)</f>
        <v>47</v>
      </c>
      <c r="Z108" s="1">
        <f>VLOOKUP($B108&amp;"__wt",'Xtal_SegEnds_BW#'!$A:$Z,26,FALSE)</f>
        <v>57</v>
      </c>
      <c r="AA108" s="63" t="str">
        <f>VLOOKUP(A108,Classification!A:B,2,FALSE)</f>
        <v>A</v>
      </c>
      <c r="AB108" s="1" t="e">
        <f>VLOOKUP(A108,'NonXtal_SegEnds_Prot#'!A:AL,10,FALSE)-VLOOKUP(A108,'NonXtal_SegEnds_Prot#'!A:AL,7,FALSE)</f>
        <v>#VALUE!</v>
      </c>
      <c r="AC108" s="1">
        <f>VLOOKUP(A108,'NonXtal_SegEnds_Prot#'!A:AL,13,FALSE)-VLOOKUP(A108,'NonXtal_SegEnds_Prot#'!A:AL,10,FALSE)</f>
        <v>20</v>
      </c>
      <c r="AD108" s="1">
        <f>VLOOKUP(A108,'NonXtal_SegEnds_Prot#'!A:AL,16,FALSE)-VLOOKUP(A108,'NonXtal_SegEnds_Prot#'!A:AL,10,FALSE)</f>
        <v>52</v>
      </c>
      <c r="AE108" s="1">
        <f>VLOOKUP(A108,'NonXtal_SegEnds_Prot#'!A:AL,28,FALSE)-VLOOKUP(A108,'NonXtal_SegEnds_Prot#'!A:AL,25,FALSE)</f>
        <v>25</v>
      </c>
      <c r="AF108" s="1">
        <f>VLOOKUP(A108,'NonXtal_SegEnds_Prot#'!A:AL,31,FALSE)-VLOOKUP(A108,'NonXtal_SegEnds_Prot#'!A:AL,28,FALSE)</f>
        <v>49</v>
      </c>
      <c r="AG108" s="1">
        <f>VLOOKUP(A108,'NonXtal_SegEnds_Prot#'!A:AL,34,FALSE)-VLOOKUP(A108,'NonXtal_SegEnds_Prot#'!A:AL,31,FALSE)</f>
        <v>43</v>
      </c>
    </row>
    <row r="109" spans="1:33" x14ac:dyDescent="0.2">
      <c r="A109" s="1" t="s">
        <v>354</v>
      </c>
      <c r="B109" s="1" t="str">
        <f>VLOOKUP(A109,Xtal_Templ!A:B,2,FALSE)</f>
        <v>agtr1_human</v>
      </c>
      <c r="C109" s="5">
        <f>VLOOKUP($B109&amp;"__wt",'Xtal_SegEnds_BW#'!$A:$Z,3,FALSE)</f>
        <v>30</v>
      </c>
      <c r="D109" s="1">
        <f>VLOOKUP($B109&amp;"__wt",'Xtal_SegEnds_BW#'!$A:$Z,4,FALSE)</f>
        <v>60</v>
      </c>
      <c r="E109" s="1">
        <f>VLOOKUP($B109&amp;"__wt",'Xtal_SegEnds_BW#'!$A:$Z,5,FALSE)</f>
        <v>48</v>
      </c>
      <c r="F109" s="1">
        <f>VLOOKUP($B109&amp;"__wt",'Xtal_SegEnds_BW#'!$A:$Z,6,FALSE)</f>
        <v>51</v>
      </c>
      <c r="G109" s="1">
        <v>37</v>
      </c>
      <c r="H109" s="1">
        <f>VLOOKUP($B109&amp;"__wt",'Xtal_SegEnds_BW#'!$A:$Z,8,FALSE)</f>
        <v>66</v>
      </c>
      <c r="I109" s="1">
        <f>VLOOKUP($B109&amp;"__wt",'Xtal_SegEnds_BW#'!$A:$Z,9,FALSE)</f>
        <v>49</v>
      </c>
      <c r="J109" s="1">
        <f>VLOOKUP($B109&amp;"__wt",'Xtal_SegEnds_BW#'!$A:$Z,10,FALSE)</f>
        <v>52</v>
      </c>
      <c r="K109" s="1">
        <v>18</v>
      </c>
      <c r="L109" s="1">
        <f>VLOOKUP($B109&amp;"__wt",'Xtal_SegEnds_BW#'!$A:$Z,12,FALSE)</f>
        <v>56</v>
      </c>
      <c r="M109" s="1">
        <f>VLOOKUP($B109&amp;"__wt",'Xtal_SegEnds_BW#'!$A:$Z,13,FALSE)</f>
        <v>50</v>
      </c>
      <c r="N109" s="1">
        <v>57</v>
      </c>
      <c r="O109" s="1">
        <v>39</v>
      </c>
      <c r="P109" s="1">
        <f>VLOOKUP($B109&amp;"__wt",'Xtal_SegEnds_BW#'!$A:$Z,16,FALSE)</f>
        <v>64</v>
      </c>
      <c r="Q109" s="1">
        <f>VLOOKUP($B109&amp;"__wt",'Xtal_SegEnds_BW#'!$A:$Z,17,FALSE)</f>
        <v>50</v>
      </c>
      <c r="R109" s="1">
        <f>VLOOKUP($B109&amp;"__wt",'Xtal_SegEnds_BW#'!$A:$Z,18,FALSE)</f>
        <v>52</v>
      </c>
      <c r="S109" s="1">
        <f>VLOOKUP($B109&amp;"__wt",'Xtal_SegEnds_BW#'!$A:$Z,19,FALSE)</f>
        <v>34</v>
      </c>
      <c r="T109" s="23">
        <f t="array" ref="T109">INDEX('ICL3'!$G$2:$G$31,MATCH(MIN(ABS(AF109-'ICL3'!$F$2:$F$31)),ABS(AF109-'ICL3'!$F$2:$F$31),0))</f>
        <v>72</v>
      </c>
      <c r="U109" s="1">
        <f t="array" ref="U109">INDEX('ICL3'!$H$2:$H$31,MATCH(MIN(ABS(AF109-'ICL3'!$F$2:$F$31)),ABS(AF109-'ICL3'!$F$2:$F$31),0))</f>
        <v>29</v>
      </c>
      <c r="V109" s="1">
        <v>61</v>
      </c>
      <c r="W109" s="1">
        <v>24</v>
      </c>
      <c r="X109" s="1">
        <f>VLOOKUP($B109&amp;"__wt",'Xtal_SegEnds_BW#'!$A:$Z,24,FALSE)</f>
        <v>56</v>
      </c>
      <c r="Y109" s="1">
        <f>VLOOKUP($B109&amp;"__wt",'Xtal_SegEnds_BW#'!$A:$Z,25,FALSE)</f>
        <v>47</v>
      </c>
      <c r="Z109" s="1">
        <f>VLOOKUP($B109&amp;"__wt",'Xtal_SegEnds_BW#'!$A:$Z,26,FALSE)</f>
        <v>61</v>
      </c>
      <c r="AA109" s="63" t="str">
        <f>VLOOKUP(A109,Classification!A:B,2,FALSE)</f>
        <v>A</v>
      </c>
      <c r="AB109" s="1" t="e">
        <f>VLOOKUP(A109,'NonXtal_SegEnds_Prot#'!A:AL,10,FALSE)-VLOOKUP(A109,'NonXtal_SegEnds_Prot#'!A:AL,7,FALSE)</f>
        <v>#VALUE!</v>
      </c>
      <c r="AC109" s="1">
        <f>VLOOKUP(A109,'NonXtal_SegEnds_Prot#'!A:AL,13,FALSE)-VLOOKUP(A109,'NonXtal_SegEnds_Prot#'!A:AL,10,FALSE)</f>
        <v>20</v>
      </c>
      <c r="AD109" s="1">
        <f>VLOOKUP(A109,'NonXtal_SegEnds_Prot#'!A:AL,16,FALSE)-VLOOKUP(A109,'NonXtal_SegEnds_Prot#'!A:AL,10,FALSE)</f>
        <v>52</v>
      </c>
      <c r="AE109" s="1">
        <f>VLOOKUP(A109,'NonXtal_SegEnds_Prot#'!A:AL,28,FALSE)-VLOOKUP(A109,'NonXtal_SegEnds_Prot#'!A:AL,25,FALSE)</f>
        <v>32</v>
      </c>
      <c r="AF109" s="1">
        <f>VLOOKUP(A109,'NonXtal_SegEnds_Prot#'!A:AL,31,FALSE)-VLOOKUP(A109,'NonXtal_SegEnds_Prot#'!A:AL,28,FALSE)</f>
        <v>50</v>
      </c>
      <c r="AG109" s="1">
        <f>VLOOKUP(A109,'NonXtal_SegEnds_Prot#'!A:AL,34,FALSE)-VLOOKUP(A109,'NonXtal_SegEnds_Prot#'!A:AL,31,FALSE)</f>
        <v>43</v>
      </c>
    </row>
    <row r="110" spans="1:33" x14ac:dyDescent="0.2">
      <c r="A110" s="1" t="s">
        <v>399</v>
      </c>
      <c r="B110" s="1" t="str">
        <f>VLOOKUP(A110,Xtal_Templ!A:B,2,FALSE)</f>
        <v>oprm_mouse</v>
      </c>
      <c r="C110" s="5">
        <f>VLOOKUP($B110&amp;"__wt",'Xtal_SegEnds_BW#'!$A:$Z,3,FALSE)</f>
        <v>29</v>
      </c>
      <c r="D110" s="1">
        <f>VLOOKUP($B110&amp;"__wt",'Xtal_SegEnds_BW#'!$A:$Z,4,FALSE)</f>
        <v>60</v>
      </c>
      <c r="E110" s="1">
        <f>VLOOKUP($B110&amp;"__wt",'Xtal_SegEnds_BW#'!$A:$Z,5,FALSE)</f>
        <v>48</v>
      </c>
      <c r="F110" s="1">
        <f>VLOOKUP($B110&amp;"__wt",'Xtal_SegEnds_BW#'!$A:$Z,6,FALSE)</f>
        <v>51</v>
      </c>
      <c r="G110" s="1">
        <v>37</v>
      </c>
      <c r="H110" s="1">
        <f>VLOOKUP($B110&amp;"__wt",'Xtal_SegEnds_BW#'!$A:$Z,8,FALSE)</f>
        <v>66</v>
      </c>
      <c r="I110" s="1">
        <f>VLOOKUP($B110&amp;"__wt",'Xtal_SegEnds_BW#'!$A:$Z,9,FALSE)</f>
        <v>49</v>
      </c>
      <c r="J110" s="1">
        <f>VLOOKUP($B110&amp;"__wt",'Xtal_SegEnds_BW#'!$A:$Z,10,FALSE)</f>
        <v>52</v>
      </c>
      <c r="K110" s="1">
        <v>18</v>
      </c>
      <c r="L110" s="1">
        <f>VLOOKUP($B110&amp;"__wt",'Xtal_SegEnds_BW#'!$A:$Z,12,FALSE)</f>
        <v>56</v>
      </c>
      <c r="M110" s="1">
        <f>VLOOKUP($B110&amp;"__wt",'Xtal_SegEnds_BW#'!$A:$Z,13,FALSE)</f>
        <v>50</v>
      </c>
      <c r="N110" s="1">
        <v>57</v>
      </c>
      <c r="O110" s="1">
        <v>39</v>
      </c>
      <c r="P110" s="1">
        <f>VLOOKUP($B110&amp;"__wt",'Xtal_SegEnds_BW#'!$A:$Z,16,FALSE)</f>
        <v>64</v>
      </c>
      <c r="Q110" s="1">
        <f>VLOOKUP($B110&amp;"__wt",'Xtal_SegEnds_BW#'!$A:$Z,17,FALSE)</f>
        <v>50</v>
      </c>
      <c r="R110" s="1">
        <f>VLOOKUP($B110&amp;"__wt",'Xtal_SegEnds_BW#'!$A:$Z,18,FALSE)</f>
        <v>52</v>
      </c>
      <c r="S110" s="1">
        <f>VLOOKUP($B110&amp;"__wt",'Xtal_SegEnds_BW#'!$A:$Z,19,FALSE)</f>
        <v>31</v>
      </c>
      <c r="T110" s="23">
        <f t="array" ref="T110">INDEX('ICL3'!$G$2:$G$31,MATCH(MIN(ABS(AF110-'ICL3'!$F$2:$F$31)),ABS(AF110-'ICL3'!$F$2:$F$31),0))</f>
        <v>72</v>
      </c>
      <c r="U110" s="1">
        <f t="array" ref="U110">INDEX('ICL3'!$H$2:$H$31,MATCH(MIN(ABS(AF110-'ICL3'!$F$2:$F$31)),ABS(AF110-'ICL3'!$F$2:$F$31),0))</f>
        <v>29</v>
      </c>
      <c r="V110" s="1">
        <v>61</v>
      </c>
      <c r="W110" s="1">
        <v>28</v>
      </c>
      <c r="X110" s="1">
        <f>VLOOKUP($B110&amp;"__wt",'Xtal_SegEnds_BW#'!$A:$Z,24,FALSE)</f>
        <v>56</v>
      </c>
      <c r="Y110" s="1">
        <f>VLOOKUP($B110&amp;"__wt",'Xtal_SegEnds_BW#'!$A:$Z,25,FALSE)</f>
        <v>47</v>
      </c>
      <c r="Z110" s="1">
        <f>VLOOKUP($B110&amp;"__wt",'Xtal_SegEnds_BW#'!$A:$Z,26,FALSE)</f>
        <v>59</v>
      </c>
      <c r="AA110" s="63" t="str">
        <f>VLOOKUP(A110,Classification!A:B,2,FALSE)</f>
        <v>A</v>
      </c>
      <c r="AB110" s="1" t="e">
        <f>VLOOKUP(A110,'NonXtal_SegEnds_Prot#'!A:AL,10,FALSE)-VLOOKUP(A110,'NonXtal_SegEnds_Prot#'!A:AL,7,FALSE)</f>
        <v>#VALUE!</v>
      </c>
      <c r="AC110" s="1">
        <f>VLOOKUP(A110,'NonXtal_SegEnds_Prot#'!A:AL,13,FALSE)-VLOOKUP(A110,'NonXtal_SegEnds_Prot#'!A:AL,10,FALSE)</f>
        <v>20</v>
      </c>
      <c r="AD110" s="1">
        <f>VLOOKUP(A110,'NonXtal_SegEnds_Prot#'!A:AL,16,FALSE)-VLOOKUP(A110,'NonXtal_SegEnds_Prot#'!A:AL,10,FALSE)</f>
        <v>52</v>
      </c>
      <c r="AE110" s="1">
        <f>VLOOKUP(A110,'NonXtal_SegEnds_Prot#'!A:AL,28,FALSE)-VLOOKUP(A110,'NonXtal_SegEnds_Prot#'!A:AL,25,FALSE)</f>
        <v>25</v>
      </c>
      <c r="AF110" s="1">
        <f>VLOOKUP(A110,'NonXtal_SegEnds_Prot#'!A:AL,31,FALSE)-VLOOKUP(A110,'NonXtal_SegEnds_Prot#'!A:AL,28,FALSE)</f>
        <v>50</v>
      </c>
      <c r="AG110" s="1">
        <f>VLOOKUP(A110,'NonXtal_SegEnds_Prot#'!A:AL,34,FALSE)-VLOOKUP(A110,'NonXtal_SegEnds_Prot#'!A:AL,31,FALSE)</f>
        <v>38</v>
      </c>
    </row>
    <row r="111" spans="1:33" x14ac:dyDescent="0.2">
      <c r="A111" s="1" t="s">
        <v>540</v>
      </c>
      <c r="B111" s="1" t="str">
        <f>VLOOKUP(A111,Xtal_Templ!A:B,2,FALSE)</f>
        <v>p2ry1_human</v>
      </c>
      <c r="C111" s="5">
        <f>VLOOKUP($B111&amp;"__wt",'Xtal_SegEnds_BW#'!$A:$Z,3,FALSE)</f>
        <v>30</v>
      </c>
      <c r="D111" s="1">
        <f>VLOOKUP($B111&amp;"__wt",'Xtal_SegEnds_BW#'!$A:$Z,4,FALSE)</f>
        <v>60</v>
      </c>
      <c r="E111" s="1" t="str">
        <f>VLOOKUP($B111&amp;"__wt",'Xtal_SegEnds_BW#'!$A:$Z,5,FALSE)</f>
        <v>-</v>
      </c>
      <c r="F111" s="1" t="str">
        <f>VLOOKUP($B111&amp;"__wt",'Xtal_SegEnds_BW#'!$A:$Z,6,FALSE)</f>
        <v>-</v>
      </c>
      <c r="G111" s="1">
        <v>37</v>
      </c>
      <c r="H111" s="1">
        <f>VLOOKUP($B111&amp;"__wt",'Xtal_SegEnds_BW#'!$A:$Z,8,FALSE)</f>
        <v>66</v>
      </c>
      <c r="I111" s="1">
        <f>VLOOKUP($B111&amp;"__wt",'Xtal_SegEnds_BW#'!$A:$Z,9,FALSE)</f>
        <v>49</v>
      </c>
      <c r="J111" s="1">
        <f>VLOOKUP($B111&amp;"__wt",'Xtal_SegEnds_BW#'!$A:$Z,10,FALSE)</f>
        <v>52</v>
      </c>
      <c r="K111" s="1">
        <v>18</v>
      </c>
      <c r="L111" s="1">
        <f>VLOOKUP($B111&amp;"__wt",'Xtal_SegEnds_BW#'!$A:$Z,12,FALSE)</f>
        <v>56</v>
      </c>
      <c r="M111" s="1">
        <f>VLOOKUP($B111&amp;"__wt",'Xtal_SegEnds_BW#'!$A:$Z,13,FALSE)</f>
        <v>50</v>
      </c>
      <c r="N111" s="1">
        <v>57</v>
      </c>
      <c r="O111" s="1">
        <v>39</v>
      </c>
      <c r="P111" s="1">
        <f>VLOOKUP($B111&amp;"__wt",'Xtal_SegEnds_BW#'!$A:$Z,16,FALSE)</f>
        <v>64</v>
      </c>
      <c r="Q111" s="1">
        <f>VLOOKUP($B111&amp;"__wt",'Xtal_SegEnds_BW#'!$A:$Z,17,FALSE)</f>
        <v>50</v>
      </c>
      <c r="R111" s="1">
        <f>VLOOKUP($B111&amp;"__wt",'Xtal_SegEnds_BW#'!$A:$Z,18,FALSE)</f>
        <v>52</v>
      </c>
      <c r="S111" s="1">
        <f>VLOOKUP($B111&amp;"__wt",'Xtal_SegEnds_BW#'!$A:$Z,19,FALSE)</f>
        <v>32</v>
      </c>
      <c r="T111" s="23">
        <f t="array" ref="T111">INDEX('ICL3'!$G$2:$G$31,MATCH(MIN(ABS(AF111-'ICL3'!$F$2:$F$31)),ABS(AF111-'ICL3'!$F$2:$F$31),0))</f>
        <v>72</v>
      </c>
      <c r="U111" s="1">
        <f t="array" ref="U111">INDEX('ICL3'!$H$2:$H$31,MATCH(MIN(ABS(AF111-'ICL3'!$F$2:$F$31)),ABS(AF111-'ICL3'!$F$2:$F$31),0))</f>
        <v>29</v>
      </c>
      <c r="V111" s="1">
        <v>61</v>
      </c>
      <c r="W111" s="1">
        <v>24</v>
      </c>
      <c r="X111" s="1">
        <f>VLOOKUP($B111&amp;"__wt",'Xtal_SegEnds_BW#'!$A:$Z,24,FALSE)</f>
        <v>56</v>
      </c>
      <c r="Y111" s="1">
        <f>VLOOKUP($B111&amp;"__wt",'Xtal_SegEnds_BW#'!$A:$Z,25,FALSE)</f>
        <v>47</v>
      </c>
      <c r="Z111" s="1">
        <f>VLOOKUP($B111&amp;"__wt",'Xtal_SegEnds_BW#'!$A:$Z,26,FALSE)</f>
        <v>59</v>
      </c>
      <c r="AA111" s="63" t="str">
        <f>VLOOKUP(A111,Classification!A:B,2,FALSE)</f>
        <v>A</v>
      </c>
      <c r="AB111" s="1" t="e">
        <f>VLOOKUP(A111,'NonXtal_SegEnds_Prot#'!A:AL,10,FALSE)-VLOOKUP(A111,'NonXtal_SegEnds_Prot#'!A:AL,7,FALSE)</f>
        <v>#VALUE!</v>
      </c>
      <c r="AC111" s="1">
        <f>VLOOKUP(A111,'NonXtal_SegEnds_Prot#'!A:AL,13,FALSE)-VLOOKUP(A111,'NonXtal_SegEnds_Prot#'!A:AL,10,FALSE)</f>
        <v>20</v>
      </c>
      <c r="AD111" s="1">
        <f>VLOOKUP(A111,'NonXtal_SegEnds_Prot#'!A:AL,16,FALSE)-VLOOKUP(A111,'NonXtal_SegEnds_Prot#'!A:AL,10,FALSE)</f>
        <v>52</v>
      </c>
      <c r="AE111" s="1">
        <f>VLOOKUP(A111,'NonXtal_SegEnds_Prot#'!A:AL,28,FALSE)-VLOOKUP(A111,'NonXtal_SegEnds_Prot#'!A:AL,25,FALSE)</f>
        <v>27</v>
      </c>
      <c r="AF111" s="1">
        <f>VLOOKUP(A111,'NonXtal_SegEnds_Prot#'!A:AL,31,FALSE)-VLOOKUP(A111,'NonXtal_SegEnds_Prot#'!A:AL,28,FALSE)</f>
        <v>50</v>
      </c>
      <c r="AG111" s="1">
        <f>VLOOKUP(A111,'NonXtal_SegEnds_Prot#'!A:AL,34,FALSE)-VLOOKUP(A111,'NonXtal_SegEnds_Prot#'!A:AL,31,FALSE)</f>
        <v>43</v>
      </c>
    </row>
    <row r="112" spans="1:33" x14ac:dyDescent="0.2">
      <c r="A112" s="1" t="s">
        <v>542</v>
      </c>
      <c r="B112" s="1" t="str">
        <f>VLOOKUP(A112,Xtal_Templ!A:B,2,FALSE)</f>
        <v>p2ry1_human</v>
      </c>
      <c r="C112" s="5">
        <f>VLOOKUP($B112&amp;"__wt",'Xtal_SegEnds_BW#'!$A:$Z,3,FALSE)</f>
        <v>30</v>
      </c>
      <c r="D112" s="1">
        <f>VLOOKUP($B112&amp;"__wt",'Xtal_SegEnds_BW#'!$A:$Z,4,FALSE)</f>
        <v>60</v>
      </c>
      <c r="E112" s="1" t="str">
        <f>VLOOKUP($B112&amp;"__wt",'Xtal_SegEnds_BW#'!$A:$Z,5,FALSE)</f>
        <v>-</v>
      </c>
      <c r="F112" s="1" t="str">
        <f>VLOOKUP($B112&amp;"__wt",'Xtal_SegEnds_BW#'!$A:$Z,6,FALSE)</f>
        <v>-</v>
      </c>
      <c r="G112" s="1">
        <v>37</v>
      </c>
      <c r="H112" s="1">
        <f>VLOOKUP($B112&amp;"__wt",'Xtal_SegEnds_BW#'!$A:$Z,8,FALSE)</f>
        <v>66</v>
      </c>
      <c r="I112" s="1">
        <f>VLOOKUP($B112&amp;"__wt",'Xtal_SegEnds_BW#'!$A:$Z,9,FALSE)</f>
        <v>49</v>
      </c>
      <c r="J112" s="1">
        <f>VLOOKUP($B112&amp;"__wt",'Xtal_SegEnds_BW#'!$A:$Z,10,FALSE)</f>
        <v>52</v>
      </c>
      <c r="K112" s="1">
        <v>18</v>
      </c>
      <c r="L112" s="1">
        <f>VLOOKUP($B112&amp;"__wt",'Xtal_SegEnds_BW#'!$A:$Z,12,FALSE)</f>
        <v>56</v>
      </c>
      <c r="M112" s="1">
        <f>VLOOKUP($B112&amp;"__wt",'Xtal_SegEnds_BW#'!$A:$Z,13,FALSE)</f>
        <v>50</v>
      </c>
      <c r="N112" s="1">
        <v>58</v>
      </c>
      <c r="O112" s="1">
        <v>39</v>
      </c>
      <c r="P112" s="1">
        <f>VLOOKUP($B112&amp;"__wt",'Xtal_SegEnds_BW#'!$A:$Z,16,FALSE)</f>
        <v>64</v>
      </c>
      <c r="Q112" s="1">
        <f>VLOOKUP($B112&amp;"__wt",'Xtal_SegEnds_BW#'!$A:$Z,17,FALSE)</f>
        <v>50</v>
      </c>
      <c r="R112" s="1">
        <f>VLOOKUP($B112&amp;"__wt",'Xtal_SegEnds_BW#'!$A:$Z,18,FALSE)</f>
        <v>52</v>
      </c>
      <c r="S112" s="1">
        <f>VLOOKUP($B112&amp;"__wt",'Xtal_SegEnds_BW#'!$A:$Z,19,FALSE)</f>
        <v>32</v>
      </c>
      <c r="T112" s="23">
        <f t="array" ref="T112">INDEX('ICL3'!$G$2:$G$31,MATCH(MIN(ABS(AF112-'ICL3'!$F$2:$F$31)),ABS(AF112-'ICL3'!$F$2:$F$31),0))</f>
        <v>72</v>
      </c>
      <c r="U112" s="1">
        <f t="array" ref="U112">INDEX('ICL3'!$H$2:$H$31,MATCH(MIN(ABS(AF112-'ICL3'!$F$2:$F$31)),ABS(AF112-'ICL3'!$F$2:$F$31),0))</f>
        <v>29</v>
      </c>
      <c r="V112" s="1">
        <v>64</v>
      </c>
      <c r="W112" s="1">
        <v>24</v>
      </c>
      <c r="X112" s="1">
        <f>VLOOKUP($B112&amp;"__wt",'Xtal_SegEnds_BW#'!$A:$Z,24,FALSE)</f>
        <v>56</v>
      </c>
      <c r="Y112" s="1">
        <f>VLOOKUP($B112&amp;"__wt",'Xtal_SegEnds_BW#'!$A:$Z,25,FALSE)</f>
        <v>47</v>
      </c>
      <c r="Z112" s="1">
        <f>VLOOKUP($B112&amp;"__wt",'Xtal_SegEnds_BW#'!$A:$Z,26,FALSE)</f>
        <v>59</v>
      </c>
      <c r="AA112" s="63" t="str">
        <f>VLOOKUP(A112,Classification!A:B,2,FALSE)</f>
        <v>A</v>
      </c>
      <c r="AB112" s="1">
        <f>VLOOKUP(A112,'NonXtal_SegEnds_Prot#'!A:AL,10,FALSE)-VLOOKUP(A112,'NonXtal_SegEnds_Prot#'!A:AL,7,FALSE)</f>
        <v>15</v>
      </c>
      <c r="AC112" s="1">
        <f>VLOOKUP(A112,'NonXtal_SegEnds_Prot#'!A:AL,13,FALSE)-VLOOKUP(A112,'NonXtal_SegEnds_Prot#'!A:AL,10,FALSE)</f>
        <v>20</v>
      </c>
      <c r="AD112" s="1">
        <f>VLOOKUP(A112,'NonXtal_SegEnds_Prot#'!A:AL,16,FALSE)-VLOOKUP(A112,'NonXtal_SegEnds_Prot#'!A:AL,10,FALSE)</f>
        <v>52</v>
      </c>
      <c r="AE112" s="1">
        <f>VLOOKUP(A112,'NonXtal_SegEnds_Prot#'!A:AL,28,FALSE)-VLOOKUP(A112,'NonXtal_SegEnds_Prot#'!A:AL,25,FALSE)</f>
        <v>27</v>
      </c>
      <c r="AF112" s="1">
        <f>VLOOKUP(A112,'NonXtal_SegEnds_Prot#'!A:AL,31,FALSE)-VLOOKUP(A112,'NonXtal_SegEnds_Prot#'!A:AL,28,FALSE)</f>
        <v>50</v>
      </c>
      <c r="AG112" s="1">
        <f>VLOOKUP(A112,'NonXtal_SegEnds_Prot#'!A:AL,34,FALSE)-VLOOKUP(A112,'NonXtal_SegEnds_Prot#'!A:AL,31,FALSE)</f>
        <v>44</v>
      </c>
    </row>
    <row r="113" spans="1:33" x14ac:dyDescent="0.2">
      <c r="A113" s="1" t="s">
        <v>546</v>
      </c>
      <c r="B113" s="1" t="str">
        <f>VLOOKUP(A113,Xtal_Templ!A:B,2,FALSE)</f>
        <v>p2y12_human</v>
      </c>
      <c r="C113" s="5">
        <f>VLOOKUP($B113&amp;"__wt",'Xtal_SegEnds_BW#'!$A:$Z,3,FALSE)</f>
        <v>28</v>
      </c>
      <c r="D113" s="1">
        <f>VLOOKUP($B113&amp;"__wt",'Xtal_SegEnds_BW#'!$A:$Z,4,FALSE)</f>
        <v>60</v>
      </c>
      <c r="E113" s="1" t="str">
        <f>VLOOKUP($B113&amp;"__wt",'Xtal_SegEnds_BW#'!$A:$Z,5,FALSE)</f>
        <v>-</v>
      </c>
      <c r="F113" s="1" t="str">
        <f>VLOOKUP($B113&amp;"__wt",'Xtal_SegEnds_BW#'!$A:$Z,6,FALSE)</f>
        <v>-</v>
      </c>
      <c r="G113" s="1">
        <v>37</v>
      </c>
      <c r="H113" s="1">
        <f>VLOOKUP($B113&amp;"__wt",'Xtal_SegEnds_BW#'!$A:$Z,8,FALSE)</f>
        <v>66</v>
      </c>
      <c r="I113" s="1" t="str">
        <f>VLOOKUP($B113&amp;"__wt",'Xtal_SegEnds_BW#'!$A:$Z,9,FALSE)</f>
        <v>-</v>
      </c>
      <c r="J113" s="1" t="str">
        <f>VLOOKUP($B113&amp;"__wt",'Xtal_SegEnds_BW#'!$A:$Z,10,FALSE)</f>
        <v>-</v>
      </c>
      <c r="K113" s="1">
        <v>18</v>
      </c>
      <c r="L113" s="1">
        <f>VLOOKUP($B113&amp;"__wt",'Xtal_SegEnds_BW#'!$A:$Z,12,FALSE)</f>
        <v>56</v>
      </c>
      <c r="M113" s="1">
        <f>VLOOKUP($B113&amp;"__wt",'Xtal_SegEnds_BW#'!$A:$Z,13,FALSE)</f>
        <v>50</v>
      </c>
      <c r="N113" s="1">
        <v>57</v>
      </c>
      <c r="O113" s="1">
        <v>39</v>
      </c>
      <c r="P113" s="1">
        <f>VLOOKUP($B113&amp;"__wt",'Xtal_SegEnds_BW#'!$A:$Z,16,FALSE)</f>
        <v>64</v>
      </c>
      <c r="Q113" s="1">
        <f>VLOOKUP($B113&amp;"__wt",'Xtal_SegEnds_BW#'!$A:$Z,17,FALSE)</f>
        <v>50</v>
      </c>
      <c r="R113" s="1">
        <f>VLOOKUP($B113&amp;"__wt",'Xtal_SegEnds_BW#'!$A:$Z,18,FALSE)</f>
        <v>52</v>
      </c>
      <c r="S113" s="1">
        <f>VLOOKUP($B113&amp;"__wt",'Xtal_SegEnds_BW#'!$A:$Z,19,FALSE)</f>
        <v>30</v>
      </c>
      <c r="T113" s="23">
        <f t="array" ref="T113">INDEX('ICL3'!$G$2:$G$31,MATCH(MIN(ABS(AF113-'ICL3'!$F$2:$F$31)),ABS(AF113-'ICL3'!$F$2:$F$31),0))</f>
        <v>72</v>
      </c>
      <c r="U113" s="1">
        <f t="array" ref="U113">INDEX('ICL3'!$H$2:$H$31,MATCH(MIN(ABS(AF113-'ICL3'!$F$2:$F$31)),ABS(AF113-'ICL3'!$F$2:$F$31),0))</f>
        <v>29</v>
      </c>
      <c r="V113" s="1">
        <v>64</v>
      </c>
      <c r="W113" s="1">
        <v>24</v>
      </c>
      <c r="X113" s="1">
        <f>VLOOKUP($B113&amp;"__wt",'Xtal_SegEnds_BW#'!$A:$Z,24,FALSE)</f>
        <v>56</v>
      </c>
      <c r="Y113" s="1">
        <f>VLOOKUP($B113&amp;"__wt",'Xtal_SegEnds_BW#'!$A:$Z,25,FALSE)</f>
        <v>47</v>
      </c>
      <c r="Z113" s="1">
        <f>VLOOKUP($B113&amp;"__wt",'Xtal_SegEnds_BW#'!$A:$Z,26,FALSE)</f>
        <v>57</v>
      </c>
      <c r="AA113" s="63" t="str">
        <f>VLOOKUP(A113,Classification!A:B,2,FALSE)</f>
        <v>A</v>
      </c>
      <c r="AB113" s="1" t="e">
        <f>VLOOKUP(A113,'NonXtal_SegEnds_Prot#'!A:AL,10,FALSE)-VLOOKUP(A113,'NonXtal_SegEnds_Prot#'!A:AL,7,FALSE)</f>
        <v>#VALUE!</v>
      </c>
      <c r="AC113" s="1" t="e">
        <f>VLOOKUP(A113,'NonXtal_SegEnds_Prot#'!A:AL,13,FALSE)-VLOOKUP(A113,'NonXtal_SegEnds_Prot#'!A:AL,10,FALSE)</f>
        <v>#VALUE!</v>
      </c>
      <c r="AD113" s="1">
        <f>VLOOKUP(A113,'NonXtal_SegEnds_Prot#'!A:AL,16,FALSE)-VLOOKUP(A113,'NonXtal_SegEnds_Prot#'!A:AL,10,FALSE)</f>
        <v>52</v>
      </c>
      <c r="AE113" s="1">
        <f>VLOOKUP(A113,'NonXtal_SegEnds_Prot#'!A:AL,28,FALSE)-VLOOKUP(A113,'NonXtal_SegEnds_Prot#'!A:AL,25,FALSE)</f>
        <v>26</v>
      </c>
      <c r="AF113" s="1">
        <f>VLOOKUP(A113,'NonXtal_SegEnds_Prot#'!A:AL,31,FALSE)-VLOOKUP(A113,'NonXtal_SegEnds_Prot#'!A:AL,28,FALSE)</f>
        <v>50</v>
      </c>
      <c r="AG113" s="1">
        <f>VLOOKUP(A113,'NonXtal_SegEnds_Prot#'!A:AL,34,FALSE)-VLOOKUP(A113,'NonXtal_SegEnds_Prot#'!A:AL,31,FALSE)</f>
        <v>44</v>
      </c>
    </row>
    <row r="114" spans="1:33" x14ac:dyDescent="0.2">
      <c r="A114" s="1" t="s">
        <v>547</v>
      </c>
      <c r="B114" s="1" t="str">
        <f>VLOOKUP(A114,Xtal_Templ!A:B,2,FALSE)</f>
        <v>p2y12_human</v>
      </c>
      <c r="C114" s="5">
        <f>VLOOKUP($B114&amp;"__wt",'Xtal_SegEnds_BW#'!$A:$Z,3,FALSE)</f>
        <v>28</v>
      </c>
      <c r="D114" s="1">
        <f>VLOOKUP($B114&amp;"__wt",'Xtal_SegEnds_BW#'!$A:$Z,4,FALSE)</f>
        <v>60</v>
      </c>
      <c r="E114" s="1" t="str">
        <f>VLOOKUP($B114&amp;"__wt",'Xtal_SegEnds_BW#'!$A:$Z,5,FALSE)</f>
        <v>-</v>
      </c>
      <c r="F114" s="1" t="str">
        <f>VLOOKUP($B114&amp;"__wt",'Xtal_SegEnds_BW#'!$A:$Z,6,FALSE)</f>
        <v>-</v>
      </c>
      <c r="G114" s="1">
        <v>37</v>
      </c>
      <c r="H114" s="1">
        <f>VLOOKUP($B114&amp;"__wt",'Xtal_SegEnds_BW#'!$A:$Z,8,FALSE)</f>
        <v>66</v>
      </c>
      <c r="I114" s="1" t="str">
        <f>VLOOKUP($B114&amp;"__wt",'Xtal_SegEnds_BW#'!$A:$Z,9,FALSE)</f>
        <v>-</v>
      </c>
      <c r="J114" s="1" t="str">
        <f>VLOOKUP($B114&amp;"__wt",'Xtal_SegEnds_BW#'!$A:$Z,10,FALSE)</f>
        <v>-</v>
      </c>
      <c r="K114" s="1">
        <v>18</v>
      </c>
      <c r="L114" s="1">
        <f>VLOOKUP($B114&amp;"__wt",'Xtal_SegEnds_BW#'!$A:$Z,12,FALSE)</f>
        <v>56</v>
      </c>
      <c r="M114" s="1">
        <f>VLOOKUP($B114&amp;"__wt",'Xtal_SegEnds_BW#'!$A:$Z,13,FALSE)</f>
        <v>50</v>
      </c>
      <c r="N114" s="1">
        <v>57</v>
      </c>
      <c r="O114" s="1">
        <v>39</v>
      </c>
      <c r="P114" s="1">
        <f>VLOOKUP($B114&amp;"__wt",'Xtal_SegEnds_BW#'!$A:$Z,16,FALSE)</f>
        <v>64</v>
      </c>
      <c r="Q114" s="1">
        <f>VLOOKUP($B114&amp;"__wt",'Xtal_SegEnds_BW#'!$A:$Z,17,FALSE)</f>
        <v>50</v>
      </c>
      <c r="R114" s="1">
        <f>VLOOKUP($B114&amp;"__wt",'Xtal_SegEnds_BW#'!$A:$Z,18,FALSE)</f>
        <v>52</v>
      </c>
      <c r="S114" s="1">
        <f>VLOOKUP($B114&amp;"__wt",'Xtal_SegEnds_BW#'!$A:$Z,19,FALSE)</f>
        <v>30</v>
      </c>
      <c r="T114" s="23">
        <f t="array" ref="T114">INDEX('ICL3'!$G$2:$G$31,MATCH(MIN(ABS(AF114-'ICL3'!$F$2:$F$31)),ABS(AF114-'ICL3'!$F$2:$F$31),0))</f>
        <v>72</v>
      </c>
      <c r="U114" s="1">
        <f t="array" ref="U114">INDEX('ICL3'!$H$2:$H$31,MATCH(MIN(ABS(AF114-'ICL3'!$F$2:$F$31)),ABS(AF114-'ICL3'!$F$2:$F$31),0))</f>
        <v>29</v>
      </c>
      <c r="V114" s="1">
        <v>64</v>
      </c>
      <c r="W114" s="1">
        <v>24</v>
      </c>
      <c r="X114" s="1">
        <f>VLOOKUP($B114&amp;"__wt",'Xtal_SegEnds_BW#'!$A:$Z,24,FALSE)</f>
        <v>56</v>
      </c>
      <c r="Y114" s="1">
        <f>VLOOKUP($B114&amp;"__wt",'Xtal_SegEnds_BW#'!$A:$Z,25,FALSE)</f>
        <v>47</v>
      </c>
      <c r="Z114" s="1">
        <f>VLOOKUP($B114&amp;"__wt",'Xtal_SegEnds_BW#'!$A:$Z,26,FALSE)</f>
        <v>57</v>
      </c>
      <c r="AA114" s="63" t="str">
        <f>VLOOKUP(A114,Classification!A:B,2,FALSE)</f>
        <v>A</v>
      </c>
      <c r="AB114" s="1" t="e">
        <f>VLOOKUP(A114,'NonXtal_SegEnds_Prot#'!A:AL,10,FALSE)-VLOOKUP(A114,'NonXtal_SegEnds_Prot#'!A:AL,7,FALSE)</f>
        <v>#VALUE!</v>
      </c>
      <c r="AC114" s="1" t="e">
        <f>VLOOKUP(A114,'NonXtal_SegEnds_Prot#'!A:AL,13,FALSE)-VLOOKUP(A114,'NonXtal_SegEnds_Prot#'!A:AL,10,FALSE)</f>
        <v>#VALUE!</v>
      </c>
      <c r="AD114" s="1">
        <f>VLOOKUP(A114,'NonXtal_SegEnds_Prot#'!A:AL,16,FALSE)-VLOOKUP(A114,'NonXtal_SegEnds_Prot#'!A:AL,10,FALSE)</f>
        <v>52</v>
      </c>
      <c r="AE114" s="1">
        <f>VLOOKUP(A114,'NonXtal_SegEnds_Prot#'!A:AL,28,FALSE)-VLOOKUP(A114,'NonXtal_SegEnds_Prot#'!A:AL,25,FALSE)</f>
        <v>26</v>
      </c>
      <c r="AF114" s="1">
        <f>VLOOKUP(A114,'NonXtal_SegEnds_Prot#'!A:AL,31,FALSE)-VLOOKUP(A114,'NonXtal_SegEnds_Prot#'!A:AL,28,FALSE)</f>
        <v>50</v>
      </c>
      <c r="AG114" s="1">
        <f>VLOOKUP(A114,'NonXtal_SegEnds_Prot#'!A:AL,34,FALSE)-VLOOKUP(A114,'NonXtal_SegEnds_Prot#'!A:AL,31,FALSE)</f>
        <v>44</v>
      </c>
    </row>
    <row r="115" spans="1:33" x14ac:dyDescent="0.2">
      <c r="A115" s="1" t="s">
        <v>548</v>
      </c>
      <c r="B115" s="1" t="str">
        <f>VLOOKUP(A115,Xtal_Templ!A:B,2,FALSE)</f>
        <v>p2y12_human</v>
      </c>
      <c r="C115" s="5">
        <f>VLOOKUP($B115&amp;"__wt",'Xtal_SegEnds_BW#'!$A:$Z,3,FALSE)</f>
        <v>28</v>
      </c>
      <c r="D115" s="1">
        <f>VLOOKUP($B115&amp;"__wt",'Xtal_SegEnds_BW#'!$A:$Z,4,FALSE)</f>
        <v>60</v>
      </c>
      <c r="E115" s="1" t="str">
        <f>VLOOKUP($B115&amp;"__wt",'Xtal_SegEnds_BW#'!$A:$Z,5,FALSE)</f>
        <v>-</v>
      </c>
      <c r="F115" s="1" t="str">
        <f>VLOOKUP($B115&amp;"__wt",'Xtal_SegEnds_BW#'!$A:$Z,6,FALSE)</f>
        <v>-</v>
      </c>
      <c r="G115" s="1">
        <v>37</v>
      </c>
      <c r="H115" s="1">
        <f>VLOOKUP($B115&amp;"__wt",'Xtal_SegEnds_BW#'!$A:$Z,8,FALSE)</f>
        <v>66</v>
      </c>
      <c r="I115" s="1" t="str">
        <f>VLOOKUP($B115&amp;"__wt",'Xtal_SegEnds_BW#'!$A:$Z,9,FALSE)</f>
        <v>-</v>
      </c>
      <c r="J115" s="1" t="str">
        <f>VLOOKUP($B115&amp;"__wt",'Xtal_SegEnds_BW#'!$A:$Z,10,FALSE)</f>
        <v>-</v>
      </c>
      <c r="K115" s="1">
        <v>18</v>
      </c>
      <c r="L115" s="1">
        <f>VLOOKUP($B115&amp;"__wt",'Xtal_SegEnds_BW#'!$A:$Z,12,FALSE)</f>
        <v>56</v>
      </c>
      <c r="M115" s="1">
        <f>VLOOKUP($B115&amp;"__wt",'Xtal_SegEnds_BW#'!$A:$Z,13,FALSE)</f>
        <v>50</v>
      </c>
      <c r="N115" s="1">
        <v>57</v>
      </c>
      <c r="O115" s="1">
        <v>39</v>
      </c>
      <c r="P115" s="1">
        <f>VLOOKUP($B115&amp;"__wt",'Xtal_SegEnds_BW#'!$A:$Z,16,FALSE)</f>
        <v>64</v>
      </c>
      <c r="Q115" s="1">
        <f>VLOOKUP($B115&amp;"__wt",'Xtal_SegEnds_BW#'!$A:$Z,17,FALSE)</f>
        <v>50</v>
      </c>
      <c r="R115" s="1">
        <f>VLOOKUP($B115&amp;"__wt",'Xtal_SegEnds_BW#'!$A:$Z,18,FALSE)</f>
        <v>52</v>
      </c>
      <c r="S115" s="1">
        <f>VLOOKUP($B115&amp;"__wt",'Xtal_SegEnds_BW#'!$A:$Z,19,FALSE)</f>
        <v>30</v>
      </c>
      <c r="T115" s="23">
        <f t="array" ref="T115">INDEX('ICL3'!$G$2:$G$31,MATCH(MIN(ABS(AF115-'ICL3'!$F$2:$F$31)),ABS(AF115-'ICL3'!$F$2:$F$31),0))</f>
        <v>72</v>
      </c>
      <c r="U115" s="1">
        <f t="array" ref="U115">INDEX('ICL3'!$H$2:$H$31,MATCH(MIN(ABS(AF115-'ICL3'!$F$2:$F$31)),ABS(AF115-'ICL3'!$F$2:$F$31),0))</f>
        <v>29</v>
      </c>
      <c r="V115" s="1">
        <v>64</v>
      </c>
      <c r="W115" s="1">
        <v>24</v>
      </c>
      <c r="X115" s="1">
        <f>VLOOKUP($B115&amp;"__wt",'Xtal_SegEnds_BW#'!$A:$Z,24,FALSE)</f>
        <v>56</v>
      </c>
      <c r="Y115" s="1">
        <f>VLOOKUP($B115&amp;"__wt",'Xtal_SegEnds_BW#'!$A:$Z,25,FALSE)</f>
        <v>47</v>
      </c>
      <c r="Z115" s="1">
        <f>VLOOKUP($B115&amp;"__wt",'Xtal_SegEnds_BW#'!$A:$Z,26,FALSE)</f>
        <v>57</v>
      </c>
      <c r="AA115" s="63" t="str">
        <f>VLOOKUP(A115,Classification!A:B,2,FALSE)</f>
        <v>A</v>
      </c>
      <c r="AB115" s="1" t="e">
        <f>VLOOKUP(A115,'NonXtal_SegEnds_Prot#'!A:AL,10,FALSE)-VLOOKUP(A115,'NonXtal_SegEnds_Prot#'!A:AL,7,FALSE)</f>
        <v>#VALUE!</v>
      </c>
      <c r="AC115" s="1" t="e">
        <f>VLOOKUP(A115,'NonXtal_SegEnds_Prot#'!A:AL,13,FALSE)-VLOOKUP(A115,'NonXtal_SegEnds_Prot#'!A:AL,10,FALSE)</f>
        <v>#VALUE!</v>
      </c>
      <c r="AD115" s="1">
        <f>VLOOKUP(A115,'NonXtal_SegEnds_Prot#'!A:AL,16,FALSE)-VLOOKUP(A115,'NonXtal_SegEnds_Prot#'!A:AL,10,FALSE)</f>
        <v>52</v>
      </c>
      <c r="AE115" s="1">
        <f>VLOOKUP(A115,'NonXtal_SegEnds_Prot#'!A:AL,28,FALSE)-VLOOKUP(A115,'NonXtal_SegEnds_Prot#'!A:AL,25,FALSE)</f>
        <v>26</v>
      </c>
      <c r="AF115" s="1">
        <f>VLOOKUP(A115,'NonXtal_SegEnds_Prot#'!A:AL,31,FALSE)-VLOOKUP(A115,'NonXtal_SegEnds_Prot#'!A:AL,28,FALSE)</f>
        <v>50</v>
      </c>
      <c r="AG115" s="1">
        <f>VLOOKUP(A115,'NonXtal_SegEnds_Prot#'!A:AL,34,FALSE)-VLOOKUP(A115,'NonXtal_SegEnds_Prot#'!A:AL,31,FALSE)</f>
        <v>44</v>
      </c>
    </row>
    <row r="116" spans="1:33" x14ac:dyDescent="0.2">
      <c r="A116" s="1" t="s">
        <v>559</v>
      </c>
      <c r="B116" s="1" t="str">
        <f>VLOOKUP(A116,Xtal_Templ!A:B,2,FALSE)</f>
        <v>p2y12_human</v>
      </c>
      <c r="C116" s="5">
        <f>VLOOKUP($B116&amp;"__wt",'Xtal_SegEnds_BW#'!$A:$Z,3,FALSE)</f>
        <v>28</v>
      </c>
      <c r="D116" s="1">
        <f>VLOOKUP($B116&amp;"__wt",'Xtal_SegEnds_BW#'!$A:$Z,4,FALSE)</f>
        <v>60</v>
      </c>
      <c r="E116" s="1" t="str">
        <f>VLOOKUP($B116&amp;"__wt",'Xtal_SegEnds_BW#'!$A:$Z,5,FALSE)</f>
        <v>-</v>
      </c>
      <c r="F116" s="1" t="str">
        <f>VLOOKUP($B116&amp;"__wt",'Xtal_SegEnds_BW#'!$A:$Z,6,FALSE)</f>
        <v>-</v>
      </c>
      <c r="G116" s="1">
        <v>37</v>
      </c>
      <c r="H116" s="1">
        <f>VLOOKUP($B116&amp;"__wt",'Xtal_SegEnds_BW#'!$A:$Z,8,FALSE)</f>
        <v>66</v>
      </c>
      <c r="I116" s="1" t="str">
        <f>VLOOKUP($B116&amp;"__wt",'Xtal_SegEnds_BW#'!$A:$Z,9,FALSE)</f>
        <v>-</v>
      </c>
      <c r="J116" s="1" t="str">
        <f>VLOOKUP($B116&amp;"__wt",'Xtal_SegEnds_BW#'!$A:$Z,10,FALSE)</f>
        <v>-</v>
      </c>
      <c r="K116" s="1">
        <v>18</v>
      </c>
      <c r="L116" s="1">
        <f>VLOOKUP($B116&amp;"__wt",'Xtal_SegEnds_BW#'!$A:$Z,12,FALSE)</f>
        <v>56</v>
      </c>
      <c r="M116" s="1">
        <f>VLOOKUP($B116&amp;"__wt",'Xtal_SegEnds_BW#'!$A:$Z,13,FALSE)</f>
        <v>50</v>
      </c>
      <c r="N116" s="1">
        <v>57</v>
      </c>
      <c r="O116" s="1">
        <v>39</v>
      </c>
      <c r="P116" s="1">
        <f>VLOOKUP($B116&amp;"__wt",'Xtal_SegEnds_BW#'!$A:$Z,16,FALSE)</f>
        <v>64</v>
      </c>
      <c r="Q116" s="1">
        <f>VLOOKUP($B116&amp;"__wt",'Xtal_SegEnds_BW#'!$A:$Z,17,FALSE)</f>
        <v>50</v>
      </c>
      <c r="R116" s="1">
        <f>VLOOKUP($B116&amp;"__wt",'Xtal_SegEnds_BW#'!$A:$Z,18,FALSE)</f>
        <v>52</v>
      </c>
      <c r="S116" s="1">
        <v>35</v>
      </c>
      <c r="T116" s="23">
        <f t="array" ref="T116">INDEX('ICL3'!$G$2:$G$31,MATCH(MIN(ABS(AF116-'ICL3'!$F$2:$F$31)),ABS(AF116-'ICL3'!$F$2:$F$31),0))</f>
        <v>72</v>
      </c>
      <c r="U116" s="1">
        <f t="array" ref="U116">INDEX('ICL3'!$H$2:$H$31,MATCH(MIN(ABS(AF116-'ICL3'!$F$2:$F$31)),ABS(AF116-'ICL3'!$F$2:$F$31),0))</f>
        <v>29</v>
      </c>
      <c r="V116" s="1">
        <v>61</v>
      </c>
      <c r="W116" s="1">
        <v>31</v>
      </c>
      <c r="X116" s="1">
        <f>VLOOKUP($B116&amp;"__wt",'Xtal_SegEnds_BW#'!$A:$Z,24,FALSE)</f>
        <v>56</v>
      </c>
      <c r="Y116" s="1">
        <f>VLOOKUP($B116&amp;"__wt",'Xtal_SegEnds_BW#'!$A:$Z,25,FALSE)</f>
        <v>47</v>
      </c>
      <c r="Z116" s="1">
        <f>VLOOKUP($B116&amp;"__wt",'Xtal_SegEnds_BW#'!$A:$Z,26,FALSE)</f>
        <v>57</v>
      </c>
      <c r="AA116" s="63" t="str">
        <f>VLOOKUP(A116,Classification!A:B,2,FALSE)</f>
        <v>A</v>
      </c>
      <c r="AB116" s="1">
        <f>VLOOKUP(A116,'NonXtal_SegEnds_Prot#'!A:AL,10,FALSE)-VLOOKUP(A116,'NonXtal_SegEnds_Prot#'!A:AL,7,FALSE)</f>
        <v>19</v>
      </c>
      <c r="AC116" s="1">
        <f>VLOOKUP(A116,'NonXtal_SegEnds_Prot#'!A:AL,13,FALSE)-VLOOKUP(A116,'NonXtal_SegEnds_Prot#'!A:AL,10,FALSE)</f>
        <v>21</v>
      </c>
      <c r="AD116" s="1">
        <f>VLOOKUP(A116,'NonXtal_SegEnds_Prot#'!A:AL,16,FALSE)-VLOOKUP(A116,'NonXtal_SegEnds_Prot#'!A:AL,10,FALSE)</f>
        <v>56</v>
      </c>
      <c r="AE116" s="1">
        <f>VLOOKUP(A116,'NonXtal_SegEnds_Prot#'!A:AL,28,FALSE)-VLOOKUP(A116,'NonXtal_SegEnds_Prot#'!A:AL,25,FALSE)</f>
        <v>28</v>
      </c>
      <c r="AF116" s="1">
        <f>VLOOKUP(A116,'NonXtal_SegEnds_Prot#'!A:AL,31,FALSE)-VLOOKUP(A116,'NonXtal_SegEnds_Prot#'!A:AL,28,FALSE)</f>
        <v>50</v>
      </c>
      <c r="AG116" s="1">
        <f>VLOOKUP(A116,'NonXtal_SegEnds_Prot#'!A:AL,34,FALSE)-VLOOKUP(A116,'NonXtal_SegEnds_Prot#'!A:AL,31,FALSE)</f>
        <v>37</v>
      </c>
    </row>
    <row r="117" spans="1:33" x14ac:dyDescent="0.2">
      <c r="A117" s="1" t="s">
        <v>579</v>
      </c>
      <c r="B117" s="1" t="str">
        <f>VLOOKUP(A117,Xtal_Templ!A:B,2,FALSE)</f>
        <v>oprm_mouse</v>
      </c>
      <c r="C117" s="5">
        <f>VLOOKUP($B117&amp;"__wt",'Xtal_SegEnds_BW#'!$A:$Z,3,FALSE)</f>
        <v>29</v>
      </c>
      <c r="D117" s="1">
        <f>VLOOKUP($B117&amp;"__wt",'Xtal_SegEnds_BW#'!$A:$Z,4,FALSE)</f>
        <v>60</v>
      </c>
      <c r="E117" s="1">
        <f>VLOOKUP($B117&amp;"__wt",'Xtal_SegEnds_BW#'!$A:$Z,5,FALSE)</f>
        <v>48</v>
      </c>
      <c r="F117" s="1">
        <f>VLOOKUP($B117&amp;"__wt",'Xtal_SegEnds_BW#'!$A:$Z,6,FALSE)</f>
        <v>51</v>
      </c>
      <c r="G117" s="1">
        <v>37</v>
      </c>
      <c r="H117" s="1">
        <v>66</v>
      </c>
      <c r="I117" s="1">
        <f>VLOOKUP($B117&amp;"__wt",'Xtal_SegEnds_BW#'!$A:$Z,9,FALSE)</f>
        <v>49</v>
      </c>
      <c r="J117" s="1">
        <f>VLOOKUP($B117&amp;"__wt",'Xtal_SegEnds_BW#'!$A:$Z,10,FALSE)</f>
        <v>52</v>
      </c>
      <c r="K117" s="1">
        <v>18</v>
      </c>
      <c r="L117" s="1">
        <f>VLOOKUP($B117&amp;"__wt",'Xtal_SegEnds_BW#'!$A:$Z,12,FALSE)</f>
        <v>56</v>
      </c>
      <c r="M117" s="1">
        <f>VLOOKUP($B117&amp;"__wt",'Xtal_SegEnds_BW#'!$A:$Z,13,FALSE)</f>
        <v>50</v>
      </c>
      <c r="N117" s="1">
        <v>57</v>
      </c>
      <c r="O117" s="1">
        <v>39</v>
      </c>
      <c r="P117" s="1">
        <f>VLOOKUP($B117&amp;"__wt",'Xtal_SegEnds_BW#'!$A:$Z,16,FALSE)</f>
        <v>64</v>
      </c>
      <c r="Q117" s="1">
        <f>VLOOKUP($B117&amp;"__wt",'Xtal_SegEnds_BW#'!$A:$Z,17,FALSE)</f>
        <v>50</v>
      </c>
      <c r="R117" s="1">
        <f>VLOOKUP($B117&amp;"__wt",'Xtal_SegEnds_BW#'!$A:$Z,18,FALSE)</f>
        <v>52</v>
      </c>
      <c r="S117" s="1">
        <f>VLOOKUP($B117&amp;"__wt",'Xtal_SegEnds_BW#'!$A:$Z,19,FALSE)</f>
        <v>31</v>
      </c>
      <c r="T117" s="23">
        <f t="array" ref="T117">INDEX('ICL3'!$G$2:$G$31,MATCH(MIN(ABS(AF117-'ICL3'!$F$2:$F$31)),ABS(AF117-'ICL3'!$F$2:$F$31),0))</f>
        <v>72</v>
      </c>
      <c r="U117" s="1">
        <f t="array" ref="U117">INDEX('ICL3'!$H$2:$H$31,MATCH(MIN(ABS(AF117-'ICL3'!$F$2:$F$31)),ABS(AF117-'ICL3'!$F$2:$F$31),0))</f>
        <v>29</v>
      </c>
      <c r="V117" s="1">
        <v>61</v>
      </c>
      <c r="W117" s="1">
        <v>28</v>
      </c>
      <c r="X117" s="1">
        <f>VLOOKUP($B117&amp;"__wt",'Xtal_SegEnds_BW#'!$A:$Z,24,FALSE)</f>
        <v>56</v>
      </c>
      <c r="Y117" s="1">
        <f>VLOOKUP($B117&amp;"__wt",'Xtal_SegEnds_BW#'!$A:$Z,25,FALSE)</f>
        <v>47</v>
      </c>
      <c r="Z117" s="1">
        <f>VLOOKUP($B117&amp;"__wt",'Xtal_SegEnds_BW#'!$A:$Z,26,FALSE)</f>
        <v>59</v>
      </c>
      <c r="AA117" s="63" t="str">
        <f>VLOOKUP(A117,Classification!A:B,2,FALSE)</f>
        <v>A</v>
      </c>
      <c r="AB117" s="1">
        <f>VLOOKUP(A117,'NonXtal_SegEnds_Prot#'!A:AL,10,FALSE)-VLOOKUP(A117,'NonXtal_SegEnds_Prot#'!A:AL,7,FALSE)</f>
        <v>15</v>
      </c>
      <c r="AC117" s="1">
        <f>VLOOKUP(A117,'NonXtal_SegEnds_Prot#'!A:AL,13,FALSE)-VLOOKUP(A117,'NonXtal_SegEnds_Prot#'!A:AL,10,FALSE)</f>
        <v>19</v>
      </c>
      <c r="AD117" s="1">
        <f>VLOOKUP(A117,'NonXtal_SegEnds_Prot#'!A:AL,16,FALSE)-VLOOKUP(A117,'NonXtal_SegEnds_Prot#'!A:AL,10,FALSE)</f>
        <v>51</v>
      </c>
      <c r="AE117" s="1">
        <f>VLOOKUP(A117,'NonXtal_SegEnds_Prot#'!A:AL,28,FALSE)-VLOOKUP(A117,'NonXtal_SegEnds_Prot#'!A:AL,25,FALSE)</f>
        <v>27</v>
      </c>
      <c r="AF117" s="1">
        <f>VLOOKUP(A117,'NonXtal_SegEnds_Prot#'!A:AL,31,FALSE)-VLOOKUP(A117,'NonXtal_SegEnds_Prot#'!A:AL,28,FALSE)</f>
        <v>50</v>
      </c>
      <c r="AG117" s="1">
        <f>VLOOKUP(A117,'NonXtal_SegEnds_Prot#'!A:AL,34,FALSE)-VLOOKUP(A117,'NonXtal_SegEnds_Prot#'!A:AL,31,FALSE)</f>
        <v>38</v>
      </c>
    </row>
    <row r="118" spans="1:33" x14ac:dyDescent="0.2">
      <c r="A118" s="1" t="s">
        <v>590</v>
      </c>
      <c r="B118" s="1" t="str">
        <f>VLOOKUP(A118,Xtal_Templ!A:B,2,FALSE)</f>
        <v>oprx_human</v>
      </c>
      <c r="C118" s="5">
        <f>VLOOKUP($B118&amp;"__wt",'Xtal_SegEnds_BW#'!$A:$Z,3,FALSE)</f>
        <v>29</v>
      </c>
      <c r="D118" s="1">
        <f>VLOOKUP($B118&amp;"__wt",'Xtal_SegEnds_BW#'!$A:$Z,4,FALSE)</f>
        <v>60</v>
      </c>
      <c r="E118" s="1">
        <f>VLOOKUP($B118&amp;"__wt",'Xtal_SegEnds_BW#'!$A:$Z,5,FALSE)</f>
        <v>48</v>
      </c>
      <c r="F118" s="1">
        <f>VLOOKUP($B118&amp;"__wt",'Xtal_SegEnds_BW#'!$A:$Z,6,FALSE)</f>
        <v>51</v>
      </c>
      <c r="G118" s="1">
        <v>37</v>
      </c>
      <c r="H118" s="1">
        <v>66</v>
      </c>
      <c r="I118" s="1">
        <f>VLOOKUP($B118&amp;"__wt",'Xtal_SegEnds_BW#'!$A:$Z,9,FALSE)</f>
        <v>49</v>
      </c>
      <c r="J118" s="1">
        <f>VLOOKUP($B118&amp;"__wt",'Xtal_SegEnds_BW#'!$A:$Z,10,FALSE)</f>
        <v>52</v>
      </c>
      <c r="K118" s="1">
        <v>18</v>
      </c>
      <c r="L118" s="1">
        <f>VLOOKUP($B118&amp;"__wt",'Xtal_SegEnds_BW#'!$A:$Z,12,FALSE)</f>
        <v>56</v>
      </c>
      <c r="M118" s="1">
        <f>VLOOKUP($B118&amp;"__wt",'Xtal_SegEnds_BW#'!$A:$Z,13,FALSE)</f>
        <v>50</v>
      </c>
      <c r="N118" s="1">
        <v>57</v>
      </c>
      <c r="O118" s="1">
        <v>39</v>
      </c>
      <c r="P118" s="1">
        <f>VLOOKUP($B118&amp;"__wt",'Xtal_SegEnds_BW#'!$A:$Z,16,FALSE)</f>
        <v>64</v>
      </c>
      <c r="Q118" s="1">
        <f>VLOOKUP($B118&amp;"__wt",'Xtal_SegEnds_BW#'!$A:$Z,17,FALSE)</f>
        <v>50</v>
      </c>
      <c r="R118" s="1">
        <f>VLOOKUP($B118&amp;"__wt",'Xtal_SegEnds_BW#'!$A:$Z,18,FALSE)</f>
        <v>52</v>
      </c>
      <c r="S118" s="1">
        <f>VLOOKUP($B118&amp;"__wt",'Xtal_SegEnds_BW#'!$A:$Z,19,FALSE)</f>
        <v>31</v>
      </c>
      <c r="T118" s="23">
        <f t="array" ref="T118">INDEX('ICL3'!$G$2:$G$31,MATCH(MIN(ABS(AF118-'ICL3'!$F$2:$F$31)),ABS(AF118-'ICL3'!$F$2:$F$31),0))</f>
        <v>72</v>
      </c>
      <c r="U118" s="1">
        <f t="array" ref="U118">INDEX('ICL3'!$H$2:$H$31,MATCH(MIN(ABS(AF118-'ICL3'!$F$2:$F$31)),ABS(AF118-'ICL3'!$F$2:$F$31),0))</f>
        <v>29</v>
      </c>
      <c r="V118" s="1">
        <v>61</v>
      </c>
      <c r="W118" s="1">
        <v>28</v>
      </c>
      <c r="X118" s="1">
        <f>VLOOKUP($B118&amp;"__wt",'Xtal_SegEnds_BW#'!$A:$Z,24,FALSE)</f>
        <v>56</v>
      </c>
      <c r="Y118" s="1">
        <f>VLOOKUP($B118&amp;"__wt",'Xtal_SegEnds_BW#'!$A:$Z,25,FALSE)</f>
        <v>47</v>
      </c>
      <c r="Z118" s="1">
        <f>VLOOKUP($B118&amp;"__wt",'Xtal_SegEnds_BW#'!$A:$Z,26,FALSE)</f>
        <v>59</v>
      </c>
      <c r="AA118" s="63" t="str">
        <f>VLOOKUP(A118,Classification!A:B,2,FALSE)</f>
        <v>A</v>
      </c>
      <c r="AB118" s="1">
        <f>VLOOKUP(A118,'NonXtal_SegEnds_Prot#'!A:AL,10,FALSE)-VLOOKUP(A118,'NonXtal_SegEnds_Prot#'!A:AL,7,FALSE)</f>
        <v>15</v>
      </c>
      <c r="AC118" s="1">
        <f>VLOOKUP(A118,'NonXtal_SegEnds_Prot#'!A:AL,13,FALSE)-VLOOKUP(A118,'NonXtal_SegEnds_Prot#'!A:AL,10,FALSE)</f>
        <v>19</v>
      </c>
      <c r="AD118" s="1">
        <f>VLOOKUP(A118,'NonXtal_SegEnds_Prot#'!A:AL,16,FALSE)-VLOOKUP(A118,'NonXtal_SegEnds_Prot#'!A:AL,10,FALSE)</f>
        <v>51</v>
      </c>
      <c r="AE118" s="1">
        <f>VLOOKUP(A118,'NonXtal_SegEnds_Prot#'!A:AL,28,FALSE)-VLOOKUP(A118,'NonXtal_SegEnds_Prot#'!A:AL,25,FALSE)</f>
        <v>24</v>
      </c>
      <c r="AF118" s="1">
        <f>VLOOKUP(A118,'NonXtal_SegEnds_Prot#'!A:AL,31,FALSE)-VLOOKUP(A118,'NonXtal_SegEnds_Prot#'!A:AL,28,FALSE)</f>
        <v>50</v>
      </c>
      <c r="AG118" s="1">
        <f>VLOOKUP(A118,'NonXtal_SegEnds_Prot#'!A:AL,34,FALSE)-VLOOKUP(A118,'NonXtal_SegEnds_Prot#'!A:AL,31,FALSE)</f>
        <v>39</v>
      </c>
    </row>
    <row r="119" spans="1:33" x14ac:dyDescent="0.2">
      <c r="A119" s="1" t="s">
        <v>355</v>
      </c>
      <c r="B119" s="1" t="str">
        <f>VLOOKUP(A119,Xtal_Templ!A:B,2,FALSE)</f>
        <v>agtr1_human</v>
      </c>
      <c r="C119" s="5">
        <f>VLOOKUP($B119&amp;"__wt",'Xtal_SegEnds_BW#'!$A:$Z,3,FALSE)</f>
        <v>30</v>
      </c>
      <c r="D119" s="1">
        <f>VLOOKUP($B119&amp;"__wt",'Xtal_SegEnds_BW#'!$A:$Z,4,FALSE)</f>
        <v>60</v>
      </c>
      <c r="E119" s="1">
        <f>VLOOKUP($B119&amp;"__wt",'Xtal_SegEnds_BW#'!$A:$Z,5,FALSE)</f>
        <v>48</v>
      </c>
      <c r="F119" s="1">
        <f>VLOOKUP($B119&amp;"__wt",'Xtal_SegEnds_BW#'!$A:$Z,6,FALSE)</f>
        <v>51</v>
      </c>
      <c r="G119" s="1">
        <v>37</v>
      </c>
      <c r="H119" s="1">
        <f>VLOOKUP($B119&amp;"__wt",'Xtal_SegEnds_BW#'!$A:$Z,8,FALSE)</f>
        <v>66</v>
      </c>
      <c r="I119" s="1">
        <f>VLOOKUP($B119&amp;"__wt",'Xtal_SegEnds_BW#'!$A:$Z,9,FALSE)</f>
        <v>49</v>
      </c>
      <c r="J119" s="1">
        <f>VLOOKUP($B119&amp;"__wt",'Xtal_SegEnds_BW#'!$A:$Z,10,FALSE)</f>
        <v>52</v>
      </c>
      <c r="K119" s="1">
        <v>18</v>
      </c>
      <c r="L119" s="1">
        <f>VLOOKUP($B119&amp;"__wt",'Xtal_SegEnds_BW#'!$A:$Z,12,FALSE)</f>
        <v>56</v>
      </c>
      <c r="M119" s="1">
        <f>VLOOKUP($B119&amp;"__wt",'Xtal_SegEnds_BW#'!$A:$Z,13,FALSE)</f>
        <v>50</v>
      </c>
      <c r="N119" s="1">
        <v>57</v>
      </c>
      <c r="O119" s="1">
        <v>39</v>
      </c>
      <c r="P119" s="1">
        <f>VLOOKUP($B119&amp;"__wt",'Xtal_SegEnds_BW#'!$A:$Z,16,FALSE)</f>
        <v>64</v>
      </c>
      <c r="Q119" s="1">
        <f>VLOOKUP($B119&amp;"__wt",'Xtal_SegEnds_BW#'!$A:$Z,17,FALSE)</f>
        <v>50</v>
      </c>
      <c r="R119" s="1">
        <f>VLOOKUP($B119&amp;"__wt",'Xtal_SegEnds_BW#'!$A:$Z,18,FALSE)</f>
        <v>52</v>
      </c>
      <c r="S119" s="1">
        <f>VLOOKUP($B119&amp;"__wt",'Xtal_SegEnds_BW#'!$A:$Z,19,FALSE)</f>
        <v>34</v>
      </c>
      <c r="T119" s="23">
        <f t="array" ref="T119">INDEX('ICL3'!$G$2:$G$31,MATCH(MIN(ABS(AF119-'ICL3'!$F$2:$F$31)),ABS(AF119-'ICL3'!$F$2:$F$31),0))</f>
        <v>68</v>
      </c>
      <c r="U119" s="1">
        <f t="array" ref="U119">INDEX('ICL3'!$H$2:$H$31,MATCH(MIN(ABS(AF119-'ICL3'!$F$2:$F$31)),ABS(AF119-'ICL3'!$F$2:$F$31),0))</f>
        <v>23</v>
      </c>
      <c r="V119" s="1">
        <v>64</v>
      </c>
      <c r="W119" s="1">
        <v>24</v>
      </c>
      <c r="X119" s="1">
        <f>VLOOKUP($B119&amp;"__wt",'Xtal_SegEnds_BW#'!$A:$Z,24,FALSE)</f>
        <v>56</v>
      </c>
      <c r="Y119" s="1">
        <f>VLOOKUP($B119&amp;"__wt",'Xtal_SegEnds_BW#'!$A:$Z,25,FALSE)</f>
        <v>47</v>
      </c>
      <c r="Z119" s="1">
        <f>VLOOKUP($B119&amp;"__wt",'Xtal_SegEnds_BW#'!$A:$Z,26,FALSE)</f>
        <v>61</v>
      </c>
      <c r="AA119" s="63" t="str">
        <f>VLOOKUP(A119,Classification!A:B,2,FALSE)</f>
        <v>A</v>
      </c>
      <c r="AB119" s="1">
        <f>VLOOKUP(A119,'NonXtal_SegEnds_Prot#'!A:AL,10,FALSE)-VLOOKUP(A119,'NonXtal_SegEnds_Prot#'!A:AL,7,FALSE)</f>
        <v>15</v>
      </c>
      <c r="AC119" s="1">
        <f>VLOOKUP(A119,'NonXtal_SegEnds_Prot#'!A:AL,13,FALSE)-VLOOKUP(A119,'NonXtal_SegEnds_Prot#'!A:AL,10,FALSE)</f>
        <v>20</v>
      </c>
      <c r="AD119" s="1">
        <f>VLOOKUP(A119,'NonXtal_SegEnds_Prot#'!A:AL,16,FALSE)-VLOOKUP(A119,'NonXtal_SegEnds_Prot#'!A:AL,10,FALSE)</f>
        <v>52</v>
      </c>
      <c r="AE119" s="1">
        <f>VLOOKUP(A119,'NonXtal_SegEnds_Prot#'!A:AL,28,FALSE)-VLOOKUP(A119,'NonXtal_SegEnds_Prot#'!A:AL,25,FALSE)</f>
        <v>25</v>
      </c>
      <c r="AF119" s="1">
        <f>VLOOKUP(A119,'NonXtal_SegEnds_Prot#'!A:AL,31,FALSE)-VLOOKUP(A119,'NonXtal_SegEnds_Prot#'!A:AL,28,FALSE)</f>
        <v>51</v>
      </c>
      <c r="AG119" s="1">
        <f>VLOOKUP(A119,'NonXtal_SegEnds_Prot#'!A:AL,34,FALSE)-VLOOKUP(A119,'NonXtal_SegEnds_Prot#'!A:AL,31,FALSE)</f>
        <v>44</v>
      </c>
    </row>
    <row r="120" spans="1:33" x14ac:dyDescent="0.2">
      <c r="A120" s="1" t="s">
        <v>417</v>
      </c>
      <c r="B120" s="1" t="str">
        <f>VLOOKUP(A120,Xtal_Templ!A:B,2,FALSE)</f>
        <v>ox2r_human</v>
      </c>
      <c r="C120" s="5">
        <f>VLOOKUP($B120&amp;"__wt",'Xtal_SegEnds_BW#'!$A:$Z,3,FALSE)</f>
        <v>31</v>
      </c>
      <c r="D120" s="1">
        <f>VLOOKUP($B120&amp;"__wt",'Xtal_SegEnds_BW#'!$A:$Z,4,FALSE)</f>
        <v>60</v>
      </c>
      <c r="E120" s="1">
        <f>VLOOKUP($B120&amp;"__wt",'Xtal_SegEnds_BW#'!$A:$Z,5,FALSE)</f>
        <v>48</v>
      </c>
      <c r="F120" s="1">
        <f>VLOOKUP($B120&amp;"__wt",'Xtal_SegEnds_BW#'!$A:$Z,6,FALSE)</f>
        <v>51</v>
      </c>
      <c r="G120" s="1">
        <v>37</v>
      </c>
      <c r="H120" s="1">
        <v>67</v>
      </c>
      <c r="I120" s="1">
        <f>VLOOKUP($B120&amp;"__wt",'Xtal_SegEnds_BW#'!$A:$Z,9,FALSE)</f>
        <v>49</v>
      </c>
      <c r="J120" s="1">
        <f>VLOOKUP($B120&amp;"__wt",'Xtal_SegEnds_BW#'!$A:$Z,10,FALSE)</f>
        <v>52</v>
      </c>
      <c r="K120" s="1">
        <v>18</v>
      </c>
      <c r="L120" s="1">
        <f>VLOOKUP($B120&amp;"__wt",'Xtal_SegEnds_BW#'!$A:$Z,12,FALSE)</f>
        <v>56</v>
      </c>
      <c r="M120" s="1">
        <f>VLOOKUP($B120&amp;"__wt",'Xtal_SegEnds_BW#'!$A:$Z,13,FALSE)</f>
        <v>50</v>
      </c>
      <c r="N120" s="1">
        <v>57</v>
      </c>
      <c r="O120" s="1">
        <v>39</v>
      </c>
      <c r="P120" s="1">
        <f>VLOOKUP($B120&amp;"__wt",'Xtal_SegEnds_BW#'!$A:$Z,16,FALSE)</f>
        <v>64</v>
      </c>
      <c r="Q120" s="1">
        <f>VLOOKUP($B120&amp;"__wt",'Xtal_SegEnds_BW#'!$A:$Z,17,FALSE)</f>
        <v>50</v>
      </c>
      <c r="R120" s="1">
        <f>VLOOKUP($B120&amp;"__wt",'Xtal_SegEnds_BW#'!$A:$Z,18,FALSE)</f>
        <v>52</v>
      </c>
      <c r="S120" s="1">
        <f>VLOOKUP($B120&amp;"__wt",'Xtal_SegEnds_BW#'!$A:$Z,19,FALSE)</f>
        <v>32</v>
      </c>
      <c r="T120" s="23">
        <f t="array" ref="T120">INDEX('ICL3'!$G$2:$G$31,MATCH(MIN(ABS(AF120-'ICL3'!$F$2:$F$31)),ABS(AF120-'ICL3'!$F$2:$F$31),0))</f>
        <v>68</v>
      </c>
      <c r="U120" s="1">
        <f t="array" ref="U120">INDEX('ICL3'!$H$2:$H$31,MATCH(MIN(ABS(AF120-'ICL3'!$F$2:$F$31)),ABS(AF120-'ICL3'!$F$2:$F$31),0))</f>
        <v>23</v>
      </c>
      <c r="V120" s="1">
        <v>61</v>
      </c>
      <c r="W120" s="1">
        <v>28</v>
      </c>
      <c r="X120" s="1">
        <f>VLOOKUP($B120&amp;"__wt",'Xtal_SegEnds_BW#'!$A:$Z,24,FALSE)</f>
        <v>56</v>
      </c>
      <c r="Y120" s="1">
        <f>VLOOKUP($B120&amp;"__wt",'Xtal_SegEnds_BW#'!$A:$Z,25,FALSE)</f>
        <v>47</v>
      </c>
      <c r="Z120" s="1">
        <f>VLOOKUP($B120&amp;"__wt",'Xtal_SegEnds_BW#'!$A:$Z,26,FALSE)</f>
        <v>58</v>
      </c>
      <c r="AA120" s="63" t="str">
        <f>VLOOKUP(A120,Classification!A:B,2,FALSE)</f>
        <v>A</v>
      </c>
      <c r="AB120" s="1" t="e">
        <f>VLOOKUP(A120,'NonXtal_SegEnds_Prot#'!A:AL,10,FALSE)-VLOOKUP(A120,'NonXtal_SegEnds_Prot#'!A:AL,7,FALSE)</f>
        <v>#VALUE!</v>
      </c>
      <c r="AC120" s="1">
        <f>VLOOKUP(A120,'NonXtal_SegEnds_Prot#'!A:AL,13,FALSE)-VLOOKUP(A120,'NonXtal_SegEnds_Prot#'!A:AL,10,FALSE)</f>
        <v>20</v>
      </c>
      <c r="AD120" s="1">
        <f>VLOOKUP(A120,'NonXtal_SegEnds_Prot#'!A:AL,16,FALSE)-VLOOKUP(A120,'NonXtal_SegEnds_Prot#'!A:AL,10,FALSE)</f>
        <v>52</v>
      </c>
      <c r="AE120" s="1">
        <f>VLOOKUP(A120,'NonXtal_SegEnds_Prot#'!A:AL,28,FALSE)-VLOOKUP(A120,'NonXtal_SegEnds_Prot#'!A:AL,25,FALSE)</f>
        <v>27</v>
      </c>
      <c r="AF120" s="1">
        <f>VLOOKUP(A120,'NonXtal_SegEnds_Prot#'!A:AL,31,FALSE)-VLOOKUP(A120,'NonXtal_SegEnds_Prot#'!A:AL,28,FALSE)</f>
        <v>51</v>
      </c>
      <c r="AG120" s="1">
        <f>VLOOKUP(A120,'NonXtal_SegEnds_Prot#'!A:AL,34,FALSE)-VLOOKUP(A120,'NonXtal_SegEnds_Prot#'!A:AL,31,FALSE)</f>
        <v>38</v>
      </c>
    </row>
    <row r="121" spans="1:33" x14ac:dyDescent="0.2">
      <c r="A121" s="1" t="s">
        <v>428</v>
      </c>
      <c r="B121" s="1" t="str">
        <f>VLOOKUP(A121,Xtal_Templ!A:B,2,FALSE)</f>
        <v>p2y12_human</v>
      </c>
      <c r="C121" s="5">
        <f>VLOOKUP($B121&amp;"__wt",'Xtal_SegEnds_BW#'!$A:$Z,3,FALSE)</f>
        <v>28</v>
      </c>
      <c r="D121" s="1">
        <f>VLOOKUP($B121&amp;"__wt",'Xtal_SegEnds_BW#'!$A:$Z,4,FALSE)</f>
        <v>60</v>
      </c>
      <c r="E121" s="1" t="str">
        <f>VLOOKUP($B121&amp;"__wt",'Xtal_SegEnds_BW#'!$A:$Z,5,FALSE)</f>
        <v>-</v>
      </c>
      <c r="F121" s="1" t="str">
        <f>VLOOKUP($B121&amp;"__wt",'Xtal_SegEnds_BW#'!$A:$Z,6,FALSE)</f>
        <v>-</v>
      </c>
      <c r="G121" s="1">
        <v>37</v>
      </c>
      <c r="H121" s="1">
        <f>VLOOKUP($B121&amp;"__wt",'Xtal_SegEnds_BW#'!$A:$Z,8,FALSE)</f>
        <v>66</v>
      </c>
      <c r="I121" s="1" t="str">
        <f>VLOOKUP($B121&amp;"__wt",'Xtal_SegEnds_BW#'!$A:$Z,9,FALSE)</f>
        <v>-</v>
      </c>
      <c r="J121" s="1" t="str">
        <f>VLOOKUP($B121&amp;"__wt",'Xtal_SegEnds_BW#'!$A:$Z,10,FALSE)</f>
        <v>-</v>
      </c>
      <c r="K121" s="1">
        <v>18</v>
      </c>
      <c r="L121" s="1">
        <f>VLOOKUP($B121&amp;"__wt",'Xtal_SegEnds_BW#'!$A:$Z,12,FALSE)</f>
        <v>56</v>
      </c>
      <c r="M121" s="1">
        <f>VLOOKUP($B121&amp;"__wt",'Xtal_SegEnds_BW#'!$A:$Z,13,FALSE)</f>
        <v>50</v>
      </c>
      <c r="N121" s="1">
        <v>57</v>
      </c>
      <c r="O121" s="1">
        <v>39</v>
      </c>
      <c r="P121" s="1">
        <f>VLOOKUP($B121&amp;"__wt",'Xtal_SegEnds_BW#'!$A:$Z,16,FALSE)</f>
        <v>64</v>
      </c>
      <c r="Q121" s="1">
        <f>VLOOKUP($B121&amp;"__wt",'Xtal_SegEnds_BW#'!$A:$Z,17,FALSE)</f>
        <v>50</v>
      </c>
      <c r="R121" s="1">
        <f>VLOOKUP($B121&amp;"__wt",'Xtal_SegEnds_BW#'!$A:$Z,18,FALSE)</f>
        <v>52</v>
      </c>
      <c r="S121" s="1">
        <f>VLOOKUP($B121&amp;"__wt",'Xtal_SegEnds_BW#'!$A:$Z,19,FALSE)</f>
        <v>30</v>
      </c>
      <c r="T121" s="23">
        <f t="array" ref="T121">INDEX('ICL3'!$G$2:$G$31,MATCH(MIN(ABS(AF121-'ICL3'!$F$2:$F$31)),ABS(AF121-'ICL3'!$F$2:$F$31),0))</f>
        <v>68</v>
      </c>
      <c r="U121" s="1">
        <f t="array" ref="U121">INDEX('ICL3'!$H$2:$H$31,MATCH(MIN(ABS(AF121-'ICL3'!$F$2:$F$31)),ABS(AF121-'ICL3'!$F$2:$F$31),0))</f>
        <v>23</v>
      </c>
      <c r="V121" s="1">
        <v>64</v>
      </c>
      <c r="W121" s="1">
        <v>24</v>
      </c>
      <c r="X121" s="1">
        <f>VLOOKUP($B121&amp;"__wt",'Xtal_SegEnds_BW#'!$A:$Z,24,FALSE)</f>
        <v>56</v>
      </c>
      <c r="Y121" s="1">
        <f>VLOOKUP($B121&amp;"__wt",'Xtal_SegEnds_BW#'!$A:$Z,25,FALSE)</f>
        <v>47</v>
      </c>
      <c r="Z121" s="1">
        <f>VLOOKUP($B121&amp;"__wt",'Xtal_SegEnds_BW#'!$A:$Z,26,FALSE)</f>
        <v>57</v>
      </c>
      <c r="AA121" s="63" t="str">
        <f>VLOOKUP(A121,Classification!A:B,2,FALSE)</f>
        <v>A</v>
      </c>
      <c r="AB121" s="1">
        <f>VLOOKUP(A121,'NonXtal_SegEnds_Prot#'!A:AL,10,FALSE)-VLOOKUP(A121,'NonXtal_SegEnds_Prot#'!A:AL,7,FALSE)</f>
        <v>15</v>
      </c>
      <c r="AC121" s="1">
        <f>VLOOKUP(A121,'NonXtal_SegEnds_Prot#'!A:AL,13,FALSE)-VLOOKUP(A121,'NonXtal_SegEnds_Prot#'!A:AL,10,FALSE)</f>
        <v>20</v>
      </c>
      <c r="AD121" s="1">
        <f>VLOOKUP(A121,'NonXtal_SegEnds_Prot#'!A:AL,16,FALSE)-VLOOKUP(A121,'NonXtal_SegEnds_Prot#'!A:AL,10,FALSE)</f>
        <v>52</v>
      </c>
      <c r="AE121" s="1">
        <f>VLOOKUP(A121,'NonXtal_SegEnds_Prot#'!A:AL,28,FALSE)-VLOOKUP(A121,'NonXtal_SegEnds_Prot#'!A:AL,25,FALSE)</f>
        <v>27</v>
      </c>
      <c r="AF121" s="1">
        <f>VLOOKUP(A121,'NonXtal_SegEnds_Prot#'!A:AL,31,FALSE)-VLOOKUP(A121,'NonXtal_SegEnds_Prot#'!A:AL,28,FALSE)</f>
        <v>51</v>
      </c>
      <c r="AG121" s="1">
        <f>VLOOKUP(A121,'NonXtal_SegEnds_Prot#'!A:AL,34,FALSE)-VLOOKUP(A121,'NonXtal_SegEnds_Prot#'!A:AL,31,FALSE)</f>
        <v>46</v>
      </c>
    </row>
    <row r="122" spans="1:33" x14ac:dyDescent="0.2">
      <c r="A122" s="1" t="s">
        <v>447</v>
      </c>
      <c r="B122" s="1" t="str">
        <f>VLOOKUP(A122,Xtal_Templ!A:B,2,FALSE)</f>
        <v>p2y12_human</v>
      </c>
      <c r="C122" s="5">
        <f>VLOOKUP($B122&amp;"__wt",'Xtal_SegEnds_BW#'!$A:$Z,3,FALSE)</f>
        <v>28</v>
      </c>
      <c r="D122" s="1">
        <f>VLOOKUP($B122&amp;"__wt",'Xtal_SegEnds_BW#'!$A:$Z,4,FALSE)</f>
        <v>60</v>
      </c>
      <c r="E122" s="1" t="str">
        <f>VLOOKUP($B122&amp;"__wt",'Xtal_SegEnds_BW#'!$A:$Z,5,FALSE)</f>
        <v>-</v>
      </c>
      <c r="F122" s="1" t="str">
        <f>VLOOKUP($B122&amp;"__wt",'Xtal_SegEnds_BW#'!$A:$Z,6,FALSE)</f>
        <v>-</v>
      </c>
      <c r="G122" s="1">
        <v>37</v>
      </c>
      <c r="H122" s="1">
        <f>VLOOKUP($B122&amp;"__wt",'Xtal_SegEnds_BW#'!$A:$Z,8,FALSE)</f>
        <v>66</v>
      </c>
      <c r="I122" s="1" t="str">
        <f>VLOOKUP($B122&amp;"__wt",'Xtal_SegEnds_BW#'!$A:$Z,9,FALSE)</f>
        <v>-</v>
      </c>
      <c r="J122" s="1" t="str">
        <f>VLOOKUP($B122&amp;"__wt",'Xtal_SegEnds_BW#'!$A:$Z,10,FALSE)</f>
        <v>-</v>
      </c>
      <c r="K122" s="1">
        <v>18</v>
      </c>
      <c r="L122" s="1">
        <f>VLOOKUP($B122&amp;"__wt",'Xtal_SegEnds_BW#'!$A:$Z,12,FALSE)</f>
        <v>56</v>
      </c>
      <c r="M122" s="1">
        <f>VLOOKUP($B122&amp;"__wt",'Xtal_SegEnds_BW#'!$A:$Z,13,FALSE)</f>
        <v>50</v>
      </c>
      <c r="N122" s="1">
        <v>57</v>
      </c>
      <c r="O122" s="1">
        <v>39</v>
      </c>
      <c r="P122" s="1">
        <f>VLOOKUP($B122&amp;"__wt",'Xtal_SegEnds_BW#'!$A:$Z,16,FALSE)</f>
        <v>64</v>
      </c>
      <c r="Q122" s="1">
        <f>VLOOKUP($B122&amp;"__wt",'Xtal_SegEnds_BW#'!$A:$Z,17,FALSE)</f>
        <v>50</v>
      </c>
      <c r="R122" s="1">
        <f>VLOOKUP($B122&amp;"__wt",'Xtal_SegEnds_BW#'!$A:$Z,18,FALSE)</f>
        <v>52</v>
      </c>
      <c r="S122" s="1">
        <f>VLOOKUP($B122&amp;"__wt",'Xtal_SegEnds_BW#'!$A:$Z,19,FALSE)</f>
        <v>30</v>
      </c>
      <c r="T122" s="23">
        <f t="array" ref="T122">INDEX('ICL3'!$G$2:$G$31,MATCH(MIN(ABS(AF122-'ICL3'!$F$2:$F$31)),ABS(AF122-'ICL3'!$F$2:$F$31),0))</f>
        <v>68</v>
      </c>
      <c r="U122" s="1">
        <f t="array" ref="U122">INDEX('ICL3'!$H$2:$H$31,MATCH(MIN(ABS(AF122-'ICL3'!$F$2:$F$31)),ABS(AF122-'ICL3'!$F$2:$F$31),0))</f>
        <v>23</v>
      </c>
      <c r="V122" s="1">
        <v>61</v>
      </c>
      <c r="W122" s="1">
        <v>24</v>
      </c>
      <c r="X122" s="1">
        <f>VLOOKUP($B122&amp;"__wt",'Xtal_SegEnds_BW#'!$A:$Z,24,FALSE)</f>
        <v>56</v>
      </c>
      <c r="Y122" s="1">
        <f>VLOOKUP($B122&amp;"__wt",'Xtal_SegEnds_BW#'!$A:$Z,25,FALSE)</f>
        <v>47</v>
      </c>
      <c r="Z122" s="1">
        <f>VLOOKUP($B122&amp;"__wt",'Xtal_SegEnds_BW#'!$A:$Z,26,FALSE)</f>
        <v>57</v>
      </c>
      <c r="AA122" s="63" t="str">
        <f>VLOOKUP(A122,Classification!A:B,2,FALSE)</f>
        <v>A</v>
      </c>
      <c r="AB122" s="1" t="e">
        <f>VLOOKUP(A122,'NonXtal_SegEnds_Prot#'!A:AL,10,FALSE)-VLOOKUP(A122,'NonXtal_SegEnds_Prot#'!A:AL,7,FALSE)</f>
        <v>#VALUE!</v>
      </c>
      <c r="AC122" s="1">
        <f>VLOOKUP(A122,'NonXtal_SegEnds_Prot#'!A:AL,13,FALSE)-VLOOKUP(A122,'NonXtal_SegEnds_Prot#'!A:AL,10,FALSE)</f>
        <v>20</v>
      </c>
      <c r="AD122" s="1">
        <f>VLOOKUP(A122,'NonXtal_SegEnds_Prot#'!A:AL,16,FALSE)-VLOOKUP(A122,'NonXtal_SegEnds_Prot#'!A:AL,10,FALSE)</f>
        <v>52</v>
      </c>
      <c r="AE122" s="1">
        <f>VLOOKUP(A122,'NonXtal_SegEnds_Prot#'!A:AL,28,FALSE)-VLOOKUP(A122,'NonXtal_SegEnds_Prot#'!A:AL,25,FALSE)</f>
        <v>26</v>
      </c>
      <c r="AF122" s="1">
        <f>VLOOKUP(A122,'NonXtal_SegEnds_Prot#'!A:AL,31,FALSE)-VLOOKUP(A122,'NonXtal_SegEnds_Prot#'!A:AL,28,FALSE)</f>
        <v>51</v>
      </c>
      <c r="AG122" s="1">
        <f>VLOOKUP(A122,'NonXtal_SegEnds_Prot#'!A:AL,34,FALSE)-VLOOKUP(A122,'NonXtal_SegEnds_Prot#'!A:AL,31,FALSE)</f>
        <v>43</v>
      </c>
    </row>
    <row r="123" spans="1:33" x14ac:dyDescent="0.2">
      <c r="A123" s="1" t="s">
        <v>462</v>
      </c>
      <c r="B123" s="1" t="str">
        <f>VLOOKUP(A123,Xtal_Templ!A:B,2,FALSE)</f>
        <v>oprd_mouse</v>
      </c>
      <c r="C123" s="5">
        <f>VLOOKUP($B123&amp;"__wt",'Xtal_SegEnds_BW#'!$A:$Z,3,FALSE)</f>
        <v>24</v>
      </c>
      <c r="D123" s="1">
        <f>VLOOKUP($B123&amp;"__wt",'Xtal_SegEnds_BW#'!$A:$Z,4,FALSE)</f>
        <v>60</v>
      </c>
      <c r="E123" s="1">
        <f>VLOOKUP($B123&amp;"__wt",'Xtal_SegEnds_BW#'!$A:$Z,5,FALSE)</f>
        <v>48</v>
      </c>
      <c r="F123" s="1">
        <f>VLOOKUP($B123&amp;"__wt",'Xtal_SegEnds_BW#'!$A:$Z,6,FALSE)</f>
        <v>51</v>
      </c>
      <c r="G123" s="1">
        <v>37</v>
      </c>
      <c r="H123" s="1">
        <v>67</v>
      </c>
      <c r="I123" s="1">
        <f>VLOOKUP($B123&amp;"__wt",'Xtal_SegEnds_BW#'!$A:$Z,9,FALSE)</f>
        <v>49</v>
      </c>
      <c r="J123" s="1">
        <f>VLOOKUP($B123&amp;"__wt",'Xtal_SegEnds_BW#'!$A:$Z,10,FALSE)</f>
        <v>52</v>
      </c>
      <c r="K123" s="1">
        <v>18</v>
      </c>
      <c r="L123" s="1">
        <f>VLOOKUP($B123&amp;"__wt",'Xtal_SegEnds_BW#'!$A:$Z,12,FALSE)</f>
        <v>56</v>
      </c>
      <c r="M123" s="1">
        <f>VLOOKUP($B123&amp;"__wt",'Xtal_SegEnds_BW#'!$A:$Z,13,FALSE)</f>
        <v>50</v>
      </c>
      <c r="N123" s="1">
        <v>57</v>
      </c>
      <c r="O123" s="1">
        <v>39</v>
      </c>
      <c r="P123" s="1">
        <f>VLOOKUP($B123&amp;"__wt",'Xtal_SegEnds_BW#'!$A:$Z,16,FALSE)</f>
        <v>64</v>
      </c>
      <c r="Q123" s="1">
        <f>VLOOKUP($B123&amp;"__wt",'Xtal_SegEnds_BW#'!$A:$Z,17,FALSE)</f>
        <v>50</v>
      </c>
      <c r="R123" s="1">
        <f>VLOOKUP($B123&amp;"__wt",'Xtal_SegEnds_BW#'!$A:$Z,18,FALSE)</f>
        <v>52</v>
      </c>
      <c r="S123" s="1">
        <f>VLOOKUP($B123&amp;"__wt",'Xtal_SegEnds_BW#'!$A:$Z,19,FALSE)</f>
        <v>31</v>
      </c>
      <c r="T123" s="23">
        <f t="array" ref="T123">INDEX('ICL3'!$G$2:$G$31,MATCH(MIN(ABS(AF123-'ICL3'!$F$2:$F$31)),ABS(AF123-'ICL3'!$F$2:$F$31),0))</f>
        <v>68</v>
      </c>
      <c r="U123" s="1">
        <f t="array" ref="U123">INDEX('ICL3'!$H$2:$H$31,MATCH(MIN(ABS(AF123-'ICL3'!$F$2:$F$31)),ABS(AF123-'ICL3'!$F$2:$F$31),0))</f>
        <v>23</v>
      </c>
      <c r="V123" s="1">
        <v>61</v>
      </c>
      <c r="W123" s="1">
        <v>28</v>
      </c>
      <c r="X123" s="1">
        <f>VLOOKUP($B123&amp;"__wt",'Xtal_SegEnds_BW#'!$A:$Z,24,FALSE)</f>
        <v>56</v>
      </c>
      <c r="Y123" s="1">
        <f>VLOOKUP($B123&amp;"__wt",'Xtal_SegEnds_BW#'!$A:$Z,25,FALSE)</f>
        <v>47</v>
      </c>
      <c r="Z123" s="1">
        <f>VLOOKUP($B123&amp;"__wt",'Xtal_SegEnds_BW#'!$A:$Z,26,FALSE)</f>
        <v>60</v>
      </c>
      <c r="AA123" s="63" t="str">
        <f>VLOOKUP(A123,Classification!A:B,2,FALSE)</f>
        <v>A</v>
      </c>
      <c r="AB123" s="1" t="e">
        <f>VLOOKUP(A123,'NonXtal_SegEnds_Prot#'!A:AL,10,FALSE)-VLOOKUP(A123,'NonXtal_SegEnds_Prot#'!A:AL,7,FALSE)</f>
        <v>#VALUE!</v>
      </c>
      <c r="AC123" s="1">
        <f>VLOOKUP(A123,'NonXtal_SegEnds_Prot#'!A:AL,13,FALSE)-VLOOKUP(A123,'NonXtal_SegEnds_Prot#'!A:AL,10,FALSE)</f>
        <v>20</v>
      </c>
      <c r="AD123" s="1">
        <f>VLOOKUP(A123,'NonXtal_SegEnds_Prot#'!A:AL,16,FALSE)-VLOOKUP(A123,'NonXtal_SegEnds_Prot#'!A:AL,10,FALSE)</f>
        <v>56</v>
      </c>
      <c r="AE123" s="1" t="e">
        <f>VLOOKUP(A123,'NonXtal_SegEnds_Prot#'!A:AL,28,FALSE)-VLOOKUP(A123,'NonXtal_SegEnds_Prot#'!A:AL,25,FALSE)</f>
        <v>#VALUE!</v>
      </c>
      <c r="AF123" s="1">
        <f>VLOOKUP(A123,'NonXtal_SegEnds_Prot#'!A:AL,31,FALSE)-VLOOKUP(A123,'NonXtal_SegEnds_Prot#'!A:AL,28,FALSE)</f>
        <v>51</v>
      </c>
      <c r="AG123" s="1">
        <f>VLOOKUP(A123,'NonXtal_SegEnds_Prot#'!A:AL,34,FALSE)-VLOOKUP(A123,'NonXtal_SegEnds_Prot#'!A:AL,31,FALSE)</f>
        <v>42</v>
      </c>
    </row>
    <row r="124" spans="1:33" x14ac:dyDescent="0.2">
      <c r="A124" s="1" t="s">
        <v>493</v>
      </c>
      <c r="B124" s="1" t="str">
        <f>VLOOKUP(A124,Xtal_Templ!A:B,2,FALSE)</f>
        <v>oprx_human</v>
      </c>
      <c r="C124" s="5">
        <f>VLOOKUP($B124&amp;"__wt",'Xtal_SegEnds_BW#'!$A:$Z,3,FALSE)</f>
        <v>29</v>
      </c>
      <c r="D124" s="1">
        <f>VLOOKUP($B124&amp;"__wt",'Xtal_SegEnds_BW#'!$A:$Z,4,FALSE)</f>
        <v>60</v>
      </c>
      <c r="E124" s="1">
        <f>VLOOKUP($B124&amp;"__wt",'Xtal_SegEnds_BW#'!$A:$Z,5,FALSE)</f>
        <v>48</v>
      </c>
      <c r="F124" s="1">
        <f>VLOOKUP($B124&amp;"__wt",'Xtal_SegEnds_BW#'!$A:$Z,6,FALSE)</f>
        <v>51</v>
      </c>
      <c r="G124" s="1">
        <v>37</v>
      </c>
      <c r="H124" s="1">
        <f>VLOOKUP($B124&amp;"__wt",'Xtal_SegEnds_BW#'!$A:$Z,8,FALSE)</f>
        <v>66</v>
      </c>
      <c r="I124" s="1">
        <f>VLOOKUP($B124&amp;"__wt",'Xtal_SegEnds_BW#'!$A:$Z,9,FALSE)</f>
        <v>49</v>
      </c>
      <c r="J124" s="1">
        <f>VLOOKUP($B124&amp;"__wt",'Xtal_SegEnds_BW#'!$A:$Z,10,FALSE)</f>
        <v>52</v>
      </c>
      <c r="K124" s="1">
        <v>18</v>
      </c>
      <c r="L124" s="1">
        <f>VLOOKUP($B124&amp;"__wt",'Xtal_SegEnds_BW#'!$A:$Z,12,FALSE)</f>
        <v>56</v>
      </c>
      <c r="M124" s="1">
        <f>VLOOKUP($B124&amp;"__wt",'Xtal_SegEnds_BW#'!$A:$Z,13,FALSE)</f>
        <v>50</v>
      </c>
      <c r="N124" s="1">
        <v>57</v>
      </c>
      <c r="O124" s="1">
        <v>39</v>
      </c>
      <c r="P124" s="1">
        <f>VLOOKUP($B124&amp;"__wt",'Xtal_SegEnds_BW#'!$A:$Z,16,FALSE)</f>
        <v>64</v>
      </c>
      <c r="Q124" s="1">
        <f>VLOOKUP($B124&amp;"__wt",'Xtal_SegEnds_BW#'!$A:$Z,17,FALSE)</f>
        <v>50</v>
      </c>
      <c r="R124" s="1">
        <f>VLOOKUP($B124&amp;"__wt",'Xtal_SegEnds_BW#'!$A:$Z,18,FALSE)</f>
        <v>52</v>
      </c>
      <c r="S124" s="1">
        <f>VLOOKUP($B124&amp;"__wt",'Xtal_SegEnds_BW#'!$A:$Z,19,FALSE)</f>
        <v>31</v>
      </c>
      <c r="T124" s="23">
        <f t="array" ref="T124">INDEX('ICL3'!$G$2:$G$31,MATCH(MIN(ABS(AF124-'ICL3'!$F$2:$F$31)),ABS(AF124-'ICL3'!$F$2:$F$31),0))</f>
        <v>68</v>
      </c>
      <c r="U124" s="1">
        <f t="array" ref="U124">INDEX('ICL3'!$H$2:$H$31,MATCH(MIN(ABS(AF124-'ICL3'!$F$2:$F$31)),ABS(AF124-'ICL3'!$F$2:$F$31),0))</f>
        <v>23</v>
      </c>
      <c r="V124" s="1">
        <v>61</v>
      </c>
      <c r="W124" s="1">
        <v>31</v>
      </c>
      <c r="X124" s="1">
        <f>VLOOKUP($B124&amp;"__wt",'Xtal_SegEnds_BW#'!$A:$Z,24,FALSE)</f>
        <v>56</v>
      </c>
      <c r="Y124" s="1">
        <f>VLOOKUP($B124&amp;"__wt",'Xtal_SegEnds_BW#'!$A:$Z,25,FALSE)</f>
        <v>47</v>
      </c>
      <c r="Z124" s="1">
        <f>VLOOKUP($B124&amp;"__wt",'Xtal_SegEnds_BW#'!$A:$Z,26,FALSE)</f>
        <v>59</v>
      </c>
      <c r="AA124" s="63" t="str">
        <f>VLOOKUP(A124,Classification!A:B,2,FALSE)</f>
        <v>A</v>
      </c>
      <c r="AB124" s="1">
        <f>VLOOKUP(A124,'NonXtal_SegEnds_Prot#'!A:AL,10,FALSE)-VLOOKUP(A124,'NonXtal_SegEnds_Prot#'!A:AL,7,FALSE)</f>
        <v>18</v>
      </c>
      <c r="AC124" s="1">
        <f>VLOOKUP(A124,'NonXtal_SegEnds_Prot#'!A:AL,13,FALSE)-VLOOKUP(A124,'NonXtal_SegEnds_Prot#'!A:AL,10,FALSE)</f>
        <v>20</v>
      </c>
      <c r="AD124" s="1">
        <f>VLOOKUP(A124,'NonXtal_SegEnds_Prot#'!A:AL,16,FALSE)-VLOOKUP(A124,'NonXtal_SegEnds_Prot#'!A:AL,10,FALSE)</f>
        <v>52</v>
      </c>
      <c r="AE124" s="1">
        <f>VLOOKUP(A124,'NonXtal_SegEnds_Prot#'!A:AL,28,FALSE)-VLOOKUP(A124,'NonXtal_SegEnds_Prot#'!A:AL,25,FALSE)</f>
        <v>26</v>
      </c>
      <c r="AF124" s="1">
        <f>VLOOKUP(A124,'NonXtal_SegEnds_Prot#'!A:AL,31,FALSE)-VLOOKUP(A124,'NonXtal_SegEnds_Prot#'!A:AL,28,FALSE)</f>
        <v>51</v>
      </c>
      <c r="AG124" s="1">
        <f>VLOOKUP(A124,'NonXtal_SegEnds_Prot#'!A:AL,34,FALSE)-VLOOKUP(A124,'NonXtal_SegEnds_Prot#'!A:AL,31,FALSE)</f>
        <v>37</v>
      </c>
    </row>
    <row r="125" spans="1:33" x14ac:dyDescent="0.2">
      <c r="A125" s="1" t="s">
        <v>514</v>
      </c>
      <c r="B125" s="1" t="str">
        <f>VLOOKUP(A125,Xtal_Templ!A:B,2,FALSE)</f>
        <v>oprx_human</v>
      </c>
      <c r="C125" s="5">
        <f>VLOOKUP($B125&amp;"__wt",'Xtal_SegEnds_BW#'!$A:$Z,3,FALSE)</f>
        <v>29</v>
      </c>
      <c r="D125" s="1">
        <f>VLOOKUP($B125&amp;"__wt",'Xtal_SegEnds_BW#'!$A:$Z,4,FALSE)</f>
        <v>60</v>
      </c>
      <c r="E125" s="1">
        <f>VLOOKUP($B125&amp;"__wt",'Xtal_SegEnds_BW#'!$A:$Z,5,FALSE)</f>
        <v>48</v>
      </c>
      <c r="F125" s="1">
        <f>VLOOKUP($B125&amp;"__wt",'Xtal_SegEnds_BW#'!$A:$Z,6,FALSE)</f>
        <v>51</v>
      </c>
      <c r="G125" s="1">
        <v>37</v>
      </c>
      <c r="H125" s="1">
        <v>66</v>
      </c>
      <c r="I125" s="1">
        <f>VLOOKUP($B125&amp;"__wt",'Xtal_SegEnds_BW#'!$A:$Z,9,FALSE)</f>
        <v>49</v>
      </c>
      <c r="J125" s="1">
        <f>VLOOKUP($B125&amp;"__wt",'Xtal_SegEnds_BW#'!$A:$Z,10,FALSE)</f>
        <v>52</v>
      </c>
      <c r="K125" s="1">
        <v>18</v>
      </c>
      <c r="L125" s="1">
        <f>VLOOKUP($B125&amp;"__wt",'Xtal_SegEnds_BW#'!$A:$Z,12,FALSE)</f>
        <v>56</v>
      </c>
      <c r="M125" s="1">
        <f>VLOOKUP($B125&amp;"__wt",'Xtal_SegEnds_BW#'!$A:$Z,13,FALSE)</f>
        <v>50</v>
      </c>
      <c r="N125" s="1">
        <f>VLOOKUP($B125&amp;"__wt",'Xtal_SegEnds_BW#'!$A:$Z,14,FALSE)</f>
        <v>57</v>
      </c>
      <c r="O125" s="1">
        <v>39</v>
      </c>
      <c r="P125" s="1">
        <f>VLOOKUP($B125&amp;"__wt",'Xtal_SegEnds_BW#'!$A:$Z,16,FALSE)</f>
        <v>64</v>
      </c>
      <c r="Q125" s="1">
        <f>VLOOKUP($B125&amp;"__wt",'Xtal_SegEnds_BW#'!$A:$Z,17,FALSE)</f>
        <v>50</v>
      </c>
      <c r="R125" s="1">
        <f>VLOOKUP($B125&amp;"__wt",'Xtal_SegEnds_BW#'!$A:$Z,18,FALSE)</f>
        <v>52</v>
      </c>
      <c r="S125" s="1">
        <f>VLOOKUP($B125&amp;"__wt",'Xtal_SegEnds_BW#'!$A:$Z,19,FALSE)</f>
        <v>31</v>
      </c>
      <c r="T125" s="23">
        <f t="array" ref="T125">INDEX('ICL3'!$G$2:$G$31,MATCH(MIN(ABS(AF125-'ICL3'!$F$2:$F$31)),ABS(AF125-'ICL3'!$F$2:$F$31),0))</f>
        <v>68</v>
      </c>
      <c r="U125" s="1">
        <f t="array" ref="U125">INDEX('ICL3'!$H$2:$H$31,MATCH(MIN(ABS(AF125-'ICL3'!$F$2:$F$31)),ABS(AF125-'ICL3'!$F$2:$F$31),0))</f>
        <v>23</v>
      </c>
      <c r="V125" s="1">
        <v>61</v>
      </c>
      <c r="W125" s="1">
        <v>28</v>
      </c>
      <c r="X125" s="1">
        <f>VLOOKUP($B125&amp;"__wt",'Xtal_SegEnds_BW#'!$A:$Z,24,FALSE)</f>
        <v>56</v>
      </c>
      <c r="Y125" s="1">
        <f>VLOOKUP($B125&amp;"__wt",'Xtal_SegEnds_BW#'!$A:$Z,25,FALSE)</f>
        <v>47</v>
      </c>
      <c r="Z125" s="1">
        <f>VLOOKUP($B125&amp;"__wt",'Xtal_SegEnds_BW#'!$A:$Z,26,FALSE)</f>
        <v>59</v>
      </c>
      <c r="AA125" s="63" t="str">
        <f>VLOOKUP(A125,Classification!A:B,2,FALSE)</f>
        <v>A</v>
      </c>
      <c r="AB125" s="1">
        <f>VLOOKUP(A125,'NonXtal_SegEnds_Prot#'!A:AL,10,FALSE)-VLOOKUP(A125,'NonXtal_SegEnds_Prot#'!A:AL,7,FALSE)</f>
        <v>15</v>
      </c>
      <c r="AC125" s="1">
        <f>VLOOKUP(A125,'NonXtal_SegEnds_Prot#'!A:AL,13,FALSE)-VLOOKUP(A125,'NonXtal_SegEnds_Prot#'!A:AL,10,FALSE)</f>
        <v>19</v>
      </c>
      <c r="AD125" s="1">
        <f>VLOOKUP(A125,'NonXtal_SegEnds_Prot#'!A:AL,16,FALSE)-VLOOKUP(A125,'NonXtal_SegEnds_Prot#'!A:AL,10,FALSE)</f>
        <v>51</v>
      </c>
      <c r="AE125" s="1">
        <f>VLOOKUP(A125,'NonXtal_SegEnds_Prot#'!A:AL,28,FALSE)-VLOOKUP(A125,'NonXtal_SegEnds_Prot#'!A:AL,25,FALSE)</f>
        <v>27</v>
      </c>
      <c r="AF125" s="1">
        <f>VLOOKUP(A125,'NonXtal_SegEnds_Prot#'!A:AL,31,FALSE)-VLOOKUP(A125,'NonXtal_SegEnds_Prot#'!A:AL,28,FALSE)</f>
        <v>51</v>
      </c>
      <c r="AG125" s="1">
        <f>VLOOKUP(A125,'NonXtal_SegEnds_Prot#'!A:AL,34,FALSE)-VLOOKUP(A125,'NonXtal_SegEnds_Prot#'!A:AL,31,FALSE)</f>
        <v>38</v>
      </c>
    </row>
    <row r="126" spans="1:33" x14ac:dyDescent="0.2">
      <c r="A126" s="1" t="s">
        <v>515</v>
      </c>
      <c r="B126" s="1" t="str">
        <f>VLOOKUP(A126,Xtal_Templ!A:B,2,FALSE)</f>
        <v>oprd_mouse</v>
      </c>
      <c r="C126" s="5">
        <f>VLOOKUP($B126&amp;"__wt",'Xtal_SegEnds_BW#'!$A:$Z,3,FALSE)</f>
        <v>24</v>
      </c>
      <c r="D126" s="1">
        <f>VLOOKUP($B126&amp;"__wt",'Xtal_SegEnds_BW#'!$A:$Z,4,FALSE)</f>
        <v>60</v>
      </c>
      <c r="E126" s="1">
        <f>VLOOKUP($B126&amp;"__wt",'Xtal_SegEnds_BW#'!$A:$Z,5,FALSE)</f>
        <v>48</v>
      </c>
      <c r="F126" s="1">
        <f>VLOOKUP($B126&amp;"__wt",'Xtal_SegEnds_BW#'!$A:$Z,6,FALSE)</f>
        <v>51</v>
      </c>
      <c r="G126" s="1">
        <v>37</v>
      </c>
      <c r="H126" s="1">
        <v>66</v>
      </c>
      <c r="I126" s="1">
        <f>VLOOKUP($B126&amp;"__wt",'Xtal_SegEnds_BW#'!$A:$Z,9,FALSE)</f>
        <v>49</v>
      </c>
      <c r="J126" s="1">
        <f>VLOOKUP($B126&amp;"__wt",'Xtal_SegEnds_BW#'!$A:$Z,10,FALSE)</f>
        <v>52</v>
      </c>
      <c r="K126" s="1">
        <v>18</v>
      </c>
      <c r="L126" s="1">
        <f>VLOOKUP($B126&amp;"__wt",'Xtal_SegEnds_BW#'!$A:$Z,12,FALSE)</f>
        <v>56</v>
      </c>
      <c r="M126" s="1">
        <f>VLOOKUP($B126&amp;"__wt",'Xtal_SegEnds_BW#'!$A:$Z,13,FALSE)</f>
        <v>50</v>
      </c>
      <c r="N126" s="1">
        <f>VLOOKUP($B126&amp;"__wt",'Xtal_SegEnds_BW#'!$A:$Z,14,FALSE)</f>
        <v>57</v>
      </c>
      <c r="O126" s="1">
        <v>39</v>
      </c>
      <c r="P126" s="1">
        <f>VLOOKUP($B126&amp;"__wt",'Xtal_SegEnds_BW#'!$A:$Z,16,FALSE)</f>
        <v>64</v>
      </c>
      <c r="Q126" s="1">
        <f>VLOOKUP($B126&amp;"__wt",'Xtal_SegEnds_BW#'!$A:$Z,17,FALSE)</f>
        <v>50</v>
      </c>
      <c r="R126" s="1">
        <f>VLOOKUP($B126&amp;"__wt",'Xtal_SegEnds_BW#'!$A:$Z,18,FALSE)</f>
        <v>52</v>
      </c>
      <c r="S126" s="1">
        <f>VLOOKUP($B126&amp;"__wt",'Xtal_SegEnds_BW#'!$A:$Z,19,FALSE)</f>
        <v>31</v>
      </c>
      <c r="T126" s="23">
        <f t="array" ref="T126">INDEX('ICL3'!$G$2:$G$31,MATCH(MIN(ABS(AF126-'ICL3'!$F$2:$F$31)),ABS(AF126-'ICL3'!$F$2:$F$31),0))</f>
        <v>68</v>
      </c>
      <c r="U126" s="1">
        <f t="array" ref="U126">INDEX('ICL3'!$H$2:$H$31,MATCH(MIN(ABS(AF126-'ICL3'!$F$2:$F$31)),ABS(AF126-'ICL3'!$F$2:$F$31),0))</f>
        <v>23</v>
      </c>
      <c r="V126" s="1">
        <v>61</v>
      </c>
      <c r="W126" s="1">
        <v>28</v>
      </c>
      <c r="X126" s="1">
        <f>VLOOKUP($B126&amp;"__wt",'Xtal_SegEnds_BW#'!$A:$Z,24,FALSE)</f>
        <v>56</v>
      </c>
      <c r="Y126" s="1">
        <f>VLOOKUP($B126&amp;"__wt",'Xtal_SegEnds_BW#'!$A:$Z,25,FALSE)</f>
        <v>47</v>
      </c>
      <c r="Z126" s="1">
        <f>VLOOKUP($B126&amp;"__wt",'Xtal_SegEnds_BW#'!$A:$Z,26,FALSE)</f>
        <v>60</v>
      </c>
      <c r="AA126" s="63" t="str">
        <f>VLOOKUP(A126,Classification!A:B,2,FALSE)</f>
        <v>A</v>
      </c>
      <c r="AB126" s="1">
        <f>VLOOKUP(A126,'NonXtal_SegEnds_Prot#'!A:AL,10,FALSE)-VLOOKUP(A126,'NonXtal_SegEnds_Prot#'!A:AL,7,FALSE)</f>
        <v>15</v>
      </c>
      <c r="AC126" s="1">
        <f>VLOOKUP(A126,'NonXtal_SegEnds_Prot#'!A:AL,13,FALSE)-VLOOKUP(A126,'NonXtal_SegEnds_Prot#'!A:AL,10,FALSE)</f>
        <v>19</v>
      </c>
      <c r="AD126" s="1">
        <f>VLOOKUP(A126,'NonXtal_SegEnds_Prot#'!A:AL,16,FALSE)-VLOOKUP(A126,'NonXtal_SegEnds_Prot#'!A:AL,10,FALSE)</f>
        <v>51</v>
      </c>
      <c r="AE126" s="1">
        <f>VLOOKUP(A126,'NonXtal_SegEnds_Prot#'!A:AL,28,FALSE)-VLOOKUP(A126,'NonXtal_SegEnds_Prot#'!A:AL,25,FALSE)</f>
        <v>27</v>
      </c>
      <c r="AF126" s="1">
        <f>VLOOKUP(A126,'NonXtal_SegEnds_Prot#'!A:AL,31,FALSE)-VLOOKUP(A126,'NonXtal_SegEnds_Prot#'!A:AL,28,FALSE)</f>
        <v>51</v>
      </c>
      <c r="AG126" s="1">
        <f>VLOOKUP(A126,'NonXtal_SegEnds_Prot#'!A:AL,34,FALSE)-VLOOKUP(A126,'NonXtal_SegEnds_Prot#'!A:AL,31,FALSE)</f>
        <v>38</v>
      </c>
    </row>
    <row r="127" spans="1:33" x14ac:dyDescent="0.2">
      <c r="A127" s="1" t="s">
        <v>529</v>
      </c>
      <c r="B127" s="1" t="str">
        <f>VLOOKUP(A127,Xtal_Templ!A:B,2,FALSE)</f>
        <v>oprd_human</v>
      </c>
      <c r="C127" s="5">
        <f>VLOOKUP($B127&amp;"__wt",'Xtal_SegEnds_BW#'!$A:$Z,3,FALSE)</f>
        <v>22</v>
      </c>
      <c r="D127" s="1">
        <f>VLOOKUP($B127&amp;"__wt",'Xtal_SegEnds_BW#'!$A:$Z,4,FALSE)</f>
        <v>60</v>
      </c>
      <c r="E127" s="1">
        <f>VLOOKUP($B127&amp;"__wt",'Xtal_SegEnds_BW#'!$A:$Z,5,FALSE)</f>
        <v>48</v>
      </c>
      <c r="F127" s="1">
        <f>VLOOKUP($B127&amp;"__wt",'Xtal_SegEnds_BW#'!$A:$Z,6,FALSE)</f>
        <v>51</v>
      </c>
      <c r="G127" s="1">
        <v>37</v>
      </c>
      <c r="H127" s="1">
        <v>66</v>
      </c>
      <c r="I127" s="1">
        <f>VLOOKUP($B127&amp;"__wt",'Xtal_SegEnds_BW#'!$A:$Z,9,FALSE)</f>
        <v>49</v>
      </c>
      <c r="J127" s="1">
        <f>VLOOKUP($B127&amp;"__wt",'Xtal_SegEnds_BW#'!$A:$Z,10,FALSE)</f>
        <v>52</v>
      </c>
      <c r="K127" s="1">
        <v>18</v>
      </c>
      <c r="L127" s="1">
        <f>VLOOKUP($B127&amp;"__wt",'Xtal_SegEnds_BW#'!$A:$Z,12,FALSE)</f>
        <v>56</v>
      </c>
      <c r="M127" s="1">
        <f>VLOOKUP($B127&amp;"__wt",'Xtal_SegEnds_BW#'!$A:$Z,13,FALSE)</f>
        <v>50</v>
      </c>
      <c r="N127" s="1">
        <v>57</v>
      </c>
      <c r="O127" s="1">
        <v>39</v>
      </c>
      <c r="P127" s="1">
        <f>VLOOKUP($B127&amp;"__wt",'Xtal_SegEnds_BW#'!$A:$Z,16,FALSE)</f>
        <v>64</v>
      </c>
      <c r="Q127" s="1">
        <f>VLOOKUP($B127&amp;"__wt",'Xtal_SegEnds_BW#'!$A:$Z,17,FALSE)</f>
        <v>50</v>
      </c>
      <c r="R127" s="1">
        <f>VLOOKUP($B127&amp;"__wt",'Xtal_SegEnds_BW#'!$A:$Z,18,FALSE)</f>
        <v>52</v>
      </c>
      <c r="S127" s="1">
        <f>VLOOKUP($B127&amp;"__wt",'Xtal_SegEnds_BW#'!$A:$Z,19,FALSE)</f>
        <v>31</v>
      </c>
      <c r="T127" s="23">
        <f t="array" ref="T127">INDEX('ICL3'!$G$2:$G$31,MATCH(MIN(ABS(AF127-'ICL3'!$F$2:$F$31)),ABS(AF127-'ICL3'!$F$2:$F$31),0))</f>
        <v>68</v>
      </c>
      <c r="U127" s="1">
        <f t="array" ref="U127">INDEX('ICL3'!$H$2:$H$31,MATCH(MIN(ABS(AF127-'ICL3'!$F$2:$F$31)),ABS(AF127-'ICL3'!$F$2:$F$31),0))</f>
        <v>23</v>
      </c>
      <c r="V127" s="1">
        <v>61</v>
      </c>
      <c r="W127" s="1">
        <v>28</v>
      </c>
      <c r="X127" s="1">
        <f>VLOOKUP($B127&amp;"__wt",'Xtal_SegEnds_BW#'!$A:$Z,24,FALSE)</f>
        <v>56</v>
      </c>
      <c r="Y127" s="1">
        <f>VLOOKUP($B127&amp;"__wt",'Xtal_SegEnds_BW#'!$A:$Z,25,FALSE)</f>
        <v>47</v>
      </c>
      <c r="Z127" s="1">
        <f>VLOOKUP($B127&amp;"__wt",'Xtal_SegEnds_BW#'!$A:$Z,26,FALSE)</f>
        <v>60</v>
      </c>
      <c r="AA127" s="63" t="str">
        <f>VLOOKUP(A127,Classification!A:B,2,FALSE)</f>
        <v>A</v>
      </c>
      <c r="AB127" s="1">
        <f>VLOOKUP(A127,'NonXtal_SegEnds_Prot#'!A:AL,10,FALSE)-VLOOKUP(A127,'NonXtal_SegEnds_Prot#'!A:AL,7,FALSE)</f>
        <v>15</v>
      </c>
      <c r="AC127" s="1">
        <f>VLOOKUP(A127,'NonXtal_SegEnds_Prot#'!A:AL,13,FALSE)-VLOOKUP(A127,'NonXtal_SegEnds_Prot#'!A:AL,10,FALSE)</f>
        <v>19</v>
      </c>
      <c r="AD127" s="1">
        <f>VLOOKUP(A127,'NonXtal_SegEnds_Prot#'!A:AL,16,FALSE)-VLOOKUP(A127,'NonXtal_SegEnds_Prot#'!A:AL,10,FALSE)</f>
        <v>51</v>
      </c>
      <c r="AE127" s="1">
        <f>VLOOKUP(A127,'NonXtal_SegEnds_Prot#'!A:AL,28,FALSE)-VLOOKUP(A127,'NonXtal_SegEnds_Prot#'!A:AL,25,FALSE)</f>
        <v>27</v>
      </c>
      <c r="AF127" s="1">
        <f>VLOOKUP(A127,'NonXtal_SegEnds_Prot#'!A:AL,31,FALSE)-VLOOKUP(A127,'NonXtal_SegEnds_Prot#'!A:AL,28,FALSE)</f>
        <v>51</v>
      </c>
      <c r="AG127" s="1">
        <f>VLOOKUP(A127,'NonXtal_SegEnds_Prot#'!A:AL,34,FALSE)-VLOOKUP(A127,'NonXtal_SegEnds_Prot#'!A:AL,31,FALSE)</f>
        <v>39</v>
      </c>
    </row>
    <row r="128" spans="1:33" x14ac:dyDescent="0.2">
      <c r="A128" s="1" t="s">
        <v>1112</v>
      </c>
      <c r="B128" s="1" t="str">
        <f>VLOOKUP(A128,Xtal_Templ!A:B,2,FALSE)</f>
        <v>oprd_mouse</v>
      </c>
      <c r="C128" s="5">
        <f>VLOOKUP($B128&amp;"__wt",'Xtal_SegEnds_BW#'!$A:$Z,3,FALSE)</f>
        <v>24</v>
      </c>
      <c r="D128" s="1">
        <f>VLOOKUP($B128&amp;"__wt",'Xtal_SegEnds_BW#'!$A:$Z,4,FALSE)</f>
        <v>60</v>
      </c>
      <c r="E128" s="1">
        <f>VLOOKUP($B128&amp;"__wt",'Xtal_SegEnds_BW#'!$A:$Z,5,FALSE)</f>
        <v>48</v>
      </c>
      <c r="F128" s="1">
        <f>VLOOKUP($B128&amp;"__wt",'Xtal_SegEnds_BW#'!$A:$Z,6,FALSE)</f>
        <v>51</v>
      </c>
      <c r="G128" s="1">
        <v>37</v>
      </c>
      <c r="H128" s="1">
        <v>66</v>
      </c>
      <c r="I128" s="1">
        <f>VLOOKUP($B128&amp;"__wt",'Xtal_SegEnds_BW#'!$A:$Z,9,FALSE)</f>
        <v>49</v>
      </c>
      <c r="J128" s="1">
        <f>VLOOKUP($B128&amp;"__wt",'Xtal_SegEnds_BW#'!$A:$Z,10,FALSE)</f>
        <v>52</v>
      </c>
      <c r="K128" s="1">
        <v>18</v>
      </c>
      <c r="L128" s="1">
        <f>VLOOKUP($B128&amp;"__wt",'Xtal_SegEnds_BW#'!$A:$Z,12,FALSE)</f>
        <v>56</v>
      </c>
      <c r="M128" s="1">
        <f>VLOOKUP($B128&amp;"__wt",'Xtal_SegEnds_BW#'!$A:$Z,13,FALSE)</f>
        <v>50</v>
      </c>
      <c r="N128" s="1">
        <v>57</v>
      </c>
      <c r="O128" s="1">
        <v>39</v>
      </c>
      <c r="P128" s="1">
        <f>VLOOKUP($B128&amp;"__wt",'Xtal_SegEnds_BW#'!$A:$Z,16,FALSE)</f>
        <v>64</v>
      </c>
      <c r="Q128" s="1">
        <f>VLOOKUP($B128&amp;"__wt",'Xtal_SegEnds_BW#'!$A:$Z,17,FALSE)</f>
        <v>50</v>
      </c>
      <c r="R128" s="1">
        <f>VLOOKUP($B128&amp;"__wt",'Xtal_SegEnds_BW#'!$A:$Z,18,FALSE)</f>
        <v>52</v>
      </c>
      <c r="S128" s="1">
        <f>VLOOKUP($B128&amp;"__wt",'Xtal_SegEnds_BW#'!$A:$Z,19,FALSE)</f>
        <v>31</v>
      </c>
      <c r="T128" s="23">
        <f t="array" ref="T128">INDEX('ICL3'!$G$2:$G$31,MATCH(MIN(ABS(AF128-'ICL3'!$F$2:$F$31)),ABS(AF128-'ICL3'!$F$2:$F$31),0))</f>
        <v>68</v>
      </c>
      <c r="U128" s="1">
        <f t="array" ref="U128">INDEX('ICL3'!$H$2:$H$31,MATCH(MIN(ABS(AF128-'ICL3'!$F$2:$F$31)),ABS(AF128-'ICL3'!$F$2:$F$31),0))</f>
        <v>23</v>
      </c>
      <c r="V128" s="1">
        <v>61</v>
      </c>
      <c r="W128" s="1">
        <v>28</v>
      </c>
      <c r="X128" s="1">
        <f>VLOOKUP($B128&amp;"__wt",'Xtal_SegEnds_BW#'!$A:$Z,24,FALSE)</f>
        <v>56</v>
      </c>
      <c r="Y128" s="1">
        <f>VLOOKUP($B128&amp;"__wt",'Xtal_SegEnds_BW#'!$A:$Z,25,FALSE)</f>
        <v>47</v>
      </c>
      <c r="Z128" s="1">
        <f>VLOOKUP($B128&amp;"__wt",'Xtal_SegEnds_BW#'!$A:$Z,26,FALSE)</f>
        <v>60</v>
      </c>
      <c r="AA128" s="63" t="str">
        <f>VLOOKUP(A128,Classification!A:B,2,FALSE)</f>
        <v>A</v>
      </c>
      <c r="AB128" s="1">
        <f>VLOOKUP(A128,'NonXtal_SegEnds_Prot#'!A:AL,10,FALSE)-VLOOKUP(A128,'NonXtal_SegEnds_Prot#'!A:AL,7,FALSE)</f>
        <v>15</v>
      </c>
      <c r="AC128" s="1">
        <f>VLOOKUP(A128,'NonXtal_SegEnds_Prot#'!A:AL,13,FALSE)-VLOOKUP(A128,'NonXtal_SegEnds_Prot#'!A:AL,10,FALSE)</f>
        <v>19</v>
      </c>
      <c r="AD128" s="1">
        <f>VLOOKUP(A128,'NonXtal_SegEnds_Prot#'!A:AL,16,FALSE)-VLOOKUP(A128,'NonXtal_SegEnds_Prot#'!A:AL,10,FALSE)</f>
        <v>51</v>
      </c>
      <c r="AE128" s="1">
        <f>VLOOKUP(A128,'NonXtal_SegEnds_Prot#'!A:AL,28,FALSE)-VLOOKUP(A128,'NonXtal_SegEnds_Prot#'!A:AL,25,FALSE)</f>
        <v>27</v>
      </c>
      <c r="AF128" s="1">
        <f>VLOOKUP(A128,'NonXtal_SegEnds_Prot#'!A:AL,31,FALSE)-VLOOKUP(A128,'NonXtal_SegEnds_Prot#'!A:AL,28,FALSE)</f>
        <v>51</v>
      </c>
      <c r="AG128" s="1">
        <f>VLOOKUP(A128,'NonXtal_SegEnds_Prot#'!A:AL,34,FALSE)-VLOOKUP(A128,'NonXtal_SegEnds_Prot#'!A:AL,31,FALSE)</f>
        <v>39</v>
      </c>
    </row>
    <row r="129" spans="1:33" x14ac:dyDescent="0.2">
      <c r="A129" s="1" t="s">
        <v>530</v>
      </c>
      <c r="B129" s="1" t="str">
        <f>VLOOKUP(A129,Xtal_Templ!A:B,2,FALSE)</f>
        <v>oprk_human</v>
      </c>
      <c r="C129" s="5">
        <f>VLOOKUP($B129&amp;"__wt",'Xtal_SegEnds_BW#'!$A:$Z,3,FALSE)</f>
        <v>30</v>
      </c>
      <c r="D129" s="1">
        <f>VLOOKUP($B129&amp;"__wt",'Xtal_SegEnds_BW#'!$A:$Z,4,FALSE)</f>
        <v>60</v>
      </c>
      <c r="E129" s="1">
        <f>VLOOKUP($B129&amp;"__wt",'Xtal_SegEnds_BW#'!$A:$Z,5,FALSE)</f>
        <v>48</v>
      </c>
      <c r="F129" s="1">
        <f>VLOOKUP($B129&amp;"__wt",'Xtal_SegEnds_BW#'!$A:$Z,6,FALSE)</f>
        <v>51</v>
      </c>
      <c r="G129" s="1">
        <v>37</v>
      </c>
      <c r="H129" s="1">
        <v>66</v>
      </c>
      <c r="I129" s="1">
        <f>VLOOKUP($B129&amp;"__wt",'Xtal_SegEnds_BW#'!$A:$Z,9,FALSE)</f>
        <v>49</v>
      </c>
      <c r="J129" s="1">
        <f>VLOOKUP($B129&amp;"__wt",'Xtal_SegEnds_BW#'!$A:$Z,10,FALSE)</f>
        <v>52</v>
      </c>
      <c r="K129" s="1">
        <v>18</v>
      </c>
      <c r="L129" s="1">
        <f>VLOOKUP($B129&amp;"__wt",'Xtal_SegEnds_BW#'!$A:$Z,12,FALSE)</f>
        <v>56</v>
      </c>
      <c r="M129" s="1">
        <f>VLOOKUP($B129&amp;"__wt",'Xtal_SegEnds_BW#'!$A:$Z,13,FALSE)</f>
        <v>50</v>
      </c>
      <c r="N129" s="1">
        <v>57</v>
      </c>
      <c r="O129" s="1">
        <v>39</v>
      </c>
      <c r="P129" s="1">
        <f>VLOOKUP($B129&amp;"__wt",'Xtal_SegEnds_BW#'!$A:$Z,16,FALSE)</f>
        <v>64</v>
      </c>
      <c r="Q129" s="1">
        <f>VLOOKUP($B129&amp;"__wt",'Xtal_SegEnds_BW#'!$A:$Z,17,FALSE)</f>
        <v>50</v>
      </c>
      <c r="R129" s="1">
        <f>VLOOKUP($B129&amp;"__wt",'Xtal_SegEnds_BW#'!$A:$Z,18,FALSE)</f>
        <v>52</v>
      </c>
      <c r="S129" s="1">
        <f>VLOOKUP($B129&amp;"__wt",'Xtal_SegEnds_BW#'!$A:$Z,19,FALSE)</f>
        <v>31</v>
      </c>
      <c r="T129" s="23">
        <f t="array" ref="T129">INDEX('ICL3'!$G$2:$G$31,MATCH(MIN(ABS(AF129-'ICL3'!$F$2:$F$31)),ABS(AF129-'ICL3'!$F$2:$F$31),0))</f>
        <v>68</v>
      </c>
      <c r="U129" s="1">
        <f t="array" ref="U129">INDEX('ICL3'!$H$2:$H$31,MATCH(MIN(ABS(AF129-'ICL3'!$F$2:$F$31)),ABS(AF129-'ICL3'!$F$2:$F$31),0))</f>
        <v>23</v>
      </c>
      <c r="V129" s="1">
        <v>61</v>
      </c>
      <c r="W129" s="1">
        <v>28</v>
      </c>
      <c r="X129" s="1">
        <f>VLOOKUP($B129&amp;"__wt",'Xtal_SegEnds_BW#'!$A:$Z,24,FALSE)</f>
        <v>56</v>
      </c>
      <c r="Y129" s="1">
        <f>VLOOKUP($B129&amp;"__wt",'Xtal_SegEnds_BW#'!$A:$Z,25,FALSE)</f>
        <v>47</v>
      </c>
      <c r="Z129" s="1">
        <f>VLOOKUP($B129&amp;"__wt",'Xtal_SegEnds_BW#'!$A:$Z,26,FALSE)</f>
        <v>59</v>
      </c>
      <c r="AA129" s="63" t="str">
        <f>VLOOKUP(A129,Classification!A:B,2,FALSE)</f>
        <v>A</v>
      </c>
      <c r="AB129" s="1">
        <f>VLOOKUP(A129,'NonXtal_SegEnds_Prot#'!A:AL,10,FALSE)-VLOOKUP(A129,'NonXtal_SegEnds_Prot#'!A:AL,7,FALSE)</f>
        <v>15</v>
      </c>
      <c r="AC129" s="1">
        <f>VLOOKUP(A129,'NonXtal_SegEnds_Prot#'!A:AL,13,FALSE)-VLOOKUP(A129,'NonXtal_SegEnds_Prot#'!A:AL,10,FALSE)</f>
        <v>19</v>
      </c>
      <c r="AD129" s="1">
        <f>VLOOKUP(A129,'NonXtal_SegEnds_Prot#'!A:AL,16,FALSE)-VLOOKUP(A129,'NonXtal_SegEnds_Prot#'!A:AL,10,FALSE)</f>
        <v>51</v>
      </c>
      <c r="AE129" s="1">
        <f>VLOOKUP(A129,'NonXtal_SegEnds_Prot#'!A:AL,28,FALSE)-VLOOKUP(A129,'NonXtal_SegEnds_Prot#'!A:AL,25,FALSE)</f>
        <v>28</v>
      </c>
      <c r="AF129" s="1">
        <f>VLOOKUP(A129,'NonXtal_SegEnds_Prot#'!A:AL,31,FALSE)-VLOOKUP(A129,'NonXtal_SegEnds_Prot#'!A:AL,28,FALSE)</f>
        <v>51</v>
      </c>
      <c r="AG129" s="1">
        <f>VLOOKUP(A129,'NonXtal_SegEnds_Prot#'!A:AL,34,FALSE)-VLOOKUP(A129,'NonXtal_SegEnds_Prot#'!A:AL,31,FALSE)</f>
        <v>38</v>
      </c>
    </row>
    <row r="130" spans="1:33" x14ac:dyDescent="0.2">
      <c r="A130" s="1" t="s">
        <v>531</v>
      </c>
      <c r="B130" s="1" t="str">
        <f>VLOOKUP(A130,Xtal_Templ!A:B,2,FALSE)</f>
        <v>oprm_mouse</v>
      </c>
      <c r="C130" s="5">
        <f>VLOOKUP($B130&amp;"__wt",'Xtal_SegEnds_BW#'!$A:$Z,3,FALSE)</f>
        <v>29</v>
      </c>
      <c r="D130" s="1">
        <f>VLOOKUP($B130&amp;"__wt",'Xtal_SegEnds_BW#'!$A:$Z,4,FALSE)</f>
        <v>60</v>
      </c>
      <c r="E130" s="1">
        <f>VLOOKUP($B130&amp;"__wt",'Xtal_SegEnds_BW#'!$A:$Z,5,FALSE)</f>
        <v>48</v>
      </c>
      <c r="F130" s="1">
        <f>VLOOKUP($B130&amp;"__wt",'Xtal_SegEnds_BW#'!$A:$Z,6,FALSE)</f>
        <v>51</v>
      </c>
      <c r="G130" s="1">
        <v>37</v>
      </c>
      <c r="H130" s="1">
        <v>66</v>
      </c>
      <c r="I130" s="1">
        <f>VLOOKUP($B130&amp;"__wt",'Xtal_SegEnds_BW#'!$A:$Z,9,FALSE)</f>
        <v>49</v>
      </c>
      <c r="J130" s="1">
        <f>VLOOKUP($B130&amp;"__wt",'Xtal_SegEnds_BW#'!$A:$Z,10,FALSE)</f>
        <v>52</v>
      </c>
      <c r="K130" s="1">
        <v>18</v>
      </c>
      <c r="L130" s="1">
        <f>VLOOKUP($B130&amp;"__wt",'Xtal_SegEnds_BW#'!$A:$Z,12,FALSE)</f>
        <v>56</v>
      </c>
      <c r="M130" s="1">
        <f>VLOOKUP($B130&amp;"__wt",'Xtal_SegEnds_BW#'!$A:$Z,13,FALSE)</f>
        <v>50</v>
      </c>
      <c r="N130" s="1">
        <v>57</v>
      </c>
      <c r="O130" s="1">
        <v>39</v>
      </c>
      <c r="P130" s="1">
        <f>VLOOKUP($B130&amp;"__wt",'Xtal_SegEnds_BW#'!$A:$Z,16,FALSE)</f>
        <v>64</v>
      </c>
      <c r="Q130" s="1">
        <f>VLOOKUP($B130&amp;"__wt",'Xtal_SegEnds_BW#'!$A:$Z,17,FALSE)</f>
        <v>50</v>
      </c>
      <c r="R130" s="1">
        <f>VLOOKUP($B130&amp;"__wt",'Xtal_SegEnds_BW#'!$A:$Z,18,FALSE)</f>
        <v>52</v>
      </c>
      <c r="S130" s="1">
        <f>VLOOKUP($B130&amp;"__wt",'Xtal_SegEnds_BW#'!$A:$Z,19,FALSE)</f>
        <v>31</v>
      </c>
      <c r="T130" s="23">
        <f t="array" ref="T130">INDEX('ICL3'!$G$2:$G$31,MATCH(MIN(ABS(AF130-'ICL3'!$F$2:$F$31)),ABS(AF130-'ICL3'!$F$2:$F$31),0))</f>
        <v>68</v>
      </c>
      <c r="U130" s="1">
        <f t="array" ref="U130">INDEX('ICL3'!$H$2:$H$31,MATCH(MIN(ABS(AF130-'ICL3'!$F$2:$F$31)),ABS(AF130-'ICL3'!$F$2:$F$31),0))</f>
        <v>23</v>
      </c>
      <c r="V130" s="1">
        <v>61</v>
      </c>
      <c r="W130" s="1">
        <v>28</v>
      </c>
      <c r="X130" s="9">
        <f>VLOOKUP($B130&amp;"__wt",'Xtal_SegEnds_BW#'!$A:$Z,24,FALSE)</f>
        <v>56</v>
      </c>
      <c r="Y130" s="1">
        <f>VLOOKUP($B130&amp;"__wt",'Xtal_SegEnds_BW#'!$A:$Z,25,FALSE)</f>
        <v>47</v>
      </c>
      <c r="Z130" s="1">
        <f>VLOOKUP($B130&amp;"__wt",'Xtal_SegEnds_BW#'!$A:$Z,26,FALSE)</f>
        <v>59</v>
      </c>
      <c r="AA130" s="63" t="str">
        <f>VLOOKUP(A130,Classification!A:B,2,FALSE)</f>
        <v>A</v>
      </c>
      <c r="AB130" s="1">
        <f>VLOOKUP(A130,'NonXtal_SegEnds_Prot#'!A:AL,10,FALSE)-VLOOKUP(A130,'NonXtal_SegEnds_Prot#'!A:AL,7,FALSE)</f>
        <v>15</v>
      </c>
      <c r="AC130" s="1">
        <f>VLOOKUP(A130,'NonXtal_SegEnds_Prot#'!A:AL,13,FALSE)-VLOOKUP(A130,'NonXtal_SegEnds_Prot#'!A:AL,10,FALSE)</f>
        <v>19</v>
      </c>
      <c r="AD130" s="1">
        <f>VLOOKUP(A130,'NonXtal_SegEnds_Prot#'!A:AL,16,FALSE)-VLOOKUP(A130,'NonXtal_SegEnds_Prot#'!A:AL,10,FALSE)</f>
        <v>51</v>
      </c>
      <c r="AE130" s="1">
        <f>VLOOKUP(A130,'NonXtal_SegEnds_Prot#'!A:AL,28,FALSE)-VLOOKUP(A130,'NonXtal_SegEnds_Prot#'!A:AL,25,FALSE)</f>
        <v>27</v>
      </c>
      <c r="AF130" s="1">
        <f>VLOOKUP(A130,'NonXtal_SegEnds_Prot#'!A:AL,31,FALSE)-VLOOKUP(A130,'NonXtal_SegEnds_Prot#'!A:AL,28,FALSE)</f>
        <v>51</v>
      </c>
      <c r="AG130" s="1">
        <f>VLOOKUP(A130,'NonXtal_SegEnds_Prot#'!A:AL,34,FALSE)-VLOOKUP(A130,'NonXtal_SegEnds_Prot#'!A:AL,31,FALSE)</f>
        <v>38</v>
      </c>
    </row>
    <row r="131" spans="1:33" x14ac:dyDescent="0.2">
      <c r="A131" s="1" t="s">
        <v>1114</v>
      </c>
      <c r="B131" s="1" t="str">
        <f>VLOOKUP(A131,Xtal_Templ!A:B,2,FALSE)</f>
        <v>oprm_mouse</v>
      </c>
      <c r="C131" s="5">
        <f>VLOOKUP($B131&amp;"__wt",'Xtal_SegEnds_BW#'!$A:$Z,3,FALSE)</f>
        <v>29</v>
      </c>
      <c r="D131" s="1">
        <f>VLOOKUP($B131&amp;"__wt",'Xtal_SegEnds_BW#'!$A:$Z,4,FALSE)</f>
        <v>60</v>
      </c>
      <c r="E131" s="1">
        <f>VLOOKUP($B131&amp;"__wt",'Xtal_SegEnds_BW#'!$A:$Z,5,FALSE)</f>
        <v>48</v>
      </c>
      <c r="F131" s="1">
        <f>VLOOKUP($B131&amp;"__wt",'Xtal_SegEnds_BW#'!$A:$Z,6,FALSE)</f>
        <v>51</v>
      </c>
      <c r="G131" s="1">
        <v>37</v>
      </c>
      <c r="H131" s="1">
        <v>66</v>
      </c>
      <c r="I131" s="1">
        <f>VLOOKUP($B131&amp;"__wt",'Xtal_SegEnds_BW#'!$A:$Z,9,FALSE)</f>
        <v>49</v>
      </c>
      <c r="J131" s="1">
        <f>VLOOKUP($B131&amp;"__wt",'Xtal_SegEnds_BW#'!$A:$Z,10,FALSE)</f>
        <v>52</v>
      </c>
      <c r="K131" s="1">
        <v>18</v>
      </c>
      <c r="L131" s="1">
        <f>VLOOKUP($B131&amp;"__wt",'Xtal_SegEnds_BW#'!$A:$Z,12,FALSE)</f>
        <v>56</v>
      </c>
      <c r="M131" s="1">
        <f>VLOOKUP($B131&amp;"__wt",'Xtal_SegEnds_BW#'!$A:$Z,13,FALSE)</f>
        <v>50</v>
      </c>
      <c r="N131" s="1">
        <v>57</v>
      </c>
      <c r="O131" s="1">
        <v>39</v>
      </c>
      <c r="P131" s="1">
        <f>VLOOKUP($B131&amp;"__wt",'Xtal_SegEnds_BW#'!$A:$Z,16,FALSE)</f>
        <v>64</v>
      </c>
      <c r="Q131" s="1">
        <f>VLOOKUP($B131&amp;"__wt",'Xtal_SegEnds_BW#'!$A:$Z,17,FALSE)</f>
        <v>50</v>
      </c>
      <c r="R131" s="1">
        <f>VLOOKUP($B131&amp;"__wt",'Xtal_SegEnds_BW#'!$A:$Z,18,FALSE)</f>
        <v>52</v>
      </c>
      <c r="S131" s="1">
        <f>VLOOKUP($B131&amp;"__wt",'Xtal_SegEnds_BW#'!$A:$Z,19,FALSE)</f>
        <v>31</v>
      </c>
      <c r="T131" s="23">
        <f t="array" ref="T131">INDEX('ICL3'!$G$2:$G$31,MATCH(MIN(ABS(AF131-'ICL3'!$F$2:$F$31)),ABS(AF131-'ICL3'!$F$2:$F$31),0))</f>
        <v>68</v>
      </c>
      <c r="U131" s="1">
        <f t="array" ref="U131">INDEX('ICL3'!$H$2:$H$31,MATCH(MIN(ABS(AF131-'ICL3'!$F$2:$F$31)),ABS(AF131-'ICL3'!$F$2:$F$31),0))</f>
        <v>23</v>
      </c>
      <c r="V131" s="1">
        <v>61</v>
      </c>
      <c r="W131" s="1">
        <v>28</v>
      </c>
      <c r="X131" s="1">
        <f>VLOOKUP($B131&amp;"__wt",'Xtal_SegEnds_BW#'!$A:$Z,24,FALSE)</f>
        <v>56</v>
      </c>
      <c r="Y131" s="1">
        <f>VLOOKUP($B131&amp;"__wt",'Xtal_SegEnds_BW#'!$A:$Z,25,FALSE)</f>
        <v>47</v>
      </c>
      <c r="Z131" s="1">
        <f>VLOOKUP($B131&amp;"__wt",'Xtal_SegEnds_BW#'!$A:$Z,26,FALSE)</f>
        <v>59</v>
      </c>
      <c r="AA131" s="63" t="str">
        <f>VLOOKUP(A131,Classification!A:B,2,FALSE)</f>
        <v>A</v>
      </c>
      <c r="AB131" s="1">
        <f>VLOOKUP(A131,'NonXtal_SegEnds_Prot#'!A:AL,10,FALSE)-VLOOKUP(A131,'NonXtal_SegEnds_Prot#'!A:AL,7,FALSE)</f>
        <v>15</v>
      </c>
      <c r="AC131" s="1">
        <f>VLOOKUP(A131,'NonXtal_SegEnds_Prot#'!A:AL,13,FALSE)-VLOOKUP(A131,'NonXtal_SegEnds_Prot#'!A:AL,10,FALSE)</f>
        <v>19</v>
      </c>
      <c r="AD131" s="1">
        <f>VLOOKUP(A131,'NonXtal_SegEnds_Prot#'!A:AL,16,FALSE)-VLOOKUP(A131,'NonXtal_SegEnds_Prot#'!A:AL,10,FALSE)</f>
        <v>51</v>
      </c>
      <c r="AE131" s="1">
        <f>VLOOKUP(A131,'NonXtal_SegEnds_Prot#'!A:AL,28,FALSE)-VLOOKUP(A131,'NonXtal_SegEnds_Prot#'!A:AL,25,FALSE)</f>
        <v>27</v>
      </c>
      <c r="AF131" s="1">
        <f>VLOOKUP(A131,'NonXtal_SegEnds_Prot#'!A:AL,31,FALSE)-VLOOKUP(A131,'NonXtal_SegEnds_Prot#'!A:AL,28,FALSE)</f>
        <v>51</v>
      </c>
      <c r="AG131" s="1">
        <f>VLOOKUP(A131,'NonXtal_SegEnds_Prot#'!A:AL,34,FALSE)-VLOOKUP(A131,'NonXtal_SegEnds_Prot#'!A:AL,31,FALSE)</f>
        <v>38</v>
      </c>
    </row>
    <row r="132" spans="1:33" x14ac:dyDescent="0.2">
      <c r="A132" s="1" t="s">
        <v>1393</v>
      </c>
      <c r="B132" s="1" t="str">
        <f>VLOOKUP(A132,Xtal_Templ!A:B,2,FALSE)</f>
        <v>oprx_human</v>
      </c>
      <c r="C132" s="5">
        <f>VLOOKUP($B132&amp;"__wt",'Xtal_SegEnds_BW#'!$A:$Z,3,FALSE)</f>
        <v>29</v>
      </c>
      <c r="D132" s="1">
        <f>VLOOKUP($B132&amp;"__wt",'Xtal_SegEnds_BW#'!$A:$Z,4,FALSE)</f>
        <v>60</v>
      </c>
      <c r="E132" s="1">
        <f>VLOOKUP($B132&amp;"__wt",'Xtal_SegEnds_BW#'!$A:$Z,5,FALSE)</f>
        <v>48</v>
      </c>
      <c r="F132" s="1">
        <f>VLOOKUP($B132&amp;"__wt",'Xtal_SegEnds_BW#'!$A:$Z,6,FALSE)</f>
        <v>51</v>
      </c>
      <c r="G132" s="1">
        <v>37</v>
      </c>
      <c r="H132" s="1">
        <v>66</v>
      </c>
      <c r="I132" s="1">
        <f>VLOOKUP($B132&amp;"__wt",'Xtal_SegEnds_BW#'!$A:$Z,9,FALSE)</f>
        <v>49</v>
      </c>
      <c r="J132" s="1">
        <f>VLOOKUP($B132&amp;"__wt",'Xtal_SegEnds_BW#'!$A:$Z,10,FALSE)</f>
        <v>52</v>
      </c>
      <c r="K132" s="1">
        <v>18</v>
      </c>
      <c r="L132" s="1">
        <f>VLOOKUP($B132&amp;"__wt",'Xtal_SegEnds_BW#'!$A:$Z,12,FALSE)</f>
        <v>56</v>
      </c>
      <c r="M132" s="1">
        <f>VLOOKUP($B132&amp;"__wt",'Xtal_SegEnds_BW#'!$A:$Z,13,FALSE)</f>
        <v>50</v>
      </c>
      <c r="N132" s="1">
        <v>57</v>
      </c>
      <c r="O132" s="1">
        <v>39</v>
      </c>
      <c r="P132" s="1">
        <f>VLOOKUP($B132&amp;"__wt",'Xtal_SegEnds_BW#'!$A:$Z,16,FALSE)</f>
        <v>64</v>
      </c>
      <c r="Q132" s="1">
        <f>VLOOKUP($B132&amp;"__wt",'Xtal_SegEnds_BW#'!$A:$Z,17,FALSE)</f>
        <v>50</v>
      </c>
      <c r="R132" s="1">
        <f>VLOOKUP($B132&amp;"__wt",'Xtal_SegEnds_BW#'!$A:$Z,18,FALSE)</f>
        <v>52</v>
      </c>
      <c r="S132" s="1">
        <f>VLOOKUP($B132&amp;"__wt",'Xtal_SegEnds_BW#'!$A:$Z,19,FALSE)</f>
        <v>31</v>
      </c>
      <c r="T132" s="23">
        <f t="array" ref="T132">INDEX('ICL3'!$G$2:$G$31,MATCH(MIN(ABS(AF132-'ICL3'!$F$2:$F$31)),ABS(AF132-'ICL3'!$F$2:$F$31),0))</f>
        <v>68</v>
      </c>
      <c r="U132" s="1">
        <f t="array" ref="U132">INDEX('ICL3'!$H$2:$H$31,MATCH(MIN(ABS(AF132-'ICL3'!$F$2:$F$31)),ABS(AF132-'ICL3'!$F$2:$F$31),0))</f>
        <v>23</v>
      </c>
      <c r="V132" s="1">
        <v>61</v>
      </c>
      <c r="W132" s="1">
        <v>28</v>
      </c>
      <c r="X132" s="9">
        <f>VLOOKUP($B132&amp;"__wt",'Xtal_SegEnds_BW#'!$A:$Z,24,FALSE)</f>
        <v>56</v>
      </c>
      <c r="Y132" s="1">
        <f>VLOOKUP($B132&amp;"__wt",'Xtal_SegEnds_BW#'!$A:$Z,25,FALSE)</f>
        <v>47</v>
      </c>
      <c r="Z132" s="1">
        <f>VLOOKUP($B132&amp;"__wt",'Xtal_SegEnds_BW#'!$A:$Z,26,FALSE)</f>
        <v>59</v>
      </c>
      <c r="AA132" s="63" t="str">
        <f>VLOOKUP(A132,Classification!A:B,2,FALSE)</f>
        <v>A</v>
      </c>
      <c r="AB132" s="1">
        <f>VLOOKUP(A132,'NonXtal_SegEnds_Prot#'!A:AL,10,FALSE)-VLOOKUP(A132,'NonXtal_SegEnds_Prot#'!A:AL,7,FALSE)</f>
        <v>15</v>
      </c>
      <c r="AC132" s="1">
        <f>VLOOKUP(A132,'NonXtal_SegEnds_Prot#'!A:AL,13,FALSE)-VLOOKUP(A132,'NonXtal_SegEnds_Prot#'!A:AL,10,FALSE)</f>
        <v>19</v>
      </c>
      <c r="AD132" s="1">
        <f>VLOOKUP(A132,'NonXtal_SegEnds_Prot#'!A:AL,16,FALSE)-VLOOKUP(A132,'NonXtal_SegEnds_Prot#'!A:AL,10,FALSE)</f>
        <v>51</v>
      </c>
      <c r="AE132" s="1">
        <f>VLOOKUP(A132,'NonXtal_SegEnds_Prot#'!A:AL,28,FALSE)-VLOOKUP(A132,'NonXtal_SegEnds_Prot#'!A:AL,25,FALSE)</f>
        <v>27</v>
      </c>
      <c r="AF132" s="1">
        <f>VLOOKUP(A132,'NonXtal_SegEnds_Prot#'!A:AL,31,FALSE)-VLOOKUP(A132,'NonXtal_SegEnds_Prot#'!A:AL,28,FALSE)</f>
        <v>51</v>
      </c>
      <c r="AG132" s="1">
        <f>VLOOKUP(A132,'NonXtal_SegEnds_Prot#'!A:AL,34,FALSE)-VLOOKUP(A132,'NonXtal_SegEnds_Prot#'!A:AL,31,FALSE)</f>
        <v>38</v>
      </c>
    </row>
    <row r="133" spans="1:33" x14ac:dyDescent="0.2">
      <c r="A133" s="1" t="s">
        <v>572</v>
      </c>
      <c r="B133" s="1" t="str">
        <f>VLOOKUP(A133,Xtal_Templ!A:B,2,FALSE)</f>
        <v>s1pr1_human</v>
      </c>
      <c r="C133" s="5">
        <f>VLOOKUP($B133&amp;"__wt",'Xtal_SegEnds_BW#'!$A:$Z,3,FALSE)</f>
        <v>29</v>
      </c>
      <c r="D133" s="1">
        <f>VLOOKUP($B133&amp;"__wt",'Xtal_SegEnds_BW#'!$A:$Z,4,FALSE)</f>
        <v>60</v>
      </c>
      <c r="E133" s="1">
        <f>VLOOKUP($B133&amp;"__wt",'Xtal_SegEnds_BW#'!$A:$Z,5,FALSE)</f>
        <v>48</v>
      </c>
      <c r="F133" s="1">
        <f>VLOOKUP($B133&amp;"__wt",'Xtal_SegEnds_BW#'!$A:$Z,6,FALSE)</f>
        <v>51</v>
      </c>
      <c r="G133" s="1">
        <v>37</v>
      </c>
      <c r="H133" s="1">
        <v>63</v>
      </c>
      <c r="I133" s="1">
        <f>VLOOKUP($B133&amp;"__wt",'Xtal_SegEnds_BW#'!$A:$Z,9,FALSE)</f>
        <v>47</v>
      </c>
      <c r="J133" s="1">
        <f>VLOOKUP($B133&amp;"__wt",'Xtal_SegEnds_BW#'!$A:$Z,10,FALSE)</f>
        <v>53</v>
      </c>
      <c r="K133" s="1">
        <v>18</v>
      </c>
      <c r="L133" s="1">
        <f>VLOOKUP($B133&amp;"__wt",'Xtal_SegEnds_BW#'!$A:$Z,12,FALSE)</f>
        <v>56</v>
      </c>
      <c r="M133" s="1">
        <f>VLOOKUP($B133&amp;"__wt",'Xtal_SegEnds_BW#'!$A:$Z,13,FALSE)</f>
        <v>50</v>
      </c>
      <c r="N133" s="1">
        <v>57</v>
      </c>
      <c r="O133" s="1">
        <v>39</v>
      </c>
      <c r="P133" s="1">
        <f>VLOOKUP($B133&amp;"__wt",'Xtal_SegEnds_BW#'!$A:$Z,16,FALSE)</f>
        <v>63</v>
      </c>
      <c r="Q133" s="1" t="str">
        <f>VLOOKUP($B133&amp;"__wt",'Xtal_SegEnds_BW#'!$A:$Z,17,FALSE)</f>
        <v>-</v>
      </c>
      <c r="R133" s="1" t="str">
        <f>VLOOKUP($B133&amp;"__wt",'Xtal_SegEnds_BW#'!$A:$Z,18,FALSE)</f>
        <v>-</v>
      </c>
      <c r="S133" s="1">
        <f>VLOOKUP($B133&amp;"__wt",'Xtal_SegEnds_BW#'!$A:$Z,19,FALSE)</f>
        <v>36</v>
      </c>
      <c r="T133" s="23">
        <f t="array" ref="T133">INDEX('ICL3'!$G$2:$G$31,MATCH(MIN(ABS(AF133-'ICL3'!$F$2:$F$31)),ABS(AF133-'ICL3'!$F$2:$F$31),0))</f>
        <v>68</v>
      </c>
      <c r="U133" s="1">
        <f t="array" ref="U133">INDEX('ICL3'!$H$2:$H$31,MATCH(MIN(ABS(AF133-'ICL3'!$F$2:$F$31)),ABS(AF133-'ICL3'!$F$2:$F$31),0))</f>
        <v>23</v>
      </c>
      <c r="V133" s="1">
        <v>61</v>
      </c>
      <c r="W133" s="1">
        <v>30</v>
      </c>
      <c r="X133" s="1">
        <f>VLOOKUP($B133&amp;"__wt",'Xtal_SegEnds_BW#'!$A:$Z,24,FALSE)</f>
        <v>56</v>
      </c>
      <c r="Y133" s="1">
        <f>VLOOKUP($B133&amp;"__wt",'Xtal_SegEnds_BW#'!$A:$Z,25,FALSE)</f>
        <v>47</v>
      </c>
      <c r="Z133" s="1">
        <f>VLOOKUP($B133&amp;"__wt",'Xtal_SegEnds_BW#'!$A:$Z,26,FALSE)</f>
        <v>59</v>
      </c>
      <c r="AA133" s="63" t="str">
        <f>VLOOKUP(A133,Classification!A:B,2,FALSE)</f>
        <v>A</v>
      </c>
      <c r="AB133" s="1">
        <f>VLOOKUP(A133,'NonXtal_SegEnds_Prot#'!A:AL,10,FALSE)-VLOOKUP(A133,'NonXtal_SegEnds_Prot#'!A:AL,7,FALSE)</f>
        <v>15</v>
      </c>
      <c r="AC133" s="1">
        <f>VLOOKUP(A133,'NonXtal_SegEnds_Prot#'!A:AL,13,FALSE)-VLOOKUP(A133,'NonXtal_SegEnds_Prot#'!A:AL,10,FALSE)</f>
        <v>18</v>
      </c>
      <c r="AD133" s="1">
        <f>VLOOKUP(A133,'NonXtal_SegEnds_Prot#'!A:AL,16,FALSE)-VLOOKUP(A133,'NonXtal_SegEnds_Prot#'!A:AL,10,FALSE)</f>
        <v>51</v>
      </c>
      <c r="AE133" s="1" t="e">
        <f>VLOOKUP(A133,'NonXtal_SegEnds_Prot#'!A:AL,28,FALSE)-VLOOKUP(A133,'NonXtal_SegEnds_Prot#'!A:AL,25,FALSE)</f>
        <v>#VALUE!</v>
      </c>
      <c r="AF133" s="1">
        <f>VLOOKUP(A133,'NonXtal_SegEnds_Prot#'!A:AL,31,FALSE)-VLOOKUP(A133,'NonXtal_SegEnds_Prot#'!A:AL,28,FALSE)</f>
        <v>51</v>
      </c>
      <c r="AG133" s="1">
        <f>VLOOKUP(A133,'NonXtal_SegEnds_Prot#'!A:AL,34,FALSE)-VLOOKUP(A133,'NonXtal_SegEnds_Prot#'!A:AL,31,FALSE)</f>
        <v>37</v>
      </c>
    </row>
    <row r="134" spans="1:33" x14ac:dyDescent="0.2">
      <c r="A134" s="1" t="s">
        <v>573</v>
      </c>
      <c r="B134" s="1" t="str">
        <f>VLOOKUP(A134,Xtal_Templ!A:B,2,FALSE)</f>
        <v>s1pr1_human</v>
      </c>
      <c r="C134" s="5">
        <f>VLOOKUP($B134&amp;"__wt",'Xtal_SegEnds_BW#'!$A:$Z,3,FALSE)</f>
        <v>29</v>
      </c>
      <c r="D134" s="1">
        <f>VLOOKUP($B134&amp;"__wt",'Xtal_SegEnds_BW#'!$A:$Z,4,FALSE)</f>
        <v>60</v>
      </c>
      <c r="E134" s="1">
        <f>VLOOKUP($B134&amp;"__wt",'Xtal_SegEnds_BW#'!$A:$Z,5,FALSE)</f>
        <v>48</v>
      </c>
      <c r="F134" s="1">
        <f>VLOOKUP($B134&amp;"__wt",'Xtal_SegEnds_BW#'!$A:$Z,6,FALSE)</f>
        <v>51</v>
      </c>
      <c r="G134" s="1">
        <v>37</v>
      </c>
      <c r="H134" s="1">
        <v>63</v>
      </c>
      <c r="I134" s="1">
        <f>VLOOKUP($B134&amp;"__wt",'Xtal_SegEnds_BW#'!$A:$Z,9,FALSE)</f>
        <v>47</v>
      </c>
      <c r="J134" s="1">
        <f>VLOOKUP($B134&amp;"__wt",'Xtal_SegEnds_BW#'!$A:$Z,10,FALSE)</f>
        <v>53</v>
      </c>
      <c r="K134" s="1">
        <v>18</v>
      </c>
      <c r="L134" s="1">
        <f>VLOOKUP($B134&amp;"__wt",'Xtal_SegEnds_BW#'!$A:$Z,12,FALSE)</f>
        <v>56</v>
      </c>
      <c r="M134" s="1">
        <f>VLOOKUP($B134&amp;"__wt",'Xtal_SegEnds_BW#'!$A:$Z,13,FALSE)</f>
        <v>50</v>
      </c>
      <c r="N134" s="1">
        <v>57</v>
      </c>
      <c r="O134" s="1">
        <v>39</v>
      </c>
      <c r="P134" s="1">
        <f>VLOOKUP($B134&amp;"__wt",'Xtal_SegEnds_BW#'!$A:$Z,16,FALSE)</f>
        <v>63</v>
      </c>
      <c r="Q134" s="1" t="str">
        <f>VLOOKUP($B134&amp;"__wt",'Xtal_SegEnds_BW#'!$A:$Z,17,FALSE)</f>
        <v>-</v>
      </c>
      <c r="R134" s="1" t="str">
        <f>VLOOKUP($B134&amp;"__wt",'Xtal_SegEnds_BW#'!$A:$Z,18,FALSE)</f>
        <v>-</v>
      </c>
      <c r="S134" s="1">
        <f>VLOOKUP($B134&amp;"__wt",'Xtal_SegEnds_BW#'!$A:$Z,19,FALSE)</f>
        <v>36</v>
      </c>
      <c r="T134" s="23">
        <f t="array" ref="T134">INDEX('ICL3'!$G$2:$G$31,MATCH(MIN(ABS(AF134-'ICL3'!$F$2:$F$31)),ABS(AF134-'ICL3'!$F$2:$F$31),0))</f>
        <v>68</v>
      </c>
      <c r="U134" s="1">
        <f t="array" ref="U134">INDEX('ICL3'!$H$2:$H$31,MATCH(MIN(ABS(AF134-'ICL3'!$F$2:$F$31)),ABS(AF134-'ICL3'!$F$2:$F$31),0))</f>
        <v>23</v>
      </c>
      <c r="V134" s="1">
        <v>61</v>
      </c>
      <c r="W134" s="1">
        <v>30</v>
      </c>
      <c r="X134" s="1">
        <f>VLOOKUP($B134&amp;"__wt",'Xtal_SegEnds_BW#'!$A:$Z,24,FALSE)</f>
        <v>56</v>
      </c>
      <c r="Y134" s="1">
        <f>VLOOKUP($B134&amp;"__wt",'Xtal_SegEnds_BW#'!$A:$Z,25,FALSE)</f>
        <v>47</v>
      </c>
      <c r="Z134" s="1">
        <f>VLOOKUP($B134&amp;"__wt",'Xtal_SegEnds_BW#'!$A:$Z,26,FALSE)</f>
        <v>59</v>
      </c>
      <c r="AA134" s="63" t="str">
        <f>VLOOKUP(A134,Classification!A:B,2,FALSE)</f>
        <v>A</v>
      </c>
      <c r="AB134" s="1">
        <f>VLOOKUP(A134,'NonXtal_SegEnds_Prot#'!A:AL,10,FALSE)-VLOOKUP(A134,'NonXtal_SegEnds_Prot#'!A:AL,7,FALSE)</f>
        <v>15</v>
      </c>
      <c r="AC134" s="1">
        <f>VLOOKUP(A134,'NonXtal_SegEnds_Prot#'!A:AL,13,FALSE)-VLOOKUP(A134,'NonXtal_SegEnds_Prot#'!A:AL,10,FALSE)</f>
        <v>18</v>
      </c>
      <c r="AD134" s="1">
        <f>VLOOKUP(A134,'NonXtal_SegEnds_Prot#'!A:AL,16,FALSE)-VLOOKUP(A134,'NonXtal_SegEnds_Prot#'!A:AL,10,FALSE)</f>
        <v>51</v>
      </c>
      <c r="AE134" s="1" t="e">
        <f>VLOOKUP(A134,'NonXtal_SegEnds_Prot#'!A:AL,28,FALSE)-VLOOKUP(A134,'NonXtal_SegEnds_Prot#'!A:AL,25,FALSE)</f>
        <v>#VALUE!</v>
      </c>
      <c r="AF134" s="1">
        <f>VLOOKUP(A134,'NonXtal_SegEnds_Prot#'!A:AL,31,FALSE)-VLOOKUP(A134,'NonXtal_SegEnds_Prot#'!A:AL,28,FALSE)</f>
        <v>51</v>
      </c>
      <c r="AG134" s="1">
        <f>VLOOKUP(A134,'NonXtal_SegEnds_Prot#'!A:AL,34,FALSE)-VLOOKUP(A134,'NonXtal_SegEnds_Prot#'!A:AL,31,FALSE)</f>
        <v>38</v>
      </c>
    </row>
    <row r="135" spans="1:33" x14ac:dyDescent="0.2">
      <c r="A135" s="1" t="s">
        <v>575</v>
      </c>
      <c r="B135" s="1" t="str">
        <f>VLOOKUP(A135,Xtal_Templ!A:B,2,FALSE)</f>
        <v>oprm_mouse</v>
      </c>
      <c r="C135" s="5">
        <f>VLOOKUP($B135&amp;"__wt",'Xtal_SegEnds_BW#'!$A:$Z,3,FALSE)</f>
        <v>29</v>
      </c>
      <c r="D135" s="1">
        <f>VLOOKUP($B135&amp;"__wt",'Xtal_SegEnds_BW#'!$A:$Z,4,FALSE)</f>
        <v>60</v>
      </c>
      <c r="E135" s="1">
        <f>VLOOKUP($B135&amp;"__wt",'Xtal_SegEnds_BW#'!$A:$Z,5,FALSE)</f>
        <v>48</v>
      </c>
      <c r="F135" s="1">
        <f>VLOOKUP($B135&amp;"__wt",'Xtal_SegEnds_BW#'!$A:$Z,6,FALSE)</f>
        <v>51</v>
      </c>
      <c r="G135" s="1">
        <v>37</v>
      </c>
      <c r="H135" s="1">
        <v>66</v>
      </c>
      <c r="I135" s="1">
        <f>VLOOKUP($B135&amp;"__wt",'Xtal_SegEnds_BW#'!$A:$Z,9,FALSE)</f>
        <v>49</v>
      </c>
      <c r="J135" s="1">
        <f>VLOOKUP($B135&amp;"__wt",'Xtal_SegEnds_BW#'!$A:$Z,10,FALSE)</f>
        <v>52</v>
      </c>
      <c r="K135" s="1">
        <v>18</v>
      </c>
      <c r="L135" s="1">
        <f>VLOOKUP($B135&amp;"__wt",'Xtal_SegEnds_BW#'!$A:$Z,12,FALSE)</f>
        <v>56</v>
      </c>
      <c r="M135" s="1">
        <f>VLOOKUP($B135&amp;"__wt",'Xtal_SegEnds_BW#'!$A:$Z,13,FALSE)</f>
        <v>50</v>
      </c>
      <c r="N135" s="1">
        <v>57</v>
      </c>
      <c r="O135" s="1">
        <v>39</v>
      </c>
      <c r="P135" s="1">
        <f>VLOOKUP($B135&amp;"__wt",'Xtal_SegEnds_BW#'!$A:$Z,16,FALSE)</f>
        <v>64</v>
      </c>
      <c r="Q135" s="1">
        <f>VLOOKUP($B135&amp;"__wt",'Xtal_SegEnds_BW#'!$A:$Z,17,FALSE)</f>
        <v>50</v>
      </c>
      <c r="R135" s="1">
        <f>VLOOKUP($B135&amp;"__wt",'Xtal_SegEnds_BW#'!$A:$Z,18,FALSE)</f>
        <v>52</v>
      </c>
      <c r="S135" s="1">
        <f>VLOOKUP($B135&amp;"__wt",'Xtal_SegEnds_BW#'!$A:$Z,19,FALSE)</f>
        <v>31</v>
      </c>
      <c r="T135" s="23">
        <f t="array" ref="T135">INDEX('ICL3'!$G$2:$G$31,MATCH(MIN(ABS(AF135-'ICL3'!$F$2:$F$31)),ABS(AF135-'ICL3'!$F$2:$F$31),0))</f>
        <v>68</v>
      </c>
      <c r="U135" s="1">
        <f t="array" ref="U135">INDEX('ICL3'!$H$2:$H$31,MATCH(MIN(ABS(AF135-'ICL3'!$F$2:$F$31)),ABS(AF135-'ICL3'!$F$2:$F$31),0))</f>
        <v>23</v>
      </c>
      <c r="V135" s="1">
        <v>61</v>
      </c>
      <c r="W135" s="1">
        <v>32</v>
      </c>
      <c r="X135" s="1">
        <f>VLOOKUP($B135&amp;"__wt",'Xtal_SegEnds_BW#'!$A:$Z,24,FALSE)</f>
        <v>56</v>
      </c>
      <c r="Y135" s="1">
        <f>VLOOKUP($B135&amp;"__wt",'Xtal_SegEnds_BW#'!$A:$Z,25,FALSE)</f>
        <v>47</v>
      </c>
      <c r="Z135" s="1">
        <f>VLOOKUP($B135&amp;"__wt",'Xtal_SegEnds_BW#'!$A:$Z,26,FALSE)</f>
        <v>59</v>
      </c>
      <c r="AA135" s="63" t="str">
        <f>VLOOKUP(A135,Classification!A:B,2,FALSE)</f>
        <v>A</v>
      </c>
      <c r="AB135" s="1">
        <f>VLOOKUP(A135,'NonXtal_SegEnds_Prot#'!A:AL,10,FALSE)-VLOOKUP(A135,'NonXtal_SegEnds_Prot#'!A:AL,7,FALSE)</f>
        <v>15</v>
      </c>
      <c r="AC135" s="1">
        <f>VLOOKUP(A135,'NonXtal_SegEnds_Prot#'!A:AL,13,FALSE)-VLOOKUP(A135,'NonXtal_SegEnds_Prot#'!A:AL,10,FALSE)</f>
        <v>19</v>
      </c>
      <c r="AD135" s="1">
        <f>VLOOKUP(A135,'NonXtal_SegEnds_Prot#'!A:AL,16,FALSE)-VLOOKUP(A135,'NonXtal_SegEnds_Prot#'!A:AL,10,FALSE)</f>
        <v>51</v>
      </c>
      <c r="AE135" s="1">
        <f>VLOOKUP(A135,'NonXtal_SegEnds_Prot#'!A:AL,28,FALSE)-VLOOKUP(A135,'NonXtal_SegEnds_Prot#'!A:AL,25,FALSE)</f>
        <v>27</v>
      </c>
      <c r="AF135" s="1">
        <f>VLOOKUP(A135,'NonXtal_SegEnds_Prot#'!A:AL,31,FALSE)-VLOOKUP(A135,'NonXtal_SegEnds_Prot#'!A:AL,28,FALSE)</f>
        <v>51</v>
      </c>
      <c r="AG135" s="1">
        <f>VLOOKUP(A135,'NonXtal_SegEnds_Prot#'!A:AL,34,FALSE)-VLOOKUP(A135,'NonXtal_SegEnds_Prot#'!A:AL,31,FALSE)</f>
        <v>34</v>
      </c>
    </row>
    <row r="136" spans="1:33" x14ac:dyDescent="0.2">
      <c r="A136" s="1" t="s">
        <v>576</v>
      </c>
      <c r="B136" s="1" t="str">
        <f>VLOOKUP(A136,Xtal_Templ!A:B,2,FALSE)</f>
        <v>oprm_mouse</v>
      </c>
      <c r="C136" s="5">
        <f>VLOOKUP($B136&amp;"__wt",'Xtal_SegEnds_BW#'!$A:$Z,3,FALSE)</f>
        <v>29</v>
      </c>
      <c r="D136" s="1">
        <f>VLOOKUP($B136&amp;"__wt",'Xtal_SegEnds_BW#'!$A:$Z,4,FALSE)</f>
        <v>60</v>
      </c>
      <c r="E136" s="1">
        <f>VLOOKUP($B136&amp;"__wt",'Xtal_SegEnds_BW#'!$A:$Z,5,FALSE)</f>
        <v>48</v>
      </c>
      <c r="F136" s="1">
        <f>VLOOKUP($B136&amp;"__wt",'Xtal_SegEnds_BW#'!$A:$Z,6,FALSE)</f>
        <v>51</v>
      </c>
      <c r="G136" s="1">
        <v>37</v>
      </c>
      <c r="H136" s="1">
        <v>66</v>
      </c>
      <c r="I136" s="1">
        <f>VLOOKUP($B136&amp;"__wt",'Xtal_SegEnds_BW#'!$A:$Z,9,FALSE)</f>
        <v>49</v>
      </c>
      <c r="J136" s="1">
        <f>VLOOKUP($B136&amp;"__wt",'Xtal_SegEnds_BW#'!$A:$Z,10,FALSE)</f>
        <v>52</v>
      </c>
      <c r="K136" s="1">
        <v>18</v>
      </c>
      <c r="L136" s="1">
        <f>VLOOKUP($B136&amp;"__wt",'Xtal_SegEnds_BW#'!$A:$Z,12,FALSE)</f>
        <v>56</v>
      </c>
      <c r="M136" s="1">
        <f>VLOOKUP($B136&amp;"__wt",'Xtal_SegEnds_BW#'!$A:$Z,13,FALSE)</f>
        <v>50</v>
      </c>
      <c r="N136" s="1">
        <v>57</v>
      </c>
      <c r="O136" s="1">
        <v>39</v>
      </c>
      <c r="P136" s="1">
        <f>VLOOKUP($B136&amp;"__wt",'Xtal_SegEnds_BW#'!$A:$Z,16,FALSE)</f>
        <v>64</v>
      </c>
      <c r="Q136" s="1">
        <f>VLOOKUP($B136&amp;"__wt",'Xtal_SegEnds_BW#'!$A:$Z,17,FALSE)</f>
        <v>50</v>
      </c>
      <c r="R136" s="1">
        <f>VLOOKUP($B136&amp;"__wt",'Xtal_SegEnds_BW#'!$A:$Z,18,FALSE)</f>
        <v>52</v>
      </c>
      <c r="S136" s="1">
        <f>VLOOKUP($B136&amp;"__wt",'Xtal_SegEnds_BW#'!$A:$Z,19,FALSE)</f>
        <v>31</v>
      </c>
      <c r="T136" s="23">
        <f t="array" ref="T136">INDEX('ICL3'!$G$2:$G$31,MATCH(MIN(ABS(AF136-'ICL3'!$F$2:$F$31)),ABS(AF136-'ICL3'!$F$2:$F$31),0))</f>
        <v>68</v>
      </c>
      <c r="U136" s="1">
        <f t="array" ref="U136">INDEX('ICL3'!$H$2:$H$31,MATCH(MIN(ABS(AF136-'ICL3'!$F$2:$F$31)),ABS(AF136-'ICL3'!$F$2:$F$31),0))</f>
        <v>23</v>
      </c>
      <c r="V136" s="1">
        <v>61</v>
      </c>
      <c r="W136" s="1">
        <v>28</v>
      </c>
      <c r="X136" s="1">
        <f>VLOOKUP($B136&amp;"__wt",'Xtal_SegEnds_BW#'!$A:$Z,24,FALSE)</f>
        <v>56</v>
      </c>
      <c r="Y136" s="1">
        <f>VLOOKUP($B136&amp;"__wt",'Xtal_SegEnds_BW#'!$A:$Z,25,FALSE)</f>
        <v>47</v>
      </c>
      <c r="Z136" s="1">
        <f>VLOOKUP($B136&amp;"__wt",'Xtal_SegEnds_BW#'!$A:$Z,26,FALSE)</f>
        <v>59</v>
      </c>
      <c r="AA136" s="63" t="str">
        <f>VLOOKUP(A136,Classification!A:B,2,FALSE)</f>
        <v>A</v>
      </c>
      <c r="AB136" s="1">
        <f>VLOOKUP(A136,'NonXtal_SegEnds_Prot#'!A:AL,10,FALSE)-VLOOKUP(A136,'NonXtal_SegEnds_Prot#'!A:AL,7,FALSE)</f>
        <v>15</v>
      </c>
      <c r="AC136" s="1">
        <f>VLOOKUP(A136,'NonXtal_SegEnds_Prot#'!A:AL,13,FALSE)-VLOOKUP(A136,'NonXtal_SegEnds_Prot#'!A:AL,10,FALSE)</f>
        <v>19</v>
      </c>
      <c r="AD136" s="1">
        <f>VLOOKUP(A136,'NonXtal_SegEnds_Prot#'!A:AL,16,FALSE)-VLOOKUP(A136,'NonXtal_SegEnds_Prot#'!A:AL,10,FALSE)</f>
        <v>51</v>
      </c>
      <c r="AE136" s="1">
        <f>VLOOKUP(A136,'NonXtal_SegEnds_Prot#'!A:AL,28,FALSE)-VLOOKUP(A136,'NonXtal_SegEnds_Prot#'!A:AL,25,FALSE)</f>
        <v>27</v>
      </c>
      <c r="AF136" s="1">
        <f>VLOOKUP(A136,'NonXtal_SegEnds_Prot#'!A:AL,31,FALSE)-VLOOKUP(A136,'NonXtal_SegEnds_Prot#'!A:AL,28,FALSE)</f>
        <v>51</v>
      </c>
      <c r="AG136" s="1">
        <f>VLOOKUP(A136,'NonXtal_SegEnds_Prot#'!A:AL,34,FALSE)-VLOOKUP(A136,'NonXtal_SegEnds_Prot#'!A:AL,31,FALSE)</f>
        <v>38</v>
      </c>
    </row>
    <row r="137" spans="1:33" x14ac:dyDescent="0.2">
      <c r="A137" s="1" t="s">
        <v>578</v>
      </c>
      <c r="B137" s="1" t="str">
        <f>VLOOKUP(A137,Xtal_Templ!A:B,2,FALSE)</f>
        <v>oprd_mouse</v>
      </c>
      <c r="C137" s="5">
        <f>VLOOKUP($B137&amp;"__wt",'Xtal_SegEnds_BW#'!$A:$Z,3,FALSE)</f>
        <v>24</v>
      </c>
      <c r="D137" s="1">
        <f>VLOOKUP($B137&amp;"__wt",'Xtal_SegEnds_BW#'!$A:$Z,4,FALSE)</f>
        <v>60</v>
      </c>
      <c r="E137" s="1">
        <f>VLOOKUP($B137&amp;"__wt",'Xtal_SegEnds_BW#'!$A:$Z,5,FALSE)</f>
        <v>48</v>
      </c>
      <c r="F137" s="1">
        <f>VLOOKUP($B137&amp;"__wt",'Xtal_SegEnds_BW#'!$A:$Z,6,FALSE)</f>
        <v>51</v>
      </c>
      <c r="G137" s="1">
        <v>37</v>
      </c>
      <c r="H137" s="1">
        <v>66</v>
      </c>
      <c r="I137" s="1">
        <f>VLOOKUP($B137&amp;"__wt",'Xtal_SegEnds_BW#'!$A:$Z,9,FALSE)</f>
        <v>49</v>
      </c>
      <c r="J137" s="1">
        <f>VLOOKUP($B137&amp;"__wt",'Xtal_SegEnds_BW#'!$A:$Z,10,FALSE)</f>
        <v>52</v>
      </c>
      <c r="K137" s="1">
        <v>18</v>
      </c>
      <c r="L137" s="1">
        <f>VLOOKUP($B137&amp;"__wt",'Xtal_SegEnds_BW#'!$A:$Z,12,FALSE)</f>
        <v>56</v>
      </c>
      <c r="M137" s="1">
        <f>VLOOKUP($B137&amp;"__wt",'Xtal_SegEnds_BW#'!$A:$Z,13,FALSE)</f>
        <v>50</v>
      </c>
      <c r="N137" s="1">
        <v>57</v>
      </c>
      <c r="O137" s="1">
        <v>39</v>
      </c>
      <c r="P137" s="1">
        <f>VLOOKUP($B137&amp;"__wt",'Xtal_SegEnds_BW#'!$A:$Z,16,FALSE)</f>
        <v>64</v>
      </c>
      <c r="Q137" s="1">
        <f>VLOOKUP($B137&amp;"__wt",'Xtal_SegEnds_BW#'!$A:$Z,17,FALSE)</f>
        <v>50</v>
      </c>
      <c r="R137" s="1">
        <f>VLOOKUP($B137&amp;"__wt",'Xtal_SegEnds_BW#'!$A:$Z,18,FALSE)</f>
        <v>52</v>
      </c>
      <c r="S137" s="1">
        <f>VLOOKUP($B137&amp;"__wt",'Xtal_SegEnds_BW#'!$A:$Z,19,FALSE)</f>
        <v>31</v>
      </c>
      <c r="T137" s="23">
        <f t="array" ref="T137">INDEX('ICL3'!$G$2:$G$31,MATCH(MIN(ABS(AF137-'ICL3'!$F$2:$F$31)),ABS(AF137-'ICL3'!$F$2:$F$31),0))</f>
        <v>68</v>
      </c>
      <c r="U137" s="1">
        <f t="array" ref="U137">INDEX('ICL3'!$H$2:$H$31,MATCH(MIN(ABS(AF137-'ICL3'!$F$2:$F$31)),ABS(AF137-'ICL3'!$F$2:$F$31),0))</f>
        <v>23</v>
      </c>
      <c r="V137" s="1">
        <v>61</v>
      </c>
      <c r="W137" s="1">
        <v>32</v>
      </c>
      <c r="X137" s="1">
        <f>VLOOKUP($B137&amp;"__wt",'Xtal_SegEnds_BW#'!$A:$Z,24,FALSE)</f>
        <v>56</v>
      </c>
      <c r="Y137" s="1">
        <f>VLOOKUP($B137&amp;"__wt",'Xtal_SegEnds_BW#'!$A:$Z,25,FALSE)</f>
        <v>47</v>
      </c>
      <c r="Z137" s="1">
        <f>VLOOKUP($B137&amp;"__wt",'Xtal_SegEnds_BW#'!$A:$Z,26,FALSE)</f>
        <v>60</v>
      </c>
      <c r="AA137" s="63" t="str">
        <f>VLOOKUP(A137,Classification!A:B,2,FALSE)</f>
        <v>A</v>
      </c>
      <c r="AB137" s="1">
        <f>VLOOKUP(A137,'NonXtal_SegEnds_Prot#'!A:AL,10,FALSE)-VLOOKUP(A137,'NonXtal_SegEnds_Prot#'!A:AL,7,FALSE)</f>
        <v>15</v>
      </c>
      <c r="AC137" s="1">
        <f>VLOOKUP(A137,'NonXtal_SegEnds_Prot#'!A:AL,13,FALSE)-VLOOKUP(A137,'NonXtal_SegEnds_Prot#'!A:AL,10,FALSE)</f>
        <v>19</v>
      </c>
      <c r="AD137" s="1">
        <f>VLOOKUP(A137,'NonXtal_SegEnds_Prot#'!A:AL,16,FALSE)-VLOOKUP(A137,'NonXtal_SegEnds_Prot#'!A:AL,10,FALSE)</f>
        <v>51</v>
      </c>
      <c r="AE137" s="1">
        <f>VLOOKUP(A137,'NonXtal_SegEnds_Prot#'!A:AL,28,FALSE)-VLOOKUP(A137,'NonXtal_SegEnds_Prot#'!A:AL,25,FALSE)</f>
        <v>25</v>
      </c>
      <c r="AF137" s="1">
        <f>VLOOKUP(A137,'NonXtal_SegEnds_Prot#'!A:AL,31,FALSE)-VLOOKUP(A137,'NonXtal_SegEnds_Prot#'!A:AL,28,FALSE)</f>
        <v>51</v>
      </c>
      <c r="AG137" s="1">
        <f>VLOOKUP(A137,'NonXtal_SegEnds_Prot#'!A:AL,34,FALSE)-VLOOKUP(A137,'NonXtal_SegEnds_Prot#'!A:AL,31,FALSE)</f>
        <v>34</v>
      </c>
    </row>
    <row r="138" spans="1:33" x14ac:dyDescent="0.2">
      <c r="A138" s="1" t="s">
        <v>400</v>
      </c>
      <c r="B138" s="1" t="str">
        <f>VLOOKUP(A138,Xtal_Templ!A:B,2,FALSE)</f>
        <v>oprm_mouse</v>
      </c>
      <c r="C138" s="5">
        <f>VLOOKUP($B138&amp;"__wt",'Xtal_SegEnds_BW#'!$A:$Z,3,FALSE)</f>
        <v>29</v>
      </c>
      <c r="D138" s="1">
        <f>VLOOKUP($B138&amp;"__wt",'Xtal_SegEnds_BW#'!$A:$Z,4,FALSE)</f>
        <v>60</v>
      </c>
      <c r="E138" s="1">
        <f>VLOOKUP($B138&amp;"__wt",'Xtal_SegEnds_BW#'!$A:$Z,5,FALSE)</f>
        <v>48</v>
      </c>
      <c r="F138" s="1">
        <f>VLOOKUP($B138&amp;"__wt",'Xtal_SegEnds_BW#'!$A:$Z,6,FALSE)</f>
        <v>51</v>
      </c>
      <c r="G138" s="1">
        <v>37</v>
      </c>
      <c r="H138" s="1">
        <f>VLOOKUP($B138&amp;"__wt",'Xtal_SegEnds_BW#'!$A:$Z,8,FALSE)</f>
        <v>66</v>
      </c>
      <c r="I138" s="1">
        <f>VLOOKUP($B138&amp;"__wt",'Xtal_SegEnds_BW#'!$A:$Z,9,FALSE)</f>
        <v>49</v>
      </c>
      <c r="J138" s="1">
        <f>VLOOKUP($B138&amp;"__wt",'Xtal_SegEnds_BW#'!$A:$Z,10,FALSE)</f>
        <v>52</v>
      </c>
      <c r="K138" s="1">
        <v>18</v>
      </c>
      <c r="L138" s="1">
        <f>VLOOKUP($B138&amp;"__wt",'Xtal_SegEnds_BW#'!$A:$Z,12,FALSE)</f>
        <v>56</v>
      </c>
      <c r="M138" s="1">
        <f>VLOOKUP($B138&amp;"__wt",'Xtal_SegEnds_BW#'!$A:$Z,13,FALSE)</f>
        <v>50</v>
      </c>
      <c r="N138" s="1">
        <v>57</v>
      </c>
      <c r="O138" s="1">
        <v>39</v>
      </c>
      <c r="P138" s="1">
        <f>VLOOKUP($B138&amp;"__wt",'Xtal_SegEnds_BW#'!$A:$Z,16,FALSE)</f>
        <v>64</v>
      </c>
      <c r="Q138" s="1">
        <f>VLOOKUP($B138&amp;"__wt",'Xtal_SegEnds_BW#'!$A:$Z,17,FALSE)</f>
        <v>50</v>
      </c>
      <c r="R138" s="1">
        <f>VLOOKUP($B138&amp;"__wt",'Xtal_SegEnds_BW#'!$A:$Z,18,FALSE)</f>
        <v>52</v>
      </c>
      <c r="S138" s="1">
        <f>VLOOKUP($B138&amp;"__wt",'Xtal_SegEnds_BW#'!$A:$Z,19,FALSE)</f>
        <v>31</v>
      </c>
      <c r="T138" s="23">
        <f t="array" ref="T138">INDEX('ICL3'!$G$2:$G$31,MATCH(MIN(ABS(AF138-'ICL3'!$F$2:$F$31)),ABS(AF138-'ICL3'!$F$2:$F$31),0))</f>
        <v>72</v>
      </c>
      <c r="U138" s="1">
        <f t="array" ref="U138">INDEX('ICL3'!$H$2:$H$31,MATCH(MIN(ABS(AF138-'ICL3'!$F$2:$F$31)),ABS(AF138-'ICL3'!$F$2:$F$31),0))</f>
        <v>24</v>
      </c>
      <c r="V138" s="1">
        <v>61</v>
      </c>
      <c r="W138" s="1">
        <v>28</v>
      </c>
      <c r="X138" s="1">
        <f>VLOOKUP($B138&amp;"__wt",'Xtal_SegEnds_BW#'!$A:$Z,24,FALSE)</f>
        <v>56</v>
      </c>
      <c r="Y138" s="1">
        <f>VLOOKUP($B138&amp;"__wt",'Xtal_SegEnds_BW#'!$A:$Z,25,FALSE)</f>
        <v>47</v>
      </c>
      <c r="Z138" s="1">
        <f>VLOOKUP($B138&amp;"__wt",'Xtal_SegEnds_BW#'!$A:$Z,26,FALSE)</f>
        <v>59</v>
      </c>
      <c r="AA138" s="63" t="str">
        <f>VLOOKUP(A138,Classification!A:B,2,FALSE)</f>
        <v>A</v>
      </c>
      <c r="AB138" s="1">
        <f>VLOOKUP(A138,'NonXtal_SegEnds_Prot#'!A:AL,10,FALSE)-VLOOKUP(A138,'NonXtal_SegEnds_Prot#'!A:AL,7,FALSE)</f>
        <v>15</v>
      </c>
      <c r="AC138" s="1">
        <f>VLOOKUP(A138,'NonXtal_SegEnds_Prot#'!A:AL,13,FALSE)-VLOOKUP(A138,'NonXtal_SegEnds_Prot#'!A:AL,10,FALSE)</f>
        <v>20</v>
      </c>
      <c r="AD138" s="1">
        <f>VLOOKUP(A138,'NonXtal_SegEnds_Prot#'!A:AL,16,FALSE)-VLOOKUP(A138,'NonXtal_SegEnds_Prot#'!A:AL,10,FALSE)</f>
        <v>52</v>
      </c>
      <c r="AE138" s="1">
        <f>VLOOKUP(A138,'NonXtal_SegEnds_Prot#'!A:AL,28,FALSE)-VLOOKUP(A138,'NonXtal_SegEnds_Prot#'!A:AL,25,FALSE)</f>
        <v>24</v>
      </c>
      <c r="AF138" s="1">
        <f>VLOOKUP(A138,'NonXtal_SegEnds_Prot#'!A:AL,31,FALSE)-VLOOKUP(A138,'NonXtal_SegEnds_Prot#'!A:AL,28,FALSE)</f>
        <v>52</v>
      </c>
      <c r="AG138" s="1">
        <f>VLOOKUP(A138,'NonXtal_SegEnds_Prot#'!A:AL,34,FALSE)-VLOOKUP(A138,'NonXtal_SegEnds_Prot#'!A:AL,31,FALSE)</f>
        <v>38</v>
      </c>
    </row>
    <row r="139" spans="1:33" x14ac:dyDescent="0.2">
      <c r="A139" s="1" t="s">
        <v>507</v>
      </c>
      <c r="B139" s="1" t="str">
        <f>VLOOKUP(A139,Xtal_Templ!A:B,2,FALSE)</f>
        <v>ox2r_human</v>
      </c>
      <c r="C139" s="5">
        <f>VLOOKUP($B139&amp;"__wt",'Xtal_SegEnds_BW#'!$A:$Z,3,FALSE)</f>
        <v>31</v>
      </c>
      <c r="D139" s="1">
        <f>VLOOKUP($B139&amp;"__wt",'Xtal_SegEnds_BW#'!$A:$Z,4,FALSE)</f>
        <v>60</v>
      </c>
      <c r="E139" s="1">
        <f>VLOOKUP($B139&amp;"__wt",'Xtal_SegEnds_BW#'!$A:$Z,5,FALSE)</f>
        <v>48</v>
      </c>
      <c r="F139" s="1">
        <f>VLOOKUP($B139&amp;"__wt",'Xtal_SegEnds_BW#'!$A:$Z,6,FALSE)</f>
        <v>51</v>
      </c>
      <c r="G139" s="1">
        <v>37</v>
      </c>
      <c r="H139" s="1">
        <f>VLOOKUP($B139&amp;"__wt",'Xtal_SegEnds_BW#'!$A:$Z,8,FALSE)</f>
        <v>67</v>
      </c>
      <c r="I139" s="1">
        <f>VLOOKUP($B139&amp;"__wt",'Xtal_SegEnds_BW#'!$A:$Z,9,FALSE)</f>
        <v>49</v>
      </c>
      <c r="J139" s="1">
        <f>VLOOKUP($B139&amp;"__wt",'Xtal_SegEnds_BW#'!$A:$Z,10,FALSE)</f>
        <v>52</v>
      </c>
      <c r="K139" s="1">
        <v>18</v>
      </c>
      <c r="L139" s="1">
        <f>VLOOKUP($B139&amp;"__wt",'Xtal_SegEnds_BW#'!$A:$Z,12,FALSE)</f>
        <v>56</v>
      </c>
      <c r="M139" s="1">
        <f>VLOOKUP($B139&amp;"__wt",'Xtal_SegEnds_BW#'!$A:$Z,13,FALSE)</f>
        <v>50</v>
      </c>
      <c r="N139" s="1">
        <v>57</v>
      </c>
      <c r="O139" s="1">
        <v>39</v>
      </c>
      <c r="P139" s="1">
        <f>VLOOKUP($B139&amp;"__wt",'Xtal_SegEnds_BW#'!$A:$Z,16,FALSE)</f>
        <v>64</v>
      </c>
      <c r="Q139" s="1">
        <f>VLOOKUP($B139&amp;"__wt",'Xtal_SegEnds_BW#'!$A:$Z,17,FALSE)</f>
        <v>50</v>
      </c>
      <c r="R139" s="1">
        <f>VLOOKUP($B139&amp;"__wt",'Xtal_SegEnds_BW#'!$A:$Z,18,FALSE)</f>
        <v>52</v>
      </c>
      <c r="S139" s="1">
        <v>35</v>
      </c>
      <c r="T139" s="23">
        <f t="array" ref="T139">INDEX('ICL3'!$G$2:$G$31,MATCH(MIN(ABS(AF139-'ICL3'!$F$2:$F$31)),ABS(AF139-'ICL3'!$F$2:$F$31),0))</f>
        <v>72</v>
      </c>
      <c r="U139" s="1">
        <f t="array" ref="U139">INDEX('ICL3'!$H$2:$H$31,MATCH(MIN(ABS(AF139-'ICL3'!$F$2:$F$31)),ABS(AF139-'ICL3'!$F$2:$F$31),0))</f>
        <v>24</v>
      </c>
      <c r="V139" s="1">
        <v>61</v>
      </c>
      <c r="W139" s="1">
        <v>28</v>
      </c>
      <c r="X139" s="1">
        <f>VLOOKUP($B139&amp;"__wt",'Xtal_SegEnds_BW#'!$A:$Z,24,FALSE)</f>
        <v>56</v>
      </c>
      <c r="Y139" s="1">
        <f>VLOOKUP($B139&amp;"__wt",'Xtal_SegEnds_BW#'!$A:$Z,25,FALSE)</f>
        <v>47</v>
      </c>
      <c r="Z139" s="1">
        <f>VLOOKUP($B139&amp;"__wt",'Xtal_SegEnds_BW#'!$A:$Z,26,FALSE)</f>
        <v>58</v>
      </c>
      <c r="AA139" s="63" t="str">
        <f>VLOOKUP(A139,Classification!A:B,2,FALSE)</f>
        <v>A</v>
      </c>
      <c r="AB139" s="1">
        <f>VLOOKUP(A139,'NonXtal_SegEnds_Prot#'!A:AL,10,FALSE)-VLOOKUP(A139,'NonXtal_SegEnds_Prot#'!A:AL,7,FALSE)</f>
        <v>15</v>
      </c>
      <c r="AC139" s="1">
        <f>VLOOKUP(A139,'NonXtal_SegEnds_Prot#'!A:AL,13,FALSE)-VLOOKUP(A139,'NonXtal_SegEnds_Prot#'!A:AL,10,FALSE)</f>
        <v>20</v>
      </c>
      <c r="AD139" s="1">
        <f>VLOOKUP(A139,'NonXtal_SegEnds_Prot#'!A:AL,16,FALSE)-VLOOKUP(A139,'NonXtal_SegEnds_Prot#'!A:AL,10,FALSE)</f>
        <v>52</v>
      </c>
      <c r="AE139" s="1">
        <f>VLOOKUP(A139,'NonXtal_SegEnds_Prot#'!A:AL,28,FALSE)-VLOOKUP(A139,'NonXtal_SegEnds_Prot#'!A:AL,25,FALSE)</f>
        <v>22</v>
      </c>
      <c r="AF139" s="1">
        <f>VLOOKUP(A139,'NonXtal_SegEnds_Prot#'!A:AL,31,FALSE)-VLOOKUP(A139,'NonXtal_SegEnds_Prot#'!A:AL,28,FALSE)</f>
        <v>52</v>
      </c>
      <c r="AG139" s="1">
        <f>VLOOKUP(A139,'NonXtal_SegEnds_Prot#'!A:AL,34,FALSE)-VLOOKUP(A139,'NonXtal_SegEnds_Prot#'!A:AL,31,FALSE)</f>
        <v>39</v>
      </c>
    </row>
    <row r="140" spans="1:33" x14ac:dyDescent="0.2">
      <c r="A140" s="1" t="s">
        <v>520</v>
      </c>
      <c r="B140" s="1" t="str">
        <f>VLOOKUP(A140,Xtal_Templ!A:B,2,FALSE)</f>
        <v>ox1r_human</v>
      </c>
      <c r="C140" s="5">
        <f>VLOOKUP($B140&amp;"__wt",'Xtal_SegEnds_BW#'!$A:$Z,3,FALSE)</f>
        <v>32</v>
      </c>
      <c r="D140" s="1">
        <f>VLOOKUP($B140&amp;"__wt",'Xtal_SegEnds_BW#'!$A:$Z,4,FALSE)</f>
        <v>60</v>
      </c>
      <c r="E140" s="1">
        <f>VLOOKUP($B140&amp;"__wt",'Xtal_SegEnds_BW#'!$A:$Z,5,FALSE)</f>
        <v>48</v>
      </c>
      <c r="F140" s="1">
        <f>VLOOKUP($B140&amp;"__wt",'Xtal_SegEnds_BW#'!$A:$Z,6,FALSE)</f>
        <v>51</v>
      </c>
      <c r="G140" s="1">
        <v>37</v>
      </c>
      <c r="H140" s="1">
        <f>VLOOKUP($B140&amp;"__wt",'Xtal_SegEnds_BW#'!$A:$Z,8,FALSE)</f>
        <v>67</v>
      </c>
      <c r="I140" s="1">
        <f>VLOOKUP($B140&amp;"__wt",'Xtal_SegEnds_BW#'!$A:$Z,9,FALSE)</f>
        <v>49</v>
      </c>
      <c r="J140" s="1">
        <f>VLOOKUP($B140&amp;"__wt",'Xtal_SegEnds_BW#'!$A:$Z,10,FALSE)</f>
        <v>52</v>
      </c>
      <c r="K140" s="1">
        <v>18</v>
      </c>
      <c r="L140" s="1">
        <f>VLOOKUP($B140&amp;"__wt",'Xtal_SegEnds_BW#'!$A:$Z,12,FALSE)</f>
        <v>56</v>
      </c>
      <c r="M140" s="1">
        <f>VLOOKUP($B140&amp;"__wt",'Xtal_SegEnds_BW#'!$A:$Z,13,FALSE)</f>
        <v>50</v>
      </c>
      <c r="N140" s="1">
        <v>56</v>
      </c>
      <c r="O140" s="1">
        <v>39</v>
      </c>
      <c r="P140" s="1">
        <f>VLOOKUP($B140&amp;"__wt",'Xtal_SegEnds_BW#'!$A:$Z,16,FALSE)</f>
        <v>64</v>
      </c>
      <c r="Q140" s="1">
        <f>VLOOKUP($B140&amp;"__wt",'Xtal_SegEnds_BW#'!$A:$Z,17,FALSE)</f>
        <v>50</v>
      </c>
      <c r="R140" s="1">
        <f>VLOOKUP($B140&amp;"__wt",'Xtal_SegEnds_BW#'!$A:$Z,18,FALSE)</f>
        <v>52</v>
      </c>
      <c r="S140" s="1">
        <f>VLOOKUP($B140&amp;"__wt",'Xtal_SegEnds_BW#'!$A:$Z,19,FALSE)</f>
        <v>32</v>
      </c>
      <c r="T140" s="23">
        <f t="array" ref="T140">INDEX('ICL3'!$G$2:$G$31,MATCH(MIN(ABS(AF140-'ICL3'!$F$2:$F$31)),ABS(AF140-'ICL3'!$F$2:$F$31),0))</f>
        <v>72</v>
      </c>
      <c r="U140" s="1">
        <f t="array" ref="U140">INDEX('ICL3'!$H$2:$H$31,MATCH(MIN(ABS(AF140-'ICL3'!$F$2:$F$31)),ABS(AF140-'ICL3'!$F$2:$F$31),0))</f>
        <v>24</v>
      </c>
      <c r="V140" s="1">
        <v>61</v>
      </c>
      <c r="W140" s="1">
        <v>28</v>
      </c>
      <c r="X140" s="1">
        <f>VLOOKUP($B140&amp;"__wt",'Xtal_SegEnds_BW#'!$A:$Z,24,FALSE)</f>
        <v>56</v>
      </c>
      <c r="Y140" s="1">
        <f>VLOOKUP($B140&amp;"__wt",'Xtal_SegEnds_BW#'!$A:$Z,25,FALSE)</f>
        <v>47</v>
      </c>
      <c r="Z140" s="1">
        <f>VLOOKUP($B140&amp;"__wt",'Xtal_SegEnds_BW#'!$A:$Z,26,FALSE)</f>
        <v>58</v>
      </c>
      <c r="AA140" s="63" t="str">
        <f>VLOOKUP(A140,Classification!A:B,2,FALSE)</f>
        <v>A</v>
      </c>
      <c r="AB140" s="1">
        <f>VLOOKUP(A140,'NonXtal_SegEnds_Prot#'!A:AL,10,FALSE)-VLOOKUP(A140,'NonXtal_SegEnds_Prot#'!A:AL,7,FALSE)</f>
        <v>15</v>
      </c>
      <c r="AC140" s="1">
        <f>VLOOKUP(A140,'NonXtal_SegEnds_Prot#'!A:AL,13,FALSE)-VLOOKUP(A140,'NonXtal_SegEnds_Prot#'!A:AL,10,FALSE)</f>
        <v>20</v>
      </c>
      <c r="AD140" s="1">
        <f>VLOOKUP(A140,'NonXtal_SegEnds_Prot#'!A:AL,16,FALSE)-VLOOKUP(A140,'NonXtal_SegEnds_Prot#'!A:AL,10,FALSE)</f>
        <v>52</v>
      </c>
      <c r="AE140" s="1">
        <f>VLOOKUP(A140,'NonXtal_SegEnds_Prot#'!A:AL,28,FALSE)-VLOOKUP(A140,'NonXtal_SegEnds_Prot#'!A:AL,25,FALSE)</f>
        <v>28</v>
      </c>
      <c r="AF140" s="1">
        <f>VLOOKUP(A140,'NonXtal_SegEnds_Prot#'!A:AL,31,FALSE)-VLOOKUP(A140,'NonXtal_SegEnds_Prot#'!A:AL,28,FALSE)</f>
        <v>52</v>
      </c>
      <c r="AG140" s="1">
        <f>VLOOKUP(A140,'NonXtal_SegEnds_Prot#'!A:AL,34,FALSE)-VLOOKUP(A140,'NonXtal_SegEnds_Prot#'!A:AL,31,FALSE)</f>
        <v>39</v>
      </c>
    </row>
    <row r="141" spans="1:33" x14ac:dyDescent="0.2">
      <c r="A141" s="1" t="s">
        <v>532</v>
      </c>
      <c r="B141" s="1" t="str">
        <f>VLOOKUP(A141,Xtal_Templ!A:B,2,FALSE)</f>
        <v>opsd_human</v>
      </c>
      <c r="C141" s="5">
        <f>VLOOKUP($B141&amp;"__wt",'Xtal_SegEnds_BW#'!$A:$Z,3,FALSE)</f>
        <v>29</v>
      </c>
      <c r="D141" s="1">
        <f>VLOOKUP($B141&amp;"__wt",'Xtal_SegEnds_BW#'!$A:$Z,4,FALSE)</f>
        <v>60</v>
      </c>
      <c r="E141" s="1">
        <f>VLOOKUP($B141&amp;"__wt",'Xtal_SegEnds_BW#'!$A:$Z,5,FALSE)</f>
        <v>48</v>
      </c>
      <c r="F141" s="1">
        <f>VLOOKUP($B141&amp;"__wt",'Xtal_SegEnds_BW#'!$A:$Z,6,FALSE)</f>
        <v>51</v>
      </c>
      <c r="G141" s="1">
        <v>37</v>
      </c>
      <c r="H141" s="1">
        <f>VLOOKUP($B141&amp;"__wt",'Xtal_SegEnds_BW#'!$A:$Z,8,FALSE)</f>
        <v>67</v>
      </c>
      <c r="I141" s="1">
        <f>VLOOKUP($B141&amp;"__wt",'Xtal_SegEnds_BW#'!$A:$Z,9,FALSE)</f>
        <v>49</v>
      </c>
      <c r="J141" s="1">
        <f>VLOOKUP($B141&amp;"__wt",'Xtal_SegEnds_BW#'!$A:$Z,10,FALSE)</f>
        <v>52</v>
      </c>
      <c r="K141" s="1">
        <v>18</v>
      </c>
      <c r="L141" s="1">
        <f>VLOOKUP($B141&amp;"__wt",'Xtal_SegEnds_BW#'!$A:$Z,12,FALSE)</f>
        <v>56</v>
      </c>
      <c r="M141" s="1">
        <f>VLOOKUP($B141&amp;"__wt",'Xtal_SegEnds_BW#'!$A:$Z,13,FALSE)</f>
        <v>50</v>
      </c>
      <c r="N141" s="1">
        <v>57</v>
      </c>
      <c r="O141" s="1">
        <v>39</v>
      </c>
      <c r="P141" s="1">
        <f>VLOOKUP($B141&amp;"__wt",'Xtal_SegEnds_BW#'!$A:$Z,16,FALSE)</f>
        <v>62</v>
      </c>
      <c r="Q141" s="1">
        <f>VLOOKUP($B141&amp;"__wt",'Xtal_SegEnds_BW#'!$A:$Z,17,FALSE)</f>
        <v>50</v>
      </c>
      <c r="R141" s="1">
        <f>VLOOKUP($B141&amp;"__wt",'Xtal_SegEnds_BW#'!$A:$Z,18,FALSE)</f>
        <v>52</v>
      </c>
      <c r="S141" s="1">
        <f>VLOOKUP($B141&amp;"__wt",'Xtal_SegEnds_BW#'!$A:$Z,19,FALSE)</f>
        <v>34</v>
      </c>
      <c r="T141" s="23">
        <f t="array" ref="T141">INDEX('ICL3'!$G$2:$G$31,MATCH(MIN(ABS(AF141-'ICL3'!$F$2:$F$31)),ABS(AF141-'ICL3'!$F$2:$F$31),0))</f>
        <v>72</v>
      </c>
      <c r="U141" s="1">
        <f t="array" ref="U141">INDEX('ICL3'!$H$2:$H$31,MATCH(MIN(ABS(AF141-'ICL3'!$F$2:$F$31)),ABS(AF141-'ICL3'!$F$2:$F$31),0))</f>
        <v>24</v>
      </c>
      <c r="V141" s="1">
        <v>61</v>
      </c>
      <c r="W141" s="1">
        <v>31</v>
      </c>
      <c r="X141" s="1">
        <f>VLOOKUP($B141&amp;"__wt",'Xtal_SegEnds_BW#'!$A:$Z,24,FALSE)</f>
        <v>56</v>
      </c>
      <c r="Y141" s="1">
        <f>VLOOKUP($B141&amp;"__wt",'Xtal_SegEnds_BW#'!$A:$Z,25,FALSE)</f>
        <v>47</v>
      </c>
      <c r="Z141" s="1">
        <f>VLOOKUP($B141&amp;"__wt",'Xtal_SegEnds_BW#'!$A:$Z,26,FALSE)</f>
        <v>59</v>
      </c>
      <c r="AA141" s="63" t="str">
        <f>VLOOKUP(A141,Classification!A:B,2,FALSE)</f>
        <v>A</v>
      </c>
      <c r="AB141" s="1">
        <f>VLOOKUP(A141,'NonXtal_SegEnds_Prot#'!A:AL,10,FALSE)-VLOOKUP(A141,'NonXtal_SegEnds_Prot#'!A:AL,7,FALSE)</f>
        <v>15</v>
      </c>
      <c r="AC141" s="1">
        <f>VLOOKUP(A141,'NonXtal_SegEnds_Prot#'!A:AL,13,FALSE)-VLOOKUP(A141,'NonXtal_SegEnds_Prot#'!A:AL,10,FALSE)</f>
        <v>20</v>
      </c>
      <c r="AD141" s="1">
        <f>VLOOKUP(A141,'NonXtal_SegEnds_Prot#'!A:AL,16,FALSE)-VLOOKUP(A141,'NonXtal_SegEnds_Prot#'!A:AL,10,FALSE)</f>
        <v>52</v>
      </c>
      <c r="AE141" s="1">
        <f>VLOOKUP(A141,'NonXtal_SegEnds_Prot#'!A:AL,28,FALSE)-VLOOKUP(A141,'NonXtal_SegEnds_Prot#'!A:AL,25,FALSE)</f>
        <v>28</v>
      </c>
      <c r="AF141" s="1">
        <f>VLOOKUP(A141,'NonXtal_SegEnds_Prot#'!A:AL,31,FALSE)-VLOOKUP(A141,'NonXtal_SegEnds_Prot#'!A:AL,28,FALSE)</f>
        <v>52</v>
      </c>
      <c r="AG141" s="1">
        <f>VLOOKUP(A141,'NonXtal_SegEnds_Prot#'!A:AL,34,FALSE)-VLOOKUP(A141,'NonXtal_SegEnds_Prot#'!A:AL,31,FALSE)</f>
        <v>36</v>
      </c>
    </row>
    <row r="142" spans="1:33" x14ac:dyDescent="0.2">
      <c r="A142" s="1" t="s">
        <v>1116</v>
      </c>
      <c r="B142" s="1" t="str">
        <f>VLOOKUP(A142,Xtal_Templ!A:B,2,FALSE)</f>
        <v>opsd_bovin</v>
      </c>
      <c r="C142" s="5">
        <f>VLOOKUP($B142&amp;"__wt",'Xtal_SegEnds_BW#'!$A:$Z,3,FALSE)</f>
        <v>29</v>
      </c>
      <c r="D142" s="1">
        <f>VLOOKUP($B142&amp;"__wt",'Xtal_SegEnds_BW#'!$A:$Z,4,FALSE)</f>
        <v>60</v>
      </c>
      <c r="E142" s="1">
        <f>VLOOKUP($B142&amp;"__wt",'Xtal_SegEnds_BW#'!$A:$Z,5,FALSE)</f>
        <v>48</v>
      </c>
      <c r="F142" s="1">
        <f>VLOOKUP($B142&amp;"__wt",'Xtal_SegEnds_BW#'!$A:$Z,6,FALSE)</f>
        <v>51</v>
      </c>
      <c r="G142" s="1">
        <v>37</v>
      </c>
      <c r="H142" s="1">
        <f>VLOOKUP($B142&amp;"__wt",'Xtal_SegEnds_BW#'!$A:$Z,8,FALSE)</f>
        <v>67</v>
      </c>
      <c r="I142" s="1">
        <f>VLOOKUP($B142&amp;"__wt",'Xtal_SegEnds_BW#'!$A:$Z,9,FALSE)</f>
        <v>49</v>
      </c>
      <c r="J142" s="1">
        <f>VLOOKUP($B142&amp;"__wt",'Xtal_SegEnds_BW#'!$A:$Z,10,FALSE)</f>
        <v>52</v>
      </c>
      <c r="K142" s="1">
        <v>18</v>
      </c>
      <c r="L142" s="1">
        <f>VLOOKUP($B142&amp;"__wt",'Xtal_SegEnds_BW#'!$A:$Z,12,FALSE)</f>
        <v>56</v>
      </c>
      <c r="M142" s="1">
        <f>VLOOKUP($B142&amp;"__wt",'Xtal_SegEnds_BW#'!$A:$Z,13,FALSE)</f>
        <v>50</v>
      </c>
      <c r="N142" s="1">
        <v>57</v>
      </c>
      <c r="O142" s="1">
        <v>39</v>
      </c>
      <c r="P142" s="1">
        <f>VLOOKUP($B142&amp;"__wt",'Xtal_SegEnds_BW#'!$A:$Z,16,FALSE)</f>
        <v>62</v>
      </c>
      <c r="Q142" s="1">
        <f>VLOOKUP($B142&amp;"__wt",'Xtal_SegEnds_BW#'!$A:$Z,17,FALSE)</f>
        <v>50</v>
      </c>
      <c r="R142" s="1">
        <f>VLOOKUP($B142&amp;"__wt",'Xtal_SegEnds_BW#'!$A:$Z,18,FALSE)</f>
        <v>52</v>
      </c>
      <c r="S142" s="1">
        <f>VLOOKUP($B142&amp;"__wt",'Xtal_SegEnds_BW#'!$A:$Z,19,FALSE)</f>
        <v>34</v>
      </c>
      <c r="T142" s="23">
        <f t="array" ref="T142">INDEX('ICL3'!$G$2:$G$31,MATCH(MIN(ABS(AF142-'ICL3'!$F$2:$F$31)),ABS(AF142-'ICL3'!$F$2:$F$31),0))</f>
        <v>72</v>
      </c>
      <c r="U142" s="1">
        <f t="array" ref="U142">INDEX('ICL3'!$H$2:$H$31,MATCH(MIN(ABS(AF142-'ICL3'!$F$2:$F$31)),ABS(AF142-'ICL3'!$F$2:$F$31),0))</f>
        <v>24</v>
      </c>
      <c r="V142" s="1">
        <v>61</v>
      </c>
      <c r="W142" s="1">
        <v>31</v>
      </c>
      <c r="X142" s="1">
        <f>VLOOKUP($B142&amp;"__wt",'Xtal_SegEnds_BW#'!$A:$Z,24,FALSE)</f>
        <v>56</v>
      </c>
      <c r="Y142" s="1">
        <f>VLOOKUP($B142&amp;"__wt",'Xtal_SegEnds_BW#'!$A:$Z,25,FALSE)</f>
        <v>47</v>
      </c>
      <c r="Z142" s="1">
        <f>VLOOKUP($B142&amp;"__wt",'Xtal_SegEnds_BW#'!$A:$Z,26,FALSE)</f>
        <v>59</v>
      </c>
      <c r="AA142" s="63" t="str">
        <f>VLOOKUP(A142,Classification!A:B,2,FALSE)</f>
        <v>A</v>
      </c>
      <c r="AB142" s="1">
        <f>VLOOKUP(A142,'NonXtal_SegEnds_Prot#'!A:AL,10,FALSE)-VLOOKUP(A142,'NonXtal_SegEnds_Prot#'!A:AL,7,FALSE)</f>
        <v>15</v>
      </c>
      <c r="AC142" s="1">
        <f>VLOOKUP(A142,'NonXtal_SegEnds_Prot#'!A:AL,13,FALSE)-VLOOKUP(A142,'NonXtal_SegEnds_Prot#'!A:AL,10,FALSE)</f>
        <v>20</v>
      </c>
      <c r="AD142" s="1">
        <f>VLOOKUP(A142,'NonXtal_SegEnds_Prot#'!A:AL,16,FALSE)-VLOOKUP(A142,'NonXtal_SegEnds_Prot#'!A:AL,10,FALSE)</f>
        <v>52</v>
      </c>
      <c r="AE142" s="1">
        <f>VLOOKUP(A142,'NonXtal_SegEnds_Prot#'!A:AL,28,FALSE)-VLOOKUP(A142,'NonXtal_SegEnds_Prot#'!A:AL,25,FALSE)</f>
        <v>28</v>
      </c>
      <c r="AF142" s="1">
        <f>VLOOKUP(A142,'NonXtal_SegEnds_Prot#'!A:AL,31,FALSE)-VLOOKUP(A142,'NonXtal_SegEnds_Prot#'!A:AL,28,FALSE)</f>
        <v>52</v>
      </c>
      <c r="AG142" s="1">
        <f>VLOOKUP(A142,'NonXtal_SegEnds_Prot#'!A:AL,34,FALSE)-VLOOKUP(A142,'NonXtal_SegEnds_Prot#'!A:AL,31,FALSE)</f>
        <v>36</v>
      </c>
    </row>
    <row r="143" spans="1:33" x14ac:dyDescent="0.2">
      <c r="A143" s="1" t="s">
        <v>533</v>
      </c>
      <c r="B143" s="1" t="str">
        <f>VLOOKUP(A143,Xtal_Templ!A:B,2,FALSE)</f>
        <v>opsd_human</v>
      </c>
      <c r="C143" s="5">
        <f>VLOOKUP($B143&amp;"__wt",'Xtal_SegEnds_BW#'!$A:$Z,3,FALSE)</f>
        <v>29</v>
      </c>
      <c r="D143" s="1">
        <f>VLOOKUP($B143&amp;"__wt",'Xtal_SegEnds_BW#'!$A:$Z,4,FALSE)</f>
        <v>60</v>
      </c>
      <c r="E143" s="1">
        <f>VLOOKUP($B143&amp;"__wt",'Xtal_SegEnds_BW#'!$A:$Z,5,FALSE)</f>
        <v>48</v>
      </c>
      <c r="F143" s="1">
        <f>VLOOKUP($B143&amp;"__wt",'Xtal_SegEnds_BW#'!$A:$Z,6,FALSE)</f>
        <v>51</v>
      </c>
      <c r="G143" s="1">
        <v>37</v>
      </c>
      <c r="H143" s="1">
        <f>VLOOKUP($B143&amp;"__wt",'Xtal_SegEnds_BW#'!$A:$Z,8,FALSE)</f>
        <v>67</v>
      </c>
      <c r="I143" s="1">
        <f>VLOOKUP($B143&amp;"__wt",'Xtal_SegEnds_BW#'!$A:$Z,9,FALSE)</f>
        <v>49</v>
      </c>
      <c r="J143" s="1">
        <f>VLOOKUP($B143&amp;"__wt",'Xtal_SegEnds_BW#'!$A:$Z,10,FALSE)</f>
        <v>52</v>
      </c>
      <c r="K143" s="1">
        <v>18</v>
      </c>
      <c r="L143" s="1">
        <f>VLOOKUP($B143&amp;"__wt",'Xtal_SegEnds_BW#'!$A:$Z,12,FALSE)</f>
        <v>56</v>
      </c>
      <c r="M143" s="1">
        <f>VLOOKUP($B143&amp;"__wt",'Xtal_SegEnds_BW#'!$A:$Z,13,FALSE)</f>
        <v>50</v>
      </c>
      <c r="N143" s="1">
        <v>57</v>
      </c>
      <c r="O143" s="1">
        <v>39</v>
      </c>
      <c r="P143" s="1">
        <f>VLOOKUP($B143&amp;"__wt",'Xtal_SegEnds_BW#'!$A:$Z,16,FALSE)</f>
        <v>62</v>
      </c>
      <c r="Q143" s="1">
        <f>VLOOKUP($B143&amp;"__wt",'Xtal_SegEnds_BW#'!$A:$Z,17,FALSE)</f>
        <v>50</v>
      </c>
      <c r="R143" s="1">
        <f>VLOOKUP($B143&amp;"__wt",'Xtal_SegEnds_BW#'!$A:$Z,18,FALSE)</f>
        <v>52</v>
      </c>
      <c r="S143" s="1">
        <f>VLOOKUP($B143&amp;"__wt",'Xtal_SegEnds_BW#'!$A:$Z,19,FALSE)</f>
        <v>34</v>
      </c>
      <c r="T143" s="23">
        <f t="array" ref="T143">INDEX('ICL3'!$G$2:$G$31,MATCH(MIN(ABS(AF143-'ICL3'!$F$2:$F$31)),ABS(AF143-'ICL3'!$F$2:$F$31),0))</f>
        <v>72</v>
      </c>
      <c r="U143" s="1">
        <f t="array" ref="U143">INDEX('ICL3'!$H$2:$H$31,MATCH(MIN(ABS(AF143-'ICL3'!$F$2:$F$31)),ABS(AF143-'ICL3'!$F$2:$F$31),0))</f>
        <v>24</v>
      </c>
      <c r="V143" s="1">
        <v>61</v>
      </c>
      <c r="W143" s="1">
        <v>31</v>
      </c>
      <c r="X143" s="1">
        <f>VLOOKUP($B143&amp;"__wt",'Xtal_SegEnds_BW#'!$A:$Z,24,FALSE)</f>
        <v>56</v>
      </c>
      <c r="Y143" s="1">
        <f>VLOOKUP($B143&amp;"__wt",'Xtal_SegEnds_BW#'!$A:$Z,25,FALSE)</f>
        <v>47</v>
      </c>
      <c r="Z143" s="1">
        <f>VLOOKUP($B143&amp;"__wt",'Xtal_SegEnds_BW#'!$A:$Z,26,FALSE)</f>
        <v>59</v>
      </c>
      <c r="AA143" s="63" t="str">
        <f>VLOOKUP(A143,Classification!A:B,2,FALSE)</f>
        <v>A</v>
      </c>
      <c r="AB143" s="1">
        <f>VLOOKUP(A143,'NonXtal_SegEnds_Prot#'!A:AL,10,FALSE)-VLOOKUP(A143,'NonXtal_SegEnds_Prot#'!A:AL,7,FALSE)</f>
        <v>15</v>
      </c>
      <c r="AC143" s="1">
        <f>VLOOKUP(A143,'NonXtal_SegEnds_Prot#'!A:AL,13,FALSE)-VLOOKUP(A143,'NonXtal_SegEnds_Prot#'!A:AL,10,FALSE)</f>
        <v>20</v>
      </c>
      <c r="AD143" s="1">
        <f>VLOOKUP(A143,'NonXtal_SegEnds_Prot#'!A:AL,16,FALSE)-VLOOKUP(A143,'NonXtal_SegEnds_Prot#'!A:AL,10,FALSE)</f>
        <v>52</v>
      </c>
      <c r="AE143" s="1">
        <f>VLOOKUP(A143,'NonXtal_SegEnds_Prot#'!A:AL,28,FALSE)-VLOOKUP(A143,'NonXtal_SegEnds_Prot#'!A:AL,25,FALSE)</f>
        <v>28</v>
      </c>
      <c r="AF143" s="1">
        <f>VLOOKUP(A143,'NonXtal_SegEnds_Prot#'!A:AL,31,FALSE)-VLOOKUP(A143,'NonXtal_SegEnds_Prot#'!A:AL,28,FALSE)</f>
        <v>52</v>
      </c>
      <c r="AG143" s="1">
        <f>VLOOKUP(A143,'NonXtal_SegEnds_Prot#'!A:AL,34,FALSE)-VLOOKUP(A143,'NonXtal_SegEnds_Prot#'!A:AL,31,FALSE)</f>
        <v>36</v>
      </c>
    </row>
    <row r="144" spans="1:33" x14ac:dyDescent="0.2">
      <c r="A144" s="1" t="s">
        <v>534</v>
      </c>
      <c r="B144" s="1" t="str">
        <f>VLOOKUP(A144,Xtal_Templ!A:B,2,FALSE)</f>
        <v>opsd_human</v>
      </c>
      <c r="C144" s="5">
        <f>VLOOKUP($B144&amp;"__wt",'Xtal_SegEnds_BW#'!$A:$Z,3,FALSE)</f>
        <v>29</v>
      </c>
      <c r="D144" s="1">
        <f>VLOOKUP($B144&amp;"__wt",'Xtal_SegEnds_BW#'!$A:$Z,4,FALSE)</f>
        <v>60</v>
      </c>
      <c r="E144" s="1">
        <f>VLOOKUP($B144&amp;"__wt",'Xtal_SegEnds_BW#'!$A:$Z,5,FALSE)</f>
        <v>48</v>
      </c>
      <c r="F144" s="1">
        <f>VLOOKUP($B144&amp;"__wt",'Xtal_SegEnds_BW#'!$A:$Z,6,FALSE)</f>
        <v>51</v>
      </c>
      <c r="G144" s="1">
        <v>37</v>
      </c>
      <c r="H144" s="1">
        <f>VLOOKUP($B144&amp;"__wt",'Xtal_SegEnds_BW#'!$A:$Z,8,FALSE)</f>
        <v>67</v>
      </c>
      <c r="I144" s="1">
        <f>VLOOKUP($B144&amp;"__wt",'Xtal_SegEnds_BW#'!$A:$Z,9,FALSE)</f>
        <v>49</v>
      </c>
      <c r="J144" s="1">
        <f>VLOOKUP($B144&amp;"__wt",'Xtal_SegEnds_BW#'!$A:$Z,10,FALSE)</f>
        <v>52</v>
      </c>
      <c r="K144" s="1">
        <v>18</v>
      </c>
      <c r="L144" s="1">
        <f>VLOOKUP($B144&amp;"__wt",'Xtal_SegEnds_BW#'!$A:$Z,12,FALSE)</f>
        <v>56</v>
      </c>
      <c r="M144" s="1">
        <f>VLOOKUP($B144&amp;"__wt",'Xtal_SegEnds_BW#'!$A:$Z,13,FALSE)</f>
        <v>50</v>
      </c>
      <c r="N144" s="1">
        <v>57</v>
      </c>
      <c r="O144" s="1">
        <v>39</v>
      </c>
      <c r="P144" s="1">
        <f>VLOOKUP($B144&amp;"__wt",'Xtal_SegEnds_BW#'!$A:$Z,16,FALSE)</f>
        <v>62</v>
      </c>
      <c r="Q144" s="1">
        <f>VLOOKUP($B144&amp;"__wt",'Xtal_SegEnds_BW#'!$A:$Z,17,FALSE)</f>
        <v>50</v>
      </c>
      <c r="R144" s="1">
        <f>VLOOKUP($B144&amp;"__wt",'Xtal_SegEnds_BW#'!$A:$Z,18,FALSE)</f>
        <v>52</v>
      </c>
      <c r="S144" s="1">
        <f>VLOOKUP($B144&amp;"__wt",'Xtal_SegEnds_BW#'!$A:$Z,19,FALSE)</f>
        <v>34</v>
      </c>
      <c r="T144" s="23">
        <f t="array" ref="T144">INDEX('ICL3'!$G$2:$G$31,MATCH(MIN(ABS(AF144-'ICL3'!$F$2:$F$31)),ABS(AF144-'ICL3'!$F$2:$F$31),0))</f>
        <v>72</v>
      </c>
      <c r="U144" s="1">
        <f t="array" ref="U144">INDEX('ICL3'!$H$2:$H$31,MATCH(MIN(ABS(AF144-'ICL3'!$F$2:$F$31)),ABS(AF144-'ICL3'!$F$2:$F$31),0))</f>
        <v>24</v>
      </c>
      <c r="V144" s="1">
        <v>61</v>
      </c>
      <c r="W144" s="1">
        <v>31</v>
      </c>
      <c r="X144" s="1">
        <f>VLOOKUP($B144&amp;"__wt",'Xtal_SegEnds_BW#'!$A:$Z,24,FALSE)</f>
        <v>56</v>
      </c>
      <c r="Y144" s="1">
        <f>VLOOKUP($B144&amp;"__wt",'Xtal_SegEnds_BW#'!$A:$Z,25,FALSE)</f>
        <v>47</v>
      </c>
      <c r="Z144" s="1">
        <f>VLOOKUP($B144&amp;"__wt",'Xtal_SegEnds_BW#'!$A:$Z,26,FALSE)</f>
        <v>59</v>
      </c>
      <c r="AA144" s="63" t="str">
        <f>VLOOKUP(A144,Classification!A:B,2,FALSE)</f>
        <v>A</v>
      </c>
      <c r="AB144" s="1">
        <f>VLOOKUP(A144,'NonXtal_SegEnds_Prot#'!A:AL,10,FALSE)-VLOOKUP(A144,'NonXtal_SegEnds_Prot#'!A:AL,7,FALSE)</f>
        <v>15</v>
      </c>
      <c r="AC144" s="1">
        <f>VLOOKUP(A144,'NonXtal_SegEnds_Prot#'!A:AL,13,FALSE)-VLOOKUP(A144,'NonXtal_SegEnds_Prot#'!A:AL,10,FALSE)</f>
        <v>20</v>
      </c>
      <c r="AD144" s="1">
        <f>VLOOKUP(A144,'NonXtal_SegEnds_Prot#'!A:AL,16,FALSE)-VLOOKUP(A144,'NonXtal_SegEnds_Prot#'!A:AL,10,FALSE)</f>
        <v>52</v>
      </c>
      <c r="AE144" s="1">
        <f>VLOOKUP(A144,'NonXtal_SegEnds_Prot#'!A:AL,28,FALSE)-VLOOKUP(A144,'NonXtal_SegEnds_Prot#'!A:AL,25,FALSE)</f>
        <v>28</v>
      </c>
      <c r="AF144" s="1">
        <f>VLOOKUP(A144,'NonXtal_SegEnds_Prot#'!A:AL,31,FALSE)-VLOOKUP(A144,'NonXtal_SegEnds_Prot#'!A:AL,28,FALSE)</f>
        <v>52</v>
      </c>
      <c r="AG144" s="1">
        <f>VLOOKUP(A144,'NonXtal_SegEnds_Prot#'!A:AL,34,FALSE)-VLOOKUP(A144,'NonXtal_SegEnds_Prot#'!A:AL,31,FALSE)</f>
        <v>36</v>
      </c>
    </row>
    <row r="145" spans="1:33" x14ac:dyDescent="0.2">
      <c r="A145" s="1" t="s">
        <v>535</v>
      </c>
      <c r="B145" s="1" t="str">
        <f>VLOOKUP(A145,Xtal_Templ!A:B,2,FALSE)</f>
        <v>opsd_human</v>
      </c>
      <c r="C145" s="5">
        <f>VLOOKUP($B145&amp;"__wt",'Xtal_SegEnds_BW#'!$A:$Z,3,FALSE)</f>
        <v>29</v>
      </c>
      <c r="D145" s="1">
        <f>VLOOKUP($B145&amp;"__wt",'Xtal_SegEnds_BW#'!$A:$Z,4,FALSE)</f>
        <v>60</v>
      </c>
      <c r="E145" s="1">
        <f>VLOOKUP($B145&amp;"__wt",'Xtal_SegEnds_BW#'!$A:$Z,5,FALSE)</f>
        <v>48</v>
      </c>
      <c r="F145" s="1">
        <f>VLOOKUP($B145&amp;"__wt",'Xtal_SegEnds_BW#'!$A:$Z,6,FALSE)</f>
        <v>51</v>
      </c>
      <c r="G145" s="1">
        <v>37</v>
      </c>
      <c r="H145" s="1">
        <f>VLOOKUP($B145&amp;"__wt",'Xtal_SegEnds_BW#'!$A:$Z,8,FALSE)</f>
        <v>67</v>
      </c>
      <c r="I145" s="1">
        <f>VLOOKUP($B145&amp;"__wt",'Xtal_SegEnds_BW#'!$A:$Z,9,FALSE)</f>
        <v>49</v>
      </c>
      <c r="J145" s="1">
        <f>VLOOKUP($B145&amp;"__wt",'Xtal_SegEnds_BW#'!$A:$Z,10,FALSE)</f>
        <v>52</v>
      </c>
      <c r="K145" s="1">
        <v>18</v>
      </c>
      <c r="L145" s="1">
        <f>VLOOKUP($B145&amp;"__wt",'Xtal_SegEnds_BW#'!$A:$Z,12,FALSE)</f>
        <v>56</v>
      </c>
      <c r="M145" s="1">
        <f>VLOOKUP($B145&amp;"__wt",'Xtal_SegEnds_BW#'!$A:$Z,13,FALSE)</f>
        <v>50</v>
      </c>
      <c r="N145" s="1">
        <v>57</v>
      </c>
      <c r="O145" s="1">
        <v>39</v>
      </c>
      <c r="P145" s="1">
        <f>VLOOKUP($B145&amp;"__wt",'Xtal_SegEnds_BW#'!$A:$Z,16,FALSE)</f>
        <v>62</v>
      </c>
      <c r="Q145" s="1">
        <f>VLOOKUP($B145&amp;"__wt",'Xtal_SegEnds_BW#'!$A:$Z,17,FALSE)</f>
        <v>50</v>
      </c>
      <c r="R145" s="1">
        <f>VLOOKUP($B145&amp;"__wt",'Xtal_SegEnds_BW#'!$A:$Z,18,FALSE)</f>
        <v>52</v>
      </c>
      <c r="S145" s="1">
        <f>VLOOKUP($B145&amp;"__wt",'Xtal_SegEnds_BW#'!$A:$Z,19,FALSE)</f>
        <v>34</v>
      </c>
      <c r="T145" s="23">
        <f t="array" ref="T145">INDEX('ICL3'!$G$2:$G$31,MATCH(MIN(ABS(AF145-'ICL3'!$F$2:$F$31)),ABS(AF145-'ICL3'!$F$2:$F$31),0))</f>
        <v>72</v>
      </c>
      <c r="U145" s="1">
        <f t="array" ref="U145">INDEX('ICL3'!$H$2:$H$31,MATCH(MIN(ABS(AF145-'ICL3'!$F$2:$F$31)),ABS(AF145-'ICL3'!$F$2:$F$31),0))</f>
        <v>24</v>
      </c>
      <c r="V145" s="1">
        <v>61</v>
      </c>
      <c r="W145" s="1">
        <v>31</v>
      </c>
      <c r="X145" s="1">
        <f>VLOOKUP($B145&amp;"__wt",'Xtal_SegEnds_BW#'!$A:$Z,24,FALSE)</f>
        <v>56</v>
      </c>
      <c r="Y145" s="1">
        <f>VLOOKUP($B145&amp;"__wt",'Xtal_SegEnds_BW#'!$A:$Z,25,FALSE)</f>
        <v>47</v>
      </c>
      <c r="Z145" s="1">
        <f>VLOOKUP($B145&amp;"__wt",'Xtal_SegEnds_BW#'!$A:$Z,26,FALSE)</f>
        <v>59</v>
      </c>
      <c r="AA145" s="63" t="str">
        <f>VLOOKUP(A145,Classification!A:B,2,FALSE)</f>
        <v>A</v>
      </c>
      <c r="AB145" s="1">
        <f>VLOOKUP(A145,'NonXtal_SegEnds_Prot#'!A:AL,10,FALSE)-VLOOKUP(A145,'NonXtal_SegEnds_Prot#'!A:AL,7,FALSE)</f>
        <v>15</v>
      </c>
      <c r="AC145" s="1">
        <f>VLOOKUP(A145,'NonXtal_SegEnds_Prot#'!A:AL,13,FALSE)-VLOOKUP(A145,'NonXtal_SegEnds_Prot#'!A:AL,10,FALSE)</f>
        <v>19</v>
      </c>
      <c r="AD145" s="1">
        <f>VLOOKUP(A145,'NonXtal_SegEnds_Prot#'!A:AL,16,FALSE)-VLOOKUP(A145,'NonXtal_SegEnds_Prot#'!A:AL,10,FALSE)</f>
        <v>52</v>
      </c>
      <c r="AE145" s="1">
        <f>VLOOKUP(A145,'NonXtal_SegEnds_Prot#'!A:AL,28,FALSE)-VLOOKUP(A145,'NonXtal_SegEnds_Prot#'!A:AL,25,FALSE)</f>
        <v>28</v>
      </c>
      <c r="AF145" s="1">
        <f>VLOOKUP(A145,'NonXtal_SegEnds_Prot#'!A:AL,31,FALSE)-VLOOKUP(A145,'NonXtal_SegEnds_Prot#'!A:AL,28,FALSE)</f>
        <v>52</v>
      </c>
      <c r="AG145" s="1">
        <f>VLOOKUP(A145,'NonXtal_SegEnds_Prot#'!A:AL,34,FALSE)-VLOOKUP(A145,'NonXtal_SegEnds_Prot#'!A:AL,31,FALSE)</f>
        <v>36</v>
      </c>
    </row>
    <row r="146" spans="1:33" x14ac:dyDescent="0.2">
      <c r="A146" s="1" t="s">
        <v>569</v>
      </c>
      <c r="B146" s="1" t="str">
        <f>VLOOKUP(A146,Xtal_Templ!A:B,2,FALSE)</f>
        <v>adrb2_human</v>
      </c>
      <c r="C146" s="5">
        <f>VLOOKUP($B146&amp;"__wt",'Xtal_SegEnds_BW#'!$A:$Z,3,FALSE)</f>
        <v>25</v>
      </c>
      <c r="D146" s="1">
        <f>VLOOKUP($B146&amp;"__wt",'Xtal_SegEnds_BW#'!$A:$Z,4,FALSE)</f>
        <v>60</v>
      </c>
      <c r="E146" s="1">
        <f>VLOOKUP($B146&amp;"__wt",'Xtal_SegEnds_BW#'!$A:$Z,5,FALSE)</f>
        <v>48</v>
      </c>
      <c r="F146" s="1">
        <f>VLOOKUP($B146&amp;"__wt",'Xtal_SegEnds_BW#'!$A:$Z,6,FALSE)</f>
        <v>51</v>
      </c>
      <c r="G146" s="1">
        <v>37</v>
      </c>
      <c r="H146" s="1">
        <f>VLOOKUP($B146&amp;"__wt",'Xtal_SegEnds_BW#'!$A:$Z,8,FALSE)</f>
        <v>67</v>
      </c>
      <c r="I146" s="1">
        <f>VLOOKUP($B146&amp;"__wt",'Xtal_SegEnds_BW#'!$A:$Z,9,FALSE)</f>
        <v>49</v>
      </c>
      <c r="J146" s="1">
        <f>VLOOKUP($B146&amp;"__wt",'Xtal_SegEnds_BW#'!$A:$Z,10,FALSE)</f>
        <v>52</v>
      </c>
      <c r="K146" s="1">
        <v>18</v>
      </c>
      <c r="L146" s="1">
        <f>VLOOKUP($B146&amp;"__wt",'Xtal_SegEnds_BW#'!$A:$Z,12,FALSE)</f>
        <v>56</v>
      </c>
      <c r="M146" s="1">
        <f>VLOOKUP($B146&amp;"__wt",'Xtal_SegEnds_BW#'!$A:$Z,13,FALSE)</f>
        <v>50</v>
      </c>
      <c r="N146" s="1">
        <v>57</v>
      </c>
      <c r="O146" s="1">
        <v>39</v>
      </c>
      <c r="P146" s="1">
        <f>VLOOKUP($B146&amp;"__wt",'Xtal_SegEnds_BW#'!$A:$Z,16,FALSE)</f>
        <v>64</v>
      </c>
      <c r="Q146" s="1">
        <f>VLOOKUP($B146&amp;"__wt",'Xtal_SegEnds_BW#'!$A:$Z,17,FALSE)</f>
        <v>50</v>
      </c>
      <c r="R146" s="1">
        <f>VLOOKUP($B146&amp;"__wt",'Xtal_SegEnds_BW#'!$A:$Z,18,FALSE)</f>
        <v>52</v>
      </c>
      <c r="S146" s="1">
        <v>35</v>
      </c>
      <c r="T146" s="23">
        <f t="array" ref="T146">INDEX('ICL3'!$G$2:$G$31,MATCH(MIN(ABS(AF146-'ICL3'!$F$2:$F$31)),ABS(AF146-'ICL3'!$F$2:$F$31),0))</f>
        <v>72</v>
      </c>
      <c r="U146" s="1">
        <f t="array" ref="U146">INDEX('ICL3'!$H$2:$H$31,MATCH(MIN(ABS(AF146-'ICL3'!$F$2:$F$31)),ABS(AF146-'ICL3'!$F$2:$F$31),0))</f>
        <v>24</v>
      </c>
      <c r="V146" s="1">
        <v>61</v>
      </c>
      <c r="W146" s="1">
        <v>31</v>
      </c>
      <c r="X146" s="1">
        <f>VLOOKUP($B146&amp;"__wt",'Xtal_SegEnds_BW#'!$A:$Z,24,FALSE)</f>
        <v>55</v>
      </c>
      <c r="Y146" s="1">
        <f>VLOOKUP($B146&amp;"__wt",'Xtal_SegEnds_BW#'!$A:$Z,25,FALSE)</f>
        <v>47</v>
      </c>
      <c r="Z146" s="1">
        <f>VLOOKUP($B146&amp;"__wt",'Xtal_SegEnds_BW#'!$A:$Z,26,FALSE)</f>
        <v>59</v>
      </c>
      <c r="AA146" s="63" t="str">
        <f>VLOOKUP(A146,Classification!A:B,2,FALSE)</f>
        <v>A</v>
      </c>
      <c r="AB146" s="1">
        <f>VLOOKUP(A146,'NonXtal_SegEnds_Prot#'!A:AL,10,FALSE)-VLOOKUP(A146,'NonXtal_SegEnds_Prot#'!A:AL,7,FALSE)</f>
        <v>15</v>
      </c>
      <c r="AC146" s="1" t="e">
        <f>VLOOKUP(A146,'NonXtal_SegEnds_Prot#'!A:AL,13,FALSE)-VLOOKUP(A146,'NonXtal_SegEnds_Prot#'!A:AL,10,FALSE)</f>
        <v>#VALUE!</v>
      </c>
      <c r="AD146" s="1">
        <f>VLOOKUP(A146,'NonXtal_SegEnds_Prot#'!A:AL,16,FALSE)-VLOOKUP(A146,'NonXtal_SegEnds_Prot#'!A:AL,10,FALSE)</f>
        <v>59</v>
      </c>
      <c r="AE146" s="1">
        <f>VLOOKUP(A146,'NonXtal_SegEnds_Prot#'!A:AL,28,FALSE)-VLOOKUP(A146,'NonXtal_SegEnds_Prot#'!A:AL,25,FALSE)</f>
        <v>28</v>
      </c>
      <c r="AF146" s="1">
        <f>VLOOKUP(A146,'NonXtal_SegEnds_Prot#'!A:AL,31,FALSE)-VLOOKUP(A146,'NonXtal_SegEnds_Prot#'!A:AL,28,FALSE)</f>
        <v>52</v>
      </c>
      <c r="AG146" s="1">
        <f>VLOOKUP(A146,'NonXtal_SegEnds_Prot#'!A:AL,34,FALSE)-VLOOKUP(A146,'NonXtal_SegEnds_Prot#'!A:AL,31,FALSE)</f>
        <v>35</v>
      </c>
    </row>
    <row r="147" spans="1:33" x14ac:dyDescent="0.2">
      <c r="A147" s="1" t="s">
        <v>570</v>
      </c>
      <c r="B147" s="1" t="str">
        <f>VLOOKUP(A147,Xtal_Templ!A:B,2,FALSE)</f>
        <v>adrb1_melga</v>
      </c>
      <c r="C147" s="5">
        <f>VLOOKUP($B147&amp;"__wt",'Xtal_SegEnds_BW#'!$A:$Z,3,FALSE)</f>
        <v>24</v>
      </c>
      <c r="D147" s="1">
        <f>VLOOKUP($B147&amp;"__wt",'Xtal_SegEnds_BW#'!$A:$Z,4,FALSE)</f>
        <v>60</v>
      </c>
      <c r="E147" s="1">
        <f>VLOOKUP($B147&amp;"__wt",'Xtal_SegEnds_BW#'!$A:$Z,5,FALSE)</f>
        <v>48</v>
      </c>
      <c r="F147" s="1">
        <f>VLOOKUP($B147&amp;"__wt",'Xtal_SegEnds_BW#'!$A:$Z,6,FALSE)</f>
        <v>51</v>
      </c>
      <c r="G147" s="1">
        <v>37</v>
      </c>
      <c r="H147" s="1">
        <f>VLOOKUP($B147&amp;"__wt",'Xtal_SegEnds_BW#'!$A:$Z,8,FALSE)</f>
        <v>67</v>
      </c>
      <c r="I147" s="1">
        <f>VLOOKUP($B147&amp;"__wt",'Xtal_SegEnds_BW#'!$A:$Z,9,FALSE)</f>
        <v>49</v>
      </c>
      <c r="J147" s="1">
        <f>VLOOKUP($B147&amp;"__wt",'Xtal_SegEnds_BW#'!$A:$Z,10,FALSE)</f>
        <v>52</v>
      </c>
      <c r="K147" s="1">
        <v>18</v>
      </c>
      <c r="L147" s="1">
        <f>VLOOKUP($B147&amp;"__wt",'Xtal_SegEnds_BW#'!$A:$Z,12,FALSE)</f>
        <v>56</v>
      </c>
      <c r="M147" s="1">
        <f>VLOOKUP($B147&amp;"__wt",'Xtal_SegEnds_BW#'!$A:$Z,13,FALSE)</f>
        <v>50</v>
      </c>
      <c r="N147" s="1">
        <v>57</v>
      </c>
      <c r="O147" s="1">
        <v>39</v>
      </c>
      <c r="P147" s="1">
        <f>VLOOKUP($B147&amp;"__wt",'Xtal_SegEnds_BW#'!$A:$Z,16,FALSE)</f>
        <v>64</v>
      </c>
      <c r="Q147" s="1">
        <f>VLOOKUP($B147&amp;"__wt",'Xtal_SegEnds_BW#'!$A:$Z,17,FALSE)</f>
        <v>50</v>
      </c>
      <c r="R147" s="1">
        <f>VLOOKUP($B147&amp;"__wt",'Xtal_SegEnds_BW#'!$A:$Z,18,FALSE)</f>
        <v>52</v>
      </c>
      <c r="S147" s="1">
        <v>35</v>
      </c>
      <c r="T147" s="23">
        <f t="array" ref="T147">INDEX('ICL3'!$G$2:$G$31,MATCH(MIN(ABS(AF147-'ICL3'!$F$2:$F$31)),ABS(AF147-'ICL3'!$F$2:$F$31),0))</f>
        <v>72</v>
      </c>
      <c r="U147" s="1">
        <f t="array" ref="U147">INDEX('ICL3'!$H$2:$H$31,MATCH(MIN(ABS(AF147-'ICL3'!$F$2:$F$31)),ABS(AF147-'ICL3'!$F$2:$F$31),0))</f>
        <v>24</v>
      </c>
      <c r="V147" s="1">
        <v>61</v>
      </c>
      <c r="W147" s="1">
        <v>31</v>
      </c>
      <c r="X147" s="1">
        <f>VLOOKUP($B147&amp;"__wt",'Xtal_SegEnds_BW#'!$A:$Z,24,FALSE)</f>
        <v>55</v>
      </c>
      <c r="Y147" s="1">
        <f>VLOOKUP($B147&amp;"__wt",'Xtal_SegEnds_BW#'!$A:$Z,25,FALSE)</f>
        <v>47</v>
      </c>
      <c r="Z147" s="1">
        <f>VLOOKUP($B147&amp;"__wt",'Xtal_SegEnds_BW#'!$A:$Z,26,FALSE)</f>
        <v>59</v>
      </c>
      <c r="AA147" s="63" t="str">
        <f>VLOOKUP(A147,Classification!A:B,2,FALSE)</f>
        <v>A</v>
      </c>
      <c r="AB147" s="1">
        <f>VLOOKUP(A147,'NonXtal_SegEnds_Prot#'!A:AL,10,FALSE)-VLOOKUP(A147,'NonXtal_SegEnds_Prot#'!A:AL,7,FALSE)</f>
        <v>15</v>
      </c>
      <c r="AC147" s="1">
        <f>VLOOKUP(A147,'NonXtal_SegEnds_Prot#'!A:AL,13,FALSE)-VLOOKUP(A147,'NonXtal_SegEnds_Prot#'!A:AL,10,FALSE)</f>
        <v>24</v>
      </c>
      <c r="AD147" s="1">
        <f>VLOOKUP(A147,'NonXtal_SegEnds_Prot#'!A:AL,16,FALSE)-VLOOKUP(A147,'NonXtal_SegEnds_Prot#'!A:AL,10,FALSE)</f>
        <v>59</v>
      </c>
      <c r="AE147" s="1">
        <f>VLOOKUP(A147,'NonXtal_SegEnds_Prot#'!A:AL,28,FALSE)-VLOOKUP(A147,'NonXtal_SegEnds_Prot#'!A:AL,25,FALSE)</f>
        <v>28</v>
      </c>
      <c r="AF147" s="1">
        <f>VLOOKUP(A147,'NonXtal_SegEnds_Prot#'!A:AL,31,FALSE)-VLOOKUP(A147,'NonXtal_SegEnds_Prot#'!A:AL,28,FALSE)</f>
        <v>52</v>
      </c>
      <c r="AG147" s="1">
        <f>VLOOKUP(A147,'NonXtal_SegEnds_Prot#'!A:AL,34,FALSE)-VLOOKUP(A147,'NonXtal_SegEnds_Prot#'!A:AL,31,FALSE)</f>
        <v>35</v>
      </c>
    </row>
    <row r="148" spans="1:33" x14ac:dyDescent="0.2">
      <c r="A148" s="1" t="s">
        <v>390</v>
      </c>
      <c r="B148" s="1" t="str">
        <f>VLOOKUP(A148,Xtal_Templ!A:B,2,FALSE)</f>
        <v>ednrb_human</v>
      </c>
      <c r="C148" s="5">
        <f>VLOOKUP($B148&amp;"__wt",'Xtal_SegEnds_BW#'!$A:$Z,3,FALSE)</f>
        <v>22</v>
      </c>
      <c r="D148" s="1">
        <f>VLOOKUP($B148&amp;"__wt",'Xtal_SegEnds_BW#'!$A:$Z,4,FALSE)</f>
        <v>60</v>
      </c>
      <c r="E148" s="1">
        <f>VLOOKUP($B148&amp;"__wt",'Xtal_SegEnds_BW#'!$A:$Z,5,FALSE)</f>
        <v>48</v>
      </c>
      <c r="F148" s="1">
        <f>VLOOKUP($B148&amp;"__wt",'Xtal_SegEnds_BW#'!$A:$Z,6,FALSE)</f>
        <v>52</v>
      </c>
      <c r="G148" s="1">
        <v>38</v>
      </c>
      <c r="H148" s="1">
        <f>VLOOKUP($B148&amp;"__wt",'Xtal_SegEnds_BW#'!$A:$Z,8,FALSE)</f>
        <v>67</v>
      </c>
      <c r="I148" s="1">
        <f>VLOOKUP($B148&amp;"__wt",'Xtal_SegEnds_BW#'!$A:$Z,9,FALSE)</f>
        <v>49</v>
      </c>
      <c r="J148" s="1">
        <f>VLOOKUP($B148&amp;"__wt",'Xtal_SegEnds_BW#'!$A:$Z,10,FALSE)</f>
        <v>52</v>
      </c>
      <c r="K148" s="1">
        <v>21</v>
      </c>
      <c r="L148" s="1">
        <f>VLOOKUP($B148&amp;"__wt",'Xtal_SegEnds_BW#'!$A:$Z,12,FALSE)</f>
        <v>56</v>
      </c>
      <c r="M148" s="1">
        <f>VLOOKUP($B148&amp;"__wt",'Xtal_SegEnds_BW#'!$A:$Z,13,FALSE)</f>
        <v>50</v>
      </c>
      <c r="N148" s="1">
        <v>57</v>
      </c>
      <c r="O148" s="1">
        <v>39</v>
      </c>
      <c r="P148" s="1">
        <f>VLOOKUP($B148&amp;"__wt",'Xtal_SegEnds_BW#'!$A:$Z,16,FALSE)</f>
        <v>64</v>
      </c>
      <c r="Q148" s="1">
        <f>VLOOKUP($B148&amp;"__wt",'Xtal_SegEnds_BW#'!$A:$Z,17,FALSE)</f>
        <v>50</v>
      </c>
      <c r="R148" s="1">
        <f>VLOOKUP($B148&amp;"__wt",'Xtal_SegEnds_BW#'!$A:$Z,18,FALSE)</f>
        <v>52</v>
      </c>
      <c r="S148" s="1">
        <f>VLOOKUP($B148&amp;"__wt",'Xtal_SegEnds_BW#'!$A:$Z,19,FALSE)</f>
        <v>29</v>
      </c>
      <c r="T148" s="23">
        <f t="array" ref="T148">INDEX('ICL3'!$G$2:$G$31,MATCH(MIN(ABS(AF148-'ICL3'!$F$2:$F$31)),ABS(AF148-'ICL3'!$F$2:$F$31),0))</f>
        <v>72</v>
      </c>
      <c r="U148" s="1">
        <f t="array" ref="U148">INDEX('ICL3'!$H$2:$H$31,MATCH(MIN(ABS(AF148-'ICL3'!$F$2:$F$31)),ABS(AF148-'ICL3'!$F$2:$F$31),0))</f>
        <v>24</v>
      </c>
      <c r="V148" s="1">
        <v>62</v>
      </c>
      <c r="W148" s="1">
        <v>24</v>
      </c>
      <c r="X148" s="1">
        <f>VLOOKUP($B148&amp;"__wt",'Xtal_SegEnds_BW#'!$A:$Z,24,FALSE)</f>
        <v>56</v>
      </c>
      <c r="Y148" s="1">
        <f>VLOOKUP($B148&amp;"__wt",'Xtal_SegEnds_BW#'!$A:$Z,25,FALSE)</f>
        <v>47</v>
      </c>
      <c r="Z148" s="1">
        <f>VLOOKUP($B148&amp;"__wt",'Xtal_SegEnds_BW#'!$A:$Z,26,FALSE)</f>
        <v>60</v>
      </c>
      <c r="AA148" s="63" t="str">
        <f>VLOOKUP(A148,Classification!A:B,2,FALSE)</f>
        <v>A</v>
      </c>
      <c r="AB148" s="1">
        <f>VLOOKUP(A148,'NonXtal_SegEnds_Prot#'!A:AL,10,FALSE)-VLOOKUP(A148,'NonXtal_SegEnds_Prot#'!A:AL,7,FALSE)</f>
        <v>15</v>
      </c>
      <c r="AC148" s="1">
        <f>VLOOKUP(A148,'NonXtal_SegEnds_Prot#'!A:AL,13,FALSE)-VLOOKUP(A148,'NonXtal_SegEnds_Prot#'!A:AL,10,FALSE)</f>
        <v>20</v>
      </c>
      <c r="AD148" s="1">
        <f>VLOOKUP(A148,'NonXtal_SegEnds_Prot#'!A:AL,16,FALSE)-VLOOKUP(A148,'NonXtal_SegEnds_Prot#'!A:AL,10,FALSE)</f>
        <v>52</v>
      </c>
      <c r="AE148" s="1">
        <f>VLOOKUP(A148,'NonXtal_SegEnds_Prot#'!A:AL,28,FALSE)-VLOOKUP(A148,'NonXtal_SegEnds_Prot#'!A:AL,25,FALSE)</f>
        <v>30</v>
      </c>
      <c r="AF148" s="1">
        <f>VLOOKUP(A148,'NonXtal_SegEnds_Prot#'!A:AL,31,FALSE)-VLOOKUP(A148,'NonXtal_SegEnds_Prot#'!A:AL,28,FALSE)</f>
        <v>53</v>
      </c>
      <c r="AG148" s="1">
        <f>VLOOKUP(A148,'NonXtal_SegEnds_Prot#'!A:AL,34,FALSE)-VLOOKUP(A148,'NonXtal_SegEnds_Prot#'!A:AL,31,FALSE)</f>
        <v>45</v>
      </c>
    </row>
    <row r="149" spans="1:33" x14ac:dyDescent="0.2">
      <c r="A149" s="1" t="s">
        <v>391</v>
      </c>
      <c r="B149" s="1" t="str">
        <f>VLOOKUP(A149,Xtal_Templ!A:B,2,FALSE)</f>
        <v>ednrb_human</v>
      </c>
      <c r="C149" s="5">
        <f>VLOOKUP($B149&amp;"__wt",'Xtal_SegEnds_BW#'!$A:$Z,3,FALSE)</f>
        <v>22</v>
      </c>
      <c r="D149" s="1">
        <f>VLOOKUP($B149&amp;"__wt",'Xtal_SegEnds_BW#'!$A:$Z,4,FALSE)</f>
        <v>60</v>
      </c>
      <c r="E149" s="1">
        <f>VLOOKUP($B149&amp;"__wt",'Xtal_SegEnds_BW#'!$A:$Z,5,FALSE)</f>
        <v>48</v>
      </c>
      <c r="F149" s="1">
        <f>VLOOKUP($B149&amp;"__wt",'Xtal_SegEnds_BW#'!$A:$Z,6,FALSE)</f>
        <v>52</v>
      </c>
      <c r="G149" s="1">
        <v>37</v>
      </c>
      <c r="H149" s="1">
        <f>VLOOKUP($B149&amp;"__wt",'Xtal_SegEnds_BW#'!$A:$Z,8,FALSE)</f>
        <v>67</v>
      </c>
      <c r="I149" s="1">
        <f>VLOOKUP($B149&amp;"__wt",'Xtal_SegEnds_BW#'!$A:$Z,9,FALSE)</f>
        <v>49</v>
      </c>
      <c r="J149" s="1">
        <f>VLOOKUP($B149&amp;"__wt",'Xtal_SegEnds_BW#'!$A:$Z,10,FALSE)</f>
        <v>52</v>
      </c>
      <c r="K149" s="1">
        <v>18</v>
      </c>
      <c r="L149" s="1">
        <f>VLOOKUP($B149&amp;"__wt",'Xtal_SegEnds_BW#'!$A:$Z,12,FALSE)</f>
        <v>56</v>
      </c>
      <c r="M149" s="1">
        <f>VLOOKUP($B149&amp;"__wt",'Xtal_SegEnds_BW#'!$A:$Z,13,FALSE)</f>
        <v>50</v>
      </c>
      <c r="N149" s="1">
        <v>57</v>
      </c>
      <c r="O149" s="1">
        <v>39</v>
      </c>
      <c r="P149" s="1">
        <f>VLOOKUP($B149&amp;"__wt",'Xtal_SegEnds_BW#'!$A:$Z,16,FALSE)</f>
        <v>64</v>
      </c>
      <c r="Q149" s="1">
        <f>VLOOKUP($B149&amp;"__wt",'Xtal_SegEnds_BW#'!$A:$Z,17,FALSE)</f>
        <v>50</v>
      </c>
      <c r="R149" s="1">
        <f>VLOOKUP($B149&amp;"__wt",'Xtal_SegEnds_BW#'!$A:$Z,18,FALSE)</f>
        <v>52</v>
      </c>
      <c r="S149" s="1">
        <f>VLOOKUP($B149&amp;"__wt",'Xtal_SegEnds_BW#'!$A:$Z,19,FALSE)</f>
        <v>29</v>
      </c>
      <c r="T149" s="23">
        <f t="array" ref="T149">INDEX('ICL3'!$G$2:$G$31,MATCH(MIN(ABS(AF149-'ICL3'!$F$2:$F$31)),ABS(AF149-'ICL3'!$F$2:$F$31),0))</f>
        <v>72</v>
      </c>
      <c r="U149" s="1">
        <f t="array" ref="U149">INDEX('ICL3'!$H$2:$H$31,MATCH(MIN(ABS(AF149-'ICL3'!$F$2:$F$31)),ABS(AF149-'ICL3'!$F$2:$F$31),0))</f>
        <v>24</v>
      </c>
      <c r="V149" s="1">
        <v>61</v>
      </c>
      <c r="W149" s="1">
        <v>28</v>
      </c>
      <c r="X149" s="1">
        <f>VLOOKUP($B149&amp;"__wt",'Xtal_SegEnds_BW#'!$A:$Z,24,FALSE)</f>
        <v>56</v>
      </c>
      <c r="Y149" s="1">
        <f>VLOOKUP($B149&amp;"__wt",'Xtal_SegEnds_BW#'!$A:$Z,25,FALSE)</f>
        <v>47</v>
      </c>
      <c r="Z149" s="1">
        <f>VLOOKUP($B149&amp;"__wt",'Xtal_SegEnds_BW#'!$A:$Z,26,FALSE)</f>
        <v>60</v>
      </c>
      <c r="AA149" s="63" t="str">
        <f>VLOOKUP(A149,Classification!A:B,2,FALSE)</f>
        <v>A</v>
      </c>
      <c r="AB149" s="1">
        <f>VLOOKUP(A149,'NonXtal_SegEnds_Prot#'!A:AL,10,FALSE)-VLOOKUP(A149,'NonXtal_SegEnds_Prot#'!A:AL,7,FALSE)</f>
        <v>15</v>
      </c>
      <c r="AC149" s="1" t="e">
        <f>VLOOKUP(A149,'NonXtal_SegEnds_Prot#'!A:AL,13,FALSE)-VLOOKUP(A149,'NonXtal_SegEnds_Prot#'!A:AL,10,FALSE)</f>
        <v>#VALUE!</v>
      </c>
      <c r="AD149" s="1">
        <f>VLOOKUP(A149,'NonXtal_SegEnds_Prot#'!A:AL,16,FALSE)-VLOOKUP(A149,'NonXtal_SegEnds_Prot#'!A:AL,10,FALSE)</f>
        <v>52</v>
      </c>
      <c r="AE149" s="1">
        <f>VLOOKUP(A149,'NonXtal_SegEnds_Prot#'!A:AL,28,FALSE)-VLOOKUP(A149,'NonXtal_SegEnds_Prot#'!A:AL,25,FALSE)</f>
        <v>35</v>
      </c>
      <c r="AF149" s="1">
        <f>VLOOKUP(A149,'NonXtal_SegEnds_Prot#'!A:AL,31,FALSE)-VLOOKUP(A149,'NonXtal_SegEnds_Prot#'!A:AL,28,FALSE)</f>
        <v>53</v>
      </c>
      <c r="AG149" s="1">
        <f>VLOOKUP(A149,'NonXtal_SegEnds_Prot#'!A:AL,34,FALSE)-VLOOKUP(A149,'NonXtal_SegEnds_Prot#'!A:AL,31,FALSE)</f>
        <v>39</v>
      </c>
    </row>
    <row r="150" spans="1:33" x14ac:dyDescent="0.2">
      <c r="A150" s="1" t="s">
        <v>449</v>
      </c>
      <c r="B150" s="1" t="str">
        <f>VLOOKUP(A150,Xtal_Templ!A:B,2,FALSE)</f>
        <v>ednrb_human</v>
      </c>
      <c r="C150" s="5">
        <f>VLOOKUP($B150&amp;"__wt",'Xtal_SegEnds_BW#'!$A:$Z,3,FALSE)</f>
        <v>22</v>
      </c>
      <c r="D150" s="1">
        <f>VLOOKUP($B150&amp;"__wt",'Xtal_SegEnds_BW#'!$A:$Z,4,FALSE)</f>
        <v>60</v>
      </c>
      <c r="E150" s="1">
        <f>VLOOKUP($B150&amp;"__wt",'Xtal_SegEnds_BW#'!$A:$Z,5,FALSE)</f>
        <v>48</v>
      </c>
      <c r="F150" s="1">
        <f>VLOOKUP($B150&amp;"__wt",'Xtal_SegEnds_BW#'!$A:$Z,6,FALSE)</f>
        <v>52</v>
      </c>
      <c r="G150" s="1">
        <v>37</v>
      </c>
      <c r="H150" s="1">
        <f>VLOOKUP($B150&amp;"__wt",'Xtal_SegEnds_BW#'!$A:$Z,8,FALSE)</f>
        <v>67</v>
      </c>
      <c r="I150" s="1">
        <f>VLOOKUP($B150&amp;"__wt",'Xtal_SegEnds_BW#'!$A:$Z,9,FALSE)</f>
        <v>49</v>
      </c>
      <c r="J150" s="1">
        <f>VLOOKUP($B150&amp;"__wt",'Xtal_SegEnds_BW#'!$A:$Z,10,FALSE)</f>
        <v>52</v>
      </c>
      <c r="K150" s="1">
        <v>18</v>
      </c>
      <c r="L150" s="1">
        <f>VLOOKUP($B150&amp;"__wt",'Xtal_SegEnds_BW#'!$A:$Z,12,FALSE)</f>
        <v>56</v>
      </c>
      <c r="M150" s="1">
        <f>VLOOKUP($B150&amp;"__wt",'Xtal_SegEnds_BW#'!$A:$Z,13,FALSE)</f>
        <v>50</v>
      </c>
      <c r="N150" s="1">
        <v>57</v>
      </c>
      <c r="O150" s="1">
        <v>39</v>
      </c>
      <c r="P150" s="1">
        <f>VLOOKUP($B150&amp;"__wt",'Xtal_SegEnds_BW#'!$A:$Z,16,FALSE)</f>
        <v>64</v>
      </c>
      <c r="Q150" s="1">
        <f>VLOOKUP($B150&amp;"__wt",'Xtal_SegEnds_BW#'!$A:$Z,17,FALSE)</f>
        <v>50</v>
      </c>
      <c r="R150" s="1">
        <f>VLOOKUP($B150&amp;"__wt",'Xtal_SegEnds_BW#'!$A:$Z,18,FALSE)</f>
        <v>52</v>
      </c>
      <c r="S150" s="1">
        <f>VLOOKUP($B150&amp;"__wt",'Xtal_SegEnds_BW#'!$A:$Z,19,FALSE)</f>
        <v>29</v>
      </c>
      <c r="T150" s="23">
        <f t="array" ref="T150">INDEX('ICL3'!$G$2:$G$31,MATCH(MIN(ABS(AF150-'ICL3'!$F$2:$F$31)),ABS(AF150-'ICL3'!$F$2:$F$31),0))</f>
        <v>72</v>
      </c>
      <c r="U150" s="1">
        <f t="array" ref="U150">INDEX('ICL3'!$H$2:$H$31,MATCH(MIN(ABS(AF150-'ICL3'!$F$2:$F$31)),ABS(AF150-'ICL3'!$F$2:$F$31),0))</f>
        <v>24</v>
      </c>
      <c r="V150" s="1">
        <v>61</v>
      </c>
      <c r="W150" s="1">
        <v>28</v>
      </c>
      <c r="X150" s="1">
        <f>VLOOKUP($B150&amp;"__wt",'Xtal_SegEnds_BW#'!$A:$Z,24,FALSE)</f>
        <v>56</v>
      </c>
      <c r="Y150" s="1">
        <f>VLOOKUP($B150&amp;"__wt",'Xtal_SegEnds_BW#'!$A:$Z,25,FALSE)</f>
        <v>47</v>
      </c>
      <c r="Z150" s="1">
        <f>VLOOKUP($B150&amp;"__wt",'Xtal_SegEnds_BW#'!$A:$Z,26,FALSE)</f>
        <v>60</v>
      </c>
      <c r="AA150" s="63" t="str">
        <f>VLOOKUP(A150,Classification!A:B,2,FALSE)</f>
        <v>A</v>
      </c>
      <c r="AB150" s="1">
        <f>VLOOKUP(A150,'NonXtal_SegEnds_Prot#'!A:AL,10,FALSE)-VLOOKUP(A150,'NonXtal_SegEnds_Prot#'!A:AL,7,FALSE)</f>
        <v>15</v>
      </c>
      <c r="AC150" s="1">
        <f>VLOOKUP(A150,'NonXtal_SegEnds_Prot#'!A:AL,13,FALSE)-VLOOKUP(A150,'NonXtal_SegEnds_Prot#'!A:AL,10,FALSE)</f>
        <v>20</v>
      </c>
      <c r="AD150" s="1">
        <f>VLOOKUP(A150,'NonXtal_SegEnds_Prot#'!A:AL,16,FALSE)-VLOOKUP(A150,'NonXtal_SegEnds_Prot#'!A:AL,10,FALSE)</f>
        <v>52</v>
      </c>
      <c r="AE150" s="1">
        <f>VLOOKUP(A150,'NonXtal_SegEnds_Prot#'!A:AL,28,FALSE)-VLOOKUP(A150,'NonXtal_SegEnds_Prot#'!A:AL,25,FALSE)</f>
        <v>35</v>
      </c>
      <c r="AF150" s="1">
        <f>VLOOKUP(A150,'NonXtal_SegEnds_Prot#'!A:AL,31,FALSE)-VLOOKUP(A150,'NonXtal_SegEnds_Prot#'!A:AL,28,FALSE)</f>
        <v>53</v>
      </c>
      <c r="AG150" s="1">
        <f>VLOOKUP(A150,'NonXtal_SegEnds_Prot#'!A:AL,34,FALSE)-VLOOKUP(A150,'NonXtal_SegEnds_Prot#'!A:AL,31,FALSE)</f>
        <v>39</v>
      </c>
    </row>
    <row r="151" spans="1:33" x14ac:dyDescent="0.2">
      <c r="A151" s="1" t="s">
        <v>389</v>
      </c>
      <c r="B151" s="1" t="str">
        <f>VLOOKUP(A151,Xtal_Templ!A:B,2,FALSE)</f>
        <v>ednrb_human</v>
      </c>
      <c r="C151" s="5">
        <f>VLOOKUP($B151&amp;"__wt",'Xtal_SegEnds_BW#'!$A:$Z,3,FALSE)</f>
        <v>22</v>
      </c>
      <c r="D151" s="1">
        <f>VLOOKUP($B151&amp;"__wt",'Xtal_SegEnds_BW#'!$A:$Z,4,FALSE)</f>
        <v>60</v>
      </c>
      <c r="E151" s="1">
        <f>VLOOKUP($B151&amp;"__wt",'Xtal_SegEnds_BW#'!$A:$Z,5,FALSE)</f>
        <v>48</v>
      </c>
      <c r="F151" s="1">
        <f>VLOOKUP($B151&amp;"__wt",'Xtal_SegEnds_BW#'!$A:$Z,6,FALSE)</f>
        <v>52</v>
      </c>
      <c r="G151" s="1">
        <v>38</v>
      </c>
      <c r="H151" s="1">
        <v>67</v>
      </c>
      <c r="I151" s="1">
        <f>VLOOKUP($B151&amp;"__wt",'Xtal_SegEnds_BW#'!$A:$Z,9,FALSE)</f>
        <v>49</v>
      </c>
      <c r="J151" s="1">
        <f>VLOOKUP($B151&amp;"__wt",'Xtal_SegEnds_BW#'!$A:$Z,10,FALSE)</f>
        <v>52</v>
      </c>
      <c r="K151" s="3">
        <v>21</v>
      </c>
      <c r="L151" s="1">
        <f>VLOOKUP($B151&amp;"__wt",'Xtal_SegEnds_BW#'!$A:$Z,12,FALSE)</f>
        <v>56</v>
      </c>
      <c r="M151" s="1">
        <f>VLOOKUP($B151&amp;"__wt",'Xtal_SegEnds_BW#'!$A:$Z,13,FALSE)</f>
        <v>50</v>
      </c>
      <c r="N151" s="1">
        <v>57</v>
      </c>
      <c r="O151" s="1">
        <v>39</v>
      </c>
      <c r="P151" s="1">
        <f>VLOOKUP($B151&amp;"__wt",'Xtal_SegEnds_BW#'!$A:$Z,16,FALSE)</f>
        <v>64</v>
      </c>
      <c r="Q151" s="1">
        <f>VLOOKUP($B151&amp;"__wt",'Xtal_SegEnds_BW#'!$A:$Z,17,FALSE)</f>
        <v>50</v>
      </c>
      <c r="R151" s="1">
        <f>VLOOKUP($B151&amp;"__wt",'Xtal_SegEnds_BW#'!$A:$Z,18,FALSE)</f>
        <v>52</v>
      </c>
      <c r="S151" s="1">
        <f>VLOOKUP($B151&amp;"__wt",'Xtal_SegEnds_BW#'!$A:$Z,19,FALSE)</f>
        <v>29</v>
      </c>
      <c r="T151" s="23">
        <f t="array" ref="T151">INDEX('ICL3'!$G$2:$G$31,MATCH(MIN(ABS(AF151-'ICL3'!$F$2:$F$31)),ABS(AF151-'ICL3'!$F$2:$F$31),0))</f>
        <v>72</v>
      </c>
      <c r="U151" s="1">
        <f t="array" ref="U151">INDEX('ICL3'!$H$2:$H$31,MATCH(MIN(ABS(AF151-'ICL3'!$F$2:$F$31)),ABS(AF151-'ICL3'!$F$2:$F$31),0))</f>
        <v>24</v>
      </c>
      <c r="V151" s="1">
        <v>62</v>
      </c>
      <c r="W151" s="1">
        <v>24</v>
      </c>
      <c r="X151" s="1">
        <f>VLOOKUP($B151&amp;"__wt",'Xtal_SegEnds_BW#'!$A:$Z,24,FALSE)</f>
        <v>56</v>
      </c>
      <c r="Y151" s="1">
        <f>VLOOKUP($B151&amp;"__wt",'Xtal_SegEnds_BW#'!$A:$Z,25,FALSE)</f>
        <v>47</v>
      </c>
      <c r="Z151" s="1">
        <f>VLOOKUP($B151&amp;"__wt",'Xtal_SegEnds_BW#'!$A:$Z,26,FALSE)</f>
        <v>60</v>
      </c>
      <c r="AA151" s="63" t="str">
        <f>VLOOKUP(A151,Classification!A:B,2,FALSE)</f>
        <v>A</v>
      </c>
      <c r="AB151" s="1">
        <f>VLOOKUP(A151,'NonXtal_SegEnds_Prot#'!A:AL,10,FALSE)-VLOOKUP(A151,'NonXtal_SegEnds_Prot#'!A:AL,7,FALSE)</f>
        <v>15</v>
      </c>
      <c r="AC151" s="1">
        <f>VLOOKUP(A151,'NonXtal_SegEnds_Prot#'!A:AL,13,FALSE)-VLOOKUP(A151,'NonXtal_SegEnds_Prot#'!A:AL,10,FALSE)</f>
        <v>20</v>
      </c>
      <c r="AD151" s="1">
        <f>VLOOKUP(A151,'NonXtal_SegEnds_Prot#'!A:AL,16,FALSE)-VLOOKUP(A151,'NonXtal_SegEnds_Prot#'!A:AL,10,FALSE)</f>
        <v>57</v>
      </c>
      <c r="AE151" s="1">
        <f>VLOOKUP(A151,'NonXtal_SegEnds_Prot#'!A:AL,28,FALSE)-VLOOKUP(A151,'NonXtal_SegEnds_Prot#'!A:AL,25,FALSE)</f>
        <v>28</v>
      </c>
      <c r="AF151" s="1">
        <f>VLOOKUP(A151,'NonXtal_SegEnds_Prot#'!A:AL,31,FALSE)-VLOOKUP(A151,'NonXtal_SegEnds_Prot#'!A:AL,28,FALSE)</f>
        <v>54</v>
      </c>
      <c r="AG151" s="1">
        <f>VLOOKUP(A151,'NonXtal_SegEnds_Prot#'!A:AL,34,FALSE)-VLOOKUP(A151,'NonXtal_SegEnds_Prot#'!A:AL,31,FALSE)</f>
        <v>45</v>
      </c>
    </row>
    <row r="152" spans="1:33" x14ac:dyDescent="0.2">
      <c r="A152" s="1" t="s">
        <v>401</v>
      </c>
      <c r="B152" s="1" t="str">
        <f>VLOOKUP(A152,Xtal_Templ!A:B,2,FALSE)</f>
        <v>oprm_mouse</v>
      </c>
      <c r="C152" s="5">
        <f>VLOOKUP($B152&amp;"__wt",'Xtal_SegEnds_BW#'!$A:$Z,3,FALSE)</f>
        <v>29</v>
      </c>
      <c r="D152" s="1">
        <f>VLOOKUP($B152&amp;"__wt",'Xtal_SegEnds_BW#'!$A:$Z,4,FALSE)</f>
        <v>60</v>
      </c>
      <c r="E152" s="1">
        <f>VLOOKUP($B152&amp;"__wt",'Xtal_SegEnds_BW#'!$A:$Z,5,FALSE)</f>
        <v>48</v>
      </c>
      <c r="F152" s="1">
        <f>VLOOKUP($B152&amp;"__wt",'Xtal_SegEnds_BW#'!$A:$Z,6,FALSE)</f>
        <v>51</v>
      </c>
      <c r="G152" s="1">
        <v>37</v>
      </c>
      <c r="H152" s="1">
        <f>VLOOKUP($B152&amp;"__wt",'Xtal_SegEnds_BW#'!$A:$Z,8,FALSE)</f>
        <v>66</v>
      </c>
      <c r="I152" s="1">
        <f>VLOOKUP($B152&amp;"__wt",'Xtal_SegEnds_BW#'!$A:$Z,9,FALSE)</f>
        <v>49</v>
      </c>
      <c r="J152" s="1">
        <f>VLOOKUP($B152&amp;"__wt",'Xtal_SegEnds_BW#'!$A:$Z,10,FALSE)</f>
        <v>52</v>
      </c>
      <c r="K152" s="1">
        <v>18</v>
      </c>
      <c r="L152" s="1">
        <f>VLOOKUP($B152&amp;"__wt",'Xtal_SegEnds_BW#'!$A:$Z,12,FALSE)</f>
        <v>56</v>
      </c>
      <c r="M152" s="1">
        <f>VLOOKUP($B152&amp;"__wt",'Xtal_SegEnds_BW#'!$A:$Z,13,FALSE)</f>
        <v>50</v>
      </c>
      <c r="N152" s="1">
        <v>57</v>
      </c>
      <c r="O152" s="1">
        <v>39</v>
      </c>
      <c r="P152" s="1">
        <f>VLOOKUP($B152&amp;"__wt",'Xtal_SegEnds_BW#'!$A:$Z,16,FALSE)</f>
        <v>64</v>
      </c>
      <c r="Q152" s="1">
        <f>VLOOKUP($B152&amp;"__wt",'Xtal_SegEnds_BW#'!$A:$Z,17,FALSE)</f>
        <v>50</v>
      </c>
      <c r="R152" s="1">
        <f>VLOOKUP($B152&amp;"__wt",'Xtal_SegEnds_BW#'!$A:$Z,18,FALSE)</f>
        <v>52</v>
      </c>
      <c r="S152" s="1">
        <f>VLOOKUP($B152&amp;"__wt",'Xtal_SegEnds_BW#'!$A:$Z,19,FALSE)</f>
        <v>31</v>
      </c>
      <c r="T152" s="23">
        <f t="array" ref="T152">INDEX('ICL3'!$G$2:$G$31,MATCH(MIN(ABS(AF152-'ICL3'!$F$2:$F$31)),ABS(AF152-'ICL3'!$F$2:$F$31),0))</f>
        <v>72</v>
      </c>
      <c r="U152" s="1">
        <f t="array" ref="U152">INDEX('ICL3'!$H$2:$H$31,MATCH(MIN(ABS(AF152-'ICL3'!$F$2:$F$31)),ABS(AF152-'ICL3'!$F$2:$F$31),0))</f>
        <v>24</v>
      </c>
      <c r="V152" s="1">
        <v>61</v>
      </c>
      <c r="W152" s="1">
        <v>28</v>
      </c>
      <c r="X152" s="1">
        <f>VLOOKUP($B152&amp;"__wt",'Xtal_SegEnds_BW#'!$A:$Z,24,FALSE)</f>
        <v>56</v>
      </c>
      <c r="Y152" s="1">
        <f>VLOOKUP($B152&amp;"__wt",'Xtal_SegEnds_BW#'!$A:$Z,25,FALSE)</f>
        <v>47</v>
      </c>
      <c r="Z152" s="1">
        <f>VLOOKUP($B152&amp;"__wt",'Xtal_SegEnds_BW#'!$A:$Z,26,FALSE)</f>
        <v>59</v>
      </c>
      <c r="AA152" s="63" t="str">
        <f>VLOOKUP(A152,Classification!A:B,2,FALSE)</f>
        <v>A</v>
      </c>
      <c r="AB152" s="1">
        <f>VLOOKUP(A152,'NonXtal_SegEnds_Prot#'!A:AL,10,FALSE)-VLOOKUP(A152,'NonXtal_SegEnds_Prot#'!A:AL,7,FALSE)</f>
        <v>19</v>
      </c>
      <c r="AC152" s="1">
        <f>VLOOKUP(A152,'NonXtal_SegEnds_Prot#'!A:AL,13,FALSE)-VLOOKUP(A152,'NonXtal_SegEnds_Prot#'!A:AL,10,FALSE)</f>
        <v>20</v>
      </c>
      <c r="AD152" s="1">
        <f>VLOOKUP(A152,'NonXtal_SegEnds_Prot#'!A:AL,16,FALSE)-VLOOKUP(A152,'NonXtal_SegEnds_Prot#'!A:AL,10,FALSE)</f>
        <v>52</v>
      </c>
      <c r="AE152" s="1">
        <f>VLOOKUP(A152,'NonXtal_SegEnds_Prot#'!A:AL,28,FALSE)-VLOOKUP(A152,'NonXtal_SegEnds_Prot#'!A:AL,25,FALSE)</f>
        <v>24</v>
      </c>
      <c r="AF152" s="1">
        <f>VLOOKUP(A152,'NonXtal_SegEnds_Prot#'!A:AL,31,FALSE)-VLOOKUP(A152,'NonXtal_SegEnds_Prot#'!A:AL,28,FALSE)</f>
        <v>54</v>
      </c>
      <c r="AG152" s="1">
        <f>VLOOKUP(A152,'NonXtal_SegEnds_Prot#'!A:AL,34,FALSE)-VLOOKUP(A152,'NonXtal_SegEnds_Prot#'!A:AL,31,FALSE)</f>
        <v>38</v>
      </c>
    </row>
    <row r="153" spans="1:33" x14ac:dyDescent="0.2">
      <c r="A153" s="1" t="s">
        <v>403</v>
      </c>
      <c r="B153" s="1" t="str">
        <f>VLOOKUP(A153,Xtal_Templ!A:B,2,FALSE)</f>
        <v>ntr1_rat</v>
      </c>
      <c r="C153" s="5">
        <f>VLOOKUP($B153&amp;"__wt",'Xtal_SegEnds_BW#'!$A:$Z,3,FALSE)</f>
        <v>29</v>
      </c>
      <c r="D153" s="1">
        <f>VLOOKUP($B153&amp;"__wt",'Xtal_SegEnds_BW#'!$A:$Z,4,FALSE)</f>
        <v>60</v>
      </c>
      <c r="E153" s="1">
        <f>VLOOKUP($B153&amp;"__wt",'Xtal_SegEnds_BW#'!$A:$Z,5,FALSE)</f>
        <v>48</v>
      </c>
      <c r="F153" s="1">
        <f>VLOOKUP($B153&amp;"__wt",'Xtal_SegEnds_BW#'!$A:$Z,6,FALSE)</f>
        <v>51</v>
      </c>
      <c r="G153" s="1">
        <v>37</v>
      </c>
      <c r="H153" s="1">
        <v>67</v>
      </c>
      <c r="I153" s="1">
        <f>VLOOKUP($B153&amp;"__wt",'Xtal_SegEnds_BW#'!$A:$Z,9,FALSE)</f>
        <v>49</v>
      </c>
      <c r="J153" s="1">
        <f>VLOOKUP($B153&amp;"__wt",'Xtal_SegEnds_BW#'!$A:$Z,10,FALSE)</f>
        <v>52</v>
      </c>
      <c r="K153" s="1">
        <v>18</v>
      </c>
      <c r="L153" s="1">
        <f>VLOOKUP($B153&amp;"__wt",'Xtal_SegEnds_BW#'!$A:$Z,12,FALSE)</f>
        <v>56</v>
      </c>
      <c r="M153" s="1">
        <f>VLOOKUP($B153&amp;"__wt",'Xtal_SegEnds_BW#'!$A:$Z,13,FALSE)</f>
        <v>50</v>
      </c>
      <c r="N153" s="1">
        <v>57</v>
      </c>
      <c r="O153" s="1">
        <v>39</v>
      </c>
      <c r="P153" s="1">
        <f>VLOOKUP($B153&amp;"__wt",'Xtal_SegEnds_BW#'!$A:$Z,16,FALSE)</f>
        <v>64</v>
      </c>
      <c r="Q153" s="1">
        <f>VLOOKUP($B153&amp;"__wt",'Xtal_SegEnds_BW#'!$A:$Z,17,FALSE)</f>
        <v>50</v>
      </c>
      <c r="R153" s="1">
        <f>VLOOKUP($B153&amp;"__wt",'Xtal_SegEnds_BW#'!$A:$Z,18,FALSE)</f>
        <v>52</v>
      </c>
      <c r="S153" s="1">
        <f>VLOOKUP($B153&amp;"__wt",'Xtal_SegEnds_BW#'!$A:$Z,19,FALSE)</f>
        <v>32</v>
      </c>
      <c r="T153" s="23">
        <f t="array" ref="T153">INDEX('ICL3'!$G$2:$G$31,MATCH(MIN(ABS(AF153-'ICL3'!$F$2:$F$31)),ABS(AF153-'ICL3'!$F$2:$F$31),0))</f>
        <v>72</v>
      </c>
      <c r="U153" s="1">
        <f t="array" ref="U153">INDEX('ICL3'!$H$2:$H$31,MATCH(MIN(ABS(AF153-'ICL3'!$F$2:$F$31)),ABS(AF153-'ICL3'!$F$2:$F$31),0))</f>
        <v>24</v>
      </c>
      <c r="V153" s="1">
        <v>61</v>
      </c>
      <c r="W153" s="1">
        <v>28</v>
      </c>
      <c r="X153" s="1">
        <f>VLOOKUP($B153&amp;"__wt",'Xtal_SegEnds_BW#'!$A:$Z,24,FALSE)</f>
        <v>56</v>
      </c>
      <c r="Y153" s="1">
        <f>VLOOKUP($B153&amp;"__wt",'Xtal_SegEnds_BW#'!$A:$Z,25,FALSE)</f>
        <v>47</v>
      </c>
      <c r="Z153" s="1">
        <f>VLOOKUP($B153&amp;"__wt",'Xtal_SegEnds_BW#'!$A:$Z,26,FALSE)</f>
        <v>58</v>
      </c>
      <c r="AA153" s="63" t="str">
        <f>VLOOKUP(A153,Classification!A:B,2,FALSE)</f>
        <v>A</v>
      </c>
      <c r="AB153" s="1">
        <f>VLOOKUP(A153,'NonXtal_SegEnds_Prot#'!A:AL,10,FALSE)-VLOOKUP(A153,'NonXtal_SegEnds_Prot#'!A:AL,7,FALSE)</f>
        <v>15</v>
      </c>
      <c r="AC153" s="1">
        <f>VLOOKUP(A153,'NonXtal_SegEnds_Prot#'!A:AL,13,FALSE)-VLOOKUP(A153,'NonXtal_SegEnds_Prot#'!A:AL,10,FALSE)</f>
        <v>20</v>
      </c>
      <c r="AD153" s="1">
        <f>VLOOKUP(A153,'NonXtal_SegEnds_Prot#'!A:AL,16,FALSE)-VLOOKUP(A153,'NonXtal_SegEnds_Prot#'!A:AL,10,FALSE)</f>
        <v>52</v>
      </c>
      <c r="AE153" s="1">
        <f>VLOOKUP(A153,'NonXtal_SegEnds_Prot#'!A:AL,28,FALSE)-VLOOKUP(A153,'NonXtal_SegEnds_Prot#'!A:AL,25,FALSE)</f>
        <v>26</v>
      </c>
      <c r="AF153" s="1">
        <f>VLOOKUP(A153,'NonXtal_SegEnds_Prot#'!A:AL,31,FALSE)-VLOOKUP(A153,'NonXtal_SegEnds_Prot#'!A:AL,28,FALSE)</f>
        <v>54</v>
      </c>
      <c r="AG153" s="1">
        <f>VLOOKUP(A153,'NonXtal_SegEnds_Prot#'!A:AL,34,FALSE)-VLOOKUP(A153,'NonXtal_SegEnds_Prot#'!A:AL,31,FALSE)</f>
        <v>42</v>
      </c>
    </row>
    <row r="154" spans="1:33" x14ac:dyDescent="0.2">
      <c r="A154" s="1" t="s">
        <v>504</v>
      </c>
      <c r="B154" s="1" t="str">
        <f>VLOOKUP(A154,Xtal_Templ!A:B,2,FALSE)</f>
        <v>ntr1_rat</v>
      </c>
      <c r="C154" s="5">
        <f>VLOOKUP($B154&amp;"__wt",'Xtal_SegEnds_BW#'!$A:$Z,3,FALSE)</f>
        <v>29</v>
      </c>
      <c r="D154" s="1">
        <f>VLOOKUP($B154&amp;"__wt",'Xtal_SegEnds_BW#'!$A:$Z,4,FALSE)</f>
        <v>60</v>
      </c>
      <c r="E154" s="1">
        <f>VLOOKUP($B154&amp;"__wt",'Xtal_SegEnds_BW#'!$A:$Z,5,FALSE)</f>
        <v>48</v>
      </c>
      <c r="F154" s="1">
        <f>VLOOKUP($B154&amp;"__wt",'Xtal_SegEnds_BW#'!$A:$Z,6,FALSE)</f>
        <v>51</v>
      </c>
      <c r="G154" s="1">
        <v>37</v>
      </c>
      <c r="H154" s="1">
        <v>67</v>
      </c>
      <c r="I154" s="1">
        <f>VLOOKUP($B154&amp;"__wt",'Xtal_SegEnds_BW#'!$A:$Z,9,FALSE)</f>
        <v>49</v>
      </c>
      <c r="J154" s="1">
        <f>VLOOKUP($B154&amp;"__wt",'Xtal_SegEnds_BW#'!$A:$Z,10,FALSE)</f>
        <v>52</v>
      </c>
      <c r="K154" s="1">
        <v>18</v>
      </c>
      <c r="L154" s="1">
        <f>VLOOKUP($B154&amp;"__wt",'Xtal_SegEnds_BW#'!$A:$Z,12,FALSE)</f>
        <v>56</v>
      </c>
      <c r="M154" s="1">
        <f>VLOOKUP($B154&amp;"__wt",'Xtal_SegEnds_BW#'!$A:$Z,13,FALSE)</f>
        <v>50</v>
      </c>
      <c r="N154" s="1">
        <v>57</v>
      </c>
      <c r="O154" s="1">
        <v>39</v>
      </c>
      <c r="P154" s="1">
        <f>VLOOKUP($B154&amp;"__wt",'Xtal_SegEnds_BW#'!$A:$Z,16,FALSE)</f>
        <v>64</v>
      </c>
      <c r="Q154" s="1">
        <f>VLOOKUP($B154&amp;"__wt",'Xtal_SegEnds_BW#'!$A:$Z,17,FALSE)</f>
        <v>50</v>
      </c>
      <c r="R154" s="1">
        <f>VLOOKUP($B154&amp;"__wt",'Xtal_SegEnds_BW#'!$A:$Z,18,FALSE)</f>
        <v>52</v>
      </c>
      <c r="S154" s="1">
        <f>VLOOKUP($B154&amp;"__wt",'Xtal_SegEnds_BW#'!$A:$Z,19,FALSE)</f>
        <v>32</v>
      </c>
      <c r="T154" s="23">
        <f t="array" ref="T154">INDEX('ICL3'!$G$2:$G$31,MATCH(MIN(ABS(AF154-'ICL3'!$F$2:$F$31)),ABS(AF154-'ICL3'!$F$2:$F$31),0))</f>
        <v>72</v>
      </c>
      <c r="U154" s="1">
        <f t="array" ref="U154">INDEX('ICL3'!$H$2:$H$31,MATCH(MIN(ABS(AF154-'ICL3'!$F$2:$F$31)),ABS(AF154-'ICL3'!$F$2:$F$31),0))</f>
        <v>24</v>
      </c>
      <c r="V154" s="1">
        <v>61</v>
      </c>
      <c r="W154" s="1">
        <v>28</v>
      </c>
      <c r="X154" s="1">
        <f>VLOOKUP($B154&amp;"__wt",'Xtal_SegEnds_BW#'!$A:$Z,24,FALSE)</f>
        <v>56</v>
      </c>
      <c r="Y154" s="1">
        <f>VLOOKUP($B154&amp;"__wt",'Xtal_SegEnds_BW#'!$A:$Z,25,FALSE)</f>
        <v>47</v>
      </c>
      <c r="Z154" s="1">
        <f>VLOOKUP($B154&amp;"__wt",'Xtal_SegEnds_BW#'!$A:$Z,26,FALSE)</f>
        <v>58</v>
      </c>
      <c r="AA154" s="63" t="str">
        <f>VLOOKUP(A154,Classification!A:B,2,FALSE)</f>
        <v>A</v>
      </c>
      <c r="AB154" s="1">
        <f>VLOOKUP(A154,'NonXtal_SegEnds_Prot#'!A:AL,10,FALSE)-VLOOKUP(A154,'NonXtal_SegEnds_Prot#'!A:AL,7,FALSE)</f>
        <v>15</v>
      </c>
      <c r="AC154" s="1">
        <f>VLOOKUP(A154,'NonXtal_SegEnds_Prot#'!A:AL,13,FALSE)-VLOOKUP(A154,'NonXtal_SegEnds_Prot#'!A:AL,10,FALSE)</f>
        <v>20</v>
      </c>
      <c r="AD154" s="1">
        <f>VLOOKUP(A154,'NonXtal_SegEnds_Prot#'!A:AL,16,FALSE)-VLOOKUP(A154,'NonXtal_SegEnds_Prot#'!A:AL,10,FALSE)</f>
        <v>52</v>
      </c>
      <c r="AE154" s="1">
        <f>VLOOKUP(A154,'NonXtal_SegEnds_Prot#'!A:AL,28,FALSE)-VLOOKUP(A154,'NonXtal_SegEnds_Prot#'!A:AL,25,FALSE)</f>
        <v>24</v>
      </c>
      <c r="AF154" s="1">
        <f>VLOOKUP(A154,'NonXtal_SegEnds_Prot#'!A:AL,31,FALSE)-VLOOKUP(A154,'NonXtal_SegEnds_Prot#'!A:AL,28,FALSE)</f>
        <v>54</v>
      </c>
      <c r="AG154" s="1">
        <f>VLOOKUP(A154,'NonXtal_SegEnds_Prot#'!A:AL,34,FALSE)-VLOOKUP(A154,'NonXtal_SegEnds_Prot#'!A:AL,31,FALSE)</f>
        <v>39</v>
      </c>
    </row>
    <row r="155" spans="1:33" x14ac:dyDescent="0.2">
      <c r="A155" s="1" t="s">
        <v>505</v>
      </c>
      <c r="B155" s="1" t="str">
        <f>VLOOKUP(A155,Xtal_Templ!A:B,2,FALSE)</f>
        <v>adrb1_melga</v>
      </c>
      <c r="C155" s="5">
        <f>VLOOKUP($B155&amp;"__wt",'Xtal_SegEnds_BW#'!$A:$Z,3,FALSE)</f>
        <v>24</v>
      </c>
      <c r="D155" s="1">
        <f>VLOOKUP($B155&amp;"__wt",'Xtal_SegEnds_BW#'!$A:$Z,4,FALSE)</f>
        <v>60</v>
      </c>
      <c r="E155" s="1">
        <f>VLOOKUP($B155&amp;"__wt",'Xtal_SegEnds_BW#'!$A:$Z,5,FALSE)</f>
        <v>48</v>
      </c>
      <c r="F155" s="1">
        <f>VLOOKUP($B155&amp;"__wt",'Xtal_SegEnds_BW#'!$A:$Z,6,FALSE)</f>
        <v>51</v>
      </c>
      <c r="G155" s="1">
        <v>37</v>
      </c>
      <c r="H155" s="1">
        <f>VLOOKUP($B155&amp;"__wt",'Xtal_SegEnds_BW#'!$A:$Z,8,FALSE)</f>
        <v>67</v>
      </c>
      <c r="I155" s="1">
        <f>VLOOKUP($B155&amp;"__wt",'Xtal_SegEnds_BW#'!$A:$Z,9,FALSE)</f>
        <v>49</v>
      </c>
      <c r="J155" s="1">
        <f>VLOOKUP($B155&amp;"__wt",'Xtal_SegEnds_BW#'!$A:$Z,10,FALSE)</f>
        <v>52</v>
      </c>
      <c r="K155" s="1">
        <v>18</v>
      </c>
      <c r="L155" s="1">
        <f>VLOOKUP($B155&amp;"__wt",'Xtal_SegEnds_BW#'!$A:$Z,12,FALSE)</f>
        <v>56</v>
      </c>
      <c r="M155" s="1">
        <f>VLOOKUP($B155&amp;"__wt",'Xtal_SegEnds_BW#'!$A:$Z,13,FALSE)</f>
        <v>50</v>
      </c>
      <c r="N155" s="1">
        <v>57</v>
      </c>
      <c r="O155" s="1">
        <v>39</v>
      </c>
      <c r="P155" s="1">
        <f>VLOOKUP($B155&amp;"__wt",'Xtal_SegEnds_BW#'!$A:$Z,16,FALSE)</f>
        <v>64</v>
      </c>
      <c r="Q155" s="1">
        <f>VLOOKUP($B155&amp;"__wt",'Xtal_SegEnds_BW#'!$A:$Z,17,FALSE)</f>
        <v>50</v>
      </c>
      <c r="R155" s="1">
        <f>VLOOKUP($B155&amp;"__wt",'Xtal_SegEnds_BW#'!$A:$Z,18,FALSE)</f>
        <v>52</v>
      </c>
      <c r="S155" s="1">
        <v>35</v>
      </c>
      <c r="T155" s="23">
        <f t="array" ref="T155">INDEX('ICL3'!$G$2:$G$31,MATCH(MIN(ABS(AF155-'ICL3'!$F$2:$F$31)),ABS(AF155-'ICL3'!$F$2:$F$31),0))</f>
        <v>72</v>
      </c>
      <c r="U155" s="1">
        <f t="array" ref="U155">INDEX('ICL3'!$H$2:$H$31,MATCH(MIN(ABS(AF155-'ICL3'!$F$2:$F$31)),ABS(AF155-'ICL3'!$F$2:$F$31),0))</f>
        <v>24</v>
      </c>
      <c r="V155" s="1">
        <v>61</v>
      </c>
      <c r="W155" s="1">
        <v>28</v>
      </c>
      <c r="X155" s="1">
        <f>VLOOKUP($B155&amp;"__wt",'Xtal_SegEnds_BW#'!$A:$Z,24,FALSE)</f>
        <v>55</v>
      </c>
      <c r="Y155" s="1">
        <f>VLOOKUP($B155&amp;"__wt",'Xtal_SegEnds_BW#'!$A:$Z,25,FALSE)</f>
        <v>47</v>
      </c>
      <c r="Z155" s="1">
        <f>VLOOKUP($B155&amp;"__wt",'Xtal_SegEnds_BW#'!$A:$Z,26,FALSE)</f>
        <v>59</v>
      </c>
      <c r="AA155" s="63" t="str">
        <f>VLOOKUP(A155,Classification!A:B,2,FALSE)</f>
        <v>A</v>
      </c>
      <c r="AB155" s="1">
        <f>VLOOKUP(A155,'NonXtal_SegEnds_Prot#'!A:AL,10,FALSE)-VLOOKUP(A155,'NonXtal_SegEnds_Prot#'!A:AL,7,FALSE)</f>
        <v>15</v>
      </c>
      <c r="AC155" s="1">
        <f>VLOOKUP(A155,'NonXtal_SegEnds_Prot#'!A:AL,13,FALSE)-VLOOKUP(A155,'NonXtal_SegEnds_Prot#'!A:AL,10,FALSE)</f>
        <v>20</v>
      </c>
      <c r="AD155" s="1">
        <f>VLOOKUP(A155,'NonXtal_SegEnds_Prot#'!A:AL,16,FALSE)-VLOOKUP(A155,'NonXtal_SegEnds_Prot#'!A:AL,10,FALSE)</f>
        <v>52</v>
      </c>
      <c r="AE155" s="1">
        <f>VLOOKUP(A155,'NonXtal_SegEnds_Prot#'!A:AL,28,FALSE)-VLOOKUP(A155,'NonXtal_SegEnds_Prot#'!A:AL,25,FALSE)</f>
        <v>22</v>
      </c>
      <c r="AF155" s="1">
        <f>VLOOKUP(A155,'NonXtal_SegEnds_Prot#'!A:AL,31,FALSE)-VLOOKUP(A155,'NonXtal_SegEnds_Prot#'!A:AL,28,FALSE)</f>
        <v>54</v>
      </c>
      <c r="AG155" s="1">
        <f>VLOOKUP(A155,'NonXtal_SegEnds_Prot#'!A:AL,34,FALSE)-VLOOKUP(A155,'NonXtal_SegEnds_Prot#'!A:AL,31,FALSE)</f>
        <v>39</v>
      </c>
    </row>
    <row r="156" spans="1:33" x14ac:dyDescent="0.2">
      <c r="A156" s="1" t="s">
        <v>506</v>
      </c>
      <c r="B156" s="1" t="str">
        <f>VLOOKUP(A156,Xtal_Templ!A:B,2,FALSE)</f>
        <v>ox2r_human</v>
      </c>
      <c r="C156" s="5">
        <f>VLOOKUP($B156&amp;"__wt",'Xtal_SegEnds_BW#'!$A:$Z,3,FALSE)</f>
        <v>31</v>
      </c>
      <c r="D156" s="1">
        <f>VLOOKUP($B156&amp;"__wt",'Xtal_SegEnds_BW#'!$A:$Z,4,FALSE)</f>
        <v>60</v>
      </c>
      <c r="E156" s="1">
        <f>VLOOKUP($B156&amp;"__wt",'Xtal_SegEnds_BW#'!$A:$Z,5,FALSE)</f>
        <v>48</v>
      </c>
      <c r="F156" s="1">
        <f>VLOOKUP($B156&amp;"__wt",'Xtal_SegEnds_BW#'!$A:$Z,6,FALSE)</f>
        <v>51</v>
      </c>
      <c r="G156" s="1">
        <v>37</v>
      </c>
      <c r="H156" s="1">
        <f>VLOOKUP($B156&amp;"__wt",'Xtal_SegEnds_BW#'!$A:$Z,8,FALSE)</f>
        <v>67</v>
      </c>
      <c r="I156" s="1">
        <f>VLOOKUP($B156&amp;"__wt",'Xtal_SegEnds_BW#'!$A:$Z,9,FALSE)</f>
        <v>49</v>
      </c>
      <c r="J156" s="1">
        <f>VLOOKUP($B156&amp;"__wt",'Xtal_SegEnds_BW#'!$A:$Z,10,FALSE)</f>
        <v>52</v>
      </c>
      <c r="K156" s="1">
        <v>18</v>
      </c>
      <c r="L156" s="1">
        <f>VLOOKUP($B156&amp;"__wt",'Xtal_SegEnds_BW#'!$A:$Z,12,FALSE)</f>
        <v>56</v>
      </c>
      <c r="M156" s="1">
        <f>VLOOKUP($B156&amp;"__wt",'Xtal_SegEnds_BW#'!$A:$Z,13,FALSE)</f>
        <v>50</v>
      </c>
      <c r="N156" s="1">
        <v>57</v>
      </c>
      <c r="O156" s="1">
        <v>39</v>
      </c>
      <c r="P156" s="1">
        <f>VLOOKUP($B156&amp;"__wt",'Xtal_SegEnds_BW#'!$A:$Z,16,FALSE)</f>
        <v>64</v>
      </c>
      <c r="Q156" s="1">
        <f>VLOOKUP($B156&amp;"__wt",'Xtal_SegEnds_BW#'!$A:$Z,17,FALSE)</f>
        <v>50</v>
      </c>
      <c r="R156" s="1">
        <f>VLOOKUP($B156&amp;"__wt",'Xtal_SegEnds_BW#'!$A:$Z,18,FALSE)</f>
        <v>52</v>
      </c>
      <c r="S156" s="1">
        <v>35</v>
      </c>
      <c r="T156" s="23">
        <f t="array" ref="T156">INDEX('ICL3'!$G$2:$G$31,MATCH(MIN(ABS(AF156-'ICL3'!$F$2:$F$31)),ABS(AF156-'ICL3'!$F$2:$F$31),0))</f>
        <v>72</v>
      </c>
      <c r="U156" s="1">
        <f t="array" ref="U156">INDEX('ICL3'!$H$2:$H$31,MATCH(MIN(ABS(AF156-'ICL3'!$F$2:$F$31)),ABS(AF156-'ICL3'!$F$2:$F$31),0))</f>
        <v>24</v>
      </c>
      <c r="V156" s="1">
        <v>61</v>
      </c>
      <c r="W156" s="1">
        <v>28</v>
      </c>
      <c r="X156" s="1">
        <f>VLOOKUP($B156&amp;"__wt",'Xtal_SegEnds_BW#'!$A:$Z,24,FALSE)</f>
        <v>56</v>
      </c>
      <c r="Y156" s="1">
        <f>VLOOKUP($B156&amp;"__wt",'Xtal_SegEnds_BW#'!$A:$Z,25,FALSE)</f>
        <v>47</v>
      </c>
      <c r="Z156" s="1">
        <f>VLOOKUP($B156&amp;"__wt",'Xtal_SegEnds_BW#'!$A:$Z,26,FALSE)</f>
        <v>58</v>
      </c>
      <c r="AA156" s="63" t="str">
        <f>VLOOKUP(A156,Classification!A:B,2,FALSE)</f>
        <v>A</v>
      </c>
      <c r="AB156" s="1">
        <f>VLOOKUP(A156,'NonXtal_SegEnds_Prot#'!A:AL,10,FALSE)-VLOOKUP(A156,'NonXtal_SegEnds_Prot#'!A:AL,7,FALSE)</f>
        <v>15</v>
      </c>
      <c r="AC156" s="1">
        <f>VLOOKUP(A156,'NonXtal_SegEnds_Prot#'!A:AL,13,FALSE)-VLOOKUP(A156,'NonXtal_SegEnds_Prot#'!A:AL,10,FALSE)</f>
        <v>20</v>
      </c>
      <c r="AD156" s="1">
        <f>VLOOKUP(A156,'NonXtal_SegEnds_Prot#'!A:AL,16,FALSE)-VLOOKUP(A156,'NonXtal_SegEnds_Prot#'!A:AL,10,FALSE)</f>
        <v>52</v>
      </c>
      <c r="AE156" s="1">
        <f>VLOOKUP(A156,'NonXtal_SegEnds_Prot#'!A:AL,28,FALSE)-VLOOKUP(A156,'NonXtal_SegEnds_Prot#'!A:AL,25,FALSE)</f>
        <v>22</v>
      </c>
      <c r="AF156" s="1">
        <f>VLOOKUP(A156,'NonXtal_SegEnds_Prot#'!A:AL,31,FALSE)-VLOOKUP(A156,'NonXtal_SegEnds_Prot#'!A:AL,28,FALSE)</f>
        <v>54</v>
      </c>
      <c r="AG156" s="1">
        <f>VLOOKUP(A156,'NonXtal_SegEnds_Prot#'!A:AL,34,FALSE)-VLOOKUP(A156,'NonXtal_SegEnds_Prot#'!A:AL,31,FALSE)</f>
        <v>39</v>
      </c>
    </row>
    <row r="157" spans="1:33" x14ac:dyDescent="0.2">
      <c r="A157" s="1" t="s">
        <v>521</v>
      </c>
      <c r="B157" s="1" t="str">
        <f>VLOOKUP(A157,Xtal_Templ!A:B,2,FALSE)</f>
        <v>ox2r_human</v>
      </c>
      <c r="C157" s="5">
        <f>VLOOKUP($B157&amp;"__wt",'Xtal_SegEnds_BW#'!$A:$Z,3,FALSE)</f>
        <v>31</v>
      </c>
      <c r="D157" s="1">
        <f>VLOOKUP($B157&amp;"__wt",'Xtal_SegEnds_BW#'!$A:$Z,4,FALSE)</f>
        <v>60</v>
      </c>
      <c r="E157" s="1">
        <f>VLOOKUP($B157&amp;"__wt",'Xtal_SegEnds_BW#'!$A:$Z,5,FALSE)</f>
        <v>48</v>
      </c>
      <c r="F157" s="1">
        <f>VLOOKUP($B157&amp;"__wt",'Xtal_SegEnds_BW#'!$A:$Z,6,FALSE)</f>
        <v>51</v>
      </c>
      <c r="G157" s="1">
        <v>37</v>
      </c>
      <c r="H157" s="1">
        <f>VLOOKUP($B157&amp;"__wt",'Xtal_SegEnds_BW#'!$A:$Z,8,FALSE)</f>
        <v>67</v>
      </c>
      <c r="I157" s="1">
        <f>VLOOKUP($B157&amp;"__wt",'Xtal_SegEnds_BW#'!$A:$Z,9,FALSE)</f>
        <v>49</v>
      </c>
      <c r="J157" s="1">
        <f>VLOOKUP($B157&amp;"__wt",'Xtal_SegEnds_BW#'!$A:$Z,10,FALSE)</f>
        <v>52</v>
      </c>
      <c r="K157" s="1">
        <v>18</v>
      </c>
      <c r="L157" s="1">
        <f>VLOOKUP($B157&amp;"__wt",'Xtal_SegEnds_BW#'!$A:$Z,12,FALSE)</f>
        <v>56</v>
      </c>
      <c r="M157" s="1">
        <f>VLOOKUP($B157&amp;"__wt",'Xtal_SegEnds_BW#'!$A:$Z,13,FALSE)</f>
        <v>50</v>
      </c>
      <c r="N157" s="1">
        <v>56</v>
      </c>
      <c r="O157" s="1">
        <v>39</v>
      </c>
      <c r="P157" s="1">
        <f>VLOOKUP($B157&amp;"__wt",'Xtal_SegEnds_BW#'!$A:$Z,16,FALSE)</f>
        <v>64</v>
      </c>
      <c r="Q157" s="1">
        <f>VLOOKUP($B157&amp;"__wt",'Xtal_SegEnds_BW#'!$A:$Z,17,FALSE)</f>
        <v>50</v>
      </c>
      <c r="R157" s="1">
        <f>VLOOKUP($B157&amp;"__wt",'Xtal_SegEnds_BW#'!$A:$Z,18,FALSE)</f>
        <v>52</v>
      </c>
      <c r="S157" s="1">
        <f>VLOOKUP($B157&amp;"__wt",'Xtal_SegEnds_BW#'!$A:$Z,19,FALSE)</f>
        <v>32</v>
      </c>
      <c r="T157" s="23">
        <f t="array" ref="T157">INDEX('ICL3'!$G$2:$G$31,MATCH(MIN(ABS(AF157-'ICL3'!$F$2:$F$31)),ABS(AF157-'ICL3'!$F$2:$F$31),0))</f>
        <v>72</v>
      </c>
      <c r="U157" s="1">
        <f t="array" ref="U157">INDEX('ICL3'!$H$2:$H$31,MATCH(MIN(ABS(AF157-'ICL3'!$F$2:$F$31)),ABS(AF157-'ICL3'!$F$2:$F$31),0))</f>
        <v>24</v>
      </c>
      <c r="V157" s="1">
        <v>61</v>
      </c>
      <c r="W157" s="1">
        <v>28</v>
      </c>
      <c r="X157" s="1">
        <f>VLOOKUP($B157&amp;"__wt",'Xtal_SegEnds_BW#'!$A:$Z,24,FALSE)</f>
        <v>56</v>
      </c>
      <c r="Y157" s="1">
        <f>VLOOKUP($B157&amp;"__wt",'Xtal_SegEnds_BW#'!$A:$Z,25,FALSE)</f>
        <v>47</v>
      </c>
      <c r="Z157" s="1">
        <f>VLOOKUP($B157&amp;"__wt",'Xtal_SegEnds_BW#'!$A:$Z,26,FALSE)</f>
        <v>58</v>
      </c>
      <c r="AA157" s="63" t="str">
        <f>VLOOKUP(A157,Classification!A:B,2,FALSE)</f>
        <v>A</v>
      </c>
      <c r="AB157" s="1">
        <f>VLOOKUP(A157,'NonXtal_SegEnds_Prot#'!A:AL,10,FALSE)-VLOOKUP(A157,'NonXtal_SegEnds_Prot#'!A:AL,7,FALSE)</f>
        <v>15</v>
      </c>
      <c r="AC157" s="1">
        <f>VLOOKUP(A157,'NonXtal_SegEnds_Prot#'!A:AL,13,FALSE)-VLOOKUP(A157,'NonXtal_SegEnds_Prot#'!A:AL,10,FALSE)</f>
        <v>20</v>
      </c>
      <c r="AD157" s="1">
        <f>VLOOKUP(A157,'NonXtal_SegEnds_Prot#'!A:AL,16,FALSE)-VLOOKUP(A157,'NonXtal_SegEnds_Prot#'!A:AL,10,FALSE)</f>
        <v>52</v>
      </c>
      <c r="AE157" s="1">
        <f>VLOOKUP(A157,'NonXtal_SegEnds_Prot#'!A:AL,28,FALSE)-VLOOKUP(A157,'NonXtal_SegEnds_Prot#'!A:AL,25,FALSE)</f>
        <v>25</v>
      </c>
      <c r="AF157" s="1">
        <f>VLOOKUP(A157,'NonXtal_SegEnds_Prot#'!A:AL,31,FALSE)-VLOOKUP(A157,'NonXtal_SegEnds_Prot#'!A:AL,28,FALSE)</f>
        <v>54</v>
      </c>
      <c r="AG157" s="1">
        <f>VLOOKUP(A157,'NonXtal_SegEnds_Prot#'!A:AL,34,FALSE)-VLOOKUP(A157,'NonXtal_SegEnds_Prot#'!A:AL,31,FALSE)</f>
        <v>39</v>
      </c>
    </row>
    <row r="158" spans="1:33" x14ac:dyDescent="0.2">
      <c r="A158" s="1" t="s">
        <v>557</v>
      </c>
      <c r="B158" s="1" t="str">
        <f>VLOOKUP(A158,Xtal_Templ!A:B,2,FALSE)</f>
        <v>s1pr1_human</v>
      </c>
      <c r="C158" s="5">
        <f>VLOOKUP($B158&amp;"__wt",'Xtal_SegEnds_BW#'!$A:$Z,3,FALSE)</f>
        <v>29</v>
      </c>
      <c r="D158" s="1">
        <f>VLOOKUP($B158&amp;"__wt",'Xtal_SegEnds_BW#'!$A:$Z,4,FALSE)</f>
        <v>60</v>
      </c>
      <c r="E158" s="1">
        <f>VLOOKUP($B158&amp;"__wt",'Xtal_SegEnds_BW#'!$A:$Z,5,FALSE)</f>
        <v>48</v>
      </c>
      <c r="F158" s="1">
        <f>VLOOKUP($B158&amp;"__wt",'Xtal_SegEnds_BW#'!$A:$Z,6,FALSE)</f>
        <v>51</v>
      </c>
      <c r="G158" s="1">
        <v>37</v>
      </c>
      <c r="H158" s="1">
        <f>VLOOKUP($B158&amp;"__wt",'Xtal_SegEnds_BW#'!$A:$Z,8,FALSE)</f>
        <v>63</v>
      </c>
      <c r="I158" s="1">
        <v>49</v>
      </c>
      <c r="J158" s="1">
        <f>VLOOKUP($B158&amp;"__wt",'Xtal_SegEnds_BW#'!$A:$Z,10,FALSE)</f>
        <v>53</v>
      </c>
      <c r="K158" s="1">
        <v>18</v>
      </c>
      <c r="L158" s="1">
        <f>VLOOKUP($B158&amp;"__wt",'Xtal_SegEnds_BW#'!$A:$Z,12,FALSE)</f>
        <v>56</v>
      </c>
      <c r="M158" s="1">
        <f>VLOOKUP($B158&amp;"__wt",'Xtal_SegEnds_BW#'!$A:$Z,13,FALSE)</f>
        <v>50</v>
      </c>
      <c r="N158" s="1">
        <v>57</v>
      </c>
      <c r="O158" s="1">
        <v>39</v>
      </c>
      <c r="P158" s="1">
        <f>VLOOKUP($B158&amp;"__wt",'Xtal_SegEnds_BW#'!$A:$Z,16,FALSE)</f>
        <v>63</v>
      </c>
      <c r="Q158" s="1" t="str">
        <f>VLOOKUP($B158&amp;"__wt",'Xtal_SegEnds_BW#'!$A:$Z,17,FALSE)</f>
        <v>-</v>
      </c>
      <c r="R158" s="1" t="str">
        <f>VLOOKUP($B158&amp;"__wt",'Xtal_SegEnds_BW#'!$A:$Z,18,FALSE)</f>
        <v>-</v>
      </c>
      <c r="S158" s="1">
        <f>VLOOKUP($B158&amp;"__wt",'Xtal_SegEnds_BW#'!$A:$Z,19,FALSE)</f>
        <v>36</v>
      </c>
      <c r="T158" s="23">
        <f t="array" ref="T158">INDEX('ICL3'!$G$2:$G$31,MATCH(MIN(ABS(AF158-'ICL3'!$F$2:$F$31)),ABS(AF158-'ICL3'!$F$2:$F$31),0))</f>
        <v>72</v>
      </c>
      <c r="U158" s="1">
        <f t="array" ref="U158">INDEX('ICL3'!$H$2:$H$31,MATCH(MIN(ABS(AF158-'ICL3'!$F$2:$F$31)),ABS(AF158-'ICL3'!$F$2:$F$31),0))</f>
        <v>24</v>
      </c>
      <c r="V158" s="1">
        <v>64</v>
      </c>
      <c r="W158" s="1">
        <v>24</v>
      </c>
      <c r="X158" s="1">
        <f>VLOOKUP($B158&amp;"__wt",'Xtal_SegEnds_BW#'!$A:$Z,24,FALSE)</f>
        <v>56</v>
      </c>
      <c r="Y158" s="1">
        <f>VLOOKUP($B158&amp;"__wt",'Xtal_SegEnds_BW#'!$A:$Z,25,FALSE)</f>
        <v>47</v>
      </c>
      <c r="Z158" s="1">
        <f>VLOOKUP($B158&amp;"__wt",'Xtal_SegEnds_BW#'!$A:$Z,26,FALSE)</f>
        <v>59</v>
      </c>
      <c r="AA158" s="63" t="str">
        <f>VLOOKUP(A158,Classification!A:B,2,FALSE)</f>
        <v>A</v>
      </c>
      <c r="AB158" s="1" t="e">
        <f>VLOOKUP(A158,'NonXtal_SegEnds_Prot#'!A:AL,10,FALSE)-VLOOKUP(A158,'NonXtal_SegEnds_Prot#'!A:AL,7,FALSE)</f>
        <v>#VALUE!</v>
      </c>
      <c r="AC158" s="1">
        <f>VLOOKUP(A158,'NonXtal_SegEnds_Prot#'!A:AL,13,FALSE)-VLOOKUP(A158,'NonXtal_SegEnds_Prot#'!A:AL,10,FALSE)</f>
        <v>21</v>
      </c>
      <c r="AD158" s="1">
        <f>VLOOKUP(A158,'NonXtal_SegEnds_Prot#'!A:AL,16,FALSE)-VLOOKUP(A158,'NonXtal_SegEnds_Prot#'!A:AL,10,FALSE)</f>
        <v>56</v>
      </c>
      <c r="AE158" s="1">
        <f>VLOOKUP(A158,'NonXtal_SegEnds_Prot#'!A:AL,28,FALSE)-VLOOKUP(A158,'NonXtal_SegEnds_Prot#'!A:AL,25,FALSE)</f>
        <v>35</v>
      </c>
      <c r="AF158" s="1">
        <f>VLOOKUP(A158,'NonXtal_SegEnds_Prot#'!A:AL,31,FALSE)-VLOOKUP(A158,'NonXtal_SegEnds_Prot#'!A:AL,28,FALSE)</f>
        <v>54</v>
      </c>
      <c r="AG158" s="1">
        <f>VLOOKUP(A158,'NonXtal_SegEnds_Prot#'!A:AL,34,FALSE)-VLOOKUP(A158,'NonXtal_SegEnds_Prot#'!A:AL,31,FALSE)</f>
        <v>46</v>
      </c>
    </row>
    <row r="159" spans="1:33" x14ac:dyDescent="0.2">
      <c r="A159" s="1" t="s">
        <v>577</v>
      </c>
      <c r="B159" s="1" t="str">
        <f>VLOOKUP(A159,Xtal_Templ!A:B,2,FALSE)</f>
        <v>oprx_human</v>
      </c>
      <c r="C159" s="5">
        <f>VLOOKUP($B159&amp;"__wt",'Xtal_SegEnds_BW#'!$A:$Z,3,FALSE)</f>
        <v>29</v>
      </c>
      <c r="D159" s="1">
        <f>VLOOKUP($B159&amp;"__wt",'Xtal_SegEnds_BW#'!$A:$Z,4,FALSE)</f>
        <v>60</v>
      </c>
      <c r="E159" s="1">
        <f>VLOOKUP($B159&amp;"__wt",'Xtal_SegEnds_BW#'!$A:$Z,5,FALSE)</f>
        <v>48</v>
      </c>
      <c r="F159" s="1">
        <f>VLOOKUP($B159&amp;"__wt",'Xtal_SegEnds_BW#'!$A:$Z,6,FALSE)</f>
        <v>51</v>
      </c>
      <c r="G159" s="1">
        <v>37</v>
      </c>
      <c r="H159" s="1">
        <v>66</v>
      </c>
      <c r="I159" s="1">
        <f>VLOOKUP($B159&amp;"__wt",'Xtal_SegEnds_BW#'!$A:$Z,9,FALSE)</f>
        <v>49</v>
      </c>
      <c r="J159" s="1">
        <f>VLOOKUP($B159&amp;"__wt",'Xtal_SegEnds_BW#'!$A:$Z,10,FALSE)</f>
        <v>52</v>
      </c>
      <c r="K159" s="1">
        <v>18</v>
      </c>
      <c r="L159" s="1">
        <f>VLOOKUP($B159&amp;"__wt",'Xtal_SegEnds_BW#'!$A:$Z,12,FALSE)</f>
        <v>56</v>
      </c>
      <c r="M159" s="1">
        <f>VLOOKUP($B159&amp;"__wt",'Xtal_SegEnds_BW#'!$A:$Z,13,FALSE)</f>
        <v>50</v>
      </c>
      <c r="N159" s="1">
        <v>57</v>
      </c>
      <c r="O159" s="1">
        <v>39</v>
      </c>
      <c r="P159" s="1">
        <f>VLOOKUP($B159&amp;"__wt",'Xtal_SegEnds_BW#'!$A:$Z,16,FALSE)</f>
        <v>64</v>
      </c>
      <c r="Q159" s="1">
        <f>VLOOKUP($B159&amp;"__wt",'Xtal_SegEnds_BW#'!$A:$Z,17,FALSE)</f>
        <v>50</v>
      </c>
      <c r="R159" s="1">
        <f>VLOOKUP($B159&amp;"__wt",'Xtal_SegEnds_BW#'!$A:$Z,18,FALSE)</f>
        <v>52</v>
      </c>
      <c r="S159" s="1">
        <f>VLOOKUP($B159&amp;"__wt",'Xtal_SegEnds_BW#'!$A:$Z,19,FALSE)</f>
        <v>31</v>
      </c>
      <c r="T159" s="23">
        <f t="array" ref="T159">INDEX('ICL3'!$G$2:$G$31,MATCH(MIN(ABS(AF159-'ICL3'!$F$2:$F$31)),ABS(AF159-'ICL3'!$F$2:$F$31),0))</f>
        <v>72</v>
      </c>
      <c r="U159" s="1">
        <f t="array" ref="U159">INDEX('ICL3'!$H$2:$H$31,MATCH(MIN(ABS(AF159-'ICL3'!$F$2:$F$31)),ABS(AF159-'ICL3'!$F$2:$F$31),0))</f>
        <v>24</v>
      </c>
      <c r="V159" s="1">
        <v>61</v>
      </c>
      <c r="W159" s="1">
        <v>28</v>
      </c>
      <c r="X159" s="1">
        <f>VLOOKUP($B159&amp;"__wt",'Xtal_SegEnds_BW#'!$A:$Z,24,FALSE)</f>
        <v>56</v>
      </c>
      <c r="Y159" s="1">
        <f>VLOOKUP($B159&amp;"__wt",'Xtal_SegEnds_BW#'!$A:$Z,25,FALSE)</f>
        <v>47</v>
      </c>
      <c r="Z159" s="1">
        <f>VLOOKUP($B159&amp;"__wt",'Xtal_SegEnds_BW#'!$A:$Z,26,FALSE)</f>
        <v>59</v>
      </c>
      <c r="AA159" s="63" t="str">
        <f>VLOOKUP(A159,Classification!A:B,2,FALSE)</f>
        <v>A</v>
      </c>
      <c r="AB159" s="1">
        <f>VLOOKUP(A159,'NonXtal_SegEnds_Prot#'!A:AL,10,FALSE)-VLOOKUP(A159,'NonXtal_SegEnds_Prot#'!A:AL,7,FALSE)</f>
        <v>15</v>
      </c>
      <c r="AC159" s="1">
        <f>VLOOKUP(A159,'NonXtal_SegEnds_Prot#'!A:AL,13,FALSE)-VLOOKUP(A159,'NonXtal_SegEnds_Prot#'!A:AL,10,FALSE)</f>
        <v>19</v>
      </c>
      <c r="AD159" s="1">
        <f>VLOOKUP(A159,'NonXtal_SegEnds_Prot#'!A:AL,16,FALSE)-VLOOKUP(A159,'NonXtal_SegEnds_Prot#'!A:AL,10,FALSE)</f>
        <v>51</v>
      </c>
      <c r="AE159" s="1">
        <f>VLOOKUP(A159,'NonXtal_SegEnds_Prot#'!A:AL,28,FALSE)-VLOOKUP(A159,'NonXtal_SegEnds_Prot#'!A:AL,25,FALSE)</f>
        <v>27</v>
      </c>
      <c r="AF159" s="1">
        <f>VLOOKUP(A159,'NonXtal_SegEnds_Prot#'!A:AL,31,FALSE)-VLOOKUP(A159,'NonXtal_SegEnds_Prot#'!A:AL,28,FALSE)</f>
        <v>54</v>
      </c>
      <c r="AG159" s="1">
        <f>VLOOKUP(A159,'NonXtal_SegEnds_Prot#'!A:AL,34,FALSE)-VLOOKUP(A159,'NonXtal_SegEnds_Prot#'!A:AL,31,FALSE)</f>
        <v>38</v>
      </c>
    </row>
    <row r="160" spans="1:33" x14ac:dyDescent="0.2">
      <c r="A160" s="1" t="s">
        <v>334</v>
      </c>
      <c r="B160" s="1" t="str">
        <f>VLOOKUP(A160,Xtal_Templ!A:B,2,FALSE)</f>
        <v>aa2ar_human</v>
      </c>
      <c r="C160" s="5">
        <f>VLOOKUP($B160&amp;"__wt",'Xtal_SegEnds_BW#'!$A:$Z,3,FALSE)</f>
        <v>28</v>
      </c>
      <c r="D160" s="1">
        <f>VLOOKUP($B160&amp;"__wt",'Xtal_SegEnds_BW#'!$A:$Z,4,FALSE)</f>
        <v>60</v>
      </c>
      <c r="E160" s="1">
        <f>VLOOKUP($B160&amp;"__wt",'Xtal_SegEnds_BW#'!$A:$Z,5,FALSE)</f>
        <v>48</v>
      </c>
      <c r="F160" s="1">
        <f>VLOOKUP($B160&amp;"__wt",'Xtal_SegEnds_BW#'!$A:$Z,6,FALSE)</f>
        <v>51</v>
      </c>
      <c r="G160" s="1">
        <v>37</v>
      </c>
      <c r="H160" s="1">
        <v>66</v>
      </c>
      <c r="I160" s="1">
        <f>VLOOKUP($B160&amp;"__wt",'Xtal_SegEnds_BW#'!$A:$Z,9,FALSE)</f>
        <v>50</v>
      </c>
      <c r="J160" s="1">
        <f>VLOOKUP($B160&amp;"__wt",'Xtal_SegEnds_BW#'!$A:$Z,10,FALSE)</f>
        <v>52</v>
      </c>
      <c r="K160" s="1">
        <v>24</v>
      </c>
      <c r="L160" s="1">
        <f>VLOOKUP($B160&amp;"__wt",'Xtal_SegEnds_BW#'!$A:$Z,12,FALSE)</f>
        <v>56</v>
      </c>
      <c r="M160" s="1">
        <f>VLOOKUP($B160&amp;"__wt",'Xtal_SegEnds_BW#'!$A:$Z,13,FALSE)</f>
        <v>50</v>
      </c>
      <c r="N160" s="1">
        <v>57</v>
      </c>
      <c r="O160" s="1">
        <v>39</v>
      </c>
      <c r="P160" s="1">
        <f>VLOOKUP($B160&amp;"__wt",'Xtal_SegEnds_BW#'!$A:$Z,16,FALSE)</f>
        <v>63</v>
      </c>
      <c r="Q160" s="1">
        <f>VLOOKUP($B160&amp;"__wt",'Xtal_SegEnds_BW#'!$A:$Z,17,FALSE)</f>
        <v>50</v>
      </c>
      <c r="R160" s="1">
        <f>VLOOKUP($B160&amp;"__wt",'Xtal_SegEnds_BW#'!$A:$Z,18,FALSE)</f>
        <v>52</v>
      </c>
      <c r="S160" s="1">
        <f>VLOOKUP($B160&amp;"__wt",'Xtal_SegEnds_BW#'!$A:$Z,19,FALSE)</f>
        <v>34</v>
      </c>
      <c r="T160" s="23">
        <f t="array" ref="T160">INDEX('ICL3'!$G$2:$G$31,MATCH(MIN(ABS(AF160-'ICL3'!$F$2:$F$31)),ABS(AF160-'ICL3'!$F$2:$F$31),0))</f>
        <v>73</v>
      </c>
      <c r="U160" s="1">
        <f t="array" ref="U160">INDEX('ICL3'!$H$2:$H$31,MATCH(MIN(ABS(AF160-'ICL3'!$F$2:$F$31)),ABS(AF160-'ICL3'!$F$2:$F$31),0))</f>
        <v>22</v>
      </c>
      <c r="V160" s="1">
        <v>61</v>
      </c>
      <c r="W160" s="1">
        <v>28</v>
      </c>
      <c r="X160" s="9">
        <f>VLOOKUP($B160&amp;"__wt",'Xtal_SegEnds_BW#'!$A:$Z,24,FALSE)</f>
        <v>56</v>
      </c>
      <c r="Y160" s="1">
        <f>VLOOKUP($B160&amp;"__wt",'Xtal_SegEnds_BW#'!$A:$Z,25,FALSE)</f>
        <v>47</v>
      </c>
      <c r="Z160" s="1">
        <f>VLOOKUP($B160&amp;"__wt",'Xtal_SegEnds_BW#'!$A:$Z,26,FALSE)</f>
        <v>69</v>
      </c>
      <c r="AA160" s="63" t="str">
        <f>VLOOKUP(A160,Classification!A:B,2,FALSE)</f>
        <v>A</v>
      </c>
      <c r="AB160" s="1">
        <f>VLOOKUP(A160,'NonXtal_SegEnds_Prot#'!A:AL,10,FALSE)-VLOOKUP(A160,'NonXtal_SegEnds_Prot#'!A:AL,7,FALSE)</f>
        <v>15</v>
      </c>
      <c r="AC160" s="1">
        <f>VLOOKUP(A160,'NonXtal_SegEnds_Prot#'!A:AL,13,FALSE)-VLOOKUP(A160,'NonXtal_SegEnds_Prot#'!A:AL,10,FALSE)</f>
        <v>18</v>
      </c>
      <c r="AD160" s="1">
        <f>VLOOKUP(A160,'NonXtal_SegEnds_Prot#'!A:AL,16,FALSE)-VLOOKUP(A160,'NonXtal_SegEnds_Prot#'!A:AL,10,FALSE)</f>
        <v>50</v>
      </c>
      <c r="AE160" s="1">
        <f>VLOOKUP(A160,'NonXtal_SegEnds_Prot#'!A:AL,28,FALSE)-VLOOKUP(A160,'NonXtal_SegEnds_Prot#'!A:AL,25,FALSE)</f>
        <v>23</v>
      </c>
      <c r="AF160" s="1">
        <f>VLOOKUP(A160,'NonXtal_SegEnds_Prot#'!A:AL,31,FALSE)-VLOOKUP(A160,'NonXtal_SegEnds_Prot#'!A:AL,28,FALSE)</f>
        <v>55</v>
      </c>
      <c r="AG160" s="1">
        <f>VLOOKUP(A160,'NonXtal_SegEnds_Prot#'!A:AL,34,FALSE)-VLOOKUP(A160,'NonXtal_SegEnds_Prot#'!A:AL,31,FALSE)</f>
        <v>38</v>
      </c>
    </row>
    <row r="161" spans="1:33" x14ac:dyDescent="0.2">
      <c r="A161" s="1" t="s">
        <v>473</v>
      </c>
      <c r="B161" s="1" t="str">
        <f>VLOOKUP(A161,Xtal_Templ!A:B,2,FALSE)</f>
        <v>adrb1_melga</v>
      </c>
      <c r="C161" s="5">
        <f>VLOOKUP($B161&amp;"__wt",'Xtal_SegEnds_BW#'!$A:$Z,3,FALSE)</f>
        <v>24</v>
      </c>
      <c r="D161" s="1">
        <f>VLOOKUP($B161&amp;"__wt",'Xtal_SegEnds_BW#'!$A:$Z,4,FALSE)</f>
        <v>60</v>
      </c>
      <c r="E161" s="1">
        <f>VLOOKUP($B161&amp;"__wt",'Xtal_SegEnds_BW#'!$A:$Z,5,FALSE)</f>
        <v>48</v>
      </c>
      <c r="F161" s="1">
        <f>VLOOKUP($B161&amp;"__wt",'Xtal_SegEnds_BW#'!$A:$Z,6,FALSE)</f>
        <v>51</v>
      </c>
      <c r="G161" s="1">
        <v>37</v>
      </c>
      <c r="H161" s="1">
        <f>VLOOKUP($B161&amp;"__wt",'Xtal_SegEnds_BW#'!$A:$Z,8,FALSE)</f>
        <v>67</v>
      </c>
      <c r="I161" s="1">
        <f>VLOOKUP($B161&amp;"__wt",'Xtal_SegEnds_BW#'!$A:$Z,9,FALSE)</f>
        <v>49</v>
      </c>
      <c r="J161" s="1">
        <f>VLOOKUP($B161&amp;"__wt",'Xtal_SegEnds_BW#'!$A:$Z,10,FALSE)</f>
        <v>52</v>
      </c>
      <c r="K161" s="1">
        <v>18</v>
      </c>
      <c r="L161" s="1">
        <f>VLOOKUP($B161&amp;"__wt",'Xtal_SegEnds_BW#'!$A:$Z,12,FALSE)</f>
        <v>56</v>
      </c>
      <c r="M161" s="1">
        <f>VLOOKUP($B161&amp;"__wt",'Xtal_SegEnds_BW#'!$A:$Z,13,FALSE)</f>
        <v>50</v>
      </c>
      <c r="N161" s="1">
        <v>57</v>
      </c>
      <c r="O161" s="1">
        <v>39</v>
      </c>
      <c r="P161" s="1">
        <f>VLOOKUP($B161&amp;"__wt",'Xtal_SegEnds_BW#'!$A:$Z,16,FALSE)</f>
        <v>64</v>
      </c>
      <c r="Q161" s="1">
        <f>VLOOKUP($B161&amp;"__wt",'Xtal_SegEnds_BW#'!$A:$Z,17,FALSE)</f>
        <v>50</v>
      </c>
      <c r="R161" s="1">
        <f>VLOOKUP($B161&amp;"__wt",'Xtal_SegEnds_BW#'!$A:$Z,18,FALSE)</f>
        <v>52</v>
      </c>
      <c r="S161" s="1">
        <v>35</v>
      </c>
      <c r="T161" s="23">
        <f t="array" ref="T161">INDEX('ICL3'!$G$2:$G$31,MATCH(MIN(ABS(AF161-'ICL3'!$F$2:$F$31)),ABS(AF161-'ICL3'!$F$2:$F$31),0))</f>
        <v>73</v>
      </c>
      <c r="U161" s="1">
        <f t="array" ref="U161">INDEX('ICL3'!$H$2:$H$31,MATCH(MIN(ABS(AF161-'ICL3'!$F$2:$F$31)),ABS(AF161-'ICL3'!$F$2:$F$31),0))</f>
        <v>22</v>
      </c>
      <c r="V161" s="1">
        <v>61</v>
      </c>
      <c r="W161" s="1">
        <v>31</v>
      </c>
      <c r="X161" s="1">
        <f>VLOOKUP($B161&amp;"__wt",'Xtal_SegEnds_BW#'!$A:$Z,24,FALSE)</f>
        <v>55</v>
      </c>
      <c r="Y161" s="1">
        <f>VLOOKUP($B161&amp;"__wt",'Xtal_SegEnds_BW#'!$A:$Z,25,FALSE)</f>
        <v>47</v>
      </c>
      <c r="Z161" s="1">
        <f>VLOOKUP($B161&amp;"__wt",'Xtal_SegEnds_BW#'!$A:$Z,26,FALSE)</f>
        <v>59</v>
      </c>
      <c r="AA161" s="63" t="str">
        <f>VLOOKUP(A161,Classification!A:B,2,FALSE)</f>
        <v>A</v>
      </c>
      <c r="AB161" s="1">
        <f>VLOOKUP(A161,'NonXtal_SegEnds_Prot#'!A:AL,10,FALSE)-VLOOKUP(A161,'NonXtal_SegEnds_Prot#'!A:AL,7,FALSE)</f>
        <v>15</v>
      </c>
      <c r="AC161" s="1">
        <f>VLOOKUP(A161,'NonXtal_SegEnds_Prot#'!A:AL,13,FALSE)-VLOOKUP(A161,'NonXtal_SegEnds_Prot#'!A:AL,10,FALSE)</f>
        <v>20</v>
      </c>
      <c r="AD161" s="1">
        <f>VLOOKUP(A161,'NonXtal_SegEnds_Prot#'!A:AL,16,FALSE)-VLOOKUP(A161,'NonXtal_SegEnds_Prot#'!A:AL,10,FALSE)</f>
        <v>52</v>
      </c>
      <c r="AE161" s="1">
        <f>VLOOKUP(A161,'NonXtal_SegEnds_Prot#'!A:AL,28,FALSE)-VLOOKUP(A161,'NonXtal_SegEnds_Prot#'!A:AL,25,FALSE)</f>
        <v>20</v>
      </c>
      <c r="AF161" s="1">
        <f>VLOOKUP(A161,'NonXtal_SegEnds_Prot#'!A:AL,31,FALSE)-VLOOKUP(A161,'NonXtal_SegEnds_Prot#'!A:AL,28,FALSE)</f>
        <v>55</v>
      </c>
      <c r="AG161" s="1">
        <f>VLOOKUP(A161,'NonXtal_SegEnds_Prot#'!A:AL,34,FALSE)-VLOOKUP(A161,'NonXtal_SegEnds_Prot#'!A:AL,31,FALSE)</f>
        <v>36</v>
      </c>
    </row>
    <row r="162" spans="1:33" x14ac:dyDescent="0.2">
      <c r="A162" s="1" t="s">
        <v>508</v>
      </c>
      <c r="B162" s="1" t="str">
        <f>VLOOKUP(A162,Xtal_Templ!A:B,2,FALSE)</f>
        <v>ox2r_human</v>
      </c>
      <c r="C162" s="5">
        <f>VLOOKUP($B162&amp;"__wt",'Xtal_SegEnds_BW#'!$A:$Z,3,FALSE)</f>
        <v>31</v>
      </c>
      <c r="D162" s="1">
        <f>VLOOKUP($B162&amp;"__wt",'Xtal_SegEnds_BW#'!$A:$Z,4,FALSE)</f>
        <v>60</v>
      </c>
      <c r="E162" s="1">
        <f>VLOOKUP($B162&amp;"__wt",'Xtal_SegEnds_BW#'!$A:$Z,5,FALSE)</f>
        <v>48</v>
      </c>
      <c r="F162" s="1">
        <f>VLOOKUP($B162&amp;"__wt",'Xtal_SegEnds_BW#'!$A:$Z,6,FALSE)</f>
        <v>51</v>
      </c>
      <c r="G162" s="1">
        <v>37</v>
      </c>
      <c r="H162" s="1">
        <f>VLOOKUP($B162&amp;"__wt",'Xtal_SegEnds_BW#'!$A:$Z,8,FALSE)</f>
        <v>67</v>
      </c>
      <c r="I162" s="1">
        <f>VLOOKUP($B162&amp;"__wt",'Xtal_SegEnds_BW#'!$A:$Z,9,FALSE)</f>
        <v>49</v>
      </c>
      <c r="J162" s="1">
        <f>VLOOKUP($B162&amp;"__wt",'Xtal_SegEnds_BW#'!$A:$Z,10,FALSE)</f>
        <v>52</v>
      </c>
      <c r="K162" s="1">
        <v>18</v>
      </c>
      <c r="L162" s="1">
        <f>VLOOKUP($B162&amp;"__wt",'Xtal_SegEnds_BW#'!$A:$Z,12,FALSE)</f>
        <v>56</v>
      </c>
      <c r="M162" s="1">
        <f>VLOOKUP($B162&amp;"__wt",'Xtal_SegEnds_BW#'!$A:$Z,13,FALSE)</f>
        <v>50</v>
      </c>
      <c r="N162" s="1">
        <v>56</v>
      </c>
      <c r="O162" s="1">
        <v>39</v>
      </c>
      <c r="P162" s="1">
        <f>VLOOKUP($B162&amp;"__wt",'Xtal_SegEnds_BW#'!$A:$Z,16,FALSE)</f>
        <v>64</v>
      </c>
      <c r="Q162" s="1">
        <f>VLOOKUP($B162&amp;"__wt",'Xtal_SegEnds_BW#'!$A:$Z,17,FALSE)</f>
        <v>50</v>
      </c>
      <c r="R162" s="1">
        <f>VLOOKUP($B162&amp;"__wt",'Xtal_SegEnds_BW#'!$A:$Z,18,FALSE)</f>
        <v>52</v>
      </c>
      <c r="S162" s="1">
        <f>VLOOKUP($B162&amp;"__wt",'Xtal_SegEnds_BW#'!$A:$Z,19,FALSE)</f>
        <v>32</v>
      </c>
      <c r="T162" s="23">
        <f t="array" ref="T162">INDEX('ICL3'!$G$2:$G$31,MATCH(MIN(ABS(AF162-'ICL3'!$F$2:$F$31)),ABS(AF162-'ICL3'!$F$2:$F$31),0))</f>
        <v>73</v>
      </c>
      <c r="U162" s="1">
        <f t="array" ref="U162">INDEX('ICL3'!$H$2:$H$31,MATCH(MIN(ABS(AF162-'ICL3'!$F$2:$F$31)),ABS(AF162-'ICL3'!$F$2:$F$31),0))</f>
        <v>22</v>
      </c>
      <c r="V162" s="1">
        <v>61</v>
      </c>
      <c r="W162" s="1">
        <v>28</v>
      </c>
      <c r="X162" s="1">
        <f>VLOOKUP($B162&amp;"__wt",'Xtal_SegEnds_BW#'!$A:$Z,24,FALSE)</f>
        <v>56</v>
      </c>
      <c r="Y162" s="1">
        <f>VLOOKUP($B162&amp;"__wt",'Xtal_SegEnds_BW#'!$A:$Z,25,FALSE)</f>
        <v>47</v>
      </c>
      <c r="Z162" s="1">
        <f>VLOOKUP($B162&amp;"__wt",'Xtal_SegEnds_BW#'!$A:$Z,26,FALSE)</f>
        <v>58</v>
      </c>
      <c r="AA162" s="63" t="str">
        <f>VLOOKUP(A162,Classification!A:B,2,FALSE)</f>
        <v>A</v>
      </c>
      <c r="AB162" s="1">
        <f>VLOOKUP(A162,'NonXtal_SegEnds_Prot#'!A:AL,10,FALSE)-VLOOKUP(A162,'NonXtal_SegEnds_Prot#'!A:AL,7,FALSE)</f>
        <v>15</v>
      </c>
      <c r="AC162" s="1">
        <f>VLOOKUP(A162,'NonXtal_SegEnds_Prot#'!A:AL,13,FALSE)-VLOOKUP(A162,'NonXtal_SegEnds_Prot#'!A:AL,10,FALSE)</f>
        <v>20</v>
      </c>
      <c r="AD162" s="1">
        <f>VLOOKUP(A162,'NonXtal_SegEnds_Prot#'!A:AL,16,FALSE)-VLOOKUP(A162,'NonXtal_SegEnds_Prot#'!A:AL,10,FALSE)</f>
        <v>52</v>
      </c>
      <c r="AE162" s="1">
        <f>VLOOKUP(A162,'NonXtal_SegEnds_Prot#'!A:AL,28,FALSE)-VLOOKUP(A162,'NonXtal_SegEnds_Prot#'!A:AL,25,FALSE)</f>
        <v>28</v>
      </c>
      <c r="AF162" s="1">
        <f>VLOOKUP(A162,'NonXtal_SegEnds_Prot#'!A:AL,31,FALSE)-VLOOKUP(A162,'NonXtal_SegEnds_Prot#'!A:AL,28,FALSE)</f>
        <v>55</v>
      </c>
      <c r="AG162" s="1">
        <f>VLOOKUP(A162,'NonXtal_SegEnds_Prot#'!A:AL,34,FALSE)-VLOOKUP(A162,'NonXtal_SegEnds_Prot#'!A:AL,31,FALSE)</f>
        <v>39</v>
      </c>
    </row>
    <row r="163" spans="1:33" x14ac:dyDescent="0.2">
      <c r="A163" s="1" t="s">
        <v>510</v>
      </c>
      <c r="B163" s="1" t="str">
        <f>VLOOKUP(A163,Xtal_Templ!A:B,2,FALSE)</f>
        <v>ox2r_human</v>
      </c>
      <c r="C163" s="5">
        <f>VLOOKUP($B163&amp;"__wt",'Xtal_SegEnds_BW#'!$A:$Z,3,FALSE)</f>
        <v>31</v>
      </c>
      <c r="D163" s="1">
        <f>VLOOKUP($B163&amp;"__wt",'Xtal_SegEnds_BW#'!$A:$Z,4,FALSE)</f>
        <v>60</v>
      </c>
      <c r="E163" s="1">
        <f>VLOOKUP($B163&amp;"__wt",'Xtal_SegEnds_BW#'!$A:$Z,5,FALSE)</f>
        <v>48</v>
      </c>
      <c r="F163" s="1">
        <f>VLOOKUP($B163&amp;"__wt",'Xtal_SegEnds_BW#'!$A:$Z,6,FALSE)</f>
        <v>51</v>
      </c>
      <c r="G163" s="1">
        <v>37</v>
      </c>
      <c r="H163" s="1">
        <f>VLOOKUP($B163&amp;"__wt",'Xtal_SegEnds_BW#'!$A:$Z,8,FALSE)</f>
        <v>67</v>
      </c>
      <c r="I163" s="1">
        <f>VLOOKUP($B163&amp;"__wt",'Xtal_SegEnds_BW#'!$A:$Z,9,FALSE)</f>
        <v>49</v>
      </c>
      <c r="J163" s="1">
        <f>VLOOKUP($B163&amp;"__wt",'Xtal_SegEnds_BW#'!$A:$Z,10,FALSE)</f>
        <v>52</v>
      </c>
      <c r="K163" s="1">
        <v>18</v>
      </c>
      <c r="L163" s="1">
        <f>VLOOKUP($B163&amp;"__wt",'Xtal_SegEnds_BW#'!$A:$Z,12,FALSE)</f>
        <v>56</v>
      </c>
      <c r="M163" s="1">
        <f>VLOOKUP($B163&amp;"__wt",'Xtal_SegEnds_BW#'!$A:$Z,13,FALSE)</f>
        <v>50</v>
      </c>
      <c r="N163" s="1">
        <v>56</v>
      </c>
      <c r="O163" s="1">
        <v>39</v>
      </c>
      <c r="P163" s="1">
        <f>VLOOKUP($B163&amp;"__wt",'Xtal_SegEnds_BW#'!$A:$Z,16,FALSE)</f>
        <v>64</v>
      </c>
      <c r="Q163" s="1">
        <f>VLOOKUP($B163&amp;"__wt",'Xtal_SegEnds_BW#'!$A:$Z,17,FALSE)</f>
        <v>50</v>
      </c>
      <c r="R163" s="1">
        <f>VLOOKUP($B163&amp;"__wt",'Xtal_SegEnds_BW#'!$A:$Z,18,FALSE)</f>
        <v>52</v>
      </c>
      <c r="S163" s="1">
        <f>VLOOKUP($B163&amp;"__wt",'Xtal_SegEnds_BW#'!$A:$Z,19,FALSE)</f>
        <v>32</v>
      </c>
      <c r="T163" s="23">
        <f t="array" ref="T163">INDEX('ICL3'!$G$2:$G$31,MATCH(MIN(ABS(AF163-'ICL3'!$F$2:$F$31)),ABS(AF163-'ICL3'!$F$2:$F$31),0))</f>
        <v>73</v>
      </c>
      <c r="U163" s="1">
        <f t="array" ref="U163">INDEX('ICL3'!$H$2:$H$31,MATCH(MIN(ABS(AF163-'ICL3'!$F$2:$F$31)),ABS(AF163-'ICL3'!$F$2:$F$31),0))</f>
        <v>22</v>
      </c>
      <c r="V163" s="1">
        <v>61</v>
      </c>
      <c r="W163" s="1">
        <v>28</v>
      </c>
      <c r="X163" s="1">
        <f>VLOOKUP($B163&amp;"__wt",'Xtal_SegEnds_BW#'!$A:$Z,24,FALSE)</f>
        <v>56</v>
      </c>
      <c r="Y163" s="1">
        <f>VLOOKUP($B163&amp;"__wt",'Xtal_SegEnds_BW#'!$A:$Z,25,FALSE)</f>
        <v>47</v>
      </c>
      <c r="Z163" s="1">
        <f>VLOOKUP($B163&amp;"__wt",'Xtal_SegEnds_BW#'!$A:$Z,26,FALSE)</f>
        <v>58</v>
      </c>
      <c r="AA163" s="63" t="str">
        <f>VLOOKUP(A163,Classification!A:B,2,FALSE)</f>
        <v>A</v>
      </c>
      <c r="AB163" s="1">
        <f>VLOOKUP(A163,'NonXtal_SegEnds_Prot#'!A:AL,10,FALSE)-VLOOKUP(A163,'NonXtal_SegEnds_Prot#'!A:AL,7,FALSE)</f>
        <v>15</v>
      </c>
      <c r="AC163" s="1">
        <f>VLOOKUP(A163,'NonXtal_SegEnds_Prot#'!A:AL,13,FALSE)-VLOOKUP(A163,'NonXtal_SegEnds_Prot#'!A:AL,10,FALSE)</f>
        <v>20</v>
      </c>
      <c r="AD163" s="1">
        <f>VLOOKUP(A163,'NonXtal_SegEnds_Prot#'!A:AL,16,FALSE)-VLOOKUP(A163,'NonXtal_SegEnds_Prot#'!A:AL,10,FALSE)</f>
        <v>52</v>
      </c>
      <c r="AE163" s="1">
        <f>VLOOKUP(A163,'NonXtal_SegEnds_Prot#'!A:AL,28,FALSE)-VLOOKUP(A163,'NonXtal_SegEnds_Prot#'!A:AL,25,FALSE)</f>
        <v>26</v>
      </c>
      <c r="AF163" s="1">
        <f>VLOOKUP(A163,'NonXtal_SegEnds_Prot#'!A:AL,31,FALSE)-VLOOKUP(A163,'NonXtal_SegEnds_Prot#'!A:AL,28,FALSE)</f>
        <v>55</v>
      </c>
      <c r="AG163" s="1">
        <f>VLOOKUP(A163,'NonXtal_SegEnds_Prot#'!A:AL,34,FALSE)-VLOOKUP(A163,'NonXtal_SegEnds_Prot#'!A:AL,31,FALSE)</f>
        <v>39</v>
      </c>
    </row>
    <row r="164" spans="1:33" x14ac:dyDescent="0.2">
      <c r="A164" s="1" t="s">
        <v>513</v>
      </c>
      <c r="B164" s="1" t="str">
        <f>VLOOKUP(A164,Xtal_Templ!A:B,2,FALSE)</f>
        <v>ntr1_rat</v>
      </c>
      <c r="C164" s="5">
        <f>VLOOKUP($B164&amp;"__wt",'Xtal_SegEnds_BW#'!$A:$Z,3,FALSE)</f>
        <v>29</v>
      </c>
      <c r="D164" s="1">
        <f>VLOOKUP($B164&amp;"__wt",'Xtal_SegEnds_BW#'!$A:$Z,4,FALSE)</f>
        <v>60</v>
      </c>
      <c r="E164" s="1">
        <f>VLOOKUP($B164&amp;"__wt",'Xtal_SegEnds_BW#'!$A:$Z,5,FALSE)</f>
        <v>48</v>
      </c>
      <c r="F164" s="1">
        <f>VLOOKUP($B164&amp;"__wt",'Xtal_SegEnds_BW#'!$A:$Z,6,FALSE)</f>
        <v>51</v>
      </c>
      <c r="G164" s="1">
        <v>37</v>
      </c>
      <c r="H164" s="1">
        <v>66</v>
      </c>
      <c r="I164" s="1">
        <f>VLOOKUP($B164&amp;"__wt",'Xtal_SegEnds_BW#'!$A:$Z,9,FALSE)</f>
        <v>49</v>
      </c>
      <c r="J164" s="1">
        <f>VLOOKUP($B164&amp;"__wt",'Xtal_SegEnds_BW#'!$A:$Z,10,FALSE)</f>
        <v>52</v>
      </c>
      <c r="K164" s="1">
        <v>18</v>
      </c>
      <c r="L164" s="1">
        <f>VLOOKUP($B164&amp;"__wt",'Xtal_SegEnds_BW#'!$A:$Z,12,FALSE)</f>
        <v>56</v>
      </c>
      <c r="M164" s="1">
        <f>VLOOKUP($B164&amp;"__wt",'Xtal_SegEnds_BW#'!$A:$Z,13,FALSE)</f>
        <v>50</v>
      </c>
      <c r="N164" s="1">
        <v>57</v>
      </c>
      <c r="O164" s="1">
        <v>39</v>
      </c>
      <c r="P164" s="1">
        <f>VLOOKUP($B164&amp;"__wt",'Xtal_SegEnds_BW#'!$A:$Z,16,FALSE)</f>
        <v>64</v>
      </c>
      <c r="Q164" s="1">
        <f>VLOOKUP($B164&amp;"__wt",'Xtal_SegEnds_BW#'!$A:$Z,17,FALSE)</f>
        <v>50</v>
      </c>
      <c r="R164" s="1">
        <f>VLOOKUP($B164&amp;"__wt",'Xtal_SegEnds_BW#'!$A:$Z,18,FALSE)</f>
        <v>52</v>
      </c>
      <c r="S164" s="1">
        <f>VLOOKUP($B164&amp;"__wt",'Xtal_SegEnds_BW#'!$A:$Z,19,FALSE)</f>
        <v>32</v>
      </c>
      <c r="T164" s="23">
        <f t="array" ref="T164">INDEX('ICL3'!$G$2:$G$31,MATCH(MIN(ABS(AF164-'ICL3'!$F$2:$F$31)),ABS(AF164-'ICL3'!$F$2:$F$31),0))</f>
        <v>73</v>
      </c>
      <c r="U164" s="1">
        <f t="array" ref="U164">INDEX('ICL3'!$H$2:$H$31,MATCH(MIN(ABS(AF164-'ICL3'!$F$2:$F$31)),ABS(AF164-'ICL3'!$F$2:$F$31),0))</f>
        <v>22</v>
      </c>
      <c r="V164" s="1">
        <v>61</v>
      </c>
      <c r="W164" s="1">
        <v>28</v>
      </c>
      <c r="X164" s="1">
        <f>VLOOKUP($B164&amp;"__wt",'Xtal_SegEnds_BW#'!$A:$Z,24,FALSE)</f>
        <v>56</v>
      </c>
      <c r="Y164" s="1">
        <f>VLOOKUP($B164&amp;"__wt",'Xtal_SegEnds_BW#'!$A:$Z,25,FALSE)</f>
        <v>47</v>
      </c>
      <c r="Z164" s="1">
        <f>VLOOKUP($B164&amp;"__wt",'Xtal_SegEnds_BW#'!$A:$Z,26,FALSE)</f>
        <v>58</v>
      </c>
      <c r="AA164" s="63" t="str">
        <f>VLOOKUP(A164,Classification!A:B,2,FALSE)</f>
        <v>A</v>
      </c>
      <c r="AB164" s="1">
        <f>VLOOKUP(A164,'NonXtal_SegEnds_Prot#'!A:AL,10,FALSE)-VLOOKUP(A164,'NonXtal_SegEnds_Prot#'!A:AL,7,FALSE)</f>
        <v>15</v>
      </c>
      <c r="AC164" s="1">
        <f>VLOOKUP(A164,'NonXtal_SegEnds_Prot#'!A:AL,13,FALSE)-VLOOKUP(A164,'NonXtal_SegEnds_Prot#'!A:AL,10,FALSE)</f>
        <v>19</v>
      </c>
      <c r="AD164" s="1">
        <f>VLOOKUP(A164,'NonXtal_SegEnds_Prot#'!A:AL,16,FALSE)-VLOOKUP(A164,'NonXtal_SegEnds_Prot#'!A:AL,10,FALSE)</f>
        <v>53</v>
      </c>
      <c r="AE164" s="1">
        <f>VLOOKUP(A164,'NonXtal_SegEnds_Prot#'!A:AL,28,FALSE)-VLOOKUP(A164,'NonXtal_SegEnds_Prot#'!A:AL,25,FALSE)</f>
        <v>24</v>
      </c>
      <c r="AF164" s="1">
        <f>VLOOKUP(A164,'NonXtal_SegEnds_Prot#'!A:AL,31,FALSE)-VLOOKUP(A164,'NonXtal_SegEnds_Prot#'!A:AL,28,FALSE)</f>
        <v>55</v>
      </c>
      <c r="AG164" s="1">
        <f>VLOOKUP(A164,'NonXtal_SegEnds_Prot#'!A:AL,34,FALSE)-VLOOKUP(A164,'NonXtal_SegEnds_Prot#'!A:AL,31,FALSE)</f>
        <v>41</v>
      </c>
    </row>
    <row r="165" spans="1:33" x14ac:dyDescent="0.2">
      <c r="A165" s="1" t="s">
        <v>519</v>
      </c>
      <c r="B165" s="1" t="str">
        <f>VLOOKUP(A165,Xtal_Templ!A:B,2,FALSE)</f>
        <v>ox2r_human</v>
      </c>
      <c r="C165" s="5">
        <f>VLOOKUP($B165&amp;"__wt",'Xtal_SegEnds_BW#'!$A:$Z,3,FALSE)</f>
        <v>31</v>
      </c>
      <c r="D165" s="1">
        <f>VLOOKUP($B165&amp;"__wt",'Xtal_SegEnds_BW#'!$A:$Z,4,FALSE)</f>
        <v>60</v>
      </c>
      <c r="E165" s="1">
        <f>VLOOKUP($B165&amp;"__wt",'Xtal_SegEnds_BW#'!$A:$Z,5,FALSE)</f>
        <v>48</v>
      </c>
      <c r="F165" s="1">
        <f>VLOOKUP($B165&amp;"__wt",'Xtal_SegEnds_BW#'!$A:$Z,6,FALSE)</f>
        <v>51</v>
      </c>
      <c r="G165" s="1">
        <v>37</v>
      </c>
      <c r="H165" s="1">
        <f>VLOOKUP($B165&amp;"__wt",'Xtal_SegEnds_BW#'!$A:$Z,8,FALSE)</f>
        <v>67</v>
      </c>
      <c r="I165" s="1">
        <f>VLOOKUP($B165&amp;"__wt",'Xtal_SegEnds_BW#'!$A:$Z,9,FALSE)</f>
        <v>49</v>
      </c>
      <c r="J165" s="1">
        <f>VLOOKUP($B165&amp;"__wt",'Xtal_SegEnds_BW#'!$A:$Z,10,FALSE)</f>
        <v>52</v>
      </c>
      <c r="K165" s="1">
        <v>18</v>
      </c>
      <c r="L165" s="1">
        <f>VLOOKUP($B165&amp;"__wt",'Xtal_SegEnds_BW#'!$A:$Z,12,FALSE)</f>
        <v>56</v>
      </c>
      <c r="M165" s="1">
        <f>VLOOKUP($B165&amp;"__wt",'Xtal_SegEnds_BW#'!$A:$Z,13,FALSE)</f>
        <v>50</v>
      </c>
      <c r="N165" s="1">
        <v>56</v>
      </c>
      <c r="O165" s="1">
        <v>39</v>
      </c>
      <c r="P165" s="1">
        <f>VLOOKUP($B165&amp;"__wt",'Xtal_SegEnds_BW#'!$A:$Z,16,FALSE)</f>
        <v>64</v>
      </c>
      <c r="Q165" s="1">
        <f>VLOOKUP($B165&amp;"__wt",'Xtal_SegEnds_BW#'!$A:$Z,17,FALSE)</f>
        <v>50</v>
      </c>
      <c r="R165" s="1">
        <f>VLOOKUP($B165&amp;"__wt",'Xtal_SegEnds_BW#'!$A:$Z,18,FALSE)</f>
        <v>52</v>
      </c>
      <c r="S165" s="1">
        <f>VLOOKUP($B165&amp;"__wt",'Xtal_SegEnds_BW#'!$A:$Z,19,FALSE)</f>
        <v>32</v>
      </c>
      <c r="T165" s="23">
        <f t="array" ref="T165">INDEX('ICL3'!$G$2:$G$31,MATCH(MIN(ABS(AF165-'ICL3'!$F$2:$F$31)),ABS(AF165-'ICL3'!$F$2:$F$31),0))</f>
        <v>73</v>
      </c>
      <c r="U165" s="1">
        <f t="array" ref="U165">INDEX('ICL3'!$H$2:$H$31,MATCH(MIN(ABS(AF165-'ICL3'!$F$2:$F$31)),ABS(AF165-'ICL3'!$F$2:$F$31),0))</f>
        <v>22</v>
      </c>
      <c r="V165" s="1">
        <v>61</v>
      </c>
      <c r="W165" s="1">
        <v>28</v>
      </c>
      <c r="X165" s="1">
        <f>VLOOKUP($B165&amp;"__wt",'Xtal_SegEnds_BW#'!$A:$Z,24,FALSE)</f>
        <v>56</v>
      </c>
      <c r="Y165" s="1">
        <f>VLOOKUP($B165&amp;"__wt",'Xtal_SegEnds_BW#'!$A:$Z,25,FALSE)</f>
        <v>47</v>
      </c>
      <c r="Z165" s="1">
        <f>VLOOKUP($B165&amp;"__wt",'Xtal_SegEnds_BW#'!$A:$Z,26,FALSE)</f>
        <v>58</v>
      </c>
      <c r="AA165" s="63" t="str">
        <f>VLOOKUP(A165,Classification!A:B,2,FALSE)</f>
        <v>A</v>
      </c>
      <c r="AB165" s="1">
        <f>VLOOKUP(A165,'NonXtal_SegEnds_Prot#'!A:AL,10,FALSE)-VLOOKUP(A165,'NonXtal_SegEnds_Prot#'!A:AL,7,FALSE)</f>
        <v>15</v>
      </c>
      <c r="AC165" s="1">
        <f>VLOOKUP(A165,'NonXtal_SegEnds_Prot#'!A:AL,13,FALSE)-VLOOKUP(A165,'NonXtal_SegEnds_Prot#'!A:AL,10,FALSE)</f>
        <v>20</v>
      </c>
      <c r="AD165" s="1">
        <f>VLOOKUP(A165,'NonXtal_SegEnds_Prot#'!A:AL,16,FALSE)-VLOOKUP(A165,'NonXtal_SegEnds_Prot#'!A:AL,10,FALSE)</f>
        <v>52</v>
      </c>
      <c r="AE165" s="1">
        <f>VLOOKUP(A165,'NonXtal_SegEnds_Prot#'!A:AL,28,FALSE)-VLOOKUP(A165,'NonXtal_SegEnds_Prot#'!A:AL,25,FALSE)</f>
        <v>25</v>
      </c>
      <c r="AF165" s="1">
        <f>VLOOKUP(A165,'NonXtal_SegEnds_Prot#'!A:AL,31,FALSE)-VLOOKUP(A165,'NonXtal_SegEnds_Prot#'!A:AL,28,FALSE)</f>
        <v>55</v>
      </c>
      <c r="AG165" s="1">
        <f>VLOOKUP(A165,'NonXtal_SegEnds_Prot#'!A:AL,34,FALSE)-VLOOKUP(A165,'NonXtal_SegEnds_Prot#'!A:AL,31,FALSE)</f>
        <v>39</v>
      </c>
    </row>
    <row r="166" spans="1:33" x14ac:dyDescent="0.2">
      <c r="A166" s="1" t="s">
        <v>523</v>
      </c>
      <c r="B166" s="1" t="str">
        <f>VLOOKUP(A166,Xtal_Templ!A:B,2,FALSE)</f>
        <v>ox2r_human</v>
      </c>
      <c r="C166" s="5">
        <f>VLOOKUP($B166&amp;"__wt",'Xtal_SegEnds_BW#'!$A:$Z,3,FALSE)</f>
        <v>31</v>
      </c>
      <c r="D166" s="1">
        <f>VLOOKUP($B166&amp;"__wt",'Xtal_SegEnds_BW#'!$A:$Z,4,FALSE)</f>
        <v>60</v>
      </c>
      <c r="E166" s="1">
        <f>VLOOKUP($B166&amp;"__wt",'Xtal_SegEnds_BW#'!$A:$Z,5,FALSE)</f>
        <v>48</v>
      </c>
      <c r="F166" s="1">
        <f>VLOOKUP($B166&amp;"__wt",'Xtal_SegEnds_BW#'!$A:$Z,6,FALSE)</f>
        <v>51</v>
      </c>
      <c r="G166" s="1">
        <v>37</v>
      </c>
      <c r="H166" s="1">
        <f>VLOOKUP($B166&amp;"__wt",'Xtal_SegEnds_BW#'!$A:$Z,8,FALSE)</f>
        <v>67</v>
      </c>
      <c r="I166" s="1">
        <f>VLOOKUP($B166&amp;"__wt",'Xtal_SegEnds_BW#'!$A:$Z,9,FALSE)</f>
        <v>49</v>
      </c>
      <c r="J166" s="1">
        <f>VLOOKUP($B166&amp;"__wt",'Xtal_SegEnds_BW#'!$A:$Z,10,FALSE)</f>
        <v>52</v>
      </c>
      <c r="K166" s="1">
        <v>18</v>
      </c>
      <c r="L166" s="1">
        <f>VLOOKUP($B166&amp;"__wt",'Xtal_SegEnds_BW#'!$A:$Z,12,FALSE)</f>
        <v>56</v>
      </c>
      <c r="M166" s="1">
        <f>VLOOKUP($B166&amp;"__wt",'Xtal_SegEnds_BW#'!$A:$Z,13,FALSE)</f>
        <v>50</v>
      </c>
      <c r="N166" s="1">
        <f>VLOOKUP($B166&amp;"__wt",'Xtal_SegEnds_BW#'!$A:$Z,14,FALSE)</f>
        <v>56</v>
      </c>
      <c r="O166" s="1">
        <v>39</v>
      </c>
      <c r="P166" s="1">
        <f>VLOOKUP($B166&amp;"__wt",'Xtal_SegEnds_BW#'!$A:$Z,16,FALSE)</f>
        <v>64</v>
      </c>
      <c r="Q166" s="1">
        <f>VLOOKUP($B166&amp;"__wt",'Xtal_SegEnds_BW#'!$A:$Z,17,FALSE)</f>
        <v>50</v>
      </c>
      <c r="R166" s="1">
        <f>VLOOKUP($B166&amp;"__wt",'Xtal_SegEnds_BW#'!$A:$Z,18,FALSE)</f>
        <v>52</v>
      </c>
      <c r="S166" s="1">
        <f>VLOOKUP($B166&amp;"__wt",'Xtal_SegEnds_BW#'!$A:$Z,19,FALSE)</f>
        <v>32</v>
      </c>
      <c r="T166" s="23">
        <f t="array" ref="T166">INDEX('ICL3'!$G$2:$G$31,MATCH(MIN(ABS(AF166-'ICL3'!$F$2:$F$31)),ABS(AF166-'ICL3'!$F$2:$F$31),0))</f>
        <v>73</v>
      </c>
      <c r="U166" s="1">
        <f t="array" ref="U166">INDEX('ICL3'!$H$2:$H$31,MATCH(MIN(ABS(AF166-'ICL3'!$F$2:$F$31)),ABS(AF166-'ICL3'!$F$2:$F$31),0))</f>
        <v>22</v>
      </c>
      <c r="V166" s="1">
        <v>61</v>
      </c>
      <c r="W166" s="1">
        <v>24</v>
      </c>
      <c r="X166" s="1">
        <f>VLOOKUP($B166&amp;"__wt",'Xtal_SegEnds_BW#'!$A:$Z,24,FALSE)</f>
        <v>56</v>
      </c>
      <c r="Y166" s="1">
        <f>VLOOKUP($B166&amp;"__wt",'Xtal_SegEnds_BW#'!$A:$Z,25,FALSE)</f>
        <v>47</v>
      </c>
      <c r="Z166" s="1">
        <f>VLOOKUP($B166&amp;"__wt",'Xtal_SegEnds_BW#'!$A:$Z,26,FALSE)</f>
        <v>58</v>
      </c>
      <c r="AA166" s="63" t="str">
        <f>VLOOKUP(A166,Classification!A:B,2,FALSE)</f>
        <v>A</v>
      </c>
      <c r="AB166" s="1">
        <f>VLOOKUP(A166,'NonXtal_SegEnds_Prot#'!A:AL,10,FALSE)-VLOOKUP(A166,'NonXtal_SegEnds_Prot#'!A:AL,7,FALSE)</f>
        <v>15</v>
      </c>
      <c r="AC166" s="1">
        <f>VLOOKUP(A166,'NonXtal_SegEnds_Prot#'!A:AL,13,FALSE)-VLOOKUP(A166,'NonXtal_SegEnds_Prot#'!A:AL,10,FALSE)</f>
        <v>20</v>
      </c>
      <c r="AD166" s="1">
        <f>VLOOKUP(A166,'NonXtal_SegEnds_Prot#'!A:AL,16,FALSE)-VLOOKUP(A166,'NonXtal_SegEnds_Prot#'!A:AL,10,FALSE)</f>
        <v>52</v>
      </c>
      <c r="AE166" s="1" t="e">
        <f>VLOOKUP(A166,'NonXtal_SegEnds_Prot#'!A:AL,28,FALSE)-VLOOKUP(A166,'NonXtal_SegEnds_Prot#'!A:AL,25,FALSE)</f>
        <v>#VALUE!</v>
      </c>
      <c r="AF166" s="1">
        <f>VLOOKUP(A166,'NonXtal_SegEnds_Prot#'!A:AL,31,FALSE)-VLOOKUP(A166,'NonXtal_SegEnds_Prot#'!A:AL,28,FALSE)</f>
        <v>55</v>
      </c>
      <c r="AG166" s="1" t="e">
        <f>VLOOKUP(A166,'NonXtal_SegEnds_Prot#'!A:AL,34,FALSE)-VLOOKUP(A166,'NonXtal_SegEnds_Prot#'!A:AL,31,FALSE)</f>
        <v>#VALUE!</v>
      </c>
    </row>
    <row r="167" spans="1:33" x14ac:dyDescent="0.2">
      <c r="A167" s="1" t="s">
        <v>561</v>
      </c>
      <c r="B167" s="1" t="str">
        <f>VLOOKUP(A167,Xtal_Templ!A:B,2,FALSE)</f>
        <v>ox2r_human</v>
      </c>
      <c r="C167" s="5">
        <f>VLOOKUP($B167&amp;"__wt",'Xtal_SegEnds_BW#'!$A:$Z,3,FALSE)</f>
        <v>31</v>
      </c>
      <c r="D167" s="1">
        <f>VLOOKUP($B167&amp;"__wt",'Xtal_SegEnds_BW#'!$A:$Z,4,FALSE)</f>
        <v>60</v>
      </c>
      <c r="E167" s="1">
        <f>VLOOKUP($B167&amp;"__wt",'Xtal_SegEnds_BW#'!$A:$Z,5,FALSE)</f>
        <v>48</v>
      </c>
      <c r="F167" s="1">
        <f>VLOOKUP($B167&amp;"__wt",'Xtal_SegEnds_BW#'!$A:$Z,6,FALSE)</f>
        <v>51</v>
      </c>
      <c r="G167" s="1">
        <v>37</v>
      </c>
      <c r="H167" s="1">
        <f>VLOOKUP($B167&amp;"__wt",'Xtal_SegEnds_BW#'!$A:$Z,8,FALSE)</f>
        <v>67</v>
      </c>
      <c r="I167" s="1">
        <f>VLOOKUP($B167&amp;"__wt",'Xtal_SegEnds_BW#'!$A:$Z,9,FALSE)</f>
        <v>49</v>
      </c>
      <c r="J167" s="1">
        <f>VLOOKUP($B167&amp;"__wt",'Xtal_SegEnds_BW#'!$A:$Z,10,FALSE)</f>
        <v>52</v>
      </c>
      <c r="K167" s="1">
        <v>18</v>
      </c>
      <c r="L167" s="1">
        <f>VLOOKUP($B167&amp;"__wt",'Xtal_SegEnds_BW#'!$A:$Z,12,FALSE)</f>
        <v>56</v>
      </c>
      <c r="M167" s="1">
        <f>VLOOKUP($B167&amp;"__wt",'Xtal_SegEnds_BW#'!$A:$Z,13,FALSE)</f>
        <v>50</v>
      </c>
      <c r="N167" s="1">
        <v>56</v>
      </c>
      <c r="O167" s="1">
        <v>39</v>
      </c>
      <c r="P167" s="1">
        <f>VLOOKUP($B167&amp;"__wt",'Xtal_SegEnds_BW#'!$A:$Z,16,FALSE)</f>
        <v>64</v>
      </c>
      <c r="Q167" s="1">
        <f>VLOOKUP($B167&amp;"__wt",'Xtal_SegEnds_BW#'!$A:$Z,17,FALSE)</f>
        <v>50</v>
      </c>
      <c r="R167" s="1">
        <f>VLOOKUP($B167&amp;"__wt",'Xtal_SegEnds_BW#'!$A:$Z,18,FALSE)</f>
        <v>52</v>
      </c>
      <c r="S167" s="1">
        <f>VLOOKUP($B167&amp;"__wt",'Xtal_SegEnds_BW#'!$A:$Z,19,FALSE)</f>
        <v>32</v>
      </c>
      <c r="T167" s="23">
        <f t="array" ref="T167">INDEX('ICL3'!$G$2:$G$31,MATCH(MIN(ABS(AF167-'ICL3'!$F$2:$F$31)),ABS(AF167-'ICL3'!$F$2:$F$31),0))</f>
        <v>73</v>
      </c>
      <c r="U167" s="1">
        <f t="array" ref="U167">INDEX('ICL3'!$H$2:$H$31,MATCH(MIN(ABS(AF167-'ICL3'!$F$2:$F$31)),ABS(AF167-'ICL3'!$F$2:$F$31),0))</f>
        <v>22</v>
      </c>
      <c r="V167" s="1">
        <v>61</v>
      </c>
      <c r="W167" s="1">
        <v>28</v>
      </c>
      <c r="X167" s="1">
        <f>VLOOKUP($B167&amp;"__wt",'Xtal_SegEnds_BW#'!$A:$Z,24,FALSE)</f>
        <v>56</v>
      </c>
      <c r="Y167" s="1">
        <f>VLOOKUP($B167&amp;"__wt",'Xtal_SegEnds_BW#'!$A:$Z,25,FALSE)</f>
        <v>47</v>
      </c>
      <c r="Z167" s="1">
        <f>VLOOKUP($B167&amp;"__wt",'Xtal_SegEnds_BW#'!$A:$Z,26,FALSE)</f>
        <v>58</v>
      </c>
      <c r="AA167" s="63" t="str">
        <f>VLOOKUP(A167,Classification!A:B,2,FALSE)</f>
        <v>A</v>
      </c>
      <c r="AB167" s="1">
        <f>VLOOKUP(A167,'NonXtal_SegEnds_Prot#'!A:AL,10,FALSE)-VLOOKUP(A167,'NonXtal_SegEnds_Prot#'!A:AL,7,FALSE)</f>
        <v>15</v>
      </c>
      <c r="AC167" s="1">
        <f>VLOOKUP(A167,'NonXtal_SegEnds_Prot#'!A:AL,13,FALSE)-VLOOKUP(A167,'NonXtal_SegEnds_Prot#'!A:AL,10,FALSE)</f>
        <v>22</v>
      </c>
      <c r="AD167" s="1">
        <f>VLOOKUP(A167,'NonXtal_SegEnds_Prot#'!A:AL,16,FALSE)-VLOOKUP(A167,'NonXtal_SegEnds_Prot#'!A:AL,10,FALSE)</f>
        <v>54</v>
      </c>
      <c r="AE167" s="1">
        <f>VLOOKUP(A167,'NonXtal_SegEnds_Prot#'!A:AL,28,FALSE)-VLOOKUP(A167,'NonXtal_SegEnds_Prot#'!A:AL,25,FALSE)</f>
        <v>27</v>
      </c>
      <c r="AF167" s="1">
        <f>VLOOKUP(A167,'NonXtal_SegEnds_Prot#'!A:AL,31,FALSE)-VLOOKUP(A167,'NonXtal_SegEnds_Prot#'!A:AL,28,FALSE)</f>
        <v>55</v>
      </c>
      <c r="AG167" s="1">
        <f>VLOOKUP(A167,'NonXtal_SegEnds_Prot#'!A:AL,34,FALSE)-VLOOKUP(A167,'NonXtal_SegEnds_Prot#'!A:AL,31,FALSE)</f>
        <v>40</v>
      </c>
    </row>
    <row r="168" spans="1:33" x14ac:dyDescent="0.2">
      <c r="A168" s="1" t="s">
        <v>562</v>
      </c>
      <c r="B168" s="1" t="str">
        <f>VLOOKUP(A168,Xtal_Templ!A:B,2,FALSE)</f>
        <v>ox2r_human</v>
      </c>
      <c r="C168" s="5">
        <f>VLOOKUP($B168&amp;"__wt",'Xtal_SegEnds_BW#'!$A:$Z,3,FALSE)</f>
        <v>31</v>
      </c>
      <c r="D168" s="1">
        <f>VLOOKUP($B168&amp;"__wt",'Xtal_SegEnds_BW#'!$A:$Z,4,FALSE)</f>
        <v>60</v>
      </c>
      <c r="E168" s="1">
        <f>VLOOKUP($B168&amp;"__wt",'Xtal_SegEnds_BW#'!$A:$Z,5,FALSE)</f>
        <v>48</v>
      </c>
      <c r="F168" s="1">
        <f>VLOOKUP($B168&amp;"__wt",'Xtal_SegEnds_BW#'!$A:$Z,6,FALSE)</f>
        <v>51</v>
      </c>
      <c r="G168" s="1">
        <v>37</v>
      </c>
      <c r="H168" s="1">
        <f>VLOOKUP($B168&amp;"__wt",'Xtal_SegEnds_BW#'!$A:$Z,8,FALSE)</f>
        <v>67</v>
      </c>
      <c r="I168" s="1">
        <f>VLOOKUP($B168&amp;"__wt",'Xtal_SegEnds_BW#'!$A:$Z,9,FALSE)</f>
        <v>49</v>
      </c>
      <c r="J168" s="1">
        <f>VLOOKUP($B168&amp;"__wt",'Xtal_SegEnds_BW#'!$A:$Z,10,FALSE)</f>
        <v>52</v>
      </c>
      <c r="K168" s="1">
        <v>18</v>
      </c>
      <c r="L168" s="1">
        <f>VLOOKUP($B168&amp;"__wt",'Xtal_SegEnds_BW#'!$A:$Z,12,FALSE)</f>
        <v>56</v>
      </c>
      <c r="M168" s="1">
        <f>VLOOKUP($B168&amp;"__wt",'Xtal_SegEnds_BW#'!$A:$Z,13,FALSE)</f>
        <v>50</v>
      </c>
      <c r="N168" s="1">
        <v>56</v>
      </c>
      <c r="O168" s="1">
        <v>39</v>
      </c>
      <c r="P168" s="1">
        <f>VLOOKUP($B168&amp;"__wt",'Xtal_SegEnds_BW#'!$A:$Z,16,FALSE)</f>
        <v>64</v>
      </c>
      <c r="Q168" s="1">
        <f>VLOOKUP($B168&amp;"__wt",'Xtal_SegEnds_BW#'!$A:$Z,17,FALSE)</f>
        <v>50</v>
      </c>
      <c r="R168" s="1">
        <f>VLOOKUP($B168&amp;"__wt",'Xtal_SegEnds_BW#'!$A:$Z,18,FALSE)</f>
        <v>52</v>
      </c>
      <c r="S168" s="1">
        <f>VLOOKUP($B168&amp;"__wt",'Xtal_SegEnds_BW#'!$A:$Z,19,FALSE)</f>
        <v>32</v>
      </c>
      <c r="T168" s="23">
        <f t="array" ref="T168">INDEX('ICL3'!$G$2:$G$31,MATCH(MIN(ABS(AF168-'ICL3'!$F$2:$F$31)),ABS(AF168-'ICL3'!$F$2:$F$31),0))</f>
        <v>73</v>
      </c>
      <c r="U168" s="1">
        <f t="array" ref="U168">INDEX('ICL3'!$H$2:$H$31,MATCH(MIN(ABS(AF168-'ICL3'!$F$2:$F$31)),ABS(AF168-'ICL3'!$F$2:$F$31),0))</f>
        <v>22</v>
      </c>
      <c r="V168" s="1">
        <v>61</v>
      </c>
      <c r="W168" s="1">
        <v>28</v>
      </c>
      <c r="X168" s="1">
        <f>VLOOKUP($B168&amp;"__wt",'Xtal_SegEnds_BW#'!$A:$Z,24,FALSE)</f>
        <v>56</v>
      </c>
      <c r="Y168" s="1">
        <f>VLOOKUP($B168&amp;"__wt",'Xtal_SegEnds_BW#'!$A:$Z,25,FALSE)</f>
        <v>47</v>
      </c>
      <c r="Z168" s="1">
        <f>VLOOKUP($B168&amp;"__wt",'Xtal_SegEnds_BW#'!$A:$Z,26,FALSE)</f>
        <v>58</v>
      </c>
      <c r="AA168" s="63" t="str">
        <f>VLOOKUP(A168,Classification!A:B,2,FALSE)</f>
        <v>A</v>
      </c>
      <c r="AB168" s="1">
        <f>VLOOKUP(A168,'NonXtal_SegEnds_Prot#'!A:AL,10,FALSE)-VLOOKUP(A168,'NonXtal_SegEnds_Prot#'!A:AL,7,FALSE)</f>
        <v>15</v>
      </c>
      <c r="AC168" s="1">
        <f>VLOOKUP(A168,'NonXtal_SegEnds_Prot#'!A:AL,13,FALSE)-VLOOKUP(A168,'NonXtal_SegEnds_Prot#'!A:AL,10,FALSE)</f>
        <v>22</v>
      </c>
      <c r="AD168" s="1">
        <f>VLOOKUP(A168,'NonXtal_SegEnds_Prot#'!A:AL,16,FALSE)-VLOOKUP(A168,'NonXtal_SegEnds_Prot#'!A:AL,10,FALSE)</f>
        <v>54</v>
      </c>
      <c r="AE168" s="1">
        <f>VLOOKUP(A168,'NonXtal_SegEnds_Prot#'!A:AL,28,FALSE)-VLOOKUP(A168,'NonXtal_SegEnds_Prot#'!A:AL,25,FALSE)</f>
        <v>27</v>
      </c>
      <c r="AF168" s="1">
        <f>VLOOKUP(A168,'NonXtal_SegEnds_Prot#'!A:AL,31,FALSE)-VLOOKUP(A168,'NonXtal_SegEnds_Prot#'!A:AL,28,FALSE)</f>
        <v>55</v>
      </c>
      <c r="AG168" s="1">
        <f>VLOOKUP(A168,'NonXtal_SegEnds_Prot#'!A:AL,34,FALSE)-VLOOKUP(A168,'NonXtal_SegEnds_Prot#'!A:AL,31,FALSE)</f>
        <v>40</v>
      </c>
    </row>
    <row r="169" spans="1:33" x14ac:dyDescent="0.2">
      <c r="A169" s="1" t="s">
        <v>335</v>
      </c>
      <c r="B169" s="1" t="str">
        <f>VLOOKUP(A169,Xtal_Templ!A:B,2,FALSE)</f>
        <v>aa2ar_human</v>
      </c>
      <c r="C169" s="5">
        <f>VLOOKUP($B169&amp;"__wt",'Xtal_SegEnds_BW#'!$A:$Z,3,FALSE)</f>
        <v>28</v>
      </c>
      <c r="D169" s="1">
        <f>VLOOKUP($B169&amp;"__wt",'Xtal_SegEnds_BW#'!$A:$Z,4,FALSE)</f>
        <v>60</v>
      </c>
      <c r="E169" s="1">
        <f>VLOOKUP($B169&amp;"__wt",'Xtal_SegEnds_BW#'!$A:$Z,5,FALSE)</f>
        <v>48</v>
      </c>
      <c r="F169" s="1">
        <f>VLOOKUP($B169&amp;"__wt",'Xtal_SegEnds_BW#'!$A:$Z,6,FALSE)</f>
        <v>51</v>
      </c>
      <c r="G169" s="1">
        <v>37</v>
      </c>
      <c r="H169" s="1">
        <v>66</v>
      </c>
      <c r="I169" s="1">
        <f>VLOOKUP($B169&amp;"__wt",'Xtal_SegEnds_BW#'!$A:$Z,9,FALSE)</f>
        <v>50</v>
      </c>
      <c r="J169" s="1">
        <f>VLOOKUP($B169&amp;"__wt",'Xtal_SegEnds_BW#'!$A:$Z,10,FALSE)</f>
        <v>52</v>
      </c>
      <c r="K169" s="1">
        <v>24</v>
      </c>
      <c r="L169" s="1">
        <f>VLOOKUP($B169&amp;"__wt",'Xtal_SegEnds_BW#'!$A:$Z,12,FALSE)</f>
        <v>56</v>
      </c>
      <c r="M169" s="1">
        <f>VLOOKUP($B169&amp;"__wt",'Xtal_SegEnds_BW#'!$A:$Z,13,FALSE)</f>
        <v>50</v>
      </c>
      <c r="N169" s="1">
        <v>57</v>
      </c>
      <c r="O169" s="1">
        <v>39</v>
      </c>
      <c r="P169" s="1">
        <f>VLOOKUP($B169&amp;"__wt",'Xtal_SegEnds_BW#'!$A:$Z,16,FALSE)</f>
        <v>63</v>
      </c>
      <c r="Q169" s="1">
        <f>VLOOKUP($B169&amp;"__wt",'Xtal_SegEnds_BW#'!$A:$Z,17,FALSE)</f>
        <v>50</v>
      </c>
      <c r="R169" s="1">
        <f>VLOOKUP($B169&amp;"__wt",'Xtal_SegEnds_BW#'!$A:$Z,18,FALSE)</f>
        <v>52</v>
      </c>
      <c r="S169" s="1">
        <f>VLOOKUP($B169&amp;"__wt",'Xtal_SegEnds_BW#'!$A:$Z,19,FALSE)</f>
        <v>34</v>
      </c>
      <c r="T169" s="23">
        <f t="array" ref="T169">INDEX('ICL3'!$G$2:$G$31,MATCH(MIN(ABS(AF169-'ICL3'!$F$2:$F$31)),ABS(AF169-'ICL3'!$F$2:$F$31),0))</f>
        <v>73</v>
      </c>
      <c r="U169" s="1">
        <f t="array" ref="U169">INDEX('ICL3'!$H$2:$H$31,MATCH(MIN(ABS(AF169-'ICL3'!$F$2:$F$31)),ABS(AF169-'ICL3'!$F$2:$F$31),0))</f>
        <v>22</v>
      </c>
      <c r="V169" s="1">
        <v>61</v>
      </c>
      <c r="W169" s="1">
        <v>32</v>
      </c>
      <c r="X169" s="1">
        <f>VLOOKUP($B169&amp;"__wt",'Xtal_SegEnds_BW#'!$A:$Z,24,FALSE)</f>
        <v>56</v>
      </c>
      <c r="Y169" s="1">
        <f>VLOOKUP($B169&amp;"__wt",'Xtal_SegEnds_BW#'!$A:$Z,25,FALSE)</f>
        <v>47</v>
      </c>
      <c r="Z169" s="1">
        <f>VLOOKUP($B169&amp;"__wt",'Xtal_SegEnds_BW#'!$A:$Z,26,FALSE)</f>
        <v>69</v>
      </c>
      <c r="AA169" s="63" t="str">
        <f>VLOOKUP(A169,Classification!A:B,2,FALSE)</f>
        <v>A</v>
      </c>
      <c r="AB169" s="1">
        <f>VLOOKUP(A169,'NonXtal_SegEnds_Prot#'!A:AL,10,FALSE)-VLOOKUP(A169,'NonXtal_SegEnds_Prot#'!A:AL,7,FALSE)</f>
        <v>15</v>
      </c>
      <c r="AC169" s="1">
        <f>VLOOKUP(A169,'NonXtal_SegEnds_Prot#'!A:AL,13,FALSE)-VLOOKUP(A169,'NonXtal_SegEnds_Prot#'!A:AL,10,FALSE)</f>
        <v>18</v>
      </c>
      <c r="AD169" s="1">
        <f>VLOOKUP(A169,'NonXtal_SegEnds_Prot#'!A:AL,16,FALSE)-VLOOKUP(A169,'NonXtal_SegEnds_Prot#'!A:AL,10,FALSE)</f>
        <v>50</v>
      </c>
      <c r="AE169" s="1">
        <f>VLOOKUP(A169,'NonXtal_SegEnds_Prot#'!A:AL,28,FALSE)-VLOOKUP(A169,'NonXtal_SegEnds_Prot#'!A:AL,25,FALSE)</f>
        <v>23</v>
      </c>
      <c r="AF169" s="1">
        <f>VLOOKUP(A169,'NonXtal_SegEnds_Prot#'!A:AL,31,FALSE)-VLOOKUP(A169,'NonXtal_SegEnds_Prot#'!A:AL,28,FALSE)</f>
        <v>56</v>
      </c>
      <c r="AG169" s="1">
        <f>VLOOKUP(A169,'NonXtal_SegEnds_Prot#'!A:AL,34,FALSE)-VLOOKUP(A169,'NonXtal_SegEnds_Prot#'!A:AL,31,FALSE)</f>
        <v>34</v>
      </c>
    </row>
    <row r="170" spans="1:33" x14ac:dyDescent="0.2">
      <c r="A170" s="1" t="s">
        <v>436</v>
      </c>
      <c r="B170" s="1" t="str">
        <f>VLOOKUP(A170,Xtal_Templ!A:B,2,FALSE)</f>
        <v>ox2r_human</v>
      </c>
      <c r="C170" s="5">
        <f>VLOOKUP($B170&amp;"__wt",'Xtal_SegEnds_BW#'!$A:$Z,3,FALSE)</f>
        <v>31</v>
      </c>
      <c r="D170" s="1">
        <f>VLOOKUP($B170&amp;"__wt",'Xtal_SegEnds_BW#'!$A:$Z,4,FALSE)</f>
        <v>60</v>
      </c>
      <c r="E170" s="1">
        <f>VLOOKUP($B170&amp;"__wt",'Xtal_SegEnds_BW#'!$A:$Z,5,FALSE)</f>
        <v>48</v>
      </c>
      <c r="F170" s="1">
        <f>VLOOKUP($B170&amp;"__wt",'Xtal_SegEnds_BW#'!$A:$Z,6,FALSE)</f>
        <v>51</v>
      </c>
      <c r="G170" s="1">
        <v>37</v>
      </c>
      <c r="H170" s="1">
        <f>VLOOKUP($B170&amp;"__wt",'Xtal_SegEnds_BW#'!$A:$Z,8,FALSE)</f>
        <v>67</v>
      </c>
      <c r="I170" s="1">
        <f>VLOOKUP($B170&amp;"__wt",'Xtal_SegEnds_BW#'!$A:$Z,9,FALSE)</f>
        <v>49</v>
      </c>
      <c r="J170" s="1">
        <f>VLOOKUP($B170&amp;"__wt",'Xtal_SegEnds_BW#'!$A:$Z,10,FALSE)</f>
        <v>52</v>
      </c>
      <c r="K170" s="1">
        <v>18</v>
      </c>
      <c r="L170" s="1">
        <f>VLOOKUP($B170&amp;"__wt",'Xtal_SegEnds_BW#'!$A:$Z,12,FALSE)</f>
        <v>56</v>
      </c>
      <c r="M170" s="1">
        <f>VLOOKUP($B170&amp;"__wt",'Xtal_SegEnds_BW#'!$A:$Z,13,FALSE)</f>
        <v>50</v>
      </c>
      <c r="N170" s="1">
        <v>56</v>
      </c>
      <c r="O170" s="1">
        <v>39</v>
      </c>
      <c r="P170" s="1">
        <f>VLOOKUP($B170&amp;"__wt",'Xtal_SegEnds_BW#'!$A:$Z,16,FALSE)</f>
        <v>64</v>
      </c>
      <c r="Q170" s="1">
        <f>VLOOKUP($B170&amp;"__wt",'Xtal_SegEnds_BW#'!$A:$Z,17,FALSE)</f>
        <v>50</v>
      </c>
      <c r="R170" s="1">
        <f>VLOOKUP($B170&amp;"__wt",'Xtal_SegEnds_BW#'!$A:$Z,18,FALSE)</f>
        <v>52</v>
      </c>
      <c r="S170" s="1">
        <f>VLOOKUP($B170&amp;"__wt",'Xtal_SegEnds_BW#'!$A:$Z,19,FALSE)</f>
        <v>32</v>
      </c>
      <c r="T170" s="23">
        <f t="array" ref="T170">INDEX('ICL3'!$G$2:$G$31,MATCH(MIN(ABS(AF170-'ICL3'!$F$2:$F$31)),ABS(AF170-'ICL3'!$F$2:$F$31),0))</f>
        <v>73</v>
      </c>
      <c r="U170" s="1">
        <f t="array" ref="U170">INDEX('ICL3'!$H$2:$H$31,MATCH(MIN(ABS(AF170-'ICL3'!$F$2:$F$31)),ABS(AF170-'ICL3'!$F$2:$F$31),0))</f>
        <v>22</v>
      </c>
      <c r="V170" s="1">
        <v>61</v>
      </c>
      <c r="W170" s="1">
        <v>31</v>
      </c>
      <c r="X170" s="1">
        <f>VLOOKUP($B170&amp;"__wt",'Xtal_SegEnds_BW#'!$A:$Z,24,FALSE)</f>
        <v>56</v>
      </c>
      <c r="Y170" s="1">
        <f>VLOOKUP($B170&amp;"__wt",'Xtal_SegEnds_BW#'!$A:$Z,25,FALSE)</f>
        <v>47</v>
      </c>
      <c r="Z170" s="1">
        <f>VLOOKUP($B170&amp;"__wt",'Xtal_SegEnds_BW#'!$A:$Z,26,FALSE)</f>
        <v>58</v>
      </c>
      <c r="AA170" s="63" t="str">
        <f>VLOOKUP(A170,Classification!A:B,2,FALSE)</f>
        <v>A</v>
      </c>
      <c r="AB170" s="1">
        <f>VLOOKUP(A170,'NonXtal_SegEnds_Prot#'!A:AL,10,FALSE)-VLOOKUP(A170,'NonXtal_SegEnds_Prot#'!A:AL,7,FALSE)</f>
        <v>15</v>
      </c>
      <c r="AC170" s="1">
        <f>VLOOKUP(A170,'NonXtal_SegEnds_Prot#'!A:AL,13,FALSE)-VLOOKUP(A170,'NonXtal_SegEnds_Prot#'!A:AL,10,FALSE)</f>
        <v>20</v>
      </c>
      <c r="AD170" s="1">
        <f>VLOOKUP(A170,'NonXtal_SegEnds_Prot#'!A:AL,16,FALSE)-VLOOKUP(A170,'NonXtal_SegEnds_Prot#'!A:AL,10,FALSE)</f>
        <v>52</v>
      </c>
      <c r="AE170" s="1">
        <f>VLOOKUP(A170,'NonXtal_SegEnds_Prot#'!A:AL,28,FALSE)-VLOOKUP(A170,'NonXtal_SegEnds_Prot#'!A:AL,25,FALSE)</f>
        <v>25</v>
      </c>
      <c r="AF170" s="1">
        <f>VLOOKUP(A170,'NonXtal_SegEnds_Prot#'!A:AL,31,FALSE)-VLOOKUP(A170,'NonXtal_SegEnds_Prot#'!A:AL,28,FALSE)</f>
        <v>56</v>
      </c>
      <c r="AG170" s="1">
        <f>VLOOKUP(A170,'NonXtal_SegEnds_Prot#'!A:AL,34,FALSE)-VLOOKUP(A170,'NonXtal_SegEnds_Prot#'!A:AL,31,FALSE)</f>
        <v>36</v>
      </c>
    </row>
    <row r="171" spans="1:33" x14ac:dyDescent="0.2">
      <c r="A171" s="1" t="s">
        <v>463</v>
      </c>
      <c r="B171" s="1" t="str">
        <f>VLOOKUP(A171,Xtal_Templ!A:B,2,FALSE)</f>
        <v>ox2r_human</v>
      </c>
      <c r="C171" s="5">
        <f>VLOOKUP($B171&amp;"__wt",'Xtal_SegEnds_BW#'!$A:$Z,3,FALSE)</f>
        <v>31</v>
      </c>
      <c r="D171" s="1">
        <f>VLOOKUP($B171&amp;"__wt",'Xtal_SegEnds_BW#'!$A:$Z,4,FALSE)</f>
        <v>60</v>
      </c>
      <c r="E171" s="1">
        <f>VLOOKUP($B171&amp;"__wt",'Xtal_SegEnds_BW#'!$A:$Z,5,FALSE)</f>
        <v>48</v>
      </c>
      <c r="F171" s="1">
        <f>VLOOKUP($B171&amp;"__wt",'Xtal_SegEnds_BW#'!$A:$Z,6,FALSE)</f>
        <v>51</v>
      </c>
      <c r="G171" s="1">
        <v>37</v>
      </c>
      <c r="H171" s="1">
        <f>VLOOKUP($B171&amp;"__wt",'Xtal_SegEnds_BW#'!$A:$Z,8,FALSE)</f>
        <v>67</v>
      </c>
      <c r="I171" s="1">
        <f>VLOOKUP($B171&amp;"__wt",'Xtal_SegEnds_BW#'!$A:$Z,9,FALSE)</f>
        <v>49</v>
      </c>
      <c r="J171" s="1">
        <f>VLOOKUP($B171&amp;"__wt",'Xtal_SegEnds_BW#'!$A:$Z,10,FALSE)</f>
        <v>52</v>
      </c>
      <c r="K171" s="1">
        <v>18</v>
      </c>
      <c r="L171" s="1">
        <f>VLOOKUP($B171&amp;"__wt",'Xtal_SegEnds_BW#'!$A:$Z,12,FALSE)</f>
        <v>56</v>
      </c>
      <c r="M171" s="1">
        <f>VLOOKUP($B171&amp;"__wt",'Xtal_SegEnds_BW#'!$A:$Z,13,FALSE)</f>
        <v>50</v>
      </c>
      <c r="N171" s="1">
        <v>56</v>
      </c>
      <c r="O171" s="1">
        <v>39</v>
      </c>
      <c r="P171" s="1">
        <f>VLOOKUP($B171&amp;"__wt",'Xtal_SegEnds_BW#'!$A:$Z,16,FALSE)</f>
        <v>64</v>
      </c>
      <c r="Q171" s="1">
        <f>VLOOKUP($B171&amp;"__wt",'Xtal_SegEnds_BW#'!$A:$Z,17,FALSE)</f>
        <v>50</v>
      </c>
      <c r="R171" s="1">
        <f>VLOOKUP($B171&amp;"__wt",'Xtal_SegEnds_BW#'!$A:$Z,18,FALSE)</f>
        <v>52</v>
      </c>
      <c r="S171" s="1">
        <f>VLOOKUP($B171&amp;"__wt",'Xtal_SegEnds_BW#'!$A:$Z,19,FALSE)</f>
        <v>32</v>
      </c>
      <c r="T171" s="23">
        <f t="array" ref="T171">INDEX('ICL3'!$G$2:$G$31,MATCH(MIN(ABS(AF171-'ICL3'!$F$2:$F$31)),ABS(AF171-'ICL3'!$F$2:$F$31),0))</f>
        <v>73</v>
      </c>
      <c r="U171" s="1">
        <f t="array" ref="U171">INDEX('ICL3'!$H$2:$H$31,MATCH(MIN(ABS(AF171-'ICL3'!$F$2:$F$31)),ABS(AF171-'ICL3'!$F$2:$F$31),0))</f>
        <v>22</v>
      </c>
      <c r="V171" s="1">
        <v>61</v>
      </c>
      <c r="W171" s="1">
        <v>31</v>
      </c>
      <c r="X171" s="1">
        <f>VLOOKUP($B171&amp;"__wt",'Xtal_SegEnds_BW#'!$A:$Z,24,FALSE)</f>
        <v>56</v>
      </c>
      <c r="Y171" s="1">
        <f>VLOOKUP($B171&amp;"__wt",'Xtal_SegEnds_BW#'!$A:$Z,25,FALSE)</f>
        <v>47</v>
      </c>
      <c r="Z171" s="1">
        <f>VLOOKUP($B171&amp;"__wt",'Xtal_SegEnds_BW#'!$A:$Z,26,FALSE)</f>
        <v>58</v>
      </c>
      <c r="AA171" s="63" t="str">
        <f>VLOOKUP(A171,Classification!A:B,2,FALSE)</f>
        <v>A</v>
      </c>
      <c r="AB171" s="1">
        <f>VLOOKUP(A171,'NonXtal_SegEnds_Prot#'!A:AL,10,FALSE)-VLOOKUP(A171,'NonXtal_SegEnds_Prot#'!A:AL,7,FALSE)</f>
        <v>15</v>
      </c>
      <c r="AC171" s="1">
        <f>VLOOKUP(A171,'NonXtal_SegEnds_Prot#'!A:AL,13,FALSE)-VLOOKUP(A171,'NonXtal_SegEnds_Prot#'!A:AL,10,FALSE)</f>
        <v>20</v>
      </c>
      <c r="AD171" s="1">
        <f>VLOOKUP(A171,'NonXtal_SegEnds_Prot#'!A:AL,16,FALSE)-VLOOKUP(A171,'NonXtal_SegEnds_Prot#'!A:AL,10,FALSE)</f>
        <v>52</v>
      </c>
      <c r="AE171" s="1">
        <f>VLOOKUP(A171,'NonXtal_SegEnds_Prot#'!A:AL,28,FALSE)-VLOOKUP(A171,'NonXtal_SegEnds_Prot#'!A:AL,25,FALSE)</f>
        <v>27</v>
      </c>
      <c r="AF171" s="1">
        <f>VLOOKUP(A171,'NonXtal_SegEnds_Prot#'!A:AL,31,FALSE)-VLOOKUP(A171,'NonXtal_SegEnds_Prot#'!A:AL,28,FALSE)</f>
        <v>56</v>
      </c>
      <c r="AG171" s="1">
        <f>VLOOKUP(A171,'NonXtal_SegEnds_Prot#'!A:AL,34,FALSE)-VLOOKUP(A171,'NonXtal_SegEnds_Prot#'!A:AL,31,FALSE)</f>
        <v>35</v>
      </c>
    </row>
    <row r="172" spans="1:33" x14ac:dyDescent="0.2">
      <c r="A172" s="1" t="s">
        <v>297</v>
      </c>
      <c r="B172" s="1" t="str">
        <f>VLOOKUP(A172,Xtal_Templ!A:B,2,FALSE)</f>
        <v>lpar1_human</v>
      </c>
      <c r="C172" s="5">
        <f>VLOOKUP($B172&amp;"__wt",'Xtal_SegEnds_BW#'!$A:$Z,3,FALSE)</f>
        <v>30</v>
      </c>
      <c r="D172" s="1">
        <f>VLOOKUP($B172&amp;"__wt",'Xtal_SegEnds_BW#'!$A:$Z,4,FALSE)</f>
        <v>60</v>
      </c>
      <c r="E172" s="1">
        <f>VLOOKUP($B172&amp;"__wt",'Xtal_SegEnds_BW#'!$A:$Z,5,FALSE)</f>
        <v>48</v>
      </c>
      <c r="F172" s="1">
        <f>VLOOKUP($B172&amp;"__wt",'Xtal_SegEnds_BW#'!$A:$Z,6,FALSE)</f>
        <v>51</v>
      </c>
      <c r="G172" s="1">
        <v>37</v>
      </c>
      <c r="H172" s="1">
        <v>63</v>
      </c>
      <c r="I172" s="1">
        <f>VLOOKUP($B172&amp;"__wt",'Xtal_SegEnds_BW#'!$A:$Z,9,FALSE)</f>
        <v>47</v>
      </c>
      <c r="J172" s="1">
        <f>VLOOKUP($B172&amp;"__wt",'Xtal_SegEnds_BW#'!$A:$Z,10,FALSE)</f>
        <v>53</v>
      </c>
      <c r="K172" s="1">
        <v>18</v>
      </c>
      <c r="L172" s="1">
        <f>VLOOKUP($B172&amp;"__wt",'Xtal_SegEnds_BW#'!$A:$Z,12,FALSE)</f>
        <v>56</v>
      </c>
      <c r="M172" s="1">
        <f>VLOOKUP($B172&amp;"__wt",'Xtal_SegEnds_BW#'!$A:$Z,13,FALSE)</f>
        <v>50</v>
      </c>
      <c r="N172" s="1">
        <v>57</v>
      </c>
      <c r="O172" s="1">
        <v>39</v>
      </c>
      <c r="P172" s="1">
        <f>VLOOKUP($B172&amp;"__wt",'Xtal_SegEnds_BW#'!$A:$Z,16,FALSE)</f>
        <v>63</v>
      </c>
      <c r="Q172" s="1" t="str">
        <f>VLOOKUP($B172&amp;"__wt",'Xtal_SegEnds_BW#'!$A:$Z,17,FALSE)</f>
        <v>-</v>
      </c>
      <c r="R172" s="1" t="str">
        <f>VLOOKUP($B172&amp;"__wt",'Xtal_SegEnds_BW#'!$A:$Z,18,FALSE)</f>
        <v>-</v>
      </c>
      <c r="S172" s="1">
        <f>VLOOKUP($B172&amp;"__wt",'Xtal_SegEnds_BW#'!$A:$Z,19,FALSE)</f>
        <v>36</v>
      </c>
      <c r="T172" s="23">
        <f t="array" ref="T172">INDEX('ICL3'!$G$2:$G$31,MATCH(MIN(ABS(AF172-'ICL3'!$F$2:$F$31)),ABS(AF172-'ICL3'!$F$2:$F$31),0))</f>
        <v>73</v>
      </c>
      <c r="U172" s="1">
        <f t="array" ref="U172">INDEX('ICL3'!$H$2:$H$31,MATCH(MIN(ABS(AF172-'ICL3'!$F$2:$F$31)),ABS(AF172-'ICL3'!$F$2:$F$31),0))</f>
        <v>22</v>
      </c>
      <c r="V172" s="1">
        <v>61</v>
      </c>
      <c r="W172" s="1">
        <v>30</v>
      </c>
      <c r="X172" s="1">
        <f>VLOOKUP($B172&amp;"__wt",'Xtal_SegEnds_BW#'!$A:$Z,24,FALSE)</f>
        <v>56</v>
      </c>
      <c r="Y172" s="1">
        <f>VLOOKUP($B172&amp;"__wt",'Xtal_SegEnds_BW#'!$A:$Z,25,FALSE)</f>
        <v>47</v>
      </c>
      <c r="Z172" s="1">
        <f>VLOOKUP($B172&amp;"__wt",'Xtal_SegEnds_BW#'!$A:$Z,26,FALSE)</f>
        <v>59</v>
      </c>
      <c r="AA172" s="63" t="str">
        <f>VLOOKUP(A172,Classification!A:B,2,FALSE)</f>
        <v>A</v>
      </c>
      <c r="AB172" s="1">
        <f>VLOOKUP(A172,'NonXtal_SegEnds_Prot#'!A:AL,10,FALSE)-VLOOKUP(A172,'NonXtal_SegEnds_Prot#'!A:AL,7,FALSE)</f>
        <v>15</v>
      </c>
      <c r="AC172" s="1">
        <f>VLOOKUP(A172,'NonXtal_SegEnds_Prot#'!A:AL,13,FALSE)-VLOOKUP(A172,'NonXtal_SegEnds_Prot#'!A:AL,10,FALSE)</f>
        <v>18</v>
      </c>
      <c r="AD172" s="1">
        <f>VLOOKUP(A172,'NonXtal_SegEnds_Prot#'!A:AL,16,FALSE)-VLOOKUP(A172,'NonXtal_SegEnds_Prot#'!A:AL,10,FALSE)</f>
        <v>51</v>
      </c>
      <c r="AE172" s="1" t="e">
        <f>VLOOKUP(A172,'NonXtal_SegEnds_Prot#'!A:AL,28,FALSE)-VLOOKUP(A172,'NonXtal_SegEnds_Prot#'!A:AL,25,FALSE)</f>
        <v>#VALUE!</v>
      </c>
      <c r="AF172" s="1">
        <f>VLOOKUP(A172,'NonXtal_SegEnds_Prot#'!A:AL,31,FALSE)-VLOOKUP(A172,'NonXtal_SegEnds_Prot#'!A:AL,28,FALSE)</f>
        <v>56</v>
      </c>
      <c r="AG172" s="1">
        <f>VLOOKUP(A172,'NonXtal_SegEnds_Prot#'!A:AL,34,FALSE)-VLOOKUP(A172,'NonXtal_SegEnds_Prot#'!A:AL,31,FALSE)</f>
        <v>35</v>
      </c>
    </row>
    <row r="173" spans="1:33" x14ac:dyDescent="0.2">
      <c r="A173" s="1" t="s">
        <v>480</v>
      </c>
      <c r="B173" s="1" t="str">
        <f>VLOOKUP(A173,Xtal_Templ!A:B,2,FALSE)</f>
        <v>lpar1_human</v>
      </c>
      <c r="C173" s="5">
        <f>VLOOKUP($B173&amp;"__wt",'Xtal_SegEnds_BW#'!$A:$Z,3,FALSE)</f>
        <v>30</v>
      </c>
      <c r="D173" s="1">
        <f>VLOOKUP($B173&amp;"__wt",'Xtal_SegEnds_BW#'!$A:$Z,4,FALSE)</f>
        <v>60</v>
      </c>
      <c r="E173" s="1">
        <f>VLOOKUP($B173&amp;"__wt",'Xtal_SegEnds_BW#'!$A:$Z,5,FALSE)</f>
        <v>48</v>
      </c>
      <c r="F173" s="1">
        <f>VLOOKUP($B173&amp;"__wt",'Xtal_SegEnds_BW#'!$A:$Z,6,FALSE)</f>
        <v>51</v>
      </c>
      <c r="G173" s="1">
        <v>37</v>
      </c>
      <c r="H173" s="1">
        <v>63</v>
      </c>
      <c r="I173" s="1">
        <f>VLOOKUP($B173&amp;"__wt",'Xtal_SegEnds_BW#'!$A:$Z,9,FALSE)</f>
        <v>47</v>
      </c>
      <c r="J173" s="1">
        <f>VLOOKUP($B173&amp;"__wt",'Xtal_SegEnds_BW#'!$A:$Z,10,FALSE)</f>
        <v>53</v>
      </c>
      <c r="K173" s="1">
        <v>18</v>
      </c>
      <c r="L173" s="1">
        <f>VLOOKUP($B173&amp;"__wt",'Xtal_SegEnds_BW#'!$A:$Z,12,FALSE)</f>
        <v>56</v>
      </c>
      <c r="M173" s="1">
        <f>VLOOKUP($B173&amp;"__wt",'Xtal_SegEnds_BW#'!$A:$Z,13,FALSE)</f>
        <v>50</v>
      </c>
      <c r="N173" s="1">
        <v>57</v>
      </c>
      <c r="O173" s="1">
        <v>39</v>
      </c>
      <c r="P173" s="1">
        <f>VLOOKUP($B173&amp;"__wt",'Xtal_SegEnds_BW#'!$A:$Z,16,FALSE)</f>
        <v>63</v>
      </c>
      <c r="Q173" s="1" t="str">
        <f>VLOOKUP($B173&amp;"__wt",'Xtal_SegEnds_BW#'!$A:$Z,17,FALSE)</f>
        <v>-</v>
      </c>
      <c r="R173" s="1" t="str">
        <f>VLOOKUP($B173&amp;"__wt",'Xtal_SegEnds_BW#'!$A:$Z,18,FALSE)</f>
        <v>-</v>
      </c>
      <c r="S173" s="1">
        <f>VLOOKUP($B173&amp;"__wt",'Xtal_SegEnds_BW#'!$A:$Z,19,FALSE)</f>
        <v>36</v>
      </c>
      <c r="T173" s="23">
        <f t="array" ref="T173">INDEX('ICL3'!$G$2:$G$31,MATCH(MIN(ABS(AF173-'ICL3'!$F$2:$F$31)),ABS(AF173-'ICL3'!$F$2:$F$31),0))</f>
        <v>73</v>
      </c>
      <c r="U173" s="1">
        <f t="array" ref="U173">INDEX('ICL3'!$H$2:$H$31,MATCH(MIN(ABS(AF173-'ICL3'!$F$2:$F$31)),ABS(AF173-'ICL3'!$F$2:$F$31),0))</f>
        <v>22</v>
      </c>
      <c r="V173" s="1">
        <v>61</v>
      </c>
      <c r="W173" s="1">
        <v>30</v>
      </c>
      <c r="X173" s="1">
        <f>VLOOKUP($B173&amp;"__wt",'Xtal_SegEnds_BW#'!$A:$Z,24,FALSE)</f>
        <v>56</v>
      </c>
      <c r="Y173" s="1">
        <f>VLOOKUP($B173&amp;"__wt",'Xtal_SegEnds_BW#'!$A:$Z,25,FALSE)</f>
        <v>47</v>
      </c>
      <c r="Z173" s="1">
        <f>VLOOKUP($B173&amp;"__wt",'Xtal_SegEnds_BW#'!$A:$Z,26,FALSE)</f>
        <v>59</v>
      </c>
      <c r="AA173" s="63" t="str">
        <f>VLOOKUP(A173,Classification!A:B,2,FALSE)</f>
        <v>A</v>
      </c>
      <c r="AB173" s="1">
        <f>VLOOKUP(A173,'NonXtal_SegEnds_Prot#'!A:AL,10,FALSE)-VLOOKUP(A173,'NonXtal_SegEnds_Prot#'!A:AL,7,FALSE)</f>
        <v>15</v>
      </c>
      <c r="AC173" s="1">
        <f>VLOOKUP(A173,'NonXtal_SegEnds_Prot#'!A:AL,13,FALSE)-VLOOKUP(A173,'NonXtal_SegEnds_Prot#'!A:AL,10,FALSE)</f>
        <v>18</v>
      </c>
      <c r="AD173" s="1">
        <f>VLOOKUP(A173,'NonXtal_SegEnds_Prot#'!A:AL,16,FALSE)-VLOOKUP(A173,'NonXtal_SegEnds_Prot#'!A:AL,10,FALSE)</f>
        <v>51</v>
      </c>
      <c r="AE173" s="1" t="e">
        <f>VLOOKUP(A173,'NonXtal_SegEnds_Prot#'!A:AL,28,FALSE)-VLOOKUP(A173,'NonXtal_SegEnds_Prot#'!A:AL,25,FALSE)</f>
        <v>#VALUE!</v>
      </c>
      <c r="AF173" s="1">
        <f>VLOOKUP(A173,'NonXtal_SegEnds_Prot#'!A:AL,31,FALSE)-VLOOKUP(A173,'NonXtal_SegEnds_Prot#'!A:AL,28,FALSE)</f>
        <v>56</v>
      </c>
      <c r="AG173" s="1">
        <f>VLOOKUP(A173,'NonXtal_SegEnds_Prot#'!A:AL,34,FALSE)-VLOOKUP(A173,'NonXtal_SegEnds_Prot#'!A:AL,31,FALSE)</f>
        <v>36</v>
      </c>
    </row>
    <row r="174" spans="1:33" x14ac:dyDescent="0.2">
      <c r="A174" s="1" t="s">
        <v>481</v>
      </c>
      <c r="B174" s="1" t="str">
        <f>VLOOKUP(A174,Xtal_Templ!A:B,2,FALSE)</f>
        <v>lpar1_human</v>
      </c>
      <c r="C174" s="5">
        <f>VLOOKUP($B174&amp;"__wt",'Xtal_SegEnds_BW#'!$A:$Z,3,FALSE)</f>
        <v>30</v>
      </c>
      <c r="D174" s="1">
        <f>VLOOKUP($B174&amp;"__wt",'Xtal_SegEnds_BW#'!$A:$Z,4,FALSE)</f>
        <v>60</v>
      </c>
      <c r="E174" s="1">
        <f>VLOOKUP($B174&amp;"__wt",'Xtal_SegEnds_BW#'!$A:$Z,5,FALSE)</f>
        <v>48</v>
      </c>
      <c r="F174" s="1">
        <f>VLOOKUP($B174&amp;"__wt",'Xtal_SegEnds_BW#'!$A:$Z,6,FALSE)</f>
        <v>51</v>
      </c>
      <c r="G174" s="1">
        <v>37</v>
      </c>
      <c r="H174" s="1">
        <v>63</v>
      </c>
      <c r="I174" s="1">
        <f>VLOOKUP($B174&amp;"__wt",'Xtal_SegEnds_BW#'!$A:$Z,9,FALSE)</f>
        <v>47</v>
      </c>
      <c r="J174" s="1">
        <f>VLOOKUP($B174&amp;"__wt",'Xtal_SegEnds_BW#'!$A:$Z,10,FALSE)</f>
        <v>53</v>
      </c>
      <c r="K174" s="1">
        <v>18</v>
      </c>
      <c r="L174" s="1">
        <f>VLOOKUP($B174&amp;"__wt",'Xtal_SegEnds_BW#'!$A:$Z,12,FALSE)</f>
        <v>56</v>
      </c>
      <c r="M174" s="1">
        <f>VLOOKUP($B174&amp;"__wt",'Xtal_SegEnds_BW#'!$A:$Z,13,FALSE)</f>
        <v>50</v>
      </c>
      <c r="N174" s="1">
        <v>57</v>
      </c>
      <c r="O174" s="1">
        <v>39</v>
      </c>
      <c r="P174" s="1">
        <f>VLOOKUP($B174&amp;"__wt",'Xtal_SegEnds_BW#'!$A:$Z,16,FALSE)</f>
        <v>63</v>
      </c>
      <c r="Q174" s="1" t="str">
        <f>VLOOKUP($B174&amp;"__wt",'Xtal_SegEnds_BW#'!$A:$Z,17,FALSE)</f>
        <v>-</v>
      </c>
      <c r="R174" s="1" t="str">
        <f>VLOOKUP($B174&amp;"__wt",'Xtal_SegEnds_BW#'!$A:$Z,18,FALSE)</f>
        <v>-</v>
      </c>
      <c r="S174" s="1">
        <f>VLOOKUP($B174&amp;"__wt",'Xtal_SegEnds_BW#'!$A:$Z,19,FALSE)</f>
        <v>36</v>
      </c>
      <c r="T174" s="23">
        <f t="array" ref="T174">INDEX('ICL3'!$G$2:$G$31,MATCH(MIN(ABS(AF174-'ICL3'!$F$2:$F$31)),ABS(AF174-'ICL3'!$F$2:$F$31),0))</f>
        <v>73</v>
      </c>
      <c r="U174" s="1">
        <f t="array" ref="U174">INDEX('ICL3'!$H$2:$H$31,MATCH(MIN(ABS(AF174-'ICL3'!$F$2:$F$31)),ABS(AF174-'ICL3'!$F$2:$F$31),0))</f>
        <v>22</v>
      </c>
      <c r="V174" s="1">
        <v>61</v>
      </c>
      <c r="W174" s="1">
        <v>30</v>
      </c>
      <c r="X174" s="1">
        <f>VLOOKUP($B174&amp;"__wt",'Xtal_SegEnds_BW#'!$A:$Z,24,FALSE)</f>
        <v>56</v>
      </c>
      <c r="Y174" s="1">
        <f>VLOOKUP($B174&amp;"__wt",'Xtal_SegEnds_BW#'!$A:$Z,25,FALSE)</f>
        <v>47</v>
      </c>
      <c r="Z174" s="1">
        <f>VLOOKUP($B174&amp;"__wt",'Xtal_SegEnds_BW#'!$A:$Z,26,FALSE)</f>
        <v>59</v>
      </c>
      <c r="AA174" s="63" t="str">
        <f>VLOOKUP(A174,Classification!A:B,2,FALSE)</f>
        <v>A</v>
      </c>
      <c r="AB174" s="1">
        <f>VLOOKUP(A174,'NonXtal_SegEnds_Prot#'!A:AL,10,FALSE)-VLOOKUP(A174,'NonXtal_SegEnds_Prot#'!A:AL,7,FALSE)</f>
        <v>15</v>
      </c>
      <c r="AC174" s="1">
        <f>VLOOKUP(A174,'NonXtal_SegEnds_Prot#'!A:AL,13,FALSE)-VLOOKUP(A174,'NonXtal_SegEnds_Prot#'!A:AL,10,FALSE)</f>
        <v>18</v>
      </c>
      <c r="AD174" s="1">
        <f>VLOOKUP(A174,'NonXtal_SegEnds_Prot#'!A:AL,16,FALSE)-VLOOKUP(A174,'NonXtal_SegEnds_Prot#'!A:AL,10,FALSE)</f>
        <v>51</v>
      </c>
      <c r="AE174" s="1" t="e">
        <f>VLOOKUP(A174,'NonXtal_SegEnds_Prot#'!A:AL,28,FALSE)-VLOOKUP(A174,'NonXtal_SegEnds_Prot#'!A:AL,25,FALSE)</f>
        <v>#VALUE!</v>
      </c>
      <c r="AF174" s="1">
        <f>VLOOKUP(A174,'NonXtal_SegEnds_Prot#'!A:AL,31,FALSE)-VLOOKUP(A174,'NonXtal_SegEnds_Prot#'!A:AL,28,FALSE)</f>
        <v>56</v>
      </c>
      <c r="AG174" s="1">
        <f>VLOOKUP(A174,'NonXtal_SegEnds_Prot#'!A:AL,34,FALSE)-VLOOKUP(A174,'NonXtal_SegEnds_Prot#'!A:AL,31,FALSE)</f>
        <v>36</v>
      </c>
    </row>
    <row r="175" spans="1:33" x14ac:dyDescent="0.2">
      <c r="A175" s="1" t="s">
        <v>491</v>
      </c>
      <c r="B175" s="1" t="str">
        <f>VLOOKUP(A175,Xtal_Templ!A:B,2,FALSE)</f>
        <v>s1pr1_human</v>
      </c>
      <c r="C175" s="5">
        <f>VLOOKUP($B175&amp;"__wt",'Xtal_SegEnds_BW#'!$A:$Z,3,FALSE)</f>
        <v>29</v>
      </c>
      <c r="D175" s="1">
        <f>VLOOKUP($B175&amp;"__wt",'Xtal_SegEnds_BW#'!$A:$Z,4,FALSE)</f>
        <v>60</v>
      </c>
      <c r="E175" s="1">
        <f>VLOOKUP($B175&amp;"__wt",'Xtal_SegEnds_BW#'!$A:$Z,5,FALSE)</f>
        <v>48</v>
      </c>
      <c r="F175" s="1">
        <f>VLOOKUP($B175&amp;"__wt",'Xtal_SegEnds_BW#'!$A:$Z,6,FALSE)</f>
        <v>51</v>
      </c>
      <c r="G175" s="1">
        <v>37</v>
      </c>
      <c r="H175" s="1">
        <v>67</v>
      </c>
      <c r="I175" s="1" t="s">
        <v>129</v>
      </c>
      <c r="J175" s="1" t="s">
        <v>129</v>
      </c>
      <c r="K175" s="1">
        <v>18</v>
      </c>
      <c r="L175" s="1">
        <f>VLOOKUP($B175&amp;"__wt",'Xtal_SegEnds_BW#'!$A:$Z,12,FALSE)</f>
        <v>56</v>
      </c>
      <c r="M175" s="1">
        <f>VLOOKUP($B175&amp;"__wt",'Xtal_SegEnds_BW#'!$A:$Z,13,FALSE)</f>
        <v>50</v>
      </c>
      <c r="N175" s="1">
        <v>57</v>
      </c>
      <c r="O175" s="1">
        <v>39</v>
      </c>
      <c r="P175" s="1">
        <f>VLOOKUP($B175&amp;"__wt",'Xtal_SegEnds_BW#'!$A:$Z,16,FALSE)</f>
        <v>63</v>
      </c>
      <c r="Q175" s="1" t="str">
        <f>VLOOKUP($B175&amp;"__wt",'Xtal_SegEnds_BW#'!$A:$Z,17,FALSE)</f>
        <v>-</v>
      </c>
      <c r="R175" s="1" t="str">
        <f>VLOOKUP($B175&amp;"__wt",'Xtal_SegEnds_BW#'!$A:$Z,18,FALSE)</f>
        <v>-</v>
      </c>
      <c r="S175" s="1">
        <f>VLOOKUP($B175&amp;"__wt",'Xtal_SegEnds_BW#'!$A:$Z,19,FALSE)</f>
        <v>36</v>
      </c>
      <c r="T175" s="23">
        <f t="array" ref="T175">INDEX('ICL3'!$G$2:$G$31,MATCH(MIN(ABS(AF175-'ICL3'!$F$2:$F$31)),ABS(AF175-'ICL3'!$F$2:$F$31),0))</f>
        <v>73</v>
      </c>
      <c r="U175" s="1">
        <f t="array" ref="U175">INDEX('ICL3'!$H$2:$H$31,MATCH(MIN(ABS(AF175-'ICL3'!$F$2:$F$31)),ABS(AF175-'ICL3'!$F$2:$F$31),0))</f>
        <v>22</v>
      </c>
      <c r="V175" s="1">
        <v>61</v>
      </c>
      <c r="W175" s="1">
        <v>28</v>
      </c>
      <c r="X175" s="1">
        <f>VLOOKUP($B175&amp;"__wt",'Xtal_SegEnds_BW#'!$A:$Z,24,FALSE)</f>
        <v>56</v>
      </c>
      <c r="Y175" s="1">
        <f>VLOOKUP($B175&amp;"__wt",'Xtal_SegEnds_BW#'!$A:$Z,25,FALSE)</f>
        <v>47</v>
      </c>
      <c r="Z175" s="1">
        <f>VLOOKUP($B175&amp;"__wt",'Xtal_SegEnds_BW#'!$A:$Z,26,FALSE)</f>
        <v>59</v>
      </c>
      <c r="AA175" s="63" t="str">
        <f>VLOOKUP(A175,Classification!A:B,2,FALSE)</f>
        <v>A</v>
      </c>
      <c r="AB175" s="1">
        <f>VLOOKUP(A175,'NonXtal_SegEnds_Prot#'!A:AL,10,FALSE)-VLOOKUP(A175,'NonXtal_SegEnds_Prot#'!A:AL,7,FALSE)</f>
        <v>15</v>
      </c>
      <c r="AC175" s="1" t="e">
        <f>VLOOKUP(A175,'NonXtal_SegEnds_Prot#'!A:AL,13,FALSE)-VLOOKUP(A175,'NonXtal_SegEnds_Prot#'!A:AL,10,FALSE)</f>
        <v>#VALUE!</v>
      </c>
      <c r="AD175" s="1">
        <f>VLOOKUP(A175,'NonXtal_SegEnds_Prot#'!A:AL,16,FALSE)-VLOOKUP(A175,'NonXtal_SegEnds_Prot#'!A:AL,10,FALSE)</f>
        <v>57</v>
      </c>
      <c r="AE175" s="1" t="e">
        <f>VLOOKUP(A175,'NonXtal_SegEnds_Prot#'!A:AL,28,FALSE)-VLOOKUP(A175,'NonXtal_SegEnds_Prot#'!A:AL,25,FALSE)</f>
        <v>#VALUE!</v>
      </c>
      <c r="AF175" s="1">
        <f>VLOOKUP(A175,'NonXtal_SegEnds_Prot#'!A:AL,31,FALSE)-VLOOKUP(A175,'NonXtal_SegEnds_Prot#'!A:AL,28,FALSE)</f>
        <v>56</v>
      </c>
      <c r="AG175" s="1">
        <f>VLOOKUP(A175,'NonXtal_SegEnds_Prot#'!A:AL,34,FALSE)-VLOOKUP(A175,'NonXtal_SegEnds_Prot#'!A:AL,31,FALSE)</f>
        <v>39</v>
      </c>
    </row>
    <row r="176" spans="1:33" x14ac:dyDescent="0.2">
      <c r="A176" s="1" t="s">
        <v>492</v>
      </c>
      <c r="B176" s="1" t="str">
        <f>VLOOKUP(A176,Xtal_Templ!A:B,2,FALSE)</f>
        <v>aa2ar_human</v>
      </c>
      <c r="C176" s="5">
        <f>VLOOKUP($B176&amp;"__wt",'Xtal_SegEnds_BW#'!$A:$Z,3,FALSE)</f>
        <v>28</v>
      </c>
      <c r="D176" s="1">
        <f>VLOOKUP($B176&amp;"__wt",'Xtal_SegEnds_BW#'!$A:$Z,4,FALSE)</f>
        <v>60</v>
      </c>
      <c r="E176" s="1">
        <f>VLOOKUP($B176&amp;"__wt",'Xtal_SegEnds_BW#'!$A:$Z,5,FALSE)</f>
        <v>48</v>
      </c>
      <c r="F176" s="1">
        <f>VLOOKUP($B176&amp;"__wt",'Xtal_SegEnds_BW#'!$A:$Z,6,FALSE)</f>
        <v>51</v>
      </c>
      <c r="G176" s="1">
        <v>37</v>
      </c>
      <c r="H176" s="1">
        <f>VLOOKUP($B176&amp;"__wt",'Xtal_SegEnds_BW#'!$A:$Z,8,FALSE)</f>
        <v>67</v>
      </c>
      <c r="I176" s="1">
        <v>49</v>
      </c>
      <c r="J176" s="1">
        <f>VLOOKUP($B176&amp;"__wt",'Xtal_SegEnds_BW#'!$A:$Z,10,FALSE)</f>
        <v>52</v>
      </c>
      <c r="K176" s="1">
        <v>18</v>
      </c>
      <c r="L176" s="1">
        <f>VLOOKUP($B176&amp;"__wt",'Xtal_SegEnds_BW#'!$A:$Z,12,FALSE)</f>
        <v>56</v>
      </c>
      <c r="M176" s="1">
        <f>VLOOKUP($B176&amp;"__wt",'Xtal_SegEnds_BW#'!$A:$Z,13,FALSE)</f>
        <v>50</v>
      </c>
      <c r="N176" s="1">
        <v>57</v>
      </c>
      <c r="O176" s="1">
        <v>39</v>
      </c>
      <c r="P176" s="1">
        <f>VLOOKUP($B176&amp;"__wt",'Xtal_SegEnds_BW#'!$A:$Z,16,FALSE)</f>
        <v>63</v>
      </c>
      <c r="Q176" s="1">
        <f>VLOOKUP($B176&amp;"__wt",'Xtal_SegEnds_BW#'!$A:$Z,17,FALSE)</f>
        <v>50</v>
      </c>
      <c r="R176" s="1">
        <f>VLOOKUP($B176&amp;"__wt",'Xtal_SegEnds_BW#'!$A:$Z,18,FALSE)</f>
        <v>52</v>
      </c>
      <c r="S176" s="1">
        <f>VLOOKUP($B176&amp;"__wt",'Xtal_SegEnds_BW#'!$A:$Z,19,FALSE)</f>
        <v>34</v>
      </c>
      <c r="T176" s="23">
        <f t="array" ref="T176">INDEX('ICL3'!$G$2:$G$31,MATCH(MIN(ABS(AF176-'ICL3'!$F$2:$F$31)),ABS(AF176-'ICL3'!$F$2:$F$31),0))</f>
        <v>73</v>
      </c>
      <c r="U176" s="1">
        <f t="array" ref="U176">INDEX('ICL3'!$H$2:$H$31,MATCH(MIN(ABS(AF176-'ICL3'!$F$2:$F$31)),ABS(AF176-'ICL3'!$F$2:$F$31),0))</f>
        <v>22</v>
      </c>
      <c r="V176" s="1">
        <v>61</v>
      </c>
      <c r="W176" s="1">
        <v>28</v>
      </c>
      <c r="X176" s="1">
        <f>VLOOKUP($B176&amp;"__wt",'Xtal_SegEnds_BW#'!$A:$Z,24,FALSE)</f>
        <v>56</v>
      </c>
      <c r="Y176" s="1">
        <f>VLOOKUP($B176&amp;"__wt",'Xtal_SegEnds_BW#'!$A:$Z,25,FALSE)</f>
        <v>47</v>
      </c>
      <c r="Z176" s="1">
        <f>VLOOKUP($B176&amp;"__wt",'Xtal_SegEnds_BW#'!$A:$Z,26,FALSE)</f>
        <v>69</v>
      </c>
      <c r="AA176" s="63" t="str">
        <f>VLOOKUP(A176,Classification!A:B,2,FALSE)</f>
        <v>A</v>
      </c>
      <c r="AB176" s="1">
        <f>VLOOKUP(A176,'NonXtal_SegEnds_Prot#'!A:AL,10,FALSE)-VLOOKUP(A176,'NonXtal_SegEnds_Prot#'!A:AL,7,FALSE)</f>
        <v>15</v>
      </c>
      <c r="AC176" s="1" t="e">
        <f>VLOOKUP(A176,'NonXtal_SegEnds_Prot#'!A:AL,13,FALSE)-VLOOKUP(A176,'NonXtal_SegEnds_Prot#'!A:AL,10,FALSE)</f>
        <v>#VALUE!</v>
      </c>
      <c r="AD176" s="1">
        <f>VLOOKUP(A176,'NonXtal_SegEnds_Prot#'!A:AL,16,FALSE)-VLOOKUP(A176,'NonXtal_SegEnds_Prot#'!A:AL,10,FALSE)</f>
        <v>58</v>
      </c>
      <c r="AE176" s="1" t="e">
        <f>VLOOKUP(A176,'NonXtal_SegEnds_Prot#'!A:AL,28,FALSE)-VLOOKUP(A176,'NonXtal_SegEnds_Prot#'!A:AL,25,FALSE)</f>
        <v>#VALUE!</v>
      </c>
      <c r="AF176" s="1">
        <f>VLOOKUP(A176,'NonXtal_SegEnds_Prot#'!A:AL,31,FALSE)-VLOOKUP(A176,'NonXtal_SegEnds_Prot#'!A:AL,28,FALSE)</f>
        <v>56</v>
      </c>
      <c r="AG176" s="1">
        <f>VLOOKUP(A176,'NonXtal_SegEnds_Prot#'!A:AL,34,FALSE)-VLOOKUP(A176,'NonXtal_SegEnds_Prot#'!A:AL,31,FALSE)</f>
        <v>39</v>
      </c>
    </row>
    <row r="177" spans="1:33" x14ac:dyDescent="0.2">
      <c r="A177" s="1" t="s">
        <v>509</v>
      </c>
      <c r="B177" s="1" t="str">
        <f>VLOOKUP(A177,Xtal_Templ!A:B,2,FALSE)</f>
        <v>ox1r_human</v>
      </c>
      <c r="C177" s="5">
        <f>VLOOKUP($B177&amp;"__wt",'Xtal_SegEnds_BW#'!$A:$Z,3,FALSE)</f>
        <v>32</v>
      </c>
      <c r="D177" s="1">
        <f>VLOOKUP($B177&amp;"__wt",'Xtal_SegEnds_BW#'!$A:$Z,4,FALSE)</f>
        <v>60</v>
      </c>
      <c r="E177" s="1">
        <f>VLOOKUP($B177&amp;"__wt",'Xtal_SegEnds_BW#'!$A:$Z,5,FALSE)</f>
        <v>48</v>
      </c>
      <c r="F177" s="1">
        <f>VLOOKUP($B177&amp;"__wt",'Xtal_SegEnds_BW#'!$A:$Z,6,FALSE)</f>
        <v>51</v>
      </c>
      <c r="G177" s="1">
        <v>37</v>
      </c>
      <c r="H177" s="1">
        <f>VLOOKUP($B177&amp;"__wt",'Xtal_SegEnds_BW#'!$A:$Z,8,FALSE)</f>
        <v>67</v>
      </c>
      <c r="I177" s="1">
        <f>VLOOKUP($B177&amp;"__wt",'Xtal_SegEnds_BW#'!$A:$Z,9,FALSE)</f>
        <v>49</v>
      </c>
      <c r="J177" s="1">
        <f>VLOOKUP($B177&amp;"__wt",'Xtal_SegEnds_BW#'!$A:$Z,10,FALSE)</f>
        <v>52</v>
      </c>
      <c r="K177" s="1">
        <v>18</v>
      </c>
      <c r="L177" s="1">
        <f>VLOOKUP($B177&amp;"__wt",'Xtal_SegEnds_BW#'!$A:$Z,12,FALSE)</f>
        <v>56</v>
      </c>
      <c r="M177" s="1">
        <f>VLOOKUP($B177&amp;"__wt",'Xtal_SegEnds_BW#'!$A:$Z,13,FALSE)</f>
        <v>50</v>
      </c>
      <c r="N177" s="1">
        <v>56</v>
      </c>
      <c r="O177" s="1">
        <v>39</v>
      </c>
      <c r="P177" s="1">
        <f>VLOOKUP($B177&amp;"__wt",'Xtal_SegEnds_BW#'!$A:$Z,16,FALSE)</f>
        <v>64</v>
      </c>
      <c r="Q177" s="1">
        <f>VLOOKUP($B177&amp;"__wt",'Xtal_SegEnds_BW#'!$A:$Z,17,FALSE)</f>
        <v>50</v>
      </c>
      <c r="R177" s="1">
        <f>VLOOKUP($B177&amp;"__wt",'Xtal_SegEnds_BW#'!$A:$Z,18,FALSE)</f>
        <v>52</v>
      </c>
      <c r="S177" s="1">
        <f>VLOOKUP($B177&amp;"__wt",'Xtal_SegEnds_BW#'!$A:$Z,19,FALSE)</f>
        <v>32</v>
      </c>
      <c r="T177" s="23">
        <f t="array" ref="T177">INDEX('ICL3'!$G$2:$G$31,MATCH(MIN(ABS(AF177-'ICL3'!$F$2:$F$31)),ABS(AF177-'ICL3'!$F$2:$F$31),0))</f>
        <v>73</v>
      </c>
      <c r="U177" s="1">
        <f t="array" ref="U177">INDEX('ICL3'!$H$2:$H$31,MATCH(MIN(ABS(AF177-'ICL3'!$F$2:$F$31)),ABS(AF177-'ICL3'!$F$2:$F$31),0))</f>
        <v>22</v>
      </c>
      <c r="V177" s="1">
        <v>61</v>
      </c>
      <c r="W177" s="1">
        <v>28</v>
      </c>
      <c r="X177" s="1">
        <f>VLOOKUP($B177&amp;"__wt",'Xtal_SegEnds_BW#'!$A:$Z,24,FALSE)</f>
        <v>56</v>
      </c>
      <c r="Y177" s="1">
        <f>VLOOKUP($B177&amp;"__wt",'Xtal_SegEnds_BW#'!$A:$Z,25,FALSE)</f>
        <v>47</v>
      </c>
      <c r="Z177" s="1">
        <f>VLOOKUP($B177&amp;"__wt",'Xtal_SegEnds_BW#'!$A:$Z,26,FALSE)</f>
        <v>58</v>
      </c>
      <c r="AA177" s="63" t="str">
        <f>VLOOKUP(A177,Classification!A:B,2,FALSE)</f>
        <v>A</v>
      </c>
      <c r="AB177" s="1">
        <f>VLOOKUP(A177,'NonXtal_SegEnds_Prot#'!A:AL,10,FALSE)-VLOOKUP(A177,'NonXtal_SegEnds_Prot#'!A:AL,7,FALSE)</f>
        <v>15</v>
      </c>
      <c r="AC177" s="1">
        <f>VLOOKUP(A177,'NonXtal_SegEnds_Prot#'!A:AL,13,FALSE)-VLOOKUP(A177,'NonXtal_SegEnds_Prot#'!A:AL,10,FALSE)</f>
        <v>20</v>
      </c>
      <c r="AD177" s="1">
        <f>VLOOKUP(A177,'NonXtal_SegEnds_Prot#'!A:AL,16,FALSE)-VLOOKUP(A177,'NonXtal_SegEnds_Prot#'!A:AL,10,FALSE)</f>
        <v>52</v>
      </c>
      <c r="AE177" s="1">
        <f>VLOOKUP(A177,'NonXtal_SegEnds_Prot#'!A:AL,28,FALSE)-VLOOKUP(A177,'NonXtal_SegEnds_Prot#'!A:AL,25,FALSE)</f>
        <v>28</v>
      </c>
      <c r="AF177" s="1">
        <f>VLOOKUP(A177,'NonXtal_SegEnds_Prot#'!A:AL,31,FALSE)-VLOOKUP(A177,'NonXtal_SegEnds_Prot#'!A:AL,28,FALSE)</f>
        <v>56</v>
      </c>
      <c r="AG177" s="1">
        <f>VLOOKUP(A177,'NonXtal_SegEnds_Prot#'!A:AL,34,FALSE)-VLOOKUP(A177,'NonXtal_SegEnds_Prot#'!A:AL,31,FALSE)</f>
        <v>39</v>
      </c>
    </row>
    <row r="178" spans="1:33" x14ac:dyDescent="0.2">
      <c r="A178" s="1" t="s">
        <v>526</v>
      </c>
      <c r="B178" s="1" t="str">
        <f>VLOOKUP(A178,Xtal_Templ!A:B,2,FALSE)</f>
        <v>opsd_bovin</v>
      </c>
      <c r="C178" s="5">
        <f>VLOOKUP($B178&amp;"__wt",'Xtal_SegEnds_BW#'!$A:$Z,3,FALSE)</f>
        <v>29</v>
      </c>
      <c r="D178" s="1">
        <f>VLOOKUP($B178&amp;"__wt",'Xtal_SegEnds_BW#'!$A:$Z,4,FALSE)</f>
        <v>60</v>
      </c>
      <c r="E178" s="1">
        <f>VLOOKUP($B178&amp;"__wt",'Xtal_SegEnds_BW#'!$A:$Z,5,FALSE)</f>
        <v>48</v>
      </c>
      <c r="F178" s="1">
        <f>VLOOKUP($B178&amp;"__wt",'Xtal_SegEnds_BW#'!$A:$Z,6,FALSE)</f>
        <v>51</v>
      </c>
      <c r="G178" s="1">
        <v>37</v>
      </c>
      <c r="H178" s="1">
        <f>VLOOKUP($B178&amp;"__wt",'Xtal_SegEnds_BW#'!$A:$Z,8,FALSE)</f>
        <v>67</v>
      </c>
      <c r="I178" s="1">
        <f>VLOOKUP($B178&amp;"__wt",'Xtal_SegEnds_BW#'!$A:$Z,9,FALSE)</f>
        <v>49</v>
      </c>
      <c r="J178" s="1">
        <f>VLOOKUP($B178&amp;"__wt",'Xtal_SegEnds_BW#'!$A:$Z,10,FALSE)</f>
        <v>52</v>
      </c>
      <c r="K178" s="1">
        <v>18</v>
      </c>
      <c r="L178" s="1">
        <f>VLOOKUP($B178&amp;"__wt",'Xtal_SegEnds_BW#'!$A:$Z,12,FALSE)</f>
        <v>56</v>
      </c>
      <c r="M178" s="1">
        <f>VLOOKUP($B178&amp;"__wt",'Xtal_SegEnds_BW#'!$A:$Z,13,FALSE)</f>
        <v>50</v>
      </c>
      <c r="N178" s="1">
        <f>VLOOKUP($B178&amp;"__wt",'Xtal_SegEnds_BW#'!$A:$Z,14,FALSE)</f>
        <v>57</v>
      </c>
      <c r="O178" s="1">
        <v>39</v>
      </c>
      <c r="P178" s="1">
        <f>VLOOKUP($B178&amp;"__wt",'Xtal_SegEnds_BW#'!$A:$Z,16,FALSE)</f>
        <v>62</v>
      </c>
      <c r="Q178" s="1">
        <f>VLOOKUP($B178&amp;"__wt",'Xtal_SegEnds_BW#'!$A:$Z,17,FALSE)</f>
        <v>50</v>
      </c>
      <c r="R178" s="1">
        <f>VLOOKUP($B178&amp;"__wt",'Xtal_SegEnds_BW#'!$A:$Z,18,FALSE)</f>
        <v>52</v>
      </c>
      <c r="S178" s="1">
        <f>VLOOKUP($B178&amp;"__wt",'Xtal_SegEnds_BW#'!$A:$Z,19,FALSE)</f>
        <v>34</v>
      </c>
      <c r="T178" s="23">
        <f t="array" ref="T178">INDEX('ICL3'!$G$2:$G$31,MATCH(MIN(ABS(AF178-'ICL3'!$F$2:$F$31)),ABS(AF178-'ICL3'!$F$2:$F$31),0))</f>
        <v>73</v>
      </c>
      <c r="U178" s="1">
        <f t="array" ref="U178">INDEX('ICL3'!$H$2:$H$31,MATCH(MIN(ABS(AF178-'ICL3'!$F$2:$F$31)),ABS(AF178-'ICL3'!$F$2:$F$31),0))</f>
        <v>22</v>
      </c>
      <c r="V178" s="1">
        <v>61</v>
      </c>
      <c r="W178" s="1">
        <v>31</v>
      </c>
      <c r="X178" s="1">
        <f>VLOOKUP($B178&amp;"__wt",'Xtal_SegEnds_BW#'!$A:$Z,24,FALSE)</f>
        <v>56</v>
      </c>
      <c r="Y178" s="1">
        <f>VLOOKUP($B178&amp;"__wt",'Xtal_SegEnds_BW#'!$A:$Z,25,FALSE)</f>
        <v>47</v>
      </c>
      <c r="Z178" s="1">
        <f>VLOOKUP($B178&amp;"__wt",'Xtal_SegEnds_BW#'!$A:$Z,26,FALSE)</f>
        <v>59</v>
      </c>
      <c r="AA178" s="63" t="str">
        <f>VLOOKUP(A178,Classification!A:B,2,FALSE)</f>
        <v>A</v>
      </c>
      <c r="AB178" s="1">
        <f>VLOOKUP(A178,'NonXtal_SegEnds_Prot#'!A:AL,10,FALSE)-VLOOKUP(A178,'NonXtal_SegEnds_Prot#'!A:AL,7,FALSE)</f>
        <v>15</v>
      </c>
      <c r="AC178" s="1">
        <f>VLOOKUP(A178,'NonXtal_SegEnds_Prot#'!A:AL,13,FALSE)-VLOOKUP(A178,'NonXtal_SegEnds_Prot#'!A:AL,10,FALSE)</f>
        <v>20</v>
      </c>
      <c r="AD178" s="1">
        <f>VLOOKUP(A178,'NonXtal_SegEnds_Prot#'!A:AL,16,FALSE)-VLOOKUP(A178,'NonXtal_SegEnds_Prot#'!A:AL,10,FALSE)</f>
        <v>52</v>
      </c>
      <c r="AE178" s="1">
        <f>VLOOKUP(A178,'NonXtal_SegEnds_Prot#'!A:AL,28,FALSE)-VLOOKUP(A178,'NonXtal_SegEnds_Prot#'!A:AL,25,FALSE)</f>
        <v>26</v>
      </c>
      <c r="AF178" s="1">
        <f>VLOOKUP(A178,'NonXtal_SegEnds_Prot#'!A:AL,31,FALSE)-VLOOKUP(A178,'NonXtal_SegEnds_Prot#'!A:AL,28,FALSE)</f>
        <v>56</v>
      </c>
      <c r="AG178" s="1">
        <f>VLOOKUP(A178,'NonXtal_SegEnds_Prot#'!A:AL,34,FALSE)-VLOOKUP(A178,'NonXtal_SegEnds_Prot#'!A:AL,31,FALSE)</f>
        <v>36</v>
      </c>
    </row>
    <row r="179" spans="1:33" x14ac:dyDescent="0.2">
      <c r="A179" s="1" t="s">
        <v>528</v>
      </c>
      <c r="B179" s="1" t="str">
        <f>VLOOKUP(A179,Xtal_Templ!A:B,2,FALSE)</f>
        <v>opsd_todpa</v>
      </c>
      <c r="C179" s="5">
        <f>VLOOKUP($B179&amp;"__wt",'Xtal_SegEnds_BW#'!$A:$Z,3,FALSE)</f>
        <v>29</v>
      </c>
      <c r="D179" s="1">
        <f>VLOOKUP($B179&amp;"__wt",'Xtal_SegEnds_BW#'!$A:$Z,4,FALSE)</f>
        <v>60</v>
      </c>
      <c r="E179" s="1">
        <f>VLOOKUP($B179&amp;"__wt",'Xtal_SegEnds_BW#'!$A:$Z,5,FALSE)</f>
        <v>48</v>
      </c>
      <c r="F179" s="1">
        <f>VLOOKUP($B179&amp;"__wt",'Xtal_SegEnds_BW#'!$A:$Z,6,FALSE)</f>
        <v>51</v>
      </c>
      <c r="G179" s="1">
        <v>37</v>
      </c>
      <c r="H179" s="1">
        <f>VLOOKUP($B179&amp;"__wt",'Xtal_SegEnds_BW#'!$A:$Z,8,FALSE)</f>
        <v>69</v>
      </c>
      <c r="I179" s="1">
        <f>VLOOKUP($B179&amp;"__wt",'Xtal_SegEnds_BW#'!$A:$Z,9,FALSE)</f>
        <v>49</v>
      </c>
      <c r="J179" s="1">
        <f>VLOOKUP($B179&amp;"__wt",'Xtal_SegEnds_BW#'!$A:$Z,10,FALSE)</f>
        <v>52</v>
      </c>
      <c r="K179" s="1">
        <v>18</v>
      </c>
      <c r="L179" s="1">
        <f>VLOOKUP($B179&amp;"__wt",'Xtal_SegEnds_BW#'!$A:$Z,12,FALSE)</f>
        <v>56</v>
      </c>
      <c r="M179" s="1">
        <f>VLOOKUP($B179&amp;"__wt",'Xtal_SegEnds_BW#'!$A:$Z,13,FALSE)</f>
        <v>50</v>
      </c>
      <c r="N179" s="1">
        <v>57</v>
      </c>
      <c r="O179" s="1">
        <v>39</v>
      </c>
      <c r="P179" s="1">
        <f>VLOOKUP($B179&amp;"__wt",'Xtal_SegEnds_BW#'!$A:$Z,16,FALSE)</f>
        <v>62</v>
      </c>
      <c r="Q179" s="1">
        <f>VLOOKUP($B179&amp;"__wt",'Xtal_SegEnds_BW#'!$A:$Z,17,FALSE)</f>
        <v>50</v>
      </c>
      <c r="R179" s="1">
        <f>VLOOKUP($B179&amp;"__wt",'Xtal_SegEnds_BW#'!$A:$Z,18,FALSE)</f>
        <v>52</v>
      </c>
      <c r="S179" s="1">
        <f>VLOOKUP($B179&amp;"__wt",'Xtal_SegEnds_BW#'!$A:$Z,19,FALSE)</f>
        <v>32</v>
      </c>
      <c r="T179" s="23">
        <f t="array" ref="T179">INDEX('ICL3'!$G$2:$G$31,MATCH(MIN(ABS(AF179-'ICL3'!$F$2:$F$31)),ABS(AF179-'ICL3'!$F$2:$F$31),0))</f>
        <v>73</v>
      </c>
      <c r="U179" s="1">
        <f t="array" ref="U179">INDEX('ICL3'!$H$2:$H$31,MATCH(MIN(ABS(AF179-'ICL3'!$F$2:$F$31)),ABS(AF179-'ICL3'!$F$2:$F$31),0))</f>
        <v>22</v>
      </c>
      <c r="V179" s="1">
        <v>61</v>
      </c>
      <c r="W179" s="1">
        <v>31</v>
      </c>
      <c r="X179" s="1">
        <f>VLOOKUP($B179&amp;"__wt",'Xtal_SegEnds_BW#'!$A:$Z,24,FALSE)</f>
        <v>56</v>
      </c>
      <c r="Y179" s="1">
        <f>VLOOKUP($B179&amp;"__wt",'Xtal_SegEnds_BW#'!$A:$Z,25,FALSE)</f>
        <v>47</v>
      </c>
      <c r="Z179" s="1">
        <f>VLOOKUP($B179&amp;"__wt",'Xtal_SegEnds_BW#'!$A:$Z,26,FALSE)</f>
        <v>58</v>
      </c>
      <c r="AA179" s="63" t="str">
        <f>VLOOKUP(A179,Classification!A:B,2,FALSE)</f>
        <v>A</v>
      </c>
      <c r="AB179" s="1">
        <f>VLOOKUP(A179,'NonXtal_SegEnds_Prot#'!A:AL,10,FALSE)-VLOOKUP(A179,'NonXtal_SegEnds_Prot#'!A:AL,7,FALSE)</f>
        <v>14</v>
      </c>
      <c r="AC179" s="1">
        <f>VLOOKUP(A179,'NonXtal_SegEnds_Prot#'!A:AL,13,FALSE)-VLOOKUP(A179,'NonXtal_SegEnds_Prot#'!A:AL,10,FALSE)</f>
        <v>20</v>
      </c>
      <c r="AD179" s="1">
        <f>VLOOKUP(A179,'NonXtal_SegEnds_Prot#'!A:AL,16,FALSE)-VLOOKUP(A179,'NonXtal_SegEnds_Prot#'!A:AL,10,FALSE)</f>
        <v>52</v>
      </c>
      <c r="AE179" s="1">
        <f>VLOOKUP(A179,'NonXtal_SegEnds_Prot#'!A:AL,28,FALSE)-VLOOKUP(A179,'NonXtal_SegEnds_Prot#'!A:AL,25,FALSE)</f>
        <v>28</v>
      </c>
      <c r="AF179" s="1">
        <f>VLOOKUP(A179,'NonXtal_SegEnds_Prot#'!A:AL,31,FALSE)-VLOOKUP(A179,'NonXtal_SegEnds_Prot#'!A:AL,28,FALSE)</f>
        <v>56</v>
      </c>
      <c r="AG179" s="1">
        <f>VLOOKUP(A179,'NonXtal_SegEnds_Prot#'!A:AL,34,FALSE)-VLOOKUP(A179,'NonXtal_SegEnds_Prot#'!A:AL,31,FALSE)</f>
        <v>36</v>
      </c>
    </row>
    <row r="180" spans="1:33" x14ac:dyDescent="0.2">
      <c r="A180" s="1" t="s">
        <v>563</v>
      </c>
      <c r="B180" s="1" t="str">
        <f>VLOOKUP(A180,Xtal_Templ!A:B,2,FALSE)</f>
        <v>ox2r_human</v>
      </c>
      <c r="C180" s="5">
        <f>VLOOKUP($B180&amp;"__wt",'Xtal_SegEnds_BW#'!$A:$Z,3,FALSE)</f>
        <v>31</v>
      </c>
      <c r="D180" s="1">
        <f>VLOOKUP($B180&amp;"__wt",'Xtal_SegEnds_BW#'!$A:$Z,4,FALSE)</f>
        <v>60</v>
      </c>
      <c r="E180" s="1">
        <f>VLOOKUP($B180&amp;"__wt",'Xtal_SegEnds_BW#'!$A:$Z,5,FALSE)</f>
        <v>48</v>
      </c>
      <c r="F180" s="1">
        <f>VLOOKUP($B180&amp;"__wt",'Xtal_SegEnds_BW#'!$A:$Z,6,FALSE)</f>
        <v>51</v>
      </c>
      <c r="G180" s="1">
        <v>37</v>
      </c>
      <c r="H180" s="1">
        <f>VLOOKUP($B180&amp;"__wt",'Xtal_SegEnds_BW#'!$A:$Z,8,FALSE)</f>
        <v>67</v>
      </c>
      <c r="I180" s="1">
        <f>VLOOKUP($B180&amp;"__wt",'Xtal_SegEnds_BW#'!$A:$Z,9,FALSE)</f>
        <v>49</v>
      </c>
      <c r="J180" s="1">
        <f>VLOOKUP($B180&amp;"__wt",'Xtal_SegEnds_BW#'!$A:$Z,10,FALSE)</f>
        <v>52</v>
      </c>
      <c r="K180" s="1">
        <v>18</v>
      </c>
      <c r="L180" s="1">
        <f>VLOOKUP($B180&amp;"__wt",'Xtal_SegEnds_BW#'!$A:$Z,12,FALSE)</f>
        <v>56</v>
      </c>
      <c r="M180" s="1">
        <f>VLOOKUP($B180&amp;"__wt",'Xtal_SegEnds_BW#'!$A:$Z,13,FALSE)</f>
        <v>50</v>
      </c>
      <c r="N180" s="1">
        <v>56</v>
      </c>
      <c r="O180" s="1">
        <v>39</v>
      </c>
      <c r="P180" s="1">
        <f>VLOOKUP($B180&amp;"__wt",'Xtal_SegEnds_BW#'!$A:$Z,16,FALSE)</f>
        <v>64</v>
      </c>
      <c r="Q180" s="1">
        <f>VLOOKUP($B180&amp;"__wt",'Xtal_SegEnds_BW#'!$A:$Z,17,FALSE)</f>
        <v>50</v>
      </c>
      <c r="R180" s="1">
        <f>VLOOKUP($B180&amp;"__wt",'Xtal_SegEnds_BW#'!$A:$Z,18,FALSE)</f>
        <v>52</v>
      </c>
      <c r="S180" s="1">
        <f>VLOOKUP($B180&amp;"__wt",'Xtal_SegEnds_BW#'!$A:$Z,19,FALSE)</f>
        <v>32</v>
      </c>
      <c r="T180" s="23">
        <f t="array" ref="T180">INDEX('ICL3'!$G$2:$G$31,MATCH(MIN(ABS(AF180-'ICL3'!$F$2:$F$31)),ABS(AF180-'ICL3'!$F$2:$F$31),0))</f>
        <v>73</v>
      </c>
      <c r="U180" s="1">
        <f t="array" ref="U180">INDEX('ICL3'!$H$2:$H$31,MATCH(MIN(ABS(AF180-'ICL3'!$F$2:$F$31)),ABS(AF180-'ICL3'!$F$2:$F$31),0))</f>
        <v>22</v>
      </c>
      <c r="V180" s="1">
        <v>61</v>
      </c>
      <c r="W180" s="1">
        <v>28</v>
      </c>
      <c r="X180" s="1">
        <f>VLOOKUP($B180&amp;"__wt",'Xtal_SegEnds_BW#'!$A:$Z,24,FALSE)</f>
        <v>56</v>
      </c>
      <c r="Y180" s="1">
        <f>VLOOKUP($B180&amp;"__wt",'Xtal_SegEnds_BW#'!$A:$Z,25,FALSE)</f>
        <v>47</v>
      </c>
      <c r="Z180" s="1">
        <f>VLOOKUP($B180&amp;"__wt",'Xtal_SegEnds_BW#'!$A:$Z,26,FALSE)</f>
        <v>58</v>
      </c>
      <c r="AA180" s="63" t="str">
        <f>VLOOKUP(A180,Classification!A:B,2,FALSE)</f>
        <v>A</v>
      </c>
      <c r="AB180" s="1">
        <f>VLOOKUP(A180,'NonXtal_SegEnds_Prot#'!A:AL,10,FALSE)-VLOOKUP(A180,'NonXtal_SegEnds_Prot#'!A:AL,7,FALSE)</f>
        <v>15</v>
      </c>
      <c r="AC180" s="1">
        <f>VLOOKUP(A180,'NonXtal_SegEnds_Prot#'!A:AL,13,FALSE)-VLOOKUP(A180,'NonXtal_SegEnds_Prot#'!A:AL,10,FALSE)</f>
        <v>21</v>
      </c>
      <c r="AD180" s="1">
        <f>VLOOKUP(A180,'NonXtal_SegEnds_Prot#'!A:AL,16,FALSE)-VLOOKUP(A180,'NonXtal_SegEnds_Prot#'!A:AL,10,FALSE)</f>
        <v>53</v>
      </c>
      <c r="AE180" s="1">
        <f>VLOOKUP(A180,'NonXtal_SegEnds_Prot#'!A:AL,28,FALSE)-VLOOKUP(A180,'NonXtal_SegEnds_Prot#'!A:AL,25,FALSE)</f>
        <v>26</v>
      </c>
      <c r="AF180" s="1">
        <f>VLOOKUP(A180,'NonXtal_SegEnds_Prot#'!A:AL,31,FALSE)-VLOOKUP(A180,'NonXtal_SegEnds_Prot#'!A:AL,28,FALSE)</f>
        <v>56</v>
      </c>
      <c r="AG180" s="1">
        <f>VLOOKUP(A180,'NonXtal_SegEnds_Prot#'!A:AL,34,FALSE)-VLOOKUP(A180,'NonXtal_SegEnds_Prot#'!A:AL,31,FALSE)</f>
        <v>39</v>
      </c>
    </row>
    <row r="181" spans="1:33" x14ac:dyDescent="0.2">
      <c r="A181" s="1" t="s">
        <v>582</v>
      </c>
      <c r="B181" s="1" t="str">
        <f>VLOOKUP(A181,Xtal_Templ!A:B,2,FALSE)</f>
        <v>5ht1b_human</v>
      </c>
      <c r="C181" s="5">
        <f>VLOOKUP($B181&amp;"__wt",'Xtal_SegEnds_BW#'!$A:$Z,3,FALSE)</f>
        <v>29</v>
      </c>
      <c r="D181" s="1">
        <f>VLOOKUP($B181&amp;"__wt",'Xtal_SegEnds_BW#'!$A:$Z,4,FALSE)</f>
        <v>60</v>
      </c>
      <c r="E181" s="1">
        <f>VLOOKUP($B181&amp;"__wt",'Xtal_SegEnds_BW#'!$A:$Z,5,FALSE)</f>
        <v>48</v>
      </c>
      <c r="F181" s="1">
        <f>VLOOKUP($B181&amp;"__wt",'Xtal_SegEnds_BW#'!$A:$Z,6,FALSE)</f>
        <v>51</v>
      </c>
      <c r="G181" s="1">
        <v>37</v>
      </c>
      <c r="H181" s="1">
        <f>VLOOKUP($B181&amp;"__wt",'Xtal_SegEnds_BW#'!$A:$Z,8,FALSE)</f>
        <v>67</v>
      </c>
      <c r="I181" s="1">
        <f>VLOOKUP($B181&amp;"__wt",'Xtal_SegEnds_BW#'!$A:$Z,9,FALSE)</f>
        <v>49</v>
      </c>
      <c r="J181" s="1">
        <f>VLOOKUP($B181&amp;"__wt",'Xtal_SegEnds_BW#'!$A:$Z,10,FALSE)</f>
        <v>52</v>
      </c>
      <c r="K181" s="1">
        <v>18</v>
      </c>
      <c r="L181" s="1">
        <f>VLOOKUP($B181&amp;"__wt",'Xtal_SegEnds_BW#'!$A:$Z,12,FALSE)</f>
        <v>56</v>
      </c>
      <c r="M181" s="1">
        <f>VLOOKUP($B181&amp;"__wt",'Xtal_SegEnds_BW#'!$A:$Z,13,FALSE)</f>
        <v>50</v>
      </c>
      <c r="N181" s="1">
        <v>57</v>
      </c>
      <c r="O181" s="1">
        <v>39</v>
      </c>
      <c r="P181" s="1">
        <f>VLOOKUP($B181&amp;"__wt",'Xtal_SegEnds_BW#'!$A:$Z,16,FALSE)</f>
        <v>63</v>
      </c>
      <c r="Q181" s="1">
        <f>VLOOKUP($B181&amp;"__wt",'Xtal_SegEnds_BW#'!$A:$Z,17,FALSE)</f>
        <v>50</v>
      </c>
      <c r="R181" s="1">
        <f>VLOOKUP($B181&amp;"__wt",'Xtal_SegEnds_BW#'!$A:$Z,18,FALSE)</f>
        <v>52</v>
      </c>
      <c r="S181" s="1">
        <v>35</v>
      </c>
      <c r="T181" s="23">
        <f t="array" ref="T181">INDEX('ICL3'!$G$2:$G$31,MATCH(MIN(ABS(AF181-'ICL3'!$F$2:$F$31)),ABS(AF181-'ICL3'!$F$2:$F$31),0))</f>
        <v>73</v>
      </c>
      <c r="U181" s="1">
        <f t="array" ref="U181">INDEX('ICL3'!$H$2:$H$31,MATCH(MIN(ABS(AF181-'ICL3'!$F$2:$F$31)),ABS(AF181-'ICL3'!$F$2:$F$31),0))</f>
        <v>22</v>
      </c>
      <c r="V181" s="1">
        <v>61</v>
      </c>
      <c r="W181" s="1">
        <v>31</v>
      </c>
      <c r="X181" s="1">
        <f>VLOOKUP($B181&amp;"__wt",'Xtal_SegEnds_BW#'!$A:$Z,24,FALSE)</f>
        <v>56</v>
      </c>
      <c r="Y181" s="1">
        <f>VLOOKUP($B181&amp;"__wt",'Xtal_SegEnds_BW#'!$A:$Z,25,FALSE)</f>
        <v>47</v>
      </c>
      <c r="Z181" s="1">
        <f>VLOOKUP($B181&amp;"__wt",'Xtal_SegEnds_BW#'!$A:$Z,26,FALSE)</f>
        <v>58</v>
      </c>
      <c r="AA181" s="63" t="str">
        <f>VLOOKUP(A181,Classification!A:B,2,FALSE)</f>
        <v>A</v>
      </c>
      <c r="AB181" s="1">
        <f>VLOOKUP(A181,'NonXtal_SegEnds_Prot#'!A:AL,10,FALSE)-VLOOKUP(A181,'NonXtal_SegEnds_Prot#'!A:AL,7,FALSE)</f>
        <v>15</v>
      </c>
      <c r="AC181" s="1">
        <f>VLOOKUP(A181,'NonXtal_SegEnds_Prot#'!A:AL,13,FALSE)-VLOOKUP(A181,'NonXtal_SegEnds_Prot#'!A:AL,10,FALSE)</f>
        <v>20</v>
      </c>
      <c r="AD181" s="1">
        <f>VLOOKUP(A181,'NonXtal_SegEnds_Prot#'!A:AL,16,FALSE)-VLOOKUP(A181,'NonXtal_SegEnds_Prot#'!A:AL,10,FALSE)</f>
        <v>52</v>
      </c>
      <c r="AE181" s="1">
        <f>VLOOKUP(A181,'NonXtal_SegEnds_Prot#'!A:AL,28,FALSE)-VLOOKUP(A181,'NonXtal_SegEnds_Prot#'!A:AL,25,FALSE)</f>
        <v>20</v>
      </c>
      <c r="AF181" s="1">
        <f>VLOOKUP(A181,'NonXtal_SegEnds_Prot#'!A:AL,31,FALSE)-VLOOKUP(A181,'NonXtal_SegEnds_Prot#'!A:AL,28,FALSE)</f>
        <v>56</v>
      </c>
      <c r="AG181" s="1">
        <f>VLOOKUP(A181,'NonXtal_SegEnds_Prot#'!A:AL,34,FALSE)-VLOOKUP(A181,'NonXtal_SegEnds_Prot#'!A:AL,31,FALSE)</f>
        <v>35</v>
      </c>
    </row>
    <row r="182" spans="1:33" x14ac:dyDescent="0.2">
      <c r="A182" s="1" t="s">
        <v>584</v>
      </c>
      <c r="B182" s="1" t="str">
        <f>VLOOKUP(A182,Xtal_Templ!A:B,2,FALSE)</f>
        <v>5ht1b_human</v>
      </c>
      <c r="C182" s="5">
        <f>VLOOKUP($B182&amp;"__wt",'Xtal_SegEnds_BW#'!$A:$Z,3,FALSE)</f>
        <v>29</v>
      </c>
      <c r="D182" s="1">
        <f>VLOOKUP($B182&amp;"__wt",'Xtal_SegEnds_BW#'!$A:$Z,4,FALSE)</f>
        <v>60</v>
      </c>
      <c r="E182" s="1">
        <f>VLOOKUP($B182&amp;"__wt",'Xtal_SegEnds_BW#'!$A:$Z,5,FALSE)</f>
        <v>48</v>
      </c>
      <c r="F182" s="1">
        <f>VLOOKUP($B182&amp;"__wt",'Xtal_SegEnds_BW#'!$A:$Z,6,FALSE)</f>
        <v>51</v>
      </c>
      <c r="G182" s="1">
        <v>37</v>
      </c>
      <c r="H182" s="1">
        <f>VLOOKUP($B182&amp;"__wt",'Xtal_SegEnds_BW#'!$A:$Z,8,FALSE)</f>
        <v>67</v>
      </c>
      <c r="I182" s="1">
        <f>VLOOKUP($B182&amp;"__wt",'Xtal_SegEnds_BW#'!$A:$Z,9,FALSE)</f>
        <v>49</v>
      </c>
      <c r="J182" s="1">
        <f>VLOOKUP($B182&amp;"__wt",'Xtal_SegEnds_BW#'!$A:$Z,10,FALSE)</f>
        <v>52</v>
      </c>
      <c r="K182" s="1">
        <v>18</v>
      </c>
      <c r="L182" s="1">
        <f>VLOOKUP($B182&amp;"__wt",'Xtal_SegEnds_BW#'!$A:$Z,12,FALSE)</f>
        <v>56</v>
      </c>
      <c r="M182" s="1">
        <f>VLOOKUP($B182&amp;"__wt",'Xtal_SegEnds_BW#'!$A:$Z,13,FALSE)</f>
        <v>50</v>
      </c>
      <c r="N182" s="1">
        <v>57</v>
      </c>
      <c r="O182" s="1">
        <v>39</v>
      </c>
      <c r="P182" s="1">
        <f>VLOOKUP($B182&amp;"__wt",'Xtal_SegEnds_BW#'!$A:$Z,16,FALSE)</f>
        <v>63</v>
      </c>
      <c r="Q182" s="1">
        <f>VLOOKUP($B182&amp;"__wt",'Xtal_SegEnds_BW#'!$A:$Z,17,FALSE)</f>
        <v>50</v>
      </c>
      <c r="R182" s="1">
        <f>VLOOKUP($B182&amp;"__wt",'Xtal_SegEnds_BW#'!$A:$Z,18,FALSE)</f>
        <v>52</v>
      </c>
      <c r="S182" s="1">
        <v>35</v>
      </c>
      <c r="T182" s="23">
        <f t="array" ref="T182">INDEX('ICL3'!$G$2:$G$31,MATCH(MIN(ABS(AF182-'ICL3'!$F$2:$F$31)),ABS(AF182-'ICL3'!$F$2:$F$31),0))</f>
        <v>73</v>
      </c>
      <c r="U182" s="1">
        <f t="array" ref="U182">INDEX('ICL3'!$H$2:$H$31,MATCH(MIN(ABS(AF182-'ICL3'!$F$2:$F$31)),ABS(AF182-'ICL3'!$F$2:$F$31),0))</f>
        <v>22</v>
      </c>
      <c r="V182" s="1">
        <v>61</v>
      </c>
      <c r="W182" s="1">
        <v>31</v>
      </c>
      <c r="X182" s="1">
        <f>VLOOKUP($B182&amp;"__wt",'Xtal_SegEnds_BW#'!$A:$Z,24,FALSE)</f>
        <v>56</v>
      </c>
      <c r="Y182" s="1">
        <f>VLOOKUP($B182&amp;"__wt",'Xtal_SegEnds_BW#'!$A:$Z,25,FALSE)</f>
        <v>47</v>
      </c>
      <c r="Z182" s="1">
        <f>VLOOKUP($B182&amp;"__wt",'Xtal_SegEnds_BW#'!$A:$Z,26,FALSE)</f>
        <v>58</v>
      </c>
      <c r="AA182" s="63" t="str">
        <f>VLOOKUP(A182,Classification!A:B,2,FALSE)</f>
        <v>A</v>
      </c>
      <c r="AB182" s="1">
        <f>VLOOKUP(A182,'NonXtal_SegEnds_Prot#'!A:AL,10,FALSE)-VLOOKUP(A182,'NonXtal_SegEnds_Prot#'!A:AL,7,FALSE)</f>
        <v>15</v>
      </c>
      <c r="AC182" s="1">
        <f>VLOOKUP(A182,'NonXtal_SegEnds_Prot#'!A:AL,13,FALSE)-VLOOKUP(A182,'NonXtal_SegEnds_Prot#'!A:AL,10,FALSE)</f>
        <v>20</v>
      </c>
      <c r="AD182" s="1">
        <f>VLOOKUP(A182,'NonXtal_SegEnds_Prot#'!A:AL,16,FALSE)-VLOOKUP(A182,'NonXtal_SegEnds_Prot#'!A:AL,10,FALSE)</f>
        <v>52</v>
      </c>
      <c r="AE182" s="1">
        <f>VLOOKUP(A182,'NonXtal_SegEnds_Prot#'!A:AL,28,FALSE)-VLOOKUP(A182,'NonXtal_SegEnds_Prot#'!A:AL,25,FALSE)</f>
        <v>19</v>
      </c>
      <c r="AF182" s="1">
        <f>VLOOKUP(A182,'NonXtal_SegEnds_Prot#'!A:AL,31,FALSE)-VLOOKUP(A182,'NonXtal_SegEnds_Prot#'!A:AL,28,FALSE)</f>
        <v>56</v>
      </c>
      <c r="AG182" s="1">
        <f>VLOOKUP(A182,'NonXtal_SegEnds_Prot#'!A:AL,34,FALSE)-VLOOKUP(A182,'NonXtal_SegEnds_Prot#'!A:AL,31,FALSE)</f>
        <v>35</v>
      </c>
    </row>
    <row r="183" spans="1:33" x14ac:dyDescent="0.2">
      <c r="A183" s="1" t="s">
        <v>332</v>
      </c>
      <c r="B183" s="1" t="str">
        <f>VLOOKUP(A183,Xtal_Templ!A:B,2,FALSE)</f>
        <v>aa2ar_human</v>
      </c>
      <c r="C183" s="5">
        <f>VLOOKUP($B183&amp;"__wt",'Xtal_SegEnds_BW#'!$A:$Z,3,FALSE)</f>
        <v>28</v>
      </c>
      <c r="D183" s="1">
        <f>VLOOKUP($B183&amp;"__wt",'Xtal_SegEnds_BW#'!$A:$Z,4,FALSE)</f>
        <v>60</v>
      </c>
      <c r="E183" s="1">
        <f>VLOOKUP($B183&amp;"__wt",'Xtal_SegEnds_BW#'!$A:$Z,5,FALSE)</f>
        <v>48</v>
      </c>
      <c r="F183" s="1">
        <f>VLOOKUP($B183&amp;"__wt",'Xtal_SegEnds_BW#'!$A:$Z,6,FALSE)</f>
        <v>51</v>
      </c>
      <c r="G183" s="1">
        <v>37</v>
      </c>
      <c r="H183" s="1">
        <v>66</v>
      </c>
      <c r="I183" s="1">
        <f>VLOOKUP($B183&amp;"__wt",'Xtal_SegEnds_BW#'!$A:$Z,9,FALSE)</f>
        <v>50</v>
      </c>
      <c r="J183" s="1">
        <f>VLOOKUP($B183&amp;"__wt",'Xtal_SegEnds_BW#'!$A:$Z,10,FALSE)</f>
        <v>52</v>
      </c>
      <c r="K183" s="1">
        <v>24</v>
      </c>
      <c r="L183" s="1">
        <f>VLOOKUP($B183&amp;"__wt",'Xtal_SegEnds_BW#'!$A:$Z,12,FALSE)</f>
        <v>56</v>
      </c>
      <c r="M183" s="1">
        <f>VLOOKUP($B183&amp;"__wt",'Xtal_SegEnds_BW#'!$A:$Z,13,FALSE)</f>
        <v>50</v>
      </c>
      <c r="N183" s="1">
        <v>57</v>
      </c>
      <c r="O183" s="1">
        <v>39</v>
      </c>
      <c r="P183" s="1">
        <f>VLOOKUP($B183&amp;"__wt",'Xtal_SegEnds_BW#'!$A:$Z,16,FALSE)</f>
        <v>63</v>
      </c>
      <c r="Q183" s="1">
        <f>VLOOKUP($B183&amp;"__wt",'Xtal_SegEnds_BW#'!$A:$Z,17,FALSE)</f>
        <v>50</v>
      </c>
      <c r="R183" s="1">
        <f>VLOOKUP($B183&amp;"__wt",'Xtal_SegEnds_BW#'!$A:$Z,18,FALSE)</f>
        <v>52</v>
      </c>
      <c r="S183" s="1">
        <f>VLOOKUP($B183&amp;"__wt",'Xtal_SegEnds_BW#'!$A:$Z,19,FALSE)</f>
        <v>34</v>
      </c>
      <c r="T183" s="23">
        <f t="array" ref="T183">INDEX('ICL3'!$G$2:$G$31,MATCH(MIN(ABS(AF183-'ICL3'!$F$2:$F$31)),ABS(AF183-'ICL3'!$F$2:$F$31),0))</f>
        <v>73</v>
      </c>
      <c r="U183" s="1">
        <f t="array" ref="U183">INDEX('ICL3'!$H$2:$H$31,MATCH(MIN(ABS(AF183-'ICL3'!$F$2:$F$31)),ABS(AF183-'ICL3'!$F$2:$F$31),0))</f>
        <v>22</v>
      </c>
      <c r="V183" s="1">
        <v>61</v>
      </c>
      <c r="W183" s="1">
        <v>31</v>
      </c>
      <c r="X183" s="1">
        <f>VLOOKUP($B183&amp;"__wt",'Xtal_SegEnds_BW#'!$A:$Z,24,FALSE)</f>
        <v>56</v>
      </c>
      <c r="Y183" s="1">
        <f>VLOOKUP($B183&amp;"__wt",'Xtal_SegEnds_BW#'!$A:$Z,25,FALSE)</f>
        <v>47</v>
      </c>
      <c r="Z183" s="1">
        <f>VLOOKUP($B183&amp;"__wt",'Xtal_SegEnds_BW#'!$A:$Z,26,FALSE)</f>
        <v>69</v>
      </c>
      <c r="AA183" s="63" t="str">
        <f>VLOOKUP(A183,Classification!A:B,2,FALSE)</f>
        <v>A</v>
      </c>
      <c r="AB183" s="1">
        <f>VLOOKUP(A183,'NonXtal_SegEnds_Prot#'!A:AL,10,FALSE)-VLOOKUP(A183,'NonXtal_SegEnds_Prot#'!A:AL,7,FALSE)</f>
        <v>15</v>
      </c>
      <c r="AC183" s="1">
        <f>VLOOKUP(A183,'NonXtal_SegEnds_Prot#'!A:AL,13,FALSE)-VLOOKUP(A183,'NonXtal_SegEnds_Prot#'!A:AL,10,FALSE)</f>
        <v>18</v>
      </c>
      <c r="AD183" s="1">
        <f>VLOOKUP(A183,'NonXtal_SegEnds_Prot#'!A:AL,16,FALSE)-VLOOKUP(A183,'NonXtal_SegEnds_Prot#'!A:AL,10,FALSE)</f>
        <v>50</v>
      </c>
      <c r="AE183" s="1">
        <f>VLOOKUP(A183,'NonXtal_SegEnds_Prot#'!A:AL,28,FALSE)-VLOOKUP(A183,'NonXtal_SegEnds_Prot#'!A:AL,25,FALSE)</f>
        <v>23</v>
      </c>
      <c r="AF183" s="1">
        <f>VLOOKUP(A183,'NonXtal_SegEnds_Prot#'!A:AL,31,FALSE)-VLOOKUP(A183,'NonXtal_SegEnds_Prot#'!A:AL,28,FALSE)</f>
        <v>57</v>
      </c>
      <c r="AG183" s="1">
        <f>VLOOKUP(A183,'NonXtal_SegEnds_Prot#'!A:AL,34,FALSE)-VLOOKUP(A183,'NonXtal_SegEnds_Prot#'!A:AL,31,FALSE)</f>
        <v>36</v>
      </c>
    </row>
    <row r="184" spans="1:33" x14ac:dyDescent="0.2">
      <c r="A184" s="1" t="s">
        <v>357</v>
      </c>
      <c r="B184" s="1" t="str">
        <f>VLOOKUP(A184,Xtal_Templ!A:B,2,FALSE)</f>
        <v>ox2r_human</v>
      </c>
      <c r="C184" s="5">
        <f>VLOOKUP($B184&amp;"__wt",'Xtal_SegEnds_BW#'!$A:$Z,3,FALSE)</f>
        <v>31</v>
      </c>
      <c r="D184" s="1">
        <f>VLOOKUP($B184&amp;"__wt",'Xtal_SegEnds_BW#'!$A:$Z,4,FALSE)</f>
        <v>60</v>
      </c>
      <c r="E184" s="1">
        <f>VLOOKUP($B184&amp;"__wt",'Xtal_SegEnds_BW#'!$A:$Z,5,FALSE)</f>
        <v>48</v>
      </c>
      <c r="F184" s="1">
        <f>VLOOKUP($B184&amp;"__wt",'Xtal_SegEnds_BW#'!$A:$Z,6,FALSE)</f>
        <v>51</v>
      </c>
      <c r="G184" s="1">
        <v>37</v>
      </c>
      <c r="H184" s="1">
        <f>VLOOKUP($B184&amp;"__wt",'Xtal_SegEnds_BW#'!$A:$Z,8,FALSE)</f>
        <v>67</v>
      </c>
      <c r="I184" s="1">
        <f>VLOOKUP($B184&amp;"__wt",'Xtal_SegEnds_BW#'!$A:$Z,9,FALSE)</f>
        <v>49</v>
      </c>
      <c r="J184" s="1">
        <f>VLOOKUP($B184&amp;"__wt",'Xtal_SegEnds_BW#'!$A:$Z,10,FALSE)</f>
        <v>52</v>
      </c>
      <c r="K184" s="1">
        <v>18</v>
      </c>
      <c r="L184" s="1">
        <f>VLOOKUP($B184&amp;"__wt",'Xtal_SegEnds_BW#'!$A:$Z,12,FALSE)</f>
        <v>56</v>
      </c>
      <c r="M184" s="1">
        <f>VLOOKUP($B184&amp;"__wt",'Xtal_SegEnds_BW#'!$A:$Z,13,FALSE)</f>
        <v>50</v>
      </c>
      <c r="N184" s="1">
        <v>57</v>
      </c>
      <c r="O184" s="1">
        <v>39</v>
      </c>
      <c r="P184" s="1">
        <f>VLOOKUP($B184&amp;"__wt",'Xtal_SegEnds_BW#'!$A:$Z,16,FALSE)</f>
        <v>64</v>
      </c>
      <c r="Q184" s="1">
        <f>VLOOKUP($B184&amp;"__wt",'Xtal_SegEnds_BW#'!$A:$Z,17,FALSE)</f>
        <v>50</v>
      </c>
      <c r="R184" s="1">
        <f>VLOOKUP($B184&amp;"__wt",'Xtal_SegEnds_BW#'!$A:$Z,18,FALSE)</f>
        <v>52</v>
      </c>
      <c r="S184" s="1">
        <f>VLOOKUP($B184&amp;"__wt",'Xtal_SegEnds_BW#'!$A:$Z,19,FALSE)</f>
        <v>32</v>
      </c>
      <c r="T184" s="23">
        <f t="array" ref="T184">INDEX('ICL3'!$G$2:$G$31,MATCH(MIN(ABS(AF184-'ICL3'!$F$2:$F$31)),ABS(AF184-'ICL3'!$F$2:$F$31),0))</f>
        <v>73</v>
      </c>
      <c r="U184" s="1">
        <f t="array" ref="U184">INDEX('ICL3'!$H$2:$H$31,MATCH(MIN(ABS(AF184-'ICL3'!$F$2:$F$31)),ABS(AF184-'ICL3'!$F$2:$F$31),0))</f>
        <v>22</v>
      </c>
      <c r="V184" s="1">
        <v>61</v>
      </c>
      <c r="W184" s="1">
        <v>28</v>
      </c>
      <c r="X184" s="1">
        <f>VLOOKUP($B184&amp;"__wt",'Xtal_SegEnds_BW#'!$A:$Z,24,FALSE)</f>
        <v>56</v>
      </c>
      <c r="Y184" s="1">
        <f>VLOOKUP($B184&amp;"__wt",'Xtal_SegEnds_BW#'!$A:$Z,25,FALSE)</f>
        <v>47</v>
      </c>
      <c r="Z184" s="1">
        <f>VLOOKUP($B184&amp;"__wt",'Xtal_SegEnds_BW#'!$A:$Z,26,FALSE)</f>
        <v>58</v>
      </c>
      <c r="AA184" s="63" t="str">
        <f>VLOOKUP(A184,Classification!A:B,2,FALSE)</f>
        <v>A</v>
      </c>
      <c r="AB184" s="1">
        <f>VLOOKUP(A184,'NonXtal_SegEnds_Prot#'!A:AL,10,FALSE)-VLOOKUP(A184,'NonXtal_SegEnds_Prot#'!A:AL,7,FALSE)</f>
        <v>15</v>
      </c>
      <c r="AC184" s="1">
        <f>VLOOKUP(A184,'NonXtal_SegEnds_Prot#'!A:AL,13,FALSE)-VLOOKUP(A184,'NonXtal_SegEnds_Prot#'!A:AL,10,FALSE)</f>
        <v>20</v>
      </c>
      <c r="AD184" s="1">
        <f>VLOOKUP(A184,'NonXtal_SegEnds_Prot#'!A:AL,16,FALSE)-VLOOKUP(A184,'NonXtal_SegEnds_Prot#'!A:AL,10,FALSE)</f>
        <v>52</v>
      </c>
      <c r="AE184" s="1">
        <f>VLOOKUP(A184,'NonXtal_SegEnds_Prot#'!A:AL,28,FALSE)-VLOOKUP(A184,'NonXtal_SegEnds_Prot#'!A:AL,25,FALSE)</f>
        <v>26</v>
      </c>
      <c r="AF184" s="1">
        <f>VLOOKUP(A184,'NonXtal_SegEnds_Prot#'!A:AL,31,FALSE)-VLOOKUP(A184,'NonXtal_SegEnds_Prot#'!A:AL,28,FALSE)</f>
        <v>57</v>
      </c>
      <c r="AG184" s="1">
        <f>VLOOKUP(A184,'NonXtal_SegEnds_Prot#'!A:AL,34,FALSE)-VLOOKUP(A184,'NonXtal_SegEnds_Prot#'!A:AL,31,FALSE)</f>
        <v>41</v>
      </c>
    </row>
    <row r="185" spans="1:33" x14ac:dyDescent="0.2">
      <c r="A185" s="1" t="s">
        <v>409</v>
      </c>
      <c r="B185" s="1" t="str">
        <f>VLOOKUP(A185,Xtal_Templ!A:B,2,FALSE)</f>
        <v>ox1r_human</v>
      </c>
      <c r="C185" s="5">
        <f>VLOOKUP($B185&amp;"__wt",'Xtal_SegEnds_BW#'!$A:$Z,3,FALSE)</f>
        <v>32</v>
      </c>
      <c r="D185" s="1">
        <f>VLOOKUP($B185&amp;"__wt",'Xtal_SegEnds_BW#'!$A:$Z,4,FALSE)</f>
        <v>60</v>
      </c>
      <c r="E185" s="1">
        <f>VLOOKUP($B185&amp;"__wt",'Xtal_SegEnds_BW#'!$A:$Z,5,FALSE)</f>
        <v>48</v>
      </c>
      <c r="F185" s="1">
        <f>VLOOKUP($B185&amp;"__wt",'Xtal_SegEnds_BW#'!$A:$Z,6,FALSE)</f>
        <v>51</v>
      </c>
      <c r="G185" s="1">
        <v>37</v>
      </c>
      <c r="H185" s="1">
        <f>VLOOKUP($B185&amp;"__wt",'Xtal_SegEnds_BW#'!$A:$Z,8,FALSE)</f>
        <v>67</v>
      </c>
      <c r="I185" s="1">
        <f>VLOOKUP($B185&amp;"__wt",'Xtal_SegEnds_BW#'!$A:$Z,9,FALSE)</f>
        <v>49</v>
      </c>
      <c r="J185" s="1">
        <f>VLOOKUP($B185&amp;"__wt",'Xtal_SegEnds_BW#'!$A:$Z,10,FALSE)</f>
        <v>52</v>
      </c>
      <c r="K185" s="1">
        <v>18</v>
      </c>
      <c r="L185" s="1">
        <f>VLOOKUP($B185&amp;"__wt",'Xtal_SegEnds_BW#'!$A:$Z,12,FALSE)</f>
        <v>56</v>
      </c>
      <c r="M185" s="1">
        <f>VLOOKUP($B185&amp;"__wt",'Xtal_SegEnds_BW#'!$A:$Z,13,FALSE)</f>
        <v>50</v>
      </c>
      <c r="N185" s="1">
        <v>56</v>
      </c>
      <c r="O185" s="1">
        <v>39</v>
      </c>
      <c r="P185" s="1">
        <f>VLOOKUP($B185&amp;"__wt",'Xtal_SegEnds_BW#'!$A:$Z,16,FALSE)</f>
        <v>64</v>
      </c>
      <c r="Q185" s="1">
        <f>VLOOKUP($B185&amp;"__wt",'Xtal_SegEnds_BW#'!$A:$Z,17,FALSE)</f>
        <v>50</v>
      </c>
      <c r="R185" s="1">
        <f>VLOOKUP($B185&amp;"__wt",'Xtal_SegEnds_BW#'!$A:$Z,18,FALSE)</f>
        <v>52</v>
      </c>
      <c r="S185" s="1">
        <f>VLOOKUP($B185&amp;"__wt",'Xtal_SegEnds_BW#'!$A:$Z,19,FALSE)</f>
        <v>32</v>
      </c>
      <c r="T185" s="23">
        <f t="array" ref="T185">INDEX('ICL3'!$G$2:$G$31,MATCH(MIN(ABS(AF185-'ICL3'!$F$2:$F$31)),ABS(AF185-'ICL3'!$F$2:$F$31),0))</f>
        <v>73</v>
      </c>
      <c r="U185" s="1">
        <f t="array" ref="U185">INDEX('ICL3'!$H$2:$H$31,MATCH(MIN(ABS(AF185-'ICL3'!$F$2:$F$31)),ABS(AF185-'ICL3'!$F$2:$F$31),0))</f>
        <v>22</v>
      </c>
      <c r="V185" s="1">
        <v>61</v>
      </c>
      <c r="W185" s="1">
        <v>28</v>
      </c>
      <c r="X185" s="1">
        <f>VLOOKUP($B185&amp;"__wt",'Xtal_SegEnds_BW#'!$A:$Z,24,FALSE)</f>
        <v>56</v>
      </c>
      <c r="Y185" s="1">
        <f>VLOOKUP($B185&amp;"__wt",'Xtal_SegEnds_BW#'!$A:$Z,25,FALSE)</f>
        <v>47</v>
      </c>
      <c r="Z185" s="1">
        <f>VLOOKUP($B185&amp;"__wt",'Xtal_SegEnds_BW#'!$A:$Z,26,FALSE)</f>
        <v>58</v>
      </c>
      <c r="AA185" s="63" t="str">
        <f>VLOOKUP(A185,Classification!A:B,2,FALSE)</f>
        <v>A</v>
      </c>
      <c r="AB185" s="1">
        <f>VLOOKUP(A185,'NonXtal_SegEnds_Prot#'!A:AL,10,FALSE)-VLOOKUP(A185,'NonXtal_SegEnds_Prot#'!A:AL,7,FALSE)</f>
        <v>15</v>
      </c>
      <c r="AC185" s="1" t="e">
        <f>VLOOKUP(A185,'NonXtal_SegEnds_Prot#'!A:AL,13,FALSE)-VLOOKUP(A185,'NonXtal_SegEnds_Prot#'!A:AL,10,FALSE)</f>
        <v>#VALUE!</v>
      </c>
      <c r="AD185" s="1">
        <f>VLOOKUP(A185,'NonXtal_SegEnds_Prot#'!A:AL,16,FALSE)-VLOOKUP(A185,'NonXtal_SegEnds_Prot#'!A:AL,10,FALSE)</f>
        <v>60</v>
      </c>
      <c r="AE185" s="1">
        <f>VLOOKUP(A185,'NonXtal_SegEnds_Prot#'!A:AL,28,FALSE)-VLOOKUP(A185,'NonXtal_SegEnds_Prot#'!A:AL,25,FALSE)</f>
        <v>27</v>
      </c>
      <c r="AF185" s="1">
        <f>VLOOKUP(A185,'NonXtal_SegEnds_Prot#'!A:AL,31,FALSE)-VLOOKUP(A185,'NonXtal_SegEnds_Prot#'!A:AL,28,FALSE)</f>
        <v>57</v>
      </c>
      <c r="AG185" s="1">
        <f>VLOOKUP(A185,'NonXtal_SegEnds_Prot#'!A:AL,34,FALSE)-VLOOKUP(A185,'NonXtal_SegEnds_Prot#'!A:AL,31,FALSE)</f>
        <v>38</v>
      </c>
    </row>
    <row r="186" spans="1:33" x14ac:dyDescent="0.2">
      <c r="A186" s="1" t="s">
        <v>432</v>
      </c>
      <c r="B186" s="1" t="str">
        <f>VLOOKUP(A186,Xtal_Templ!A:B,2,FALSE)</f>
        <v>s1pr1_human</v>
      </c>
      <c r="C186" s="5">
        <f>VLOOKUP($B186&amp;"__wt",'Xtal_SegEnds_BW#'!$A:$Z,3,FALSE)</f>
        <v>29</v>
      </c>
      <c r="D186" s="1">
        <f>VLOOKUP($B186&amp;"__wt",'Xtal_SegEnds_BW#'!$A:$Z,4,FALSE)</f>
        <v>60</v>
      </c>
      <c r="E186" s="1">
        <f>VLOOKUP($B186&amp;"__wt",'Xtal_SegEnds_BW#'!$A:$Z,5,FALSE)</f>
        <v>48</v>
      </c>
      <c r="F186" s="1">
        <f>VLOOKUP($B186&amp;"__wt",'Xtal_SegEnds_BW#'!$A:$Z,6,FALSE)</f>
        <v>51</v>
      </c>
      <c r="G186" s="1">
        <v>37</v>
      </c>
      <c r="H186" s="1">
        <v>62</v>
      </c>
      <c r="I186" s="1">
        <v>48</v>
      </c>
      <c r="J186" s="1">
        <v>52</v>
      </c>
      <c r="K186" s="1">
        <v>24</v>
      </c>
      <c r="L186" s="1">
        <f>VLOOKUP($B186&amp;"__wt",'Xtal_SegEnds_BW#'!$A:$Z,12,FALSE)</f>
        <v>56</v>
      </c>
      <c r="M186" s="1">
        <f>VLOOKUP($B186&amp;"__wt",'Xtal_SegEnds_BW#'!$A:$Z,13,FALSE)</f>
        <v>50</v>
      </c>
      <c r="N186" s="1">
        <v>57</v>
      </c>
      <c r="O186" s="1">
        <v>39</v>
      </c>
      <c r="P186" s="1">
        <f>VLOOKUP($B186&amp;"__wt",'Xtal_SegEnds_BW#'!$A:$Z,16,FALSE)</f>
        <v>63</v>
      </c>
      <c r="Q186" s="1" t="str">
        <f>VLOOKUP($B186&amp;"__wt",'Xtal_SegEnds_BW#'!$A:$Z,17,FALSE)</f>
        <v>-</v>
      </c>
      <c r="R186" s="1" t="str">
        <f>VLOOKUP($B186&amp;"__wt",'Xtal_SegEnds_BW#'!$A:$Z,18,FALSE)</f>
        <v>-</v>
      </c>
      <c r="S186" s="1">
        <f>VLOOKUP($B186&amp;"__wt",'Xtal_SegEnds_BW#'!$A:$Z,19,FALSE)</f>
        <v>36</v>
      </c>
      <c r="T186" s="23">
        <f t="array" ref="T186">INDEX('ICL3'!$G$2:$G$31,MATCH(MIN(ABS(AF186-'ICL3'!$F$2:$F$31)),ABS(AF186-'ICL3'!$F$2:$F$31),0))</f>
        <v>73</v>
      </c>
      <c r="U186" s="1">
        <f t="array" ref="U186">INDEX('ICL3'!$H$2:$H$31,MATCH(MIN(ABS(AF186-'ICL3'!$F$2:$F$31)),ABS(AF186-'ICL3'!$F$2:$F$31),0))</f>
        <v>22</v>
      </c>
      <c r="V186" s="1">
        <v>61</v>
      </c>
      <c r="W186" s="1">
        <v>34</v>
      </c>
      <c r="X186" s="1">
        <f>VLOOKUP($B186&amp;"__wt",'Xtal_SegEnds_BW#'!$A:$Z,24,FALSE)</f>
        <v>56</v>
      </c>
      <c r="Y186" s="1">
        <f>VLOOKUP($B186&amp;"__wt",'Xtal_SegEnds_BW#'!$A:$Z,25,FALSE)</f>
        <v>47</v>
      </c>
      <c r="Z186" s="1">
        <f>VLOOKUP($B186&amp;"__wt",'Xtal_SegEnds_BW#'!$A:$Z,26,FALSE)</f>
        <v>59</v>
      </c>
      <c r="AA186" s="63" t="str">
        <f>VLOOKUP(A186,Classification!A:B,2,FALSE)</f>
        <v>A</v>
      </c>
      <c r="AB186" s="1" t="e">
        <f>VLOOKUP(A186,'NonXtal_SegEnds_Prot#'!A:AL,10,FALSE)-VLOOKUP(A186,'NonXtal_SegEnds_Prot#'!A:AL,7,FALSE)</f>
        <v>#VALUE!</v>
      </c>
      <c r="AC186" s="1">
        <f>VLOOKUP(A186,'NonXtal_SegEnds_Prot#'!A:AL,13,FALSE)-VLOOKUP(A186,'NonXtal_SegEnds_Prot#'!A:AL,10,FALSE)</f>
        <v>15</v>
      </c>
      <c r="AD186" s="1">
        <f>VLOOKUP(A186,'NonXtal_SegEnds_Prot#'!A:AL,16,FALSE)-VLOOKUP(A186,'NonXtal_SegEnds_Prot#'!A:AL,10,FALSE)</f>
        <v>48</v>
      </c>
      <c r="AE186" s="1" t="e">
        <f>VLOOKUP(A186,'NonXtal_SegEnds_Prot#'!A:AL,28,FALSE)-VLOOKUP(A186,'NonXtal_SegEnds_Prot#'!A:AL,25,FALSE)</f>
        <v>#VALUE!</v>
      </c>
      <c r="AF186" s="1">
        <f>VLOOKUP(A186,'NonXtal_SegEnds_Prot#'!A:AL,31,FALSE)-VLOOKUP(A186,'NonXtal_SegEnds_Prot#'!A:AL,28,FALSE)</f>
        <v>57</v>
      </c>
      <c r="AG186" s="1">
        <f>VLOOKUP(A186,'NonXtal_SegEnds_Prot#'!A:AL,34,FALSE)-VLOOKUP(A186,'NonXtal_SegEnds_Prot#'!A:AL,31,FALSE)</f>
        <v>32</v>
      </c>
    </row>
    <row r="187" spans="1:33" x14ac:dyDescent="0.2">
      <c r="A187" s="1" t="s">
        <v>443</v>
      </c>
      <c r="B187" s="1" t="str">
        <f>VLOOKUP(A187,Xtal_Templ!A:B,2,FALSE)</f>
        <v>lpar1_human</v>
      </c>
      <c r="C187" s="5">
        <f>VLOOKUP($B187&amp;"__wt",'Xtal_SegEnds_BW#'!$A:$Z,3,FALSE)</f>
        <v>30</v>
      </c>
      <c r="D187" s="1">
        <f>VLOOKUP($B187&amp;"__wt",'Xtal_SegEnds_BW#'!$A:$Z,4,FALSE)</f>
        <v>60</v>
      </c>
      <c r="E187" s="1">
        <f>VLOOKUP($B187&amp;"__wt",'Xtal_SegEnds_BW#'!$A:$Z,5,FALSE)</f>
        <v>48</v>
      </c>
      <c r="F187" s="1">
        <f>VLOOKUP($B187&amp;"__wt",'Xtal_SegEnds_BW#'!$A:$Z,6,FALSE)</f>
        <v>51</v>
      </c>
      <c r="G187" s="1">
        <v>37</v>
      </c>
      <c r="H187" s="1">
        <v>62</v>
      </c>
      <c r="I187" s="1">
        <v>48</v>
      </c>
      <c r="J187" s="1">
        <v>52</v>
      </c>
      <c r="K187" s="1">
        <v>24</v>
      </c>
      <c r="L187" s="1">
        <f>VLOOKUP($B187&amp;"__wt",'Xtal_SegEnds_BW#'!$A:$Z,12,FALSE)</f>
        <v>56</v>
      </c>
      <c r="M187" s="1">
        <f>VLOOKUP($B187&amp;"__wt",'Xtal_SegEnds_BW#'!$A:$Z,13,FALSE)</f>
        <v>50</v>
      </c>
      <c r="N187" s="1">
        <v>57</v>
      </c>
      <c r="O187" s="1">
        <v>39</v>
      </c>
      <c r="P187" s="1">
        <f>VLOOKUP($B187&amp;"__wt",'Xtal_SegEnds_BW#'!$A:$Z,16,FALSE)</f>
        <v>63</v>
      </c>
      <c r="Q187" s="1" t="str">
        <f>VLOOKUP($B187&amp;"__wt",'Xtal_SegEnds_BW#'!$A:$Z,17,FALSE)</f>
        <v>-</v>
      </c>
      <c r="R187" s="1" t="str">
        <f>VLOOKUP($B187&amp;"__wt",'Xtal_SegEnds_BW#'!$A:$Z,18,FALSE)</f>
        <v>-</v>
      </c>
      <c r="S187" s="1">
        <f>VLOOKUP($B187&amp;"__wt",'Xtal_SegEnds_BW#'!$A:$Z,19,FALSE)</f>
        <v>36</v>
      </c>
      <c r="T187" s="23">
        <f t="array" ref="T187">INDEX('ICL3'!$G$2:$G$31,MATCH(MIN(ABS(AF187-'ICL3'!$F$2:$F$31)),ABS(AF187-'ICL3'!$F$2:$F$31),0))</f>
        <v>73</v>
      </c>
      <c r="U187" s="1">
        <f t="array" ref="U187">INDEX('ICL3'!$H$2:$H$31,MATCH(MIN(ABS(AF187-'ICL3'!$F$2:$F$31)),ABS(AF187-'ICL3'!$F$2:$F$31),0))</f>
        <v>22</v>
      </c>
      <c r="V187" s="1">
        <v>61</v>
      </c>
      <c r="W187" s="1">
        <v>34</v>
      </c>
      <c r="X187" s="1">
        <f>VLOOKUP($B187&amp;"__wt",'Xtal_SegEnds_BW#'!$A:$Z,24,FALSE)</f>
        <v>56</v>
      </c>
      <c r="Y187" s="1">
        <f>VLOOKUP($B187&amp;"__wt",'Xtal_SegEnds_BW#'!$A:$Z,25,FALSE)</f>
        <v>47</v>
      </c>
      <c r="Z187" s="1">
        <f>VLOOKUP($B187&amp;"__wt",'Xtal_SegEnds_BW#'!$A:$Z,26,FALSE)</f>
        <v>59</v>
      </c>
      <c r="AA187" s="63" t="str">
        <f>VLOOKUP(A187,Classification!A:B,2,FALSE)</f>
        <v>A</v>
      </c>
      <c r="AB187" s="1">
        <f>VLOOKUP(A187,'NonXtal_SegEnds_Prot#'!A:AL,10,FALSE)-VLOOKUP(A187,'NonXtal_SegEnds_Prot#'!A:AL,7,FALSE)</f>
        <v>15</v>
      </c>
      <c r="AC187" s="1">
        <f>VLOOKUP(A187,'NonXtal_SegEnds_Prot#'!A:AL,13,FALSE)-VLOOKUP(A187,'NonXtal_SegEnds_Prot#'!A:AL,10,FALSE)</f>
        <v>15</v>
      </c>
      <c r="AD187" s="1">
        <f>VLOOKUP(A187,'NonXtal_SegEnds_Prot#'!A:AL,16,FALSE)-VLOOKUP(A187,'NonXtal_SegEnds_Prot#'!A:AL,10,FALSE)</f>
        <v>48</v>
      </c>
      <c r="AE187" s="1" t="e">
        <f>VLOOKUP(A187,'NonXtal_SegEnds_Prot#'!A:AL,28,FALSE)-VLOOKUP(A187,'NonXtal_SegEnds_Prot#'!A:AL,25,FALSE)</f>
        <v>#VALUE!</v>
      </c>
      <c r="AF187" s="1">
        <f>VLOOKUP(A187,'NonXtal_SegEnds_Prot#'!A:AL,31,FALSE)-VLOOKUP(A187,'NonXtal_SegEnds_Prot#'!A:AL,28,FALSE)</f>
        <v>57</v>
      </c>
      <c r="AG187" s="1">
        <f>VLOOKUP(A187,'NonXtal_SegEnds_Prot#'!A:AL,34,FALSE)-VLOOKUP(A187,'NonXtal_SegEnds_Prot#'!A:AL,31,FALSE)</f>
        <v>32</v>
      </c>
    </row>
    <row r="188" spans="1:33" x14ac:dyDescent="0.2">
      <c r="A188" s="1" t="s">
        <v>456</v>
      </c>
      <c r="B188" s="1" t="str">
        <f>VLOOKUP(A188,Xtal_Templ!A:B,2,FALSE)</f>
        <v>s1pr1_human</v>
      </c>
      <c r="C188" s="5">
        <f>VLOOKUP($B188&amp;"__wt",'Xtal_SegEnds_BW#'!$A:$Z,3,FALSE)</f>
        <v>29</v>
      </c>
      <c r="D188" s="1">
        <f>VLOOKUP($B188&amp;"__wt",'Xtal_SegEnds_BW#'!$A:$Z,4,FALSE)</f>
        <v>60</v>
      </c>
      <c r="E188" s="1">
        <f>VLOOKUP($B188&amp;"__wt",'Xtal_SegEnds_BW#'!$A:$Z,5,FALSE)</f>
        <v>48</v>
      </c>
      <c r="F188" s="1">
        <f>VLOOKUP($B188&amp;"__wt",'Xtal_SegEnds_BW#'!$A:$Z,6,FALSE)</f>
        <v>51</v>
      </c>
      <c r="G188" s="1">
        <v>37</v>
      </c>
      <c r="H188" s="1">
        <v>62</v>
      </c>
      <c r="I188" s="1">
        <v>48</v>
      </c>
      <c r="J188" s="1">
        <v>52</v>
      </c>
      <c r="K188" s="1">
        <v>24</v>
      </c>
      <c r="L188" s="1">
        <f>VLOOKUP($B188&amp;"__wt",'Xtal_SegEnds_BW#'!$A:$Z,12,FALSE)</f>
        <v>56</v>
      </c>
      <c r="M188" s="1">
        <f>VLOOKUP($B188&amp;"__wt",'Xtal_SegEnds_BW#'!$A:$Z,13,FALSE)</f>
        <v>50</v>
      </c>
      <c r="N188" s="1">
        <v>57</v>
      </c>
      <c r="O188" s="1">
        <v>39</v>
      </c>
      <c r="P188" s="1">
        <f>VLOOKUP($B188&amp;"__wt",'Xtal_SegEnds_BW#'!$A:$Z,16,FALSE)</f>
        <v>63</v>
      </c>
      <c r="Q188" s="1" t="str">
        <f>VLOOKUP($B188&amp;"__wt",'Xtal_SegEnds_BW#'!$A:$Z,17,FALSE)</f>
        <v>-</v>
      </c>
      <c r="R188" s="1" t="str">
        <f>VLOOKUP($B188&amp;"__wt",'Xtal_SegEnds_BW#'!$A:$Z,18,FALSE)</f>
        <v>-</v>
      </c>
      <c r="S188" s="1">
        <f>VLOOKUP($B188&amp;"__wt",'Xtal_SegEnds_BW#'!$A:$Z,19,FALSE)</f>
        <v>36</v>
      </c>
      <c r="T188" s="23">
        <f t="array" ref="T188">INDEX('ICL3'!$G$2:$G$31,MATCH(MIN(ABS(AF188-'ICL3'!$F$2:$F$31)),ABS(AF188-'ICL3'!$F$2:$F$31),0))</f>
        <v>73</v>
      </c>
      <c r="U188" s="1">
        <f t="array" ref="U188">INDEX('ICL3'!$H$2:$H$31,MATCH(MIN(ABS(AF188-'ICL3'!$F$2:$F$31)),ABS(AF188-'ICL3'!$F$2:$F$31),0))</f>
        <v>22</v>
      </c>
      <c r="V188" s="1">
        <v>61</v>
      </c>
      <c r="W188" s="1">
        <v>34</v>
      </c>
      <c r="X188" s="1">
        <f>VLOOKUP($B188&amp;"__wt",'Xtal_SegEnds_BW#'!$A:$Z,24,FALSE)</f>
        <v>56</v>
      </c>
      <c r="Y188" s="1">
        <f>VLOOKUP($B188&amp;"__wt",'Xtal_SegEnds_BW#'!$A:$Z,25,FALSE)</f>
        <v>47</v>
      </c>
      <c r="Z188" s="1">
        <f>VLOOKUP($B188&amp;"__wt",'Xtal_SegEnds_BW#'!$A:$Z,26,FALSE)</f>
        <v>59</v>
      </c>
      <c r="AA188" s="63" t="str">
        <f>VLOOKUP(A188,Classification!A:B,2,FALSE)</f>
        <v>A</v>
      </c>
      <c r="AB188" s="1">
        <f>VLOOKUP(A188,'NonXtal_SegEnds_Prot#'!A:AL,10,FALSE)-VLOOKUP(A188,'NonXtal_SegEnds_Prot#'!A:AL,7,FALSE)</f>
        <v>15</v>
      </c>
      <c r="AC188" s="1">
        <f>VLOOKUP(A188,'NonXtal_SegEnds_Prot#'!A:AL,13,FALSE)-VLOOKUP(A188,'NonXtal_SegEnds_Prot#'!A:AL,10,FALSE)</f>
        <v>15</v>
      </c>
      <c r="AD188" s="1">
        <f>VLOOKUP(A188,'NonXtal_SegEnds_Prot#'!A:AL,16,FALSE)-VLOOKUP(A188,'NonXtal_SegEnds_Prot#'!A:AL,10,FALSE)</f>
        <v>48</v>
      </c>
      <c r="AE188" s="1" t="e">
        <f>VLOOKUP(A188,'NonXtal_SegEnds_Prot#'!A:AL,28,FALSE)-VLOOKUP(A188,'NonXtal_SegEnds_Prot#'!A:AL,25,FALSE)</f>
        <v>#VALUE!</v>
      </c>
      <c r="AF188" s="1">
        <f>VLOOKUP(A188,'NonXtal_SegEnds_Prot#'!A:AL,31,FALSE)-VLOOKUP(A188,'NonXtal_SegEnds_Prot#'!A:AL,28,FALSE)</f>
        <v>57</v>
      </c>
      <c r="AG188" s="1">
        <f>VLOOKUP(A188,'NonXtal_SegEnds_Prot#'!A:AL,34,FALSE)-VLOOKUP(A188,'NonXtal_SegEnds_Prot#'!A:AL,31,FALSE)</f>
        <v>32</v>
      </c>
    </row>
    <row r="189" spans="1:33" x14ac:dyDescent="0.2">
      <c r="A189" s="1" t="s">
        <v>468</v>
      </c>
      <c r="B189" s="1" t="str">
        <f>VLOOKUP(A189,Xtal_Templ!A:B,2,FALSE)</f>
        <v>ednrb_human</v>
      </c>
      <c r="C189" s="5">
        <f>VLOOKUP($B189&amp;"__wt",'Xtal_SegEnds_BW#'!$A:$Z,3,FALSE)</f>
        <v>22</v>
      </c>
      <c r="D189" s="1">
        <f>VLOOKUP($B189&amp;"__wt",'Xtal_SegEnds_BW#'!$A:$Z,4,FALSE)</f>
        <v>60</v>
      </c>
      <c r="E189" s="1">
        <f>VLOOKUP($B189&amp;"__wt",'Xtal_SegEnds_BW#'!$A:$Z,5,FALSE)</f>
        <v>48</v>
      </c>
      <c r="F189" s="1">
        <f>VLOOKUP($B189&amp;"__wt",'Xtal_SegEnds_BW#'!$A:$Z,6,FALSE)</f>
        <v>52</v>
      </c>
      <c r="G189" s="1">
        <v>37</v>
      </c>
      <c r="H189" s="1">
        <f>VLOOKUP($B189&amp;"__wt",'Xtal_SegEnds_BW#'!$A:$Z,8,FALSE)</f>
        <v>67</v>
      </c>
      <c r="I189" s="1">
        <f>VLOOKUP($B189&amp;"__wt",'Xtal_SegEnds_BW#'!$A:$Z,9,FALSE)</f>
        <v>49</v>
      </c>
      <c r="J189" s="1">
        <f>VLOOKUP($B189&amp;"__wt",'Xtal_SegEnds_BW#'!$A:$Z,10,FALSE)</f>
        <v>52</v>
      </c>
      <c r="K189" s="1">
        <v>18</v>
      </c>
      <c r="L189" s="1">
        <f>VLOOKUP($B189&amp;"__wt",'Xtal_SegEnds_BW#'!$A:$Z,12,FALSE)</f>
        <v>56</v>
      </c>
      <c r="M189" s="1">
        <f>VLOOKUP($B189&amp;"__wt",'Xtal_SegEnds_BW#'!$A:$Z,13,FALSE)</f>
        <v>50</v>
      </c>
      <c r="N189" s="1">
        <v>57</v>
      </c>
      <c r="O189" s="1">
        <v>39</v>
      </c>
      <c r="P189" s="1">
        <f>VLOOKUP($B189&amp;"__wt",'Xtal_SegEnds_BW#'!$A:$Z,16,FALSE)</f>
        <v>64</v>
      </c>
      <c r="Q189" s="1">
        <f>VLOOKUP($B189&amp;"__wt",'Xtal_SegEnds_BW#'!$A:$Z,17,FALSE)</f>
        <v>50</v>
      </c>
      <c r="R189" s="1">
        <f>VLOOKUP($B189&amp;"__wt",'Xtal_SegEnds_BW#'!$A:$Z,18,FALSE)</f>
        <v>52</v>
      </c>
      <c r="S189" s="1">
        <f>VLOOKUP($B189&amp;"__wt",'Xtal_SegEnds_BW#'!$A:$Z,19,FALSE)</f>
        <v>29</v>
      </c>
      <c r="T189" s="23">
        <f t="array" ref="T189">INDEX('ICL3'!$G$2:$G$31,MATCH(MIN(ABS(AF189-'ICL3'!$F$2:$F$31)),ABS(AF189-'ICL3'!$F$2:$F$31),0))</f>
        <v>73</v>
      </c>
      <c r="U189" s="1">
        <f t="array" ref="U189">INDEX('ICL3'!$H$2:$H$31,MATCH(MIN(ABS(AF189-'ICL3'!$F$2:$F$31)),ABS(AF189-'ICL3'!$F$2:$F$31),0))</f>
        <v>22</v>
      </c>
      <c r="V189" s="1">
        <v>61</v>
      </c>
      <c r="W189" s="1">
        <v>28</v>
      </c>
      <c r="X189" s="1">
        <f>VLOOKUP($B189&amp;"__wt",'Xtal_SegEnds_BW#'!$A:$Z,24,FALSE)</f>
        <v>56</v>
      </c>
      <c r="Y189" s="1">
        <f>VLOOKUP($B189&amp;"__wt",'Xtal_SegEnds_BW#'!$A:$Z,25,FALSE)</f>
        <v>47</v>
      </c>
      <c r="Z189" s="1">
        <f>VLOOKUP($B189&amp;"__wt",'Xtal_SegEnds_BW#'!$A:$Z,26,FALSE)</f>
        <v>60</v>
      </c>
      <c r="AA189" s="63" t="str">
        <f>VLOOKUP(A189,Classification!A:B,2,FALSE)</f>
        <v>A</v>
      </c>
      <c r="AB189" s="1">
        <f>VLOOKUP(A189,'NonXtal_SegEnds_Prot#'!A:AL,10,FALSE)-VLOOKUP(A189,'NonXtal_SegEnds_Prot#'!A:AL,7,FALSE)</f>
        <v>15</v>
      </c>
      <c r="AC189" s="1">
        <f>VLOOKUP(A189,'NonXtal_SegEnds_Prot#'!A:AL,13,FALSE)-VLOOKUP(A189,'NonXtal_SegEnds_Prot#'!A:AL,10,FALSE)</f>
        <v>20</v>
      </c>
      <c r="AD189" s="1">
        <f>VLOOKUP(A189,'NonXtal_SegEnds_Prot#'!A:AL,16,FALSE)-VLOOKUP(A189,'NonXtal_SegEnds_Prot#'!A:AL,10,FALSE)</f>
        <v>52</v>
      </c>
      <c r="AE189" s="1">
        <f>VLOOKUP(A189,'NonXtal_SegEnds_Prot#'!A:AL,28,FALSE)-VLOOKUP(A189,'NonXtal_SegEnds_Prot#'!A:AL,25,FALSE)</f>
        <v>26</v>
      </c>
      <c r="AF189" s="1">
        <f>VLOOKUP(A189,'NonXtal_SegEnds_Prot#'!A:AL,31,FALSE)-VLOOKUP(A189,'NonXtal_SegEnds_Prot#'!A:AL,28,FALSE)</f>
        <v>57</v>
      </c>
      <c r="AG189" s="1">
        <f>VLOOKUP(A189,'NonXtal_SegEnds_Prot#'!A:AL,34,FALSE)-VLOOKUP(A189,'NonXtal_SegEnds_Prot#'!A:AL,31,FALSE)</f>
        <v>40</v>
      </c>
    </row>
    <row r="190" spans="1:33" x14ac:dyDescent="0.2">
      <c r="A190" s="1" t="s">
        <v>494</v>
      </c>
      <c r="B190" s="1" t="str">
        <f>VLOOKUP(A190,Xtal_Templ!A:B,2,FALSE)</f>
        <v>oprd_mouse</v>
      </c>
      <c r="C190" s="5">
        <f>VLOOKUP($B190&amp;"__wt",'Xtal_SegEnds_BW#'!$A:$Z,3,FALSE)</f>
        <v>24</v>
      </c>
      <c r="D190" s="1">
        <f>VLOOKUP($B190&amp;"__wt",'Xtal_SegEnds_BW#'!$A:$Z,4,FALSE)</f>
        <v>60</v>
      </c>
      <c r="E190" s="1">
        <f>VLOOKUP($B190&amp;"__wt",'Xtal_SegEnds_BW#'!$A:$Z,5,FALSE)</f>
        <v>48</v>
      </c>
      <c r="F190" s="1">
        <f>VLOOKUP($B190&amp;"__wt",'Xtal_SegEnds_BW#'!$A:$Z,6,FALSE)</f>
        <v>51</v>
      </c>
      <c r="G190" s="1">
        <v>37</v>
      </c>
      <c r="H190" s="1">
        <f>VLOOKUP($B190&amp;"__wt",'Xtal_SegEnds_BW#'!$A:$Z,8,FALSE)</f>
        <v>66</v>
      </c>
      <c r="I190" s="1">
        <f>VLOOKUP($B190&amp;"__wt",'Xtal_SegEnds_BW#'!$A:$Z,9,FALSE)</f>
        <v>49</v>
      </c>
      <c r="J190" s="1">
        <f>VLOOKUP($B190&amp;"__wt",'Xtal_SegEnds_BW#'!$A:$Z,10,FALSE)</f>
        <v>52</v>
      </c>
      <c r="K190" s="1">
        <v>18</v>
      </c>
      <c r="L190" s="1">
        <f>VLOOKUP($B190&amp;"__wt",'Xtal_SegEnds_BW#'!$A:$Z,12,FALSE)</f>
        <v>56</v>
      </c>
      <c r="M190" s="1">
        <f>VLOOKUP($B190&amp;"__wt",'Xtal_SegEnds_BW#'!$A:$Z,13,FALSE)</f>
        <v>50</v>
      </c>
      <c r="N190" s="1">
        <v>57</v>
      </c>
      <c r="O190" s="1">
        <v>39</v>
      </c>
      <c r="P190" s="1">
        <f>VLOOKUP($B190&amp;"__wt",'Xtal_SegEnds_BW#'!$A:$Z,16,FALSE)</f>
        <v>64</v>
      </c>
      <c r="Q190" s="1">
        <f>VLOOKUP($B190&amp;"__wt",'Xtal_SegEnds_BW#'!$A:$Z,17,FALSE)</f>
        <v>50</v>
      </c>
      <c r="R190" s="1">
        <f>VLOOKUP($B190&amp;"__wt",'Xtal_SegEnds_BW#'!$A:$Z,18,FALSE)</f>
        <v>52</v>
      </c>
      <c r="S190" s="1">
        <f>VLOOKUP($B190&amp;"__wt",'Xtal_SegEnds_BW#'!$A:$Z,19,FALSE)</f>
        <v>31</v>
      </c>
      <c r="T190" s="23">
        <f t="array" ref="T190">INDEX('ICL3'!$G$2:$G$31,MATCH(MIN(ABS(AF190-'ICL3'!$F$2:$F$31)),ABS(AF190-'ICL3'!$F$2:$F$31),0))</f>
        <v>73</v>
      </c>
      <c r="U190" s="1">
        <f t="array" ref="U190">INDEX('ICL3'!$H$2:$H$31,MATCH(MIN(ABS(AF190-'ICL3'!$F$2:$F$31)),ABS(AF190-'ICL3'!$F$2:$F$31),0))</f>
        <v>22</v>
      </c>
      <c r="V190" s="1">
        <v>61</v>
      </c>
      <c r="W190" s="1">
        <v>31</v>
      </c>
      <c r="X190" s="1">
        <f>VLOOKUP($B190&amp;"__wt",'Xtal_SegEnds_BW#'!$A:$Z,24,FALSE)</f>
        <v>56</v>
      </c>
      <c r="Y190" s="1">
        <f>VLOOKUP($B190&amp;"__wt",'Xtal_SegEnds_BW#'!$A:$Z,25,FALSE)</f>
        <v>47</v>
      </c>
      <c r="Z190" s="1">
        <f>VLOOKUP($B190&amp;"__wt",'Xtal_SegEnds_BW#'!$A:$Z,26,FALSE)</f>
        <v>60</v>
      </c>
      <c r="AA190" s="63" t="str">
        <f>VLOOKUP(A190,Classification!A:B,2,FALSE)</f>
        <v>A</v>
      </c>
      <c r="AB190" s="1" t="e">
        <f>VLOOKUP(A190,'NonXtal_SegEnds_Prot#'!A:AL,10,FALSE)-VLOOKUP(A190,'NonXtal_SegEnds_Prot#'!A:AL,7,FALSE)</f>
        <v>#VALUE!</v>
      </c>
      <c r="AC190" s="1">
        <f>VLOOKUP(A190,'NonXtal_SegEnds_Prot#'!A:AL,13,FALSE)-VLOOKUP(A190,'NonXtal_SegEnds_Prot#'!A:AL,10,FALSE)</f>
        <v>20</v>
      </c>
      <c r="AD190" s="1">
        <f>VLOOKUP(A190,'NonXtal_SegEnds_Prot#'!A:AL,16,FALSE)-VLOOKUP(A190,'NonXtal_SegEnds_Prot#'!A:AL,10,FALSE)</f>
        <v>52</v>
      </c>
      <c r="AE190" s="1">
        <f>VLOOKUP(A190,'NonXtal_SegEnds_Prot#'!A:AL,28,FALSE)-VLOOKUP(A190,'NonXtal_SegEnds_Prot#'!A:AL,25,FALSE)</f>
        <v>25</v>
      </c>
      <c r="AF190" s="1">
        <f>VLOOKUP(A190,'NonXtal_SegEnds_Prot#'!A:AL,31,FALSE)-VLOOKUP(A190,'NonXtal_SegEnds_Prot#'!A:AL,28,FALSE)</f>
        <v>57</v>
      </c>
      <c r="AG190" s="1">
        <f>VLOOKUP(A190,'NonXtal_SegEnds_Prot#'!A:AL,34,FALSE)-VLOOKUP(A190,'NonXtal_SegEnds_Prot#'!A:AL,31,FALSE)</f>
        <v>37</v>
      </c>
    </row>
    <row r="191" spans="1:33" x14ac:dyDescent="0.2">
      <c r="A191" s="1" t="s">
        <v>503</v>
      </c>
      <c r="B191" s="1" t="str">
        <f>VLOOKUP(A191,Xtal_Templ!A:B,2,FALSE)</f>
        <v>s1pr1_human</v>
      </c>
      <c r="C191" s="5">
        <f>VLOOKUP($B191&amp;"__wt",'Xtal_SegEnds_BW#'!$A:$Z,3,FALSE)</f>
        <v>29</v>
      </c>
      <c r="D191" s="1">
        <f>VLOOKUP($B191&amp;"__wt",'Xtal_SegEnds_BW#'!$A:$Z,4,FALSE)</f>
        <v>60</v>
      </c>
      <c r="E191" s="1">
        <f>VLOOKUP($B191&amp;"__wt",'Xtal_SegEnds_BW#'!$A:$Z,5,FALSE)</f>
        <v>48</v>
      </c>
      <c r="F191" s="1">
        <f>VLOOKUP($B191&amp;"__wt",'Xtal_SegEnds_BW#'!$A:$Z,6,FALSE)</f>
        <v>51</v>
      </c>
      <c r="G191" s="1">
        <v>37</v>
      </c>
      <c r="H191" s="1">
        <v>67</v>
      </c>
      <c r="I191" s="1" t="s">
        <v>129</v>
      </c>
      <c r="J191" s="1" t="s">
        <v>129</v>
      </c>
      <c r="K191" s="1">
        <v>18</v>
      </c>
      <c r="L191" s="1">
        <f>VLOOKUP($B191&amp;"__wt",'Xtal_SegEnds_BW#'!$A:$Z,12,FALSE)</f>
        <v>56</v>
      </c>
      <c r="M191" s="1">
        <f>VLOOKUP($B191&amp;"__wt",'Xtal_SegEnds_BW#'!$A:$Z,13,FALSE)</f>
        <v>50</v>
      </c>
      <c r="N191" s="1">
        <v>57</v>
      </c>
      <c r="O191" s="1">
        <v>39</v>
      </c>
      <c r="P191" s="1">
        <f>VLOOKUP($B191&amp;"__wt",'Xtal_SegEnds_BW#'!$A:$Z,16,FALSE)</f>
        <v>63</v>
      </c>
      <c r="Q191" s="1" t="str">
        <f>VLOOKUP($B191&amp;"__wt",'Xtal_SegEnds_BW#'!$A:$Z,17,FALSE)</f>
        <v>-</v>
      </c>
      <c r="R191" s="1" t="str">
        <f>VLOOKUP($B191&amp;"__wt",'Xtal_SegEnds_BW#'!$A:$Z,18,FALSE)</f>
        <v>-</v>
      </c>
      <c r="S191" s="1">
        <f>VLOOKUP($B191&amp;"__wt",'Xtal_SegEnds_BW#'!$A:$Z,19,FALSE)</f>
        <v>36</v>
      </c>
      <c r="T191" s="23">
        <f t="array" ref="T191">INDEX('ICL3'!$G$2:$G$31,MATCH(MIN(ABS(AF191-'ICL3'!$F$2:$F$31)),ABS(AF191-'ICL3'!$F$2:$F$31),0))</f>
        <v>73</v>
      </c>
      <c r="U191" s="1">
        <f t="array" ref="U191">INDEX('ICL3'!$H$2:$H$31,MATCH(MIN(ABS(AF191-'ICL3'!$F$2:$F$31)),ABS(AF191-'ICL3'!$F$2:$F$31),0))</f>
        <v>22</v>
      </c>
      <c r="V191" s="1">
        <v>61</v>
      </c>
      <c r="W191" s="1">
        <v>28</v>
      </c>
      <c r="X191" s="1">
        <f>VLOOKUP($B191&amp;"__wt",'Xtal_SegEnds_BW#'!$A:$Z,24,FALSE)</f>
        <v>56</v>
      </c>
      <c r="Y191" s="1">
        <f>VLOOKUP($B191&amp;"__wt",'Xtal_SegEnds_BW#'!$A:$Z,25,FALSE)</f>
        <v>47</v>
      </c>
      <c r="Z191" s="1">
        <f>VLOOKUP($B191&amp;"__wt",'Xtal_SegEnds_BW#'!$A:$Z,26,FALSE)</f>
        <v>59</v>
      </c>
      <c r="AA191" s="63" t="str">
        <f>VLOOKUP(A191,Classification!A:B,2,FALSE)</f>
        <v>A</v>
      </c>
      <c r="AB191" s="1">
        <f>VLOOKUP(A191,'NonXtal_SegEnds_Prot#'!A:AL,10,FALSE)-VLOOKUP(A191,'NonXtal_SegEnds_Prot#'!A:AL,7,FALSE)</f>
        <v>15</v>
      </c>
      <c r="AC191" s="1" t="e">
        <f>VLOOKUP(A191,'NonXtal_SegEnds_Prot#'!A:AL,13,FALSE)-VLOOKUP(A191,'NonXtal_SegEnds_Prot#'!A:AL,10,FALSE)</f>
        <v>#VALUE!</v>
      </c>
      <c r="AD191" s="1">
        <f>VLOOKUP(A191,'NonXtal_SegEnds_Prot#'!A:AL,16,FALSE)-VLOOKUP(A191,'NonXtal_SegEnds_Prot#'!A:AL,10,FALSE)</f>
        <v>58</v>
      </c>
      <c r="AE191" s="1" t="e">
        <f>VLOOKUP(A191,'NonXtal_SegEnds_Prot#'!A:AL,28,FALSE)-VLOOKUP(A191,'NonXtal_SegEnds_Prot#'!A:AL,25,FALSE)</f>
        <v>#VALUE!</v>
      </c>
      <c r="AF191" s="1">
        <f>VLOOKUP(A191,'NonXtal_SegEnds_Prot#'!A:AL,31,FALSE)-VLOOKUP(A191,'NonXtal_SegEnds_Prot#'!A:AL,28,FALSE)</f>
        <v>57</v>
      </c>
      <c r="AG191" s="1">
        <f>VLOOKUP(A191,'NonXtal_SegEnds_Prot#'!A:AL,34,FALSE)-VLOOKUP(A191,'NonXtal_SegEnds_Prot#'!A:AL,31,FALSE)</f>
        <v>39</v>
      </c>
    </row>
    <row r="192" spans="1:33" x14ac:dyDescent="0.2">
      <c r="A192" s="1" t="s">
        <v>511</v>
      </c>
      <c r="B192" s="1" t="str">
        <f>VLOOKUP(A192,Xtal_Templ!A:B,2,FALSE)</f>
        <v>ednrb_human</v>
      </c>
      <c r="C192" s="5">
        <f>VLOOKUP($B192&amp;"__wt",'Xtal_SegEnds_BW#'!$A:$Z,3,FALSE)</f>
        <v>22</v>
      </c>
      <c r="D192" s="1">
        <f>VLOOKUP($B192&amp;"__wt",'Xtal_SegEnds_BW#'!$A:$Z,4,FALSE)</f>
        <v>60</v>
      </c>
      <c r="E192" s="1">
        <f>VLOOKUP($B192&amp;"__wt",'Xtal_SegEnds_BW#'!$A:$Z,5,FALSE)</f>
        <v>48</v>
      </c>
      <c r="F192" s="1">
        <f>VLOOKUP($B192&amp;"__wt",'Xtal_SegEnds_BW#'!$A:$Z,6,FALSE)</f>
        <v>52</v>
      </c>
      <c r="G192" s="1">
        <v>37</v>
      </c>
      <c r="H192" s="1">
        <f>VLOOKUP($B192&amp;"__wt",'Xtal_SegEnds_BW#'!$A:$Z,8,FALSE)</f>
        <v>67</v>
      </c>
      <c r="I192" s="1">
        <f>VLOOKUP($B192&amp;"__wt",'Xtal_SegEnds_BW#'!$A:$Z,9,FALSE)</f>
        <v>49</v>
      </c>
      <c r="J192" s="1">
        <f>VLOOKUP($B192&amp;"__wt",'Xtal_SegEnds_BW#'!$A:$Z,10,FALSE)</f>
        <v>52</v>
      </c>
      <c r="K192" s="1">
        <v>18</v>
      </c>
      <c r="L192" s="1">
        <f>VLOOKUP($B192&amp;"__wt",'Xtal_SegEnds_BW#'!$A:$Z,12,FALSE)</f>
        <v>56</v>
      </c>
      <c r="M192" s="1">
        <f>VLOOKUP($B192&amp;"__wt",'Xtal_SegEnds_BW#'!$A:$Z,13,FALSE)</f>
        <v>50</v>
      </c>
      <c r="N192" s="1">
        <v>57</v>
      </c>
      <c r="O192" s="1">
        <v>39</v>
      </c>
      <c r="P192" s="1">
        <f>VLOOKUP($B192&amp;"__wt",'Xtal_SegEnds_BW#'!$A:$Z,16,FALSE)</f>
        <v>64</v>
      </c>
      <c r="Q192" s="1">
        <f>VLOOKUP($B192&amp;"__wt",'Xtal_SegEnds_BW#'!$A:$Z,17,FALSE)</f>
        <v>50</v>
      </c>
      <c r="R192" s="1">
        <f>VLOOKUP($B192&amp;"__wt",'Xtal_SegEnds_BW#'!$A:$Z,18,FALSE)</f>
        <v>52</v>
      </c>
      <c r="S192" s="1">
        <f>VLOOKUP($B192&amp;"__wt",'Xtal_SegEnds_BW#'!$A:$Z,19,FALSE)</f>
        <v>29</v>
      </c>
      <c r="T192" s="23">
        <f t="array" ref="T192">INDEX('ICL3'!$G$2:$G$31,MATCH(MIN(ABS(AF192-'ICL3'!$F$2:$F$31)),ABS(AF192-'ICL3'!$F$2:$F$31),0))</f>
        <v>73</v>
      </c>
      <c r="U192" s="1">
        <f t="array" ref="U192">INDEX('ICL3'!$H$2:$H$31,MATCH(MIN(ABS(AF192-'ICL3'!$F$2:$F$31)),ABS(AF192-'ICL3'!$F$2:$F$31),0))</f>
        <v>22</v>
      </c>
      <c r="V192" s="1">
        <v>61</v>
      </c>
      <c r="W192" s="1">
        <v>28</v>
      </c>
      <c r="X192" s="1">
        <f>VLOOKUP($B192&amp;"__wt",'Xtal_SegEnds_BW#'!$A:$Z,24,FALSE)</f>
        <v>56</v>
      </c>
      <c r="Y192" s="1">
        <f>VLOOKUP($B192&amp;"__wt",'Xtal_SegEnds_BW#'!$A:$Z,25,FALSE)</f>
        <v>47</v>
      </c>
      <c r="Z192" s="1">
        <f>VLOOKUP($B192&amp;"__wt",'Xtal_SegEnds_BW#'!$A:$Z,26,FALSE)</f>
        <v>60</v>
      </c>
      <c r="AA192" s="63" t="str">
        <f>VLOOKUP(A192,Classification!A:B,2,FALSE)</f>
        <v>A</v>
      </c>
      <c r="AB192" s="1">
        <f>VLOOKUP(A192,'NonXtal_SegEnds_Prot#'!A:AL,10,FALSE)-VLOOKUP(A192,'NonXtal_SegEnds_Prot#'!A:AL,7,FALSE)</f>
        <v>15</v>
      </c>
      <c r="AC192" s="1">
        <f>VLOOKUP(A192,'NonXtal_SegEnds_Prot#'!A:AL,13,FALSE)-VLOOKUP(A192,'NonXtal_SegEnds_Prot#'!A:AL,10,FALSE)</f>
        <v>20</v>
      </c>
      <c r="AD192" s="1">
        <f>VLOOKUP(A192,'NonXtal_SegEnds_Prot#'!A:AL,16,FALSE)-VLOOKUP(A192,'NonXtal_SegEnds_Prot#'!A:AL,10,FALSE)</f>
        <v>52</v>
      </c>
      <c r="AE192" s="1">
        <f>VLOOKUP(A192,'NonXtal_SegEnds_Prot#'!A:AL,28,FALSE)-VLOOKUP(A192,'NonXtal_SegEnds_Prot#'!A:AL,25,FALSE)</f>
        <v>26</v>
      </c>
      <c r="AF192" s="1">
        <f>VLOOKUP(A192,'NonXtal_SegEnds_Prot#'!A:AL,31,FALSE)-VLOOKUP(A192,'NonXtal_SegEnds_Prot#'!A:AL,28,FALSE)</f>
        <v>57</v>
      </c>
      <c r="AG192" s="1">
        <f>VLOOKUP(A192,'NonXtal_SegEnds_Prot#'!A:AL,34,FALSE)-VLOOKUP(A192,'NonXtal_SegEnds_Prot#'!A:AL,31,FALSE)</f>
        <v>40</v>
      </c>
    </row>
    <row r="193" spans="1:33" x14ac:dyDescent="0.2">
      <c r="A193" s="1" t="s">
        <v>516</v>
      </c>
      <c r="B193" s="1" t="str">
        <f>VLOOKUP(A193,Xtal_Templ!A:B,2,FALSE)</f>
        <v>ox2r_human</v>
      </c>
      <c r="C193" s="5">
        <f>VLOOKUP($B193&amp;"__wt",'Xtal_SegEnds_BW#'!$A:$Z,3,FALSE)</f>
        <v>31</v>
      </c>
      <c r="D193" s="1">
        <f>VLOOKUP($B193&amp;"__wt",'Xtal_SegEnds_BW#'!$A:$Z,4,FALSE)</f>
        <v>60</v>
      </c>
      <c r="E193" s="1">
        <f>VLOOKUP($B193&amp;"__wt",'Xtal_SegEnds_BW#'!$A:$Z,5,FALSE)</f>
        <v>48</v>
      </c>
      <c r="F193" s="1">
        <f>VLOOKUP($B193&amp;"__wt",'Xtal_SegEnds_BW#'!$A:$Z,6,FALSE)</f>
        <v>51</v>
      </c>
      <c r="G193" s="1">
        <v>37</v>
      </c>
      <c r="H193" s="1">
        <f>VLOOKUP($B193&amp;"__wt",'Xtal_SegEnds_BW#'!$A:$Z,8,FALSE)</f>
        <v>67</v>
      </c>
      <c r="I193" s="1">
        <f>VLOOKUP($B193&amp;"__wt",'Xtal_SegEnds_BW#'!$A:$Z,9,FALSE)</f>
        <v>49</v>
      </c>
      <c r="J193" s="1">
        <f>VLOOKUP($B193&amp;"__wt",'Xtal_SegEnds_BW#'!$A:$Z,10,FALSE)</f>
        <v>52</v>
      </c>
      <c r="K193" s="1">
        <v>18</v>
      </c>
      <c r="L193" s="1">
        <f>VLOOKUP($B193&amp;"__wt",'Xtal_SegEnds_BW#'!$A:$Z,12,FALSE)</f>
        <v>56</v>
      </c>
      <c r="M193" s="1">
        <f>VLOOKUP($B193&amp;"__wt",'Xtal_SegEnds_BW#'!$A:$Z,13,FALSE)</f>
        <v>50</v>
      </c>
      <c r="N193" s="1">
        <v>56</v>
      </c>
      <c r="O193" s="1">
        <v>39</v>
      </c>
      <c r="P193" s="1">
        <f>VLOOKUP($B193&amp;"__wt",'Xtal_SegEnds_BW#'!$A:$Z,16,FALSE)</f>
        <v>64</v>
      </c>
      <c r="Q193" s="1">
        <f>VLOOKUP($B193&amp;"__wt",'Xtal_SegEnds_BW#'!$A:$Z,17,FALSE)</f>
        <v>50</v>
      </c>
      <c r="R193" s="1">
        <f>VLOOKUP($B193&amp;"__wt",'Xtal_SegEnds_BW#'!$A:$Z,18,FALSE)</f>
        <v>52</v>
      </c>
      <c r="S193" s="1">
        <f>VLOOKUP($B193&amp;"__wt",'Xtal_SegEnds_BW#'!$A:$Z,19,FALSE)</f>
        <v>32</v>
      </c>
      <c r="T193" s="23">
        <f t="array" ref="T193">INDEX('ICL3'!$G$2:$G$31,MATCH(MIN(ABS(AF193-'ICL3'!$F$2:$F$31)),ABS(AF193-'ICL3'!$F$2:$F$31),0))</f>
        <v>73</v>
      </c>
      <c r="U193" s="1">
        <f t="array" ref="U193">INDEX('ICL3'!$H$2:$H$31,MATCH(MIN(ABS(AF193-'ICL3'!$F$2:$F$31)),ABS(AF193-'ICL3'!$F$2:$F$31),0))</f>
        <v>22</v>
      </c>
      <c r="V193" s="1">
        <v>61</v>
      </c>
      <c r="W193" s="1">
        <v>28</v>
      </c>
      <c r="X193" s="1">
        <f>VLOOKUP($B193&amp;"__wt",'Xtal_SegEnds_BW#'!$A:$Z,24,FALSE)</f>
        <v>56</v>
      </c>
      <c r="Y193" s="1">
        <f>VLOOKUP($B193&amp;"__wt",'Xtal_SegEnds_BW#'!$A:$Z,25,FALSE)</f>
        <v>47</v>
      </c>
      <c r="Z193" s="1">
        <f>VLOOKUP($B193&amp;"__wt",'Xtal_SegEnds_BW#'!$A:$Z,26,FALSE)</f>
        <v>58</v>
      </c>
      <c r="AA193" s="63" t="str">
        <f>VLOOKUP(A193,Classification!A:B,2,FALSE)</f>
        <v>A</v>
      </c>
      <c r="AB193" s="1">
        <f>VLOOKUP(A193,'NonXtal_SegEnds_Prot#'!A:AL,10,FALSE)-VLOOKUP(A193,'NonXtal_SegEnds_Prot#'!A:AL,7,FALSE)</f>
        <v>15</v>
      </c>
      <c r="AC193" s="1">
        <f>VLOOKUP(A193,'NonXtal_SegEnds_Prot#'!A:AL,13,FALSE)-VLOOKUP(A193,'NonXtal_SegEnds_Prot#'!A:AL,10,FALSE)</f>
        <v>20</v>
      </c>
      <c r="AD193" s="1">
        <f>VLOOKUP(A193,'NonXtal_SegEnds_Prot#'!A:AL,16,FALSE)-VLOOKUP(A193,'NonXtal_SegEnds_Prot#'!A:AL,10,FALSE)</f>
        <v>52</v>
      </c>
      <c r="AE193" s="1">
        <f>VLOOKUP(A193,'NonXtal_SegEnds_Prot#'!A:AL,28,FALSE)-VLOOKUP(A193,'NonXtal_SegEnds_Prot#'!A:AL,25,FALSE)</f>
        <v>25</v>
      </c>
      <c r="AF193" s="1">
        <f>VLOOKUP(A193,'NonXtal_SegEnds_Prot#'!A:AL,31,FALSE)-VLOOKUP(A193,'NonXtal_SegEnds_Prot#'!A:AL,28,FALSE)</f>
        <v>57</v>
      </c>
      <c r="AG193" s="1">
        <f>VLOOKUP(A193,'NonXtal_SegEnds_Prot#'!A:AL,34,FALSE)-VLOOKUP(A193,'NonXtal_SegEnds_Prot#'!A:AL,31,FALSE)</f>
        <v>41</v>
      </c>
    </row>
    <row r="194" spans="1:33" x14ac:dyDescent="0.2">
      <c r="A194" s="1" t="s">
        <v>560</v>
      </c>
      <c r="B194" s="1" t="str">
        <f>VLOOKUP(A194,Xtal_Templ!A:B,2,FALSE)</f>
        <v>drd3_human</v>
      </c>
      <c r="C194" s="5">
        <f>VLOOKUP($B194&amp;"__wt",'Xtal_SegEnds_BW#'!$A:$Z,3,FALSE)</f>
        <v>29</v>
      </c>
      <c r="D194" s="1">
        <f>VLOOKUP($B194&amp;"__wt",'Xtal_SegEnds_BW#'!$A:$Z,4,FALSE)</f>
        <v>60</v>
      </c>
      <c r="E194" s="1">
        <f>VLOOKUP($B194&amp;"__wt",'Xtal_SegEnds_BW#'!$A:$Z,5,FALSE)</f>
        <v>48</v>
      </c>
      <c r="F194" s="1">
        <f>VLOOKUP($B194&amp;"__wt",'Xtal_SegEnds_BW#'!$A:$Z,6,FALSE)</f>
        <v>51</v>
      </c>
      <c r="G194" s="1">
        <v>37</v>
      </c>
      <c r="H194" s="1">
        <v>67</v>
      </c>
      <c r="I194" s="1">
        <f>VLOOKUP($B194&amp;"__wt",'Xtal_SegEnds_BW#'!$A:$Z,9,FALSE)</f>
        <v>49</v>
      </c>
      <c r="J194" s="1">
        <f>VLOOKUP($B194&amp;"__wt",'Xtal_SegEnds_BW#'!$A:$Z,10,FALSE)</f>
        <v>52</v>
      </c>
      <c r="K194" s="1">
        <v>18</v>
      </c>
      <c r="L194" s="1">
        <f>VLOOKUP($B194&amp;"__wt",'Xtal_SegEnds_BW#'!$A:$Z,12,FALSE)</f>
        <v>56</v>
      </c>
      <c r="M194" s="1">
        <f>VLOOKUP($B194&amp;"__wt",'Xtal_SegEnds_BW#'!$A:$Z,13,FALSE)</f>
        <v>50</v>
      </c>
      <c r="N194" s="1">
        <v>57</v>
      </c>
      <c r="O194" s="1">
        <v>39</v>
      </c>
      <c r="P194" s="1">
        <f>VLOOKUP($B194&amp;"__wt",'Xtal_SegEnds_BW#'!$A:$Z,16,FALSE)</f>
        <v>63</v>
      </c>
      <c r="Q194" s="1">
        <f>VLOOKUP($B194&amp;"__wt",'Xtal_SegEnds_BW#'!$A:$Z,17,FALSE)</f>
        <v>50</v>
      </c>
      <c r="R194" s="1">
        <f>VLOOKUP($B194&amp;"__wt",'Xtal_SegEnds_BW#'!$A:$Z,18,FALSE)</f>
        <v>52</v>
      </c>
      <c r="S194" s="1">
        <f>VLOOKUP($B194&amp;"__wt",'Xtal_SegEnds_BW#'!$A:$Z,19,FALSE)</f>
        <v>35</v>
      </c>
      <c r="T194" s="23">
        <f t="array" ref="T194">INDEX('ICL3'!$G$2:$G$31,MATCH(MIN(ABS(AF194-'ICL3'!$F$2:$F$31)),ABS(AF194-'ICL3'!$F$2:$F$31),0))</f>
        <v>73</v>
      </c>
      <c r="U194" s="1">
        <f t="array" ref="U194">INDEX('ICL3'!$H$2:$H$31,MATCH(MIN(ABS(AF194-'ICL3'!$F$2:$F$31)),ABS(AF194-'ICL3'!$F$2:$F$31),0))</f>
        <v>22</v>
      </c>
      <c r="V194" s="1">
        <v>61</v>
      </c>
      <c r="W194" s="1">
        <v>31</v>
      </c>
      <c r="X194" s="1">
        <f>VLOOKUP($B194&amp;"__wt",'Xtal_SegEnds_BW#'!$A:$Z,24,FALSE)</f>
        <v>56</v>
      </c>
      <c r="Y194" s="1">
        <f>VLOOKUP($B194&amp;"__wt",'Xtal_SegEnds_BW#'!$A:$Z,25,FALSE)</f>
        <v>47</v>
      </c>
      <c r="Z194" s="1">
        <f>VLOOKUP($B194&amp;"__wt",'Xtal_SegEnds_BW#'!$A:$Z,26,FALSE)</f>
        <v>59</v>
      </c>
      <c r="AA194" s="63" t="str">
        <f>VLOOKUP(A194,Classification!A:B,2,FALSE)</f>
        <v>A</v>
      </c>
      <c r="AB194" s="1" t="e">
        <f>VLOOKUP(A194,'NonXtal_SegEnds_Prot#'!A:AL,10,FALSE)-VLOOKUP(A194,'NonXtal_SegEnds_Prot#'!A:AL,7,FALSE)</f>
        <v>#VALUE!</v>
      </c>
      <c r="AC194" s="1" t="e">
        <f>VLOOKUP(A194,'NonXtal_SegEnds_Prot#'!A:AL,13,FALSE)-VLOOKUP(A194,'NonXtal_SegEnds_Prot#'!A:AL,10,FALSE)</f>
        <v>#VALUE!</v>
      </c>
      <c r="AD194" s="1">
        <f>VLOOKUP(A194,'NonXtal_SegEnds_Prot#'!A:AL,16,FALSE)-VLOOKUP(A194,'NonXtal_SegEnds_Prot#'!A:AL,10,FALSE)</f>
        <v>57</v>
      </c>
      <c r="AE194" s="1">
        <f>VLOOKUP(A194,'NonXtal_SegEnds_Prot#'!A:AL,28,FALSE)-VLOOKUP(A194,'NonXtal_SegEnds_Prot#'!A:AL,25,FALSE)</f>
        <v>27</v>
      </c>
      <c r="AF194" s="1">
        <f>VLOOKUP(A194,'NonXtal_SegEnds_Prot#'!A:AL,31,FALSE)-VLOOKUP(A194,'NonXtal_SegEnds_Prot#'!A:AL,28,FALSE)</f>
        <v>57</v>
      </c>
      <c r="AG194" s="1">
        <f>VLOOKUP(A194,'NonXtal_SegEnds_Prot#'!A:AL,34,FALSE)-VLOOKUP(A194,'NonXtal_SegEnds_Prot#'!A:AL,31,FALSE)</f>
        <v>35</v>
      </c>
    </row>
    <row r="195" spans="1:33" x14ac:dyDescent="0.2">
      <c r="A195" s="1" t="s">
        <v>420</v>
      </c>
      <c r="B195" s="1" t="str">
        <f>VLOOKUP(A195,Xtal_Templ!A:B,2,FALSE)</f>
        <v>hrh1_human</v>
      </c>
      <c r="C195" s="5">
        <f>VLOOKUP($B195&amp;"__wt",'Xtal_SegEnds_BW#'!$A:$Z,3,FALSE)</f>
        <v>34</v>
      </c>
      <c r="D195" s="1">
        <f>VLOOKUP($B195&amp;"__wt",'Xtal_SegEnds_BW#'!$A:$Z,4,FALSE)</f>
        <v>60</v>
      </c>
      <c r="E195" s="1">
        <f>VLOOKUP($B195&amp;"__wt",'Xtal_SegEnds_BW#'!$A:$Z,5,FALSE)</f>
        <v>48</v>
      </c>
      <c r="F195" s="1">
        <f>VLOOKUP($B195&amp;"__wt",'Xtal_SegEnds_BW#'!$A:$Z,6,FALSE)</f>
        <v>51</v>
      </c>
      <c r="G195" s="1">
        <v>37</v>
      </c>
      <c r="H195" s="1">
        <f>VLOOKUP($B195&amp;"__wt",'Xtal_SegEnds_BW#'!$A:$Z,8,FALSE)</f>
        <v>67</v>
      </c>
      <c r="I195" s="1">
        <f>VLOOKUP($B195&amp;"__wt",'Xtal_SegEnds_BW#'!$A:$Z,9,FALSE)</f>
        <v>49</v>
      </c>
      <c r="J195" s="1">
        <f>VLOOKUP($B195&amp;"__wt",'Xtal_SegEnds_BW#'!$A:$Z,10,FALSE)</f>
        <v>52</v>
      </c>
      <c r="K195" s="1">
        <v>18</v>
      </c>
      <c r="L195" s="1">
        <f>VLOOKUP($B195&amp;"__wt",'Xtal_SegEnds_BW#'!$A:$Z,12,FALSE)</f>
        <v>56</v>
      </c>
      <c r="M195" s="1">
        <f>VLOOKUP($B195&amp;"__wt",'Xtal_SegEnds_BW#'!$A:$Z,13,FALSE)</f>
        <v>50</v>
      </c>
      <c r="N195" s="1">
        <v>57</v>
      </c>
      <c r="O195" s="1">
        <v>39</v>
      </c>
      <c r="P195" s="1">
        <v>63</v>
      </c>
      <c r="Q195" s="1">
        <f>VLOOKUP($B195&amp;"__wt",'Xtal_SegEnds_BW#'!$A:$Z,17,FALSE)</f>
        <v>50</v>
      </c>
      <c r="R195" s="1">
        <f>VLOOKUP($B195&amp;"__wt",'Xtal_SegEnds_BW#'!$A:$Z,18,FALSE)</f>
        <v>52</v>
      </c>
      <c r="S195" s="1">
        <v>35</v>
      </c>
      <c r="T195" s="23">
        <f t="array" ref="T195">INDEX('ICL3'!$G$2:$G$31,MATCH(MIN(ABS(AF195-'ICL3'!$F$2:$F$31)),ABS(AF195-'ICL3'!$F$2:$F$31),0))</f>
        <v>73</v>
      </c>
      <c r="U195" s="1">
        <f t="array" ref="U195">INDEX('ICL3'!$H$2:$H$31,MATCH(MIN(ABS(AF195-'ICL3'!$F$2:$F$31)),ABS(AF195-'ICL3'!$F$2:$F$31),0))</f>
        <v>24</v>
      </c>
      <c r="V195" s="1">
        <v>61</v>
      </c>
      <c r="W195" s="1">
        <v>31</v>
      </c>
      <c r="X195" s="1">
        <f>VLOOKUP($B195&amp;"__wt",'Xtal_SegEnds_BW#'!$A:$Z,24,FALSE)</f>
        <v>56</v>
      </c>
      <c r="Y195" s="1">
        <f>VLOOKUP($B195&amp;"__wt",'Xtal_SegEnds_BW#'!$A:$Z,25,FALSE)</f>
        <v>47</v>
      </c>
      <c r="Z195" s="1">
        <f>VLOOKUP($B195&amp;"__wt",'Xtal_SegEnds_BW#'!$A:$Z,26,FALSE)</f>
        <v>59</v>
      </c>
      <c r="AA195" s="63" t="str">
        <f>VLOOKUP(A195,Classification!A:B,2,FALSE)</f>
        <v>A</v>
      </c>
      <c r="AB195" s="1" t="e">
        <f>VLOOKUP(A195,'NonXtal_SegEnds_Prot#'!A:AL,10,FALSE)-VLOOKUP(A195,'NonXtal_SegEnds_Prot#'!A:AL,7,FALSE)</f>
        <v>#VALUE!</v>
      </c>
      <c r="AC195" s="1" t="e">
        <f>VLOOKUP(A195,'NonXtal_SegEnds_Prot#'!A:AL,13,FALSE)-VLOOKUP(A195,'NonXtal_SegEnds_Prot#'!A:AL,10,FALSE)</f>
        <v>#VALUE!</v>
      </c>
      <c r="AD195" s="1">
        <f>VLOOKUP(A195,'NonXtal_SegEnds_Prot#'!A:AL,16,FALSE)-VLOOKUP(A195,'NonXtal_SegEnds_Prot#'!A:AL,10,FALSE)</f>
        <v>54</v>
      </c>
      <c r="AE195" s="1">
        <f>VLOOKUP(A195,'NonXtal_SegEnds_Prot#'!A:AL,28,FALSE)-VLOOKUP(A195,'NonXtal_SegEnds_Prot#'!A:AL,25,FALSE)</f>
        <v>22</v>
      </c>
      <c r="AF195" s="1">
        <f>VLOOKUP(A195,'NonXtal_SegEnds_Prot#'!A:AL,31,FALSE)-VLOOKUP(A195,'NonXtal_SegEnds_Prot#'!A:AL,28,FALSE)</f>
        <v>58</v>
      </c>
      <c r="AG195" s="1">
        <f>VLOOKUP(A195,'NonXtal_SegEnds_Prot#'!A:AL,34,FALSE)-VLOOKUP(A195,'NonXtal_SegEnds_Prot#'!A:AL,31,FALSE)</f>
        <v>35</v>
      </c>
    </row>
    <row r="196" spans="1:33" x14ac:dyDescent="0.2">
      <c r="A196" s="1" t="s">
        <v>490</v>
      </c>
      <c r="B196" s="1" t="str">
        <f>VLOOKUP(A196,Xtal_Templ!A:B,2,FALSE)</f>
        <v>s1pr1_human</v>
      </c>
      <c r="C196" s="5">
        <f>VLOOKUP($B196&amp;"__wt",'Xtal_SegEnds_BW#'!$A:$Z,3,FALSE)</f>
        <v>29</v>
      </c>
      <c r="D196" s="1">
        <f>VLOOKUP($B196&amp;"__wt",'Xtal_SegEnds_BW#'!$A:$Z,4,FALSE)</f>
        <v>60</v>
      </c>
      <c r="E196" s="1">
        <f>VLOOKUP($B196&amp;"__wt",'Xtal_SegEnds_BW#'!$A:$Z,5,FALSE)</f>
        <v>48</v>
      </c>
      <c r="F196" s="1">
        <f>VLOOKUP($B196&amp;"__wt",'Xtal_SegEnds_BW#'!$A:$Z,6,FALSE)</f>
        <v>51</v>
      </c>
      <c r="G196" s="1">
        <v>37</v>
      </c>
      <c r="H196" s="1">
        <v>67</v>
      </c>
      <c r="I196" s="1" t="s">
        <v>129</v>
      </c>
      <c r="J196" s="1" t="s">
        <v>129</v>
      </c>
      <c r="K196" s="1">
        <v>18</v>
      </c>
      <c r="L196" s="1">
        <f>VLOOKUP($B196&amp;"__wt",'Xtal_SegEnds_BW#'!$A:$Z,12,FALSE)</f>
        <v>56</v>
      </c>
      <c r="M196" s="1">
        <f>VLOOKUP($B196&amp;"__wt",'Xtal_SegEnds_BW#'!$A:$Z,13,FALSE)</f>
        <v>50</v>
      </c>
      <c r="N196" s="1">
        <v>57</v>
      </c>
      <c r="O196" s="1">
        <v>39</v>
      </c>
      <c r="P196" s="1">
        <f>VLOOKUP($B196&amp;"__wt",'Xtal_SegEnds_BW#'!$A:$Z,16,FALSE)</f>
        <v>63</v>
      </c>
      <c r="Q196" s="1" t="str">
        <f>VLOOKUP($B196&amp;"__wt",'Xtal_SegEnds_BW#'!$A:$Z,17,FALSE)</f>
        <v>-</v>
      </c>
      <c r="R196" s="1" t="str">
        <f>VLOOKUP($B196&amp;"__wt",'Xtal_SegEnds_BW#'!$A:$Z,18,FALSE)</f>
        <v>-</v>
      </c>
      <c r="S196" s="1">
        <f>VLOOKUP($B196&amp;"__wt",'Xtal_SegEnds_BW#'!$A:$Z,19,FALSE)</f>
        <v>36</v>
      </c>
      <c r="T196" s="23">
        <f t="array" ref="T196">INDEX('ICL3'!$G$2:$G$31,MATCH(MIN(ABS(AF196-'ICL3'!$F$2:$F$31)),ABS(AF196-'ICL3'!$F$2:$F$31),0))</f>
        <v>73</v>
      </c>
      <c r="U196" s="1">
        <f t="array" ref="U196">INDEX('ICL3'!$H$2:$H$31,MATCH(MIN(ABS(AF196-'ICL3'!$F$2:$F$31)),ABS(AF196-'ICL3'!$F$2:$F$31),0))</f>
        <v>24</v>
      </c>
      <c r="V196" s="1">
        <v>61</v>
      </c>
      <c r="W196" s="1">
        <v>28</v>
      </c>
      <c r="X196" s="1">
        <f>VLOOKUP($B196&amp;"__wt",'Xtal_SegEnds_BW#'!$A:$Z,24,FALSE)</f>
        <v>56</v>
      </c>
      <c r="Y196" s="1">
        <f>VLOOKUP($B196&amp;"__wt",'Xtal_SegEnds_BW#'!$A:$Z,25,FALSE)</f>
        <v>47</v>
      </c>
      <c r="Z196" s="1">
        <f>VLOOKUP($B196&amp;"__wt",'Xtal_SegEnds_BW#'!$A:$Z,26,FALSE)</f>
        <v>59</v>
      </c>
      <c r="AA196" s="63" t="str">
        <f>VLOOKUP(A196,Classification!A:B,2,FALSE)</f>
        <v>A</v>
      </c>
      <c r="AB196" s="1">
        <f>VLOOKUP(A196,'NonXtal_SegEnds_Prot#'!A:AL,10,FALSE)-VLOOKUP(A196,'NonXtal_SegEnds_Prot#'!A:AL,7,FALSE)</f>
        <v>15</v>
      </c>
      <c r="AC196" s="1" t="e">
        <f>VLOOKUP(A196,'NonXtal_SegEnds_Prot#'!A:AL,13,FALSE)-VLOOKUP(A196,'NonXtal_SegEnds_Prot#'!A:AL,10,FALSE)</f>
        <v>#VALUE!</v>
      </c>
      <c r="AD196" s="1">
        <f>VLOOKUP(A196,'NonXtal_SegEnds_Prot#'!A:AL,16,FALSE)-VLOOKUP(A196,'NonXtal_SegEnds_Prot#'!A:AL,10,FALSE)</f>
        <v>58</v>
      </c>
      <c r="AE196" s="1" t="e">
        <f>VLOOKUP(A196,'NonXtal_SegEnds_Prot#'!A:AL,28,FALSE)-VLOOKUP(A196,'NonXtal_SegEnds_Prot#'!A:AL,25,FALSE)</f>
        <v>#VALUE!</v>
      </c>
      <c r="AF196" s="1">
        <f>VLOOKUP(A196,'NonXtal_SegEnds_Prot#'!A:AL,31,FALSE)-VLOOKUP(A196,'NonXtal_SegEnds_Prot#'!A:AL,28,FALSE)</f>
        <v>58</v>
      </c>
      <c r="AG196" s="1">
        <f>VLOOKUP(A196,'NonXtal_SegEnds_Prot#'!A:AL,34,FALSE)-VLOOKUP(A196,'NonXtal_SegEnds_Prot#'!A:AL,31,FALSE)</f>
        <v>39</v>
      </c>
    </row>
    <row r="197" spans="1:33" x14ac:dyDescent="0.2">
      <c r="A197" s="1" t="s">
        <v>517</v>
      </c>
      <c r="B197" s="1" t="str">
        <f>VLOOKUP(A197,Xtal_Templ!A:B,2,FALSE)</f>
        <v>ox1r_human</v>
      </c>
      <c r="C197" s="5">
        <f>VLOOKUP($B197&amp;"__wt",'Xtal_SegEnds_BW#'!$A:$Z,3,FALSE)</f>
        <v>32</v>
      </c>
      <c r="D197" s="1">
        <f>VLOOKUP($B197&amp;"__wt",'Xtal_SegEnds_BW#'!$A:$Z,4,FALSE)</f>
        <v>60</v>
      </c>
      <c r="E197" s="1">
        <f>VLOOKUP($B197&amp;"__wt",'Xtal_SegEnds_BW#'!$A:$Z,5,FALSE)</f>
        <v>48</v>
      </c>
      <c r="F197" s="1">
        <f>VLOOKUP($B197&amp;"__wt",'Xtal_SegEnds_BW#'!$A:$Z,6,FALSE)</f>
        <v>51</v>
      </c>
      <c r="G197" s="1">
        <v>37</v>
      </c>
      <c r="H197" s="1">
        <f>VLOOKUP($B197&amp;"__wt",'Xtal_SegEnds_BW#'!$A:$Z,8,FALSE)</f>
        <v>67</v>
      </c>
      <c r="I197" s="1">
        <f>VLOOKUP($B197&amp;"__wt",'Xtal_SegEnds_BW#'!$A:$Z,9,FALSE)</f>
        <v>49</v>
      </c>
      <c r="J197" s="1">
        <f>VLOOKUP($B197&amp;"__wt",'Xtal_SegEnds_BW#'!$A:$Z,10,FALSE)</f>
        <v>52</v>
      </c>
      <c r="K197" s="1">
        <v>18</v>
      </c>
      <c r="L197" s="1">
        <f>VLOOKUP($B197&amp;"__wt",'Xtal_SegEnds_BW#'!$A:$Z,12,FALSE)</f>
        <v>56</v>
      </c>
      <c r="M197" s="1">
        <f>VLOOKUP($B197&amp;"__wt",'Xtal_SegEnds_BW#'!$A:$Z,13,FALSE)</f>
        <v>50</v>
      </c>
      <c r="N197" s="1">
        <v>56</v>
      </c>
      <c r="O197" s="1">
        <v>39</v>
      </c>
      <c r="P197" s="1">
        <f>VLOOKUP($B197&amp;"__wt",'Xtal_SegEnds_BW#'!$A:$Z,16,FALSE)</f>
        <v>64</v>
      </c>
      <c r="Q197" s="1">
        <f>VLOOKUP($B197&amp;"__wt",'Xtal_SegEnds_BW#'!$A:$Z,17,FALSE)</f>
        <v>50</v>
      </c>
      <c r="R197" s="1">
        <f>VLOOKUP($B197&amp;"__wt",'Xtal_SegEnds_BW#'!$A:$Z,18,FALSE)</f>
        <v>52</v>
      </c>
      <c r="S197" s="1">
        <f>VLOOKUP($B197&amp;"__wt",'Xtal_SegEnds_BW#'!$A:$Z,19,FALSE)</f>
        <v>32</v>
      </c>
      <c r="T197" s="23">
        <f t="array" ref="T197">INDEX('ICL3'!$G$2:$G$31,MATCH(MIN(ABS(AF197-'ICL3'!$F$2:$F$31)),ABS(AF197-'ICL3'!$F$2:$F$31),0))</f>
        <v>73</v>
      </c>
      <c r="U197" s="1">
        <f t="array" ref="U197">INDEX('ICL3'!$H$2:$H$31,MATCH(MIN(ABS(AF197-'ICL3'!$F$2:$F$31)),ABS(AF197-'ICL3'!$F$2:$F$31),0))</f>
        <v>24</v>
      </c>
      <c r="V197" s="1">
        <v>61</v>
      </c>
      <c r="W197" s="1">
        <v>28</v>
      </c>
      <c r="X197" s="1">
        <f>VLOOKUP($B197&amp;"__wt",'Xtal_SegEnds_BW#'!$A:$Z,24,FALSE)</f>
        <v>56</v>
      </c>
      <c r="Y197" s="1">
        <f>VLOOKUP($B197&amp;"__wt",'Xtal_SegEnds_BW#'!$A:$Z,25,FALSE)</f>
        <v>47</v>
      </c>
      <c r="Z197" s="1">
        <f>VLOOKUP($B197&amp;"__wt",'Xtal_SegEnds_BW#'!$A:$Z,26,FALSE)</f>
        <v>58</v>
      </c>
      <c r="AA197" s="63" t="str">
        <f>VLOOKUP(A197,Classification!A:B,2,FALSE)</f>
        <v>A</v>
      </c>
      <c r="AB197" s="1">
        <f>VLOOKUP(A197,'NonXtal_SegEnds_Prot#'!A:AL,10,FALSE)-VLOOKUP(A197,'NonXtal_SegEnds_Prot#'!A:AL,7,FALSE)</f>
        <v>15</v>
      </c>
      <c r="AC197" s="1">
        <f>VLOOKUP(A197,'NonXtal_SegEnds_Prot#'!A:AL,13,FALSE)-VLOOKUP(A197,'NonXtal_SegEnds_Prot#'!A:AL,10,FALSE)</f>
        <v>20</v>
      </c>
      <c r="AD197" s="1">
        <f>VLOOKUP(A197,'NonXtal_SegEnds_Prot#'!A:AL,16,FALSE)-VLOOKUP(A197,'NonXtal_SegEnds_Prot#'!A:AL,10,FALSE)</f>
        <v>52</v>
      </c>
      <c r="AE197" s="1">
        <f>VLOOKUP(A197,'NonXtal_SegEnds_Prot#'!A:AL,28,FALSE)-VLOOKUP(A197,'NonXtal_SegEnds_Prot#'!A:AL,25,FALSE)</f>
        <v>25</v>
      </c>
      <c r="AF197" s="1">
        <f>VLOOKUP(A197,'NonXtal_SegEnds_Prot#'!A:AL,31,FALSE)-VLOOKUP(A197,'NonXtal_SegEnds_Prot#'!A:AL,28,FALSE)</f>
        <v>58</v>
      </c>
      <c r="AG197" s="1">
        <f>VLOOKUP(A197,'NonXtal_SegEnds_Prot#'!A:AL,34,FALSE)-VLOOKUP(A197,'NonXtal_SegEnds_Prot#'!A:AL,31,FALSE)</f>
        <v>41</v>
      </c>
    </row>
    <row r="198" spans="1:33" x14ac:dyDescent="0.2">
      <c r="A198" s="1" t="s">
        <v>298</v>
      </c>
      <c r="B198" s="1" t="str">
        <f>VLOOKUP(A198,Xtal_Templ!A:B,2,FALSE)</f>
        <v>s1pr1_human</v>
      </c>
      <c r="C198" s="5">
        <f>VLOOKUP($B198&amp;"__wt",'Xtal_SegEnds_BW#'!$A:$Z,3,FALSE)</f>
        <v>29</v>
      </c>
      <c r="D198" s="1">
        <f>VLOOKUP($B198&amp;"__wt",'Xtal_SegEnds_BW#'!$A:$Z,4,FALSE)</f>
        <v>60</v>
      </c>
      <c r="E198" s="1">
        <f>VLOOKUP($B198&amp;"__wt",'Xtal_SegEnds_BW#'!$A:$Z,5,FALSE)</f>
        <v>48</v>
      </c>
      <c r="F198" s="1">
        <f>VLOOKUP($B198&amp;"__wt",'Xtal_SegEnds_BW#'!$A:$Z,6,FALSE)</f>
        <v>51</v>
      </c>
      <c r="G198" s="1">
        <v>37</v>
      </c>
      <c r="H198" s="1">
        <v>63</v>
      </c>
      <c r="I198" s="1">
        <f>VLOOKUP($B198&amp;"__wt",'Xtal_SegEnds_BW#'!$A:$Z,9,FALSE)</f>
        <v>47</v>
      </c>
      <c r="J198" s="1">
        <f>VLOOKUP($B198&amp;"__wt",'Xtal_SegEnds_BW#'!$A:$Z,10,FALSE)</f>
        <v>53</v>
      </c>
      <c r="K198" s="1">
        <v>18</v>
      </c>
      <c r="L198" s="1">
        <f>VLOOKUP($B198&amp;"__wt",'Xtal_SegEnds_BW#'!$A:$Z,12,FALSE)</f>
        <v>56</v>
      </c>
      <c r="M198" s="1">
        <f>VLOOKUP($B198&amp;"__wt",'Xtal_SegEnds_BW#'!$A:$Z,13,FALSE)</f>
        <v>50</v>
      </c>
      <c r="N198" s="1">
        <v>57</v>
      </c>
      <c r="O198" s="1">
        <v>39</v>
      </c>
      <c r="P198" s="1">
        <f>VLOOKUP($B198&amp;"__wt",'Xtal_SegEnds_BW#'!$A:$Z,16,FALSE)</f>
        <v>63</v>
      </c>
      <c r="Q198" s="1" t="str">
        <f>VLOOKUP($B198&amp;"__wt",'Xtal_SegEnds_BW#'!$A:$Z,17,FALSE)</f>
        <v>-</v>
      </c>
      <c r="R198" s="1" t="str">
        <f>VLOOKUP($B198&amp;"__wt",'Xtal_SegEnds_BW#'!$A:$Z,18,FALSE)</f>
        <v>-</v>
      </c>
      <c r="S198" s="1">
        <f>VLOOKUP($B198&amp;"__wt",'Xtal_SegEnds_BW#'!$A:$Z,19,FALSE)</f>
        <v>36</v>
      </c>
      <c r="T198" s="23">
        <f t="array" ref="T198">INDEX('ICL3'!$G$2:$G$31,MATCH(MIN(ABS(AF198-'ICL3'!$F$2:$F$31)),ABS(AF198-'ICL3'!$F$2:$F$31),0))</f>
        <v>73</v>
      </c>
      <c r="U198" s="1">
        <f t="array" ref="U198">INDEX('ICL3'!$H$2:$H$31,MATCH(MIN(ABS(AF198-'ICL3'!$F$2:$F$31)),ABS(AF198-'ICL3'!$F$2:$F$31),0))</f>
        <v>24</v>
      </c>
      <c r="V198" s="1">
        <v>61</v>
      </c>
      <c r="W198" s="1">
        <v>30</v>
      </c>
      <c r="X198" s="9">
        <f>VLOOKUP($B198&amp;"__wt",'Xtal_SegEnds_BW#'!$A:$Z,24,FALSE)</f>
        <v>56</v>
      </c>
      <c r="Y198" s="1">
        <f>VLOOKUP($B198&amp;"__wt",'Xtal_SegEnds_BW#'!$A:$Z,25,FALSE)</f>
        <v>47</v>
      </c>
      <c r="Z198" s="1">
        <f>VLOOKUP($B198&amp;"__wt",'Xtal_SegEnds_BW#'!$A:$Z,26,FALSE)</f>
        <v>59</v>
      </c>
      <c r="AA198" s="63" t="str">
        <f>VLOOKUP(A198,Classification!A:B,2,FALSE)</f>
        <v>A</v>
      </c>
      <c r="AB198" s="1">
        <f>VLOOKUP(A198,'NonXtal_SegEnds_Prot#'!A:AL,10,FALSE)-VLOOKUP(A198,'NonXtal_SegEnds_Prot#'!A:AL,7,FALSE)</f>
        <v>15</v>
      </c>
      <c r="AC198" s="1">
        <f>VLOOKUP(A198,'NonXtal_SegEnds_Prot#'!A:AL,13,FALSE)-VLOOKUP(A198,'NonXtal_SegEnds_Prot#'!A:AL,10,FALSE)</f>
        <v>18</v>
      </c>
      <c r="AD198" s="1">
        <f>VLOOKUP(A198,'NonXtal_SegEnds_Prot#'!A:AL,16,FALSE)-VLOOKUP(A198,'NonXtal_SegEnds_Prot#'!A:AL,10,FALSE)</f>
        <v>51</v>
      </c>
      <c r="AE198" s="1" t="e">
        <f>VLOOKUP(A198,'NonXtal_SegEnds_Prot#'!A:AL,28,FALSE)-VLOOKUP(A198,'NonXtal_SegEnds_Prot#'!A:AL,25,FALSE)</f>
        <v>#VALUE!</v>
      </c>
      <c r="AF198" s="1">
        <f>VLOOKUP(A198,'NonXtal_SegEnds_Prot#'!A:AL,31,FALSE)-VLOOKUP(A198,'NonXtal_SegEnds_Prot#'!A:AL,28,FALSE)</f>
        <v>58</v>
      </c>
      <c r="AG198" s="1">
        <f>VLOOKUP(A198,'NonXtal_SegEnds_Prot#'!A:AL,34,FALSE)-VLOOKUP(A198,'NonXtal_SegEnds_Prot#'!A:AL,31,FALSE)</f>
        <v>37</v>
      </c>
    </row>
    <row r="199" spans="1:33" x14ac:dyDescent="0.2">
      <c r="A199" s="1" t="s">
        <v>333</v>
      </c>
      <c r="B199" s="1" t="str">
        <f>VLOOKUP(A199,Xtal_Templ!A:B,2,FALSE)</f>
        <v>aa2ar_human</v>
      </c>
      <c r="C199" s="5">
        <f>VLOOKUP($B199&amp;"__wt",'Xtal_SegEnds_BW#'!$A:$Z,3,FALSE)</f>
        <v>28</v>
      </c>
      <c r="D199" s="1">
        <f>VLOOKUP($B199&amp;"__wt",'Xtal_SegEnds_BW#'!$A:$Z,4,FALSE)</f>
        <v>60</v>
      </c>
      <c r="E199" s="1">
        <f>VLOOKUP($B199&amp;"__wt",'Xtal_SegEnds_BW#'!$A:$Z,5,FALSE)</f>
        <v>48</v>
      </c>
      <c r="F199" s="1">
        <f>VLOOKUP($B199&amp;"__wt",'Xtal_SegEnds_BW#'!$A:$Z,6,FALSE)</f>
        <v>51</v>
      </c>
      <c r="G199" s="1">
        <v>37</v>
      </c>
      <c r="H199" s="1">
        <v>66</v>
      </c>
      <c r="I199" s="1">
        <f>VLOOKUP($B199&amp;"__wt",'Xtal_SegEnds_BW#'!$A:$Z,9,FALSE)</f>
        <v>50</v>
      </c>
      <c r="J199" s="1">
        <f>VLOOKUP($B199&amp;"__wt",'Xtal_SegEnds_BW#'!$A:$Z,10,FALSE)</f>
        <v>52</v>
      </c>
      <c r="K199" s="1">
        <v>24</v>
      </c>
      <c r="L199" s="1">
        <f>VLOOKUP($B199&amp;"__wt",'Xtal_SegEnds_BW#'!$A:$Z,12,FALSE)</f>
        <v>56</v>
      </c>
      <c r="M199" s="1">
        <f>VLOOKUP($B199&amp;"__wt",'Xtal_SegEnds_BW#'!$A:$Z,13,FALSE)</f>
        <v>50</v>
      </c>
      <c r="N199" s="1">
        <v>57</v>
      </c>
      <c r="O199" s="1">
        <v>39</v>
      </c>
      <c r="P199" s="1">
        <f>VLOOKUP($B199&amp;"__wt",'Xtal_SegEnds_BW#'!$A:$Z,16,FALSE)</f>
        <v>63</v>
      </c>
      <c r="Q199" s="1">
        <f>VLOOKUP($B199&amp;"__wt",'Xtal_SegEnds_BW#'!$A:$Z,17,FALSE)</f>
        <v>50</v>
      </c>
      <c r="R199" s="1">
        <f>VLOOKUP($B199&amp;"__wt",'Xtal_SegEnds_BW#'!$A:$Z,18,FALSE)</f>
        <v>52</v>
      </c>
      <c r="S199" s="1">
        <f>VLOOKUP($B199&amp;"__wt",'Xtal_SegEnds_BW#'!$A:$Z,19,FALSE)</f>
        <v>34</v>
      </c>
      <c r="T199" s="23">
        <f t="array" ref="T199">INDEX('ICL3'!$G$2:$G$31,MATCH(MIN(ABS(AF199-'ICL3'!$F$2:$F$31)),ABS(AF199-'ICL3'!$F$2:$F$31),0))</f>
        <v>74</v>
      </c>
      <c r="U199" s="1">
        <f t="array" ref="U199">INDEX('ICL3'!$H$2:$H$31,MATCH(MIN(ABS(AF199-'ICL3'!$F$2:$F$31)),ABS(AF199-'ICL3'!$F$2:$F$31),0))</f>
        <v>21</v>
      </c>
      <c r="V199" s="1">
        <v>61</v>
      </c>
      <c r="W199" s="1">
        <v>31</v>
      </c>
      <c r="X199" s="1">
        <f>VLOOKUP($B199&amp;"__wt",'Xtal_SegEnds_BW#'!$A:$Z,24,FALSE)</f>
        <v>56</v>
      </c>
      <c r="Y199" s="1">
        <f>VLOOKUP($B199&amp;"__wt",'Xtal_SegEnds_BW#'!$A:$Z,25,FALSE)</f>
        <v>47</v>
      </c>
      <c r="Z199" s="1">
        <f>VLOOKUP($B199&amp;"__wt",'Xtal_SegEnds_BW#'!$A:$Z,26,FALSE)</f>
        <v>69</v>
      </c>
      <c r="AA199" s="63" t="str">
        <f>VLOOKUP(A199,Classification!A:B,2,FALSE)</f>
        <v>A</v>
      </c>
      <c r="AB199" s="1">
        <f>VLOOKUP(A199,'NonXtal_SegEnds_Prot#'!A:AL,10,FALSE)-VLOOKUP(A199,'NonXtal_SegEnds_Prot#'!A:AL,7,FALSE)</f>
        <v>15</v>
      </c>
      <c r="AC199" s="1">
        <f>VLOOKUP(A199,'NonXtal_SegEnds_Prot#'!A:AL,13,FALSE)-VLOOKUP(A199,'NonXtal_SegEnds_Prot#'!A:AL,10,FALSE)</f>
        <v>18</v>
      </c>
      <c r="AD199" s="1">
        <f>VLOOKUP(A199,'NonXtal_SegEnds_Prot#'!A:AL,16,FALSE)-VLOOKUP(A199,'NonXtal_SegEnds_Prot#'!A:AL,10,FALSE)</f>
        <v>50</v>
      </c>
      <c r="AE199" s="1">
        <f>VLOOKUP(A199,'NonXtal_SegEnds_Prot#'!A:AL,28,FALSE)-VLOOKUP(A199,'NonXtal_SegEnds_Prot#'!A:AL,25,FALSE)</f>
        <v>23</v>
      </c>
      <c r="AF199" s="1">
        <f>VLOOKUP(A199,'NonXtal_SegEnds_Prot#'!A:AL,31,FALSE)-VLOOKUP(A199,'NonXtal_SegEnds_Prot#'!A:AL,28,FALSE)</f>
        <v>59</v>
      </c>
      <c r="AG199" s="1">
        <f>VLOOKUP(A199,'NonXtal_SegEnds_Prot#'!A:AL,34,FALSE)-VLOOKUP(A199,'NonXtal_SegEnds_Prot#'!A:AL,31,FALSE)</f>
        <v>37</v>
      </c>
    </row>
    <row r="200" spans="1:33" x14ac:dyDescent="0.2">
      <c r="A200" s="1" t="s">
        <v>377</v>
      </c>
      <c r="B200" s="1" t="str">
        <f>VLOOKUP(A200,Xtal_Templ!A:B,2,FALSE)</f>
        <v>lpar1_human</v>
      </c>
      <c r="C200" s="5">
        <f>VLOOKUP($B200&amp;"__wt",'Xtal_SegEnds_BW#'!$A:$Z,3,FALSE)</f>
        <v>30</v>
      </c>
      <c r="D200" s="1">
        <f>VLOOKUP($B200&amp;"__wt",'Xtal_SegEnds_BW#'!$A:$Z,4,FALSE)</f>
        <v>60</v>
      </c>
      <c r="E200" s="1">
        <f>VLOOKUP($B200&amp;"__wt",'Xtal_SegEnds_BW#'!$A:$Z,5,FALSE)</f>
        <v>48</v>
      </c>
      <c r="F200" s="1">
        <f>VLOOKUP($B200&amp;"__wt",'Xtal_SegEnds_BW#'!$A:$Z,6,FALSE)</f>
        <v>51</v>
      </c>
      <c r="G200" s="1">
        <v>37</v>
      </c>
      <c r="H200" s="1">
        <v>66</v>
      </c>
      <c r="I200" s="1">
        <v>48</v>
      </c>
      <c r="J200" s="1">
        <v>52</v>
      </c>
      <c r="K200" s="1">
        <v>18</v>
      </c>
      <c r="L200" s="1">
        <f>VLOOKUP($B200&amp;"__wt",'Xtal_SegEnds_BW#'!$A:$Z,12,FALSE)</f>
        <v>56</v>
      </c>
      <c r="M200" s="1">
        <f>VLOOKUP($B200&amp;"__wt",'Xtal_SegEnds_BW#'!$A:$Z,13,FALSE)</f>
        <v>50</v>
      </c>
      <c r="N200" s="1">
        <v>57</v>
      </c>
      <c r="O200" s="1">
        <v>39</v>
      </c>
      <c r="P200" s="1">
        <f>VLOOKUP($B200&amp;"__wt",'Xtal_SegEnds_BW#'!$A:$Z,16,FALSE)</f>
        <v>63</v>
      </c>
      <c r="Q200" s="1" t="str">
        <f>VLOOKUP($B200&amp;"__wt",'Xtal_SegEnds_BW#'!$A:$Z,17,FALSE)</f>
        <v>-</v>
      </c>
      <c r="R200" s="1" t="str">
        <f>VLOOKUP($B200&amp;"__wt",'Xtal_SegEnds_BW#'!$A:$Z,18,FALSE)</f>
        <v>-</v>
      </c>
      <c r="S200" s="1">
        <f>VLOOKUP($B200&amp;"__wt",'Xtal_SegEnds_BW#'!$A:$Z,19,FALSE)</f>
        <v>36</v>
      </c>
      <c r="T200" s="23">
        <f t="array" ref="T200">INDEX('ICL3'!$G$2:$G$31,MATCH(MIN(ABS(AF200-'ICL3'!$F$2:$F$31)),ABS(AF200-'ICL3'!$F$2:$F$31),0))</f>
        <v>74</v>
      </c>
      <c r="U200" s="1">
        <f t="array" ref="U200">INDEX('ICL3'!$H$2:$H$31,MATCH(MIN(ABS(AF200-'ICL3'!$F$2:$F$31)),ABS(AF200-'ICL3'!$F$2:$F$31),0))</f>
        <v>21</v>
      </c>
      <c r="V200" s="1">
        <v>61</v>
      </c>
      <c r="W200" s="1">
        <v>31</v>
      </c>
      <c r="X200" s="1">
        <f>VLOOKUP($B200&amp;"__wt",'Xtal_SegEnds_BW#'!$A:$Z,24,FALSE)</f>
        <v>56</v>
      </c>
      <c r="Y200" s="1">
        <f>VLOOKUP($B200&amp;"__wt",'Xtal_SegEnds_BW#'!$A:$Z,25,FALSE)</f>
        <v>47</v>
      </c>
      <c r="Z200" s="1">
        <f>VLOOKUP($B200&amp;"__wt",'Xtal_SegEnds_BW#'!$A:$Z,26,FALSE)</f>
        <v>59</v>
      </c>
      <c r="AA200" s="63" t="str">
        <f>VLOOKUP(A200,Classification!A:B,2,FALSE)</f>
        <v>A</v>
      </c>
      <c r="AB200" s="1">
        <f>VLOOKUP(A200,'NonXtal_SegEnds_Prot#'!A:AL,10,FALSE)-VLOOKUP(A200,'NonXtal_SegEnds_Prot#'!A:AL,7,FALSE)</f>
        <v>16</v>
      </c>
      <c r="AC200" s="1" t="e">
        <f>VLOOKUP(A200,'NonXtal_SegEnds_Prot#'!A:AL,13,FALSE)-VLOOKUP(A200,'NonXtal_SegEnds_Prot#'!A:AL,10,FALSE)</f>
        <v>#VALUE!</v>
      </c>
      <c r="AD200" s="1">
        <f>VLOOKUP(A200,'NonXtal_SegEnds_Prot#'!A:AL,16,FALSE)-VLOOKUP(A200,'NonXtal_SegEnds_Prot#'!A:AL,10,FALSE)</f>
        <v>51</v>
      </c>
      <c r="AE200" s="1" t="e">
        <f>VLOOKUP(A200,'NonXtal_SegEnds_Prot#'!A:AL,28,FALSE)-VLOOKUP(A200,'NonXtal_SegEnds_Prot#'!A:AL,25,FALSE)</f>
        <v>#VALUE!</v>
      </c>
      <c r="AF200" s="1">
        <f>VLOOKUP(A200,'NonXtal_SegEnds_Prot#'!A:AL,31,FALSE)-VLOOKUP(A200,'NonXtal_SegEnds_Prot#'!A:AL,28,FALSE)</f>
        <v>59</v>
      </c>
      <c r="AG200" s="1">
        <f>VLOOKUP(A200,'NonXtal_SegEnds_Prot#'!A:AL,34,FALSE)-VLOOKUP(A200,'NonXtal_SegEnds_Prot#'!A:AL,31,FALSE)</f>
        <v>36</v>
      </c>
    </row>
    <row r="201" spans="1:33" x14ac:dyDescent="0.2">
      <c r="A201" s="1" t="s">
        <v>404</v>
      </c>
      <c r="B201" s="1" t="str">
        <f>VLOOKUP(A201,Xtal_Templ!A:B,2,FALSE)</f>
        <v>oprm_mouse</v>
      </c>
      <c r="C201" s="5">
        <f>VLOOKUP($B201&amp;"__wt",'Xtal_SegEnds_BW#'!$A:$Z,3,FALSE)</f>
        <v>29</v>
      </c>
      <c r="D201" s="1">
        <f>VLOOKUP($B201&amp;"__wt",'Xtal_SegEnds_BW#'!$A:$Z,4,FALSE)</f>
        <v>60</v>
      </c>
      <c r="E201" s="1">
        <f>VLOOKUP($B201&amp;"__wt",'Xtal_SegEnds_BW#'!$A:$Z,5,FALSE)</f>
        <v>48</v>
      </c>
      <c r="F201" s="1">
        <f>VLOOKUP($B201&amp;"__wt",'Xtal_SegEnds_BW#'!$A:$Z,6,FALSE)</f>
        <v>51</v>
      </c>
      <c r="G201" s="1">
        <v>37</v>
      </c>
      <c r="H201" s="1">
        <v>66</v>
      </c>
      <c r="I201" s="1">
        <f>VLOOKUP($B201&amp;"__wt",'Xtal_SegEnds_BW#'!$A:$Z,9,FALSE)</f>
        <v>49</v>
      </c>
      <c r="J201" s="1">
        <f>VLOOKUP($B201&amp;"__wt",'Xtal_SegEnds_BW#'!$A:$Z,10,FALSE)</f>
        <v>52</v>
      </c>
      <c r="K201" s="1">
        <v>18</v>
      </c>
      <c r="L201" s="1">
        <f>VLOOKUP($B201&amp;"__wt",'Xtal_SegEnds_BW#'!$A:$Z,12,FALSE)</f>
        <v>56</v>
      </c>
      <c r="M201" s="1">
        <f>VLOOKUP($B201&amp;"__wt",'Xtal_SegEnds_BW#'!$A:$Z,13,FALSE)</f>
        <v>50</v>
      </c>
      <c r="N201" s="1">
        <v>56</v>
      </c>
      <c r="O201" s="1">
        <v>39</v>
      </c>
      <c r="P201" s="1">
        <f>VLOOKUP($B201&amp;"__wt",'Xtal_SegEnds_BW#'!$A:$Z,16,FALSE)</f>
        <v>64</v>
      </c>
      <c r="Q201" s="1">
        <f>VLOOKUP($B201&amp;"__wt",'Xtal_SegEnds_BW#'!$A:$Z,17,FALSE)</f>
        <v>50</v>
      </c>
      <c r="R201" s="1">
        <f>VLOOKUP($B201&amp;"__wt",'Xtal_SegEnds_BW#'!$A:$Z,18,FALSE)</f>
        <v>52</v>
      </c>
      <c r="S201" s="1">
        <f>VLOOKUP($B201&amp;"__wt",'Xtal_SegEnds_BW#'!$A:$Z,19,FALSE)</f>
        <v>31</v>
      </c>
      <c r="T201" s="23">
        <f t="array" ref="T201">INDEX('ICL3'!$G$2:$G$31,MATCH(MIN(ABS(AF201-'ICL3'!$F$2:$F$31)),ABS(AF201-'ICL3'!$F$2:$F$31),0))</f>
        <v>74</v>
      </c>
      <c r="U201" s="1">
        <f t="array" ref="U201">INDEX('ICL3'!$H$2:$H$31,MATCH(MIN(ABS(AF201-'ICL3'!$F$2:$F$31)),ABS(AF201-'ICL3'!$F$2:$F$31),0))</f>
        <v>21</v>
      </c>
      <c r="V201" s="1">
        <v>61</v>
      </c>
      <c r="W201" s="1">
        <v>28</v>
      </c>
      <c r="X201" s="1">
        <f>VLOOKUP($B201&amp;"__wt",'Xtal_SegEnds_BW#'!$A:$Z,24,FALSE)</f>
        <v>56</v>
      </c>
      <c r="Y201" s="1">
        <f>VLOOKUP($B201&amp;"__wt",'Xtal_SegEnds_BW#'!$A:$Z,25,FALSE)</f>
        <v>47</v>
      </c>
      <c r="Z201" s="1">
        <f>VLOOKUP($B201&amp;"__wt",'Xtal_SegEnds_BW#'!$A:$Z,26,FALSE)</f>
        <v>59</v>
      </c>
      <c r="AA201" s="63" t="str">
        <f>VLOOKUP(A201,Classification!A:B,2,FALSE)</f>
        <v>A</v>
      </c>
      <c r="AB201" s="1">
        <f>VLOOKUP(A201,'NonXtal_SegEnds_Prot#'!A:AL,10,FALSE)-VLOOKUP(A201,'NonXtal_SegEnds_Prot#'!A:AL,7,FALSE)</f>
        <v>15</v>
      </c>
      <c r="AC201" s="1">
        <f>VLOOKUP(A201,'NonXtal_SegEnds_Prot#'!A:AL,13,FALSE)-VLOOKUP(A201,'NonXtal_SegEnds_Prot#'!A:AL,10,FALSE)</f>
        <v>19</v>
      </c>
      <c r="AD201" s="1">
        <f>VLOOKUP(A201,'NonXtal_SegEnds_Prot#'!A:AL,16,FALSE)-VLOOKUP(A201,'NonXtal_SegEnds_Prot#'!A:AL,10,FALSE)</f>
        <v>51</v>
      </c>
      <c r="AE201" s="1">
        <f>VLOOKUP(A201,'NonXtal_SegEnds_Prot#'!A:AL,28,FALSE)-VLOOKUP(A201,'NonXtal_SegEnds_Prot#'!A:AL,25,FALSE)</f>
        <v>23</v>
      </c>
      <c r="AF201" s="1">
        <f>VLOOKUP(A201,'NonXtal_SegEnds_Prot#'!A:AL,31,FALSE)-VLOOKUP(A201,'NonXtal_SegEnds_Prot#'!A:AL,28,FALSE)</f>
        <v>59</v>
      </c>
      <c r="AG201" s="1">
        <f>VLOOKUP(A201,'NonXtal_SegEnds_Prot#'!A:AL,34,FALSE)-VLOOKUP(A201,'NonXtal_SegEnds_Prot#'!A:AL,31,FALSE)</f>
        <v>38</v>
      </c>
    </row>
    <row r="202" spans="1:33" x14ac:dyDescent="0.2">
      <c r="A202" s="1" t="s">
        <v>467</v>
      </c>
      <c r="B202" s="1" t="str">
        <f>VLOOKUP(A202,Xtal_Templ!A:B,2,FALSE)</f>
        <v>drd3_human</v>
      </c>
      <c r="C202" s="5">
        <f>VLOOKUP($B202&amp;"__wt",'Xtal_SegEnds_BW#'!$A:$Z,3,FALSE)</f>
        <v>29</v>
      </c>
      <c r="D202" s="1">
        <f>VLOOKUP($B202&amp;"__wt",'Xtal_SegEnds_BW#'!$A:$Z,4,FALSE)</f>
        <v>60</v>
      </c>
      <c r="E202" s="1">
        <f>VLOOKUP($B202&amp;"__wt",'Xtal_SegEnds_BW#'!$A:$Z,5,FALSE)</f>
        <v>48</v>
      </c>
      <c r="F202" s="1">
        <f>VLOOKUP($B202&amp;"__wt",'Xtal_SegEnds_BW#'!$A:$Z,6,FALSE)</f>
        <v>51</v>
      </c>
      <c r="G202" s="1">
        <v>37</v>
      </c>
      <c r="H202" s="1">
        <f>VLOOKUP($B202&amp;"__wt",'Xtal_SegEnds_BW#'!$A:$Z,8,FALSE)</f>
        <v>67</v>
      </c>
      <c r="I202" s="1">
        <f>VLOOKUP($B202&amp;"__wt",'Xtal_SegEnds_BW#'!$A:$Z,9,FALSE)</f>
        <v>49</v>
      </c>
      <c r="J202" s="1">
        <f>VLOOKUP($B202&amp;"__wt",'Xtal_SegEnds_BW#'!$A:$Z,10,FALSE)</f>
        <v>52</v>
      </c>
      <c r="K202" s="1">
        <v>18</v>
      </c>
      <c r="L202" s="1">
        <f>VLOOKUP($B202&amp;"__wt",'Xtal_SegEnds_BW#'!$A:$Z,12,FALSE)</f>
        <v>56</v>
      </c>
      <c r="M202" s="1">
        <f>VLOOKUP($B202&amp;"__wt",'Xtal_SegEnds_BW#'!$A:$Z,13,FALSE)</f>
        <v>50</v>
      </c>
      <c r="N202" s="1">
        <v>57</v>
      </c>
      <c r="O202" s="1">
        <v>39</v>
      </c>
      <c r="P202" s="1">
        <f>VLOOKUP($B202&amp;"__wt",'Xtal_SegEnds_BW#'!$A:$Z,16,FALSE)</f>
        <v>63</v>
      </c>
      <c r="Q202" s="1">
        <f>VLOOKUP($B202&amp;"__wt",'Xtal_SegEnds_BW#'!$A:$Z,17,FALSE)</f>
        <v>50</v>
      </c>
      <c r="R202" s="1">
        <f>VLOOKUP($B202&amp;"__wt",'Xtal_SegEnds_BW#'!$A:$Z,18,FALSE)</f>
        <v>52</v>
      </c>
      <c r="S202" s="1">
        <v>35</v>
      </c>
      <c r="T202" s="23">
        <f t="array" ref="T202">INDEX('ICL3'!$G$2:$G$31,MATCH(MIN(ABS(AF202-'ICL3'!$F$2:$F$31)),ABS(AF202-'ICL3'!$F$2:$F$31),0))</f>
        <v>74</v>
      </c>
      <c r="U202" s="1">
        <f t="array" ref="U202">INDEX('ICL3'!$H$2:$H$31,MATCH(MIN(ABS(AF202-'ICL3'!$F$2:$F$31)),ABS(AF202-'ICL3'!$F$2:$F$31),0))</f>
        <v>21</v>
      </c>
      <c r="V202" s="1">
        <v>61</v>
      </c>
      <c r="W202" s="1">
        <v>32</v>
      </c>
      <c r="X202" s="1">
        <f>VLOOKUP($B202&amp;"__wt",'Xtal_SegEnds_BW#'!$A:$Z,24,FALSE)</f>
        <v>56</v>
      </c>
      <c r="Y202" s="1">
        <f>VLOOKUP($B202&amp;"__wt",'Xtal_SegEnds_BW#'!$A:$Z,25,FALSE)</f>
        <v>47</v>
      </c>
      <c r="Z202" s="1">
        <f>VLOOKUP($B202&amp;"__wt",'Xtal_SegEnds_BW#'!$A:$Z,26,FALSE)</f>
        <v>59</v>
      </c>
      <c r="AA202" s="63" t="str">
        <f>VLOOKUP(A202,Classification!A:B,2,FALSE)</f>
        <v>A</v>
      </c>
      <c r="AB202" s="1">
        <f>VLOOKUP(A202,'NonXtal_SegEnds_Prot#'!A:AL,10,FALSE)-VLOOKUP(A202,'NonXtal_SegEnds_Prot#'!A:AL,7,FALSE)</f>
        <v>15</v>
      </c>
      <c r="AC202" s="1" t="e">
        <f>VLOOKUP(A202,'NonXtal_SegEnds_Prot#'!A:AL,13,FALSE)-VLOOKUP(A202,'NonXtal_SegEnds_Prot#'!A:AL,10,FALSE)</f>
        <v>#VALUE!</v>
      </c>
      <c r="AD202" s="1">
        <f>VLOOKUP(A202,'NonXtal_SegEnds_Prot#'!A:AL,16,FALSE)-VLOOKUP(A202,'NonXtal_SegEnds_Prot#'!A:AL,10,FALSE)</f>
        <v>61</v>
      </c>
      <c r="AE202" s="1" t="e">
        <f>VLOOKUP(A202,'NonXtal_SegEnds_Prot#'!A:AL,28,FALSE)-VLOOKUP(A202,'NonXtal_SegEnds_Prot#'!A:AL,25,FALSE)</f>
        <v>#VALUE!</v>
      </c>
      <c r="AF202" s="1">
        <f>VLOOKUP(A202,'NonXtal_SegEnds_Prot#'!A:AL,31,FALSE)-VLOOKUP(A202,'NonXtal_SegEnds_Prot#'!A:AL,28,FALSE)</f>
        <v>61</v>
      </c>
      <c r="AG202" s="1">
        <f>VLOOKUP(A202,'NonXtal_SegEnds_Prot#'!A:AL,34,FALSE)-VLOOKUP(A202,'NonXtal_SegEnds_Prot#'!A:AL,31,FALSE)</f>
        <v>34</v>
      </c>
    </row>
    <row r="203" spans="1:33" x14ac:dyDescent="0.2">
      <c r="A203" s="1" t="s">
        <v>476</v>
      </c>
      <c r="B203" s="1" t="str">
        <f>VLOOKUP(A203,Xtal_Templ!A:B,2,FALSE)</f>
        <v>oprx_human</v>
      </c>
      <c r="C203" s="5">
        <f>VLOOKUP($B203&amp;"__wt",'Xtal_SegEnds_BW#'!$A:$Z,3,FALSE)</f>
        <v>29</v>
      </c>
      <c r="D203" s="1">
        <f>VLOOKUP($B203&amp;"__wt",'Xtal_SegEnds_BW#'!$A:$Z,4,FALSE)</f>
        <v>60</v>
      </c>
      <c r="E203" s="1">
        <f>VLOOKUP($B203&amp;"__wt",'Xtal_SegEnds_BW#'!$A:$Z,5,FALSE)</f>
        <v>48</v>
      </c>
      <c r="F203" s="1">
        <f>VLOOKUP($B203&amp;"__wt",'Xtal_SegEnds_BW#'!$A:$Z,6,FALSE)</f>
        <v>51</v>
      </c>
      <c r="G203" s="1">
        <v>37</v>
      </c>
      <c r="H203" s="1">
        <f>VLOOKUP($B203&amp;"__wt",'Xtal_SegEnds_BW#'!$A:$Z,8,FALSE)</f>
        <v>66</v>
      </c>
      <c r="I203" s="1">
        <f>VLOOKUP($B203&amp;"__wt",'Xtal_SegEnds_BW#'!$A:$Z,9,FALSE)</f>
        <v>49</v>
      </c>
      <c r="J203" s="1">
        <f>VLOOKUP($B203&amp;"__wt",'Xtal_SegEnds_BW#'!$A:$Z,10,FALSE)</f>
        <v>52</v>
      </c>
      <c r="K203" s="1">
        <v>18</v>
      </c>
      <c r="L203" s="1">
        <f>VLOOKUP($B203&amp;"__wt",'Xtal_SegEnds_BW#'!$A:$Z,12,FALSE)</f>
        <v>56</v>
      </c>
      <c r="M203" s="1">
        <f>VLOOKUP($B203&amp;"__wt",'Xtal_SegEnds_BW#'!$A:$Z,13,FALSE)</f>
        <v>50</v>
      </c>
      <c r="N203" s="1">
        <v>57</v>
      </c>
      <c r="O203" s="1">
        <v>39</v>
      </c>
      <c r="P203" s="1">
        <f>VLOOKUP($B203&amp;"__wt",'Xtal_SegEnds_BW#'!$A:$Z,16,FALSE)</f>
        <v>64</v>
      </c>
      <c r="Q203" s="1">
        <f>VLOOKUP($B203&amp;"__wt",'Xtal_SegEnds_BW#'!$A:$Z,17,FALSE)</f>
        <v>50</v>
      </c>
      <c r="R203" s="1">
        <f>VLOOKUP($B203&amp;"__wt",'Xtal_SegEnds_BW#'!$A:$Z,18,FALSE)</f>
        <v>52</v>
      </c>
      <c r="S203" s="1">
        <f>VLOOKUP($B203&amp;"__wt",'Xtal_SegEnds_BW#'!$A:$Z,19,FALSE)</f>
        <v>31</v>
      </c>
      <c r="T203" s="23">
        <f t="array" ref="T203">INDEX('ICL3'!$G$2:$G$31,MATCH(MIN(ABS(AF203-'ICL3'!$F$2:$F$31)),ABS(AF203-'ICL3'!$F$2:$F$31),0))</f>
        <v>74</v>
      </c>
      <c r="U203" s="1">
        <f t="array" ref="U203">INDEX('ICL3'!$H$2:$H$31,MATCH(MIN(ABS(AF203-'ICL3'!$F$2:$F$31)),ABS(AF203-'ICL3'!$F$2:$F$31),0))</f>
        <v>21</v>
      </c>
      <c r="V203" s="1">
        <v>61</v>
      </c>
      <c r="W203" s="1">
        <v>28</v>
      </c>
      <c r="X203" s="1">
        <f>VLOOKUP($B203&amp;"__wt",'Xtal_SegEnds_BW#'!$A:$Z,24,FALSE)</f>
        <v>56</v>
      </c>
      <c r="Y203" s="1">
        <f>VLOOKUP($B203&amp;"__wt",'Xtal_SegEnds_BW#'!$A:$Z,25,FALSE)</f>
        <v>47</v>
      </c>
      <c r="Z203" s="1">
        <f>VLOOKUP($B203&amp;"__wt",'Xtal_SegEnds_BW#'!$A:$Z,26,FALSE)</f>
        <v>59</v>
      </c>
      <c r="AA203" s="63" t="str">
        <f>VLOOKUP(A203,Classification!A:B,2,FALSE)</f>
        <v>A</v>
      </c>
      <c r="AB203" s="1">
        <f>VLOOKUP(A203,'NonXtal_SegEnds_Prot#'!A:AL,10,FALSE)-VLOOKUP(A203,'NonXtal_SegEnds_Prot#'!A:AL,7,FALSE)</f>
        <v>15</v>
      </c>
      <c r="AC203" s="1">
        <f>VLOOKUP(A203,'NonXtal_SegEnds_Prot#'!A:AL,13,FALSE)-VLOOKUP(A203,'NonXtal_SegEnds_Prot#'!A:AL,10,FALSE)</f>
        <v>20</v>
      </c>
      <c r="AD203" s="1">
        <f>VLOOKUP(A203,'NonXtal_SegEnds_Prot#'!A:AL,16,FALSE)-VLOOKUP(A203,'NonXtal_SegEnds_Prot#'!A:AL,10,FALSE)</f>
        <v>52</v>
      </c>
      <c r="AE203" s="1">
        <f>VLOOKUP(A203,'NonXtal_SegEnds_Prot#'!A:AL,28,FALSE)-VLOOKUP(A203,'NonXtal_SegEnds_Prot#'!A:AL,25,FALSE)</f>
        <v>25</v>
      </c>
      <c r="AF203" s="1">
        <f>VLOOKUP(A203,'NonXtal_SegEnds_Prot#'!A:AL,31,FALSE)-VLOOKUP(A203,'NonXtal_SegEnds_Prot#'!A:AL,28,FALSE)</f>
        <v>62</v>
      </c>
      <c r="AG203" s="1">
        <f>VLOOKUP(A203,'NonXtal_SegEnds_Prot#'!A:AL,34,FALSE)-VLOOKUP(A203,'NonXtal_SegEnds_Prot#'!A:AL,31,FALSE)</f>
        <v>42</v>
      </c>
    </row>
    <row r="204" spans="1:33" x14ac:dyDescent="0.2">
      <c r="A204" s="1" t="s">
        <v>566</v>
      </c>
      <c r="B204" s="1" t="str">
        <f>VLOOKUP(A204,Xtal_Templ!A:B,2,FALSE)</f>
        <v>ox2r_human</v>
      </c>
      <c r="C204" s="5">
        <f>VLOOKUP($B204&amp;"__wt",'Xtal_SegEnds_BW#'!$A:$Z,3,FALSE)</f>
        <v>31</v>
      </c>
      <c r="D204" s="1">
        <f>VLOOKUP($B204&amp;"__wt",'Xtal_SegEnds_BW#'!$A:$Z,4,FALSE)</f>
        <v>60</v>
      </c>
      <c r="E204" s="1">
        <f>VLOOKUP($B204&amp;"__wt",'Xtal_SegEnds_BW#'!$A:$Z,5,FALSE)</f>
        <v>48</v>
      </c>
      <c r="F204" s="1">
        <f>VLOOKUP($B204&amp;"__wt",'Xtal_SegEnds_BW#'!$A:$Z,6,FALSE)</f>
        <v>51</v>
      </c>
      <c r="G204" s="1">
        <v>37</v>
      </c>
      <c r="H204" s="1">
        <f>VLOOKUP($B204&amp;"__wt",'Xtal_SegEnds_BW#'!$A:$Z,8,FALSE)</f>
        <v>67</v>
      </c>
      <c r="I204" s="1">
        <f>VLOOKUP($B204&amp;"__wt",'Xtal_SegEnds_BW#'!$A:$Z,9,FALSE)</f>
        <v>49</v>
      </c>
      <c r="J204" s="1">
        <f>VLOOKUP($B204&amp;"__wt",'Xtal_SegEnds_BW#'!$A:$Z,10,FALSE)</f>
        <v>52</v>
      </c>
      <c r="K204" s="1">
        <v>18</v>
      </c>
      <c r="L204" s="1">
        <f>VLOOKUP($B204&amp;"__wt",'Xtal_SegEnds_BW#'!$A:$Z,12,FALSE)</f>
        <v>56</v>
      </c>
      <c r="M204" s="1">
        <f>VLOOKUP($B204&amp;"__wt",'Xtal_SegEnds_BW#'!$A:$Z,13,FALSE)</f>
        <v>50</v>
      </c>
      <c r="N204" s="1">
        <v>57</v>
      </c>
      <c r="O204" s="1">
        <v>39</v>
      </c>
      <c r="P204" s="1">
        <f>VLOOKUP($B204&amp;"__wt",'Xtal_SegEnds_BW#'!$A:$Z,16,FALSE)</f>
        <v>64</v>
      </c>
      <c r="Q204" s="1">
        <f>VLOOKUP($B204&amp;"__wt",'Xtal_SegEnds_BW#'!$A:$Z,17,FALSE)</f>
        <v>50</v>
      </c>
      <c r="R204" s="1">
        <f>VLOOKUP($B204&amp;"__wt",'Xtal_SegEnds_BW#'!$A:$Z,18,FALSE)</f>
        <v>52</v>
      </c>
      <c r="S204" s="1">
        <f>VLOOKUP($B204&amp;"__wt",'Xtal_SegEnds_BW#'!$A:$Z,19,FALSE)</f>
        <v>32</v>
      </c>
      <c r="T204" s="23">
        <f t="array" ref="T204">INDEX('ICL3'!$G$2:$G$31,MATCH(MIN(ABS(AF204-'ICL3'!$F$2:$F$31)),ABS(AF204-'ICL3'!$F$2:$F$31),0))</f>
        <v>74</v>
      </c>
      <c r="U204" s="1">
        <f t="array" ref="U204">INDEX('ICL3'!$H$2:$H$31,MATCH(MIN(ABS(AF204-'ICL3'!$F$2:$F$31)),ABS(AF204-'ICL3'!$F$2:$F$31),0))</f>
        <v>21</v>
      </c>
      <c r="V204" s="1">
        <v>61</v>
      </c>
      <c r="W204" s="1">
        <v>28</v>
      </c>
      <c r="X204" s="1">
        <f>VLOOKUP($B204&amp;"__wt",'Xtal_SegEnds_BW#'!$A:$Z,24,FALSE)</f>
        <v>56</v>
      </c>
      <c r="Y204" s="1">
        <f>VLOOKUP($B204&amp;"__wt",'Xtal_SegEnds_BW#'!$A:$Z,25,FALSE)</f>
        <v>47</v>
      </c>
      <c r="Z204" s="1">
        <f>VLOOKUP($B204&amp;"__wt",'Xtal_SegEnds_BW#'!$A:$Z,26,FALSE)</f>
        <v>58</v>
      </c>
      <c r="AA204" s="63" t="str">
        <f>VLOOKUP(A204,Classification!A:B,2,FALSE)</f>
        <v>A</v>
      </c>
      <c r="AB204" s="1">
        <f>VLOOKUP(A204,'NonXtal_SegEnds_Prot#'!A:AL,10,FALSE)-VLOOKUP(A204,'NonXtal_SegEnds_Prot#'!A:AL,7,FALSE)</f>
        <v>15</v>
      </c>
      <c r="AC204" s="1">
        <f>VLOOKUP(A204,'NonXtal_SegEnds_Prot#'!A:AL,13,FALSE)-VLOOKUP(A204,'NonXtal_SegEnds_Prot#'!A:AL,10,FALSE)</f>
        <v>20</v>
      </c>
      <c r="AD204" s="1">
        <f>VLOOKUP(A204,'NonXtal_SegEnds_Prot#'!A:AL,16,FALSE)-VLOOKUP(A204,'NonXtal_SegEnds_Prot#'!A:AL,10,FALSE)</f>
        <v>52</v>
      </c>
      <c r="AE204" s="1">
        <f>VLOOKUP(A204,'NonXtal_SegEnds_Prot#'!A:AL,28,FALSE)-VLOOKUP(A204,'NonXtal_SegEnds_Prot#'!A:AL,25,FALSE)</f>
        <v>25</v>
      </c>
      <c r="AF204" s="1">
        <f>VLOOKUP(A204,'NonXtal_SegEnds_Prot#'!A:AL,31,FALSE)-VLOOKUP(A204,'NonXtal_SegEnds_Prot#'!A:AL,28,FALSE)</f>
        <v>62</v>
      </c>
      <c r="AG204" s="1">
        <f>VLOOKUP(A204,'NonXtal_SegEnds_Prot#'!A:AL,34,FALSE)-VLOOKUP(A204,'NonXtal_SegEnds_Prot#'!A:AL,31,FALSE)</f>
        <v>41</v>
      </c>
    </row>
    <row r="205" spans="1:33" x14ac:dyDescent="0.2">
      <c r="A205" s="1" t="s">
        <v>567</v>
      </c>
      <c r="B205" s="1" t="str">
        <f>VLOOKUP(A205,Xtal_Templ!A:B,2,FALSE)</f>
        <v>agtr1_human</v>
      </c>
      <c r="C205" s="5">
        <f>VLOOKUP($B205&amp;"__wt",'Xtal_SegEnds_BW#'!$A:$Z,3,FALSE)</f>
        <v>30</v>
      </c>
      <c r="D205" s="1">
        <f>VLOOKUP($B205&amp;"__wt",'Xtal_SegEnds_BW#'!$A:$Z,4,FALSE)</f>
        <v>60</v>
      </c>
      <c r="E205" s="1">
        <f>VLOOKUP($B205&amp;"__wt",'Xtal_SegEnds_BW#'!$A:$Z,5,FALSE)</f>
        <v>48</v>
      </c>
      <c r="F205" s="1">
        <f>VLOOKUP($B205&amp;"__wt",'Xtal_SegEnds_BW#'!$A:$Z,6,FALSE)</f>
        <v>51</v>
      </c>
      <c r="G205" s="1">
        <v>37</v>
      </c>
      <c r="H205" s="1">
        <f>VLOOKUP($B205&amp;"__wt",'Xtal_SegEnds_BW#'!$A:$Z,8,FALSE)</f>
        <v>66</v>
      </c>
      <c r="I205" s="1">
        <f>VLOOKUP($B205&amp;"__wt",'Xtal_SegEnds_BW#'!$A:$Z,9,FALSE)</f>
        <v>49</v>
      </c>
      <c r="J205" s="1">
        <f>VLOOKUP($B205&amp;"__wt",'Xtal_SegEnds_BW#'!$A:$Z,10,FALSE)</f>
        <v>52</v>
      </c>
      <c r="K205" s="1">
        <v>18</v>
      </c>
      <c r="L205" s="1">
        <f>VLOOKUP($B205&amp;"__wt",'Xtal_SegEnds_BW#'!$A:$Z,12,FALSE)</f>
        <v>56</v>
      </c>
      <c r="M205" s="1">
        <f>VLOOKUP($B205&amp;"__wt",'Xtal_SegEnds_BW#'!$A:$Z,13,FALSE)</f>
        <v>50</v>
      </c>
      <c r="N205" s="1">
        <v>58</v>
      </c>
      <c r="O205" s="1">
        <v>39</v>
      </c>
      <c r="P205" s="1">
        <f>VLOOKUP($B205&amp;"__wt",'Xtal_SegEnds_BW#'!$A:$Z,16,FALSE)</f>
        <v>64</v>
      </c>
      <c r="Q205" s="1">
        <f>VLOOKUP($B205&amp;"__wt",'Xtal_SegEnds_BW#'!$A:$Z,17,FALSE)</f>
        <v>50</v>
      </c>
      <c r="R205" s="1">
        <f>VLOOKUP($B205&amp;"__wt",'Xtal_SegEnds_BW#'!$A:$Z,18,FALSE)</f>
        <v>52</v>
      </c>
      <c r="S205" s="1">
        <f>VLOOKUP($B205&amp;"__wt",'Xtal_SegEnds_BW#'!$A:$Z,19,FALSE)</f>
        <v>34</v>
      </c>
      <c r="T205" s="23">
        <f t="array" ref="T205">INDEX('ICL3'!$G$2:$G$31,MATCH(MIN(ABS(AF205-'ICL3'!$F$2:$F$31)),ABS(AF205-'ICL3'!$F$2:$F$31),0))</f>
        <v>74</v>
      </c>
      <c r="U205" s="1">
        <f t="array" ref="U205">INDEX('ICL3'!$H$2:$H$31,MATCH(MIN(ABS(AF205-'ICL3'!$F$2:$F$31)),ABS(AF205-'ICL3'!$F$2:$F$31),0))</f>
        <v>21</v>
      </c>
      <c r="V205" s="1">
        <v>64</v>
      </c>
      <c r="W205" s="1">
        <v>24</v>
      </c>
      <c r="X205" s="1">
        <f>VLOOKUP($B205&amp;"__wt",'Xtal_SegEnds_BW#'!$A:$Z,24,FALSE)</f>
        <v>56</v>
      </c>
      <c r="Y205" s="1">
        <f>VLOOKUP($B205&amp;"__wt",'Xtal_SegEnds_BW#'!$A:$Z,25,FALSE)</f>
        <v>47</v>
      </c>
      <c r="Z205" s="1">
        <f>VLOOKUP($B205&amp;"__wt",'Xtal_SegEnds_BW#'!$A:$Z,26,FALSE)</f>
        <v>61</v>
      </c>
      <c r="AA205" s="63" t="str">
        <f>VLOOKUP(A205,Classification!A:B,2,FALSE)</f>
        <v>A</v>
      </c>
      <c r="AB205" s="1">
        <f>VLOOKUP(A205,'NonXtal_SegEnds_Prot#'!A:AL,10,FALSE)-VLOOKUP(A205,'NonXtal_SegEnds_Prot#'!A:AL,7,FALSE)</f>
        <v>16</v>
      </c>
      <c r="AC205" s="1">
        <f>VLOOKUP(A205,'NonXtal_SegEnds_Prot#'!A:AL,13,FALSE)-VLOOKUP(A205,'NonXtal_SegEnds_Prot#'!A:AL,10,FALSE)</f>
        <v>20</v>
      </c>
      <c r="AD205" s="1">
        <f>VLOOKUP(A205,'NonXtal_SegEnds_Prot#'!A:AL,16,FALSE)-VLOOKUP(A205,'NonXtal_SegEnds_Prot#'!A:AL,10,FALSE)</f>
        <v>52</v>
      </c>
      <c r="AE205" s="1">
        <f>VLOOKUP(A205,'NonXtal_SegEnds_Prot#'!A:AL,28,FALSE)-VLOOKUP(A205,'NonXtal_SegEnds_Prot#'!A:AL,25,FALSE)</f>
        <v>32</v>
      </c>
      <c r="AF205" s="1">
        <f>VLOOKUP(A205,'NonXtal_SegEnds_Prot#'!A:AL,31,FALSE)-VLOOKUP(A205,'NonXtal_SegEnds_Prot#'!A:AL,28,FALSE)</f>
        <v>62</v>
      </c>
      <c r="AG205" s="1">
        <f>VLOOKUP(A205,'NonXtal_SegEnds_Prot#'!A:AL,34,FALSE)-VLOOKUP(A205,'NonXtal_SegEnds_Prot#'!A:AL,31,FALSE)</f>
        <v>45</v>
      </c>
    </row>
    <row r="206" spans="1:33" x14ac:dyDescent="0.2">
      <c r="A206" s="1" t="s">
        <v>574</v>
      </c>
      <c r="B206" s="1" t="str">
        <f>VLOOKUP(A206,Xtal_Templ!A:B,2,FALSE)</f>
        <v>s1pr1_human</v>
      </c>
      <c r="C206" s="5">
        <f>VLOOKUP($B206&amp;"__wt",'Xtal_SegEnds_BW#'!$A:$Z,3,FALSE)</f>
        <v>29</v>
      </c>
      <c r="D206" s="1">
        <f>VLOOKUP($B206&amp;"__wt",'Xtal_SegEnds_BW#'!$A:$Z,4,FALSE)</f>
        <v>60</v>
      </c>
      <c r="E206" s="1">
        <f>VLOOKUP($B206&amp;"__wt",'Xtal_SegEnds_BW#'!$A:$Z,5,FALSE)</f>
        <v>48</v>
      </c>
      <c r="F206" s="1">
        <f>VLOOKUP($B206&amp;"__wt",'Xtal_SegEnds_BW#'!$A:$Z,6,FALSE)</f>
        <v>51</v>
      </c>
      <c r="G206" s="1">
        <v>37</v>
      </c>
      <c r="H206" s="1">
        <v>63</v>
      </c>
      <c r="I206" s="1">
        <f>VLOOKUP($B206&amp;"__wt",'Xtal_SegEnds_BW#'!$A:$Z,9,FALSE)</f>
        <v>47</v>
      </c>
      <c r="J206" s="1">
        <f>VLOOKUP($B206&amp;"__wt",'Xtal_SegEnds_BW#'!$A:$Z,10,FALSE)</f>
        <v>53</v>
      </c>
      <c r="K206" s="1">
        <v>18</v>
      </c>
      <c r="L206" s="1">
        <f>VLOOKUP($B206&amp;"__wt",'Xtal_SegEnds_BW#'!$A:$Z,12,FALSE)</f>
        <v>56</v>
      </c>
      <c r="M206" s="1">
        <f>VLOOKUP($B206&amp;"__wt",'Xtal_SegEnds_BW#'!$A:$Z,13,FALSE)</f>
        <v>50</v>
      </c>
      <c r="N206" s="1">
        <v>55</v>
      </c>
      <c r="O206" s="1">
        <v>39</v>
      </c>
      <c r="P206" s="1">
        <f>VLOOKUP($B206&amp;"__wt",'Xtal_SegEnds_BW#'!$A:$Z,16,FALSE)</f>
        <v>63</v>
      </c>
      <c r="Q206" s="1" t="str">
        <f>VLOOKUP($B206&amp;"__wt",'Xtal_SegEnds_BW#'!$A:$Z,17,FALSE)</f>
        <v>-</v>
      </c>
      <c r="R206" s="1" t="str">
        <f>VLOOKUP($B206&amp;"__wt",'Xtal_SegEnds_BW#'!$A:$Z,18,FALSE)</f>
        <v>-</v>
      </c>
      <c r="S206" s="1">
        <f>VLOOKUP($B206&amp;"__wt",'Xtal_SegEnds_BW#'!$A:$Z,19,FALSE)</f>
        <v>36</v>
      </c>
      <c r="T206" s="23">
        <f t="array" ref="T206">INDEX('ICL3'!$G$2:$G$31,MATCH(MIN(ABS(AF206-'ICL3'!$F$2:$F$31)),ABS(AF206-'ICL3'!$F$2:$F$31),0))</f>
        <v>74</v>
      </c>
      <c r="U206" s="1">
        <f t="array" ref="U206">INDEX('ICL3'!$H$2:$H$31,MATCH(MIN(ABS(AF206-'ICL3'!$F$2:$F$31)),ABS(AF206-'ICL3'!$F$2:$F$31),0))</f>
        <v>21</v>
      </c>
      <c r="V206" s="1">
        <v>61</v>
      </c>
      <c r="W206" s="1">
        <v>30</v>
      </c>
      <c r="X206" s="1">
        <f>VLOOKUP($B206&amp;"__wt",'Xtal_SegEnds_BW#'!$A:$Z,24,FALSE)</f>
        <v>56</v>
      </c>
      <c r="Y206" s="1">
        <f>VLOOKUP($B206&amp;"__wt",'Xtal_SegEnds_BW#'!$A:$Z,25,FALSE)</f>
        <v>47</v>
      </c>
      <c r="Z206" s="1">
        <f>VLOOKUP($B206&amp;"__wt",'Xtal_SegEnds_BW#'!$A:$Z,26,FALSE)</f>
        <v>59</v>
      </c>
      <c r="AA206" s="63" t="str">
        <f>VLOOKUP(A206,Classification!A:B,2,FALSE)</f>
        <v>A</v>
      </c>
      <c r="AB206" s="1">
        <f>VLOOKUP(A206,'NonXtal_SegEnds_Prot#'!A:AL,10,FALSE)-VLOOKUP(A206,'NonXtal_SegEnds_Prot#'!A:AL,7,FALSE)</f>
        <v>15</v>
      </c>
      <c r="AC206" s="1">
        <f>VLOOKUP(A206,'NonXtal_SegEnds_Prot#'!A:AL,13,FALSE)-VLOOKUP(A206,'NonXtal_SegEnds_Prot#'!A:AL,10,FALSE)</f>
        <v>18</v>
      </c>
      <c r="AD206" s="1">
        <f>VLOOKUP(A206,'NonXtal_SegEnds_Prot#'!A:AL,16,FALSE)-VLOOKUP(A206,'NonXtal_SegEnds_Prot#'!A:AL,10,FALSE)</f>
        <v>51</v>
      </c>
      <c r="AE206" s="1" t="e">
        <f>VLOOKUP(A206,'NonXtal_SegEnds_Prot#'!A:AL,28,FALSE)-VLOOKUP(A206,'NonXtal_SegEnds_Prot#'!A:AL,25,FALSE)</f>
        <v>#VALUE!</v>
      </c>
      <c r="AF206" s="1">
        <f>VLOOKUP(A206,'NonXtal_SegEnds_Prot#'!A:AL,31,FALSE)-VLOOKUP(A206,'NonXtal_SegEnds_Prot#'!A:AL,28,FALSE)</f>
        <v>62</v>
      </c>
      <c r="AG206" s="1">
        <f>VLOOKUP(A206,'NonXtal_SegEnds_Prot#'!A:AL,34,FALSE)-VLOOKUP(A206,'NonXtal_SegEnds_Prot#'!A:AL,31,FALSE)</f>
        <v>37</v>
      </c>
    </row>
    <row r="207" spans="1:33" x14ac:dyDescent="0.2">
      <c r="A207" s="1" t="s">
        <v>583</v>
      </c>
      <c r="B207" s="1" t="str">
        <f>VLOOKUP(A207,Xtal_Templ!A:B,2,FALSE)</f>
        <v>5ht1b_human</v>
      </c>
      <c r="C207" s="5">
        <f>VLOOKUP($B207&amp;"__wt",'Xtal_SegEnds_BW#'!$A:$Z,3,FALSE)</f>
        <v>29</v>
      </c>
      <c r="D207" s="1">
        <f>VLOOKUP($B207&amp;"__wt",'Xtal_SegEnds_BW#'!$A:$Z,4,FALSE)</f>
        <v>60</v>
      </c>
      <c r="E207" s="1">
        <f>VLOOKUP($B207&amp;"__wt",'Xtal_SegEnds_BW#'!$A:$Z,5,FALSE)</f>
        <v>48</v>
      </c>
      <c r="F207" s="1">
        <f>VLOOKUP($B207&amp;"__wt",'Xtal_SegEnds_BW#'!$A:$Z,6,FALSE)</f>
        <v>51</v>
      </c>
      <c r="G207" s="1">
        <v>37</v>
      </c>
      <c r="H207" s="1">
        <f>VLOOKUP($B207&amp;"__wt",'Xtal_SegEnds_BW#'!$A:$Z,8,FALSE)</f>
        <v>67</v>
      </c>
      <c r="I207" s="1">
        <f>VLOOKUP($B207&amp;"__wt",'Xtal_SegEnds_BW#'!$A:$Z,9,FALSE)</f>
        <v>49</v>
      </c>
      <c r="J207" s="1">
        <f>VLOOKUP($B207&amp;"__wt",'Xtal_SegEnds_BW#'!$A:$Z,10,FALSE)</f>
        <v>52</v>
      </c>
      <c r="K207" s="1">
        <v>18</v>
      </c>
      <c r="L207" s="1">
        <f>VLOOKUP($B207&amp;"__wt",'Xtal_SegEnds_BW#'!$A:$Z,12,FALSE)</f>
        <v>56</v>
      </c>
      <c r="M207" s="1">
        <f>VLOOKUP($B207&amp;"__wt",'Xtal_SegEnds_BW#'!$A:$Z,13,FALSE)</f>
        <v>50</v>
      </c>
      <c r="N207" s="1">
        <v>57</v>
      </c>
      <c r="O207" s="1">
        <v>39</v>
      </c>
      <c r="P207" s="1">
        <f>VLOOKUP($B207&amp;"__wt",'Xtal_SegEnds_BW#'!$A:$Z,16,FALSE)</f>
        <v>63</v>
      </c>
      <c r="Q207" s="1">
        <f>VLOOKUP($B207&amp;"__wt",'Xtal_SegEnds_BW#'!$A:$Z,17,FALSE)</f>
        <v>50</v>
      </c>
      <c r="R207" s="1">
        <f>VLOOKUP($B207&amp;"__wt",'Xtal_SegEnds_BW#'!$A:$Z,18,FALSE)</f>
        <v>52</v>
      </c>
      <c r="S207" s="1">
        <v>35</v>
      </c>
      <c r="T207" s="23">
        <f t="array" ref="T207">INDEX('ICL3'!$G$2:$G$31,MATCH(MIN(ABS(AF207-'ICL3'!$F$2:$F$31)),ABS(AF207-'ICL3'!$F$2:$F$31),0))</f>
        <v>74</v>
      </c>
      <c r="U207" s="1">
        <f t="array" ref="U207">INDEX('ICL3'!$H$2:$H$31,MATCH(MIN(ABS(AF207-'ICL3'!$F$2:$F$31)),ABS(AF207-'ICL3'!$F$2:$F$31),0))</f>
        <v>21</v>
      </c>
      <c r="V207" s="1">
        <v>61</v>
      </c>
      <c r="W207" s="1">
        <v>31</v>
      </c>
      <c r="X207" s="1">
        <f>VLOOKUP($B207&amp;"__wt",'Xtal_SegEnds_BW#'!$A:$Z,24,FALSE)</f>
        <v>56</v>
      </c>
      <c r="Y207" s="1">
        <f>VLOOKUP($B207&amp;"__wt",'Xtal_SegEnds_BW#'!$A:$Z,25,FALSE)</f>
        <v>47</v>
      </c>
      <c r="Z207" s="1">
        <f>VLOOKUP($B207&amp;"__wt",'Xtal_SegEnds_BW#'!$A:$Z,26,FALSE)</f>
        <v>58</v>
      </c>
      <c r="AA207" s="63" t="str">
        <f>VLOOKUP(A207,Classification!A:B,2,FALSE)</f>
        <v>A</v>
      </c>
      <c r="AB207" s="1">
        <f>VLOOKUP(A207,'NonXtal_SegEnds_Prot#'!A:AL,10,FALSE)-VLOOKUP(A207,'NonXtal_SegEnds_Prot#'!A:AL,7,FALSE)</f>
        <v>15</v>
      </c>
      <c r="AC207" s="1">
        <f>VLOOKUP(A207,'NonXtal_SegEnds_Prot#'!A:AL,13,FALSE)-VLOOKUP(A207,'NonXtal_SegEnds_Prot#'!A:AL,10,FALSE)</f>
        <v>20</v>
      </c>
      <c r="AD207" s="1">
        <f>VLOOKUP(A207,'NonXtal_SegEnds_Prot#'!A:AL,16,FALSE)-VLOOKUP(A207,'NonXtal_SegEnds_Prot#'!A:AL,10,FALSE)</f>
        <v>52</v>
      </c>
      <c r="AE207" s="1">
        <f>VLOOKUP(A207,'NonXtal_SegEnds_Prot#'!A:AL,28,FALSE)-VLOOKUP(A207,'NonXtal_SegEnds_Prot#'!A:AL,25,FALSE)</f>
        <v>20</v>
      </c>
      <c r="AF207" s="1">
        <f>VLOOKUP(A207,'NonXtal_SegEnds_Prot#'!A:AL,31,FALSE)-VLOOKUP(A207,'NonXtal_SegEnds_Prot#'!A:AL,28,FALSE)</f>
        <v>62</v>
      </c>
      <c r="AG207" s="1">
        <f>VLOOKUP(A207,'NonXtal_SegEnds_Prot#'!A:AL,34,FALSE)-VLOOKUP(A207,'NonXtal_SegEnds_Prot#'!A:AL,31,FALSE)</f>
        <v>35</v>
      </c>
    </row>
    <row r="208" spans="1:33" x14ac:dyDescent="0.2">
      <c r="A208" s="1" t="s">
        <v>429</v>
      </c>
      <c r="B208" s="1" t="str">
        <f>VLOOKUP(A208,Xtal_Templ!A:B,2,FALSE)</f>
        <v>acm1_human</v>
      </c>
      <c r="C208" s="5">
        <f>VLOOKUP($B208&amp;"__wt",'Xtal_SegEnds_BW#'!$A:$Z,3,FALSE)</f>
        <v>29</v>
      </c>
      <c r="D208" s="1">
        <f>VLOOKUP($B208&amp;"__wt",'Xtal_SegEnds_BW#'!$A:$Z,4,FALSE)</f>
        <v>60</v>
      </c>
      <c r="E208" s="1">
        <f>VLOOKUP($B208&amp;"__wt",'Xtal_SegEnds_BW#'!$A:$Z,5,FALSE)</f>
        <v>48</v>
      </c>
      <c r="F208" s="1">
        <f>VLOOKUP($B208&amp;"__wt",'Xtal_SegEnds_BW#'!$A:$Z,6,FALSE)</f>
        <v>51</v>
      </c>
      <c r="G208" s="1">
        <v>37</v>
      </c>
      <c r="H208" s="1">
        <v>66</v>
      </c>
      <c r="I208" s="1">
        <v>48</v>
      </c>
      <c r="J208" s="1">
        <v>52</v>
      </c>
      <c r="K208" s="1">
        <v>24</v>
      </c>
      <c r="L208" s="1">
        <f>VLOOKUP($B208&amp;"__wt",'Xtal_SegEnds_BW#'!$A:$Z,12,FALSE)</f>
        <v>56</v>
      </c>
      <c r="M208" s="1">
        <f>VLOOKUP($B208&amp;"__wt",'Xtal_SegEnds_BW#'!$A:$Z,13,FALSE)</f>
        <v>50</v>
      </c>
      <c r="N208" s="1">
        <f>VLOOKUP($B208&amp;"__wt",'Xtal_SegEnds_BW#'!$A:$Z,14,FALSE)</f>
        <v>57</v>
      </c>
      <c r="O208" s="1">
        <v>39</v>
      </c>
      <c r="P208" s="1">
        <f>VLOOKUP($B208&amp;"__wt",'Xtal_SegEnds_BW#'!$A:$Z,16,FALSE)</f>
        <v>69</v>
      </c>
      <c r="Q208" s="1">
        <f>VLOOKUP($B208&amp;"__wt",'Xtal_SegEnds_BW#'!$A:$Z,17,FALSE)</f>
        <v>50</v>
      </c>
      <c r="R208" s="1">
        <f>VLOOKUP($B208&amp;"__wt",'Xtal_SegEnds_BW#'!$A:$Z,18,FALSE)</f>
        <v>52</v>
      </c>
      <c r="S208" s="1">
        <v>35</v>
      </c>
      <c r="T208" s="23">
        <f t="array" ref="T208">INDEX('ICL3'!$G$2:$G$31,MATCH(MIN(ABS(AF208-'ICL3'!$F$2:$F$31)),ABS(AF208-'ICL3'!$F$2:$F$31),0))</f>
        <v>74</v>
      </c>
      <c r="U208" s="1">
        <f t="array" ref="U208">INDEX('ICL3'!$H$2:$H$31,MATCH(MIN(ABS(AF208-'ICL3'!$F$2:$F$31)),ABS(AF208-'ICL3'!$F$2:$F$31),0))</f>
        <v>21</v>
      </c>
      <c r="V208" s="1">
        <v>61</v>
      </c>
      <c r="W208" s="1">
        <v>28</v>
      </c>
      <c r="X208" s="1">
        <f>VLOOKUP($B208&amp;"__wt",'Xtal_SegEnds_BW#'!$A:$Z,24,FALSE)</f>
        <v>56</v>
      </c>
      <c r="Y208" s="1">
        <f>VLOOKUP($B208&amp;"__wt",'Xtal_SegEnds_BW#'!$A:$Z,25,FALSE)</f>
        <v>47</v>
      </c>
      <c r="Z208" s="1">
        <f>VLOOKUP($B208&amp;"__wt",'Xtal_SegEnds_BW#'!$A:$Z,26,FALSE)</f>
        <v>59</v>
      </c>
      <c r="AA208" s="63" t="str">
        <f>VLOOKUP(A208,Classification!A:B,2,FALSE)</f>
        <v>A</v>
      </c>
      <c r="AB208" s="1">
        <f>VLOOKUP(A208,'NonXtal_SegEnds_Prot#'!A:AL,10,FALSE)-VLOOKUP(A208,'NonXtal_SegEnds_Prot#'!A:AL,7,FALSE)</f>
        <v>16</v>
      </c>
      <c r="AC208" s="1" t="e">
        <f>VLOOKUP(A208,'NonXtal_SegEnds_Prot#'!A:AL,13,FALSE)-VLOOKUP(A208,'NonXtal_SegEnds_Prot#'!A:AL,10,FALSE)</f>
        <v>#VALUE!</v>
      </c>
      <c r="AD208" s="1">
        <f>VLOOKUP(A208,'NonXtal_SegEnds_Prot#'!A:AL,16,FALSE)-VLOOKUP(A208,'NonXtal_SegEnds_Prot#'!A:AL,10,FALSE)</f>
        <v>49</v>
      </c>
      <c r="AE208" s="1">
        <f>VLOOKUP(A208,'NonXtal_SegEnds_Prot#'!A:AL,28,FALSE)-VLOOKUP(A208,'NonXtal_SegEnds_Prot#'!A:AL,25,FALSE)</f>
        <v>21</v>
      </c>
      <c r="AF208" s="1">
        <f>VLOOKUP(A208,'NonXtal_SegEnds_Prot#'!A:AL,31,FALSE)-VLOOKUP(A208,'NonXtal_SegEnds_Prot#'!A:AL,28,FALSE)</f>
        <v>63</v>
      </c>
      <c r="AG208" s="1">
        <f>VLOOKUP(A208,'NonXtal_SegEnds_Prot#'!A:AL,34,FALSE)-VLOOKUP(A208,'NonXtal_SegEnds_Prot#'!A:AL,31,FALSE)</f>
        <v>38</v>
      </c>
    </row>
    <row r="209" spans="1:33" x14ac:dyDescent="0.2">
      <c r="A209" s="1" t="s">
        <v>407</v>
      </c>
      <c r="B209" s="1" t="str">
        <f>VLOOKUP(A209,Xtal_Templ!A:B,2,FALSE)</f>
        <v>s1pr1_human</v>
      </c>
      <c r="C209" s="5">
        <f>VLOOKUP($B209&amp;"__wt",'Xtal_SegEnds_BW#'!$A:$Z,3,FALSE)</f>
        <v>29</v>
      </c>
      <c r="D209" s="1">
        <f>VLOOKUP($B209&amp;"__wt",'Xtal_SegEnds_BW#'!$A:$Z,4,FALSE)</f>
        <v>60</v>
      </c>
      <c r="E209" s="1">
        <f>VLOOKUP($B209&amp;"__wt",'Xtal_SegEnds_BW#'!$A:$Z,5,FALSE)</f>
        <v>48</v>
      </c>
      <c r="F209" s="1">
        <f>VLOOKUP($B209&amp;"__wt",'Xtal_SegEnds_BW#'!$A:$Z,6,FALSE)</f>
        <v>51</v>
      </c>
      <c r="G209" s="1">
        <v>37</v>
      </c>
      <c r="H209" s="1">
        <f>VLOOKUP($B209&amp;"__wt",'Xtal_SegEnds_BW#'!$A:$Z,8,FALSE)</f>
        <v>63</v>
      </c>
      <c r="I209" s="1">
        <f>VLOOKUP($B209&amp;"__wt",'Xtal_SegEnds_BW#'!$A:$Z,9,FALSE)</f>
        <v>47</v>
      </c>
      <c r="J209" s="1">
        <f>VLOOKUP($B209&amp;"__wt",'Xtal_SegEnds_BW#'!$A:$Z,10,FALSE)</f>
        <v>53</v>
      </c>
      <c r="K209" s="1">
        <v>18</v>
      </c>
      <c r="L209" s="1">
        <f>VLOOKUP($B209&amp;"__wt",'Xtal_SegEnds_BW#'!$A:$Z,12,FALSE)</f>
        <v>56</v>
      </c>
      <c r="M209" s="1">
        <f>VLOOKUP($B209&amp;"__wt",'Xtal_SegEnds_BW#'!$A:$Z,13,FALSE)</f>
        <v>50</v>
      </c>
      <c r="N209" s="1">
        <v>57</v>
      </c>
      <c r="O209" s="1">
        <v>39</v>
      </c>
      <c r="P209" s="1">
        <f>VLOOKUP($B209&amp;"__wt",'Xtal_SegEnds_BW#'!$A:$Z,16,FALSE)</f>
        <v>63</v>
      </c>
      <c r="Q209" s="1" t="str">
        <f>VLOOKUP($B209&amp;"__wt",'Xtal_SegEnds_BW#'!$A:$Z,17,FALSE)</f>
        <v>-</v>
      </c>
      <c r="R209" s="1" t="str">
        <f>VLOOKUP($B209&amp;"__wt",'Xtal_SegEnds_BW#'!$A:$Z,18,FALSE)</f>
        <v>-</v>
      </c>
      <c r="S209" s="1">
        <v>35</v>
      </c>
      <c r="T209" s="23">
        <f t="array" ref="T209">INDEX('ICL3'!$G$2:$G$31,MATCH(MIN(ABS(AF209-'ICL3'!$F$2:$F$31)),ABS(AF209-'ICL3'!$F$2:$F$31),0))</f>
        <v>74</v>
      </c>
      <c r="U209" s="1">
        <f t="array" ref="U209">INDEX('ICL3'!$H$2:$H$31,MATCH(MIN(ABS(AF209-'ICL3'!$F$2:$F$31)),ABS(AF209-'ICL3'!$F$2:$F$31),0))</f>
        <v>21</v>
      </c>
      <c r="V209" s="1">
        <v>61</v>
      </c>
      <c r="W209" s="1">
        <v>31</v>
      </c>
      <c r="X209" s="1">
        <f>VLOOKUP($B209&amp;"__wt",'Xtal_SegEnds_BW#'!$A:$Z,24,FALSE)</f>
        <v>56</v>
      </c>
      <c r="Y209" s="1">
        <f>VLOOKUP($B209&amp;"__wt",'Xtal_SegEnds_BW#'!$A:$Z,25,FALSE)</f>
        <v>47</v>
      </c>
      <c r="Z209" s="1">
        <f>VLOOKUP($B209&amp;"__wt",'Xtal_SegEnds_BW#'!$A:$Z,26,FALSE)</f>
        <v>59</v>
      </c>
      <c r="AA209" s="63" t="str">
        <f>VLOOKUP(A209,Classification!A:B,2,FALSE)</f>
        <v>A</v>
      </c>
      <c r="AB209" s="1" t="e">
        <f>VLOOKUP(A209,'NonXtal_SegEnds_Prot#'!A:AL,10,FALSE)-VLOOKUP(A209,'NonXtal_SegEnds_Prot#'!A:AL,7,FALSE)</f>
        <v>#VALUE!</v>
      </c>
      <c r="AC209" s="1" t="e">
        <f>VLOOKUP(A209,'NonXtal_SegEnds_Prot#'!A:AL,13,FALSE)-VLOOKUP(A209,'NonXtal_SegEnds_Prot#'!A:AL,10,FALSE)</f>
        <v>#VALUE!</v>
      </c>
      <c r="AD209" s="1">
        <f>VLOOKUP(A209,'NonXtal_SegEnds_Prot#'!A:AL,16,FALSE)-VLOOKUP(A209,'NonXtal_SegEnds_Prot#'!A:AL,10,FALSE)</f>
        <v>52</v>
      </c>
      <c r="AE209" s="1">
        <f>VLOOKUP(A209,'NonXtal_SegEnds_Prot#'!A:AL,28,FALSE)-VLOOKUP(A209,'NonXtal_SegEnds_Prot#'!A:AL,25,FALSE)</f>
        <v>21</v>
      </c>
      <c r="AF209" s="1">
        <f>VLOOKUP(A209,'NonXtal_SegEnds_Prot#'!A:AL,31,FALSE)-VLOOKUP(A209,'NonXtal_SegEnds_Prot#'!A:AL,28,FALSE)</f>
        <v>64</v>
      </c>
      <c r="AG209" s="1">
        <f>VLOOKUP(A209,'NonXtal_SegEnds_Prot#'!A:AL,34,FALSE)-VLOOKUP(A209,'NonXtal_SegEnds_Prot#'!A:AL,31,FALSE)</f>
        <v>36</v>
      </c>
    </row>
    <row r="210" spans="1:33" x14ac:dyDescent="0.2">
      <c r="A210" s="1" t="s">
        <v>426</v>
      </c>
      <c r="B210" s="1" t="str">
        <f>VLOOKUP(A210,Xtal_Templ!A:B,2,FALSE)</f>
        <v>ox1r_human</v>
      </c>
      <c r="C210" s="5">
        <f>VLOOKUP($B210&amp;"__wt",'Xtal_SegEnds_BW#'!$A:$Z,3,FALSE)</f>
        <v>32</v>
      </c>
      <c r="D210" s="1">
        <f>VLOOKUP($B210&amp;"__wt",'Xtal_SegEnds_BW#'!$A:$Z,4,FALSE)</f>
        <v>60</v>
      </c>
      <c r="E210" s="1">
        <f>VLOOKUP($B210&amp;"__wt",'Xtal_SegEnds_BW#'!$A:$Z,5,FALSE)</f>
        <v>48</v>
      </c>
      <c r="F210" s="1">
        <f>VLOOKUP($B210&amp;"__wt",'Xtal_SegEnds_BW#'!$A:$Z,6,FALSE)</f>
        <v>51</v>
      </c>
      <c r="G210" s="1">
        <v>37</v>
      </c>
      <c r="H210" s="1">
        <f>VLOOKUP($B210&amp;"__wt",'Xtal_SegEnds_BW#'!$A:$Z,8,FALSE)</f>
        <v>67</v>
      </c>
      <c r="I210" s="1">
        <f>VLOOKUP($B210&amp;"__wt",'Xtal_SegEnds_BW#'!$A:$Z,9,FALSE)</f>
        <v>49</v>
      </c>
      <c r="J210" s="1">
        <f>VLOOKUP($B210&amp;"__wt",'Xtal_SegEnds_BW#'!$A:$Z,10,FALSE)</f>
        <v>52</v>
      </c>
      <c r="K210" s="1">
        <v>18</v>
      </c>
      <c r="L210" s="1">
        <f>VLOOKUP($B210&amp;"__wt",'Xtal_SegEnds_BW#'!$A:$Z,12,FALSE)</f>
        <v>56</v>
      </c>
      <c r="M210" s="1">
        <f>VLOOKUP($B210&amp;"__wt",'Xtal_SegEnds_BW#'!$A:$Z,13,FALSE)</f>
        <v>50</v>
      </c>
      <c r="N210" s="1">
        <v>56</v>
      </c>
      <c r="O210" s="1">
        <v>39</v>
      </c>
      <c r="P210" s="1">
        <f>VLOOKUP($B210&amp;"__wt",'Xtal_SegEnds_BW#'!$A:$Z,16,FALSE)</f>
        <v>64</v>
      </c>
      <c r="Q210" s="1">
        <f>VLOOKUP($B210&amp;"__wt",'Xtal_SegEnds_BW#'!$A:$Z,17,FALSE)</f>
        <v>50</v>
      </c>
      <c r="R210" s="1">
        <f>VLOOKUP($B210&amp;"__wt",'Xtal_SegEnds_BW#'!$A:$Z,18,FALSE)</f>
        <v>52</v>
      </c>
      <c r="S210" s="1">
        <f>VLOOKUP($B210&amp;"__wt",'Xtal_SegEnds_BW#'!$A:$Z,19,FALSE)</f>
        <v>32</v>
      </c>
      <c r="T210" s="23">
        <f t="array" ref="T210">INDEX('ICL3'!$G$2:$G$31,MATCH(MIN(ABS(AF210-'ICL3'!$F$2:$F$31)),ABS(AF210-'ICL3'!$F$2:$F$31),0))</f>
        <v>74</v>
      </c>
      <c r="U210" s="1">
        <f t="array" ref="U210">INDEX('ICL3'!$H$2:$H$31,MATCH(MIN(ABS(AF210-'ICL3'!$F$2:$F$31)),ABS(AF210-'ICL3'!$F$2:$F$31),0))</f>
        <v>21</v>
      </c>
      <c r="V210" s="1">
        <v>61</v>
      </c>
      <c r="W210" s="1">
        <v>31</v>
      </c>
      <c r="X210" s="1">
        <f>VLOOKUP($B210&amp;"__wt",'Xtal_SegEnds_BW#'!$A:$Z,24,FALSE)</f>
        <v>56</v>
      </c>
      <c r="Y210" s="1">
        <f>VLOOKUP($B210&amp;"__wt",'Xtal_SegEnds_BW#'!$A:$Z,25,FALSE)</f>
        <v>47</v>
      </c>
      <c r="Z210" s="1">
        <f>VLOOKUP($B210&amp;"__wt",'Xtal_SegEnds_BW#'!$A:$Z,26,FALSE)</f>
        <v>58</v>
      </c>
      <c r="AA210" s="63" t="str">
        <f>VLOOKUP(A210,Classification!A:B,2,FALSE)</f>
        <v>A</v>
      </c>
      <c r="AB210" s="1">
        <f>VLOOKUP(A210,'NonXtal_SegEnds_Prot#'!A:AL,10,FALSE)-VLOOKUP(A210,'NonXtal_SegEnds_Prot#'!A:AL,7,FALSE)</f>
        <v>15</v>
      </c>
      <c r="AC210" s="1">
        <f>VLOOKUP(A210,'NonXtal_SegEnds_Prot#'!A:AL,13,FALSE)-VLOOKUP(A210,'NonXtal_SegEnds_Prot#'!A:AL,10,FALSE)</f>
        <v>22</v>
      </c>
      <c r="AD210" s="1">
        <f>VLOOKUP(A210,'NonXtal_SegEnds_Prot#'!A:AL,16,FALSE)-VLOOKUP(A210,'NonXtal_SegEnds_Prot#'!A:AL,10,FALSE)</f>
        <v>55</v>
      </c>
      <c r="AE210" s="1">
        <f>VLOOKUP(A210,'NonXtal_SegEnds_Prot#'!A:AL,28,FALSE)-VLOOKUP(A210,'NonXtal_SegEnds_Prot#'!A:AL,25,FALSE)</f>
        <v>25</v>
      </c>
      <c r="AF210" s="1">
        <f>VLOOKUP(A210,'NonXtal_SegEnds_Prot#'!A:AL,31,FALSE)-VLOOKUP(A210,'NonXtal_SegEnds_Prot#'!A:AL,28,FALSE)</f>
        <v>64</v>
      </c>
      <c r="AG210" s="1">
        <f>VLOOKUP(A210,'NonXtal_SegEnds_Prot#'!A:AL,34,FALSE)-VLOOKUP(A210,'NonXtal_SegEnds_Prot#'!A:AL,31,FALSE)</f>
        <v>36</v>
      </c>
    </row>
    <row r="211" spans="1:33" x14ac:dyDescent="0.2">
      <c r="A211" s="1" t="s">
        <v>527</v>
      </c>
      <c r="B211" s="1" t="str">
        <f>VLOOKUP(A211,Xtal_Templ!A:B,2,FALSE)</f>
        <v>opsd_todpa</v>
      </c>
      <c r="C211" s="5">
        <f>VLOOKUP($B211&amp;"__wt",'Xtal_SegEnds_BW#'!$A:$Z,3,FALSE)</f>
        <v>29</v>
      </c>
      <c r="D211" s="1">
        <f>VLOOKUP($B211&amp;"__wt",'Xtal_SegEnds_BW#'!$A:$Z,4,FALSE)</f>
        <v>60</v>
      </c>
      <c r="E211" s="1">
        <f>VLOOKUP($B211&amp;"__wt",'Xtal_SegEnds_BW#'!$A:$Z,5,FALSE)</f>
        <v>48</v>
      </c>
      <c r="F211" s="1">
        <f>VLOOKUP($B211&amp;"__wt",'Xtal_SegEnds_BW#'!$A:$Z,6,FALSE)</f>
        <v>51</v>
      </c>
      <c r="G211" s="1">
        <v>37</v>
      </c>
      <c r="H211" s="1">
        <f>VLOOKUP($B211&amp;"__wt",'Xtal_SegEnds_BW#'!$A:$Z,8,FALSE)</f>
        <v>69</v>
      </c>
      <c r="I211" s="1">
        <f>VLOOKUP($B211&amp;"__wt",'Xtal_SegEnds_BW#'!$A:$Z,9,FALSE)</f>
        <v>49</v>
      </c>
      <c r="J211" s="1">
        <f>VLOOKUP($B211&amp;"__wt",'Xtal_SegEnds_BW#'!$A:$Z,10,FALSE)</f>
        <v>52</v>
      </c>
      <c r="K211" s="1">
        <v>18</v>
      </c>
      <c r="L211" s="1">
        <f>VLOOKUP($B211&amp;"__wt",'Xtal_SegEnds_BW#'!$A:$Z,12,FALSE)</f>
        <v>56</v>
      </c>
      <c r="M211" s="1">
        <f>VLOOKUP($B211&amp;"__wt",'Xtal_SegEnds_BW#'!$A:$Z,13,FALSE)</f>
        <v>50</v>
      </c>
      <c r="N211" s="1">
        <v>57</v>
      </c>
      <c r="O211" s="1">
        <v>39</v>
      </c>
      <c r="P211" s="1">
        <f>VLOOKUP($B211&amp;"__wt",'Xtal_SegEnds_BW#'!$A:$Z,16,FALSE)</f>
        <v>62</v>
      </c>
      <c r="Q211" s="1">
        <f>VLOOKUP($B211&amp;"__wt",'Xtal_SegEnds_BW#'!$A:$Z,17,FALSE)</f>
        <v>50</v>
      </c>
      <c r="R211" s="1">
        <f>VLOOKUP($B211&amp;"__wt",'Xtal_SegEnds_BW#'!$A:$Z,18,FALSE)</f>
        <v>52</v>
      </c>
      <c r="S211" s="1">
        <f>VLOOKUP($B211&amp;"__wt",'Xtal_SegEnds_BW#'!$A:$Z,19,FALSE)</f>
        <v>32</v>
      </c>
      <c r="T211" s="23">
        <f t="array" ref="T211">INDEX('ICL3'!$G$2:$G$31,MATCH(MIN(ABS(AF211-'ICL3'!$F$2:$F$31)),ABS(AF211-'ICL3'!$F$2:$F$31),0))</f>
        <v>74</v>
      </c>
      <c r="U211" s="1">
        <f t="array" ref="U211">INDEX('ICL3'!$H$2:$H$31,MATCH(MIN(ABS(AF211-'ICL3'!$F$2:$F$31)),ABS(AF211-'ICL3'!$F$2:$F$31),0))</f>
        <v>21</v>
      </c>
      <c r="V211" s="1">
        <v>61</v>
      </c>
      <c r="W211" s="1">
        <v>31</v>
      </c>
      <c r="X211" s="1">
        <f>VLOOKUP($B211&amp;"__wt",'Xtal_SegEnds_BW#'!$A:$Z,24,FALSE)</f>
        <v>56</v>
      </c>
      <c r="Y211" s="1">
        <f>VLOOKUP($B211&amp;"__wt",'Xtal_SegEnds_BW#'!$A:$Z,25,FALSE)</f>
        <v>47</v>
      </c>
      <c r="Z211" s="1">
        <f>VLOOKUP($B211&amp;"__wt",'Xtal_SegEnds_BW#'!$A:$Z,26,FALSE)</f>
        <v>58</v>
      </c>
      <c r="AA211" s="63" t="str">
        <f>VLOOKUP(A211,Classification!A:B,2,FALSE)</f>
        <v>A</v>
      </c>
      <c r="AB211" s="1">
        <f>VLOOKUP(A211,'NonXtal_SegEnds_Prot#'!A:AL,10,FALSE)-VLOOKUP(A211,'NonXtal_SegEnds_Prot#'!A:AL,7,FALSE)</f>
        <v>15</v>
      </c>
      <c r="AC211" s="1">
        <f>VLOOKUP(A211,'NonXtal_SegEnds_Prot#'!A:AL,13,FALSE)-VLOOKUP(A211,'NonXtal_SegEnds_Prot#'!A:AL,10,FALSE)</f>
        <v>20</v>
      </c>
      <c r="AD211" s="1">
        <f>VLOOKUP(A211,'NonXtal_SegEnds_Prot#'!A:AL,16,FALSE)-VLOOKUP(A211,'NonXtal_SegEnds_Prot#'!A:AL,10,FALSE)</f>
        <v>52</v>
      </c>
      <c r="AE211" s="1">
        <f>VLOOKUP(A211,'NonXtal_SegEnds_Prot#'!A:AL,28,FALSE)-VLOOKUP(A211,'NonXtal_SegEnds_Prot#'!A:AL,25,FALSE)</f>
        <v>26</v>
      </c>
      <c r="AF211" s="1">
        <f>VLOOKUP(A211,'NonXtal_SegEnds_Prot#'!A:AL,31,FALSE)-VLOOKUP(A211,'NonXtal_SegEnds_Prot#'!A:AL,28,FALSE)</f>
        <v>64</v>
      </c>
      <c r="AG211" s="1">
        <f>VLOOKUP(A211,'NonXtal_SegEnds_Prot#'!A:AL,34,FALSE)-VLOOKUP(A211,'NonXtal_SegEnds_Prot#'!A:AL,31,FALSE)</f>
        <v>36</v>
      </c>
    </row>
    <row r="212" spans="1:33" x14ac:dyDescent="0.2">
      <c r="A212" s="1" t="s">
        <v>1118</v>
      </c>
      <c r="B212" s="1" t="str">
        <f>VLOOKUP(A212,Xtal_Templ!A:B,2,FALSE)</f>
        <v>opsd_todpa</v>
      </c>
      <c r="C212" s="5">
        <f>VLOOKUP($B212&amp;"__wt",'Xtal_SegEnds_BW#'!$A:$Z,3,FALSE)</f>
        <v>29</v>
      </c>
      <c r="D212" s="1">
        <f>VLOOKUP($B212&amp;"__wt",'Xtal_SegEnds_BW#'!$A:$Z,4,FALSE)</f>
        <v>60</v>
      </c>
      <c r="E212" s="1">
        <f>VLOOKUP($B212&amp;"__wt",'Xtal_SegEnds_BW#'!$A:$Z,5,FALSE)</f>
        <v>48</v>
      </c>
      <c r="F212" s="1">
        <f>VLOOKUP($B212&amp;"__wt",'Xtal_SegEnds_BW#'!$A:$Z,6,FALSE)</f>
        <v>51</v>
      </c>
      <c r="G212" s="1">
        <v>37</v>
      </c>
      <c r="H212" s="1">
        <f>VLOOKUP($B212&amp;"__wt",'Xtal_SegEnds_BW#'!$A:$Z,8,FALSE)</f>
        <v>69</v>
      </c>
      <c r="I212" s="1">
        <f>VLOOKUP($B212&amp;"__wt",'Xtal_SegEnds_BW#'!$A:$Z,9,FALSE)</f>
        <v>49</v>
      </c>
      <c r="J212" s="1">
        <f>VLOOKUP($B212&amp;"__wt",'Xtal_SegEnds_BW#'!$A:$Z,10,FALSE)</f>
        <v>52</v>
      </c>
      <c r="K212" s="1">
        <v>18</v>
      </c>
      <c r="L212" s="1">
        <f>VLOOKUP($B212&amp;"__wt",'Xtal_SegEnds_BW#'!$A:$Z,12,FALSE)</f>
        <v>56</v>
      </c>
      <c r="M212" s="1">
        <f>VLOOKUP($B212&amp;"__wt",'Xtal_SegEnds_BW#'!$A:$Z,13,FALSE)</f>
        <v>50</v>
      </c>
      <c r="N212" s="1">
        <v>57</v>
      </c>
      <c r="O212" s="1">
        <v>39</v>
      </c>
      <c r="P212" s="1">
        <f>VLOOKUP($B212&amp;"__wt",'Xtal_SegEnds_BW#'!$A:$Z,16,FALSE)</f>
        <v>62</v>
      </c>
      <c r="Q212" s="1">
        <f>VLOOKUP($B212&amp;"__wt",'Xtal_SegEnds_BW#'!$A:$Z,17,FALSE)</f>
        <v>50</v>
      </c>
      <c r="R212" s="1">
        <f>VLOOKUP($B212&amp;"__wt",'Xtal_SegEnds_BW#'!$A:$Z,18,FALSE)</f>
        <v>52</v>
      </c>
      <c r="S212" s="1">
        <f>VLOOKUP($B212&amp;"__wt",'Xtal_SegEnds_BW#'!$A:$Z,19,FALSE)</f>
        <v>32</v>
      </c>
      <c r="T212" s="23">
        <f t="array" ref="T212">INDEX('ICL3'!$G$2:$G$31,MATCH(MIN(ABS(AF212-'ICL3'!$F$2:$F$31)),ABS(AF212-'ICL3'!$F$2:$F$31),0))</f>
        <v>74</v>
      </c>
      <c r="U212" s="1">
        <f t="array" ref="U212">INDEX('ICL3'!$H$2:$H$31,MATCH(MIN(ABS(AF212-'ICL3'!$F$2:$F$31)),ABS(AF212-'ICL3'!$F$2:$F$31),0))</f>
        <v>21</v>
      </c>
      <c r="V212" s="1">
        <v>61</v>
      </c>
      <c r="W212" s="1">
        <v>31</v>
      </c>
      <c r="X212" s="1">
        <f>VLOOKUP($B212&amp;"__wt",'Xtal_SegEnds_BW#'!$A:$Z,24,FALSE)</f>
        <v>56</v>
      </c>
      <c r="Y212" s="1">
        <f>VLOOKUP($B212&amp;"__wt",'Xtal_SegEnds_BW#'!$A:$Z,25,FALSE)</f>
        <v>47</v>
      </c>
      <c r="Z212" s="1">
        <f>VLOOKUP($B212&amp;"__wt",'Xtal_SegEnds_BW#'!$A:$Z,26,FALSE)</f>
        <v>58</v>
      </c>
      <c r="AA212" s="63" t="str">
        <f>VLOOKUP(A212,Classification!A:B,2,FALSE)</f>
        <v>A</v>
      </c>
      <c r="AB212" s="1">
        <f>VLOOKUP(A212,'NonXtal_SegEnds_Prot#'!A:AL,10,FALSE)-VLOOKUP(A212,'NonXtal_SegEnds_Prot#'!A:AL,7,FALSE)</f>
        <v>15</v>
      </c>
      <c r="AC212" s="1">
        <f>VLOOKUP(A212,'NonXtal_SegEnds_Prot#'!A:AL,13,FALSE)-VLOOKUP(A212,'NonXtal_SegEnds_Prot#'!A:AL,10,FALSE)</f>
        <v>21</v>
      </c>
      <c r="AD212" s="1">
        <f>VLOOKUP(A212,'NonXtal_SegEnds_Prot#'!A:AL,16,FALSE)-VLOOKUP(A212,'NonXtal_SegEnds_Prot#'!A:AL,10,FALSE)</f>
        <v>53</v>
      </c>
      <c r="AE212" s="1">
        <f>VLOOKUP(A212,'NonXtal_SegEnds_Prot#'!A:AL,28,FALSE)-VLOOKUP(A212,'NonXtal_SegEnds_Prot#'!A:AL,25,FALSE)</f>
        <v>26</v>
      </c>
      <c r="AF212" s="1">
        <f>VLOOKUP(A212,'NonXtal_SegEnds_Prot#'!A:AL,31,FALSE)-VLOOKUP(A212,'NonXtal_SegEnds_Prot#'!A:AL,28,FALSE)</f>
        <v>64</v>
      </c>
      <c r="AG212" s="1">
        <f>VLOOKUP(A212,'NonXtal_SegEnds_Prot#'!A:AL,34,FALSE)-VLOOKUP(A212,'NonXtal_SegEnds_Prot#'!A:AL,31,FALSE)</f>
        <v>36</v>
      </c>
    </row>
    <row r="213" spans="1:33" x14ac:dyDescent="0.2">
      <c r="A213" s="1" t="s">
        <v>581</v>
      </c>
      <c r="B213" s="1" t="str">
        <f>VLOOKUP(A213,Xtal_Templ!A:B,2,FALSE)</f>
        <v>adrb1_melga</v>
      </c>
      <c r="C213" s="5">
        <f>VLOOKUP($B213&amp;"__wt",'Xtal_SegEnds_BW#'!$A:$Z,3,FALSE)</f>
        <v>24</v>
      </c>
      <c r="D213" s="1">
        <f>VLOOKUP($B213&amp;"__wt",'Xtal_SegEnds_BW#'!$A:$Z,4,FALSE)</f>
        <v>60</v>
      </c>
      <c r="E213" s="1">
        <f>VLOOKUP($B213&amp;"__wt",'Xtal_SegEnds_BW#'!$A:$Z,5,FALSE)</f>
        <v>48</v>
      </c>
      <c r="F213" s="1">
        <f>VLOOKUP($B213&amp;"__wt",'Xtal_SegEnds_BW#'!$A:$Z,6,FALSE)</f>
        <v>51</v>
      </c>
      <c r="G213" s="1">
        <v>37</v>
      </c>
      <c r="H213" s="1">
        <f>VLOOKUP($B213&amp;"__wt",'Xtal_SegEnds_BW#'!$A:$Z,8,FALSE)</f>
        <v>67</v>
      </c>
      <c r="I213" s="1">
        <f>VLOOKUP($B213&amp;"__wt",'Xtal_SegEnds_BW#'!$A:$Z,9,FALSE)</f>
        <v>49</v>
      </c>
      <c r="J213" s="1">
        <f>VLOOKUP($B213&amp;"__wt",'Xtal_SegEnds_BW#'!$A:$Z,10,FALSE)</f>
        <v>52</v>
      </c>
      <c r="K213" s="1">
        <v>18</v>
      </c>
      <c r="L213" s="1">
        <f>VLOOKUP($B213&amp;"__wt",'Xtal_SegEnds_BW#'!$A:$Z,12,FALSE)</f>
        <v>56</v>
      </c>
      <c r="M213" s="1">
        <f>VLOOKUP($B213&amp;"__wt",'Xtal_SegEnds_BW#'!$A:$Z,13,FALSE)</f>
        <v>50</v>
      </c>
      <c r="N213" s="1">
        <v>57</v>
      </c>
      <c r="O213" s="1">
        <v>39</v>
      </c>
      <c r="P213" s="1">
        <f>VLOOKUP($B213&amp;"__wt",'Xtal_SegEnds_BW#'!$A:$Z,16,FALSE)</f>
        <v>64</v>
      </c>
      <c r="Q213" s="1">
        <f>VLOOKUP($B213&amp;"__wt",'Xtal_SegEnds_BW#'!$A:$Z,17,FALSE)</f>
        <v>50</v>
      </c>
      <c r="R213" s="1">
        <f>VLOOKUP($B213&amp;"__wt",'Xtal_SegEnds_BW#'!$A:$Z,18,FALSE)</f>
        <v>52</v>
      </c>
      <c r="S213" s="1">
        <v>35</v>
      </c>
      <c r="T213" s="23">
        <f t="array" ref="T213">INDEX('ICL3'!$G$2:$G$31,MATCH(MIN(ABS(AF213-'ICL3'!$F$2:$F$31)),ABS(AF213-'ICL3'!$F$2:$F$31),0))</f>
        <v>74</v>
      </c>
      <c r="U213" s="1">
        <f t="array" ref="U213">INDEX('ICL3'!$H$2:$H$31,MATCH(MIN(ABS(AF213-'ICL3'!$F$2:$F$31)),ABS(AF213-'ICL3'!$F$2:$F$31),0))</f>
        <v>21</v>
      </c>
      <c r="V213" s="1">
        <v>61</v>
      </c>
      <c r="W213" s="1">
        <v>31</v>
      </c>
      <c r="X213" s="1">
        <f>VLOOKUP($B213&amp;"__wt",'Xtal_SegEnds_BW#'!$A:$Z,24,FALSE)</f>
        <v>55</v>
      </c>
      <c r="Y213" s="1">
        <f>VLOOKUP($B213&amp;"__wt",'Xtal_SegEnds_BW#'!$A:$Z,25,FALSE)</f>
        <v>47</v>
      </c>
      <c r="Z213" s="1">
        <f>VLOOKUP($B213&amp;"__wt",'Xtal_SegEnds_BW#'!$A:$Z,26,FALSE)</f>
        <v>59</v>
      </c>
      <c r="AA213" s="63" t="str">
        <f>VLOOKUP(A213,Classification!A:B,2,FALSE)</f>
        <v>A</v>
      </c>
      <c r="AB213" s="1">
        <f>VLOOKUP(A213,'NonXtal_SegEnds_Prot#'!A:AL,10,FALSE)-VLOOKUP(A213,'NonXtal_SegEnds_Prot#'!A:AL,7,FALSE)</f>
        <v>15</v>
      </c>
      <c r="AC213" s="1">
        <f>VLOOKUP(A213,'NonXtal_SegEnds_Prot#'!A:AL,13,FALSE)-VLOOKUP(A213,'NonXtal_SegEnds_Prot#'!A:AL,10,FALSE)</f>
        <v>20</v>
      </c>
      <c r="AD213" s="1">
        <f>VLOOKUP(A213,'NonXtal_SegEnds_Prot#'!A:AL,16,FALSE)-VLOOKUP(A213,'NonXtal_SegEnds_Prot#'!A:AL,10,FALSE)</f>
        <v>52</v>
      </c>
      <c r="AE213" s="1">
        <f>VLOOKUP(A213,'NonXtal_SegEnds_Prot#'!A:AL,28,FALSE)-VLOOKUP(A213,'NonXtal_SegEnds_Prot#'!A:AL,25,FALSE)</f>
        <v>20</v>
      </c>
      <c r="AF213" s="1">
        <f>VLOOKUP(A213,'NonXtal_SegEnds_Prot#'!A:AL,31,FALSE)-VLOOKUP(A213,'NonXtal_SegEnds_Prot#'!A:AL,28,FALSE)</f>
        <v>64</v>
      </c>
      <c r="AG213" s="1">
        <f>VLOOKUP(A213,'NonXtal_SegEnds_Prot#'!A:AL,34,FALSE)-VLOOKUP(A213,'NonXtal_SegEnds_Prot#'!A:AL,31,FALSE)</f>
        <v>35</v>
      </c>
    </row>
    <row r="214" spans="1:33" x14ac:dyDescent="0.2">
      <c r="A214" s="1" t="s">
        <v>585</v>
      </c>
      <c r="B214" s="1" t="str">
        <f>VLOOKUP(A214,Xtal_Templ!A:B,2,FALSE)</f>
        <v>5ht1b_human</v>
      </c>
      <c r="C214" s="5">
        <f>VLOOKUP($B214&amp;"__wt",'Xtal_SegEnds_BW#'!$A:$Z,3,FALSE)</f>
        <v>29</v>
      </c>
      <c r="D214" s="1">
        <f>VLOOKUP($B214&amp;"__wt",'Xtal_SegEnds_BW#'!$A:$Z,4,FALSE)</f>
        <v>60</v>
      </c>
      <c r="E214" s="1">
        <f>VLOOKUP($B214&amp;"__wt",'Xtal_SegEnds_BW#'!$A:$Z,5,FALSE)</f>
        <v>48</v>
      </c>
      <c r="F214" s="1">
        <f>VLOOKUP($B214&amp;"__wt",'Xtal_SegEnds_BW#'!$A:$Z,6,FALSE)</f>
        <v>51</v>
      </c>
      <c r="G214" s="1">
        <v>37</v>
      </c>
      <c r="H214" s="1">
        <f>VLOOKUP($B214&amp;"__wt",'Xtal_SegEnds_BW#'!$A:$Z,8,FALSE)</f>
        <v>67</v>
      </c>
      <c r="I214" s="1">
        <f>VLOOKUP($B214&amp;"__wt",'Xtal_SegEnds_BW#'!$A:$Z,9,FALSE)</f>
        <v>49</v>
      </c>
      <c r="J214" s="1">
        <f>VLOOKUP($B214&amp;"__wt",'Xtal_SegEnds_BW#'!$A:$Z,10,FALSE)</f>
        <v>52</v>
      </c>
      <c r="K214" s="1">
        <v>18</v>
      </c>
      <c r="L214" s="1">
        <f>VLOOKUP($B214&amp;"__wt",'Xtal_SegEnds_BW#'!$A:$Z,12,FALSE)</f>
        <v>56</v>
      </c>
      <c r="M214" s="1">
        <f>VLOOKUP($B214&amp;"__wt",'Xtal_SegEnds_BW#'!$A:$Z,13,FALSE)</f>
        <v>50</v>
      </c>
      <c r="N214" s="1">
        <v>57</v>
      </c>
      <c r="O214" s="1">
        <v>39</v>
      </c>
      <c r="P214" s="1">
        <f>VLOOKUP($B214&amp;"__wt",'Xtal_SegEnds_BW#'!$A:$Z,16,FALSE)</f>
        <v>63</v>
      </c>
      <c r="Q214" s="1">
        <f>VLOOKUP($B214&amp;"__wt",'Xtal_SegEnds_BW#'!$A:$Z,17,FALSE)</f>
        <v>50</v>
      </c>
      <c r="R214" s="1">
        <f>VLOOKUP($B214&amp;"__wt",'Xtal_SegEnds_BW#'!$A:$Z,18,FALSE)</f>
        <v>52</v>
      </c>
      <c r="S214" s="1">
        <v>35</v>
      </c>
      <c r="T214" s="23">
        <f t="array" ref="T214">INDEX('ICL3'!$G$2:$G$31,MATCH(MIN(ABS(AF214-'ICL3'!$F$2:$F$31)),ABS(AF214-'ICL3'!$F$2:$F$31),0))</f>
        <v>74</v>
      </c>
      <c r="U214" s="1">
        <f t="array" ref="U214">INDEX('ICL3'!$H$2:$H$31,MATCH(MIN(ABS(AF214-'ICL3'!$F$2:$F$31)),ABS(AF214-'ICL3'!$F$2:$F$31),0))</f>
        <v>21</v>
      </c>
      <c r="V214" s="1">
        <v>61</v>
      </c>
      <c r="W214" s="1">
        <v>31</v>
      </c>
      <c r="X214" s="1">
        <f>VLOOKUP($B214&amp;"__wt",'Xtal_SegEnds_BW#'!$A:$Z,24,FALSE)</f>
        <v>56</v>
      </c>
      <c r="Y214" s="1">
        <f>VLOOKUP($B214&amp;"__wt",'Xtal_SegEnds_BW#'!$A:$Z,25,FALSE)</f>
        <v>47</v>
      </c>
      <c r="Z214" s="1">
        <f>VLOOKUP($B214&amp;"__wt",'Xtal_SegEnds_BW#'!$A:$Z,26,FALSE)</f>
        <v>58</v>
      </c>
      <c r="AA214" s="63" t="str">
        <f>VLOOKUP(A214,Classification!A:B,2,FALSE)</f>
        <v>A</v>
      </c>
      <c r="AB214" s="1">
        <f>VLOOKUP(A214,'NonXtal_SegEnds_Prot#'!A:AL,10,FALSE)-VLOOKUP(A214,'NonXtal_SegEnds_Prot#'!A:AL,7,FALSE)</f>
        <v>15</v>
      </c>
      <c r="AC214" s="1">
        <f>VLOOKUP(A214,'NonXtal_SegEnds_Prot#'!A:AL,13,FALSE)-VLOOKUP(A214,'NonXtal_SegEnds_Prot#'!A:AL,10,FALSE)</f>
        <v>20</v>
      </c>
      <c r="AD214" s="1">
        <f>VLOOKUP(A214,'NonXtal_SegEnds_Prot#'!A:AL,16,FALSE)-VLOOKUP(A214,'NonXtal_SegEnds_Prot#'!A:AL,10,FALSE)</f>
        <v>52</v>
      </c>
      <c r="AE214" s="1">
        <f>VLOOKUP(A214,'NonXtal_SegEnds_Prot#'!A:AL,28,FALSE)-VLOOKUP(A214,'NonXtal_SegEnds_Prot#'!A:AL,25,FALSE)</f>
        <v>19</v>
      </c>
      <c r="AF214" s="1">
        <f>VLOOKUP(A214,'NonXtal_SegEnds_Prot#'!A:AL,31,FALSE)-VLOOKUP(A214,'NonXtal_SegEnds_Prot#'!A:AL,28,FALSE)</f>
        <v>64</v>
      </c>
      <c r="AG214" s="1">
        <f>VLOOKUP(A214,'NonXtal_SegEnds_Prot#'!A:AL,34,FALSE)-VLOOKUP(A214,'NonXtal_SegEnds_Prot#'!A:AL,31,FALSE)</f>
        <v>35</v>
      </c>
    </row>
    <row r="215" spans="1:33" x14ac:dyDescent="0.2">
      <c r="A215" s="1" t="s">
        <v>586</v>
      </c>
      <c r="B215" s="1" t="str">
        <f>VLOOKUP(A215,Xtal_Templ!A:B,2,FALSE)</f>
        <v>5ht1b_human</v>
      </c>
      <c r="C215" s="5">
        <f>VLOOKUP($B215&amp;"__wt",'Xtal_SegEnds_BW#'!$A:$Z,3,FALSE)</f>
        <v>29</v>
      </c>
      <c r="D215" s="1">
        <f>VLOOKUP($B215&amp;"__wt",'Xtal_SegEnds_BW#'!$A:$Z,4,FALSE)</f>
        <v>60</v>
      </c>
      <c r="E215" s="1">
        <f>VLOOKUP($B215&amp;"__wt",'Xtal_SegEnds_BW#'!$A:$Z,5,FALSE)</f>
        <v>48</v>
      </c>
      <c r="F215" s="1">
        <f>VLOOKUP($B215&amp;"__wt",'Xtal_SegEnds_BW#'!$A:$Z,6,FALSE)</f>
        <v>51</v>
      </c>
      <c r="G215" s="1">
        <v>37</v>
      </c>
      <c r="H215" s="1">
        <f>VLOOKUP($B215&amp;"__wt",'Xtal_SegEnds_BW#'!$A:$Z,8,FALSE)</f>
        <v>67</v>
      </c>
      <c r="I215" s="1">
        <f>VLOOKUP($B215&amp;"__wt",'Xtal_SegEnds_BW#'!$A:$Z,9,FALSE)</f>
        <v>49</v>
      </c>
      <c r="J215" s="1">
        <f>VLOOKUP($B215&amp;"__wt",'Xtal_SegEnds_BW#'!$A:$Z,10,FALSE)</f>
        <v>52</v>
      </c>
      <c r="K215" s="1">
        <v>18</v>
      </c>
      <c r="L215" s="1">
        <f>VLOOKUP($B215&amp;"__wt",'Xtal_SegEnds_BW#'!$A:$Z,12,FALSE)</f>
        <v>56</v>
      </c>
      <c r="M215" s="1">
        <f>VLOOKUP($B215&amp;"__wt",'Xtal_SegEnds_BW#'!$A:$Z,13,FALSE)</f>
        <v>50</v>
      </c>
      <c r="N215" s="1">
        <v>57</v>
      </c>
      <c r="O215" s="1">
        <v>39</v>
      </c>
      <c r="P215" s="1">
        <f>VLOOKUP($B215&amp;"__wt",'Xtal_SegEnds_BW#'!$A:$Z,16,FALSE)</f>
        <v>63</v>
      </c>
      <c r="Q215" s="1">
        <f>VLOOKUP($B215&amp;"__wt",'Xtal_SegEnds_BW#'!$A:$Z,17,FALSE)</f>
        <v>50</v>
      </c>
      <c r="R215" s="1">
        <f>VLOOKUP($B215&amp;"__wt",'Xtal_SegEnds_BW#'!$A:$Z,18,FALSE)</f>
        <v>52</v>
      </c>
      <c r="S215" s="1">
        <v>35</v>
      </c>
      <c r="T215" s="23">
        <f t="array" ref="T215">INDEX('ICL3'!$G$2:$G$31,MATCH(MIN(ABS(AF215-'ICL3'!$F$2:$F$31)),ABS(AF215-'ICL3'!$F$2:$F$31),0))</f>
        <v>74</v>
      </c>
      <c r="U215" s="1">
        <f t="array" ref="U215">INDEX('ICL3'!$H$2:$H$31,MATCH(MIN(ABS(AF215-'ICL3'!$F$2:$F$31)),ABS(AF215-'ICL3'!$F$2:$F$31),0))</f>
        <v>21</v>
      </c>
      <c r="V215" s="1">
        <v>61</v>
      </c>
      <c r="W215" s="1">
        <v>31</v>
      </c>
      <c r="X215" s="1">
        <f>VLOOKUP($B215&amp;"__wt",'Xtal_SegEnds_BW#'!$A:$Z,24,FALSE)</f>
        <v>56</v>
      </c>
      <c r="Y215" s="1">
        <f>VLOOKUP($B215&amp;"__wt",'Xtal_SegEnds_BW#'!$A:$Z,25,FALSE)</f>
        <v>47</v>
      </c>
      <c r="Z215" s="1">
        <f>VLOOKUP($B215&amp;"__wt",'Xtal_SegEnds_BW#'!$A:$Z,26,FALSE)</f>
        <v>58</v>
      </c>
      <c r="AA215" s="63" t="str">
        <f>VLOOKUP(A215,Classification!A:B,2,FALSE)</f>
        <v>A</v>
      </c>
      <c r="AB215" s="1">
        <f>VLOOKUP(A215,'NonXtal_SegEnds_Prot#'!A:AL,10,FALSE)-VLOOKUP(A215,'NonXtal_SegEnds_Prot#'!A:AL,7,FALSE)</f>
        <v>15</v>
      </c>
      <c r="AC215" s="1">
        <f>VLOOKUP(A215,'NonXtal_SegEnds_Prot#'!A:AL,13,FALSE)-VLOOKUP(A215,'NonXtal_SegEnds_Prot#'!A:AL,10,FALSE)</f>
        <v>20</v>
      </c>
      <c r="AD215" s="1">
        <f>VLOOKUP(A215,'NonXtal_SegEnds_Prot#'!A:AL,16,FALSE)-VLOOKUP(A215,'NonXtal_SegEnds_Prot#'!A:AL,10,FALSE)</f>
        <v>52</v>
      </c>
      <c r="AE215" s="1">
        <f>VLOOKUP(A215,'NonXtal_SegEnds_Prot#'!A:AL,28,FALSE)-VLOOKUP(A215,'NonXtal_SegEnds_Prot#'!A:AL,25,FALSE)</f>
        <v>19</v>
      </c>
      <c r="AF215" s="1">
        <f>VLOOKUP(A215,'NonXtal_SegEnds_Prot#'!A:AL,31,FALSE)-VLOOKUP(A215,'NonXtal_SegEnds_Prot#'!A:AL,28,FALSE)</f>
        <v>64</v>
      </c>
      <c r="AG215" s="1">
        <f>VLOOKUP(A215,'NonXtal_SegEnds_Prot#'!A:AL,34,FALSE)-VLOOKUP(A215,'NonXtal_SegEnds_Prot#'!A:AL,31,FALSE)</f>
        <v>35</v>
      </c>
    </row>
    <row r="216" spans="1:33" x14ac:dyDescent="0.2">
      <c r="A216" s="1" t="s">
        <v>587</v>
      </c>
      <c r="B216" s="1" t="str">
        <f>VLOOKUP(A216,Xtal_Templ!A:B,2,FALSE)</f>
        <v>5ht1b_human</v>
      </c>
      <c r="C216" s="5">
        <f>VLOOKUP($B216&amp;"__wt",'Xtal_SegEnds_BW#'!$A:$Z,3,FALSE)</f>
        <v>29</v>
      </c>
      <c r="D216" s="1">
        <f>VLOOKUP($B216&amp;"__wt",'Xtal_SegEnds_BW#'!$A:$Z,4,FALSE)</f>
        <v>60</v>
      </c>
      <c r="E216" s="1">
        <f>VLOOKUP($B216&amp;"__wt",'Xtal_SegEnds_BW#'!$A:$Z,5,FALSE)</f>
        <v>48</v>
      </c>
      <c r="F216" s="1">
        <f>VLOOKUP($B216&amp;"__wt",'Xtal_SegEnds_BW#'!$A:$Z,6,FALSE)</f>
        <v>51</v>
      </c>
      <c r="G216" s="1">
        <v>37</v>
      </c>
      <c r="H216" s="1">
        <f>VLOOKUP($B216&amp;"__wt",'Xtal_SegEnds_BW#'!$A:$Z,8,FALSE)</f>
        <v>67</v>
      </c>
      <c r="I216" s="1">
        <f>VLOOKUP($B216&amp;"__wt",'Xtal_SegEnds_BW#'!$A:$Z,9,FALSE)</f>
        <v>49</v>
      </c>
      <c r="J216" s="1">
        <f>VLOOKUP($B216&amp;"__wt",'Xtal_SegEnds_BW#'!$A:$Z,10,FALSE)</f>
        <v>52</v>
      </c>
      <c r="K216" s="1">
        <v>18</v>
      </c>
      <c r="L216" s="1">
        <f>VLOOKUP($B216&amp;"__wt",'Xtal_SegEnds_BW#'!$A:$Z,12,FALSE)</f>
        <v>56</v>
      </c>
      <c r="M216" s="1">
        <f>VLOOKUP($B216&amp;"__wt",'Xtal_SegEnds_BW#'!$A:$Z,13,FALSE)</f>
        <v>50</v>
      </c>
      <c r="N216" s="1">
        <v>57</v>
      </c>
      <c r="O216" s="1">
        <v>39</v>
      </c>
      <c r="P216" s="1">
        <f>VLOOKUP($B216&amp;"__wt",'Xtal_SegEnds_BW#'!$A:$Z,16,FALSE)</f>
        <v>63</v>
      </c>
      <c r="Q216" s="1">
        <f>VLOOKUP($B216&amp;"__wt",'Xtal_SegEnds_BW#'!$A:$Z,17,FALSE)</f>
        <v>50</v>
      </c>
      <c r="R216" s="1">
        <f>VLOOKUP($B216&amp;"__wt",'Xtal_SegEnds_BW#'!$A:$Z,18,FALSE)</f>
        <v>52</v>
      </c>
      <c r="S216" s="1">
        <v>35</v>
      </c>
      <c r="T216" s="23">
        <f t="array" ref="T216">INDEX('ICL3'!$G$2:$G$31,MATCH(MIN(ABS(AF216-'ICL3'!$F$2:$F$31)),ABS(AF216-'ICL3'!$F$2:$F$31),0))</f>
        <v>74</v>
      </c>
      <c r="U216" s="1">
        <f t="array" ref="U216">INDEX('ICL3'!$H$2:$H$31,MATCH(MIN(ABS(AF216-'ICL3'!$F$2:$F$31)),ABS(AF216-'ICL3'!$F$2:$F$31),0))</f>
        <v>21</v>
      </c>
      <c r="V216" s="1">
        <v>61</v>
      </c>
      <c r="W216" s="1">
        <v>31</v>
      </c>
      <c r="X216" s="1">
        <f>VLOOKUP($B216&amp;"__wt",'Xtal_SegEnds_BW#'!$A:$Z,24,FALSE)</f>
        <v>56</v>
      </c>
      <c r="Y216" s="1">
        <f>VLOOKUP($B216&amp;"__wt",'Xtal_SegEnds_BW#'!$A:$Z,25,FALSE)</f>
        <v>47</v>
      </c>
      <c r="Z216" s="1">
        <f>VLOOKUP($B216&amp;"__wt",'Xtal_SegEnds_BW#'!$A:$Z,26,FALSE)</f>
        <v>58</v>
      </c>
      <c r="AA216" s="63" t="str">
        <f>VLOOKUP(A216,Classification!A:B,2,FALSE)</f>
        <v>A</v>
      </c>
      <c r="AB216" s="1">
        <f>VLOOKUP(A216,'NonXtal_SegEnds_Prot#'!A:AL,10,FALSE)-VLOOKUP(A216,'NonXtal_SegEnds_Prot#'!A:AL,7,FALSE)</f>
        <v>15</v>
      </c>
      <c r="AC216" s="1">
        <f>VLOOKUP(A216,'NonXtal_SegEnds_Prot#'!A:AL,13,FALSE)-VLOOKUP(A216,'NonXtal_SegEnds_Prot#'!A:AL,10,FALSE)</f>
        <v>20</v>
      </c>
      <c r="AD216" s="1">
        <f>VLOOKUP(A216,'NonXtal_SegEnds_Prot#'!A:AL,16,FALSE)-VLOOKUP(A216,'NonXtal_SegEnds_Prot#'!A:AL,10,FALSE)</f>
        <v>52</v>
      </c>
      <c r="AE216" s="1">
        <f>VLOOKUP(A216,'NonXtal_SegEnds_Prot#'!A:AL,28,FALSE)-VLOOKUP(A216,'NonXtal_SegEnds_Prot#'!A:AL,25,FALSE)</f>
        <v>19</v>
      </c>
      <c r="AF216" s="1">
        <f>VLOOKUP(A216,'NonXtal_SegEnds_Prot#'!A:AL,31,FALSE)-VLOOKUP(A216,'NonXtal_SegEnds_Prot#'!A:AL,28,FALSE)</f>
        <v>64</v>
      </c>
      <c r="AG216" s="1">
        <f>VLOOKUP(A216,'NonXtal_SegEnds_Prot#'!A:AL,34,FALSE)-VLOOKUP(A216,'NonXtal_SegEnds_Prot#'!A:AL,31,FALSE)</f>
        <v>35</v>
      </c>
    </row>
    <row r="217" spans="1:33" x14ac:dyDescent="0.2">
      <c r="A217" s="1" t="s">
        <v>438</v>
      </c>
      <c r="B217" s="1" t="str">
        <f>VLOOKUP(A217,Xtal_Templ!A:B,2,FALSE)</f>
        <v>ox2r_human</v>
      </c>
      <c r="C217" s="5">
        <f>VLOOKUP($B217&amp;"__wt",'Xtal_SegEnds_BW#'!$A:$Z,3,FALSE)</f>
        <v>31</v>
      </c>
      <c r="D217" s="1">
        <f>VLOOKUP($B217&amp;"__wt",'Xtal_SegEnds_BW#'!$A:$Z,4,FALSE)</f>
        <v>60</v>
      </c>
      <c r="E217" s="1">
        <f>VLOOKUP($B217&amp;"__wt",'Xtal_SegEnds_BW#'!$A:$Z,5,FALSE)</f>
        <v>48</v>
      </c>
      <c r="F217" s="1">
        <f>VLOOKUP($B217&amp;"__wt",'Xtal_SegEnds_BW#'!$A:$Z,6,FALSE)</f>
        <v>51</v>
      </c>
      <c r="G217" s="1">
        <v>37</v>
      </c>
      <c r="H217" s="1">
        <f>VLOOKUP($B217&amp;"__wt",'Xtal_SegEnds_BW#'!$A:$Z,8,FALSE)</f>
        <v>67</v>
      </c>
      <c r="I217" s="1">
        <f>VLOOKUP($B217&amp;"__wt",'Xtal_SegEnds_BW#'!$A:$Z,9,FALSE)</f>
        <v>49</v>
      </c>
      <c r="J217" s="1">
        <f>VLOOKUP($B217&amp;"__wt",'Xtal_SegEnds_BW#'!$A:$Z,10,FALSE)</f>
        <v>52</v>
      </c>
      <c r="K217" s="1">
        <v>18</v>
      </c>
      <c r="L217" s="1">
        <f>VLOOKUP($B217&amp;"__wt",'Xtal_SegEnds_BW#'!$A:$Z,12,FALSE)</f>
        <v>56</v>
      </c>
      <c r="M217" s="1">
        <f>VLOOKUP($B217&amp;"__wt",'Xtal_SegEnds_BW#'!$A:$Z,13,FALSE)</f>
        <v>50</v>
      </c>
      <c r="N217" s="1">
        <v>57</v>
      </c>
      <c r="O217" s="1">
        <v>39</v>
      </c>
      <c r="P217" s="1">
        <f>VLOOKUP($B217&amp;"__wt",'Xtal_SegEnds_BW#'!$A:$Z,16,FALSE)</f>
        <v>64</v>
      </c>
      <c r="Q217" s="1">
        <f>VLOOKUP($B217&amp;"__wt",'Xtal_SegEnds_BW#'!$A:$Z,17,FALSE)</f>
        <v>50</v>
      </c>
      <c r="R217" s="1">
        <f>VLOOKUP($B217&amp;"__wt",'Xtal_SegEnds_BW#'!$A:$Z,18,FALSE)</f>
        <v>52</v>
      </c>
      <c r="S217" s="1">
        <v>35</v>
      </c>
      <c r="T217" s="23">
        <f t="array" ref="T217">INDEX('ICL3'!$G$2:$G$31,MATCH(MIN(ABS(AF217-'ICL3'!$F$2:$F$31)),ABS(AF217-'ICL3'!$F$2:$F$31),0))</f>
        <v>74</v>
      </c>
      <c r="U217" s="1">
        <f t="array" ref="U217">INDEX('ICL3'!$H$2:$H$31,MATCH(MIN(ABS(AF217-'ICL3'!$F$2:$F$31)),ABS(AF217-'ICL3'!$F$2:$F$31),0))</f>
        <v>21</v>
      </c>
      <c r="V217" s="1">
        <v>61</v>
      </c>
      <c r="W217" s="1">
        <v>32</v>
      </c>
      <c r="X217" s="1">
        <f>VLOOKUP($B217&amp;"__wt",'Xtal_SegEnds_BW#'!$A:$Z,24,FALSE)</f>
        <v>56</v>
      </c>
      <c r="Y217" s="1">
        <f>VLOOKUP($B217&amp;"__wt",'Xtal_SegEnds_BW#'!$A:$Z,25,FALSE)</f>
        <v>47</v>
      </c>
      <c r="Z217" s="1">
        <f>VLOOKUP($B217&amp;"__wt",'Xtal_SegEnds_BW#'!$A:$Z,26,FALSE)</f>
        <v>58</v>
      </c>
      <c r="AA217" s="63" t="str">
        <f>VLOOKUP(A217,Classification!A:B,2,FALSE)</f>
        <v>A</v>
      </c>
      <c r="AB217" s="1">
        <f>VLOOKUP(A217,'NonXtal_SegEnds_Prot#'!A:AL,10,FALSE)-VLOOKUP(A217,'NonXtal_SegEnds_Prot#'!A:AL,7,FALSE)</f>
        <v>16</v>
      </c>
      <c r="AC217" s="1" t="e">
        <f>VLOOKUP(A217,'NonXtal_SegEnds_Prot#'!A:AL,13,FALSE)-VLOOKUP(A217,'NonXtal_SegEnds_Prot#'!A:AL,10,FALSE)</f>
        <v>#VALUE!</v>
      </c>
      <c r="AD217" s="1">
        <f>VLOOKUP(A217,'NonXtal_SegEnds_Prot#'!A:AL,16,FALSE)-VLOOKUP(A217,'NonXtal_SegEnds_Prot#'!A:AL,10,FALSE)</f>
        <v>52</v>
      </c>
      <c r="AE217" s="1">
        <f>VLOOKUP(A217,'NonXtal_SegEnds_Prot#'!A:AL,28,FALSE)-VLOOKUP(A217,'NonXtal_SegEnds_Prot#'!A:AL,25,FALSE)</f>
        <v>21</v>
      </c>
      <c r="AF217" s="1">
        <f>VLOOKUP(A217,'NonXtal_SegEnds_Prot#'!A:AL,31,FALSE)-VLOOKUP(A217,'NonXtal_SegEnds_Prot#'!A:AL,28,FALSE)</f>
        <v>65</v>
      </c>
      <c r="AG217" s="1">
        <f>VLOOKUP(A217,'NonXtal_SegEnds_Prot#'!A:AL,34,FALSE)-VLOOKUP(A217,'NonXtal_SegEnds_Prot#'!A:AL,31,FALSE)</f>
        <v>34</v>
      </c>
    </row>
    <row r="218" spans="1:33" x14ac:dyDescent="0.2">
      <c r="A218" s="1" t="s">
        <v>416</v>
      </c>
      <c r="B218" s="1" t="str">
        <f>VLOOKUP(A218,Xtal_Templ!A:B,2,FALSE)</f>
        <v>ox1r_human</v>
      </c>
      <c r="C218" s="5">
        <f>VLOOKUP($B218&amp;"__wt",'Xtal_SegEnds_BW#'!$A:$Z,3,FALSE)</f>
        <v>32</v>
      </c>
      <c r="D218" s="1">
        <f>VLOOKUP($B218&amp;"__wt",'Xtal_SegEnds_BW#'!$A:$Z,4,FALSE)</f>
        <v>60</v>
      </c>
      <c r="E218" s="1">
        <f>VLOOKUP($B218&amp;"__wt",'Xtal_SegEnds_BW#'!$A:$Z,5,FALSE)</f>
        <v>48</v>
      </c>
      <c r="F218" s="1">
        <f>VLOOKUP($B218&amp;"__wt",'Xtal_SegEnds_BW#'!$A:$Z,6,FALSE)</f>
        <v>51</v>
      </c>
      <c r="G218" s="1">
        <v>37</v>
      </c>
      <c r="H218" s="1">
        <f>VLOOKUP($B218&amp;"__wt",'Xtal_SegEnds_BW#'!$A:$Z,8,FALSE)</f>
        <v>67</v>
      </c>
      <c r="I218" s="1">
        <f>VLOOKUP($B218&amp;"__wt",'Xtal_SegEnds_BW#'!$A:$Z,9,FALSE)</f>
        <v>49</v>
      </c>
      <c r="J218" s="1">
        <f>VLOOKUP($B218&amp;"__wt",'Xtal_SegEnds_BW#'!$A:$Z,10,FALSE)</f>
        <v>52</v>
      </c>
      <c r="K218" s="1">
        <v>18</v>
      </c>
      <c r="L218" s="1">
        <f>VLOOKUP($B218&amp;"__wt",'Xtal_SegEnds_BW#'!$A:$Z,12,FALSE)</f>
        <v>56</v>
      </c>
      <c r="M218" s="1">
        <f>VLOOKUP($B218&amp;"__wt",'Xtal_SegEnds_BW#'!$A:$Z,13,FALSE)</f>
        <v>50</v>
      </c>
      <c r="N218" s="1">
        <f>VLOOKUP($B218&amp;"__wt",'Xtal_SegEnds_BW#'!$A:$Z,14,FALSE)</f>
        <v>56</v>
      </c>
      <c r="O218" s="1">
        <v>39</v>
      </c>
      <c r="P218" s="1">
        <f>VLOOKUP($B218&amp;"__wt",'Xtal_SegEnds_BW#'!$A:$Z,16,FALSE)</f>
        <v>64</v>
      </c>
      <c r="Q218" s="1">
        <f>VLOOKUP($B218&amp;"__wt",'Xtal_SegEnds_BW#'!$A:$Z,17,FALSE)</f>
        <v>50</v>
      </c>
      <c r="R218" s="1">
        <f>VLOOKUP($B218&amp;"__wt",'Xtal_SegEnds_BW#'!$A:$Z,18,FALSE)</f>
        <v>52</v>
      </c>
      <c r="S218" s="1">
        <f>VLOOKUP($B218&amp;"__wt",'Xtal_SegEnds_BW#'!$A:$Z,19,FALSE)</f>
        <v>32</v>
      </c>
      <c r="T218" s="23">
        <f t="array" ref="T218">INDEX('ICL3'!$G$2:$G$31,MATCH(MIN(ABS(AF218-'ICL3'!$F$2:$F$31)),ABS(AF218-'ICL3'!$F$2:$F$31),0))</f>
        <v>74</v>
      </c>
      <c r="U218" s="1">
        <f t="array" ref="U218">INDEX('ICL3'!$H$2:$H$31,MATCH(MIN(ABS(AF218-'ICL3'!$F$2:$F$31)),ABS(AF218-'ICL3'!$F$2:$F$31),0))</f>
        <v>21</v>
      </c>
      <c r="V218" s="1">
        <v>61</v>
      </c>
      <c r="W218" s="1">
        <v>28</v>
      </c>
      <c r="X218" s="1">
        <f>VLOOKUP($B218&amp;"__wt",'Xtal_SegEnds_BW#'!$A:$Z,24,FALSE)</f>
        <v>56</v>
      </c>
      <c r="Y218" s="1">
        <f>VLOOKUP($B218&amp;"__wt",'Xtal_SegEnds_BW#'!$A:$Z,25,FALSE)</f>
        <v>47</v>
      </c>
      <c r="Z218" s="1">
        <f>VLOOKUP($B218&amp;"__wt",'Xtal_SegEnds_BW#'!$A:$Z,26,FALSE)</f>
        <v>58</v>
      </c>
      <c r="AA218" s="63" t="str">
        <f>VLOOKUP(A218,Classification!A:B,2,FALSE)</f>
        <v>A</v>
      </c>
      <c r="AB218" s="1" t="e">
        <f>VLOOKUP(A218,'NonXtal_SegEnds_Prot#'!A:AL,10,FALSE)-VLOOKUP(A218,'NonXtal_SegEnds_Prot#'!A:AL,7,FALSE)</f>
        <v>#VALUE!</v>
      </c>
      <c r="AC218" s="1" t="e">
        <f>VLOOKUP(A218,'NonXtal_SegEnds_Prot#'!A:AL,13,FALSE)-VLOOKUP(A218,'NonXtal_SegEnds_Prot#'!A:AL,10,FALSE)</f>
        <v>#VALUE!</v>
      </c>
      <c r="AD218" s="1">
        <f>VLOOKUP(A218,'NonXtal_SegEnds_Prot#'!A:AL,16,FALSE)-VLOOKUP(A218,'NonXtal_SegEnds_Prot#'!A:AL,10,FALSE)</f>
        <v>54</v>
      </c>
      <c r="AE218" s="1">
        <f>VLOOKUP(A218,'NonXtal_SegEnds_Prot#'!A:AL,28,FALSE)-VLOOKUP(A218,'NonXtal_SegEnds_Prot#'!A:AL,25,FALSE)</f>
        <v>27</v>
      </c>
      <c r="AF218" s="1">
        <f>VLOOKUP(A218,'NonXtal_SegEnds_Prot#'!A:AL,31,FALSE)-VLOOKUP(A218,'NonXtal_SegEnds_Prot#'!A:AL,28,FALSE)</f>
        <v>66</v>
      </c>
      <c r="AG218" s="1">
        <f>VLOOKUP(A218,'NonXtal_SegEnds_Prot#'!A:AL,34,FALSE)-VLOOKUP(A218,'NonXtal_SegEnds_Prot#'!A:AL,31,FALSE)</f>
        <v>39</v>
      </c>
    </row>
    <row r="219" spans="1:33" x14ac:dyDescent="0.2">
      <c r="A219" s="1" t="s">
        <v>424</v>
      </c>
      <c r="B219" s="1" t="str">
        <f>VLOOKUP(A219,Xtal_Templ!A:B,2,FALSE)</f>
        <v>5ht2b_human</v>
      </c>
      <c r="C219" s="5">
        <f>VLOOKUP($B219&amp;"__wt",'Xtal_SegEnds_BW#'!$A:$Z,3,FALSE)</f>
        <v>32</v>
      </c>
      <c r="D219" s="1">
        <f>VLOOKUP($B219&amp;"__wt",'Xtal_SegEnds_BW#'!$A:$Z,4,FALSE)</f>
        <v>60</v>
      </c>
      <c r="E219" s="1">
        <f>VLOOKUP($B219&amp;"__wt",'Xtal_SegEnds_BW#'!$A:$Z,5,FALSE)</f>
        <v>48</v>
      </c>
      <c r="F219" s="1">
        <f>VLOOKUP($B219&amp;"__wt",'Xtal_SegEnds_BW#'!$A:$Z,6,FALSE)</f>
        <v>51</v>
      </c>
      <c r="G219" s="1">
        <v>37</v>
      </c>
      <c r="H219" s="1">
        <f>VLOOKUP($B219&amp;"__wt",'Xtal_SegEnds_BW#'!$A:$Z,8,FALSE)</f>
        <v>67</v>
      </c>
      <c r="I219" s="1">
        <f>VLOOKUP($B219&amp;"__wt",'Xtal_SegEnds_BW#'!$A:$Z,9,FALSE)</f>
        <v>49</v>
      </c>
      <c r="J219" s="1">
        <f>VLOOKUP($B219&amp;"__wt",'Xtal_SegEnds_BW#'!$A:$Z,10,FALSE)</f>
        <v>52</v>
      </c>
      <c r="K219" s="1">
        <v>18</v>
      </c>
      <c r="L219" s="1">
        <f>VLOOKUP($B219&amp;"__wt",'Xtal_SegEnds_BW#'!$A:$Z,12,FALSE)</f>
        <v>56</v>
      </c>
      <c r="M219" s="1">
        <f>VLOOKUP($B219&amp;"__wt",'Xtal_SegEnds_BW#'!$A:$Z,13,FALSE)</f>
        <v>50</v>
      </c>
      <c r="N219" s="1">
        <v>57</v>
      </c>
      <c r="O219" s="1">
        <v>39</v>
      </c>
      <c r="P219" s="1">
        <f>VLOOKUP($B219&amp;"__wt",'Xtal_SegEnds_BW#'!$A:$Z,16,FALSE)</f>
        <v>64</v>
      </c>
      <c r="Q219" s="1">
        <f>VLOOKUP($B219&amp;"__wt",'Xtal_SegEnds_BW#'!$A:$Z,17,FALSE)</f>
        <v>50</v>
      </c>
      <c r="R219" s="1">
        <f>VLOOKUP($B219&amp;"__wt",'Xtal_SegEnds_BW#'!$A:$Z,18,FALSE)</f>
        <v>52</v>
      </c>
      <c r="S219" s="1">
        <v>35</v>
      </c>
      <c r="T219" s="23">
        <f t="array" ref="T219">INDEX('ICL3'!$G$2:$G$31,MATCH(MIN(ABS(AF219-'ICL3'!$F$2:$F$31)),ABS(AF219-'ICL3'!$F$2:$F$31),0))</f>
        <v>74</v>
      </c>
      <c r="U219" s="1">
        <f t="array" ref="U219">INDEX('ICL3'!$H$2:$H$31,MATCH(MIN(ABS(AF219-'ICL3'!$F$2:$F$31)),ABS(AF219-'ICL3'!$F$2:$F$31),0))</f>
        <v>21</v>
      </c>
      <c r="V219" s="1">
        <v>61</v>
      </c>
      <c r="W219" s="1">
        <v>31</v>
      </c>
      <c r="X219" s="1">
        <f>VLOOKUP($B219&amp;"__wt",'Xtal_SegEnds_BW#'!$A:$Z,24,FALSE)</f>
        <v>56</v>
      </c>
      <c r="Y219" s="1">
        <f>VLOOKUP($B219&amp;"__wt",'Xtal_SegEnds_BW#'!$A:$Z,25,FALSE)</f>
        <v>47</v>
      </c>
      <c r="Z219" s="1">
        <f>VLOOKUP($B219&amp;"__wt",'Xtal_SegEnds_BW#'!$A:$Z,26,FALSE)</f>
        <v>58</v>
      </c>
      <c r="AA219" s="63" t="str">
        <f>VLOOKUP(A219,Classification!A:B,2,FALSE)</f>
        <v>A</v>
      </c>
      <c r="AB219" s="1">
        <f>VLOOKUP(A219,'NonXtal_SegEnds_Prot#'!A:AL,10,FALSE)-VLOOKUP(A219,'NonXtal_SegEnds_Prot#'!A:AL,7,FALSE)</f>
        <v>15</v>
      </c>
      <c r="AC219" s="1">
        <f>VLOOKUP(A219,'NonXtal_SegEnds_Prot#'!A:AL,13,FALSE)-VLOOKUP(A219,'NonXtal_SegEnds_Prot#'!A:AL,10,FALSE)</f>
        <v>21</v>
      </c>
      <c r="AD219" s="1">
        <f>VLOOKUP(A219,'NonXtal_SegEnds_Prot#'!A:AL,16,FALSE)-VLOOKUP(A219,'NonXtal_SegEnds_Prot#'!A:AL,10,FALSE)</f>
        <v>53</v>
      </c>
      <c r="AE219" s="1">
        <f>VLOOKUP(A219,'NonXtal_SegEnds_Prot#'!A:AL,28,FALSE)-VLOOKUP(A219,'NonXtal_SegEnds_Prot#'!A:AL,25,FALSE)</f>
        <v>61</v>
      </c>
      <c r="AF219" s="1">
        <f>VLOOKUP(A219,'NonXtal_SegEnds_Prot#'!A:AL,31,FALSE)-VLOOKUP(A219,'NonXtal_SegEnds_Prot#'!A:AL,28,FALSE)</f>
        <v>66</v>
      </c>
      <c r="AG219" s="1">
        <f>VLOOKUP(A219,'NonXtal_SegEnds_Prot#'!A:AL,34,FALSE)-VLOOKUP(A219,'NonXtal_SegEnds_Prot#'!A:AL,31,FALSE)</f>
        <v>36</v>
      </c>
    </row>
    <row r="220" spans="1:33" x14ac:dyDescent="0.2">
      <c r="A220" s="1" t="s">
        <v>454</v>
      </c>
      <c r="B220" s="1" t="str">
        <f>VLOOKUP(A220,Xtal_Templ!A:B,2,FALSE)</f>
        <v>ox2r_human</v>
      </c>
      <c r="C220" s="5">
        <f>VLOOKUP($B220&amp;"__wt",'Xtal_SegEnds_BW#'!$A:$Z,3,FALSE)</f>
        <v>31</v>
      </c>
      <c r="D220" s="1">
        <f>VLOOKUP($B220&amp;"__wt",'Xtal_SegEnds_BW#'!$A:$Z,4,FALSE)</f>
        <v>60</v>
      </c>
      <c r="E220" s="1">
        <f>VLOOKUP($B220&amp;"__wt",'Xtal_SegEnds_BW#'!$A:$Z,5,FALSE)</f>
        <v>48</v>
      </c>
      <c r="F220" s="1">
        <f>VLOOKUP($B220&amp;"__wt",'Xtal_SegEnds_BW#'!$A:$Z,6,FALSE)</f>
        <v>51</v>
      </c>
      <c r="G220" s="1">
        <v>37</v>
      </c>
      <c r="H220" s="1">
        <f>VLOOKUP($B220&amp;"__wt",'Xtal_SegEnds_BW#'!$A:$Z,8,FALSE)</f>
        <v>67</v>
      </c>
      <c r="I220" s="1">
        <f>VLOOKUP($B220&amp;"__wt",'Xtal_SegEnds_BW#'!$A:$Z,9,FALSE)</f>
        <v>49</v>
      </c>
      <c r="J220" s="1">
        <f>VLOOKUP($B220&amp;"__wt",'Xtal_SegEnds_BW#'!$A:$Z,10,FALSE)</f>
        <v>52</v>
      </c>
      <c r="K220" s="1">
        <v>18</v>
      </c>
      <c r="L220" s="1">
        <f>VLOOKUP($B220&amp;"__wt",'Xtal_SegEnds_BW#'!$A:$Z,12,FALSE)</f>
        <v>56</v>
      </c>
      <c r="M220" s="1">
        <f>VLOOKUP($B220&amp;"__wt",'Xtal_SegEnds_BW#'!$A:$Z,13,FALSE)</f>
        <v>50</v>
      </c>
      <c r="N220" s="1">
        <v>57</v>
      </c>
      <c r="O220" s="1">
        <v>39</v>
      </c>
      <c r="P220" s="1">
        <f>VLOOKUP($B220&amp;"__wt",'Xtal_SegEnds_BW#'!$A:$Z,16,FALSE)</f>
        <v>64</v>
      </c>
      <c r="Q220" s="1">
        <f>VLOOKUP($B220&amp;"__wt",'Xtal_SegEnds_BW#'!$A:$Z,17,FALSE)</f>
        <v>50</v>
      </c>
      <c r="R220" s="1">
        <f>VLOOKUP($B220&amp;"__wt",'Xtal_SegEnds_BW#'!$A:$Z,18,FALSE)</f>
        <v>52</v>
      </c>
      <c r="S220" s="1">
        <v>35</v>
      </c>
      <c r="T220" s="23">
        <f t="array" ref="T220">INDEX('ICL3'!$G$2:$G$31,MATCH(MIN(ABS(AF220-'ICL3'!$F$2:$F$31)),ABS(AF220-'ICL3'!$F$2:$F$31),0))</f>
        <v>74</v>
      </c>
      <c r="U220" s="1">
        <f t="array" ref="U220">INDEX('ICL3'!$H$2:$H$31,MATCH(MIN(ABS(AF220-'ICL3'!$F$2:$F$31)),ABS(AF220-'ICL3'!$F$2:$F$31),0))</f>
        <v>21</v>
      </c>
      <c r="V220" s="1">
        <v>61</v>
      </c>
      <c r="W220" s="1">
        <v>32</v>
      </c>
      <c r="X220" s="1">
        <f>VLOOKUP($B220&amp;"__wt",'Xtal_SegEnds_BW#'!$A:$Z,24,FALSE)</f>
        <v>56</v>
      </c>
      <c r="Y220" s="1">
        <f>VLOOKUP($B220&amp;"__wt",'Xtal_SegEnds_BW#'!$A:$Z,25,FALSE)</f>
        <v>47</v>
      </c>
      <c r="Z220" s="1">
        <f>VLOOKUP($B220&amp;"__wt",'Xtal_SegEnds_BW#'!$A:$Z,26,FALSE)</f>
        <v>58</v>
      </c>
      <c r="AA220" s="63" t="str">
        <f>VLOOKUP(A220,Classification!A:B,2,FALSE)</f>
        <v>A</v>
      </c>
      <c r="AB220" s="1">
        <f>VLOOKUP(A220,'NonXtal_SegEnds_Prot#'!A:AL,10,FALSE)-VLOOKUP(A220,'NonXtal_SegEnds_Prot#'!A:AL,7,FALSE)</f>
        <v>16</v>
      </c>
      <c r="AC220" s="1" t="e">
        <f>VLOOKUP(A220,'NonXtal_SegEnds_Prot#'!A:AL,13,FALSE)-VLOOKUP(A220,'NonXtal_SegEnds_Prot#'!A:AL,10,FALSE)</f>
        <v>#VALUE!</v>
      </c>
      <c r="AD220" s="1">
        <f>VLOOKUP(A220,'NonXtal_SegEnds_Prot#'!A:AL,16,FALSE)-VLOOKUP(A220,'NonXtal_SegEnds_Prot#'!A:AL,10,FALSE)</f>
        <v>52</v>
      </c>
      <c r="AE220" s="1">
        <f>VLOOKUP(A220,'NonXtal_SegEnds_Prot#'!A:AL,28,FALSE)-VLOOKUP(A220,'NonXtal_SegEnds_Prot#'!A:AL,25,FALSE)</f>
        <v>21</v>
      </c>
      <c r="AF220" s="1">
        <f>VLOOKUP(A220,'NonXtal_SegEnds_Prot#'!A:AL,31,FALSE)-VLOOKUP(A220,'NonXtal_SegEnds_Prot#'!A:AL,28,FALSE)</f>
        <v>66</v>
      </c>
      <c r="AG220" s="1">
        <f>VLOOKUP(A220,'NonXtal_SegEnds_Prot#'!A:AL,34,FALSE)-VLOOKUP(A220,'NonXtal_SegEnds_Prot#'!A:AL,31,FALSE)</f>
        <v>34</v>
      </c>
    </row>
    <row r="221" spans="1:33" x14ac:dyDescent="0.2">
      <c r="A221" s="1" t="s">
        <v>450</v>
      </c>
      <c r="B221" s="1" t="str">
        <f>VLOOKUP(A221,Xtal_Templ!A:B,2,FALSE)</f>
        <v>ntr1_rat</v>
      </c>
      <c r="C221" s="5">
        <f>VLOOKUP($B221&amp;"__wt",'Xtal_SegEnds_BW#'!$A:$Z,3,FALSE)</f>
        <v>29</v>
      </c>
      <c r="D221" s="1">
        <f>VLOOKUP($B221&amp;"__wt",'Xtal_SegEnds_BW#'!$A:$Z,4,FALSE)</f>
        <v>60</v>
      </c>
      <c r="E221" s="1">
        <f>VLOOKUP($B221&amp;"__wt",'Xtal_SegEnds_BW#'!$A:$Z,5,FALSE)</f>
        <v>48</v>
      </c>
      <c r="F221" s="1">
        <f>VLOOKUP($B221&amp;"__wt",'Xtal_SegEnds_BW#'!$A:$Z,6,FALSE)</f>
        <v>51</v>
      </c>
      <c r="G221" s="1">
        <v>37</v>
      </c>
      <c r="H221" s="1">
        <f>VLOOKUP($B221&amp;"__wt",'Xtal_SegEnds_BW#'!$A:$Z,8,FALSE)</f>
        <v>68</v>
      </c>
      <c r="I221" s="1">
        <f>VLOOKUP($B221&amp;"__wt",'Xtal_SegEnds_BW#'!$A:$Z,9,FALSE)</f>
        <v>49</v>
      </c>
      <c r="J221" s="1">
        <f>VLOOKUP($B221&amp;"__wt",'Xtal_SegEnds_BW#'!$A:$Z,10,FALSE)</f>
        <v>52</v>
      </c>
      <c r="K221" s="1">
        <v>18</v>
      </c>
      <c r="L221" s="1">
        <f>VLOOKUP($B221&amp;"__wt",'Xtal_SegEnds_BW#'!$A:$Z,12,FALSE)</f>
        <v>56</v>
      </c>
      <c r="M221" s="1">
        <f>VLOOKUP($B221&amp;"__wt",'Xtal_SegEnds_BW#'!$A:$Z,13,FALSE)</f>
        <v>50</v>
      </c>
      <c r="N221" s="1">
        <v>57</v>
      </c>
      <c r="O221" s="1">
        <v>39</v>
      </c>
      <c r="P221" s="1">
        <f>VLOOKUP($B221&amp;"__wt",'Xtal_SegEnds_BW#'!$A:$Z,16,FALSE)</f>
        <v>64</v>
      </c>
      <c r="Q221" s="1">
        <f>VLOOKUP($B221&amp;"__wt",'Xtal_SegEnds_BW#'!$A:$Z,17,FALSE)</f>
        <v>50</v>
      </c>
      <c r="R221" s="1">
        <f>VLOOKUP($B221&amp;"__wt",'Xtal_SegEnds_BW#'!$A:$Z,18,FALSE)</f>
        <v>52</v>
      </c>
      <c r="S221" s="1">
        <v>35</v>
      </c>
      <c r="T221" s="23">
        <f t="array" ref="T221">INDEX('ICL3'!$G$2:$G$31,MATCH(MIN(ABS(AF221-'ICL3'!$F$2:$F$31)),ABS(AF221-'ICL3'!$F$2:$F$31),0))</f>
        <v>76</v>
      </c>
      <c r="U221" s="1">
        <f t="array" ref="U221">INDEX('ICL3'!$H$2:$H$31,MATCH(MIN(ABS(AF221-'ICL3'!$F$2:$F$31)),ABS(AF221-'ICL3'!$F$2:$F$31),0))</f>
        <v>24</v>
      </c>
      <c r="V221" s="1">
        <v>61</v>
      </c>
      <c r="W221" s="1">
        <v>24</v>
      </c>
      <c r="X221" s="1">
        <f>VLOOKUP($B221&amp;"__wt",'Xtal_SegEnds_BW#'!$A:$Z,24,FALSE)</f>
        <v>56</v>
      </c>
      <c r="Y221" s="1">
        <f>VLOOKUP($B221&amp;"__wt",'Xtal_SegEnds_BW#'!$A:$Z,25,FALSE)</f>
        <v>47</v>
      </c>
      <c r="Z221" s="1">
        <f>VLOOKUP($B221&amp;"__wt",'Xtal_SegEnds_BW#'!$A:$Z,26,FALSE)</f>
        <v>58</v>
      </c>
      <c r="AA221" s="63" t="str">
        <f>VLOOKUP(A221,Classification!A:B,2,FALSE)</f>
        <v>A</v>
      </c>
      <c r="AB221" s="1" t="e">
        <f>VLOOKUP(A221,'NonXtal_SegEnds_Prot#'!A:AL,10,FALSE)-VLOOKUP(A221,'NonXtal_SegEnds_Prot#'!A:AL,7,FALSE)</f>
        <v>#VALUE!</v>
      </c>
      <c r="AC221" s="1" t="e">
        <f>VLOOKUP(A221,'NonXtal_SegEnds_Prot#'!A:AL,13,FALSE)-VLOOKUP(A221,'NonXtal_SegEnds_Prot#'!A:AL,10,FALSE)</f>
        <v>#VALUE!</v>
      </c>
      <c r="AD221" s="1">
        <f>VLOOKUP(A221,'NonXtal_SegEnds_Prot#'!A:AL,16,FALSE)-VLOOKUP(A221,'NonXtal_SegEnds_Prot#'!A:AL,10,FALSE)</f>
        <v>54</v>
      </c>
      <c r="AE221" s="1">
        <f>VLOOKUP(A221,'NonXtal_SegEnds_Prot#'!A:AL,28,FALSE)-VLOOKUP(A221,'NonXtal_SegEnds_Prot#'!A:AL,25,FALSE)</f>
        <v>21</v>
      </c>
      <c r="AF221" s="1">
        <f>VLOOKUP(A221,'NonXtal_SegEnds_Prot#'!A:AL,31,FALSE)-VLOOKUP(A221,'NonXtal_SegEnds_Prot#'!A:AL,28,FALSE)</f>
        <v>67</v>
      </c>
      <c r="AG221" s="1">
        <f>VLOOKUP(A221,'NonXtal_SegEnds_Prot#'!A:AL,34,FALSE)-VLOOKUP(A221,'NonXtal_SegEnds_Prot#'!A:AL,31,FALSE)</f>
        <v>43</v>
      </c>
    </row>
    <row r="222" spans="1:33" x14ac:dyDescent="0.2">
      <c r="A222" s="1" t="s">
        <v>465</v>
      </c>
      <c r="B222" s="1" t="str">
        <f>VLOOKUP(A222,Xtal_Templ!A:B,2,FALSE)</f>
        <v>5ht2b_human</v>
      </c>
      <c r="C222" s="5">
        <f>VLOOKUP($B222&amp;"__wt",'Xtal_SegEnds_BW#'!$A:$Z,3,FALSE)</f>
        <v>32</v>
      </c>
      <c r="D222" s="1">
        <f>VLOOKUP($B222&amp;"__wt",'Xtal_SegEnds_BW#'!$A:$Z,4,FALSE)</f>
        <v>60</v>
      </c>
      <c r="E222" s="1">
        <f>VLOOKUP($B222&amp;"__wt",'Xtal_SegEnds_BW#'!$A:$Z,5,FALSE)</f>
        <v>48</v>
      </c>
      <c r="F222" s="1">
        <f>VLOOKUP($B222&amp;"__wt",'Xtal_SegEnds_BW#'!$A:$Z,6,FALSE)</f>
        <v>51</v>
      </c>
      <c r="G222" s="1">
        <v>37</v>
      </c>
      <c r="H222" s="1">
        <f>VLOOKUP($B222&amp;"__wt",'Xtal_SegEnds_BW#'!$A:$Z,8,FALSE)</f>
        <v>67</v>
      </c>
      <c r="I222" s="1">
        <f>VLOOKUP($B222&amp;"__wt",'Xtal_SegEnds_BW#'!$A:$Z,9,FALSE)</f>
        <v>49</v>
      </c>
      <c r="J222" s="1">
        <f>VLOOKUP($B222&amp;"__wt",'Xtal_SegEnds_BW#'!$A:$Z,10,FALSE)</f>
        <v>52</v>
      </c>
      <c r="K222" s="1">
        <v>18</v>
      </c>
      <c r="L222" s="1">
        <f>VLOOKUP($B222&amp;"__wt",'Xtal_SegEnds_BW#'!$A:$Z,12,FALSE)</f>
        <v>56</v>
      </c>
      <c r="M222" s="1">
        <f>VLOOKUP($B222&amp;"__wt",'Xtal_SegEnds_BW#'!$A:$Z,13,FALSE)</f>
        <v>50</v>
      </c>
      <c r="N222" s="1">
        <v>57</v>
      </c>
      <c r="O222" s="1">
        <v>39</v>
      </c>
      <c r="P222" s="1">
        <f>VLOOKUP($B222&amp;"__wt",'Xtal_SegEnds_BW#'!$A:$Z,16,FALSE)</f>
        <v>64</v>
      </c>
      <c r="Q222" s="1">
        <f>VLOOKUP($B222&amp;"__wt",'Xtal_SegEnds_BW#'!$A:$Z,17,FALSE)</f>
        <v>50</v>
      </c>
      <c r="R222" s="1">
        <f>VLOOKUP($B222&amp;"__wt",'Xtal_SegEnds_BW#'!$A:$Z,18,FALSE)</f>
        <v>52</v>
      </c>
      <c r="S222" s="1">
        <v>35</v>
      </c>
      <c r="T222" s="23">
        <f t="array" ref="T222">INDEX('ICL3'!$G$2:$G$31,MATCH(MIN(ABS(AF222-'ICL3'!$F$2:$F$31)),ABS(AF222-'ICL3'!$F$2:$F$31),0))</f>
        <v>76</v>
      </c>
      <c r="U222" s="1">
        <f t="array" ref="U222">INDEX('ICL3'!$H$2:$H$31,MATCH(MIN(ABS(AF222-'ICL3'!$F$2:$F$31)),ABS(AF222-'ICL3'!$F$2:$F$31),0))</f>
        <v>24</v>
      </c>
      <c r="V222" s="1">
        <v>61</v>
      </c>
      <c r="W222" s="1">
        <v>31</v>
      </c>
      <c r="X222" s="1">
        <f>VLOOKUP($B222&amp;"__wt",'Xtal_SegEnds_BW#'!$A:$Z,24,FALSE)</f>
        <v>56</v>
      </c>
      <c r="Y222" s="1">
        <f>VLOOKUP($B222&amp;"__wt",'Xtal_SegEnds_BW#'!$A:$Z,25,FALSE)</f>
        <v>47</v>
      </c>
      <c r="Z222" s="1">
        <f>VLOOKUP($B222&amp;"__wt",'Xtal_SegEnds_BW#'!$A:$Z,26,FALSE)</f>
        <v>58</v>
      </c>
      <c r="AA222" s="63" t="str">
        <f>VLOOKUP(A222,Classification!A:B,2,FALSE)</f>
        <v>A</v>
      </c>
      <c r="AB222" s="1">
        <f>VLOOKUP(A222,'NonXtal_SegEnds_Prot#'!A:AL,10,FALSE)-VLOOKUP(A222,'NonXtal_SegEnds_Prot#'!A:AL,7,FALSE)</f>
        <v>15</v>
      </c>
      <c r="AC222" s="1">
        <f>VLOOKUP(A222,'NonXtal_SegEnds_Prot#'!A:AL,13,FALSE)-VLOOKUP(A222,'NonXtal_SegEnds_Prot#'!A:AL,10,FALSE)</f>
        <v>21</v>
      </c>
      <c r="AD222" s="1">
        <f>VLOOKUP(A222,'NonXtal_SegEnds_Prot#'!A:AL,16,FALSE)-VLOOKUP(A222,'NonXtal_SegEnds_Prot#'!A:AL,10,FALSE)</f>
        <v>53</v>
      </c>
      <c r="AE222" s="1">
        <f>VLOOKUP(A222,'NonXtal_SegEnds_Prot#'!A:AL,28,FALSE)-VLOOKUP(A222,'NonXtal_SegEnds_Prot#'!A:AL,25,FALSE)</f>
        <v>61</v>
      </c>
      <c r="AF222" s="1">
        <f>VLOOKUP(A222,'NonXtal_SegEnds_Prot#'!A:AL,31,FALSE)-VLOOKUP(A222,'NonXtal_SegEnds_Prot#'!A:AL,28,FALSE)</f>
        <v>67</v>
      </c>
      <c r="AG222" s="1">
        <f>VLOOKUP(A222,'NonXtal_SegEnds_Prot#'!A:AL,34,FALSE)-VLOOKUP(A222,'NonXtal_SegEnds_Prot#'!A:AL,31,FALSE)</f>
        <v>36</v>
      </c>
    </row>
    <row r="223" spans="1:33" x14ac:dyDescent="0.2">
      <c r="A223" s="1" t="s">
        <v>518</v>
      </c>
      <c r="B223" s="1" t="str">
        <f>VLOOKUP(A223,Xtal_Templ!A:B,2,FALSE)</f>
        <v>ox2r_human</v>
      </c>
      <c r="C223" s="5">
        <f>VLOOKUP($B223&amp;"__wt",'Xtal_SegEnds_BW#'!$A:$Z,3,FALSE)</f>
        <v>31</v>
      </c>
      <c r="D223" s="1">
        <f>VLOOKUP($B223&amp;"__wt",'Xtal_SegEnds_BW#'!$A:$Z,4,FALSE)</f>
        <v>60</v>
      </c>
      <c r="E223" s="1">
        <f>VLOOKUP($B223&amp;"__wt",'Xtal_SegEnds_BW#'!$A:$Z,5,FALSE)</f>
        <v>48</v>
      </c>
      <c r="F223" s="1">
        <f>VLOOKUP($B223&amp;"__wt",'Xtal_SegEnds_BW#'!$A:$Z,6,FALSE)</f>
        <v>51</v>
      </c>
      <c r="G223" s="1">
        <v>37</v>
      </c>
      <c r="H223" s="1">
        <f>VLOOKUP($B223&amp;"__wt",'Xtal_SegEnds_BW#'!$A:$Z,8,FALSE)</f>
        <v>67</v>
      </c>
      <c r="I223" s="1">
        <f>VLOOKUP($B223&amp;"__wt",'Xtal_SegEnds_BW#'!$A:$Z,9,FALSE)</f>
        <v>49</v>
      </c>
      <c r="J223" s="1">
        <f>VLOOKUP($B223&amp;"__wt",'Xtal_SegEnds_BW#'!$A:$Z,10,FALSE)</f>
        <v>52</v>
      </c>
      <c r="K223" s="1">
        <v>18</v>
      </c>
      <c r="L223" s="1">
        <f>VLOOKUP($B223&amp;"__wt",'Xtal_SegEnds_BW#'!$A:$Z,12,FALSE)</f>
        <v>56</v>
      </c>
      <c r="M223" s="1">
        <f>VLOOKUP($B223&amp;"__wt",'Xtal_SegEnds_BW#'!$A:$Z,13,FALSE)</f>
        <v>50</v>
      </c>
      <c r="N223" s="1">
        <v>56</v>
      </c>
      <c r="O223" s="1">
        <v>39</v>
      </c>
      <c r="P223" s="1">
        <f>VLOOKUP($B223&amp;"__wt",'Xtal_SegEnds_BW#'!$A:$Z,16,FALSE)</f>
        <v>64</v>
      </c>
      <c r="Q223" s="1">
        <f>VLOOKUP($B223&amp;"__wt",'Xtal_SegEnds_BW#'!$A:$Z,17,FALSE)</f>
        <v>50</v>
      </c>
      <c r="R223" s="1">
        <f>VLOOKUP($B223&amp;"__wt",'Xtal_SegEnds_BW#'!$A:$Z,18,FALSE)</f>
        <v>52</v>
      </c>
      <c r="S223" s="1">
        <f>VLOOKUP($B223&amp;"__wt",'Xtal_SegEnds_BW#'!$A:$Z,19,FALSE)</f>
        <v>32</v>
      </c>
      <c r="T223" s="23">
        <f t="array" ref="T223">INDEX('ICL3'!$G$2:$G$31,MATCH(MIN(ABS(AF223-'ICL3'!$F$2:$F$31)),ABS(AF223-'ICL3'!$F$2:$F$31),0))</f>
        <v>76</v>
      </c>
      <c r="U223" s="1">
        <f t="array" ref="U223">INDEX('ICL3'!$H$2:$H$31,MATCH(MIN(ABS(AF223-'ICL3'!$F$2:$F$31)),ABS(AF223-'ICL3'!$F$2:$F$31),0))</f>
        <v>24</v>
      </c>
      <c r="V223" s="1">
        <v>61</v>
      </c>
      <c r="W223" s="1">
        <v>28</v>
      </c>
      <c r="X223" s="1">
        <f>VLOOKUP($B223&amp;"__wt",'Xtal_SegEnds_BW#'!$A:$Z,24,FALSE)</f>
        <v>56</v>
      </c>
      <c r="Y223" s="1">
        <f>VLOOKUP($B223&amp;"__wt",'Xtal_SegEnds_BW#'!$A:$Z,25,FALSE)</f>
        <v>47</v>
      </c>
      <c r="Z223" s="1">
        <f>VLOOKUP($B223&amp;"__wt",'Xtal_SegEnds_BW#'!$A:$Z,26,FALSE)</f>
        <v>58</v>
      </c>
      <c r="AA223" s="63" t="str">
        <f>VLOOKUP(A223,Classification!A:B,2,FALSE)</f>
        <v>A</v>
      </c>
      <c r="AB223" s="1" t="e">
        <f>VLOOKUP(A223,'NonXtal_SegEnds_Prot#'!A:AL,10,FALSE)-VLOOKUP(A223,'NonXtal_SegEnds_Prot#'!A:AL,7,FALSE)</f>
        <v>#VALUE!</v>
      </c>
      <c r="AC223" s="1">
        <f>VLOOKUP(A223,'NonXtal_SegEnds_Prot#'!A:AL,13,FALSE)-VLOOKUP(A223,'NonXtal_SegEnds_Prot#'!A:AL,10,FALSE)</f>
        <v>20</v>
      </c>
      <c r="AD223" s="1">
        <f>VLOOKUP(A223,'NonXtal_SegEnds_Prot#'!A:AL,16,FALSE)-VLOOKUP(A223,'NonXtal_SegEnds_Prot#'!A:AL,10,FALSE)</f>
        <v>52</v>
      </c>
      <c r="AE223" s="1">
        <f>VLOOKUP(A223,'NonXtal_SegEnds_Prot#'!A:AL,28,FALSE)-VLOOKUP(A223,'NonXtal_SegEnds_Prot#'!A:AL,25,FALSE)</f>
        <v>25</v>
      </c>
      <c r="AF223" s="1">
        <f>VLOOKUP(A223,'NonXtal_SegEnds_Prot#'!A:AL,31,FALSE)-VLOOKUP(A223,'NonXtal_SegEnds_Prot#'!A:AL,28,FALSE)</f>
        <v>67</v>
      </c>
      <c r="AG223" s="1">
        <f>VLOOKUP(A223,'NonXtal_SegEnds_Prot#'!A:AL,34,FALSE)-VLOOKUP(A223,'NonXtal_SegEnds_Prot#'!A:AL,31,FALSE)</f>
        <v>38</v>
      </c>
    </row>
    <row r="224" spans="1:33" x14ac:dyDescent="0.2">
      <c r="A224" s="1" t="s">
        <v>414</v>
      </c>
      <c r="B224" s="1" t="str">
        <f>VLOOKUP(A224,Xtal_Templ!A:B,2,FALSE)</f>
        <v>5ht1b_human</v>
      </c>
      <c r="C224" s="5">
        <f>VLOOKUP($B224&amp;"__wt",'Xtal_SegEnds_BW#'!$A:$Z,3,FALSE)</f>
        <v>29</v>
      </c>
      <c r="D224" s="1">
        <f>VLOOKUP($B224&amp;"__wt",'Xtal_SegEnds_BW#'!$A:$Z,4,FALSE)</f>
        <v>60</v>
      </c>
      <c r="E224" s="1">
        <f>VLOOKUP($B224&amp;"__wt",'Xtal_SegEnds_BW#'!$A:$Z,5,FALSE)</f>
        <v>48</v>
      </c>
      <c r="F224" s="1">
        <f>VLOOKUP($B224&amp;"__wt",'Xtal_SegEnds_BW#'!$A:$Z,6,FALSE)</f>
        <v>51</v>
      </c>
      <c r="G224" s="1">
        <v>37</v>
      </c>
      <c r="H224" s="1">
        <v>66</v>
      </c>
      <c r="I224" s="1">
        <f>VLOOKUP($B224&amp;"__wt",'Xtal_SegEnds_BW#'!$A:$Z,9,FALSE)</f>
        <v>49</v>
      </c>
      <c r="J224" s="1">
        <f>VLOOKUP($B224&amp;"__wt",'Xtal_SegEnds_BW#'!$A:$Z,10,FALSE)</f>
        <v>52</v>
      </c>
      <c r="K224" s="1">
        <v>24</v>
      </c>
      <c r="L224" s="1">
        <f>VLOOKUP($B224&amp;"__wt",'Xtal_SegEnds_BW#'!$A:$Z,12,FALSE)</f>
        <v>56</v>
      </c>
      <c r="M224" s="1">
        <f>VLOOKUP($B224&amp;"__wt",'Xtal_SegEnds_BW#'!$A:$Z,13,FALSE)</f>
        <v>50</v>
      </c>
      <c r="N224" s="1">
        <v>57</v>
      </c>
      <c r="O224" s="1">
        <v>39</v>
      </c>
      <c r="P224" s="1">
        <f>VLOOKUP($B224&amp;"__wt",'Xtal_SegEnds_BW#'!$A:$Z,16,FALSE)</f>
        <v>63</v>
      </c>
      <c r="Q224" s="1">
        <f>VLOOKUP($B224&amp;"__wt",'Xtal_SegEnds_BW#'!$A:$Z,17,FALSE)</f>
        <v>50</v>
      </c>
      <c r="R224" s="1">
        <f>VLOOKUP($B224&amp;"__wt",'Xtal_SegEnds_BW#'!$A:$Z,18,FALSE)</f>
        <v>52</v>
      </c>
      <c r="S224" s="1">
        <v>35</v>
      </c>
      <c r="T224" s="23">
        <f t="array" ref="T224">INDEX('ICL3'!$G$2:$G$31,MATCH(MIN(ABS(AF224-'ICL3'!$F$2:$F$31)),ABS(AF224-'ICL3'!$F$2:$F$31),0))</f>
        <v>76</v>
      </c>
      <c r="U224" s="1">
        <f t="array" ref="U224">INDEX('ICL3'!$H$2:$H$31,MATCH(MIN(ABS(AF224-'ICL3'!$F$2:$F$31)),ABS(AF224-'ICL3'!$F$2:$F$31),0))</f>
        <v>24</v>
      </c>
      <c r="V224" s="1">
        <v>58</v>
      </c>
      <c r="W224" s="1">
        <v>36</v>
      </c>
      <c r="X224" s="1">
        <f>VLOOKUP($B224&amp;"__wt",'Xtal_SegEnds_BW#'!$A:$Z,24,FALSE)</f>
        <v>56</v>
      </c>
      <c r="Y224" s="1">
        <f>VLOOKUP($B224&amp;"__wt",'Xtal_SegEnds_BW#'!$A:$Z,25,FALSE)</f>
        <v>47</v>
      </c>
      <c r="Z224" s="1">
        <f>VLOOKUP($B224&amp;"__wt",'Xtal_SegEnds_BW#'!$A:$Z,26,FALSE)</f>
        <v>58</v>
      </c>
      <c r="AA224" s="63" t="str">
        <f>VLOOKUP(A224,Classification!A:B,2,FALSE)</f>
        <v>A</v>
      </c>
      <c r="AB224" s="1">
        <f>VLOOKUP(A224,'NonXtal_SegEnds_Prot#'!A:AL,10,FALSE)-VLOOKUP(A224,'NonXtal_SegEnds_Prot#'!A:AL,7,FALSE)</f>
        <v>16</v>
      </c>
      <c r="AC224" s="1">
        <f>VLOOKUP(A224,'NonXtal_SegEnds_Prot#'!A:AL,13,FALSE)-VLOOKUP(A224,'NonXtal_SegEnds_Prot#'!A:AL,10,FALSE)</f>
        <v>18</v>
      </c>
      <c r="AD224" s="1">
        <f>VLOOKUP(A224,'NonXtal_SegEnds_Prot#'!A:AL,16,FALSE)-VLOOKUP(A224,'NonXtal_SegEnds_Prot#'!A:AL,10,FALSE)</f>
        <v>50</v>
      </c>
      <c r="AE224" s="1" t="e">
        <f>VLOOKUP(A224,'NonXtal_SegEnds_Prot#'!A:AL,28,FALSE)-VLOOKUP(A224,'NonXtal_SegEnds_Prot#'!A:AL,25,FALSE)</f>
        <v>#VALUE!</v>
      </c>
      <c r="AF224" s="1">
        <f>VLOOKUP(A224,'NonXtal_SegEnds_Prot#'!A:AL,31,FALSE)-VLOOKUP(A224,'NonXtal_SegEnds_Prot#'!A:AL,28,FALSE)</f>
        <v>68</v>
      </c>
      <c r="AG224" s="1">
        <f>VLOOKUP(A224,'NonXtal_SegEnds_Prot#'!A:AL,34,FALSE)-VLOOKUP(A224,'NonXtal_SegEnds_Prot#'!A:AL,31,FALSE)</f>
        <v>30</v>
      </c>
    </row>
    <row r="225" spans="1:33" x14ac:dyDescent="0.2">
      <c r="A225" s="1" t="s">
        <v>553</v>
      </c>
      <c r="B225" s="1" t="str">
        <f>VLOOKUP(A225,Xtal_Templ!A:B,2,FALSE)</f>
        <v>ox2r_human</v>
      </c>
      <c r="C225" s="5">
        <f>VLOOKUP($B225&amp;"__wt",'Xtal_SegEnds_BW#'!$A:$Z,3,FALSE)</f>
        <v>31</v>
      </c>
      <c r="D225" s="1">
        <f>VLOOKUP($B225&amp;"__wt",'Xtal_SegEnds_BW#'!$A:$Z,4,FALSE)</f>
        <v>60</v>
      </c>
      <c r="E225" s="1">
        <f>VLOOKUP($B225&amp;"__wt",'Xtal_SegEnds_BW#'!$A:$Z,5,FALSE)</f>
        <v>48</v>
      </c>
      <c r="F225" s="1">
        <f>VLOOKUP($B225&amp;"__wt",'Xtal_SegEnds_BW#'!$A:$Z,6,FALSE)</f>
        <v>51</v>
      </c>
      <c r="G225" s="1">
        <v>37</v>
      </c>
      <c r="H225" s="1">
        <f>VLOOKUP($B225&amp;"__wt",'Xtal_SegEnds_BW#'!$A:$Z,8,FALSE)</f>
        <v>67</v>
      </c>
      <c r="I225" s="1">
        <f>VLOOKUP($B225&amp;"__wt",'Xtal_SegEnds_BW#'!$A:$Z,9,FALSE)</f>
        <v>49</v>
      </c>
      <c r="J225" s="1">
        <f>VLOOKUP($B225&amp;"__wt",'Xtal_SegEnds_BW#'!$A:$Z,10,FALSE)</f>
        <v>52</v>
      </c>
      <c r="K225" s="1">
        <v>18</v>
      </c>
      <c r="L225" s="1">
        <f>VLOOKUP($B225&amp;"__wt",'Xtal_SegEnds_BW#'!$A:$Z,12,FALSE)</f>
        <v>56</v>
      </c>
      <c r="M225" s="1">
        <f>VLOOKUP($B225&amp;"__wt",'Xtal_SegEnds_BW#'!$A:$Z,13,FALSE)</f>
        <v>50</v>
      </c>
      <c r="N225" s="1">
        <v>57</v>
      </c>
      <c r="O225" s="1">
        <v>39</v>
      </c>
      <c r="P225" s="1">
        <f>VLOOKUP($B225&amp;"__wt",'Xtal_SegEnds_BW#'!$A:$Z,16,FALSE)</f>
        <v>64</v>
      </c>
      <c r="Q225" s="1">
        <f>VLOOKUP($B225&amp;"__wt",'Xtal_SegEnds_BW#'!$A:$Z,17,FALSE)</f>
        <v>50</v>
      </c>
      <c r="R225" s="1">
        <f>VLOOKUP($B225&amp;"__wt",'Xtal_SegEnds_BW#'!$A:$Z,18,FALSE)</f>
        <v>52</v>
      </c>
      <c r="S225" s="1">
        <f>VLOOKUP($B225&amp;"__wt",'Xtal_SegEnds_BW#'!$A:$Z,19,FALSE)</f>
        <v>32</v>
      </c>
      <c r="T225" s="23">
        <f t="array" ref="T225">INDEX('ICL3'!$G$2:$G$31,MATCH(MIN(ABS(AF225-'ICL3'!$F$2:$F$31)),ABS(AF225-'ICL3'!$F$2:$F$31),0))</f>
        <v>76</v>
      </c>
      <c r="U225" s="1">
        <f t="array" ref="U225">INDEX('ICL3'!$H$2:$H$31,MATCH(MIN(ABS(AF225-'ICL3'!$F$2:$F$31)),ABS(AF225-'ICL3'!$F$2:$F$31),0))</f>
        <v>24</v>
      </c>
      <c r="V225" s="1">
        <v>61</v>
      </c>
      <c r="W225" s="1">
        <v>28</v>
      </c>
      <c r="X225" s="9">
        <f>VLOOKUP($B225&amp;"__wt",'Xtal_SegEnds_BW#'!$A:$Z,24,FALSE)</f>
        <v>56</v>
      </c>
      <c r="Y225" s="1">
        <f>VLOOKUP($B225&amp;"__wt",'Xtal_SegEnds_BW#'!$A:$Z,25,FALSE)</f>
        <v>47</v>
      </c>
      <c r="Z225" s="1">
        <f>VLOOKUP($B225&amp;"__wt",'Xtal_SegEnds_BW#'!$A:$Z,26,FALSE)</f>
        <v>58</v>
      </c>
      <c r="AA225" s="63" t="str">
        <f>VLOOKUP(A225,Classification!A:B,2,FALSE)</f>
        <v>A</v>
      </c>
      <c r="AB225" s="1" t="e">
        <f>VLOOKUP(A225,'NonXtal_SegEnds_Prot#'!A:AL,10,FALSE)-VLOOKUP(A225,'NonXtal_SegEnds_Prot#'!A:AL,7,FALSE)</f>
        <v>#VALUE!</v>
      </c>
      <c r="AC225" s="1" t="e">
        <f>VLOOKUP(A225,'NonXtal_SegEnds_Prot#'!A:AL,13,FALSE)-VLOOKUP(A225,'NonXtal_SegEnds_Prot#'!A:AL,10,FALSE)</f>
        <v>#VALUE!</v>
      </c>
      <c r="AD225" s="1">
        <f>VLOOKUP(A225,'NonXtal_SegEnds_Prot#'!A:AL,16,FALSE)-VLOOKUP(A225,'NonXtal_SegEnds_Prot#'!A:AL,10,FALSE)</f>
        <v>58</v>
      </c>
      <c r="AE225" s="1">
        <f>VLOOKUP(A225,'NonXtal_SegEnds_Prot#'!A:AL,28,FALSE)-VLOOKUP(A225,'NonXtal_SegEnds_Prot#'!A:AL,25,FALSE)</f>
        <v>29</v>
      </c>
      <c r="AF225" s="1">
        <f>VLOOKUP(A225,'NonXtal_SegEnds_Prot#'!A:AL,31,FALSE)-VLOOKUP(A225,'NonXtal_SegEnds_Prot#'!A:AL,28,FALSE)</f>
        <v>68</v>
      </c>
      <c r="AG225" s="1">
        <f>VLOOKUP(A225,'NonXtal_SegEnds_Prot#'!A:AL,34,FALSE)-VLOOKUP(A225,'NonXtal_SegEnds_Prot#'!A:AL,31,FALSE)</f>
        <v>40</v>
      </c>
    </row>
    <row r="226" spans="1:33" x14ac:dyDescent="0.2">
      <c r="A226" s="1" t="s">
        <v>512</v>
      </c>
      <c r="B226" s="1" t="str">
        <f>VLOOKUP(A226,Xtal_Templ!A:B,2,FALSE)</f>
        <v>ntr1_rat</v>
      </c>
      <c r="C226" s="5">
        <f>VLOOKUP($B226&amp;"__wt",'Xtal_SegEnds_BW#'!$A:$Z,3,FALSE)</f>
        <v>29</v>
      </c>
      <c r="D226" s="1">
        <f>VLOOKUP($B226&amp;"__wt",'Xtal_SegEnds_BW#'!$A:$Z,4,FALSE)</f>
        <v>60</v>
      </c>
      <c r="E226" s="1">
        <f>VLOOKUP($B226&amp;"__wt",'Xtal_SegEnds_BW#'!$A:$Z,5,FALSE)</f>
        <v>48</v>
      </c>
      <c r="F226" s="1">
        <f>VLOOKUP($B226&amp;"__wt",'Xtal_SegEnds_BW#'!$A:$Z,6,FALSE)</f>
        <v>51</v>
      </c>
      <c r="G226" s="1">
        <v>37</v>
      </c>
      <c r="H226" s="1">
        <v>66</v>
      </c>
      <c r="I226" s="1">
        <f>VLOOKUP($B226&amp;"__wt",'Xtal_SegEnds_BW#'!$A:$Z,9,FALSE)</f>
        <v>49</v>
      </c>
      <c r="J226" s="1">
        <f>VLOOKUP($B226&amp;"__wt",'Xtal_SegEnds_BW#'!$A:$Z,10,FALSE)</f>
        <v>52</v>
      </c>
      <c r="K226" s="1">
        <v>18</v>
      </c>
      <c r="L226" s="1">
        <f>VLOOKUP($B226&amp;"__wt",'Xtal_SegEnds_BW#'!$A:$Z,12,FALSE)</f>
        <v>56</v>
      </c>
      <c r="M226" s="1">
        <f>VLOOKUP($B226&amp;"__wt",'Xtal_SegEnds_BW#'!$A:$Z,13,FALSE)</f>
        <v>50</v>
      </c>
      <c r="N226" s="1">
        <v>57</v>
      </c>
      <c r="O226" s="1">
        <v>39</v>
      </c>
      <c r="P226" s="1">
        <f>VLOOKUP($B226&amp;"__wt",'Xtal_SegEnds_BW#'!$A:$Z,16,FALSE)</f>
        <v>64</v>
      </c>
      <c r="Q226" s="1">
        <f>VLOOKUP($B226&amp;"__wt",'Xtal_SegEnds_BW#'!$A:$Z,17,FALSE)</f>
        <v>50</v>
      </c>
      <c r="R226" s="1">
        <f>VLOOKUP($B226&amp;"__wt",'Xtal_SegEnds_BW#'!$A:$Z,18,FALSE)</f>
        <v>52</v>
      </c>
      <c r="S226" s="1">
        <f>VLOOKUP($B226&amp;"__wt",'Xtal_SegEnds_BW#'!$A:$Z,19,FALSE)</f>
        <v>32</v>
      </c>
      <c r="T226" s="23">
        <f t="array" ref="T226">INDEX('ICL3'!$G$2:$G$31,MATCH(MIN(ABS(AF226-'ICL3'!$F$2:$F$31)),ABS(AF226-'ICL3'!$F$2:$F$31),0))</f>
        <v>76</v>
      </c>
      <c r="U226" s="1">
        <f t="array" ref="U226">INDEX('ICL3'!$H$2:$H$31,MATCH(MIN(ABS(AF226-'ICL3'!$F$2:$F$31)),ABS(AF226-'ICL3'!$F$2:$F$31),0))</f>
        <v>24</v>
      </c>
      <c r="V226" s="1">
        <v>61</v>
      </c>
      <c r="W226" s="1">
        <v>28</v>
      </c>
      <c r="X226" s="1">
        <f>VLOOKUP($B226&amp;"__wt",'Xtal_SegEnds_BW#'!$A:$Z,24,FALSE)</f>
        <v>56</v>
      </c>
      <c r="Y226" s="1">
        <f>VLOOKUP($B226&amp;"__wt",'Xtal_SegEnds_BW#'!$A:$Z,25,FALSE)</f>
        <v>47</v>
      </c>
      <c r="Z226" s="1">
        <f>VLOOKUP($B226&amp;"__wt",'Xtal_SegEnds_BW#'!$A:$Z,26,FALSE)</f>
        <v>58</v>
      </c>
      <c r="AA226" s="63" t="str">
        <f>VLOOKUP(A226,Classification!A:B,2,FALSE)</f>
        <v>A</v>
      </c>
      <c r="AB226" s="1">
        <f>VLOOKUP(A226,'NonXtal_SegEnds_Prot#'!A:AL,10,FALSE)-VLOOKUP(A226,'NonXtal_SegEnds_Prot#'!A:AL,7,FALSE)</f>
        <v>15</v>
      </c>
      <c r="AC226" s="1">
        <f>VLOOKUP(A226,'NonXtal_SegEnds_Prot#'!A:AL,13,FALSE)-VLOOKUP(A226,'NonXtal_SegEnds_Prot#'!A:AL,10,FALSE)</f>
        <v>19</v>
      </c>
      <c r="AD226" s="1">
        <f>VLOOKUP(A226,'NonXtal_SegEnds_Prot#'!A:AL,16,FALSE)-VLOOKUP(A226,'NonXtal_SegEnds_Prot#'!A:AL,10,FALSE)</f>
        <v>53</v>
      </c>
      <c r="AE226" s="1">
        <f>VLOOKUP(A226,'NonXtal_SegEnds_Prot#'!A:AL,28,FALSE)-VLOOKUP(A226,'NonXtal_SegEnds_Prot#'!A:AL,25,FALSE)</f>
        <v>24</v>
      </c>
      <c r="AF226" s="1">
        <f>VLOOKUP(A226,'NonXtal_SegEnds_Prot#'!A:AL,31,FALSE)-VLOOKUP(A226,'NonXtal_SegEnds_Prot#'!A:AL,28,FALSE)</f>
        <v>69</v>
      </c>
      <c r="AG226" s="1">
        <f>VLOOKUP(A226,'NonXtal_SegEnds_Prot#'!A:AL,34,FALSE)-VLOOKUP(A226,'NonXtal_SegEnds_Prot#'!A:AL,31,FALSE)</f>
        <v>41</v>
      </c>
    </row>
    <row r="227" spans="1:33" x14ac:dyDescent="0.2">
      <c r="A227" s="1" t="s">
        <v>593</v>
      </c>
      <c r="B227" s="1" t="str">
        <f>VLOOKUP(A227,Xtal_Templ!A:B,2,FALSE)</f>
        <v>oprx_human</v>
      </c>
      <c r="C227" s="5">
        <f>VLOOKUP($B227&amp;"__wt",'Xtal_SegEnds_BW#'!$A:$Z,3,FALSE)</f>
        <v>29</v>
      </c>
      <c r="D227" s="1">
        <f>VLOOKUP($B227&amp;"__wt",'Xtal_SegEnds_BW#'!$A:$Z,4,FALSE)</f>
        <v>60</v>
      </c>
      <c r="E227" s="1">
        <f>VLOOKUP($B227&amp;"__wt",'Xtal_SegEnds_BW#'!$A:$Z,5,FALSE)</f>
        <v>48</v>
      </c>
      <c r="F227" s="1">
        <f>VLOOKUP($B227&amp;"__wt",'Xtal_SegEnds_BW#'!$A:$Z,6,FALSE)</f>
        <v>51</v>
      </c>
      <c r="G227" s="1">
        <v>37</v>
      </c>
      <c r="H227" s="1">
        <f>VLOOKUP($B227&amp;"__wt",'Xtal_SegEnds_BW#'!$A:$Z,8,FALSE)</f>
        <v>66</v>
      </c>
      <c r="I227" s="1">
        <f>VLOOKUP($B227&amp;"__wt",'Xtal_SegEnds_BW#'!$A:$Z,9,FALSE)</f>
        <v>49</v>
      </c>
      <c r="J227" s="1">
        <f>VLOOKUP($B227&amp;"__wt",'Xtal_SegEnds_BW#'!$A:$Z,10,FALSE)</f>
        <v>52</v>
      </c>
      <c r="K227" s="1">
        <v>18</v>
      </c>
      <c r="L227" s="1">
        <f>VLOOKUP($B227&amp;"__wt",'Xtal_SegEnds_BW#'!$A:$Z,12,FALSE)</f>
        <v>56</v>
      </c>
      <c r="M227" s="1">
        <f>VLOOKUP($B227&amp;"__wt",'Xtal_SegEnds_BW#'!$A:$Z,13,FALSE)</f>
        <v>50</v>
      </c>
      <c r="N227" s="1">
        <v>57</v>
      </c>
      <c r="O227" s="1">
        <v>39</v>
      </c>
      <c r="P227" s="1">
        <f>VLOOKUP($B227&amp;"__wt",'Xtal_SegEnds_BW#'!$A:$Z,16,FALSE)</f>
        <v>64</v>
      </c>
      <c r="Q227" s="1">
        <f>VLOOKUP($B227&amp;"__wt",'Xtal_SegEnds_BW#'!$A:$Z,17,FALSE)</f>
        <v>50</v>
      </c>
      <c r="R227" s="1">
        <f>VLOOKUP($B227&amp;"__wt",'Xtal_SegEnds_BW#'!$A:$Z,18,FALSE)</f>
        <v>52</v>
      </c>
      <c r="S227" s="1">
        <f>VLOOKUP($B227&amp;"__wt",'Xtal_SegEnds_BW#'!$A:$Z,19,FALSE)</f>
        <v>31</v>
      </c>
      <c r="T227" s="23">
        <f t="array" ref="T227">INDEX('ICL3'!$G$2:$G$31,MATCH(MIN(ABS(AF227-'ICL3'!$F$2:$F$31)),ABS(AF227-'ICL3'!$F$2:$F$31),0))</f>
        <v>76</v>
      </c>
      <c r="U227" s="1">
        <f t="array" ref="U227">INDEX('ICL3'!$H$2:$H$31,MATCH(MIN(ABS(AF227-'ICL3'!$F$2:$F$31)),ABS(AF227-'ICL3'!$F$2:$F$31),0))</f>
        <v>24</v>
      </c>
      <c r="V227" s="1">
        <v>61</v>
      </c>
      <c r="W227" s="1">
        <v>31</v>
      </c>
      <c r="X227" s="1">
        <f>VLOOKUP($B227&amp;"__wt",'Xtal_SegEnds_BW#'!$A:$Z,24,FALSE)</f>
        <v>56</v>
      </c>
      <c r="Y227" s="1">
        <f>VLOOKUP($B227&amp;"__wt",'Xtal_SegEnds_BW#'!$A:$Z,25,FALSE)</f>
        <v>47</v>
      </c>
      <c r="Z227" s="1">
        <f>VLOOKUP($B227&amp;"__wt",'Xtal_SegEnds_BW#'!$A:$Z,26,FALSE)</f>
        <v>59</v>
      </c>
      <c r="AA227" s="63" t="str">
        <f>VLOOKUP(A227,Classification!A:B,2,FALSE)</f>
        <v>A</v>
      </c>
      <c r="AB227" s="1">
        <f>VLOOKUP(A227,'NonXtal_SegEnds_Prot#'!A:AL,10,FALSE)-VLOOKUP(A227,'NonXtal_SegEnds_Prot#'!A:AL,7,FALSE)</f>
        <v>16</v>
      </c>
      <c r="AC227" s="1">
        <f>VLOOKUP(A227,'NonXtal_SegEnds_Prot#'!A:AL,13,FALSE)-VLOOKUP(A227,'NonXtal_SegEnds_Prot#'!A:AL,10,FALSE)</f>
        <v>18</v>
      </c>
      <c r="AD227" s="1">
        <f>VLOOKUP(A227,'NonXtal_SegEnds_Prot#'!A:AL,16,FALSE)-VLOOKUP(A227,'NonXtal_SegEnds_Prot#'!A:AL,10,FALSE)</f>
        <v>52</v>
      </c>
      <c r="AE227" s="1">
        <f>VLOOKUP(A227,'NonXtal_SegEnds_Prot#'!A:AL,28,FALSE)-VLOOKUP(A227,'NonXtal_SegEnds_Prot#'!A:AL,25,FALSE)</f>
        <v>25</v>
      </c>
      <c r="AF227" s="1">
        <f>VLOOKUP(A227,'NonXtal_SegEnds_Prot#'!A:AL,31,FALSE)-VLOOKUP(A227,'NonXtal_SegEnds_Prot#'!A:AL,28,FALSE)</f>
        <v>69</v>
      </c>
      <c r="AG227" s="1">
        <f>VLOOKUP(A227,'NonXtal_SegEnds_Prot#'!A:AL,34,FALSE)-VLOOKUP(A227,'NonXtal_SegEnds_Prot#'!A:AL,31,FALSE)</f>
        <v>36</v>
      </c>
    </row>
    <row r="228" spans="1:33" x14ac:dyDescent="0.2">
      <c r="A228" s="1" t="s">
        <v>328</v>
      </c>
      <c r="B228" s="1" t="str">
        <f>VLOOKUP(A228,Xtal_Templ!A:B,2,FALSE)</f>
        <v>adrb1_melga</v>
      </c>
      <c r="C228" s="5">
        <f>VLOOKUP($B228&amp;"__wt",'Xtal_SegEnds_BW#'!$A:$Z,3,FALSE)</f>
        <v>24</v>
      </c>
      <c r="D228" s="1">
        <f>VLOOKUP($B228&amp;"__wt",'Xtal_SegEnds_BW#'!$A:$Z,4,FALSE)</f>
        <v>60</v>
      </c>
      <c r="E228" s="1">
        <f>VLOOKUP($B228&amp;"__wt",'Xtal_SegEnds_BW#'!$A:$Z,5,FALSE)</f>
        <v>48</v>
      </c>
      <c r="F228" s="1">
        <f>VLOOKUP($B228&amp;"__wt",'Xtal_SegEnds_BW#'!$A:$Z,6,FALSE)</f>
        <v>51</v>
      </c>
      <c r="G228" s="1">
        <v>37</v>
      </c>
      <c r="H228" s="1">
        <f>VLOOKUP($B228&amp;"__wt",'Xtal_SegEnds_BW#'!$A:$Z,8,FALSE)</f>
        <v>67</v>
      </c>
      <c r="I228" s="1">
        <f>VLOOKUP($B228&amp;"__wt",'Xtal_SegEnds_BW#'!$A:$Z,9,FALSE)</f>
        <v>49</v>
      </c>
      <c r="J228" s="1">
        <f>VLOOKUP($B228&amp;"__wt",'Xtal_SegEnds_BW#'!$A:$Z,10,FALSE)</f>
        <v>52</v>
      </c>
      <c r="K228" s="1">
        <v>18</v>
      </c>
      <c r="L228" s="1">
        <f>VLOOKUP($B228&amp;"__wt",'Xtal_SegEnds_BW#'!$A:$Z,12,FALSE)</f>
        <v>56</v>
      </c>
      <c r="M228" s="1">
        <f>VLOOKUP($B228&amp;"__wt",'Xtal_SegEnds_BW#'!$A:$Z,13,FALSE)</f>
        <v>50</v>
      </c>
      <c r="N228" s="1">
        <v>57</v>
      </c>
      <c r="O228" s="1">
        <v>39</v>
      </c>
      <c r="P228" s="1">
        <f>VLOOKUP($B228&amp;"__wt",'Xtal_SegEnds_BW#'!$A:$Z,16,FALSE)</f>
        <v>64</v>
      </c>
      <c r="Q228" s="1">
        <f>VLOOKUP($B228&amp;"__wt",'Xtal_SegEnds_BW#'!$A:$Z,17,FALSE)</f>
        <v>50</v>
      </c>
      <c r="R228" s="1">
        <f>VLOOKUP($B228&amp;"__wt",'Xtal_SegEnds_BW#'!$A:$Z,18,FALSE)</f>
        <v>52</v>
      </c>
      <c r="S228" s="1">
        <v>35</v>
      </c>
      <c r="T228" s="23">
        <f t="array" ref="T228">INDEX('ICL3'!$G$2:$G$31,MATCH(MIN(ABS(AF228-'ICL3'!$F$2:$F$31)),ABS(AF228-'ICL3'!$F$2:$F$31),0))</f>
        <v>76</v>
      </c>
      <c r="U228" s="1">
        <f t="array" ref="U228">INDEX('ICL3'!$H$2:$H$31,MATCH(MIN(ABS(AF228-'ICL3'!$F$2:$F$31)),ABS(AF228-'ICL3'!$F$2:$F$31),0))</f>
        <v>24</v>
      </c>
      <c r="V228" s="1">
        <v>61</v>
      </c>
      <c r="W228" s="1">
        <v>31</v>
      </c>
      <c r="X228" s="81">
        <f>VLOOKUP($B228&amp;"__wt",'Xtal_SegEnds_BW#'!$A:$Z,24,FALSE)</f>
        <v>55</v>
      </c>
      <c r="Y228" s="1">
        <f>VLOOKUP($B228&amp;"__wt",'Xtal_SegEnds_BW#'!$A:$Z,25,FALSE)</f>
        <v>47</v>
      </c>
      <c r="Z228" s="1">
        <f>VLOOKUP($B228&amp;"__wt",'Xtal_SegEnds_BW#'!$A:$Z,26,FALSE)</f>
        <v>59</v>
      </c>
      <c r="AA228" s="63" t="str">
        <f>VLOOKUP(A228,Classification!A:B,2,FALSE)</f>
        <v>A</v>
      </c>
      <c r="AB228" s="1">
        <f>VLOOKUP(A228,'NonXtal_SegEnds_Prot#'!A:AL,10,FALSE)-VLOOKUP(A228,'NonXtal_SegEnds_Prot#'!A:AL,7,FALSE)</f>
        <v>16</v>
      </c>
      <c r="AC228" s="1">
        <f>VLOOKUP(A228,'NonXtal_SegEnds_Prot#'!A:AL,13,FALSE)-VLOOKUP(A228,'NonXtal_SegEnds_Prot#'!A:AL,10,FALSE)</f>
        <v>20</v>
      </c>
      <c r="AD228" s="1">
        <f>VLOOKUP(A228,'NonXtal_SegEnds_Prot#'!A:AL,16,FALSE)-VLOOKUP(A228,'NonXtal_SegEnds_Prot#'!A:AL,10,FALSE)</f>
        <v>52</v>
      </c>
      <c r="AE228" s="1">
        <f>VLOOKUP(A228,'NonXtal_SegEnds_Prot#'!A:AL,28,FALSE)-VLOOKUP(A228,'NonXtal_SegEnds_Prot#'!A:AL,25,FALSE)</f>
        <v>20</v>
      </c>
      <c r="AF228" s="1">
        <f>VLOOKUP(A228,'NonXtal_SegEnds_Prot#'!A:AL,31,FALSE)-VLOOKUP(A228,'NonXtal_SegEnds_Prot#'!A:AL,28,FALSE)</f>
        <v>70</v>
      </c>
      <c r="AG228" s="1">
        <f>VLOOKUP(A228,'NonXtal_SegEnds_Prot#'!A:AL,34,FALSE)-VLOOKUP(A228,'NonXtal_SegEnds_Prot#'!A:AL,31,FALSE)</f>
        <v>35</v>
      </c>
    </row>
    <row r="229" spans="1:33" x14ac:dyDescent="0.2">
      <c r="A229" s="1" t="s">
        <v>321</v>
      </c>
      <c r="B229" s="1" t="str">
        <f>VLOOKUP(A229,Xtal_Templ!A:B,2,FALSE)</f>
        <v>ntr1_rat</v>
      </c>
      <c r="C229" s="5">
        <f>VLOOKUP($B229&amp;"__wt",'Xtal_SegEnds_BW#'!$A:$Z,3,FALSE)</f>
        <v>29</v>
      </c>
      <c r="D229" s="1">
        <f>VLOOKUP($B229&amp;"__wt",'Xtal_SegEnds_BW#'!$A:$Z,4,FALSE)</f>
        <v>60</v>
      </c>
      <c r="E229" s="1">
        <f>VLOOKUP($B229&amp;"__wt",'Xtal_SegEnds_BW#'!$A:$Z,5,FALSE)</f>
        <v>48</v>
      </c>
      <c r="F229" s="1">
        <f>VLOOKUP($B229&amp;"__wt",'Xtal_SegEnds_BW#'!$A:$Z,6,FALSE)</f>
        <v>51</v>
      </c>
      <c r="G229" s="1">
        <v>37</v>
      </c>
      <c r="H229" s="1">
        <f>VLOOKUP($B229&amp;"__wt",'Xtal_SegEnds_BW#'!$A:$Z,8,FALSE)</f>
        <v>68</v>
      </c>
      <c r="I229" s="1">
        <f>VLOOKUP($B229&amp;"__wt",'Xtal_SegEnds_BW#'!$A:$Z,9,FALSE)</f>
        <v>49</v>
      </c>
      <c r="J229" s="1">
        <f>VLOOKUP($B229&amp;"__wt",'Xtal_SegEnds_BW#'!$A:$Z,10,FALSE)</f>
        <v>52</v>
      </c>
      <c r="K229" s="1">
        <v>18</v>
      </c>
      <c r="L229" s="1">
        <f>VLOOKUP($B229&amp;"__wt",'Xtal_SegEnds_BW#'!$A:$Z,12,FALSE)</f>
        <v>56</v>
      </c>
      <c r="M229" s="1">
        <f>VLOOKUP($B229&amp;"__wt",'Xtal_SegEnds_BW#'!$A:$Z,13,FALSE)</f>
        <v>50</v>
      </c>
      <c r="N229" s="1">
        <v>57</v>
      </c>
      <c r="O229" s="1">
        <v>39</v>
      </c>
      <c r="P229" s="1">
        <f>VLOOKUP($B229&amp;"__wt",'Xtal_SegEnds_BW#'!$A:$Z,16,FALSE)</f>
        <v>64</v>
      </c>
      <c r="Q229" s="1">
        <f>VLOOKUP($B229&amp;"__wt",'Xtal_SegEnds_BW#'!$A:$Z,17,FALSE)</f>
        <v>50</v>
      </c>
      <c r="R229" s="1">
        <f>VLOOKUP($B229&amp;"__wt",'Xtal_SegEnds_BW#'!$A:$Z,18,FALSE)</f>
        <v>52</v>
      </c>
      <c r="S229" s="1">
        <f>VLOOKUP($B229&amp;"__wt",'Xtal_SegEnds_BW#'!$A:$Z,19,FALSE)</f>
        <v>32</v>
      </c>
      <c r="T229" s="23">
        <f t="array" ref="T229">INDEX('ICL3'!$G$2:$G$31,MATCH(MIN(ABS(AF229-'ICL3'!$F$2:$F$31)),ABS(AF229-'ICL3'!$F$2:$F$31),0))</f>
        <v>76</v>
      </c>
      <c r="U229" s="1">
        <f t="array" ref="U229">INDEX('ICL3'!$H$2:$H$31,MATCH(MIN(ABS(AF229-'ICL3'!$F$2:$F$31)),ABS(AF229-'ICL3'!$F$2:$F$31),0))</f>
        <v>24</v>
      </c>
      <c r="V229" s="1">
        <v>61</v>
      </c>
      <c r="W229" s="1">
        <v>24</v>
      </c>
      <c r="X229" s="1">
        <f>VLOOKUP($B229&amp;"__wt",'Xtal_SegEnds_BW#'!$A:$Z,24,FALSE)</f>
        <v>56</v>
      </c>
      <c r="Y229" s="1">
        <f>VLOOKUP($B229&amp;"__wt",'Xtal_SegEnds_BW#'!$A:$Z,25,FALSE)</f>
        <v>47</v>
      </c>
      <c r="Z229" s="1">
        <f>VLOOKUP($B229&amp;"__wt",'Xtal_SegEnds_BW#'!$A:$Z,26,FALSE)</f>
        <v>58</v>
      </c>
      <c r="AA229" s="63" t="str">
        <f>VLOOKUP(A229,Classification!A:B,2,FALSE)</f>
        <v>A</v>
      </c>
      <c r="AB229" s="1">
        <f>VLOOKUP(A229,'NonXtal_SegEnds_Prot#'!A:AL,10,FALSE)-VLOOKUP(A229,'NonXtal_SegEnds_Prot#'!A:AL,7,FALSE)</f>
        <v>18</v>
      </c>
      <c r="AC229" s="1">
        <f>VLOOKUP(A229,'NonXtal_SegEnds_Prot#'!A:AL,13,FALSE)-VLOOKUP(A229,'NonXtal_SegEnds_Prot#'!A:AL,10,FALSE)</f>
        <v>22</v>
      </c>
      <c r="AD229" s="1">
        <f>VLOOKUP(A229,'NonXtal_SegEnds_Prot#'!A:AL,16,FALSE)-VLOOKUP(A229,'NonXtal_SegEnds_Prot#'!A:AL,10,FALSE)</f>
        <v>54</v>
      </c>
      <c r="AE229" s="1">
        <f>VLOOKUP(A229,'NonXtal_SegEnds_Prot#'!A:AL,28,FALSE)-VLOOKUP(A229,'NonXtal_SegEnds_Prot#'!A:AL,25,FALSE)</f>
        <v>24</v>
      </c>
      <c r="AF229" s="1">
        <f>VLOOKUP(A229,'NonXtal_SegEnds_Prot#'!A:AL,31,FALSE)-VLOOKUP(A229,'NonXtal_SegEnds_Prot#'!A:AL,28,FALSE)</f>
        <v>70</v>
      </c>
      <c r="AG229" s="1">
        <f>VLOOKUP(A229,'NonXtal_SegEnds_Prot#'!A:AL,34,FALSE)-VLOOKUP(A229,'NonXtal_SegEnds_Prot#'!A:AL,31,FALSE)</f>
        <v>43</v>
      </c>
    </row>
    <row r="230" spans="1:33" x14ac:dyDescent="0.2">
      <c r="A230" s="1" t="s">
        <v>556</v>
      </c>
      <c r="B230" s="1" t="str">
        <f>VLOOKUP(A230,Xtal_Templ!A:B,2,FALSE)</f>
        <v>ntr1_rat</v>
      </c>
      <c r="C230" s="5">
        <f>VLOOKUP($B230&amp;"__wt",'Xtal_SegEnds_BW#'!$A:$Z,3,FALSE)</f>
        <v>29</v>
      </c>
      <c r="D230" s="1">
        <f>VLOOKUP($B230&amp;"__wt",'Xtal_SegEnds_BW#'!$A:$Z,4,FALSE)</f>
        <v>60</v>
      </c>
      <c r="E230" s="1">
        <f>VLOOKUP($B230&amp;"__wt",'Xtal_SegEnds_BW#'!$A:$Z,5,FALSE)</f>
        <v>48</v>
      </c>
      <c r="F230" s="1">
        <f>VLOOKUP($B230&amp;"__wt",'Xtal_SegEnds_BW#'!$A:$Z,6,FALSE)</f>
        <v>51</v>
      </c>
      <c r="G230" s="1">
        <v>37</v>
      </c>
      <c r="H230" s="1">
        <f>VLOOKUP($B230&amp;"__wt",'Xtal_SegEnds_BW#'!$A:$Z,8,FALSE)</f>
        <v>68</v>
      </c>
      <c r="I230" s="1">
        <f>VLOOKUP($B230&amp;"__wt",'Xtal_SegEnds_BW#'!$A:$Z,9,FALSE)</f>
        <v>49</v>
      </c>
      <c r="J230" s="1">
        <f>VLOOKUP($B230&amp;"__wt",'Xtal_SegEnds_BW#'!$A:$Z,10,FALSE)</f>
        <v>52</v>
      </c>
      <c r="K230" s="1">
        <v>18</v>
      </c>
      <c r="L230" s="1">
        <f>VLOOKUP($B230&amp;"__wt",'Xtal_SegEnds_BW#'!$A:$Z,12,FALSE)</f>
        <v>56</v>
      </c>
      <c r="M230" s="1">
        <f>VLOOKUP($B230&amp;"__wt",'Xtal_SegEnds_BW#'!$A:$Z,13,FALSE)</f>
        <v>50</v>
      </c>
      <c r="N230" s="1">
        <v>57</v>
      </c>
      <c r="O230" s="1">
        <v>39</v>
      </c>
      <c r="P230" s="1">
        <f>VLOOKUP($B230&amp;"__wt",'Xtal_SegEnds_BW#'!$A:$Z,16,FALSE)</f>
        <v>64</v>
      </c>
      <c r="Q230" s="1">
        <f>VLOOKUP($B230&amp;"__wt",'Xtal_SegEnds_BW#'!$A:$Z,17,FALSE)</f>
        <v>50</v>
      </c>
      <c r="R230" s="1">
        <f>VLOOKUP($B230&amp;"__wt",'Xtal_SegEnds_BW#'!$A:$Z,18,FALSE)</f>
        <v>52</v>
      </c>
      <c r="S230" s="1">
        <v>35</v>
      </c>
      <c r="T230" s="23">
        <f t="array" ref="T230">INDEX('ICL3'!$G$2:$G$31,MATCH(MIN(ABS(AF230-'ICL3'!$F$2:$F$31)),ABS(AF230-'ICL3'!$F$2:$F$31),0))</f>
        <v>76</v>
      </c>
      <c r="U230" s="1">
        <f t="array" ref="U230">INDEX('ICL3'!$H$2:$H$31,MATCH(MIN(ABS(AF230-'ICL3'!$F$2:$F$31)),ABS(AF230-'ICL3'!$F$2:$F$31),0))</f>
        <v>24</v>
      </c>
      <c r="V230" s="1">
        <v>61</v>
      </c>
      <c r="W230" s="1">
        <v>33</v>
      </c>
      <c r="X230" s="1">
        <f>VLOOKUP($B230&amp;"__wt",'Xtal_SegEnds_BW#'!$A:$Z,24,FALSE)</f>
        <v>56</v>
      </c>
      <c r="Y230" s="1">
        <f>VLOOKUP($B230&amp;"__wt",'Xtal_SegEnds_BW#'!$A:$Z,25,FALSE)</f>
        <v>47</v>
      </c>
      <c r="Z230" s="1">
        <f>VLOOKUP($B230&amp;"__wt",'Xtal_SegEnds_BW#'!$A:$Z,26,FALSE)</f>
        <v>58</v>
      </c>
      <c r="AA230" s="63" t="str">
        <f>VLOOKUP(A230,Classification!A:B,2,FALSE)</f>
        <v>A</v>
      </c>
      <c r="AB230" s="1">
        <f>VLOOKUP(A230,'NonXtal_SegEnds_Prot#'!A:AL,10,FALSE)-VLOOKUP(A230,'NonXtal_SegEnds_Prot#'!A:AL,7,FALSE)</f>
        <v>20</v>
      </c>
      <c r="AC230" s="1" t="e">
        <f>VLOOKUP(A230,'NonXtal_SegEnds_Prot#'!A:AL,13,FALSE)-VLOOKUP(A230,'NonXtal_SegEnds_Prot#'!A:AL,10,FALSE)</f>
        <v>#VALUE!</v>
      </c>
      <c r="AD230" s="1">
        <f>VLOOKUP(A230,'NonXtal_SegEnds_Prot#'!A:AL,16,FALSE)-VLOOKUP(A230,'NonXtal_SegEnds_Prot#'!A:AL,10,FALSE)</f>
        <v>56</v>
      </c>
      <c r="AE230" s="1">
        <f>VLOOKUP(A230,'NonXtal_SegEnds_Prot#'!A:AL,28,FALSE)-VLOOKUP(A230,'NonXtal_SegEnds_Prot#'!A:AL,25,FALSE)</f>
        <v>22</v>
      </c>
      <c r="AF230" s="1">
        <f>VLOOKUP(A230,'NonXtal_SegEnds_Prot#'!A:AL,31,FALSE)-VLOOKUP(A230,'NonXtal_SegEnds_Prot#'!A:AL,28,FALSE)</f>
        <v>70</v>
      </c>
      <c r="AG230" s="1">
        <f>VLOOKUP(A230,'NonXtal_SegEnds_Prot#'!A:AL,34,FALSE)-VLOOKUP(A230,'NonXtal_SegEnds_Prot#'!A:AL,31,FALSE)</f>
        <v>33</v>
      </c>
    </row>
    <row r="231" spans="1:33" x14ac:dyDescent="0.2">
      <c r="A231" s="1" t="s">
        <v>376</v>
      </c>
      <c r="B231" s="1" t="str">
        <f>VLOOKUP(A231,Xtal_Templ!A:B,2,FALSE)</f>
        <v>lpar1_human</v>
      </c>
      <c r="C231" s="5">
        <f>VLOOKUP($B231&amp;"__wt",'Xtal_SegEnds_BW#'!$A:$Z,3,FALSE)</f>
        <v>30</v>
      </c>
      <c r="D231" s="1">
        <f>VLOOKUP($B231&amp;"__wt",'Xtal_SegEnds_BW#'!$A:$Z,4,FALSE)</f>
        <v>60</v>
      </c>
      <c r="E231" s="1">
        <f>VLOOKUP($B231&amp;"__wt",'Xtal_SegEnds_BW#'!$A:$Z,5,FALSE)</f>
        <v>48</v>
      </c>
      <c r="F231" s="1">
        <f>VLOOKUP($B231&amp;"__wt",'Xtal_SegEnds_BW#'!$A:$Z,6,FALSE)</f>
        <v>51</v>
      </c>
      <c r="G231" s="1">
        <v>37</v>
      </c>
      <c r="H231" s="1">
        <v>66</v>
      </c>
      <c r="I231" s="1">
        <v>48</v>
      </c>
      <c r="J231" s="1">
        <v>52</v>
      </c>
      <c r="K231" s="1">
        <v>18</v>
      </c>
      <c r="L231" s="1">
        <f>VLOOKUP($B231&amp;"__wt",'Xtal_SegEnds_BW#'!$A:$Z,12,FALSE)</f>
        <v>56</v>
      </c>
      <c r="M231" s="1">
        <f>VLOOKUP($B231&amp;"__wt",'Xtal_SegEnds_BW#'!$A:$Z,13,FALSE)</f>
        <v>50</v>
      </c>
      <c r="N231" s="1">
        <v>57</v>
      </c>
      <c r="O231" s="1">
        <v>39</v>
      </c>
      <c r="P231" s="1">
        <f>VLOOKUP($B231&amp;"__wt",'Xtal_SegEnds_BW#'!$A:$Z,16,FALSE)</f>
        <v>63</v>
      </c>
      <c r="Q231" s="1" t="str">
        <f>VLOOKUP($B231&amp;"__wt",'Xtal_SegEnds_BW#'!$A:$Z,17,FALSE)</f>
        <v>-</v>
      </c>
      <c r="R231" s="1" t="str">
        <f>VLOOKUP($B231&amp;"__wt",'Xtal_SegEnds_BW#'!$A:$Z,18,FALSE)</f>
        <v>-</v>
      </c>
      <c r="S231" s="1">
        <f>VLOOKUP($B231&amp;"__wt",'Xtal_SegEnds_BW#'!$A:$Z,19,FALSE)</f>
        <v>36</v>
      </c>
      <c r="T231" s="23">
        <f t="array" ref="T231">INDEX('ICL3'!$G$2:$G$31,MATCH(MIN(ABS(AF231-'ICL3'!$F$2:$F$31)),ABS(AF231-'ICL3'!$F$2:$F$31),0))</f>
        <v>76</v>
      </c>
      <c r="U231" s="1">
        <f t="array" ref="U231">INDEX('ICL3'!$H$2:$H$31,MATCH(MIN(ABS(AF231-'ICL3'!$F$2:$F$31)),ABS(AF231-'ICL3'!$F$2:$F$31),0))</f>
        <v>24</v>
      </c>
      <c r="V231" s="1">
        <v>61</v>
      </c>
      <c r="W231" s="1">
        <v>31</v>
      </c>
      <c r="X231" s="1">
        <f>VLOOKUP($B231&amp;"__wt",'Xtal_SegEnds_BW#'!$A:$Z,24,FALSE)</f>
        <v>56</v>
      </c>
      <c r="Y231" s="1">
        <f>VLOOKUP($B231&amp;"__wt",'Xtal_SegEnds_BW#'!$A:$Z,25,FALSE)</f>
        <v>47</v>
      </c>
      <c r="Z231" s="1">
        <f>VLOOKUP($B231&amp;"__wt",'Xtal_SegEnds_BW#'!$A:$Z,26,FALSE)</f>
        <v>59</v>
      </c>
      <c r="AA231" s="63" t="str">
        <f>VLOOKUP(A231,Classification!A:B,2,FALSE)</f>
        <v>A</v>
      </c>
      <c r="AB231" s="1">
        <f>VLOOKUP(A231,'NonXtal_SegEnds_Prot#'!A:AL,10,FALSE)-VLOOKUP(A231,'NonXtal_SegEnds_Prot#'!A:AL,7,FALSE)</f>
        <v>16</v>
      </c>
      <c r="AC231" s="1" t="e">
        <f>VLOOKUP(A231,'NonXtal_SegEnds_Prot#'!A:AL,13,FALSE)-VLOOKUP(A231,'NonXtal_SegEnds_Prot#'!A:AL,10,FALSE)</f>
        <v>#VALUE!</v>
      </c>
      <c r="AD231" s="1">
        <f>VLOOKUP(A231,'NonXtal_SegEnds_Prot#'!A:AL,16,FALSE)-VLOOKUP(A231,'NonXtal_SegEnds_Prot#'!A:AL,10,FALSE)</f>
        <v>51</v>
      </c>
      <c r="AE231" s="1" t="e">
        <f>VLOOKUP(A231,'NonXtal_SegEnds_Prot#'!A:AL,28,FALSE)-VLOOKUP(A231,'NonXtal_SegEnds_Prot#'!A:AL,25,FALSE)</f>
        <v>#VALUE!</v>
      </c>
      <c r="AF231" s="1">
        <f>VLOOKUP(A231,'NonXtal_SegEnds_Prot#'!A:AL,31,FALSE)-VLOOKUP(A231,'NonXtal_SegEnds_Prot#'!A:AL,28,FALSE)</f>
        <v>72</v>
      </c>
      <c r="AG231" s="1">
        <f>VLOOKUP(A231,'NonXtal_SegEnds_Prot#'!A:AL,34,FALSE)-VLOOKUP(A231,'NonXtal_SegEnds_Prot#'!A:AL,31,FALSE)</f>
        <v>36</v>
      </c>
    </row>
    <row r="232" spans="1:33" x14ac:dyDescent="0.2">
      <c r="A232" s="1" t="s">
        <v>441</v>
      </c>
      <c r="B232" s="1" t="str">
        <f>VLOOKUP(A232,Xtal_Templ!A:B,2,FALSE)</f>
        <v>ox2r_human</v>
      </c>
      <c r="C232" s="5">
        <f>VLOOKUP($B232&amp;"__wt",'Xtal_SegEnds_BW#'!$A:$Z,3,FALSE)</f>
        <v>31</v>
      </c>
      <c r="D232" s="1">
        <f>VLOOKUP($B232&amp;"__wt",'Xtal_SegEnds_BW#'!$A:$Z,4,FALSE)</f>
        <v>60</v>
      </c>
      <c r="E232" s="1">
        <f>VLOOKUP($B232&amp;"__wt",'Xtal_SegEnds_BW#'!$A:$Z,5,FALSE)</f>
        <v>48</v>
      </c>
      <c r="F232" s="1">
        <f>VLOOKUP($B232&amp;"__wt",'Xtal_SegEnds_BW#'!$A:$Z,6,FALSE)</f>
        <v>51</v>
      </c>
      <c r="G232" s="1">
        <v>37</v>
      </c>
      <c r="H232" s="1">
        <f>VLOOKUP($B232&amp;"__wt",'Xtal_SegEnds_BW#'!$A:$Z,8,FALSE)</f>
        <v>67</v>
      </c>
      <c r="I232" s="1">
        <f>VLOOKUP($B232&amp;"__wt",'Xtal_SegEnds_BW#'!$A:$Z,9,FALSE)</f>
        <v>49</v>
      </c>
      <c r="J232" s="1">
        <f>VLOOKUP($B232&amp;"__wt",'Xtal_SegEnds_BW#'!$A:$Z,10,FALSE)</f>
        <v>52</v>
      </c>
      <c r="K232" s="1">
        <v>18</v>
      </c>
      <c r="L232" s="1">
        <f>VLOOKUP($B232&amp;"__wt",'Xtal_SegEnds_BW#'!$A:$Z,12,FALSE)</f>
        <v>56</v>
      </c>
      <c r="M232" s="1">
        <f>VLOOKUP($B232&amp;"__wt",'Xtal_SegEnds_BW#'!$A:$Z,13,FALSE)</f>
        <v>50</v>
      </c>
      <c r="N232" s="1">
        <v>57</v>
      </c>
      <c r="O232" s="1">
        <v>39</v>
      </c>
      <c r="P232" s="1">
        <f>VLOOKUP($B232&amp;"__wt",'Xtal_SegEnds_BW#'!$A:$Z,16,FALSE)</f>
        <v>64</v>
      </c>
      <c r="Q232" s="1">
        <f>VLOOKUP($B232&amp;"__wt",'Xtal_SegEnds_BW#'!$A:$Z,17,FALSE)</f>
        <v>50</v>
      </c>
      <c r="R232" s="1">
        <f>VLOOKUP($B232&amp;"__wt",'Xtal_SegEnds_BW#'!$A:$Z,18,FALSE)</f>
        <v>52</v>
      </c>
      <c r="S232" s="1">
        <v>35</v>
      </c>
      <c r="T232" s="23">
        <f t="array" ref="T232">INDEX('ICL3'!$G$2:$G$31,MATCH(MIN(ABS(AF232-'ICL3'!$F$2:$F$31)),ABS(AF232-'ICL3'!$F$2:$F$31),0))</f>
        <v>76</v>
      </c>
      <c r="U232" s="1">
        <f t="array" ref="U232">INDEX('ICL3'!$H$2:$H$31,MATCH(MIN(ABS(AF232-'ICL3'!$F$2:$F$31)),ABS(AF232-'ICL3'!$F$2:$F$31),0))</f>
        <v>24</v>
      </c>
      <c r="V232" s="1">
        <v>61</v>
      </c>
      <c r="W232" s="1">
        <v>31</v>
      </c>
      <c r="X232" s="1">
        <f>VLOOKUP($B232&amp;"__wt",'Xtal_SegEnds_BW#'!$A:$Z,24,FALSE)</f>
        <v>56</v>
      </c>
      <c r="Y232" s="1">
        <f>VLOOKUP($B232&amp;"__wt",'Xtal_SegEnds_BW#'!$A:$Z,25,FALSE)</f>
        <v>47</v>
      </c>
      <c r="Z232" s="1">
        <f>VLOOKUP($B232&amp;"__wt",'Xtal_SegEnds_BW#'!$A:$Z,26,FALSE)</f>
        <v>58</v>
      </c>
      <c r="AA232" s="63" t="str">
        <f>VLOOKUP(A232,Classification!A:B,2,FALSE)</f>
        <v>A</v>
      </c>
      <c r="AB232" s="1">
        <f>VLOOKUP(A232,'NonXtal_SegEnds_Prot#'!A:AL,10,FALSE)-VLOOKUP(A232,'NonXtal_SegEnds_Prot#'!A:AL,7,FALSE)</f>
        <v>16</v>
      </c>
      <c r="AC232" s="1" t="e">
        <f>VLOOKUP(A232,'NonXtal_SegEnds_Prot#'!A:AL,13,FALSE)-VLOOKUP(A232,'NonXtal_SegEnds_Prot#'!A:AL,10,FALSE)</f>
        <v>#VALUE!</v>
      </c>
      <c r="AD232" s="1">
        <f>VLOOKUP(A232,'NonXtal_SegEnds_Prot#'!A:AL,16,FALSE)-VLOOKUP(A232,'NonXtal_SegEnds_Prot#'!A:AL,10,FALSE)</f>
        <v>52</v>
      </c>
      <c r="AE232" s="1">
        <f>VLOOKUP(A232,'NonXtal_SegEnds_Prot#'!A:AL,28,FALSE)-VLOOKUP(A232,'NonXtal_SegEnds_Prot#'!A:AL,25,FALSE)</f>
        <v>25</v>
      </c>
      <c r="AF232" s="1">
        <f>VLOOKUP(A232,'NonXtal_SegEnds_Prot#'!A:AL,31,FALSE)-VLOOKUP(A232,'NonXtal_SegEnds_Prot#'!A:AL,28,FALSE)</f>
        <v>72</v>
      </c>
      <c r="AG232" s="1">
        <f>VLOOKUP(A232,'NonXtal_SegEnds_Prot#'!A:AL,34,FALSE)-VLOOKUP(A232,'NonXtal_SegEnds_Prot#'!A:AL,31,FALSE)</f>
        <v>35</v>
      </c>
    </row>
    <row r="233" spans="1:33" x14ac:dyDescent="0.2">
      <c r="A233" s="1" t="s">
        <v>458</v>
      </c>
      <c r="B233" s="1" t="str">
        <f>VLOOKUP(A233,Xtal_Templ!A:B,2,FALSE)</f>
        <v>drd3_human</v>
      </c>
      <c r="C233" s="5">
        <f>VLOOKUP($B233&amp;"__wt",'Xtal_SegEnds_BW#'!$A:$Z,3,FALSE)</f>
        <v>29</v>
      </c>
      <c r="D233" s="1">
        <f>VLOOKUP($B233&amp;"__wt",'Xtal_SegEnds_BW#'!$A:$Z,4,FALSE)</f>
        <v>60</v>
      </c>
      <c r="E233" s="1">
        <f>VLOOKUP($B233&amp;"__wt",'Xtal_SegEnds_BW#'!$A:$Z,5,FALSE)</f>
        <v>48</v>
      </c>
      <c r="F233" s="1">
        <f>VLOOKUP($B233&amp;"__wt",'Xtal_SegEnds_BW#'!$A:$Z,6,FALSE)</f>
        <v>51</v>
      </c>
      <c r="G233" s="1">
        <v>37</v>
      </c>
      <c r="H233" s="1">
        <f>VLOOKUP($B233&amp;"__wt",'Xtal_SegEnds_BW#'!$A:$Z,8,FALSE)</f>
        <v>67</v>
      </c>
      <c r="I233" s="1">
        <f>VLOOKUP($B233&amp;"__wt",'Xtal_SegEnds_BW#'!$A:$Z,9,FALSE)</f>
        <v>49</v>
      </c>
      <c r="J233" s="1">
        <f>VLOOKUP($B233&amp;"__wt",'Xtal_SegEnds_BW#'!$A:$Z,10,FALSE)</f>
        <v>52</v>
      </c>
      <c r="K233" s="1">
        <v>18</v>
      </c>
      <c r="L233" s="1">
        <f>VLOOKUP($B233&amp;"__wt",'Xtal_SegEnds_BW#'!$A:$Z,12,FALSE)</f>
        <v>56</v>
      </c>
      <c r="M233" s="1">
        <f>VLOOKUP($B233&amp;"__wt",'Xtal_SegEnds_BW#'!$A:$Z,13,FALSE)</f>
        <v>50</v>
      </c>
      <c r="N233" s="1">
        <f>VLOOKUP($B233&amp;"__wt",'Xtal_SegEnds_BW#'!$A:$Z,14,FALSE)</f>
        <v>58</v>
      </c>
      <c r="O233" s="1">
        <v>39</v>
      </c>
      <c r="P233" s="1">
        <f>VLOOKUP($B233&amp;"__wt",'Xtal_SegEnds_BW#'!$A:$Z,16,FALSE)</f>
        <v>63</v>
      </c>
      <c r="Q233" s="1">
        <f>VLOOKUP($B233&amp;"__wt",'Xtal_SegEnds_BW#'!$A:$Z,17,FALSE)</f>
        <v>50</v>
      </c>
      <c r="R233" s="1">
        <f>VLOOKUP($B233&amp;"__wt",'Xtal_SegEnds_BW#'!$A:$Z,18,FALSE)</f>
        <v>52</v>
      </c>
      <c r="S233" s="1">
        <v>35</v>
      </c>
      <c r="T233" s="23">
        <f t="array" ref="T233">INDEX('ICL3'!$G$2:$G$31,MATCH(MIN(ABS(AF233-'ICL3'!$F$2:$F$31)),ABS(AF233-'ICL3'!$F$2:$F$31),0))</f>
        <v>76</v>
      </c>
      <c r="U233" s="1">
        <f t="array" ref="U233">INDEX('ICL3'!$H$2:$H$31,MATCH(MIN(ABS(AF233-'ICL3'!$F$2:$F$31)),ABS(AF233-'ICL3'!$F$2:$F$31),0))</f>
        <v>24</v>
      </c>
      <c r="V233" s="1">
        <v>58</v>
      </c>
      <c r="W233" s="1">
        <v>35</v>
      </c>
      <c r="X233" s="1">
        <f>VLOOKUP($B233&amp;"__wt",'Xtal_SegEnds_BW#'!$A:$Z,24,FALSE)</f>
        <v>56</v>
      </c>
      <c r="Y233" s="1">
        <f>VLOOKUP($B233&amp;"__wt",'Xtal_SegEnds_BW#'!$A:$Z,25,FALSE)</f>
        <v>47</v>
      </c>
      <c r="Z233" s="1">
        <f>VLOOKUP($B233&amp;"__wt",'Xtal_SegEnds_BW#'!$A:$Z,26,FALSE)</f>
        <v>59</v>
      </c>
      <c r="AA233" s="63" t="str">
        <f>VLOOKUP(A233,Classification!A:B,2,FALSE)</f>
        <v>A</v>
      </c>
      <c r="AB233" s="1" t="e">
        <f>VLOOKUP(A233,'NonXtal_SegEnds_Prot#'!A:AL,10,FALSE)-VLOOKUP(A233,'NonXtal_SegEnds_Prot#'!A:AL,7,FALSE)</f>
        <v>#VALUE!</v>
      </c>
      <c r="AC233" s="1" t="e">
        <f>VLOOKUP(A233,'NonXtal_SegEnds_Prot#'!A:AL,13,FALSE)-VLOOKUP(A233,'NonXtal_SegEnds_Prot#'!A:AL,10,FALSE)</f>
        <v>#VALUE!</v>
      </c>
      <c r="AD233" s="1">
        <f>VLOOKUP(A233,'NonXtal_SegEnds_Prot#'!A:AL,16,FALSE)-VLOOKUP(A233,'NonXtal_SegEnds_Prot#'!A:AL,10,FALSE)</f>
        <v>55</v>
      </c>
      <c r="AE233" s="1">
        <f>VLOOKUP(A233,'NonXtal_SegEnds_Prot#'!A:AL,28,FALSE)-VLOOKUP(A233,'NonXtal_SegEnds_Prot#'!A:AL,25,FALSE)</f>
        <v>22</v>
      </c>
      <c r="AF233" s="1">
        <f>VLOOKUP(A233,'NonXtal_SegEnds_Prot#'!A:AL,31,FALSE)-VLOOKUP(A233,'NonXtal_SegEnds_Prot#'!A:AL,28,FALSE)</f>
        <v>72</v>
      </c>
      <c r="AG233" s="1">
        <f>VLOOKUP(A233,'NonXtal_SegEnds_Prot#'!A:AL,34,FALSE)-VLOOKUP(A233,'NonXtal_SegEnds_Prot#'!A:AL,31,FALSE)</f>
        <v>31</v>
      </c>
    </row>
    <row r="234" spans="1:33" x14ac:dyDescent="0.2">
      <c r="A234" s="1" t="s">
        <v>461</v>
      </c>
      <c r="B234" s="1" t="str">
        <f>VLOOKUP(A234,Xtal_Templ!A:B,2,FALSE)</f>
        <v>ox1r_human</v>
      </c>
      <c r="C234" s="5">
        <f>VLOOKUP($B234&amp;"__wt",'Xtal_SegEnds_BW#'!$A:$Z,3,FALSE)</f>
        <v>32</v>
      </c>
      <c r="D234" s="1">
        <f>VLOOKUP($B234&amp;"__wt",'Xtal_SegEnds_BW#'!$A:$Z,4,FALSE)</f>
        <v>60</v>
      </c>
      <c r="E234" s="1">
        <f>VLOOKUP($B234&amp;"__wt",'Xtal_SegEnds_BW#'!$A:$Z,5,FALSE)</f>
        <v>48</v>
      </c>
      <c r="F234" s="1">
        <f>VLOOKUP($B234&amp;"__wt",'Xtal_SegEnds_BW#'!$A:$Z,6,FALSE)</f>
        <v>51</v>
      </c>
      <c r="G234" s="1">
        <v>37</v>
      </c>
      <c r="H234" s="1">
        <f>VLOOKUP($B234&amp;"__wt",'Xtal_SegEnds_BW#'!$A:$Z,8,FALSE)</f>
        <v>67</v>
      </c>
      <c r="I234" s="1">
        <f>VLOOKUP($B234&amp;"__wt",'Xtal_SegEnds_BW#'!$A:$Z,9,FALSE)</f>
        <v>49</v>
      </c>
      <c r="J234" s="1">
        <f>VLOOKUP($B234&amp;"__wt",'Xtal_SegEnds_BW#'!$A:$Z,10,FALSE)</f>
        <v>52</v>
      </c>
      <c r="K234" s="1">
        <v>18</v>
      </c>
      <c r="L234" s="1">
        <f>VLOOKUP($B234&amp;"__wt",'Xtal_SegEnds_BW#'!$A:$Z,12,FALSE)</f>
        <v>56</v>
      </c>
      <c r="M234" s="1">
        <f>VLOOKUP($B234&amp;"__wt",'Xtal_SegEnds_BW#'!$A:$Z,13,FALSE)</f>
        <v>50</v>
      </c>
      <c r="N234" s="1">
        <v>57</v>
      </c>
      <c r="O234" s="1">
        <v>39</v>
      </c>
      <c r="P234" s="1">
        <f>VLOOKUP($B234&amp;"__wt",'Xtal_SegEnds_BW#'!$A:$Z,16,FALSE)</f>
        <v>64</v>
      </c>
      <c r="Q234" s="1">
        <f>VLOOKUP($B234&amp;"__wt",'Xtal_SegEnds_BW#'!$A:$Z,17,FALSE)</f>
        <v>50</v>
      </c>
      <c r="R234" s="1">
        <f>VLOOKUP($B234&amp;"__wt",'Xtal_SegEnds_BW#'!$A:$Z,18,FALSE)</f>
        <v>52</v>
      </c>
      <c r="S234" s="1">
        <f>VLOOKUP($B234&amp;"__wt",'Xtal_SegEnds_BW#'!$A:$Z,19,FALSE)</f>
        <v>32</v>
      </c>
      <c r="T234" s="23">
        <f t="array" ref="T234">INDEX('ICL3'!$G$2:$G$31,MATCH(MIN(ABS(AF234-'ICL3'!$F$2:$F$31)),ABS(AF234-'ICL3'!$F$2:$F$31),0))</f>
        <v>76</v>
      </c>
      <c r="U234" s="1">
        <f t="array" ref="U234">INDEX('ICL3'!$H$2:$H$31,MATCH(MIN(ABS(AF234-'ICL3'!$F$2:$F$31)),ABS(AF234-'ICL3'!$F$2:$F$31),0))</f>
        <v>24</v>
      </c>
      <c r="V234" s="1">
        <v>61</v>
      </c>
      <c r="W234" s="1">
        <v>31</v>
      </c>
      <c r="X234" s="1">
        <f>VLOOKUP($B234&amp;"__wt",'Xtal_SegEnds_BW#'!$A:$Z,24,FALSE)</f>
        <v>56</v>
      </c>
      <c r="Y234" s="1">
        <f>VLOOKUP($B234&amp;"__wt",'Xtal_SegEnds_BW#'!$A:$Z,25,FALSE)</f>
        <v>47</v>
      </c>
      <c r="Z234" s="1">
        <f>VLOOKUP($B234&amp;"__wt",'Xtal_SegEnds_BW#'!$A:$Z,26,FALSE)</f>
        <v>58</v>
      </c>
      <c r="AA234" s="63" t="str">
        <f>VLOOKUP(A234,Classification!A:B,2,FALSE)</f>
        <v>A</v>
      </c>
      <c r="AB234" s="1">
        <f>VLOOKUP(A234,'NonXtal_SegEnds_Prot#'!A:AL,10,FALSE)-VLOOKUP(A234,'NonXtal_SegEnds_Prot#'!A:AL,7,FALSE)</f>
        <v>16</v>
      </c>
      <c r="AC234" s="1" t="e">
        <f>VLOOKUP(A234,'NonXtal_SegEnds_Prot#'!A:AL,13,FALSE)-VLOOKUP(A234,'NonXtal_SegEnds_Prot#'!A:AL,10,FALSE)</f>
        <v>#VALUE!</v>
      </c>
      <c r="AD234" s="1">
        <f>VLOOKUP(A234,'NonXtal_SegEnds_Prot#'!A:AL,16,FALSE)-VLOOKUP(A234,'NonXtal_SegEnds_Prot#'!A:AL,10,FALSE)</f>
        <v>52</v>
      </c>
      <c r="AE234" s="1">
        <f>VLOOKUP(A234,'NonXtal_SegEnds_Prot#'!A:AL,28,FALSE)-VLOOKUP(A234,'NonXtal_SegEnds_Prot#'!A:AL,25,FALSE)</f>
        <v>28</v>
      </c>
      <c r="AF234" s="1">
        <f>VLOOKUP(A234,'NonXtal_SegEnds_Prot#'!A:AL,31,FALSE)-VLOOKUP(A234,'NonXtal_SegEnds_Prot#'!A:AL,28,FALSE)</f>
        <v>72</v>
      </c>
      <c r="AG234" s="1">
        <f>VLOOKUP(A234,'NonXtal_SegEnds_Prot#'!A:AL,34,FALSE)-VLOOKUP(A234,'NonXtal_SegEnds_Prot#'!A:AL,31,FALSE)</f>
        <v>35</v>
      </c>
    </row>
    <row r="235" spans="1:33" x14ac:dyDescent="0.2">
      <c r="A235" s="1" t="s">
        <v>388</v>
      </c>
      <c r="B235" s="1" t="str">
        <f>VLOOKUP(A235,Xtal_Templ!A:B,2,FALSE)</f>
        <v>adrb1_melga</v>
      </c>
      <c r="C235" s="5">
        <f>VLOOKUP($B235&amp;"__wt",'Xtal_SegEnds_BW#'!$A:$Z,3,FALSE)</f>
        <v>24</v>
      </c>
      <c r="D235" s="1">
        <f>VLOOKUP($B235&amp;"__wt",'Xtal_SegEnds_BW#'!$A:$Z,4,FALSE)</f>
        <v>60</v>
      </c>
      <c r="E235" s="1">
        <f>VLOOKUP($B235&amp;"__wt",'Xtal_SegEnds_BW#'!$A:$Z,5,FALSE)</f>
        <v>48</v>
      </c>
      <c r="F235" s="1">
        <f>VLOOKUP($B235&amp;"__wt",'Xtal_SegEnds_BW#'!$A:$Z,6,FALSE)</f>
        <v>51</v>
      </c>
      <c r="G235" s="1">
        <v>37</v>
      </c>
      <c r="H235" s="1">
        <v>66</v>
      </c>
      <c r="I235" s="1">
        <f>VLOOKUP($B235&amp;"__wt",'Xtal_SegEnds_BW#'!$A:$Z,9,FALSE)</f>
        <v>49</v>
      </c>
      <c r="J235" s="1">
        <f>VLOOKUP($B235&amp;"__wt",'Xtal_SegEnds_BW#'!$A:$Z,10,FALSE)</f>
        <v>52</v>
      </c>
      <c r="K235" s="1">
        <v>18</v>
      </c>
      <c r="L235" s="1">
        <f>VLOOKUP($B235&amp;"__wt",'Xtal_SegEnds_BW#'!$A:$Z,12,FALSE)</f>
        <v>56</v>
      </c>
      <c r="M235" s="1">
        <f>VLOOKUP($B235&amp;"__wt",'Xtal_SegEnds_BW#'!$A:$Z,13,FALSE)</f>
        <v>50</v>
      </c>
      <c r="N235" s="1">
        <v>57</v>
      </c>
      <c r="O235" s="1">
        <v>39</v>
      </c>
      <c r="P235" s="1">
        <f>VLOOKUP($B235&amp;"__wt",'Xtal_SegEnds_BW#'!$A:$Z,16,FALSE)</f>
        <v>64</v>
      </c>
      <c r="Q235" s="1">
        <f>VLOOKUP($B235&amp;"__wt",'Xtal_SegEnds_BW#'!$A:$Z,17,FALSE)</f>
        <v>50</v>
      </c>
      <c r="R235" s="1">
        <f>VLOOKUP($B235&amp;"__wt",'Xtal_SegEnds_BW#'!$A:$Z,18,FALSE)</f>
        <v>52</v>
      </c>
      <c r="S235" s="1">
        <v>35</v>
      </c>
      <c r="T235" s="23">
        <f t="array" ref="T235">INDEX('ICL3'!$G$2:$G$31,MATCH(MIN(ABS(AF235-'ICL3'!$F$2:$F$31)),ABS(AF235-'ICL3'!$F$2:$F$31),0))</f>
        <v>76</v>
      </c>
      <c r="U235" s="1">
        <f t="array" ref="U235">INDEX('ICL3'!$H$2:$H$31,MATCH(MIN(ABS(AF235-'ICL3'!$F$2:$F$31)),ABS(AF235-'ICL3'!$F$2:$F$31),0))</f>
        <v>24</v>
      </c>
      <c r="V235" s="1">
        <v>64</v>
      </c>
      <c r="W235" s="1">
        <v>24</v>
      </c>
      <c r="X235" s="9">
        <f>VLOOKUP($B235&amp;"__wt",'Xtal_SegEnds_BW#'!$A:$Z,24,FALSE)</f>
        <v>55</v>
      </c>
      <c r="Y235" s="1">
        <f>VLOOKUP($B235&amp;"__wt",'Xtal_SegEnds_BW#'!$A:$Z,25,FALSE)</f>
        <v>47</v>
      </c>
      <c r="Z235" s="1">
        <f>VLOOKUP($B235&amp;"__wt",'Xtal_SegEnds_BW#'!$A:$Z,26,FALSE)</f>
        <v>59</v>
      </c>
      <c r="AA235" s="63" t="str">
        <f>VLOOKUP(A235,Classification!A:B,2,FALSE)</f>
        <v>A</v>
      </c>
      <c r="AB235" s="1">
        <f>VLOOKUP(A235,'NonXtal_SegEnds_Prot#'!A:AL,10,FALSE)-VLOOKUP(A235,'NonXtal_SegEnds_Prot#'!A:AL,7,FALSE)</f>
        <v>16</v>
      </c>
      <c r="AC235" s="1">
        <f>VLOOKUP(A235,'NonXtal_SegEnds_Prot#'!A:AL,13,FALSE)-VLOOKUP(A235,'NonXtal_SegEnds_Prot#'!A:AL,10,FALSE)</f>
        <v>20</v>
      </c>
      <c r="AD235" s="1">
        <f>VLOOKUP(A235,'NonXtal_SegEnds_Prot#'!A:AL,16,FALSE)-VLOOKUP(A235,'NonXtal_SegEnds_Prot#'!A:AL,10,FALSE)</f>
        <v>51</v>
      </c>
      <c r="AE235" s="1">
        <f>VLOOKUP(A235,'NonXtal_SegEnds_Prot#'!A:AL,28,FALSE)-VLOOKUP(A235,'NonXtal_SegEnds_Prot#'!A:AL,25,FALSE)</f>
        <v>20</v>
      </c>
      <c r="AF235" s="1">
        <f>VLOOKUP(A235,'NonXtal_SegEnds_Prot#'!A:AL,31,FALSE)-VLOOKUP(A235,'NonXtal_SegEnds_Prot#'!A:AL,28,FALSE)</f>
        <v>74</v>
      </c>
      <c r="AG235" s="1">
        <f>VLOOKUP(A235,'NonXtal_SegEnds_Prot#'!A:AL,34,FALSE)-VLOOKUP(A235,'NonXtal_SegEnds_Prot#'!A:AL,31,FALSE)</f>
        <v>45</v>
      </c>
    </row>
    <row r="236" spans="1:33" x14ac:dyDescent="0.2">
      <c r="A236" s="1" t="s">
        <v>1110</v>
      </c>
      <c r="B236" s="1" t="str">
        <f>VLOOKUP(A236,Xtal_Templ!A:B,2,FALSE)</f>
        <v>ntr1_rat</v>
      </c>
      <c r="C236" s="5">
        <f>VLOOKUP($B236&amp;"__wt",'Xtal_SegEnds_BW#'!$A:$Z,3,FALSE)</f>
        <v>29</v>
      </c>
      <c r="D236" s="1">
        <f>VLOOKUP($B236&amp;"__wt",'Xtal_SegEnds_BW#'!$A:$Z,4,FALSE)</f>
        <v>60</v>
      </c>
      <c r="E236" s="1">
        <f>VLOOKUP($B236&amp;"__wt",'Xtal_SegEnds_BW#'!$A:$Z,5,FALSE)</f>
        <v>48</v>
      </c>
      <c r="F236" s="1">
        <f>VLOOKUP($B236&amp;"__wt",'Xtal_SegEnds_BW#'!$A:$Z,6,FALSE)</f>
        <v>51</v>
      </c>
      <c r="G236" s="1">
        <v>37</v>
      </c>
      <c r="H236" s="1">
        <f>VLOOKUP($B236&amp;"__wt",'Xtal_SegEnds_BW#'!$A:$Z,8,FALSE)</f>
        <v>68</v>
      </c>
      <c r="I236" s="1">
        <f>VLOOKUP($B236&amp;"__wt",'Xtal_SegEnds_BW#'!$A:$Z,9,FALSE)</f>
        <v>49</v>
      </c>
      <c r="J236" s="1">
        <f>VLOOKUP($B236&amp;"__wt",'Xtal_SegEnds_BW#'!$A:$Z,10,FALSE)</f>
        <v>52</v>
      </c>
      <c r="K236" s="1">
        <v>18</v>
      </c>
      <c r="L236" s="1">
        <f>VLOOKUP($B236&amp;"__wt",'Xtal_SegEnds_BW#'!$A:$Z,12,FALSE)</f>
        <v>56</v>
      </c>
      <c r="M236" s="1">
        <f>VLOOKUP($B236&amp;"__wt",'Xtal_SegEnds_BW#'!$A:$Z,13,FALSE)</f>
        <v>50</v>
      </c>
      <c r="N236" s="1">
        <v>57</v>
      </c>
      <c r="O236" s="1">
        <v>39</v>
      </c>
      <c r="P236" s="1">
        <f>VLOOKUP($B236&amp;"__wt",'Xtal_SegEnds_BW#'!$A:$Z,16,FALSE)</f>
        <v>64</v>
      </c>
      <c r="Q236" s="1">
        <f>VLOOKUP($B236&amp;"__wt",'Xtal_SegEnds_BW#'!$A:$Z,17,FALSE)</f>
        <v>50</v>
      </c>
      <c r="R236" s="1">
        <f>VLOOKUP($B236&amp;"__wt",'Xtal_SegEnds_BW#'!$A:$Z,18,FALSE)</f>
        <v>52</v>
      </c>
      <c r="S236" s="1">
        <f>VLOOKUP($B236&amp;"__wt",'Xtal_SegEnds_BW#'!$A:$Z,19,FALSE)</f>
        <v>32</v>
      </c>
      <c r="T236" s="23">
        <f t="array" ref="T236">INDEX('ICL3'!$G$2:$G$31,MATCH(MIN(ABS(AF236-'ICL3'!$F$2:$F$31)),ABS(AF236-'ICL3'!$F$2:$F$31),0))</f>
        <v>76</v>
      </c>
      <c r="U236" s="1">
        <f t="array" ref="U236">INDEX('ICL3'!$H$2:$H$31,MATCH(MIN(ABS(AF236-'ICL3'!$F$2:$F$31)),ABS(AF236-'ICL3'!$F$2:$F$31),0))</f>
        <v>24</v>
      </c>
      <c r="V236" s="1">
        <v>61</v>
      </c>
      <c r="W236" s="1">
        <v>24</v>
      </c>
      <c r="X236" s="1">
        <f>VLOOKUP($B236&amp;"__wt",'Xtal_SegEnds_BW#'!$A:$Z,24,FALSE)</f>
        <v>56</v>
      </c>
      <c r="Y236" s="1">
        <f>VLOOKUP($B236&amp;"__wt",'Xtal_SegEnds_BW#'!$A:$Z,25,FALSE)</f>
        <v>47</v>
      </c>
      <c r="Z236" s="1">
        <f>VLOOKUP($B236&amp;"__wt",'Xtal_SegEnds_BW#'!$A:$Z,26,FALSE)</f>
        <v>58</v>
      </c>
      <c r="AA236" s="63" t="str">
        <f>VLOOKUP(A236,Classification!A:B,2,FALSE)</f>
        <v>A</v>
      </c>
      <c r="AB236" s="1">
        <f>VLOOKUP(A236,'NonXtal_SegEnds_Prot#'!A:AL,10,FALSE)-VLOOKUP(A236,'NonXtal_SegEnds_Prot#'!A:AL,7,FALSE)</f>
        <v>18</v>
      </c>
      <c r="AC236" s="1">
        <f>VLOOKUP(A236,'NonXtal_SegEnds_Prot#'!A:AL,13,FALSE)-VLOOKUP(A236,'NonXtal_SegEnds_Prot#'!A:AL,10,FALSE)</f>
        <v>22</v>
      </c>
      <c r="AD236" s="1">
        <f>VLOOKUP(A236,'NonXtal_SegEnds_Prot#'!A:AL,16,FALSE)-VLOOKUP(A236,'NonXtal_SegEnds_Prot#'!A:AL,10,FALSE)</f>
        <v>54</v>
      </c>
      <c r="AE236" s="1">
        <f>VLOOKUP(A236,'NonXtal_SegEnds_Prot#'!A:AL,28,FALSE)-VLOOKUP(A236,'NonXtal_SegEnds_Prot#'!A:AL,25,FALSE)</f>
        <v>24</v>
      </c>
      <c r="AF236" s="1">
        <f>VLOOKUP(A236,'NonXtal_SegEnds_Prot#'!A:AL,31,FALSE)-VLOOKUP(A236,'NonXtal_SegEnds_Prot#'!A:AL,28,FALSE)</f>
        <v>74</v>
      </c>
      <c r="AG236" s="1">
        <f>VLOOKUP(A236,'NonXtal_SegEnds_Prot#'!A:AL,34,FALSE)-VLOOKUP(A236,'NonXtal_SegEnds_Prot#'!A:AL,31,FALSE)</f>
        <v>43</v>
      </c>
    </row>
    <row r="237" spans="1:33" x14ac:dyDescent="0.2">
      <c r="A237" s="1" t="s">
        <v>453</v>
      </c>
      <c r="B237" s="1" t="str">
        <f>VLOOKUP(A237,Xtal_Templ!A:B,2,FALSE)</f>
        <v>adrb1_melga</v>
      </c>
      <c r="C237" s="5">
        <f>VLOOKUP($B237&amp;"__wt",'Xtal_SegEnds_BW#'!$A:$Z,3,FALSE)</f>
        <v>24</v>
      </c>
      <c r="D237" s="1">
        <f>VLOOKUP($B237&amp;"__wt",'Xtal_SegEnds_BW#'!$A:$Z,4,FALSE)</f>
        <v>60</v>
      </c>
      <c r="E237" s="1">
        <f>VLOOKUP($B237&amp;"__wt",'Xtal_SegEnds_BW#'!$A:$Z,5,FALSE)</f>
        <v>48</v>
      </c>
      <c r="F237" s="1">
        <f>VLOOKUP($B237&amp;"__wt",'Xtal_SegEnds_BW#'!$A:$Z,6,FALSE)</f>
        <v>51</v>
      </c>
      <c r="G237" s="1">
        <v>37</v>
      </c>
      <c r="H237" s="1">
        <f>VLOOKUP($B237&amp;"__wt",'Xtal_SegEnds_BW#'!$A:$Z,8,FALSE)</f>
        <v>67</v>
      </c>
      <c r="I237" s="1">
        <f>VLOOKUP($B237&amp;"__wt",'Xtal_SegEnds_BW#'!$A:$Z,9,FALSE)</f>
        <v>49</v>
      </c>
      <c r="J237" s="1">
        <f>VLOOKUP($B237&amp;"__wt",'Xtal_SegEnds_BW#'!$A:$Z,10,FALSE)</f>
        <v>52</v>
      </c>
      <c r="K237" s="1">
        <v>18</v>
      </c>
      <c r="L237" s="1">
        <f>VLOOKUP($B237&amp;"__wt",'Xtal_SegEnds_BW#'!$A:$Z,12,FALSE)</f>
        <v>56</v>
      </c>
      <c r="M237" s="1">
        <f>VLOOKUP($B237&amp;"__wt",'Xtal_SegEnds_BW#'!$A:$Z,13,FALSE)</f>
        <v>50</v>
      </c>
      <c r="N237" s="1">
        <f>VLOOKUP($B237&amp;"__wt",'Xtal_SegEnds_BW#'!$A:$Z,14,FALSE)</f>
        <v>57</v>
      </c>
      <c r="O237" s="1">
        <v>39</v>
      </c>
      <c r="P237" s="1">
        <f>VLOOKUP($B237&amp;"__wt",'Xtal_SegEnds_BW#'!$A:$Z,16,FALSE)</f>
        <v>64</v>
      </c>
      <c r="Q237" s="1">
        <f>VLOOKUP($B237&amp;"__wt",'Xtal_SegEnds_BW#'!$A:$Z,17,FALSE)</f>
        <v>50</v>
      </c>
      <c r="R237" s="1">
        <f>VLOOKUP($B237&amp;"__wt",'Xtal_SegEnds_BW#'!$A:$Z,18,FALSE)</f>
        <v>52</v>
      </c>
      <c r="S237" s="1">
        <v>35</v>
      </c>
      <c r="T237" s="23">
        <f t="array" ref="T237">INDEX('ICL3'!$G$2:$G$31,MATCH(MIN(ABS(AF237-'ICL3'!$F$2:$F$31)),ABS(AF237-'ICL3'!$F$2:$F$31),0))</f>
        <v>76</v>
      </c>
      <c r="U237" s="1">
        <f t="array" ref="U237">INDEX('ICL3'!$H$2:$H$31,MATCH(MIN(ABS(AF237-'ICL3'!$F$2:$F$31)),ABS(AF237-'ICL3'!$F$2:$F$31),0))</f>
        <v>24</v>
      </c>
      <c r="V237" s="1">
        <v>61</v>
      </c>
      <c r="W237" s="1">
        <v>28</v>
      </c>
      <c r="X237" s="9">
        <f>VLOOKUP($B237&amp;"__wt",'Xtal_SegEnds_BW#'!$A:$Z,24,FALSE)</f>
        <v>55</v>
      </c>
      <c r="Y237" s="1">
        <f>VLOOKUP($B237&amp;"__wt",'Xtal_SegEnds_BW#'!$A:$Z,25,FALSE)</f>
        <v>47</v>
      </c>
      <c r="Z237" s="1">
        <f>VLOOKUP($B237&amp;"__wt",'Xtal_SegEnds_BW#'!$A:$Z,26,FALSE)</f>
        <v>59</v>
      </c>
      <c r="AA237" s="63" t="str">
        <f>VLOOKUP(A237,Classification!A:B,2,FALSE)</f>
        <v>A</v>
      </c>
      <c r="AB237" s="1">
        <f>VLOOKUP(A237,'NonXtal_SegEnds_Prot#'!A:AL,10,FALSE)-VLOOKUP(A237,'NonXtal_SegEnds_Prot#'!A:AL,7,FALSE)</f>
        <v>15</v>
      </c>
      <c r="AC237" s="1">
        <f>VLOOKUP(A237,'NonXtal_SegEnds_Prot#'!A:AL,13,FALSE)-VLOOKUP(A237,'NonXtal_SegEnds_Prot#'!A:AL,10,FALSE)</f>
        <v>20</v>
      </c>
      <c r="AD237" s="1">
        <f>VLOOKUP(A237,'NonXtal_SegEnds_Prot#'!A:AL,16,FALSE)-VLOOKUP(A237,'NonXtal_SegEnds_Prot#'!A:AL,10,FALSE)</f>
        <v>52</v>
      </c>
      <c r="AE237" s="1">
        <f>VLOOKUP(A237,'NonXtal_SegEnds_Prot#'!A:AL,28,FALSE)-VLOOKUP(A237,'NonXtal_SegEnds_Prot#'!A:AL,25,FALSE)</f>
        <v>25</v>
      </c>
      <c r="AF237" s="1">
        <f>VLOOKUP(A237,'NonXtal_SegEnds_Prot#'!A:AL,31,FALSE)-VLOOKUP(A237,'NonXtal_SegEnds_Prot#'!A:AL,28,FALSE)</f>
        <v>75</v>
      </c>
      <c r="AG237" s="1">
        <f>VLOOKUP(A237,'NonXtal_SegEnds_Prot#'!A:AL,34,FALSE)-VLOOKUP(A237,'NonXtal_SegEnds_Prot#'!A:AL,31,FALSE)</f>
        <v>39</v>
      </c>
    </row>
    <row r="238" spans="1:33" x14ac:dyDescent="0.2">
      <c r="A238" s="1" t="s">
        <v>459</v>
      </c>
      <c r="B238" s="1" t="str">
        <f>VLOOKUP(A238,Xtal_Templ!A:B,2,FALSE)</f>
        <v>5ht1b_human</v>
      </c>
      <c r="C238" s="5">
        <f>VLOOKUP($B238&amp;"__wt",'Xtal_SegEnds_BW#'!$A:$Z,3,FALSE)</f>
        <v>29</v>
      </c>
      <c r="D238" s="1">
        <f>VLOOKUP($B238&amp;"__wt",'Xtal_SegEnds_BW#'!$A:$Z,4,FALSE)</f>
        <v>60</v>
      </c>
      <c r="E238" s="1">
        <f>VLOOKUP($B238&amp;"__wt",'Xtal_SegEnds_BW#'!$A:$Z,5,FALSE)</f>
        <v>48</v>
      </c>
      <c r="F238" s="1">
        <f>VLOOKUP($B238&amp;"__wt",'Xtal_SegEnds_BW#'!$A:$Z,6,FALSE)</f>
        <v>51</v>
      </c>
      <c r="G238" s="1">
        <v>37</v>
      </c>
      <c r="H238" s="1">
        <f>VLOOKUP($B238&amp;"__wt",'Xtal_SegEnds_BW#'!$A:$Z,8,FALSE)</f>
        <v>67</v>
      </c>
      <c r="I238" s="1">
        <f>VLOOKUP($B238&amp;"__wt",'Xtal_SegEnds_BW#'!$A:$Z,9,FALSE)</f>
        <v>49</v>
      </c>
      <c r="J238" s="1">
        <f>VLOOKUP($B238&amp;"__wt",'Xtal_SegEnds_BW#'!$A:$Z,10,FALSE)</f>
        <v>52</v>
      </c>
      <c r="K238" s="1">
        <v>18</v>
      </c>
      <c r="L238" s="1">
        <f>VLOOKUP($B238&amp;"__wt",'Xtal_SegEnds_BW#'!$A:$Z,12,FALSE)</f>
        <v>56</v>
      </c>
      <c r="M238" s="1">
        <f>VLOOKUP($B238&amp;"__wt",'Xtal_SegEnds_BW#'!$A:$Z,13,FALSE)</f>
        <v>50</v>
      </c>
      <c r="N238" s="1">
        <f>VLOOKUP($B238&amp;"__wt",'Xtal_SegEnds_BW#'!$A:$Z,14,FALSE)</f>
        <v>57</v>
      </c>
      <c r="O238" s="1">
        <v>39</v>
      </c>
      <c r="P238" s="1">
        <f>VLOOKUP($B238&amp;"__wt",'Xtal_SegEnds_BW#'!$A:$Z,16,FALSE)</f>
        <v>63</v>
      </c>
      <c r="Q238" s="1">
        <f>VLOOKUP($B238&amp;"__wt",'Xtal_SegEnds_BW#'!$A:$Z,17,FALSE)</f>
        <v>50</v>
      </c>
      <c r="R238" s="1">
        <f>VLOOKUP($B238&amp;"__wt",'Xtal_SegEnds_BW#'!$A:$Z,18,FALSE)</f>
        <v>52</v>
      </c>
      <c r="S238" s="1">
        <v>35</v>
      </c>
      <c r="T238" s="23">
        <f t="array" ref="T238">INDEX('ICL3'!$G$2:$G$31,MATCH(MIN(ABS(AF238-'ICL3'!$F$2:$F$31)),ABS(AF238-'ICL3'!$F$2:$F$31),0))</f>
        <v>76</v>
      </c>
      <c r="U238" s="1">
        <f t="array" ref="U238">INDEX('ICL3'!$H$2:$H$31,MATCH(MIN(ABS(AF238-'ICL3'!$F$2:$F$31)),ABS(AF238-'ICL3'!$F$2:$F$31),0))</f>
        <v>24</v>
      </c>
      <c r="V238" s="1">
        <v>61</v>
      </c>
      <c r="W238" s="1">
        <v>28</v>
      </c>
      <c r="X238" s="1">
        <f>VLOOKUP($B238&amp;"__wt",'Xtal_SegEnds_BW#'!$A:$Z,24,FALSE)</f>
        <v>56</v>
      </c>
      <c r="Y238" s="1">
        <f>VLOOKUP($B238&amp;"__wt",'Xtal_SegEnds_BW#'!$A:$Z,25,FALSE)</f>
        <v>47</v>
      </c>
      <c r="Z238" s="1">
        <f>VLOOKUP($B238&amp;"__wt",'Xtal_SegEnds_BW#'!$A:$Z,26,FALSE)</f>
        <v>58</v>
      </c>
      <c r="AA238" s="63" t="str">
        <f>VLOOKUP(A238,Classification!A:B,2,FALSE)</f>
        <v>A</v>
      </c>
      <c r="AB238" s="1">
        <f>VLOOKUP(A238,'NonXtal_SegEnds_Prot#'!A:AL,10,FALSE)-VLOOKUP(A238,'NonXtal_SegEnds_Prot#'!A:AL,7,FALSE)</f>
        <v>15</v>
      </c>
      <c r="AC238" s="1">
        <f>VLOOKUP(A238,'NonXtal_SegEnds_Prot#'!A:AL,13,FALSE)-VLOOKUP(A238,'NonXtal_SegEnds_Prot#'!A:AL,10,FALSE)</f>
        <v>20</v>
      </c>
      <c r="AD238" s="1">
        <f>VLOOKUP(A238,'NonXtal_SegEnds_Prot#'!A:AL,16,FALSE)-VLOOKUP(A238,'NonXtal_SegEnds_Prot#'!A:AL,10,FALSE)</f>
        <v>52</v>
      </c>
      <c r="AE238" s="1">
        <f>VLOOKUP(A238,'NonXtal_SegEnds_Prot#'!A:AL,28,FALSE)-VLOOKUP(A238,'NonXtal_SegEnds_Prot#'!A:AL,25,FALSE)</f>
        <v>25</v>
      </c>
      <c r="AF238" s="1">
        <f>VLOOKUP(A238,'NonXtal_SegEnds_Prot#'!A:AL,31,FALSE)-VLOOKUP(A238,'NonXtal_SegEnds_Prot#'!A:AL,28,FALSE)</f>
        <v>75</v>
      </c>
      <c r="AG238" s="1">
        <f>VLOOKUP(A238,'NonXtal_SegEnds_Prot#'!A:AL,34,FALSE)-VLOOKUP(A238,'NonXtal_SegEnds_Prot#'!A:AL,31,FALSE)</f>
        <v>39</v>
      </c>
    </row>
    <row r="239" spans="1:33" x14ac:dyDescent="0.2">
      <c r="A239" s="1" t="s">
        <v>394</v>
      </c>
      <c r="B239" s="1" t="str">
        <f>VLOOKUP(A239,Xtal_Templ!A:B,2,FALSE)</f>
        <v>oprk_human</v>
      </c>
      <c r="C239" s="5">
        <f>VLOOKUP($B239&amp;"__wt",'Xtal_SegEnds_BW#'!$A:$Z,3,FALSE)</f>
        <v>30</v>
      </c>
      <c r="D239" s="1">
        <f>VLOOKUP($B239&amp;"__wt",'Xtal_SegEnds_BW#'!$A:$Z,4,FALSE)</f>
        <v>60</v>
      </c>
      <c r="E239" s="1">
        <f>VLOOKUP($B239&amp;"__wt",'Xtal_SegEnds_BW#'!$A:$Z,5,FALSE)</f>
        <v>48</v>
      </c>
      <c r="F239" s="1">
        <f>VLOOKUP($B239&amp;"__wt",'Xtal_SegEnds_BW#'!$A:$Z,6,FALSE)</f>
        <v>51</v>
      </c>
      <c r="G239" s="1">
        <v>37</v>
      </c>
      <c r="H239" s="1">
        <v>66</v>
      </c>
      <c r="I239" s="1">
        <f>VLOOKUP($B239&amp;"__wt",'Xtal_SegEnds_BW#'!$A:$Z,9,FALSE)</f>
        <v>49</v>
      </c>
      <c r="J239" s="1">
        <f>VLOOKUP($B239&amp;"__wt",'Xtal_SegEnds_BW#'!$A:$Z,10,FALSE)</f>
        <v>52</v>
      </c>
      <c r="K239" s="1">
        <v>18</v>
      </c>
      <c r="L239" s="1">
        <f>VLOOKUP($B239&amp;"__wt",'Xtal_SegEnds_BW#'!$A:$Z,12,FALSE)</f>
        <v>56</v>
      </c>
      <c r="M239" s="1">
        <f>VLOOKUP($B239&amp;"__wt",'Xtal_SegEnds_BW#'!$A:$Z,13,FALSE)</f>
        <v>50</v>
      </c>
      <c r="N239" s="1">
        <v>57</v>
      </c>
      <c r="O239" s="1">
        <v>39</v>
      </c>
      <c r="P239" s="1">
        <f>VLOOKUP($B239&amp;"__wt",'Xtal_SegEnds_BW#'!$A:$Z,16,FALSE)</f>
        <v>64</v>
      </c>
      <c r="Q239" s="1">
        <f>VLOOKUP($B239&amp;"__wt",'Xtal_SegEnds_BW#'!$A:$Z,17,FALSE)</f>
        <v>50</v>
      </c>
      <c r="R239" s="1">
        <f>VLOOKUP($B239&amp;"__wt",'Xtal_SegEnds_BW#'!$A:$Z,18,FALSE)</f>
        <v>52</v>
      </c>
      <c r="S239" s="1">
        <f>VLOOKUP($B239&amp;"__wt",'Xtal_SegEnds_BW#'!$A:$Z,19,FALSE)</f>
        <v>31</v>
      </c>
      <c r="T239" s="23">
        <f t="array" ref="T239">INDEX('ICL3'!$G$2:$G$31,MATCH(MIN(ABS(AF239-'ICL3'!$F$2:$F$31)),ABS(AF239-'ICL3'!$F$2:$F$31),0))</f>
        <v>76</v>
      </c>
      <c r="U239" s="1">
        <f t="array" ref="U239">INDEX('ICL3'!$H$2:$H$31,MATCH(MIN(ABS(AF239-'ICL3'!$F$2:$F$31)),ABS(AF239-'ICL3'!$F$2:$F$31),0))</f>
        <v>24</v>
      </c>
      <c r="V239" s="1">
        <v>61</v>
      </c>
      <c r="W239" s="1">
        <v>28</v>
      </c>
      <c r="X239" s="1">
        <f>VLOOKUP($B239&amp;"__wt",'Xtal_SegEnds_BW#'!$A:$Z,24,FALSE)</f>
        <v>56</v>
      </c>
      <c r="Y239" s="1">
        <f>VLOOKUP($B239&amp;"__wt",'Xtal_SegEnds_BW#'!$A:$Z,25,FALSE)</f>
        <v>47</v>
      </c>
      <c r="Z239" s="1">
        <f>VLOOKUP($B239&amp;"__wt",'Xtal_SegEnds_BW#'!$A:$Z,26,FALSE)</f>
        <v>59</v>
      </c>
      <c r="AA239" s="63" t="str">
        <f>VLOOKUP(A239,Classification!A:B,2,FALSE)</f>
        <v>A</v>
      </c>
      <c r="AB239" s="1" t="e">
        <f>VLOOKUP(A239,'NonXtal_SegEnds_Prot#'!A:AL,10,FALSE)-VLOOKUP(A239,'NonXtal_SegEnds_Prot#'!A:AL,7,FALSE)</f>
        <v>#VALUE!</v>
      </c>
      <c r="AC239" s="1">
        <f>VLOOKUP(A239,'NonXtal_SegEnds_Prot#'!A:AL,13,FALSE)-VLOOKUP(A239,'NonXtal_SegEnds_Prot#'!A:AL,10,FALSE)</f>
        <v>19</v>
      </c>
      <c r="AD239" s="1">
        <f>VLOOKUP(A239,'NonXtal_SegEnds_Prot#'!A:AL,16,FALSE)-VLOOKUP(A239,'NonXtal_SegEnds_Prot#'!A:AL,10,FALSE)</f>
        <v>51</v>
      </c>
      <c r="AE239" s="1">
        <f>VLOOKUP(A239,'NonXtal_SegEnds_Prot#'!A:AL,28,FALSE)-VLOOKUP(A239,'NonXtal_SegEnds_Prot#'!A:AL,25,FALSE)</f>
        <v>25</v>
      </c>
      <c r="AF239" s="1">
        <f>VLOOKUP(A239,'NonXtal_SegEnds_Prot#'!A:AL,31,FALSE)-VLOOKUP(A239,'NonXtal_SegEnds_Prot#'!A:AL,28,FALSE)</f>
        <v>76</v>
      </c>
      <c r="AG239" s="1">
        <f>VLOOKUP(A239,'NonXtal_SegEnds_Prot#'!A:AL,34,FALSE)-VLOOKUP(A239,'NonXtal_SegEnds_Prot#'!A:AL,31,FALSE)</f>
        <v>39</v>
      </c>
    </row>
    <row r="240" spans="1:33" x14ac:dyDescent="0.2">
      <c r="A240" s="1" t="s">
        <v>419</v>
      </c>
      <c r="B240" s="1" t="str">
        <f>VLOOKUP(A240,Xtal_Templ!A:B,2,FALSE)</f>
        <v>ox2r_human</v>
      </c>
      <c r="C240" s="5">
        <f>VLOOKUP($B240&amp;"__wt",'Xtal_SegEnds_BW#'!$A:$Z,3,FALSE)</f>
        <v>31</v>
      </c>
      <c r="D240" s="1">
        <f>VLOOKUP($B240&amp;"__wt",'Xtal_SegEnds_BW#'!$A:$Z,4,FALSE)</f>
        <v>60</v>
      </c>
      <c r="E240" s="1">
        <f>VLOOKUP($B240&amp;"__wt",'Xtal_SegEnds_BW#'!$A:$Z,5,FALSE)</f>
        <v>48</v>
      </c>
      <c r="F240" s="1">
        <f>VLOOKUP($B240&amp;"__wt",'Xtal_SegEnds_BW#'!$A:$Z,6,FALSE)</f>
        <v>51</v>
      </c>
      <c r="G240" s="1">
        <v>37</v>
      </c>
      <c r="H240" s="1">
        <f>VLOOKUP($B240&amp;"__wt",'Xtal_SegEnds_BW#'!$A:$Z,8,FALSE)</f>
        <v>67</v>
      </c>
      <c r="I240" s="1">
        <f>VLOOKUP($B240&amp;"__wt",'Xtal_SegEnds_BW#'!$A:$Z,9,FALSE)</f>
        <v>49</v>
      </c>
      <c r="J240" s="1">
        <f>VLOOKUP($B240&amp;"__wt",'Xtal_SegEnds_BW#'!$A:$Z,10,FALSE)</f>
        <v>52</v>
      </c>
      <c r="K240" s="1">
        <v>18</v>
      </c>
      <c r="L240" s="1">
        <f>VLOOKUP($B240&amp;"__wt",'Xtal_SegEnds_BW#'!$A:$Z,12,FALSE)</f>
        <v>56</v>
      </c>
      <c r="M240" s="1">
        <f>VLOOKUP($B240&amp;"__wt",'Xtal_SegEnds_BW#'!$A:$Z,13,FALSE)</f>
        <v>50</v>
      </c>
      <c r="N240" s="1">
        <v>57</v>
      </c>
      <c r="O240" s="1">
        <v>39</v>
      </c>
      <c r="P240" s="1">
        <v>63</v>
      </c>
      <c r="Q240" s="1">
        <f>VLOOKUP($B240&amp;"__wt",'Xtal_SegEnds_BW#'!$A:$Z,17,FALSE)</f>
        <v>50</v>
      </c>
      <c r="R240" s="1">
        <f>VLOOKUP($B240&amp;"__wt",'Xtal_SegEnds_BW#'!$A:$Z,18,FALSE)</f>
        <v>52</v>
      </c>
      <c r="S240" s="1">
        <v>35</v>
      </c>
      <c r="T240" s="23">
        <f t="array" ref="T240">INDEX('ICL3'!$G$2:$G$31,MATCH(MIN(ABS(AF240-'ICL3'!$F$2:$F$31)),ABS(AF240-'ICL3'!$F$2:$F$31),0))</f>
        <v>76</v>
      </c>
      <c r="U240" s="1">
        <f t="array" ref="U240">INDEX('ICL3'!$H$2:$H$31,MATCH(MIN(ABS(AF240-'ICL3'!$F$2:$F$31)),ABS(AF240-'ICL3'!$F$2:$F$31),0))</f>
        <v>24</v>
      </c>
      <c r="V240" s="1">
        <v>61</v>
      </c>
      <c r="W240" s="1">
        <v>32</v>
      </c>
      <c r="X240" s="1">
        <f>VLOOKUP($B240&amp;"__wt",'Xtal_SegEnds_BW#'!$A:$Z,24,FALSE)</f>
        <v>56</v>
      </c>
      <c r="Y240" s="1">
        <f>VLOOKUP($B240&amp;"__wt",'Xtal_SegEnds_BW#'!$A:$Z,25,FALSE)</f>
        <v>47</v>
      </c>
      <c r="Z240" s="1">
        <f>VLOOKUP($B240&amp;"__wt",'Xtal_SegEnds_BW#'!$A:$Z,26,FALSE)</f>
        <v>58</v>
      </c>
      <c r="AA240" s="63" t="str">
        <f>VLOOKUP(A240,Classification!A:B,2,FALSE)</f>
        <v>A</v>
      </c>
      <c r="AB240" s="1">
        <f>VLOOKUP(A240,'NonXtal_SegEnds_Prot#'!A:AL,10,FALSE)-VLOOKUP(A240,'NonXtal_SegEnds_Prot#'!A:AL,7,FALSE)</f>
        <v>15</v>
      </c>
      <c r="AC240" s="1">
        <f>VLOOKUP(A240,'NonXtal_SegEnds_Prot#'!A:AL,13,FALSE)-VLOOKUP(A240,'NonXtal_SegEnds_Prot#'!A:AL,10,FALSE)</f>
        <v>23</v>
      </c>
      <c r="AD240" s="1">
        <f>VLOOKUP(A240,'NonXtal_SegEnds_Prot#'!A:AL,16,FALSE)-VLOOKUP(A240,'NonXtal_SegEnds_Prot#'!A:AL,10,FALSE)</f>
        <v>55</v>
      </c>
      <c r="AE240" s="1">
        <f>VLOOKUP(A240,'NonXtal_SegEnds_Prot#'!A:AL,28,FALSE)-VLOOKUP(A240,'NonXtal_SegEnds_Prot#'!A:AL,25,FALSE)</f>
        <v>23</v>
      </c>
      <c r="AF240" s="1">
        <f>VLOOKUP(A240,'NonXtal_SegEnds_Prot#'!A:AL,31,FALSE)-VLOOKUP(A240,'NonXtal_SegEnds_Prot#'!A:AL,28,FALSE)</f>
        <v>76</v>
      </c>
      <c r="AG240" s="1">
        <f>VLOOKUP(A240,'NonXtal_SegEnds_Prot#'!A:AL,34,FALSE)-VLOOKUP(A240,'NonXtal_SegEnds_Prot#'!A:AL,31,FALSE)</f>
        <v>34</v>
      </c>
    </row>
    <row r="241" spans="1:33" x14ac:dyDescent="0.2">
      <c r="A241" s="1" t="s">
        <v>320</v>
      </c>
      <c r="B241" s="1" t="str">
        <f>VLOOKUP(A241,Xtal_Templ!A:B,2,FALSE)</f>
        <v>adrb2_human</v>
      </c>
      <c r="C241" s="5">
        <f>VLOOKUP($B241&amp;"__wt",'Xtal_SegEnds_BW#'!$A:$Z,3,FALSE)</f>
        <v>25</v>
      </c>
      <c r="D241" s="1">
        <f>VLOOKUP($B241&amp;"__wt",'Xtal_SegEnds_BW#'!$A:$Z,4,FALSE)</f>
        <v>60</v>
      </c>
      <c r="E241" s="1">
        <f>VLOOKUP($B241&amp;"__wt",'Xtal_SegEnds_BW#'!$A:$Z,5,FALSE)</f>
        <v>48</v>
      </c>
      <c r="F241" s="1">
        <f>VLOOKUP($B241&amp;"__wt",'Xtal_SegEnds_BW#'!$A:$Z,6,FALSE)</f>
        <v>51</v>
      </c>
      <c r="G241" s="1">
        <v>37</v>
      </c>
      <c r="H241" s="1">
        <f>VLOOKUP($B241&amp;"__wt",'Xtal_SegEnds_BW#'!$A:$Z,8,FALSE)</f>
        <v>67</v>
      </c>
      <c r="I241" s="1">
        <f>VLOOKUP($B241&amp;"__wt",'Xtal_SegEnds_BW#'!$A:$Z,9,FALSE)</f>
        <v>49</v>
      </c>
      <c r="J241" s="1">
        <f>VLOOKUP($B241&amp;"__wt",'Xtal_SegEnds_BW#'!$A:$Z,10,FALSE)</f>
        <v>52</v>
      </c>
      <c r="K241" s="1">
        <v>18</v>
      </c>
      <c r="L241" s="1">
        <f>VLOOKUP($B241&amp;"__wt",'Xtal_SegEnds_BW#'!$A:$Z,12,FALSE)</f>
        <v>56</v>
      </c>
      <c r="M241" s="1">
        <f>VLOOKUP($B241&amp;"__wt",'Xtal_SegEnds_BW#'!$A:$Z,13,FALSE)</f>
        <v>50</v>
      </c>
      <c r="N241" s="1">
        <v>57</v>
      </c>
      <c r="O241" s="1">
        <v>39</v>
      </c>
      <c r="P241" s="1">
        <f>VLOOKUP($B241&amp;"__wt",'Xtal_SegEnds_BW#'!$A:$Z,16,FALSE)</f>
        <v>64</v>
      </c>
      <c r="Q241" s="1">
        <f>VLOOKUP($B241&amp;"__wt",'Xtal_SegEnds_BW#'!$A:$Z,17,FALSE)</f>
        <v>50</v>
      </c>
      <c r="R241" s="1">
        <f>VLOOKUP($B241&amp;"__wt",'Xtal_SegEnds_BW#'!$A:$Z,18,FALSE)</f>
        <v>52</v>
      </c>
      <c r="S241" s="1">
        <v>35</v>
      </c>
      <c r="T241" s="23">
        <f t="array" ref="T241">INDEX('ICL3'!$G$2:$G$31,MATCH(MIN(ABS(AF241-'ICL3'!$F$2:$F$31)),ABS(AF241-'ICL3'!$F$2:$F$31),0))</f>
        <v>76</v>
      </c>
      <c r="U241" s="1">
        <f t="array" ref="U241">INDEX('ICL3'!$H$2:$H$31,MATCH(MIN(ABS(AF241-'ICL3'!$F$2:$F$31)),ABS(AF241-'ICL3'!$F$2:$F$31),0))</f>
        <v>24</v>
      </c>
      <c r="V241" s="1">
        <v>61</v>
      </c>
      <c r="W241" s="1">
        <v>31</v>
      </c>
      <c r="X241" s="1">
        <f>VLOOKUP($B241&amp;"__wt",'Xtal_SegEnds_BW#'!$A:$Z,24,FALSE)</f>
        <v>55</v>
      </c>
      <c r="Y241" s="1">
        <f>VLOOKUP($B241&amp;"__wt",'Xtal_SegEnds_BW#'!$A:$Z,25,FALSE)</f>
        <v>47</v>
      </c>
      <c r="Z241" s="1">
        <f>VLOOKUP($B241&amp;"__wt",'Xtal_SegEnds_BW#'!$A:$Z,26,FALSE)</f>
        <v>59</v>
      </c>
      <c r="AA241" s="63" t="str">
        <f>VLOOKUP(A241,Classification!A:B,2,FALSE)</f>
        <v>A</v>
      </c>
      <c r="AB241" s="1">
        <f>VLOOKUP(A241,'NonXtal_SegEnds_Prot#'!A:AL,10,FALSE)-VLOOKUP(A241,'NonXtal_SegEnds_Prot#'!A:AL,7,FALSE)</f>
        <v>15</v>
      </c>
      <c r="AC241" s="1">
        <f>VLOOKUP(A241,'NonXtal_SegEnds_Prot#'!A:AL,13,FALSE)-VLOOKUP(A241,'NonXtal_SegEnds_Prot#'!A:AL,10,FALSE)</f>
        <v>20</v>
      </c>
      <c r="AD241" s="1">
        <f>VLOOKUP(A241,'NonXtal_SegEnds_Prot#'!A:AL,16,FALSE)-VLOOKUP(A241,'NonXtal_SegEnds_Prot#'!A:AL,10,FALSE)</f>
        <v>52</v>
      </c>
      <c r="AE241" s="1">
        <f>VLOOKUP(A241,'NonXtal_SegEnds_Prot#'!A:AL,28,FALSE)-VLOOKUP(A241,'NonXtal_SegEnds_Prot#'!A:AL,25,FALSE)</f>
        <v>20</v>
      </c>
      <c r="AF241" s="1">
        <f>VLOOKUP(A241,'NonXtal_SegEnds_Prot#'!A:AL,31,FALSE)-VLOOKUP(A241,'NonXtal_SegEnds_Prot#'!A:AL,28,FALSE)</f>
        <v>77</v>
      </c>
      <c r="AG241" s="1">
        <f>VLOOKUP(A241,'NonXtal_SegEnds_Prot#'!A:AL,34,FALSE)-VLOOKUP(A241,'NonXtal_SegEnds_Prot#'!A:AL,31,FALSE)</f>
        <v>35</v>
      </c>
    </row>
    <row r="242" spans="1:33" x14ac:dyDescent="0.2">
      <c r="A242" s="1" t="s">
        <v>538</v>
      </c>
      <c r="B242" s="1" t="str">
        <f>VLOOKUP(A242,Xtal_Templ!A:B,2,FALSE)</f>
        <v>ox1r_human</v>
      </c>
      <c r="C242" s="5">
        <f>VLOOKUP($B242&amp;"__wt",'Xtal_SegEnds_BW#'!$A:$Z,3,FALSE)</f>
        <v>32</v>
      </c>
      <c r="D242" s="1">
        <f>VLOOKUP($B242&amp;"__wt",'Xtal_SegEnds_BW#'!$A:$Z,4,FALSE)</f>
        <v>60</v>
      </c>
      <c r="E242" s="1">
        <f>VLOOKUP($B242&amp;"__wt",'Xtal_SegEnds_BW#'!$A:$Z,5,FALSE)</f>
        <v>48</v>
      </c>
      <c r="F242" s="1">
        <f>VLOOKUP($B242&amp;"__wt",'Xtal_SegEnds_BW#'!$A:$Z,6,FALSE)</f>
        <v>51</v>
      </c>
      <c r="G242" s="1">
        <v>37</v>
      </c>
      <c r="H242" s="1">
        <v>66</v>
      </c>
      <c r="I242" s="1">
        <f>VLOOKUP($B242&amp;"__wt",'Xtal_SegEnds_BW#'!$A:$Z,9,FALSE)</f>
        <v>49</v>
      </c>
      <c r="J242" s="1">
        <f>VLOOKUP($B242&amp;"__wt",'Xtal_SegEnds_BW#'!$A:$Z,10,FALSE)</f>
        <v>52</v>
      </c>
      <c r="K242" s="1">
        <v>18</v>
      </c>
      <c r="L242" s="1">
        <f>VLOOKUP($B242&amp;"__wt",'Xtal_SegEnds_BW#'!$A:$Z,12,FALSE)</f>
        <v>56</v>
      </c>
      <c r="M242" s="1">
        <f>VLOOKUP($B242&amp;"__wt",'Xtal_SegEnds_BW#'!$A:$Z,13,FALSE)</f>
        <v>50</v>
      </c>
      <c r="N242" s="1">
        <v>55</v>
      </c>
      <c r="O242" s="1">
        <v>39</v>
      </c>
      <c r="P242" s="1">
        <f>VLOOKUP($B242&amp;"__wt",'Xtal_SegEnds_BW#'!$A:$Z,16,FALSE)</f>
        <v>64</v>
      </c>
      <c r="Q242" s="1">
        <f>VLOOKUP($B242&amp;"__wt",'Xtal_SegEnds_BW#'!$A:$Z,17,FALSE)</f>
        <v>50</v>
      </c>
      <c r="R242" s="1">
        <f>VLOOKUP($B242&amp;"__wt",'Xtal_SegEnds_BW#'!$A:$Z,18,FALSE)</f>
        <v>52</v>
      </c>
      <c r="S242" s="1">
        <f>VLOOKUP($B242&amp;"__wt",'Xtal_SegEnds_BW#'!$A:$Z,19,FALSE)</f>
        <v>32</v>
      </c>
      <c r="T242" s="23">
        <f t="array" ref="T242">INDEX('ICL3'!$G$2:$G$31,MATCH(MIN(ABS(AF242-'ICL3'!$F$2:$F$31)),ABS(AF242-'ICL3'!$F$2:$F$31),0))</f>
        <v>76</v>
      </c>
      <c r="U242" s="1">
        <f t="array" ref="U242">INDEX('ICL3'!$H$2:$H$31,MATCH(MIN(ABS(AF242-'ICL3'!$F$2:$F$31)),ABS(AF242-'ICL3'!$F$2:$F$31),0))</f>
        <v>24</v>
      </c>
      <c r="V242" s="1">
        <v>61</v>
      </c>
      <c r="W242" s="1">
        <v>31</v>
      </c>
      <c r="X242" s="1">
        <f>VLOOKUP($B242&amp;"__wt",'Xtal_SegEnds_BW#'!$A:$Z,24,FALSE)</f>
        <v>56</v>
      </c>
      <c r="Y242" s="1">
        <f>VLOOKUP($B242&amp;"__wt",'Xtal_SegEnds_BW#'!$A:$Z,25,FALSE)</f>
        <v>47</v>
      </c>
      <c r="Z242" s="1">
        <f>VLOOKUP($B242&amp;"__wt",'Xtal_SegEnds_BW#'!$A:$Z,26,FALSE)</f>
        <v>58</v>
      </c>
      <c r="AA242" s="63" t="str">
        <f>VLOOKUP(A242,Classification!A:B,2,FALSE)</f>
        <v>A</v>
      </c>
      <c r="AB242" s="1">
        <f>VLOOKUP(A242,'NonXtal_SegEnds_Prot#'!A:AL,10,FALSE)-VLOOKUP(A242,'NonXtal_SegEnds_Prot#'!A:AL,7,FALSE)</f>
        <v>15</v>
      </c>
      <c r="AC242" s="1">
        <f>VLOOKUP(A242,'NonXtal_SegEnds_Prot#'!A:AL,13,FALSE)-VLOOKUP(A242,'NonXtal_SegEnds_Prot#'!A:AL,10,FALSE)</f>
        <v>18</v>
      </c>
      <c r="AD242" s="1">
        <f>VLOOKUP(A242,'NonXtal_SegEnds_Prot#'!A:AL,16,FALSE)-VLOOKUP(A242,'NonXtal_SegEnds_Prot#'!A:AL,10,FALSE)</f>
        <v>52</v>
      </c>
      <c r="AE242" s="1">
        <f>VLOOKUP(A242,'NonXtal_SegEnds_Prot#'!A:AL,28,FALSE)-VLOOKUP(A242,'NonXtal_SegEnds_Prot#'!A:AL,25,FALSE)</f>
        <v>25</v>
      </c>
      <c r="AF242" s="1">
        <f>VLOOKUP(A242,'NonXtal_SegEnds_Prot#'!A:AL,31,FALSE)-VLOOKUP(A242,'NonXtal_SegEnds_Prot#'!A:AL,28,FALSE)</f>
        <v>78</v>
      </c>
      <c r="AG242" s="1">
        <f>VLOOKUP(A242,'NonXtal_SegEnds_Prot#'!A:AL,34,FALSE)-VLOOKUP(A242,'NonXtal_SegEnds_Prot#'!A:AL,31,FALSE)</f>
        <v>36</v>
      </c>
    </row>
    <row r="243" spans="1:33" x14ac:dyDescent="0.2">
      <c r="A243" s="1" t="s">
        <v>588</v>
      </c>
      <c r="B243" s="1" t="str">
        <f>VLOOKUP(A243,Xtal_Templ!A:B,2,FALSE)</f>
        <v>oprx_human</v>
      </c>
      <c r="C243" s="5">
        <f>VLOOKUP($B243&amp;"__wt",'Xtal_SegEnds_BW#'!$A:$Z,3,FALSE)</f>
        <v>29</v>
      </c>
      <c r="D243" s="1">
        <f>VLOOKUP($B243&amp;"__wt",'Xtal_SegEnds_BW#'!$A:$Z,4,FALSE)</f>
        <v>60</v>
      </c>
      <c r="E243" s="1">
        <f>VLOOKUP($B243&amp;"__wt",'Xtal_SegEnds_BW#'!$A:$Z,5,FALSE)</f>
        <v>48</v>
      </c>
      <c r="F243" s="1">
        <f>VLOOKUP($B243&amp;"__wt",'Xtal_SegEnds_BW#'!$A:$Z,6,FALSE)</f>
        <v>51</v>
      </c>
      <c r="G243" s="1">
        <v>37</v>
      </c>
      <c r="H243" s="1">
        <f>VLOOKUP($B243&amp;"__wt",'Xtal_SegEnds_BW#'!$A:$Z,8,FALSE)</f>
        <v>66</v>
      </c>
      <c r="I243" s="1">
        <f>VLOOKUP($B243&amp;"__wt",'Xtal_SegEnds_BW#'!$A:$Z,9,FALSE)</f>
        <v>49</v>
      </c>
      <c r="J243" s="1">
        <f>VLOOKUP($B243&amp;"__wt",'Xtal_SegEnds_BW#'!$A:$Z,10,FALSE)</f>
        <v>52</v>
      </c>
      <c r="K243" s="1">
        <v>18</v>
      </c>
      <c r="L243" s="1">
        <f>VLOOKUP($B243&amp;"__wt",'Xtal_SegEnds_BW#'!$A:$Z,12,FALSE)</f>
        <v>56</v>
      </c>
      <c r="M243" s="1">
        <f>VLOOKUP($B243&amp;"__wt",'Xtal_SegEnds_BW#'!$A:$Z,13,FALSE)</f>
        <v>50</v>
      </c>
      <c r="N243" s="1">
        <v>57</v>
      </c>
      <c r="O243" s="1">
        <v>39</v>
      </c>
      <c r="P243" s="1">
        <f>VLOOKUP($B243&amp;"__wt",'Xtal_SegEnds_BW#'!$A:$Z,16,FALSE)</f>
        <v>64</v>
      </c>
      <c r="Q243" s="1">
        <f>VLOOKUP($B243&amp;"__wt",'Xtal_SegEnds_BW#'!$A:$Z,17,FALSE)</f>
        <v>50</v>
      </c>
      <c r="R243" s="1">
        <f>VLOOKUP($B243&amp;"__wt",'Xtal_SegEnds_BW#'!$A:$Z,18,FALSE)</f>
        <v>52</v>
      </c>
      <c r="S243" s="1">
        <f>VLOOKUP($B243&amp;"__wt",'Xtal_SegEnds_BW#'!$A:$Z,19,FALSE)</f>
        <v>31</v>
      </c>
      <c r="T243" s="23">
        <f t="array" ref="T243">INDEX('ICL3'!$G$2:$G$31,MATCH(MIN(ABS(AF243-'ICL3'!$F$2:$F$31)),ABS(AF243-'ICL3'!$F$2:$F$31),0))</f>
        <v>76</v>
      </c>
      <c r="U243" s="1">
        <f t="array" ref="U243">INDEX('ICL3'!$H$2:$H$31,MATCH(MIN(ABS(AF243-'ICL3'!$F$2:$F$31)),ABS(AF243-'ICL3'!$F$2:$F$31),0))</f>
        <v>24</v>
      </c>
      <c r="V243" s="1">
        <v>61</v>
      </c>
      <c r="W243" s="1">
        <v>31</v>
      </c>
      <c r="X243" s="1">
        <f>VLOOKUP($B243&amp;"__wt",'Xtal_SegEnds_BW#'!$A:$Z,24,FALSE)</f>
        <v>56</v>
      </c>
      <c r="Y243" s="1">
        <f>VLOOKUP($B243&amp;"__wt",'Xtal_SegEnds_BW#'!$A:$Z,25,FALSE)</f>
        <v>47</v>
      </c>
      <c r="Z243" s="1">
        <f>VLOOKUP($B243&amp;"__wt",'Xtal_SegEnds_BW#'!$A:$Z,26,FALSE)</f>
        <v>59</v>
      </c>
      <c r="AA243" s="63" t="str">
        <f>VLOOKUP(A243,Classification!A:B,2,FALSE)</f>
        <v>A</v>
      </c>
      <c r="AB243" s="1">
        <f>VLOOKUP(A243,'NonXtal_SegEnds_Prot#'!A:AL,10,FALSE)-VLOOKUP(A243,'NonXtal_SegEnds_Prot#'!A:AL,7,FALSE)</f>
        <v>15</v>
      </c>
      <c r="AC243" s="1">
        <f>VLOOKUP(A243,'NonXtal_SegEnds_Prot#'!A:AL,13,FALSE)-VLOOKUP(A243,'NonXtal_SegEnds_Prot#'!A:AL,10,FALSE)</f>
        <v>20</v>
      </c>
      <c r="AD243" s="1">
        <f>VLOOKUP(A243,'NonXtal_SegEnds_Prot#'!A:AL,16,FALSE)-VLOOKUP(A243,'NonXtal_SegEnds_Prot#'!A:AL,10,FALSE)</f>
        <v>52</v>
      </c>
      <c r="AE243" s="1">
        <f>VLOOKUP(A243,'NonXtal_SegEnds_Prot#'!A:AL,28,FALSE)-VLOOKUP(A243,'NonXtal_SegEnds_Prot#'!A:AL,25,FALSE)</f>
        <v>24</v>
      </c>
      <c r="AF243" s="1">
        <f>VLOOKUP(A243,'NonXtal_SegEnds_Prot#'!A:AL,31,FALSE)-VLOOKUP(A243,'NonXtal_SegEnds_Prot#'!A:AL,28,FALSE)</f>
        <v>78</v>
      </c>
      <c r="AG243" s="1">
        <f>VLOOKUP(A243,'NonXtal_SegEnds_Prot#'!A:AL,34,FALSE)-VLOOKUP(A243,'NonXtal_SegEnds_Prot#'!A:AL,31,FALSE)</f>
        <v>36</v>
      </c>
    </row>
    <row r="244" spans="1:33" x14ac:dyDescent="0.2">
      <c r="A244" s="1" t="s">
        <v>591</v>
      </c>
      <c r="B244" s="1" t="str">
        <f>VLOOKUP(A244,Xtal_Templ!A:B,2,FALSE)</f>
        <v>oprm_mouse</v>
      </c>
      <c r="C244" s="5">
        <f>VLOOKUP($B244&amp;"__wt",'Xtal_SegEnds_BW#'!$A:$Z,3,FALSE)</f>
        <v>29</v>
      </c>
      <c r="D244" s="1">
        <f>VLOOKUP($B244&amp;"__wt",'Xtal_SegEnds_BW#'!$A:$Z,4,FALSE)</f>
        <v>60</v>
      </c>
      <c r="E244" s="1">
        <f>VLOOKUP($B244&amp;"__wt",'Xtal_SegEnds_BW#'!$A:$Z,5,FALSE)</f>
        <v>48</v>
      </c>
      <c r="F244" s="1">
        <f>VLOOKUP($B244&amp;"__wt",'Xtal_SegEnds_BW#'!$A:$Z,6,FALSE)</f>
        <v>51</v>
      </c>
      <c r="G244" s="1">
        <v>37</v>
      </c>
      <c r="H244" s="1">
        <f>VLOOKUP($B244&amp;"__wt",'Xtal_SegEnds_BW#'!$A:$Z,8,FALSE)</f>
        <v>66</v>
      </c>
      <c r="I244" s="1">
        <f>VLOOKUP($B244&amp;"__wt",'Xtal_SegEnds_BW#'!$A:$Z,9,FALSE)</f>
        <v>49</v>
      </c>
      <c r="J244" s="1">
        <f>VLOOKUP($B244&amp;"__wt",'Xtal_SegEnds_BW#'!$A:$Z,10,FALSE)</f>
        <v>52</v>
      </c>
      <c r="K244" s="1">
        <v>18</v>
      </c>
      <c r="L244" s="1">
        <f>VLOOKUP($B244&amp;"__wt",'Xtal_SegEnds_BW#'!$A:$Z,12,FALSE)</f>
        <v>56</v>
      </c>
      <c r="M244" s="1">
        <f>VLOOKUP($B244&amp;"__wt",'Xtal_SegEnds_BW#'!$A:$Z,13,FALSE)</f>
        <v>50</v>
      </c>
      <c r="N244" s="1">
        <v>57</v>
      </c>
      <c r="O244" s="1">
        <v>39</v>
      </c>
      <c r="P244" s="1">
        <f>VLOOKUP($B244&amp;"__wt",'Xtal_SegEnds_BW#'!$A:$Z,16,FALSE)</f>
        <v>64</v>
      </c>
      <c r="Q244" s="1">
        <f>VLOOKUP($B244&amp;"__wt",'Xtal_SegEnds_BW#'!$A:$Z,17,FALSE)</f>
        <v>50</v>
      </c>
      <c r="R244" s="1">
        <f>VLOOKUP($B244&amp;"__wt",'Xtal_SegEnds_BW#'!$A:$Z,18,FALSE)</f>
        <v>52</v>
      </c>
      <c r="S244" s="1">
        <f>VLOOKUP($B244&amp;"__wt",'Xtal_SegEnds_BW#'!$A:$Z,19,FALSE)</f>
        <v>31</v>
      </c>
      <c r="T244" s="23">
        <f t="array" ref="T244">INDEX('ICL3'!$G$2:$G$31,MATCH(MIN(ABS(AF244-'ICL3'!$F$2:$F$31)),ABS(AF244-'ICL3'!$F$2:$F$31),0))</f>
        <v>76</v>
      </c>
      <c r="U244" s="1">
        <f t="array" ref="U244">INDEX('ICL3'!$H$2:$H$31,MATCH(MIN(ABS(AF244-'ICL3'!$F$2:$F$31)),ABS(AF244-'ICL3'!$F$2:$F$31),0))</f>
        <v>24</v>
      </c>
      <c r="V244" s="1">
        <v>61</v>
      </c>
      <c r="W244" s="1">
        <v>28</v>
      </c>
      <c r="X244" s="1">
        <f>VLOOKUP($B244&amp;"__wt",'Xtal_SegEnds_BW#'!$A:$Z,24,FALSE)</f>
        <v>56</v>
      </c>
      <c r="Y244" s="1">
        <f>VLOOKUP($B244&amp;"__wt",'Xtal_SegEnds_BW#'!$A:$Z,25,FALSE)</f>
        <v>47</v>
      </c>
      <c r="Z244" s="1">
        <f>VLOOKUP($B244&amp;"__wt",'Xtal_SegEnds_BW#'!$A:$Z,26,FALSE)</f>
        <v>59</v>
      </c>
      <c r="AA244" s="63" t="str">
        <f>VLOOKUP(A244,Classification!A:B,2,FALSE)</f>
        <v>A</v>
      </c>
      <c r="AB244" s="1">
        <f>VLOOKUP(A244,'NonXtal_SegEnds_Prot#'!A:AL,10,FALSE)-VLOOKUP(A244,'NonXtal_SegEnds_Prot#'!A:AL,7,FALSE)</f>
        <v>15</v>
      </c>
      <c r="AC244" s="1">
        <f>VLOOKUP(A244,'NonXtal_SegEnds_Prot#'!A:AL,13,FALSE)-VLOOKUP(A244,'NonXtal_SegEnds_Prot#'!A:AL,10,FALSE)</f>
        <v>18</v>
      </c>
      <c r="AD244" s="1">
        <f>VLOOKUP(A244,'NonXtal_SegEnds_Prot#'!A:AL,16,FALSE)-VLOOKUP(A244,'NonXtal_SegEnds_Prot#'!A:AL,10,FALSE)</f>
        <v>52</v>
      </c>
      <c r="AE244" s="1">
        <f>VLOOKUP(A244,'NonXtal_SegEnds_Prot#'!A:AL,28,FALSE)-VLOOKUP(A244,'NonXtal_SegEnds_Prot#'!A:AL,25,FALSE)</f>
        <v>25</v>
      </c>
      <c r="AF244" s="1">
        <f>VLOOKUP(A244,'NonXtal_SegEnds_Prot#'!A:AL,31,FALSE)-VLOOKUP(A244,'NonXtal_SegEnds_Prot#'!A:AL,28,FALSE)</f>
        <v>78</v>
      </c>
      <c r="AG244" s="1">
        <f>VLOOKUP(A244,'NonXtal_SegEnds_Prot#'!A:AL,34,FALSE)-VLOOKUP(A244,'NonXtal_SegEnds_Prot#'!A:AL,31,FALSE)</f>
        <v>39</v>
      </c>
    </row>
    <row r="245" spans="1:33" x14ac:dyDescent="0.2">
      <c r="A245" s="1" t="s">
        <v>384</v>
      </c>
      <c r="B245" s="1" t="str">
        <f>VLOOKUP(A245,Xtal_Templ!A:B,2,FALSE)</f>
        <v>adrb1_melga</v>
      </c>
      <c r="C245" s="5">
        <f>VLOOKUP($B245&amp;"__wt",'Xtal_SegEnds_BW#'!$A:$Z,3,FALSE)</f>
        <v>24</v>
      </c>
      <c r="D245" s="1">
        <f>VLOOKUP($B245&amp;"__wt",'Xtal_SegEnds_BW#'!$A:$Z,4,FALSE)</f>
        <v>60</v>
      </c>
      <c r="E245" s="1">
        <f>VLOOKUP($B245&amp;"__wt",'Xtal_SegEnds_BW#'!$A:$Z,5,FALSE)</f>
        <v>48</v>
      </c>
      <c r="F245" s="1">
        <f>VLOOKUP($B245&amp;"__wt",'Xtal_SegEnds_BW#'!$A:$Z,6,FALSE)</f>
        <v>51</v>
      </c>
      <c r="G245" s="1">
        <v>37</v>
      </c>
      <c r="H245" s="1">
        <v>66</v>
      </c>
      <c r="I245" s="1">
        <f>VLOOKUP($B245&amp;"__wt",'Xtal_SegEnds_BW#'!$A:$Z,9,FALSE)</f>
        <v>49</v>
      </c>
      <c r="J245" s="1">
        <f>VLOOKUP($B245&amp;"__wt",'Xtal_SegEnds_BW#'!$A:$Z,10,FALSE)</f>
        <v>52</v>
      </c>
      <c r="K245" s="1">
        <v>18</v>
      </c>
      <c r="L245" s="1">
        <f>VLOOKUP($B245&amp;"__wt",'Xtal_SegEnds_BW#'!$A:$Z,12,FALSE)</f>
        <v>56</v>
      </c>
      <c r="M245" s="1">
        <f>VLOOKUP($B245&amp;"__wt",'Xtal_SegEnds_BW#'!$A:$Z,13,FALSE)</f>
        <v>50</v>
      </c>
      <c r="N245" s="1">
        <v>57</v>
      </c>
      <c r="O245" s="1">
        <v>39</v>
      </c>
      <c r="P245" s="1">
        <f>VLOOKUP($B245&amp;"__wt",'Xtal_SegEnds_BW#'!$A:$Z,16,FALSE)</f>
        <v>64</v>
      </c>
      <c r="Q245" s="1">
        <f>VLOOKUP($B245&amp;"__wt",'Xtal_SegEnds_BW#'!$A:$Z,17,FALSE)</f>
        <v>50</v>
      </c>
      <c r="R245" s="1">
        <f>VLOOKUP($B245&amp;"__wt",'Xtal_SegEnds_BW#'!$A:$Z,18,FALSE)</f>
        <v>52</v>
      </c>
      <c r="S245" s="1">
        <v>35</v>
      </c>
      <c r="T245" s="23">
        <f t="array" ref="T245">INDEX('ICL3'!$G$2:$G$31,MATCH(MIN(ABS(AF245-'ICL3'!$F$2:$F$31)),ABS(AF245-'ICL3'!$F$2:$F$31),0))</f>
        <v>76</v>
      </c>
      <c r="U245" s="1">
        <f t="array" ref="U245">INDEX('ICL3'!$H$2:$H$31,MATCH(MIN(ABS(AF245-'ICL3'!$F$2:$F$31)),ABS(AF245-'ICL3'!$F$2:$F$31),0))</f>
        <v>24</v>
      </c>
      <c r="V245" s="1">
        <v>61</v>
      </c>
      <c r="W245" s="1">
        <v>28</v>
      </c>
      <c r="X245" s="1">
        <f>VLOOKUP($B245&amp;"__wt",'Xtal_SegEnds_BW#'!$A:$Z,24,FALSE)</f>
        <v>55</v>
      </c>
      <c r="Y245" s="1">
        <f>VLOOKUP($B245&amp;"__wt",'Xtal_SegEnds_BW#'!$A:$Z,25,FALSE)</f>
        <v>47</v>
      </c>
      <c r="Z245" s="1">
        <f>VLOOKUP($B245&amp;"__wt",'Xtal_SegEnds_BW#'!$A:$Z,26,FALSE)</f>
        <v>59</v>
      </c>
      <c r="AA245" s="63" t="str">
        <f>VLOOKUP(A245,Classification!A:B,2,FALSE)</f>
        <v>A</v>
      </c>
      <c r="AB245" s="1">
        <f>VLOOKUP(A245,'NonXtal_SegEnds_Prot#'!A:AL,10,FALSE)-VLOOKUP(A245,'NonXtal_SegEnds_Prot#'!A:AL,7,FALSE)</f>
        <v>16</v>
      </c>
      <c r="AC245" s="1">
        <f>VLOOKUP(A245,'NonXtal_SegEnds_Prot#'!A:AL,13,FALSE)-VLOOKUP(A245,'NonXtal_SegEnds_Prot#'!A:AL,10,FALSE)</f>
        <v>20</v>
      </c>
      <c r="AD245" s="1">
        <f>VLOOKUP(A245,'NonXtal_SegEnds_Prot#'!A:AL,16,FALSE)-VLOOKUP(A245,'NonXtal_SegEnds_Prot#'!A:AL,10,FALSE)</f>
        <v>51</v>
      </c>
      <c r="AE245" s="1">
        <f>VLOOKUP(A245,'NonXtal_SegEnds_Prot#'!A:AL,28,FALSE)-VLOOKUP(A245,'NonXtal_SegEnds_Prot#'!A:AL,25,FALSE)</f>
        <v>20</v>
      </c>
      <c r="AF245" s="1">
        <f>VLOOKUP(A245,'NonXtal_SegEnds_Prot#'!A:AL,31,FALSE)-VLOOKUP(A245,'NonXtal_SegEnds_Prot#'!A:AL,28,FALSE)</f>
        <v>81</v>
      </c>
      <c r="AG245" s="1">
        <f>VLOOKUP(A245,'NonXtal_SegEnds_Prot#'!A:AL,34,FALSE)-VLOOKUP(A245,'NonXtal_SegEnds_Prot#'!A:AL,31,FALSE)</f>
        <v>41</v>
      </c>
    </row>
    <row r="246" spans="1:33" x14ac:dyDescent="0.2">
      <c r="A246" s="1" t="s">
        <v>457</v>
      </c>
      <c r="B246" s="1" t="str">
        <f>VLOOKUP(A246,Xtal_Templ!A:B,2,FALSE)</f>
        <v>drd3_human</v>
      </c>
      <c r="C246" s="5">
        <f>VLOOKUP($B246&amp;"__wt",'Xtal_SegEnds_BW#'!$A:$Z,3,FALSE)</f>
        <v>29</v>
      </c>
      <c r="D246" s="1">
        <f>VLOOKUP($B246&amp;"__wt",'Xtal_SegEnds_BW#'!$A:$Z,4,FALSE)</f>
        <v>60</v>
      </c>
      <c r="E246" s="1">
        <f>VLOOKUP($B246&amp;"__wt",'Xtal_SegEnds_BW#'!$A:$Z,5,FALSE)</f>
        <v>48</v>
      </c>
      <c r="F246" s="1">
        <f>VLOOKUP($B246&amp;"__wt",'Xtal_SegEnds_BW#'!$A:$Z,6,FALSE)</f>
        <v>51</v>
      </c>
      <c r="G246" s="1">
        <v>37</v>
      </c>
      <c r="H246" s="1">
        <f>VLOOKUP($B246&amp;"__wt",'Xtal_SegEnds_BW#'!$A:$Z,8,FALSE)</f>
        <v>67</v>
      </c>
      <c r="I246" s="1">
        <f>VLOOKUP($B246&amp;"__wt",'Xtal_SegEnds_BW#'!$A:$Z,9,FALSE)</f>
        <v>49</v>
      </c>
      <c r="J246" s="1">
        <f>VLOOKUP($B246&amp;"__wt",'Xtal_SegEnds_BW#'!$A:$Z,10,FALSE)</f>
        <v>52</v>
      </c>
      <c r="K246" s="1">
        <v>18</v>
      </c>
      <c r="L246" s="1">
        <f>VLOOKUP($B246&amp;"__wt",'Xtal_SegEnds_BW#'!$A:$Z,12,FALSE)</f>
        <v>56</v>
      </c>
      <c r="M246" s="1">
        <f>VLOOKUP($B246&amp;"__wt",'Xtal_SegEnds_BW#'!$A:$Z,13,FALSE)</f>
        <v>50</v>
      </c>
      <c r="N246" s="1">
        <v>57</v>
      </c>
      <c r="O246" s="1">
        <v>39</v>
      </c>
      <c r="P246" s="1">
        <f>VLOOKUP($B246&amp;"__wt",'Xtal_SegEnds_BW#'!$A:$Z,16,FALSE)</f>
        <v>63</v>
      </c>
      <c r="Q246" s="1">
        <f>VLOOKUP($B246&amp;"__wt",'Xtal_SegEnds_BW#'!$A:$Z,17,FALSE)</f>
        <v>50</v>
      </c>
      <c r="R246" s="1">
        <f>VLOOKUP($B246&amp;"__wt",'Xtal_SegEnds_BW#'!$A:$Z,18,FALSE)</f>
        <v>52</v>
      </c>
      <c r="S246" s="1">
        <v>35</v>
      </c>
      <c r="T246" s="23">
        <f t="array" ref="T246">INDEX('ICL3'!$G$2:$G$31,MATCH(MIN(ABS(AF246-'ICL3'!$F$2:$F$31)),ABS(AF246-'ICL3'!$F$2:$F$31),0))</f>
        <v>76</v>
      </c>
      <c r="U246" s="1">
        <f t="array" ref="U246">INDEX('ICL3'!$H$2:$H$31,MATCH(MIN(ABS(AF246-'ICL3'!$F$2:$F$31)),ABS(AF246-'ICL3'!$F$2:$F$31),0))</f>
        <v>24</v>
      </c>
      <c r="V246" s="1">
        <v>61</v>
      </c>
      <c r="W246" s="1">
        <v>31</v>
      </c>
      <c r="X246" s="1">
        <f>VLOOKUP($B246&amp;"__wt",'Xtal_SegEnds_BW#'!$A:$Z,24,FALSE)</f>
        <v>56</v>
      </c>
      <c r="Y246" s="1">
        <f>VLOOKUP($B246&amp;"__wt",'Xtal_SegEnds_BW#'!$A:$Z,25,FALSE)</f>
        <v>47</v>
      </c>
      <c r="Z246" s="1">
        <f>VLOOKUP($B246&amp;"__wt",'Xtal_SegEnds_BW#'!$A:$Z,26,FALSE)</f>
        <v>59</v>
      </c>
      <c r="AA246" s="63" t="str">
        <f>VLOOKUP(A246,Classification!A:B,2,FALSE)</f>
        <v>A</v>
      </c>
      <c r="AB246" s="1" t="e">
        <f>VLOOKUP(A246,'NonXtal_SegEnds_Prot#'!A:AL,10,FALSE)-VLOOKUP(A246,'NonXtal_SegEnds_Prot#'!A:AL,7,FALSE)</f>
        <v>#VALUE!</v>
      </c>
      <c r="AC246" s="1">
        <f>VLOOKUP(A246,'NonXtal_SegEnds_Prot#'!A:AL,13,FALSE)-VLOOKUP(A246,'NonXtal_SegEnds_Prot#'!A:AL,10,FALSE)</f>
        <v>21</v>
      </c>
      <c r="AD246" s="1">
        <f>VLOOKUP(A246,'NonXtal_SegEnds_Prot#'!A:AL,16,FALSE)-VLOOKUP(A246,'NonXtal_SegEnds_Prot#'!A:AL,10,FALSE)</f>
        <v>54</v>
      </c>
      <c r="AE246" s="1">
        <f>VLOOKUP(A246,'NonXtal_SegEnds_Prot#'!A:AL,28,FALSE)-VLOOKUP(A246,'NonXtal_SegEnds_Prot#'!A:AL,25,FALSE)</f>
        <v>25</v>
      </c>
      <c r="AF246" s="1">
        <f>VLOOKUP(A246,'NonXtal_SegEnds_Prot#'!A:AL,31,FALSE)-VLOOKUP(A246,'NonXtal_SegEnds_Prot#'!A:AL,28,FALSE)</f>
        <v>82</v>
      </c>
      <c r="AG246" s="1">
        <f>VLOOKUP(A246,'NonXtal_SegEnds_Prot#'!A:AL,34,FALSE)-VLOOKUP(A246,'NonXtal_SegEnds_Prot#'!A:AL,31,FALSE)</f>
        <v>36</v>
      </c>
    </row>
    <row r="247" spans="1:33" x14ac:dyDescent="0.2">
      <c r="A247" s="1" t="s">
        <v>330</v>
      </c>
      <c r="B247" s="1" t="str">
        <f>VLOOKUP(A247,Xtal_Templ!A:B,2,FALSE)</f>
        <v>adrb1_melga</v>
      </c>
      <c r="C247" s="5">
        <f>VLOOKUP($B247&amp;"__wt",'Xtal_SegEnds_BW#'!$A:$Z,3,FALSE)</f>
        <v>24</v>
      </c>
      <c r="D247" s="1">
        <f>VLOOKUP($B247&amp;"__wt",'Xtal_SegEnds_BW#'!$A:$Z,4,FALSE)</f>
        <v>60</v>
      </c>
      <c r="E247" s="1">
        <f>VLOOKUP($B247&amp;"__wt",'Xtal_SegEnds_BW#'!$A:$Z,5,FALSE)</f>
        <v>48</v>
      </c>
      <c r="F247" s="1">
        <f>VLOOKUP($B247&amp;"__wt",'Xtal_SegEnds_BW#'!$A:$Z,6,FALSE)</f>
        <v>51</v>
      </c>
      <c r="G247" s="1">
        <v>37</v>
      </c>
      <c r="H247" s="1">
        <f>VLOOKUP($B247&amp;"__wt",'Xtal_SegEnds_BW#'!$A:$Z,8,FALSE)</f>
        <v>67</v>
      </c>
      <c r="I247" s="1">
        <f>VLOOKUP($B247&amp;"__wt",'Xtal_SegEnds_BW#'!$A:$Z,9,FALSE)</f>
        <v>49</v>
      </c>
      <c r="J247" s="1">
        <f>VLOOKUP($B247&amp;"__wt",'Xtal_SegEnds_BW#'!$A:$Z,10,FALSE)</f>
        <v>52</v>
      </c>
      <c r="K247" s="1">
        <v>18</v>
      </c>
      <c r="L247" s="1">
        <f>VLOOKUP($B247&amp;"__wt",'Xtal_SegEnds_BW#'!$A:$Z,12,FALSE)</f>
        <v>56</v>
      </c>
      <c r="M247" s="1">
        <f>VLOOKUP($B247&amp;"__wt",'Xtal_SegEnds_BW#'!$A:$Z,13,FALSE)</f>
        <v>50</v>
      </c>
      <c r="N247" s="1">
        <v>57</v>
      </c>
      <c r="O247" s="1">
        <v>39</v>
      </c>
      <c r="P247" s="1">
        <f>VLOOKUP($B247&amp;"__wt",'Xtal_SegEnds_BW#'!$A:$Z,16,FALSE)</f>
        <v>64</v>
      </c>
      <c r="Q247" s="1">
        <f>VLOOKUP($B247&amp;"__wt",'Xtal_SegEnds_BW#'!$A:$Z,17,FALSE)</f>
        <v>50</v>
      </c>
      <c r="R247" s="1">
        <f>VLOOKUP($B247&amp;"__wt",'Xtal_SegEnds_BW#'!$A:$Z,18,FALSE)</f>
        <v>52</v>
      </c>
      <c r="S247" s="1">
        <v>35</v>
      </c>
      <c r="T247" s="23">
        <f t="array" ref="T247">INDEX('ICL3'!$G$2:$G$31,MATCH(MIN(ABS(AF247-'ICL3'!$F$2:$F$31)),ABS(AF247-'ICL3'!$F$2:$F$31),0))</f>
        <v>76</v>
      </c>
      <c r="U247" s="1">
        <f t="array" ref="U247">INDEX('ICL3'!$H$2:$H$31,MATCH(MIN(ABS(AF247-'ICL3'!$F$2:$F$31)),ABS(AF247-'ICL3'!$F$2:$F$31),0))</f>
        <v>24</v>
      </c>
      <c r="V247" s="1">
        <v>61</v>
      </c>
      <c r="W247" s="1">
        <v>32</v>
      </c>
      <c r="X247" s="1">
        <f>VLOOKUP($B247&amp;"__wt",'Xtal_SegEnds_BW#'!$A:$Z,24,FALSE)</f>
        <v>55</v>
      </c>
      <c r="Y247" s="1">
        <f>VLOOKUP($B247&amp;"__wt",'Xtal_SegEnds_BW#'!$A:$Z,25,FALSE)</f>
        <v>47</v>
      </c>
      <c r="Z247" s="1">
        <f>VLOOKUP($B247&amp;"__wt",'Xtal_SegEnds_BW#'!$A:$Z,26,FALSE)</f>
        <v>59</v>
      </c>
      <c r="AA247" s="63" t="str">
        <f>VLOOKUP(A247,Classification!A:B,2,FALSE)</f>
        <v>A</v>
      </c>
      <c r="AB247" s="1">
        <f>VLOOKUP(A247,'NonXtal_SegEnds_Prot#'!A:AL,10,FALSE)-VLOOKUP(A247,'NonXtal_SegEnds_Prot#'!A:AL,7,FALSE)</f>
        <v>15</v>
      </c>
      <c r="AC247" s="1">
        <f>VLOOKUP(A247,'NonXtal_SegEnds_Prot#'!A:AL,13,FALSE)-VLOOKUP(A247,'NonXtal_SegEnds_Prot#'!A:AL,10,FALSE)</f>
        <v>20</v>
      </c>
      <c r="AD247" s="1">
        <f>VLOOKUP(A247,'NonXtal_SegEnds_Prot#'!A:AL,16,FALSE)-VLOOKUP(A247,'NonXtal_SegEnds_Prot#'!A:AL,10,FALSE)</f>
        <v>52</v>
      </c>
      <c r="AE247" s="1">
        <f>VLOOKUP(A247,'NonXtal_SegEnds_Prot#'!A:AL,28,FALSE)-VLOOKUP(A247,'NonXtal_SegEnds_Prot#'!A:AL,25,FALSE)</f>
        <v>20</v>
      </c>
      <c r="AF247" s="1">
        <f>VLOOKUP(A247,'NonXtal_SegEnds_Prot#'!A:AL,31,FALSE)-VLOOKUP(A247,'NonXtal_SegEnds_Prot#'!A:AL,28,FALSE)</f>
        <v>83</v>
      </c>
      <c r="AG247" s="1">
        <f>VLOOKUP(A247,'NonXtal_SegEnds_Prot#'!A:AL,34,FALSE)-VLOOKUP(A247,'NonXtal_SegEnds_Prot#'!A:AL,31,FALSE)</f>
        <v>34</v>
      </c>
    </row>
    <row r="248" spans="1:33" x14ac:dyDescent="0.2">
      <c r="A248" s="1" t="s">
        <v>1395</v>
      </c>
      <c r="B248" s="1" t="str">
        <f>VLOOKUP(A248,Xtal_Templ!A:B,2,FALSE)</f>
        <v>ox2r_human</v>
      </c>
      <c r="C248" s="5">
        <f>VLOOKUP($B248&amp;"__wt",'Xtal_SegEnds_BW#'!$A:$Z,3,FALSE)</f>
        <v>31</v>
      </c>
      <c r="D248" s="1">
        <f>VLOOKUP($B248&amp;"__wt",'Xtal_SegEnds_BW#'!$A:$Z,4,FALSE)</f>
        <v>60</v>
      </c>
      <c r="E248" s="1">
        <f>VLOOKUP($B248&amp;"__wt",'Xtal_SegEnds_BW#'!$A:$Z,5,FALSE)</f>
        <v>48</v>
      </c>
      <c r="F248" s="1">
        <f>VLOOKUP($B248&amp;"__wt",'Xtal_SegEnds_BW#'!$A:$Z,6,FALSE)</f>
        <v>51</v>
      </c>
      <c r="G248" s="1">
        <v>37</v>
      </c>
      <c r="H248" s="1">
        <f>VLOOKUP($B248&amp;"__wt",'Xtal_SegEnds_BW#'!$A:$Z,8,FALSE)</f>
        <v>67</v>
      </c>
      <c r="I248" s="1">
        <f>VLOOKUP($B248&amp;"__wt",'Xtal_SegEnds_BW#'!$A:$Z,9,FALSE)</f>
        <v>49</v>
      </c>
      <c r="J248" s="1">
        <f>VLOOKUP($B248&amp;"__wt",'Xtal_SegEnds_BW#'!$A:$Z,10,FALSE)</f>
        <v>52</v>
      </c>
      <c r="K248" s="1">
        <v>18</v>
      </c>
      <c r="L248" s="1">
        <f>VLOOKUP($B248&amp;"__wt",'Xtal_SegEnds_BW#'!$A:$Z,12,FALSE)</f>
        <v>56</v>
      </c>
      <c r="M248" s="1">
        <f>VLOOKUP($B248&amp;"__wt",'Xtal_SegEnds_BW#'!$A:$Z,13,FALSE)</f>
        <v>50</v>
      </c>
      <c r="N248" s="1">
        <v>56</v>
      </c>
      <c r="O248" s="1">
        <v>39</v>
      </c>
      <c r="P248" s="1">
        <f>VLOOKUP($B248&amp;"__wt",'Xtal_SegEnds_BW#'!$A:$Z,16,FALSE)</f>
        <v>64</v>
      </c>
      <c r="Q248" s="1">
        <f>VLOOKUP($B248&amp;"__wt",'Xtal_SegEnds_BW#'!$A:$Z,17,FALSE)</f>
        <v>50</v>
      </c>
      <c r="R248" s="1">
        <f>VLOOKUP($B248&amp;"__wt",'Xtal_SegEnds_BW#'!$A:$Z,18,FALSE)</f>
        <v>52</v>
      </c>
      <c r="S248" s="1">
        <f>VLOOKUP($B248&amp;"__wt",'Xtal_SegEnds_BW#'!$A:$Z,19,FALSE)</f>
        <v>32</v>
      </c>
      <c r="T248" s="23">
        <f t="array" ref="T248">INDEX('ICL3'!$G$2:$G$31,MATCH(MIN(ABS(AF248-'ICL3'!$F$2:$F$31)),ABS(AF248-'ICL3'!$F$2:$F$31),0))</f>
        <v>76</v>
      </c>
      <c r="U248" s="1">
        <v>20</v>
      </c>
      <c r="V248" s="1">
        <v>61</v>
      </c>
      <c r="W248" s="1">
        <v>28</v>
      </c>
      <c r="X248" s="1">
        <f>VLOOKUP($B248&amp;"__wt",'Xtal_SegEnds_BW#'!$A:$Z,24,FALSE)</f>
        <v>56</v>
      </c>
      <c r="Y248" s="1">
        <f>VLOOKUP($B248&amp;"__wt",'Xtal_SegEnds_BW#'!$A:$Z,25,FALSE)</f>
        <v>47</v>
      </c>
      <c r="Z248" s="1">
        <f>VLOOKUP($B248&amp;"__wt",'Xtal_SegEnds_BW#'!$A:$Z,26,FALSE)</f>
        <v>58</v>
      </c>
      <c r="AA248" s="63" t="str">
        <f>VLOOKUP(A248,Classification!A:B,2,FALSE)</f>
        <v>A</v>
      </c>
      <c r="AB248" s="1">
        <f>VLOOKUP(A248,'NonXtal_SegEnds_Prot#'!A:AL,10,FALSE)-VLOOKUP(A248,'NonXtal_SegEnds_Prot#'!A:AL,7,FALSE)</f>
        <v>15</v>
      </c>
      <c r="AC248" s="1">
        <f>VLOOKUP(A248,'NonXtal_SegEnds_Prot#'!A:AL,13,FALSE)-VLOOKUP(A248,'NonXtal_SegEnds_Prot#'!A:AL,10,FALSE)</f>
        <v>20</v>
      </c>
      <c r="AD248" s="1">
        <f>VLOOKUP(A248,'NonXtal_SegEnds_Prot#'!A:AL,16,FALSE)-VLOOKUP(A248,'NonXtal_SegEnds_Prot#'!A:AL,10,FALSE)</f>
        <v>52</v>
      </c>
      <c r="AE248" s="1">
        <f>VLOOKUP(A248,'NonXtal_SegEnds_Prot#'!A:AL,28,FALSE)-VLOOKUP(A248,'NonXtal_SegEnds_Prot#'!A:AL,25,FALSE)</f>
        <v>25</v>
      </c>
      <c r="AF248" s="1">
        <f>VLOOKUP(A248,'NonXtal_SegEnds_Prot#'!A:AL,31,FALSE)-VLOOKUP(A248,'NonXtal_SegEnds_Prot#'!A:AL,28,FALSE)</f>
        <v>84</v>
      </c>
      <c r="AG248" s="1">
        <f>VLOOKUP(A248,'NonXtal_SegEnds_Prot#'!A:AL,34,FALSE)-VLOOKUP(A248,'NonXtal_SegEnds_Prot#'!A:AL,31,FALSE)</f>
        <v>42</v>
      </c>
    </row>
    <row r="249" spans="1:33" x14ac:dyDescent="0.2">
      <c r="A249" s="1" t="s">
        <v>421</v>
      </c>
      <c r="B249" s="1" t="str">
        <f>VLOOKUP(A249,Xtal_Templ!A:B,2,FALSE)</f>
        <v>5ht1b_human</v>
      </c>
      <c r="C249" s="5">
        <f>VLOOKUP($B249&amp;"__wt",'Xtal_SegEnds_BW#'!$A:$Z,3,FALSE)</f>
        <v>29</v>
      </c>
      <c r="D249" s="1">
        <f>VLOOKUP($B249&amp;"__wt",'Xtal_SegEnds_BW#'!$A:$Z,4,FALSE)</f>
        <v>60</v>
      </c>
      <c r="E249" s="1">
        <f>VLOOKUP($B249&amp;"__wt",'Xtal_SegEnds_BW#'!$A:$Z,5,FALSE)</f>
        <v>48</v>
      </c>
      <c r="F249" s="1">
        <f>VLOOKUP($B249&amp;"__wt",'Xtal_SegEnds_BW#'!$A:$Z,6,FALSE)</f>
        <v>51</v>
      </c>
      <c r="G249" s="1">
        <v>37</v>
      </c>
      <c r="H249" s="1">
        <f>VLOOKUP($B249&amp;"__wt",'Xtal_SegEnds_BW#'!$A:$Z,8,FALSE)</f>
        <v>67</v>
      </c>
      <c r="I249" s="1">
        <f>VLOOKUP($B249&amp;"__wt",'Xtal_SegEnds_BW#'!$A:$Z,9,FALSE)</f>
        <v>49</v>
      </c>
      <c r="J249" s="1">
        <f>VLOOKUP($B249&amp;"__wt",'Xtal_SegEnds_BW#'!$A:$Z,10,FALSE)</f>
        <v>52</v>
      </c>
      <c r="K249" s="1">
        <v>18</v>
      </c>
      <c r="L249" s="1">
        <f>VLOOKUP($B249&amp;"__wt",'Xtal_SegEnds_BW#'!$A:$Z,12,FALSE)</f>
        <v>56</v>
      </c>
      <c r="M249" s="1">
        <f>VLOOKUP($B249&amp;"__wt",'Xtal_SegEnds_BW#'!$A:$Z,13,FALSE)</f>
        <v>50</v>
      </c>
      <c r="N249" s="1">
        <f>VLOOKUP($B249&amp;"__wt",'Xtal_SegEnds_BW#'!$A:$Z,14,FALSE)</f>
        <v>57</v>
      </c>
      <c r="O249" s="1">
        <v>39</v>
      </c>
      <c r="P249" s="1">
        <v>63</v>
      </c>
      <c r="Q249" s="1">
        <f>VLOOKUP($B249&amp;"__wt",'Xtal_SegEnds_BW#'!$A:$Z,17,FALSE)</f>
        <v>50</v>
      </c>
      <c r="R249" s="1">
        <f>VLOOKUP($B249&amp;"__wt",'Xtal_SegEnds_BW#'!$A:$Z,18,FALSE)</f>
        <v>52</v>
      </c>
      <c r="S249" s="1">
        <v>35</v>
      </c>
      <c r="T249" s="23">
        <f t="array" ref="T249">INDEX('ICL3'!$G$2:$G$31,MATCH(MIN(ABS(AF249-'ICL3'!$F$2:$F$31)),ABS(AF249-'ICL3'!$F$2:$F$31),0))</f>
        <v>76</v>
      </c>
      <c r="U249" s="1">
        <f t="array" ref="U249">INDEX('ICL3'!$H$2:$H$31,MATCH(MIN(ABS(AF249-'ICL3'!$F$2:$F$31)),ABS(AF249-'ICL3'!$F$2:$F$31),0))</f>
        <v>24</v>
      </c>
      <c r="V249" s="1">
        <v>61</v>
      </c>
      <c r="W249" s="1">
        <v>31</v>
      </c>
      <c r="X249" s="1">
        <f>VLOOKUP($B249&amp;"__wt",'Xtal_SegEnds_BW#'!$A:$Z,24,FALSE)</f>
        <v>56</v>
      </c>
      <c r="Y249" s="1">
        <f>VLOOKUP($B249&amp;"__wt",'Xtal_SegEnds_BW#'!$A:$Z,25,FALSE)</f>
        <v>47</v>
      </c>
      <c r="Z249" s="1">
        <f>VLOOKUP($B249&amp;"__wt",'Xtal_SegEnds_BW#'!$A:$Z,26,FALSE)</f>
        <v>58</v>
      </c>
      <c r="AA249" s="63" t="str">
        <f>VLOOKUP(A249,Classification!A:B,2,FALSE)</f>
        <v>A</v>
      </c>
      <c r="AB249" s="1">
        <f>VLOOKUP(A249,'NonXtal_SegEnds_Prot#'!A:AL,10,FALSE)-VLOOKUP(A249,'NonXtal_SegEnds_Prot#'!A:AL,7,FALSE)</f>
        <v>15</v>
      </c>
      <c r="AC249" s="1">
        <f>VLOOKUP(A249,'NonXtal_SegEnds_Prot#'!A:AL,13,FALSE)-VLOOKUP(A249,'NonXtal_SegEnds_Prot#'!A:AL,10,FALSE)</f>
        <v>20</v>
      </c>
      <c r="AD249" s="1">
        <f>VLOOKUP(A249,'NonXtal_SegEnds_Prot#'!A:AL,16,FALSE)-VLOOKUP(A249,'NonXtal_SegEnds_Prot#'!A:AL,10,FALSE)</f>
        <v>52</v>
      </c>
      <c r="AE249" s="1">
        <f>VLOOKUP(A249,'NonXtal_SegEnds_Prot#'!A:AL,28,FALSE)-VLOOKUP(A249,'NonXtal_SegEnds_Prot#'!A:AL,25,FALSE)</f>
        <v>22</v>
      </c>
      <c r="AF249" s="1">
        <f>VLOOKUP(A249,'NonXtal_SegEnds_Prot#'!A:AL,31,FALSE)-VLOOKUP(A249,'NonXtal_SegEnds_Prot#'!A:AL,28,FALSE)</f>
        <v>85</v>
      </c>
      <c r="AG249" s="1">
        <f>VLOOKUP(A249,'NonXtal_SegEnds_Prot#'!A:AL,34,FALSE)-VLOOKUP(A249,'NonXtal_SegEnds_Prot#'!A:AL,31,FALSE)</f>
        <v>36</v>
      </c>
    </row>
    <row r="250" spans="1:33" x14ac:dyDescent="0.2">
      <c r="A250" s="1" t="s">
        <v>592</v>
      </c>
      <c r="B250" s="1" t="str">
        <f>VLOOKUP(A250,Xtal_Templ!A:B,2,FALSE)</f>
        <v>oprx_human</v>
      </c>
      <c r="C250" s="5">
        <f>VLOOKUP($B250&amp;"__wt",'Xtal_SegEnds_BW#'!$A:$Z,3,FALSE)</f>
        <v>29</v>
      </c>
      <c r="D250" s="1">
        <f>VLOOKUP($B250&amp;"__wt",'Xtal_SegEnds_BW#'!$A:$Z,4,FALSE)</f>
        <v>60</v>
      </c>
      <c r="E250" s="1">
        <f>VLOOKUP($B250&amp;"__wt",'Xtal_SegEnds_BW#'!$A:$Z,5,FALSE)</f>
        <v>48</v>
      </c>
      <c r="F250" s="1">
        <f>VLOOKUP($B250&amp;"__wt",'Xtal_SegEnds_BW#'!$A:$Z,6,FALSE)</f>
        <v>51</v>
      </c>
      <c r="G250" s="1">
        <v>37</v>
      </c>
      <c r="H250" s="1">
        <f>VLOOKUP($B250&amp;"__wt",'Xtal_SegEnds_BW#'!$A:$Z,8,FALSE)</f>
        <v>66</v>
      </c>
      <c r="I250" s="1">
        <f>VLOOKUP($B250&amp;"__wt",'Xtal_SegEnds_BW#'!$A:$Z,9,FALSE)</f>
        <v>49</v>
      </c>
      <c r="J250" s="1">
        <f>VLOOKUP($B250&amp;"__wt",'Xtal_SegEnds_BW#'!$A:$Z,10,FALSE)</f>
        <v>52</v>
      </c>
      <c r="K250" s="1">
        <v>18</v>
      </c>
      <c r="L250" s="1">
        <f>VLOOKUP($B250&amp;"__wt",'Xtal_SegEnds_BW#'!$A:$Z,12,FALSE)</f>
        <v>56</v>
      </c>
      <c r="M250" s="1">
        <f>VLOOKUP($B250&amp;"__wt",'Xtal_SegEnds_BW#'!$A:$Z,13,FALSE)</f>
        <v>50</v>
      </c>
      <c r="N250" s="1">
        <v>57</v>
      </c>
      <c r="O250" s="1">
        <v>39</v>
      </c>
      <c r="P250" s="1">
        <f>VLOOKUP($B250&amp;"__wt",'Xtal_SegEnds_BW#'!$A:$Z,16,FALSE)</f>
        <v>64</v>
      </c>
      <c r="Q250" s="1">
        <f>VLOOKUP($B250&amp;"__wt",'Xtal_SegEnds_BW#'!$A:$Z,17,FALSE)</f>
        <v>50</v>
      </c>
      <c r="R250" s="1">
        <f>VLOOKUP($B250&amp;"__wt",'Xtal_SegEnds_BW#'!$A:$Z,18,FALSE)</f>
        <v>52</v>
      </c>
      <c r="S250" s="1">
        <f>VLOOKUP($B250&amp;"__wt",'Xtal_SegEnds_BW#'!$A:$Z,19,FALSE)</f>
        <v>31</v>
      </c>
      <c r="T250" s="23">
        <f t="array" ref="T250">INDEX('ICL3'!$G$2:$G$31,MATCH(MIN(ABS(AF250-'ICL3'!$F$2:$F$31)),ABS(AF250-'ICL3'!$F$2:$F$31),0))</f>
        <v>76</v>
      </c>
      <c r="U250" s="1">
        <f t="array" ref="U250">INDEX('ICL3'!$H$2:$H$31,MATCH(MIN(ABS(AF250-'ICL3'!$F$2:$F$31)),ABS(AF250-'ICL3'!$F$2:$F$31),0))</f>
        <v>24</v>
      </c>
      <c r="V250" s="1">
        <v>61</v>
      </c>
      <c r="W250" s="1">
        <v>28</v>
      </c>
      <c r="X250" s="1">
        <f>VLOOKUP($B250&amp;"__wt",'Xtal_SegEnds_BW#'!$A:$Z,24,FALSE)</f>
        <v>56</v>
      </c>
      <c r="Y250" s="1">
        <f>VLOOKUP($B250&amp;"__wt",'Xtal_SegEnds_BW#'!$A:$Z,25,FALSE)</f>
        <v>47</v>
      </c>
      <c r="Z250" s="1">
        <f>VLOOKUP($B250&amp;"__wt",'Xtal_SegEnds_BW#'!$A:$Z,26,FALSE)</f>
        <v>59</v>
      </c>
      <c r="AA250" s="63" t="str">
        <f>VLOOKUP(A250,Classification!A:B,2,FALSE)</f>
        <v>A</v>
      </c>
      <c r="AB250" s="1">
        <f>VLOOKUP(A250,'NonXtal_SegEnds_Prot#'!A:AL,10,FALSE)-VLOOKUP(A250,'NonXtal_SegEnds_Prot#'!A:AL,7,FALSE)</f>
        <v>15</v>
      </c>
      <c r="AC250" s="1">
        <f>VLOOKUP(A250,'NonXtal_SegEnds_Prot#'!A:AL,13,FALSE)-VLOOKUP(A250,'NonXtal_SegEnds_Prot#'!A:AL,10,FALSE)</f>
        <v>18</v>
      </c>
      <c r="AD250" s="1">
        <f>VLOOKUP(A250,'NonXtal_SegEnds_Prot#'!A:AL,16,FALSE)-VLOOKUP(A250,'NonXtal_SegEnds_Prot#'!A:AL,10,FALSE)</f>
        <v>52</v>
      </c>
      <c r="AE250" s="1">
        <f>VLOOKUP(A250,'NonXtal_SegEnds_Prot#'!A:AL,28,FALSE)-VLOOKUP(A250,'NonXtal_SegEnds_Prot#'!A:AL,25,FALSE)</f>
        <v>25</v>
      </c>
      <c r="AF250" s="1">
        <f>VLOOKUP(A250,'NonXtal_SegEnds_Prot#'!A:AL,31,FALSE)-VLOOKUP(A250,'NonXtal_SegEnds_Prot#'!A:AL,28,FALSE)</f>
        <v>85</v>
      </c>
      <c r="AG250" s="1">
        <f>VLOOKUP(A250,'NonXtal_SegEnds_Prot#'!A:AL,34,FALSE)-VLOOKUP(A250,'NonXtal_SegEnds_Prot#'!A:AL,31,FALSE)</f>
        <v>39</v>
      </c>
    </row>
    <row r="251" spans="1:33" x14ac:dyDescent="0.2">
      <c r="A251" s="1" t="s">
        <v>1108</v>
      </c>
      <c r="B251" s="1" t="str">
        <f>VLOOKUP(A251,Xtal_Templ!A:B,2,FALSE)</f>
        <v>adrb1_melga</v>
      </c>
      <c r="C251" s="5">
        <f>VLOOKUP($B251&amp;"__wt",'Xtal_SegEnds_BW#'!$A:$Z,3,FALSE)</f>
        <v>24</v>
      </c>
      <c r="D251" s="1">
        <f>VLOOKUP($B251&amp;"__wt",'Xtal_SegEnds_BW#'!$A:$Z,4,FALSE)</f>
        <v>60</v>
      </c>
      <c r="E251" s="1">
        <f>VLOOKUP($B251&amp;"__wt",'Xtal_SegEnds_BW#'!$A:$Z,5,FALSE)</f>
        <v>48</v>
      </c>
      <c r="F251" s="1">
        <f>VLOOKUP($B251&amp;"__wt",'Xtal_SegEnds_BW#'!$A:$Z,6,FALSE)</f>
        <v>51</v>
      </c>
      <c r="G251" s="1">
        <v>37</v>
      </c>
      <c r="H251" s="1">
        <f>VLOOKUP($B251&amp;"__wt",'Xtal_SegEnds_BW#'!$A:$Z,8,FALSE)</f>
        <v>67</v>
      </c>
      <c r="I251" s="1">
        <f>VLOOKUP($B251&amp;"__wt",'Xtal_SegEnds_BW#'!$A:$Z,9,FALSE)</f>
        <v>49</v>
      </c>
      <c r="J251" s="1">
        <f>VLOOKUP($B251&amp;"__wt",'Xtal_SegEnds_BW#'!$A:$Z,10,FALSE)</f>
        <v>52</v>
      </c>
      <c r="K251" s="1">
        <v>18</v>
      </c>
      <c r="L251" s="1">
        <f>VLOOKUP($B251&amp;"__wt",'Xtal_SegEnds_BW#'!$A:$Z,12,FALSE)</f>
        <v>56</v>
      </c>
      <c r="M251" s="1">
        <f>VLOOKUP($B251&amp;"__wt",'Xtal_SegEnds_BW#'!$A:$Z,13,FALSE)</f>
        <v>50</v>
      </c>
      <c r="N251" s="1">
        <v>57</v>
      </c>
      <c r="O251" s="1">
        <v>39</v>
      </c>
      <c r="P251" s="1">
        <f>VLOOKUP($B251&amp;"__wt",'Xtal_SegEnds_BW#'!$A:$Z,16,FALSE)</f>
        <v>64</v>
      </c>
      <c r="Q251" s="1">
        <f>VLOOKUP($B251&amp;"__wt",'Xtal_SegEnds_BW#'!$A:$Z,17,FALSE)</f>
        <v>50</v>
      </c>
      <c r="R251" s="1">
        <f>VLOOKUP($B251&amp;"__wt",'Xtal_SegEnds_BW#'!$A:$Z,18,FALSE)</f>
        <v>52</v>
      </c>
      <c r="S251" s="1">
        <v>35</v>
      </c>
      <c r="T251" s="23">
        <f t="array" ref="T251">INDEX('ICL3'!$G$2:$G$31,MATCH(MIN(ABS(AF251-'ICL3'!$F$2:$F$31)),ABS(AF251-'ICL3'!$F$2:$F$31),0))</f>
        <v>76</v>
      </c>
      <c r="U251" s="1">
        <v>20</v>
      </c>
      <c r="V251" s="1">
        <v>61</v>
      </c>
      <c r="W251" s="1">
        <v>31</v>
      </c>
      <c r="X251" s="1">
        <f>VLOOKUP($B251&amp;"__wt",'Xtal_SegEnds_BW#'!$A:$Z,24,FALSE)</f>
        <v>55</v>
      </c>
      <c r="Y251" s="1">
        <f>VLOOKUP($B251&amp;"__wt",'Xtal_SegEnds_BW#'!$A:$Z,25,FALSE)</f>
        <v>47</v>
      </c>
      <c r="Z251" s="1">
        <f>VLOOKUP($B251&amp;"__wt",'Xtal_SegEnds_BW#'!$A:$Z,26,FALSE)</f>
        <v>59</v>
      </c>
      <c r="AA251" s="63" t="str">
        <f>VLOOKUP(A251,Classification!A:B,2,FALSE)</f>
        <v>A</v>
      </c>
      <c r="AB251" s="1">
        <f>VLOOKUP(A251,'NonXtal_SegEnds_Prot#'!A:AL,10,FALSE)-VLOOKUP(A251,'NonXtal_SegEnds_Prot#'!A:AL,7,FALSE)</f>
        <v>15</v>
      </c>
      <c r="AC251" s="1">
        <f>VLOOKUP(A251,'NonXtal_SegEnds_Prot#'!A:AL,13,FALSE)-VLOOKUP(A251,'NonXtal_SegEnds_Prot#'!A:AL,10,FALSE)</f>
        <v>20</v>
      </c>
      <c r="AD251" s="1">
        <f>VLOOKUP(A251,'NonXtal_SegEnds_Prot#'!A:AL,16,FALSE)-VLOOKUP(A251,'NonXtal_SegEnds_Prot#'!A:AL,10,FALSE)</f>
        <v>52</v>
      </c>
      <c r="AE251" s="1">
        <f>VLOOKUP(A251,'NonXtal_SegEnds_Prot#'!A:AL,28,FALSE)-VLOOKUP(A251,'NonXtal_SegEnds_Prot#'!A:AL,25,FALSE)</f>
        <v>20</v>
      </c>
      <c r="AF251" s="1">
        <f>VLOOKUP(A251,'NonXtal_SegEnds_Prot#'!A:AL,31,FALSE)-VLOOKUP(A251,'NonXtal_SegEnds_Prot#'!A:AL,28,FALSE)</f>
        <v>86</v>
      </c>
      <c r="AG251" s="1">
        <f>VLOOKUP(A251,'NonXtal_SegEnds_Prot#'!A:AL,34,FALSE)-VLOOKUP(A251,'NonXtal_SegEnds_Prot#'!A:AL,31,FALSE)</f>
        <v>35</v>
      </c>
    </row>
    <row r="252" spans="1:33" x14ac:dyDescent="0.2">
      <c r="A252" s="1" t="s">
        <v>1394</v>
      </c>
      <c r="B252" s="1" t="str">
        <f>VLOOKUP(A252,Xtal_Templ!A:B,2,FALSE)</f>
        <v>ox1r_human</v>
      </c>
      <c r="C252" s="5">
        <f>VLOOKUP($B252&amp;"__wt",'Xtal_SegEnds_BW#'!$A:$Z,3,FALSE)</f>
        <v>32</v>
      </c>
      <c r="D252" s="1">
        <f>VLOOKUP($B252&amp;"__wt",'Xtal_SegEnds_BW#'!$A:$Z,4,FALSE)</f>
        <v>60</v>
      </c>
      <c r="E252" s="1">
        <f>VLOOKUP($B252&amp;"__wt",'Xtal_SegEnds_BW#'!$A:$Z,5,FALSE)</f>
        <v>48</v>
      </c>
      <c r="F252" s="1">
        <f>VLOOKUP($B252&amp;"__wt",'Xtal_SegEnds_BW#'!$A:$Z,6,FALSE)</f>
        <v>51</v>
      </c>
      <c r="G252" s="1">
        <v>37</v>
      </c>
      <c r="H252" s="1">
        <f>VLOOKUP($B252&amp;"__wt",'Xtal_SegEnds_BW#'!$A:$Z,8,FALSE)</f>
        <v>67</v>
      </c>
      <c r="I252" s="1">
        <f>VLOOKUP($B252&amp;"__wt",'Xtal_SegEnds_BW#'!$A:$Z,9,FALSE)</f>
        <v>49</v>
      </c>
      <c r="J252" s="1">
        <f>VLOOKUP($B252&amp;"__wt",'Xtal_SegEnds_BW#'!$A:$Z,10,FALSE)</f>
        <v>52</v>
      </c>
      <c r="K252" s="1">
        <v>18</v>
      </c>
      <c r="L252" s="1">
        <f>VLOOKUP($B252&amp;"__wt",'Xtal_SegEnds_BW#'!$A:$Z,12,FALSE)</f>
        <v>56</v>
      </c>
      <c r="M252" s="1">
        <f>VLOOKUP($B252&amp;"__wt",'Xtal_SegEnds_BW#'!$A:$Z,13,FALSE)</f>
        <v>50</v>
      </c>
      <c r="N252" s="1">
        <v>56</v>
      </c>
      <c r="O252" s="1">
        <v>39</v>
      </c>
      <c r="P252" s="1">
        <f>VLOOKUP($B252&amp;"__wt",'Xtal_SegEnds_BW#'!$A:$Z,16,FALSE)</f>
        <v>64</v>
      </c>
      <c r="Q252" s="1">
        <f>VLOOKUP($B252&amp;"__wt",'Xtal_SegEnds_BW#'!$A:$Z,17,FALSE)</f>
        <v>50</v>
      </c>
      <c r="R252" s="1">
        <f>VLOOKUP($B252&amp;"__wt",'Xtal_SegEnds_BW#'!$A:$Z,18,FALSE)</f>
        <v>52</v>
      </c>
      <c r="S252" s="1">
        <f>VLOOKUP($B252&amp;"__wt",'Xtal_SegEnds_BW#'!$A:$Z,19,FALSE)</f>
        <v>32</v>
      </c>
      <c r="T252" s="23">
        <f t="array" ref="T252">INDEX('ICL3'!$G$2:$G$31,MATCH(MIN(ABS(AF252-'ICL3'!$F$2:$F$31)),ABS(AF252-'ICL3'!$F$2:$F$31),0))</f>
        <v>76</v>
      </c>
      <c r="U252" s="1">
        <v>20</v>
      </c>
      <c r="V252" s="1">
        <v>61</v>
      </c>
      <c r="W252" s="1">
        <v>28</v>
      </c>
      <c r="X252" s="1">
        <f>VLOOKUP($B252&amp;"__wt",'Xtal_SegEnds_BW#'!$A:$Z,24,FALSE)</f>
        <v>56</v>
      </c>
      <c r="Y252" s="1">
        <f>VLOOKUP($B252&amp;"__wt",'Xtal_SegEnds_BW#'!$A:$Z,25,FALSE)</f>
        <v>47</v>
      </c>
      <c r="Z252" s="1">
        <f>VLOOKUP($B252&amp;"__wt",'Xtal_SegEnds_BW#'!$A:$Z,26,FALSE)</f>
        <v>58</v>
      </c>
      <c r="AA252" s="63" t="str">
        <f>VLOOKUP(A252,Classification!A:B,2,FALSE)</f>
        <v>A</v>
      </c>
      <c r="AB252" s="1">
        <f>VLOOKUP(A252,'NonXtal_SegEnds_Prot#'!A:AL,10,FALSE)-VLOOKUP(A252,'NonXtal_SegEnds_Prot#'!A:AL,7,FALSE)</f>
        <v>15</v>
      </c>
      <c r="AC252" s="1">
        <f>VLOOKUP(A252,'NonXtal_SegEnds_Prot#'!A:AL,13,FALSE)-VLOOKUP(A252,'NonXtal_SegEnds_Prot#'!A:AL,10,FALSE)</f>
        <v>20</v>
      </c>
      <c r="AD252" s="1">
        <f>VLOOKUP(A252,'NonXtal_SegEnds_Prot#'!A:AL,16,FALSE)-VLOOKUP(A252,'NonXtal_SegEnds_Prot#'!A:AL,10,FALSE)</f>
        <v>52</v>
      </c>
      <c r="AE252" s="1">
        <f>VLOOKUP(A252,'NonXtal_SegEnds_Prot#'!A:AL,28,FALSE)-VLOOKUP(A252,'NonXtal_SegEnds_Prot#'!A:AL,25,FALSE)</f>
        <v>25</v>
      </c>
      <c r="AF252" s="1">
        <f>VLOOKUP(A252,'NonXtal_SegEnds_Prot#'!A:AL,31,FALSE)-VLOOKUP(A252,'NonXtal_SegEnds_Prot#'!A:AL,28,FALSE)</f>
        <v>86</v>
      </c>
      <c r="AG252" s="1">
        <f>VLOOKUP(A252,'NonXtal_SegEnds_Prot#'!A:AL,34,FALSE)-VLOOKUP(A252,'NonXtal_SegEnds_Prot#'!A:AL,31,FALSE)</f>
        <v>42</v>
      </c>
    </row>
    <row r="253" spans="1:33" x14ac:dyDescent="0.2">
      <c r="A253" s="1" t="s">
        <v>329</v>
      </c>
      <c r="B253" s="1" t="str">
        <f>VLOOKUP(A253,Xtal_Templ!A:B,2,FALSE)</f>
        <v>5ht1b_human</v>
      </c>
      <c r="C253" s="5">
        <f>VLOOKUP($B253&amp;"__wt",'Xtal_SegEnds_BW#'!$A:$Z,3,FALSE)</f>
        <v>29</v>
      </c>
      <c r="D253" s="1">
        <f>VLOOKUP($B253&amp;"__wt",'Xtal_SegEnds_BW#'!$A:$Z,4,FALSE)</f>
        <v>60</v>
      </c>
      <c r="E253" s="1">
        <f>VLOOKUP($B253&amp;"__wt",'Xtal_SegEnds_BW#'!$A:$Z,5,FALSE)</f>
        <v>48</v>
      </c>
      <c r="F253" s="1">
        <f>VLOOKUP($B253&amp;"__wt",'Xtal_SegEnds_BW#'!$A:$Z,6,FALSE)</f>
        <v>51</v>
      </c>
      <c r="G253" s="1">
        <v>37</v>
      </c>
      <c r="H253" s="1">
        <f>VLOOKUP($B253&amp;"__wt",'Xtal_SegEnds_BW#'!$A:$Z,8,FALSE)</f>
        <v>67</v>
      </c>
      <c r="I253" s="1">
        <f>VLOOKUP($B253&amp;"__wt",'Xtal_SegEnds_BW#'!$A:$Z,9,FALSE)</f>
        <v>49</v>
      </c>
      <c r="J253" s="1">
        <f>VLOOKUP($B253&amp;"__wt",'Xtal_SegEnds_BW#'!$A:$Z,10,FALSE)</f>
        <v>52</v>
      </c>
      <c r="K253" s="1">
        <v>18</v>
      </c>
      <c r="L253" s="1">
        <f>VLOOKUP($B253&amp;"__wt",'Xtal_SegEnds_BW#'!$A:$Z,12,FALSE)</f>
        <v>56</v>
      </c>
      <c r="M253" s="1">
        <f>VLOOKUP($B253&amp;"__wt",'Xtal_SegEnds_BW#'!$A:$Z,13,FALSE)</f>
        <v>50</v>
      </c>
      <c r="N253" s="1">
        <v>57</v>
      </c>
      <c r="O253" s="1">
        <v>39</v>
      </c>
      <c r="P253" s="1">
        <f>VLOOKUP($B253&amp;"__wt",'Xtal_SegEnds_BW#'!$A:$Z,16,FALSE)</f>
        <v>63</v>
      </c>
      <c r="Q253" s="1">
        <f>VLOOKUP($B253&amp;"__wt",'Xtal_SegEnds_BW#'!$A:$Z,17,FALSE)</f>
        <v>50</v>
      </c>
      <c r="R253" s="1">
        <f>VLOOKUP($B253&amp;"__wt",'Xtal_SegEnds_BW#'!$A:$Z,18,FALSE)</f>
        <v>52</v>
      </c>
      <c r="S253" s="1">
        <v>35</v>
      </c>
      <c r="T253" s="23">
        <f t="array" ref="T253">INDEX('ICL3'!$G$2:$G$31,MATCH(MIN(ABS(AF253-'ICL3'!$F$2:$F$31)),ABS(AF253-'ICL3'!$F$2:$F$31),0))</f>
        <v>76</v>
      </c>
      <c r="U253" s="1">
        <f t="array" ref="U253">INDEX('ICL3'!$H$2:$H$31,MATCH(MIN(ABS(AF253-'ICL3'!$F$2:$F$31)),ABS(AF253-'ICL3'!$F$2:$F$31),0))</f>
        <v>24</v>
      </c>
      <c r="V253" s="1">
        <v>61</v>
      </c>
      <c r="W253" s="1">
        <v>31</v>
      </c>
      <c r="X253" s="1">
        <f>VLOOKUP($B253&amp;"__wt",'Xtal_SegEnds_BW#'!$A:$Z,24,FALSE)</f>
        <v>56</v>
      </c>
      <c r="Y253" s="1">
        <f>VLOOKUP($B253&amp;"__wt",'Xtal_SegEnds_BW#'!$A:$Z,25,FALSE)</f>
        <v>47</v>
      </c>
      <c r="Z253" s="1">
        <f>VLOOKUP($B253&amp;"__wt",'Xtal_SegEnds_BW#'!$A:$Z,26,FALSE)</f>
        <v>58</v>
      </c>
      <c r="AA253" s="63" t="str">
        <f>VLOOKUP(A253,Classification!A:B,2,FALSE)</f>
        <v>A</v>
      </c>
      <c r="AB253" s="1">
        <f>VLOOKUP(A253,'NonXtal_SegEnds_Prot#'!A:AL,10,FALSE)-VLOOKUP(A253,'NonXtal_SegEnds_Prot#'!A:AL,7,FALSE)</f>
        <v>15</v>
      </c>
      <c r="AC253" s="1">
        <f>VLOOKUP(A253,'NonXtal_SegEnds_Prot#'!A:AL,13,FALSE)-VLOOKUP(A253,'NonXtal_SegEnds_Prot#'!A:AL,10,FALSE)</f>
        <v>21</v>
      </c>
      <c r="AD253" s="1">
        <f>VLOOKUP(A253,'NonXtal_SegEnds_Prot#'!A:AL,16,FALSE)-VLOOKUP(A253,'NonXtal_SegEnds_Prot#'!A:AL,10,FALSE)</f>
        <v>53</v>
      </c>
      <c r="AE253" s="1">
        <f>VLOOKUP(A253,'NonXtal_SegEnds_Prot#'!A:AL,28,FALSE)-VLOOKUP(A253,'NonXtal_SegEnds_Prot#'!A:AL,25,FALSE)</f>
        <v>20</v>
      </c>
      <c r="AF253" s="1">
        <f>VLOOKUP(A253,'NonXtal_SegEnds_Prot#'!A:AL,31,FALSE)-VLOOKUP(A253,'NonXtal_SegEnds_Prot#'!A:AL,28,FALSE)</f>
        <v>88</v>
      </c>
      <c r="AG253" s="1">
        <f>VLOOKUP(A253,'NonXtal_SegEnds_Prot#'!A:AL,34,FALSE)-VLOOKUP(A253,'NonXtal_SegEnds_Prot#'!A:AL,31,FALSE)</f>
        <v>35</v>
      </c>
    </row>
    <row r="254" spans="1:33" x14ac:dyDescent="0.2">
      <c r="A254" s="1" t="s">
        <v>558</v>
      </c>
      <c r="B254" s="1" t="str">
        <f>VLOOKUP(A254,Xtal_Templ!A:B,2,FALSE)</f>
        <v>p2y12_human</v>
      </c>
      <c r="C254" s="5">
        <f>VLOOKUP($B254&amp;"__wt",'Xtal_SegEnds_BW#'!$A:$Z,3,FALSE)</f>
        <v>28</v>
      </c>
      <c r="D254" s="1">
        <f>VLOOKUP($B254&amp;"__wt",'Xtal_SegEnds_BW#'!$A:$Z,4,FALSE)</f>
        <v>60</v>
      </c>
      <c r="E254" s="1" t="str">
        <f>VLOOKUP($B254&amp;"__wt",'Xtal_SegEnds_BW#'!$A:$Z,5,FALSE)</f>
        <v>-</v>
      </c>
      <c r="F254" s="1" t="str">
        <f>VLOOKUP($B254&amp;"__wt",'Xtal_SegEnds_BW#'!$A:$Z,6,FALSE)</f>
        <v>-</v>
      </c>
      <c r="G254" s="1">
        <v>37</v>
      </c>
      <c r="H254" s="1">
        <f>VLOOKUP($B254&amp;"__wt",'Xtal_SegEnds_BW#'!$A:$Z,8,FALSE)</f>
        <v>66</v>
      </c>
      <c r="I254" s="1" t="str">
        <f>VLOOKUP($B254&amp;"__wt",'Xtal_SegEnds_BW#'!$A:$Z,9,FALSE)</f>
        <v>-</v>
      </c>
      <c r="J254" s="1" t="str">
        <f>VLOOKUP($B254&amp;"__wt",'Xtal_SegEnds_BW#'!$A:$Z,10,FALSE)</f>
        <v>-</v>
      </c>
      <c r="K254" s="1">
        <v>18</v>
      </c>
      <c r="L254" s="1">
        <f>VLOOKUP($B254&amp;"__wt",'Xtal_SegEnds_BW#'!$A:$Z,12,FALSE)</f>
        <v>56</v>
      </c>
      <c r="M254" s="1">
        <f>VLOOKUP($B254&amp;"__wt",'Xtal_SegEnds_BW#'!$A:$Z,13,FALSE)</f>
        <v>50</v>
      </c>
      <c r="N254" s="1">
        <v>57</v>
      </c>
      <c r="O254" s="1">
        <v>39</v>
      </c>
      <c r="P254" s="1">
        <f>VLOOKUP($B254&amp;"__wt",'Xtal_SegEnds_BW#'!$A:$Z,16,FALSE)</f>
        <v>64</v>
      </c>
      <c r="Q254" s="1">
        <f>VLOOKUP($B254&amp;"__wt",'Xtal_SegEnds_BW#'!$A:$Z,17,FALSE)</f>
        <v>50</v>
      </c>
      <c r="R254" s="1">
        <f>VLOOKUP($B254&amp;"__wt",'Xtal_SegEnds_BW#'!$A:$Z,18,FALSE)</f>
        <v>52</v>
      </c>
      <c r="S254" s="1">
        <f>VLOOKUP($B254&amp;"__wt",'Xtal_SegEnds_BW#'!$A:$Z,19,FALSE)</f>
        <v>30</v>
      </c>
      <c r="T254" s="23">
        <f t="array" ref="T254">INDEX('ICL3'!$G$2:$G$31,MATCH(MIN(ABS(AF254-'ICL3'!$F$2:$F$31)),ABS(AF254-'ICL3'!$F$2:$F$31),0))</f>
        <v>76</v>
      </c>
      <c r="U254" s="1">
        <f t="array" ref="U254">INDEX('ICL3'!$H$2:$H$31,MATCH(MIN(ABS(AF254-'ICL3'!$F$2:$F$31)),ABS(AF254-'ICL3'!$F$2:$F$31),0))</f>
        <v>24</v>
      </c>
      <c r="V254" s="1">
        <v>61</v>
      </c>
      <c r="W254" s="1">
        <v>28</v>
      </c>
      <c r="X254" s="1">
        <f>VLOOKUP($B254&amp;"__wt",'Xtal_SegEnds_BW#'!$A:$Z,24,FALSE)</f>
        <v>56</v>
      </c>
      <c r="Y254" s="1">
        <f>VLOOKUP($B254&amp;"__wt",'Xtal_SegEnds_BW#'!$A:$Z,25,FALSE)</f>
        <v>47</v>
      </c>
      <c r="Z254" s="1">
        <f>VLOOKUP($B254&amp;"__wt",'Xtal_SegEnds_BW#'!$A:$Z,26,FALSE)</f>
        <v>57</v>
      </c>
      <c r="AA254" s="63" t="str">
        <f>VLOOKUP(A254,Classification!A:B,2,FALSE)</f>
        <v>A</v>
      </c>
      <c r="AB254" s="1" t="e">
        <f>VLOOKUP(A254,'NonXtal_SegEnds_Prot#'!A:AL,10,FALSE)-VLOOKUP(A254,'NonXtal_SegEnds_Prot#'!A:AL,7,FALSE)</f>
        <v>#VALUE!</v>
      </c>
      <c r="AC254" s="1" t="e">
        <f>VLOOKUP(A254,'NonXtal_SegEnds_Prot#'!A:AL,13,FALSE)-VLOOKUP(A254,'NonXtal_SegEnds_Prot#'!A:AL,10,FALSE)</f>
        <v>#VALUE!</v>
      </c>
      <c r="AD254" s="1">
        <f>VLOOKUP(A254,'NonXtal_SegEnds_Prot#'!A:AL,16,FALSE)-VLOOKUP(A254,'NonXtal_SegEnds_Prot#'!A:AL,10,FALSE)</f>
        <v>52</v>
      </c>
      <c r="AE254" s="1" t="e">
        <f>VLOOKUP(A254,'NonXtal_SegEnds_Prot#'!A:AL,28,FALSE)-VLOOKUP(A254,'NonXtal_SegEnds_Prot#'!A:AL,25,FALSE)</f>
        <v>#VALUE!</v>
      </c>
      <c r="AF254" s="1">
        <f>VLOOKUP(A254,'NonXtal_SegEnds_Prot#'!A:AL,31,FALSE)-VLOOKUP(A254,'NonXtal_SegEnds_Prot#'!A:AL,28,FALSE)</f>
        <v>90</v>
      </c>
      <c r="AG254" s="1">
        <f>VLOOKUP(A254,'NonXtal_SegEnds_Prot#'!A:AL,34,FALSE)-VLOOKUP(A254,'NonXtal_SegEnds_Prot#'!A:AL,31,FALSE)</f>
        <v>39</v>
      </c>
    </row>
    <row r="255" spans="1:33" x14ac:dyDescent="0.2">
      <c r="A255" s="1" t="s">
        <v>331</v>
      </c>
      <c r="B255" s="1" t="str">
        <f>VLOOKUP(A255,Xtal_Templ!A:B,2,FALSE)</f>
        <v>5ht1b_human</v>
      </c>
      <c r="C255" s="5">
        <f>VLOOKUP($B255&amp;"__wt",'Xtal_SegEnds_BW#'!$A:$Z,3,FALSE)</f>
        <v>29</v>
      </c>
      <c r="D255" s="1">
        <f>VLOOKUP($B255&amp;"__wt",'Xtal_SegEnds_BW#'!$A:$Z,4,FALSE)</f>
        <v>60</v>
      </c>
      <c r="E255" s="1">
        <f>VLOOKUP($B255&amp;"__wt",'Xtal_SegEnds_BW#'!$A:$Z,5,FALSE)</f>
        <v>48</v>
      </c>
      <c r="F255" s="1">
        <f>VLOOKUP($B255&amp;"__wt",'Xtal_SegEnds_BW#'!$A:$Z,6,FALSE)</f>
        <v>51</v>
      </c>
      <c r="G255" s="1">
        <v>37</v>
      </c>
      <c r="H255" s="1">
        <f>VLOOKUP($B255&amp;"__wt",'Xtal_SegEnds_BW#'!$A:$Z,8,FALSE)</f>
        <v>67</v>
      </c>
      <c r="I255" s="1">
        <f>VLOOKUP($B255&amp;"__wt",'Xtal_SegEnds_BW#'!$A:$Z,9,FALSE)</f>
        <v>49</v>
      </c>
      <c r="J255" s="1">
        <f>VLOOKUP($B255&amp;"__wt",'Xtal_SegEnds_BW#'!$A:$Z,10,FALSE)</f>
        <v>52</v>
      </c>
      <c r="K255" s="1">
        <v>18</v>
      </c>
      <c r="L255" s="1">
        <f>VLOOKUP($B255&amp;"__wt",'Xtal_SegEnds_BW#'!$A:$Z,12,FALSE)</f>
        <v>56</v>
      </c>
      <c r="M255" s="1">
        <f>VLOOKUP($B255&amp;"__wt",'Xtal_SegEnds_BW#'!$A:$Z,13,FALSE)</f>
        <v>50</v>
      </c>
      <c r="N255" s="1">
        <v>57</v>
      </c>
      <c r="O255" s="1">
        <v>39</v>
      </c>
      <c r="P255" s="1">
        <f>VLOOKUP($B255&amp;"__wt",'Xtal_SegEnds_BW#'!$A:$Z,16,FALSE)</f>
        <v>63</v>
      </c>
      <c r="Q255" s="1">
        <f>VLOOKUP($B255&amp;"__wt",'Xtal_SegEnds_BW#'!$A:$Z,17,FALSE)</f>
        <v>50</v>
      </c>
      <c r="R255" s="1">
        <f>VLOOKUP($B255&amp;"__wt",'Xtal_SegEnds_BW#'!$A:$Z,18,FALSE)</f>
        <v>52</v>
      </c>
      <c r="S255" s="1">
        <v>35</v>
      </c>
      <c r="T255" s="23">
        <f t="array" ref="T255">INDEX('ICL3'!$G$2:$G$31,MATCH(MIN(ABS(AF255-'ICL3'!$F$2:$F$31)),ABS(AF255-'ICL3'!$F$2:$F$31),0))</f>
        <v>76</v>
      </c>
      <c r="U255" s="1">
        <f t="array" ref="U255">INDEX('ICL3'!$H$2:$H$31,MATCH(MIN(ABS(AF255-'ICL3'!$F$2:$F$31)),ABS(AF255-'ICL3'!$F$2:$F$31),0))</f>
        <v>24</v>
      </c>
      <c r="V255" s="1">
        <v>61</v>
      </c>
      <c r="W255" s="1">
        <v>28</v>
      </c>
      <c r="X255" s="1">
        <f>VLOOKUP($B255&amp;"__wt",'Xtal_SegEnds_BW#'!$A:$Z,24,FALSE)</f>
        <v>56</v>
      </c>
      <c r="Y255" s="1">
        <f>VLOOKUP($B255&amp;"__wt",'Xtal_SegEnds_BW#'!$A:$Z,25,FALSE)</f>
        <v>47</v>
      </c>
      <c r="Z255" s="1">
        <f>VLOOKUP($B255&amp;"__wt",'Xtal_SegEnds_BW#'!$A:$Z,26,FALSE)</f>
        <v>58</v>
      </c>
      <c r="AA255" s="63" t="str">
        <f>VLOOKUP(A255,Classification!A:B,2,FALSE)</f>
        <v>A</v>
      </c>
      <c r="AB255" s="1">
        <f>VLOOKUP(A255,'NonXtal_SegEnds_Prot#'!A:AL,10,FALSE)-VLOOKUP(A255,'NonXtal_SegEnds_Prot#'!A:AL,7,FALSE)</f>
        <v>15</v>
      </c>
      <c r="AC255" s="1">
        <f>VLOOKUP(A255,'NonXtal_SegEnds_Prot#'!A:AL,13,FALSE)-VLOOKUP(A255,'NonXtal_SegEnds_Prot#'!A:AL,10,FALSE)</f>
        <v>21</v>
      </c>
      <c r="AD255" s="1">
        <f>VLOOKUP(A255,'NonXtal_SegEnds_Prot#'!A:AL,16,FALSE)-VLOOKUP(A255,'NonXtal_SegEnds_Prot#'!A:AL,10,FALSE)</f>
        <v>53</v>
      </c>
      <c r="AE255" s="1">
        <f>VLOOKUP(A255,'NonXtal_SegEnds_Prot#'!A:AL,28,FALSE)-VLOOKUP(A255,'NonXtal_SegEnds_Prot#'!A:AL,25,FALSE)</f>
        <v>20</v>
      </c>
      <c r="AF255" s="1">
        <f>VLOOKUP(A255,'NonXtal_SegEnds_Prot#'!A:AL,31,FALSE)-VLOOKUP(A255,'NonXtal_SegEnds_Prot#'!A:AL,28,FALSE)</f>
        <v>91</v>
      </c>
      <c r="AG255" s="1">
        <f>VLOOKUP(A255,'NonXtal_SegEnds_Prot#'!A:AL,34,FALSE)-VLOOKUP(A255,'NonXtal_SegEnds_Prot#'!A:AL,31,FALSE)</f>
        <v>39</v>
      </c>
    </row>
    <row r="256" spans="1:33" x14ac:dyDescent="0.2">
      <c r="A256" s="1" t="s">
        <v>346</v>
      </c>
      <c r="B256" s="1" t="str">
        <f>VLOOKUP(A256,Xtal_Templ!A:B,2,FALSE)</f>
        <v>5ht1b_human</v>
      </c>
      <c r="C256" s="5">
        <f>VLOOKUP($B256&amp;"__wt",'Xtal_SegEnds_BW#'!$A:$Z,3,FALSE)</f>
        <v>29</v>
      </c>
      <c r="D256" s="1">
        <f>VLOOKUP($B256&amp;"__wt",'Xtal_SegEnds_BW#'!$A:$Z,4,FALSE)</f>
        <v>60</v>
      </c>
      <c r="E256" s="1">
        <f>VLOOKUP($B256&amp;"__wt",'Xtal_SegEnds_BW#'!$A:$Z,5,FALSE)</f>
        <v>48</v>
      </c>
      <c r="F256" s="1">
        <f>VLOOKUP($B256&amp;"__wt",'Xtal_SegEnds_BW#'!$A:$Z,6,FALSE)</f>
        <v>51</v>
      </c>
      <c r="G256" s="1">
        <v>37</v>
      </c>
      <c r="H256" s="1">
        <f>VLOOKUP($B256&amp;"__wt",'Xtal_SegEnds_BW#'!$A:$Z,8,FALSE)</f>
        <v>67</v>
      </c>
      <c r="I256" s="1">
        <f>VLOOKUP($B256&amp;"__wt",'Xtal_SegEnds_BW#'!$A:$Z,9,FALSE)</f>
        <v>49</v>
      </c>
      <c r="J256" s="1">
        <f>VLOOKUP($B256&amp;"__wt",'Xtal_SegEnds_BW#'!$A:$Z,10,FALSE)</f>
        <v>52</v>
      </c>
      <c r="K256" s="1">
        <v>18</v>
      </c>
      <c r="L256" s="1">
        <f>VLOOKUP($B256&amp;"__wt",'Xtal_SegEnds_BW#'!$A:$Z,12,FALSE)</f>
        <v>56</v>
      </c>
      <c r="M256" s="1">
        <f>VLOOKUP($B256&amp;"__wt",'Xtal_SegEnds_BW#'!$A:$Z,13,FALSE)</f>
        <v>50</v>
      </c>
      <c r="N256" s="1">
        <v>57</v>
      </c>
      <c r="O256" s="1">
        <v>39</v>
      </c>
      <c r="P256" s="1">
        <f>VLOOKUP($B256&amp;"__wt",'Xtal_SegEnds_BW#'!$A:$Z,16,FALSE)</f>
        <v>63</v>
      </c>
      <c r="Q256" s="1">
        <f>VLOOKUP($B256&amp;"__wt",'Xtal_SegEnds_BW#'!$A:$Z,17,FALSE)</f>
        <v>50</v>
      </c>
      <c r="R256" s="1">
        <f>VLOOKUP($B256&amp;"__wt",'Xtal_SegEnds_BW#'!$A:$Z,18,FALSE)</f>
        <v>52</v>
      </c>
      <c r="S256" s="1">
        <v>35</v>
      </c>
      <c r="T256" s="23">
        <f t="array" ref="T256">INDEX('ICL3'!$G$2:$G$31,MATCH(MIN(ABS(AF256-'ICL3'!$F$2:$F$31)),ABS(AF256-'ICL3'!$F$2:$F$31),0))</f>
        <v>76</v>
      </c>
      <c r="U256" s="1">
        <f t="array" ref="U256">INDEX('ICL3'!$H$2:$H$31,MATCH(MIN(ABS(AF256-'ICL3'!$F$2:$F$31)),ABS(AF256-'ICL3'!$F$2:$F$31),0))</f>
        <v>24</v>
      </c>
      <c r="V256" s="1">
        <v>61</v>
      </c>
      <c r="W256" s="1">
        <v>31</v>
      </c>
      <c r="X256" s="1">
        <f>VLOOKUP($B256&amp;"__wt",'Xtal_SegEnds_BW#'!$A:$Z,24,FALSE)</f>
        <v>56</v>
      </c>
      <c r="Y256" s="1">
        <f>VLOOKUP($B256&amp;"__wt",'Xtal_SegEnds_BW#'!$A:$Z,25,FALSE)</f>
        <v>47</v>
      </c>
      <c r="Z256" s="1">
        <f>VLOOKUP($B256&amp;"__wt",'Xtal_SegEnds_BW#'!$A:$Z,26,FALSE)</f>
        <v>58</v>
      </c>
      <c r="AA256" s="63" t="str">
        <f>VLOOKUP(A256,Classification!A:B,2,FALSE)</f>
        <v>A</v>
      </c>
      <c r="AB256" s="1">
        <f>VLOOKUP(A256,'NonXtal_SegEnds_Prot#'!A:AL,10,FALSE)-VLOOKUP(A256,'NonXtal_SegEnds_Prot#'!A:AL,7,FALSE)</f>
        <v>15</v>
      </c>
      <c r="AC256" s="1">
        <f>VLOOKUP(A256,'NonXtal_SegEnds_Prot#'!A:AL,13,FALSE)-VLOOKUP(A256,'NonXtal_SegEnds_Prot#'!A:AL,10,FALSE)</f>
        <v>20</v>
      </c>
      <c r="AD256" s="1">
        <f>VLOOKUP(A256,'NonXtal_SegEnds_Prot#'!A:AL,16,FALSE)-VLOOKUP(A256,'NonXtal_SegEnds_Prot#'!A:AL,10,FALSE)</f>
        <v>52</v>
      </c>
      <c r="AE256" s="1">
        <f>VLOOKUP(A256,'NonXtal_SegEnds_Prot#'!A:AL,28,FALSE)-VLOOKUP(A256,'NonXtal_SegEnds_Prot#'!A:AL,25,FALSE)</f>
        <v>20</v>
      </c>
      <c r="AF256" s="1">
        <f>VLOOKUP(A256,'NonXtal_SegEnds_Prot#'!A:AL,31,FALSE)-VLOOKUP(A256,'NonXtal_SegEnds_Prot#'!A:AL,28,FALSE)</f>
        <v>91</v>
      </c>
      <c r="AG256" s="1">
        <f>VLOOKUP(A256,'NonXtal_SegEnds_Prot#'!A:AL,34,FALSE)-VLOOKUP(A256,'NonXtal_SegEnds_Prot#'!A:AL,31,FALSE)</f>
        <v>36</v>
      </c>
    </row>
    <row r="257" spans="1:33" x14ac:dyDescent="0.2">
      <c r="A257" s="1" t="s">
        <v>296</v>
      </c>
      <c r="B257" s="1" t="str">
        <f>VLOOKUP(A257,Xtal_Templ!A:B,2,FALSE)</f>
        <v>adrb1_melga</v>
      </c>
      <c r="C257" s="5">
        <f>VLOOKUP($B257&amp;"__wt",'Xtal_SegEnds_BW#'!$A:$Z,3,FALSE)</f>
        <v>24</v>
      </c>
      <c r="D257" s="1">
        <f>VLOOKUP($B257&amp;"__wt",'Xtal_SegEnds_BW#'!$A:$Z,4,FALSE)</f>
        <v>60</v>
      </c>
      <c r="E257" s="1">
        <f>VLOOKUP($B257&amp;"__wt",'Xtal_SegEnds_BW#'!$A:$Z,5,FALSE)</f>
        <v>48</v>
      </c>
      <c r="F257" s="1">
        <f>VLOOKUP($B257&amp;"__wt",'Xtal_SegEnds_BW#'!$A:$Z,6,FALSE)</f>
        <v>51</v>
      </c>
      <c r="G257" s="1">
        <v>37</v>
      </c>
      <c r="H257" s="1">
        <f>VLOOKUP($B257&amp;"__wt",'Xtal_SegEnds_BW#'!$A:$Z,8,FALSE)</f>
        <v>67</v>
      </c>
      <c r="I257" s="1">
        <f>VLOOKUP($B257&amp;"__wt",'Xtal_SegEnds_BW#'!$A:$Z,9,FALSE)</f>
        <v>49</v>
      </c>
      <c r="J257" s="1">
        <f>VLOOKUP($B257&amp;"__wt",'Xtal_SegEnds_BW#'!$A:$Z,10,FALSE)</f>
        <v>52</v>
      </c>
      <c r="K257" s="1">
        <v>18</v>
      </c>
      <c r="L257" s="1">
        <f>VLOOKUP($B257&amp;"__wt",'Xtal_SegEnds_BW#'!$A:$Z,12,FALSE)</f>
        <v>56</v>
      </c>
      <c r="M257" s="1">
        <f>VLOOKUP($B257&amp;"__wt",'Xtal_SegEnds_BW#'!$A:$Z,13,FALSE)</f>
        <v>50</v>
      </c>
      <c r="N257" s="1">
        <v>57</v>
      </c>
      <c r="O257" s="1">
        <v>39</v>
      </c>
      <c r="P257" s="1">
        <f>VLOOKUP($B257&amp;"__wt",'Xtal_SegEnds_BW#'!$A:$Z,16,FALSE)</f>
        <v>64</v>
      </c>
      <c r="Q257" s="1">
        <f>VLOOKUP($B257&amp;"__wt",'Xtal_SegEnds_BW#'!$A:$Z,17,FALSE)</f>
        <v>50</v>
      </c>
      <c r="R257" s="1">
        <f>VLOOKUP($B257&amp;"__wt",'Xtal_SegEnds_BW#'!$A:$Z,18,FALSE)</f>
        <v>52</v>
      </c>
      <c r="S257" s="1">
        <v>35</v>
      </c>
      <c r="T257" s="23">
        <f t="array" ref="T257">INDEX('ICL3'!$G$2:$G$31,MATCH(MIN(ABS(AF257-'ICL3'!$F$2:$F$31)),ABS(AF257-'ICL3'!$F$2:$F$31),0))</f>
        <v>76</v>
      </c>
      <c r="U257" s="1">
        <f t="array" ref="U257">INDEX('ICL3'!$H$2:$H$31,MATCH(MIN(ABS(AF257-'ICL3'!$F$2:$F$31)),ABS(AF257-'ICL3'!$F$2:$F$31),0))</f>
        <v>24</v>
      </c>
      <c r="V257" s="1">
        <v>61</v>
      </c>
      <c r="W257" s="1">
        <v>31</v>
      </c>
      <c r="X257" s="9">
        <f>VLOOKUP($B257&amp;"__wt",'Xtal_SegEnds_BW#'!$A:$Z,24,FALSE)</f>
        <v>55</v>
      </c>
      <c r="Y257" s="1">
        <f>VLOOKUP($B257&amp;"__wt",'Xtal_SegEnds_BW#'!$A:$Z,25,FALSE)</f>
        <v>47</v>
      </c>
      <c r="Z257" s="1">
        <f>VLOOKUP($B257&amp;"__wt",'Xtal_SegEnds_BW#'!$A:$Z,26,FALSE)</f>
        <v>59</v>
      </c>
      <c r="AA257" s="63" t="str">
        <f>VLOOKUP(A257,Classification!A:B,2,FALSE)</f>
        <v>A</v>
      </c>
      <c r="AB257" s="1">
        <f>VLOOKUP(A257,'NonXtal_SegEnds_Prot#'!A:AL,10,FALSE)-VLOOKUP(A257,'NonXtal_SegEnds_Prot#'!A:AL,7,FALSE)</f>
        <v>15</v>
      </c>
      <c r="AC257" s="1">
        <f>VLOOKUP(A257,'NonXtal_SegEnds_Prot#'!A:AL,13,FALSE)-VLOOKUP(A257,'NonXtal_SegEnds_Prot#'!A:AL,10,FALSE)</f>
        <v>20</v>
      </c>
      <c r="AD257" s="1">
        <f>VLOOKUP(A257,'NonXtal_SegEnds_Prot#'!A:AL,16,FALSE)-VLOOKUP(A257,'NonXtal_SegEnds_Prot#'!A:AL,10,FALSE)</f>
        <v>52</v>
      </c>
      <c r="AE257" s="1">
        <f>VLOOKUP(A257,'NonXtal_SegEnds_Prot#'!A:AL,28,FALSE)-VLOOKUP(A257,'NonXtal_SegEnds_Prot#'!A:AL,25,FALSE)</f>
        <v>20</v>
      </c>
      <c r="AF257" s="1">
        <f>VLOOKUP(A257,'NonXtal_SegEnds_Prot#'!A:AL,31,FALSE)-VLOOKUP(A257,'NonXtal_SegEnds_Prot#'!A:AL,28,FALSE)</f>
        <v>91</v>
      </c>
      <c r="AG257" s="1">
        <f>VLOOKUP(A257,'NonXtal_SegEnds_Prot#'!A:AL,34,FALSE)-VLOOKUP(A257,'NonXtal_SegEnds_Prot#'!A:AL,31,FALSE)</f>
        <v>36</v>
      </c>
    </row>
    <row r="258" spans="1:33" x14ac:dyDescent="0.2">
      <c r="A258" s="1" t="s">
        <v>326</v>
      </c>
      <c r="B258" s="1" t="str">
        <f>VLOOKUP(A258,Xtal_Templ!A:B,2,FALSE)</f>
        <v>5ht2b_human</v>
      </c>
      <c r="C258" s="5">
        <f>VLOOKUP($B258&amp;"__wt",'Xtal_SegEnds_BW#'!$A:$Z,3,FALSE)</f>
        <v>32</v>
      </c>
      <c r="D258" s="1">
        <f>VLOOKUP($B258&amp;"__wt",'Xtal_SegEnds_BW#'!$A:$Z,4,FALSE)</f>
        <v>60</v>
      </c>
      <c r="E258" s="1">
        <f>VLOOKUP($B258&amp;"__wt",'Xtal_SegEnds_BW#'!$A:$Z,5,FALSE)</f>
        <v>48</v>
      </c>
      <c r="F258" s="1">
        <f>VLOOKUP($B258&amp;"__wt",'Xtal_SegEnds_BW#'!$A:$Z,6,FALSE)</f>
        <v>51</v>
      </c>
      <c r="G258" s="1">
        <v>37</v>
      </c>
      <c r="H258" s="1">
        <f>VLOOKUP($B258&amp;"__wt",'Xtal_SegEnds_BW#'!$A:$Z,8,FALSE)</f>
        <v>67</v>
      </c>
      <c r="I258" s="1">
        <f>VLOOKUP($B258&amp;"__wt",'Xtal_SegEnds_BW#'!$A:$Z,9,FALSE)</f>
        <v>49</v>
      </c>
      <c r="J258" s="1">
        <f>VLOOKUP($B258&amp;"__wt",'Xtal_SegEnds_BW#'!$A:$Z,10,FALSE)</f>
        <v>52</v>
      </c>
      <c r="K258" s="1">
        <v>18</v>
      </c>
      <c r="L258" s="1">
        <f>VLOOKUP($B258&amp;"__wt",'Xtal_SegEnds_BW#'!$A:$Z,12,FALSE)</f>
        <v>56</v>
      </c>
      <c r="M258" s="1">
        <f>VLOOKUP($B258&amp;"__wt",'Xtal_SegEnds_BW#'!$A:$Z,13,FALSE)</f>
        <v>50</v>
      </c>
      <c r="N258" s="1">
        <v>57</v>
      </c>
      <c r="O258" s="1">
        <v>39</v>
      </c>
      <c r="P258" s="1">
        <f>VLOOKUP($B258&amp;"__wt",'Xtal_SegEnds_BW#'!$A:$Z,16,FALSE)</f>
        <v>64</v>
      </c>
      <c r="Q258" s="1">
        <f>VLOOKUP($B258&amp;"__wt",'Xtal_SegEnds_BW#'!$A:$Z,17,FALSE)</f>
        <v>50</v>
      </c>
      <c r="R258" s="1">
        <f>VLOOKUP($B258&amp;"__wt",'Xtal_SegEnds_BW#'!$A:$Z,18,FALSE)</f>
        <v>52</v>
      </c>
      <c r="S258" s="1">
        <v>35</v>
      </c>
      <c r="T258" s="23">
        <f t="array" ref="T258">INDEX('ICL3'!$G$2:$G$31,MATCH(MIN(ABS(AF258-'ICL3'!$F$2:$F$31)),ABS(AF258-'ICL3'!$F$2:$F$31),0))</f>
        <v>76</v>
      </c>
      <c r="U258" s="1">
        <f t="array" ref="U258">INDEX('ICL3'!$H$2:$H$31,MATCH(MIN(ABS(AF258-'ICL3'!$F$2:$F$31)),ABS(AF258-'ICL3'!$F$2:$F$31),0))</f>
        <v>24</v>
      </c>
      <c r="V258" s="1">
        <v>61</v>
      </c>
      <c r="W258" s="1">
        <v>28</v>
      </c>
      <c r="X258" s="1">
        <f>VLOOKUP($B258&amp;"__wt",'Xtal_SegEnds_BW#'!$A:$Z,24,FALSE)</f>
        <v>56</v>
      </c>
      <c r="Y258" s="1">
        <f>VLOOKUP($B258&amp;"__wt",'Xtal_SegEnds_BW#'!$A:$Z,25,FALSE)</f>
        <v>47</v>
      </c>
      <c r="Z258" s="1">
        <f>VLOOKUP($B258&amp;"__wt",'Xtal_SegEnds_BW#'!$A:$Z,26,FALSE)</f>
        <v>58</v>
      </c>
      <c r="AA258" s="63" t="str">
        <f>VLOOKUP(A258,Classification!A:B,2,FALSE)</f>
        <v>A</v>
      </c>
      <c r="AB258" s="1">
        <f>VLOOKUP(A258,'NonXtal_SegEnds_Prot#'!A:AL,10,FALSE)-VLOOKUP(A258,'NonXtal_SegEnds_Prot#'!A:AL,7,FALSE)</f>
        <v>15</v>
      </c>
      <c r="AC258" s="1">
        <f>VLOOKUP(A258,'NonXtal_SegEnds_Prot#'!A:AL,13,FALSE)-VLOOKUP(A258,'NonXtal_SegEnds_Prot#'!A:AL,10,FALSE)</f>
        <v>21</v>
      </c>
      <c r="AD258" s="1">
        <f>VLOOKUP(A258,'NonXtal_SegEnds_Prot#'!A:AL,16,FALSE)-VLOOKUP(A258,'NonXtal_SegEnds_Prot#'!A:AL,10,FALSE)</f>
        <v>53</v>
      </c>
      <c r="AE258" s="1">
        <f>VLOOKUP(A258,'NonXtal_SegEnds_Prot#'!A:AL,28,FALSE)-VLOOKUP(A258,'NonXtal_SegEnds_Prot#'!A:AL,25,FALSE)</f>
        <v>19</v>
      </c>
      <c r="AF258" s="1">
        <f>VLOOKUP(A258,'NonXtal_SegEnds_Prot#'!A:AL,31,FALSE)-VLOOKUP(A258,'NonXtal_SegEnds_Prot#'!A:AL,28,FALSE)</f>
        <v>92</v>
      </c>
      <c r="AG258" s="1">
        <f>VLOOKUP(A258,'NonXtal_SegEnds_Prot#'!A:AL,34,FALSE)-VLOOKUP(A258,'NonXtal_SegEnds_Prot#'!A:AL,31,FALSE)</f>
        <v>39</v>
      </c>
    </row>
    <row r="259" spans="1:33" x14ac:dyDescent="0.2">
      <c r="A259" s="1" t="s">
        <v>347</v>
      </c>
      <c r="B259" s="1" t="str">
        <f>VLOOKUP(A259,Xtal_Templ!A:B,2,FALSE)</f>
        <v>adrb1_melga</v>
      </c>
      <c r="C259" s="5">
        <f>VLOOKUP($B259&amp;"__wt",'Xtal_SegEnds_BW#'!$A:$Z,3,FALSE)</f>
        <v>24</v>
      </c>
      <c r="D259" s="1">
        <f>VLOOKUP($B259&amp;"__wt",'Xtal_SegEnds_BW#'!$A:$Z,4,FALSE)</f>
        <v>60</v>
      </c>
      <c r="E259" s="1">
        <f>VLOOKUP($B259&amp;"__wt",'Xtal_SegEnds_BW#'!$A:$Z,5,FALSE)</f>
        <v>48</v>
      </c>
      <c r="F259" s="1">
        <f>VLOOKUP($B259&amp;"__wt",'Xtal_SegEnds_BW#'!$A:$Z,6,FALSE)</f>
        <v>51</v>
      </c>
      <c r="G259" s="1">
        <v>37</v>
      </c>
      <c r="H259" s="1">
        <f>VLOOKUP($B259&amp;"__wt",'Xtal_SegEnds_BW#'!$A:$Z,8,FALSE)</f>
        <v>67</v>
      </c>
      <c r="I259" s="1">
        <f>VLOOKUP($B259&amp;"__wt",'Xtal_SegEnds_BW#'!$A:$Z,9,FALSE)</f>
        <v>49</v>
      </c>
      <c r="J259" s="1">
        <f>VLOOKUP($B259&amp;"__wt",'Xtal_SegEnds_BW#'!$A:$Z,10,FALSE)</f>
        <v>52</v>
      </c>
      <c r="K259" s="1">
        <v>18</v>
      </c>
      <c r="L259" s="1">
        <f>VLOOKUP($B259&amp;"__wt",'Xtal_SegEnds_BW#'!$A:$Z,12,FALSE)</f>
        <v>56</v>
      </c>
      <c r="M259" s="1">
        <f>VLOOKUP($B259&amp;"__wt",'Xtal_SegEnds_BW#'!$A:$Z,13,FALSE)</f>
        <v>50</v>
      </c>
      <c r="N259" s="1">
        <v>57</v>
      </c>
      <c r="O259" s="1">
        <v>39</v>
      </c>
      <c r="P259" s="1">
        <f>VLOOKUP($B259&amp;"__wt",'Xtal_SegEnds_BW#'!$A:$Z,16,FALSE)</f>
        <v>64</v>
      </c>
      <c r="Q259" s="1">
        <f>VLOOKUP($B259&amp;"__wt",'Xtal_SegEnds_BW#'!$A:$Z,17,FALSE)</f>
        <v>50</v>
      </c>
      <c r="R259" s="1">
        <f>VLOOKUP($B259&amp;"__wt",'Xtal_SegEnds_BW#'!$A:$Z,18,FALSE)</f>
        <v>52</v>
      </c>
      <c r="S259" s="1">
        <v>35</v>
      </c>
      <c r="T259" s="23">
        <f t="array" ref="T259">INDEX('ICL3'!$G$2:$G$31,MATCH(MIN(ABS(AF259-'ICL3'!$F$2:$F$31)),ABS(AF259-'ICL3'!$F$2:$F$31),0))</f>
        <v>74</v>
      </c>
      <c r="U259" s="1">
        <f t="array" ref="U259">INDEX('ICL3'!$H$2:$H$31,MATCH(MIN(ABS(AF259-'ICL3'!$F$2:$F$31)),ABS(AF259-'ICL3'!$F$2:$F$31),0))</f>
        <v>24</v>
      </c>
      <c r="V259" s="1">
        <v>61</v>
      </c>
      <c r="W259" s="1">
        <v>31</v>
      </c>
      <c r="X259" s="1">
        <f>VLOOKUP($B259&amp;"__wt",'Xtal_SegEnds_BW#'!$A:$Z,24,FALSE)</f>
        <v>55</v>
      </c>
      <c r="Y259" s="1">
        <f>VLOOKUP($B259&amp;"__wt",'Xtal_SegEnds_BW#'!$A:$Z,25,FALSE)</f>
        <v>47</v>
      </c>
      <c r="Z259" s="1">
        <f>VLOOKUP($B259&amp;"__wt",'Xtal_SegEnds_BW#'!$A:$Z,26,FALSE)</f>
        <v>59</v>
      </c>
      <c r="AA259" s="63" t="str">
        <f>VLOOKUP(A259,Classification!A:B,2,FALSE)</f>
        <v>A</v>
      </c>
      <c r="AB259" s="1">
        <f>VLOOKUP(A259,'NonXtal_SegEnds_Prot#'!A:AL,10,FALSE)-VLOOKUP(A259,'NonXtal_SegEnds_Prot#'!A:AL,7,FALSE)</f>
        <v>15</v>
      </c>
      <c r="AC259" s="1">
        <f>VLOOKUP(A259,'NonXtal_SegEnds_Prot#'!A:AL,13,FALSE)-VLOOKUP(A259,'NonXtal_SegEnds_Prot#'!A:AL,10,FALSE)</f>
        <v>20</v>
      </c>
      <c r="AD259" s="1">
        <f>VLOOKUP(A259,'NonXtal_SegEnds_Prot#'!A:AL,16,FALSE)-VLOOKUP(A259,'NonXtal_SegEnds_Prot#'!A:AL,10,FALSE)</f>
        <v>52</v>
      </c>
      <c r="AE259" s="1">
        <f>VLOOKUP(A259,'NonXtal_SegEnds_Prot#'!A:AL,28,FALSE)-VLOOKUP(A259,'NonXtal_SegEnds_Prot#'!A:AL,25,FALSE)</f>
        <v>20</v>
      </c>
      <c r="AF259" s="1">
        <f>VLOOKUP(A259,'NonXtal_SegEnds_Prot#'!A:AL,31,FALSE)-VLOOKUP(A259,'NonXtal_SegEnds_Prot#'!A:AL,28,FALSE)</f>
        <v>94</v>
      </c>
      <c r="AG259" s="1">
        <f>VLOOKUP(A259,'NonXtal_SegEnds_Prot#'!A:AL,34,FALSE)-VLOOKUP(A259,'NonXtal_SegEnds_Prot#'!A:AL,31,FALSE)</f>
        <v>36</v>
      </c>
    </row>
    <row r="260" spans="1:33" x14ac:dyDescent="0.2">
      <c r="A260" s="1" t="s">
        <v>524</v>
      </c>
      <c r="B260" s="1" t="str">
        <f>VLOOKUP(A260,Xtal_Templ!A:B,2,FALSE)</f>
        <v>ntr1_rat</v>
      </c>
      <c r="C260" s="5">
        <f>VLOOKUP($B260&amp;"__wt",'Xtal_SegEnds_BW#'!$A:$Z,3,FALSE)</f>
        <v>29</v>
      </c>
      <c r="D260" s="1">
        <f>VLOOKUP($B260&amp;"__wt",'Xtal_SegEnds_BW#'!$A:$Z,4,FALSE)</f>
        <v>60</v>
      </c>
      <c r="E260" s="1">
        <f>VLOOKUP($B260&amp;"__wt",'Xtal_SegEnds_BW#'!$A:$Z,5,FALSE)</f>
        <v>48</v>
      </c>
      <c r="F260" s="1">
        <f>VLOOKUP($B260&amp;"__wt",'Xtal_SegEnds_BW#'!$A:$Z,6,FALSE)</f>
        <v>51</v>
      </c>
      <c r="G260" s="1">
        <v>37</v>
      </c>
      <c r="H260" s="1">
        <f>VLOOKUP($B260&amp;"__wt",'Xtal_SegEnds_BW#'!$A:$Z,8,FALSE)</f>
        <v>68</v>
      </c>
      <c r="I260" s="1">
        <f>VLOOKUP($B260&amp;"__wt",'Xtal_SegEnds_BW#'!$A:$Z,9,FALSE)</f>
        <v>49</v>
      </c>
      <c r="J260" s="1">
        <f>VLOOKUP($B260&amp;"__wt",'Xtal_SegEnds_BW#'!$A:$Z,10,FALSE)</f>
        <v>52</v>
      </c>
      <c r="K260" s="1">
        <v>18</v>
      </c>
      <c r="L260" s="1">
        <f>VLOOKUP($B260&amp;"__wt",'Xtal_SegEnds_BW#'!$A:$Z,12,FALSE)</f>
        <v>56</v>
      </c>
      <c r="M260" s="1">
        <f>VLOOKUP($B260&amp;"__wt",'Xtal_SegEnds_BW#'!$A:$Z,13,FALSE)</f>
        <v>50</v>
      </c>
      <c r="N260" s="1">
        <v>57</v>
      </c>
      <c r="O260" s="1">
        <v>39</v>
      </c>
      <c r="P260" s="1">
        <f>VLOOKUP($B260&amp;"__wt",'Xtal_SegEnds_BW#'!$A:$Z,16,FALSE)</f>
        <v>64</v>
      </c>
      <c r="Q260" s="1">
        <f>VLOOKUP($B260&amp;"__wt",'Xtal_SegEnds_BW#'!$A:$Z,17,FALSE)</f>
        <v>50</v>
      </c>
      <c r="R260" s="1">
        <f>VLOOKUP($B260&amp;"__wt",'Xtal_SegEnds_BW#'!$A:$Z,18,FALSE)</f>
        <v>52</v>
      </c>
      <c r="S260" s="1">
        <f>VLOOKUP($B260&amp;"__wt",'Xtal_SegEnds_BW#'!$A:$Z,19,FALSE)</f>
        <v>32</v>
      </c>
      <c r="T260" s="23">
        <f t="array" ref="T260">INDEX('ICL3'!$G$2:$G$31,MATCH(MIN(ABS(AF260-'ICL3'!$F$2:$F$31)),ABS(AF260-'ICL3'!$F$2:$F$31),0))</f>
        <v>74</v>
      </c>
      <c r="U260" s="1">
        <f t="array" ref="U260">INDEX('ICL3'!$H$2:$H$31,MATCH(MIN(ABS(AF260-'ICL3'!$F$2:$F$31)),ABS(AF260-'ICL3'!$F$2:$F$31),0))</f>
        <v>24</v>
      </c>
      <c r="V260" s="1">
        <v>61</v>
      </c>
      <c r="W260" s="1">
        <v>24</v>
      </c>
      <c r="X260" s="1">
        <f>VLOOKUP($B260&amp;"__wt",'Xtal_SegEnds_BW#'!$A:$Z,24,FALSE)</f>
        <v>56</v>
      </c>
      <c r="Y260" s="1">
        <f>VLOOKUP($B260&amp;"__wt",'Xtal_SegEnds_BW#'!$A:$Z,25,FALSE)</f>
        <v>47</v>
      </c>
      <c r="Z260" s="1">
        <f>VLOOKUP($B260&amp;"__wt",'Xtal_SegEnds_BW#'!$A:$Z,26,FALSE)</f>
        <v>58</v>
      </c>
      <c r="AA260" s="63" t="str">
        <f>VLOOKUP(A260,Classification!A:B,2,FALSE)</f>
        <v>A</v>
      </c>
      <c r="AB260" s="1" t="e">
        <f>VLOOKUP(A260,'NonXtal_SegEnds_Prot#'!A:AL,10,FALSE)-VLOOKUP(A260,'NonXtal_SegEnds_Prot#'!A:AL,7,FALSE)</f>
        <v>#VALUE!</v>
      </c>
      <c r="AC260" s="1">
        <f>VLOOKUP(A260,'NonXtal_SegEnds_Prot#'!A:AL,13,FALSE)-VLOOKUP(A260,'NonXtal_SegEnds_Prot#'!A:AL,10,FALSE)</f>
        <v>22</v>
      </c>
      <c r="AD260" s="1">
        <f>VLOOKUP(A260,'NonXtal_SegEnds_Prot#'!A:AL,16,FALSE)-VLOOKUP(A260,'NonXtal_SegEnds_Prot#'!A:AL,10,FALSE)</f>
        <v>54</v>
      </c>
      <c r="AE260" s="1">
        <f>VLOOKUP(A260,'NonXtal_SegEnds_Prot#'!A:AL,28,FALSE)-VLOOKUP(A260,'NonXtal_SegEnds_Prot#'!A:AL,25,FALSE)</f>
        <v>24</v>
      </c>
      <c r="AF260" s="1">
        <f>VLOOKUP(A260,'NonXtal_SegEnds_Prot#'!A:AL,31,FALSE)-VLOOKUP(A260,'NonXtal_SegEnds_Prot#'!A:AL,28,FALSE)</f>
        <v>94</v>
      </c>
      <c r="AG260" s="1">
        <f>VLOOKUP(A260,'NonXtal_SegEnds_Prot#'!A:AL,34,FALSE)-VLOOKUP(A260,'NonXtal_SegEnds_Prot#'!A:AL,31,FALSE)</f>
        <v>43</v>
      </c>
    </row>
    <row r="261" spans="1:33" x14ac:dyDescent="0.2">
      <c r="A261" s="1" t="s">
        <v>422</v>
      </c>
      <c r="B261" s="1" t="str">
        <f>VLOOKUP(A261,Xtal_Templ!A:B,2,FALSE)</f>
        <v>acm4_human</v>
      </c>
      <c r="C261" s="5">
        <f>VLOOKUP($B261&amp;"__wt",'Xtal_SegEnds_BW#'!$A:$Z,3,FALSE)</f>
        <v>26</v>
      </c>
      <c r="D261" s="1">
        <f>VLOOKUP($B261&amp;"__wt",'Xtal_SegEnds_BW#'!$A:$Z,4,FALSE)</f>
        <v>60</v>
      </c>
      <c r="E261" s="1">
        <f>VLOOKUP($B261&amp;"__wt",'Xtal_SegEnds_BW#'!$A:$Z,5,FALSE)</f>
        <v>48</v>
      </c>
      <c r="F261" s="1">
        <f>VLOOKUP($B261&amp;"__wt",'Xtal_SegEnds_BW#'!$A:$Z,6,FALSE)</f>
        <v>51</v>
      </c>
      <c r="G261" s="1">
        <v>37</v>
      </c>
      <c r="H261" s="1">
        <f>VLOOKUP($B261&amp;"__wt",'Xtal_SegEnds_BW#'!$A:$Z,8,FALSE)</f>
        <v>67</v>
      </c>
      <c r="I261" s="1">
        <f>VLOOKUP($B261&amp;"__wt",'Xtal_SegEnds_BW#'!$A:$Z,9,FALSE)</f>
        <v>49</v>
      </c>
      <c r="J261" s="1">
        <f>VLOOKUP($B261&amp;"__wt",'Xtal_SegEnds_BW#'!$A:$Z,10,FALSE)</f>
        <v>52</v>
      </c>
      <c r="K261" s="1">
        <v>18</v>
      </c>
      <c r="L261" s="1">
        <f>VLOOKUP($B261&amp;"__wt",'Xtal_SegEnds_BW#'!$A:$Z,12,FALSE)</f>
        <v>56</v>
      </c>
      <c r="M261" s="1">
        <f>VLOOKUP($B261&amp;"__wt",'Xtal_SegEnds_BW#'!$A:$Z,13,FALSE)</f>
        <v>50</v>
      </c>
      <c r="N261" s="1">
        <v>57</v>
      </c>
      <c r="O261" s="1">
        <v>39</v>
      </c>
      <c r="P261" s="1">
        <f>VLOOKUP($B261&amp;"__wt",'Xtal_SegEnds_BW#'!$A:$Z,16,FALSE)</f>
        <v>69</v>
      </c>
      <c r="Q261" s="1">
        <f>VLOOKUP($B261&amp;"__wt",'Xtal_SegEnds_BW#'!$A:$Z,17,FALSE)</f>
        <v>50</v>
      </c>
      <c r="R261" s="1">
        <f>VLOOKUP($B261&amp;"__wt",'Xtal_SegEnds_BW#'!$A:$Z,18,FALSE)</f>
        <v>52</v>
      </c>
      <c r="S261" s="1">
        <v>35</v>
      </c>
      <c r="T261" s="23">
        <f t="array" ref="T261">INDEX('ICL3'!$G$2:$G$31,MATCH(MIN(ABS(AF261-'ICL3'!$F$2:$F$31)),ABS(AF261-'ICL3'!$F$2:$F$31),0))</f>
        <v>74</v>
      </c>
      <c r="U261" s="1">
        <f t="array" ref="U261">INDEX('ICL3'!$H$2:$H$31,MATCH(MIN(ABS(AF261-'ICL3'!$F$2:$F$31)),ABS(AF261-'ICL3'!$F$2:$F$31),0))</f>
        <v>24</v>
      </c>
      <c r="V261" s="1">
        <v>61</v>
      </c>
      <c r="W261" s="1">
        <v>32</v>
      </c>
      <c r="X261" s="1">
        <f>VLOOKUP($B261&amp;"__wt",'Xtal_SegEnds_BW#'!$A:$Z,24,FALSE)</f>
        <v>56</v>
      </c>
      <c r="Y261" s="1">
        <f>VLOOKUP($B261&amp;"__wt",'Xtal_SegEnds_BW#'!$A:$Z,25,FALSE)</f>
        <v>47</v>
      </c>
      <c r="Z261" s="1">
        <f>VLOOKUP($B261&amp;"__wt",'Xtal_SegEnds_BW#'!$A:$Z,26,FALSE)</f>
        <v>59</v>
      </c>
      <c r="AA261" s="63" t="str">
        <f>VLOOKUP(A261,Classification!A:B,2,FALSE)</f>
        <v>A</v>
      </c>
      <c r="AB261" s="1">
        <f>VLOOKUP(A261,'NonXtal_SegEnds_Prot#'!A:AL,10,FALSE)-VLOOKUP(A261,'NonXtal_SegEnds_Prot#'!A:AL,7,FALSE)</f>
        <v>15</v>
      </c>
      <c r="AC261" s="1">
        <f>VLOOKUP(A261,'NonXtal_SegEnds_Prot#'!A:AL,13,FALSE)-VLOOKUP(A261,'NonXtal_SegEnds_Prot#'!A:AL,10,FALSE)</f>
        <v>24</v>
      </c>
      <c r="AD261" s="1">
        <f>VLOOKUP(A261,'NonXtal_SegEnds_Prot#'!A:AL,16,FALSE)-VLOOKUP(A261,'NonXtal_SegEnds_Prot#'!A:AL,10,FALSE)</f>
        <v>56</v>
      </c>
      <c r="AE261" s="1">
        <f>VLOOKUP(A261,'NonXtal_SegEnds_Prot#'!A:AL,28,FALSE)-VLOOKUP(A261,'NonXtal_SegEnds_Prot#'!A:AL,25,FALSE)</f>
        <v>23</v>
      </c>
      <c r="AF261" s="1">
        <f>VLOOKUP(A261,'NonXtal_SegEnds_Prot#'!A:AL,31,FALSE)-VLOOKUP(A261,'NonXtal_SegEnds_Prot#'!A:AL,28,FALSE)</f>
        <v>96</v>
      </c>
      <c r="AG261" s="1">
        <f>VLOOKUP(A261,'NonXtal_SegEnds_Prot#'!A:AL,34,FALSE)-VLOOKUP(A261,'NonXtal_SegEnds_Prot#'!A:AL,31,FALSE)</f>
        <v>34</v>
      </c>
    </row>
    <row r="262" spans="1:33" x14ac:dyDescent="0.2">
      <c r="A262" s="1" t="s">
        <v>555</v>
      </c>
      <c r="B262" s="1" t="str">
        <f>VLOOKUP(A262,Xtal_Templ!A:B,2,FALSE)</f>
        <v>aa2ar_human</v>
      </c>
      <c r="C262" s="5">
        <f>VLOOKUP($B262&amp;"__wt",'Xtal_SegEnds_BW#'!$A:$Z,3,FALSE)</f>
        <v>28</v>
      </c>
      <c r="D262" s="1">
        <f>VLOOKUP($B262&amp;"__wt",'Xtal_SegEnds_BW#'!$A:$Z,4,FALSE)</f>
        <v>60</v>
      </c>
      <c r="E262" s="1">
        <f>VLOOKUP($B262&amp;"__wt",'Xtal_SegEnds_BW#'!$A:$Z,5,FALSE)</f>
        <v>48</v>
      </c>
      <c r="F262" s="1">
        <f>VLOOKUP($B262&amp;"__wt",'Xtal_SegEnds_BW#'!$A:$Z,6,FALSE)</f>
        <v>51</v>
      </c>
      <c r="G262" s="1">
        <v>37</v>
      </c>
      <c r="H262" s="1">
        <v>66</v>
      </c>
      <c r="I262" s="1">
        <f>VLOOKUP($B262&amp;"__wt",'Xtal_SegEnds_BW#'!$A:$Z,9,FALSE)</f>
        <v>50</v>
      </c>
      <c r="J262" s="1">
        <f>VLOOKUP($B262&amp;"__wt",'Xtal_SegEnds_BW#'!$A:$Z,10,FALSE)</f>
        <v>52</v>
      </c>
      <c r="K262" s="1">
        <v>18</v>
      </c>
      <c r="L262" s="1">
        <f>VLOOKUP($B262&amp;"__wt",'Xtal_SegEnds_BW#'!$A:$Z,12,FALSE)</f>
        <v>56</v>
      </c>
      <c r="M262" s="1">
        <f>VLOOKUP($B262&amp;"__wt",'Xtal_SegEnds_BW#'!$A:$Z,13,FALSE)</f>
        <v>50</v>
      </c>
      <c r="N262" s="1">
        <v>57</v>
      </c>
      <c r="O262" s="1">
        <v>39</v>
      </c>
      <c r="P262" s="1">
        <f>VLOOKUP($B262&amp;"__wt",'Xtal_SegEnds_BW#'!$A:$Z,16,FALSE)</f>
        <v>63</v>
      </c>
      <c r="Q262" s="1">
        <f>VLOOKUP($B262&amp;"__wt",'Xtal_SegEnds_BW#'!$A:$Z,17,FALSE)</f>
        <v>50</v>
      </c>
      <c r="R262" s="1">
        <f>VLOOKUP($B262&amp;"__wt",'Xtal_SegEnds_BW#'!$A:$Z,18,FALSE)</f>
        <v>52</v>
      </c>
      <c r="S262" s="1">
        <f>VLOOKUP($B262&amp;"__wt",'Xtal_SegEnds_BW#'!$A:$Z,19,FALSE)</f>
        <v>34</v>
      </c>
      <c r="T262" s="23">
        <f t="array" ref="T262">INDEX('ICL3'!$G$2:$G$31,MATCH(MIN(ABS(AF262-'ICL3'!$F$2:$F$31)),ABS(AF262-'ICL3'!$F$2:$F$31),0))</f>
        <v>74</v>
      </c>
      <c r="U262" s="1">
        <f t="array" ref="U262">INDEX('ICL3'!$H$2:$H$31,MATCH(MIN(ABS(AF262-'ICL3'!$F$2:$F$31)),ABS(AF262-'ICL3'!$F$2:$F$31),0))</f>
        <v>24</v>
      </c>
      <c r="V262" s="1">
        <v>61</v>
      </c>
      <c r="W262" s="1">
        <v>31</v>
      </c>
      <c r="X262" s="1">
        <f>VLOOKUP($B262&amp;"__wt",'Xtal_SegEnds_BW#'!$A:$Z,24,FALSE)</f>
        <v>56</v>
      </c>
      <c r="Y262" s="1">
        <f>VLOOKUP($B262&amp;"__wt",'Xtal_SegEnds_BW#'!$A:$Z,25,FALSE)</f>
        <v>47</v>
      </c>
      <c r="Z262" s="1">
        <f>VLOOKUP($B262&amp;"__wt",'Xtal_SegEnds_BW#'!$A:$Z,26,FALSE)</f>
        <v>69</v>
      </c>
      <c r="AA262" s="63" t="str">
        <f>VLOOKUP(A262,Classification!A:B,2,FALSE)</f>
        <v>A</v>
      </c>
      <c r="AB262" s="1">
        <f>VLOOKUP(A262,'NonXtal_SegEnds_Prot#'!A:AL,10,FALSE)-VLOOKUP(A262,'NonXtal_SegEnds_Prot#'!A:AL,7,FALSE)</f>
        <v>20</v>
      </c>
      <c r="AC262" s="1">
        <f>VLOOKUP(A262,'NonXtal_SegEnds_Prot#'!A:AL,13,FALSE)-VLOOKUP(A262,'NonXtal_SegEnds_Prot#'!A:AL,10,FALSE)</f>
        <v>20</v>
      </c>
      <c r="AD262" s="1">
        <f>VLOOKUP(A262,'NonXtal_SegEnds_Prot#'!A:AL,16,FALSE)-VLOOKUP(A262,'NonXtal_SegEnds_Prot#'!A:AL,10,FALSE)</f>
        <v>51</v>
      </c>
      <c r="AE262" s="1">
        <f>VLOOKUP(A262,'NonXtal_SegEnds_Prot#'!A:AL,28,FALSE)-VLOOKUP(A262,'NonXtal_SegEnds_Prot#'!A:AL,25,FALSE)</f>
        <v>28</v>
      </c>
      <c r="AF262" s="1">
        <f>VLOOKUP(A262,'NonXtal_SegEnds_Prot#'!A:AL,31,FALSE)-VLOOKUP(A262,'NonXtal_SegEnds_Prot#'!A:AL,28,FALSE)</f>
        <v>96</v>
      </c>
      <c r="AG262" s="1">
        <f>VLOOKUP(A262,'NonXtal_SegEnds_Prot#'!A:AL,34,FALSE)-VLOOKUP(A262,'NonXtal_SegEnds_Prot#'!A:AL,31,FALSE)</f>
        <v>36</v>
      </c>
    </row>
    <row r="263" spans="1:33" x14ac:dyDescent="0.2">
      <c r="A263" s="1" t="s">
        <v>348</v>
      </c>
      <c r="B263" s="1" t="str">
        <f>VLOOKUP(A263,Xtal_Templ!A:B,2,FALSE)</f>
        <v>adrb1_melga</v>
      </c>
      <c r="C263" s="5">
        <f>VLOOKUP($B263&amp;"__wt",'Xtal_SegEnds_BW#'!$A:$Z,3,FALSE)</f>
        <v>24</v>
      </c>
      <c r="D263" s="1">
        <f>VLOOKUP($B263&amp;"__wt",'Xtal_SegEnds_BW#'!$A:$Z,4,FALSE)</f>
        <v>60</v>
      </c>
      <c r="E263" s="1">
        <f>VLOOKUP($B263&amp;"__wt",'Xtal_SegEnds_BW#'!$A:$Z,5,FALSE)</f>
        <v>48</v>
      </c>
      <c r="F263" s="1">
        <f>VLOOKUP($B263&amp;"__wt",'Xtal_SegEnds_BW#'!$A:$Z,6,FALSE)</f>
        <v>51</v>
      </c>
      <c r="G263" s="1">
        <v>37</v>
      </c>
      <c r="H263" s="1">
        <f>VLOOKUP($B263&amp;"__wt",'Xtal_SegEnds_BW#'!$A:$Z,8,FALSE)</f>
        <v>67</v>
      </c>
      <c r="I263" s="1">
        <f>VLOOKUP($B263&amp;"__wt",'Xtal_SegEnds_BW#'!$A:$Z,9,FALSE)</f>
        <v>49</v>
      </c>
      <c r="J263" s="1">
        <f>VLOOKUP($B263&amp;"__wt",'Xtal_SegEnds_BW#'!$A:$Z,10,FALSE)</f>
        <v>52</v>
      </c>
      <c r="K263" s="1">
        <v>18</v>
      </c>
      <c r="L263" s="1">
        <f>VLOOKUP($B263&amp;"__wt",'Xtal_SegEnds_BW#'!$A:$Z,12,FALSE)</f>
        <v>56</v>
      </c>
      <c r="M263" s="1">
        <f>VLOOKUP($B263&amp;"__wt",'Xtal_SegEnds_BW#'!$A:$Z,13,FALSE)</f>
        <v>50</v>
      </c>
      <c r="N263" s="1">
        <v>57</v>
      </c>
      <c r="O263" s="1">
        <v>39</v>
      </c>
      <c r="P263" s="1">
        <f>VLOOKUP($B263&amp;"__wt",'Xtal_SegEnds_BW#'!$A:$Z,16,FALSE)</f>
        <v>64</v>
      </c>
      <c r="Q263" s="1">
        <f>VLOOKUP($B263&amp;"__wt",'Xtal_SegEnds_BW#'!$A:$Z,17,FALSE)</f>
        <v>50</v>
      </c>
      <c r="R263" s="1">
        <f>VLOOKUP($B263&amp;"__wt",'Xtal_SegEnds_BW#'!$A:$Z,18,FALSE)</f>
        <v>52</v>
      </c>
      <c r="S263" s="1">
        <v>35</v>
      </c>
      <c r="T263" s="23">
        <f t="array" ref="T263">INDEX('ICL3'!$G$2:$G$31,MATCH(MIN(ABS(AF263-'ICL3'!$F$2:$F$31)),ABS(AF263-'ICL3'!$F$2:$F$31),0))</f>
        <v>74</v>
      </c>
      <c r="U263" s="1">
        <f t="array" ref="U263">INDEX('ICL3'!$H$2:$H$31,MATCH(MIN(ABS(AF263-'ICL3'!$F$2:$F$31)),ABS(AF263-'ICL3'!$F$2:$F$31),0))</f>
        <v>24</v>
      </c>
      <c r="V263" s="1">
        <v>61</v>
      </c>
      <c r="W263" s="1">
        <v>31</v>
      </c>
      <c r="X263" s="1">
        <f>VLOOKUP($B263&amp;"__wt",'Xtal_SegEnds_BW#'!$A:$Z,24,FALSE)</f>
        <v>55</v>
      </c>
      <c r="Y263" s="1">
        <f>VLOOKUP($B263&amp;"__wt",'Xtal_SegEnds_BW#'!$A:$Z,25,FALSE)</f>
        <v>47</v>
      </c>
      <c r="Z263" s="1">
        <f>VLOOKUP($B263&amp;"__wt",'Xtal_SegEnds_BW#'!$A:$Z,26,FALSE)</f>
        <v>59</v>
      </c>
      <c r="AA263" s="63" t="str">
        <f>VLOOKUP(A263,Classification!A:B,2,FALSE)</f>
        <v>A</v>
      </c>
      <c r="AB263" s="1">
        <f>VLOOKUP(A263,'NonXtal_SegEnds_Prot#'!A:AL,10,FALSE)-VLOOKUP(A263,'NonXtal_SegEnds_Prot#'!A:AL,7,FALSE)</f>
        <v>15</v>
      </c>
      <c r="AC263" s="1">
        <f>VLOOKUP(A263,'NonXtal_SegEnds_Prot#'!A:AL,13,FALSE)-VLOOKUP(A263,'NonXtal_SegEnds_Prot#'!A:AL,10,FALSE)</f>
        <v>20</v>
      </c>
      <c r="AD263" s="1">
        <f>VLOOKUP(A263,'NonXtal_SegEnds_Prot#'!A:AL,16,FALSE)-VLOOKUP(A263,'NonXtal_SegEnds_Prot#'!A:AL,10,FALSE)</f>
        <v>52</v>
      </c>
      <c r="AE263" s="1">
        <f>VLOOKUP(A263,'NonXtal_SegEnds_Prot#'!A:AL,28,FALSE)-VLOOKUP(A263,'NonXtal_SegEnds_Prot#'!A:AL,25,FALSE)</f>
        <v>20</v>
      </c>
      <c r="AF263" s="1">
        <f>VLOOKUP(A263,'NonXtal_SegEnds_Prot#'!A:AL,31,FALSE)-VLOOKUP(A263,'NonXtal_SegEnds_Prot#'!A:AL,28,FALSE)</f>
        <v>97</v>
      </c>
      <c r="AG263" s="1">
        <f>VLOOKUP(A263,'NonXtal_SegEnds_Prot#'!A:AL,34,FALSE)-VLOOKUP(A263,'NonXtal_SegEnds_Prot#'!A:AL,31,FALSE)</f>
        <v>36</v>
      </c>
    </row>
    <row r="264" spans="1:33" x14ac:dyDescent="0.2">
      <c r="A264" s="1" t="s">
        <v>464</v>
      </c>
      <c r="B264" s="1" t="str">
        <f>VLOOKUP(A264,Xtal_Templ!A:B,2,FALSE)</f>
        <v>ox1r_human</v>
      </c>
      <c r="C264" s="5">
        <f>VLOOKUP($B264&amp;"__wt",'Xtal_SegEnds_BW#'!$A:$Z,3,FALSE)</f>
        <v>32</v>
      </c>
      <c r="D264" s="1">
        <f>VLOOKUP($B264&amp;"__wt",'Xtal_SegEnds_BW#'!$A:$Z,4,FALSE)</f>
        <v>60</v>
      </c>
      <c r="E264" s="1">
        <f>VLOOKUP($B264&amp;"__wt",'Xtal_SegEnds_BW#'!$A:$Z,5,FALSE)</f>
        <v>48</v>
      </c>
      <c r="F264" s="1">
        <f>VLOOKUP($B264&amp;"__wt",'Xtal_SegEnds_BW#'!$A:$Z,6,FALSE)</f>
        <v>51</v>
      </c>
      <c r="G264" s="1">
        <v>37</v>
      </c>
      <c r="H264" s="1">
        <f>VLOOKUP($B264&amp;"__wt",'Xtal_SegEnds_BW#'!$A:$Z,8,FALSE)</f>
        <v>67</v>
      </c>
      <c r="I264" s="1">
        <f>VLOOKUP($B264&amp;"__wt",'Xtal_SegEnds_BW#'!$A:$Z,9,FALSE)</f>
        <v>49</v>
      </c>
      <c r="J264" s="1">
        <f>VLOOKUP($B264&amp;"__wt",'Xtal_SegEnds_BW#'!$A:$Z,10,FALSE)</f>
        <v>52</v>
      </c>
      <c r="K264" s="1">
        <v>18</v>
      </c>
      <c r="L264" s="1">
        <f>VLOOKUP($B264&amp;"__wt",'Xtal_SegEnds_BW#'!$A:$Z,12,FALSE)</f>
        <v>56</v>
      </c>
      <c r="M264" s="1">
        <f>VLOOKUP($B264&amp;"__wt",'Xtal_SegEnds_BW#'!$A:$Z,13,FALSE)</f>
        <v>50</v>
      </c>
      <c r="N264" s="1">
        <v>57</v>
      </c>
      <c r="O264" s="1">
        <v>39</v>
      </c>
      <c r="P264" s="1">
        <f>VLOOKUP($B264&amp;"__wt",'Xtal_SegEnds_BW#'!$A:$Z,16,FALSE)</f>
        <v>64</v>
      </c>
      <c r="Q264" s="1">
        <f>VLOOKUP($B264&amp;"__wt",'Xtal_SegEnds_BW#'!$A:$Z,17,FALSE)</f>
        <v>50</v>
      </c>
      <c r="R264" s="1">
        <f>VLOOKUP($B264&amp;"__wt",'Xtal_SegEnds_BW#'!$A:$Z,18,FALSE)</f>
        <v>52</v>
      </c>
      <c r="S264" s="1">
        <f>VLOOKUP($B264&amp;"__wt",'Xtal_SegEnds_BW#'!$A:$Z,19,FALSE)</f>
        <v>32</v>
      </c>
      <c r="T264" s="23">
        <f t="array" ref="T264">INDEX('ICL3'!$G$2:$G$31,MATCH(MIN(ABS(AF264-'ICL3'!$F$2:$F$31)),ABS(AF264-'ICL3'!$F$2:$F$31),0))</f>
        <v>74</v>
      </c>
      <c r="U264" s="1">
        <f t="array" ref="U264">INDEX('ICL3'!$H$2:$H$31,MATCH(MIN(ABS(AF264-'ICL3'!$F$2:$F$31)),ABS(AF264-'ICL3'!$F$2:$F$31),0))</f>
        <v>24</v>
      </c>
      <c r="V264" s="1">
        <v>61</v>
      </c>
      <c r="W264" s="1">
        <v>33</v>
      </c>
      <c r="X264" s="1">
        <f>VLOOKUP($B264&amp;"__wt",'Xtal_SegEnds_BW#'!$A:$Z,24,FALSE)</f>
        <v>56</v>
      </c>
      <c r="Y264" s="1">
        <f>VLOOKUP($B264&amp;"__wt",'Xtal_SegEnds_BW#'!$A:$Z,25,FALSE)</f>
        <v>47</v>
      </c>
      <c r="Z264" s="1">
        <f>VLOOKUP($B264&amp;"__wt",'Xtal_SegEnds_BW#'!$A:$Z,26,FALSE)</f>
        <v>58</v>
      </c>
      <c r="AA264" s="63" t="str">
        <f>VLOOKUP(A264,Classification!A:B,2,FALSE)</f>
        <v>A</v>
      </c>
      <c r="AB264" s="1">
        <f>VLOOKUP(A264,'NonXtal_SegEnds_Prot#'!A:AL,10,FALSE)-VLOOKUP(A264,'NonXtal_SegEnds_Prot#'!A:AL,7,FALSE)</f>
        <v>15</v>
      </c>
      <c r="AC264" s="1" t="e">
        <f>VLOOKUP(A264,'NonXtal_SegEnds_Prot#'!A:AL,13,FALSE)-VLOOKUP(A264,'NonXtal_SegEnds_Prot#'!A:AL,10,FALSE)</f>
        <v>#VALUE!</v>
      </c>
      <c r="AD264" s="1">
        <f>VLOOKUP(A264,'NonXtal_SegEnds_Prot#'!A:AL,16,FALSE)-VLOOKUP(A264,'NonXtal_SegEnds_Prot#'!A:AL,10,FALSE)</f>
        <v>52</v>
      </c>
      <c r="AE264" s="1">
        <f>VLOOKUP(A264,'NonXtal_SegEnds_Prot#'!A:AL,28,FALSE)-VLOOKUP(A264,'NonXtal_SegEnds_Prot#'!A:AL,25,FALSE)</f>
        <v>67</v>
      </c>
      <c r="AF264" s="1">
        <f>VLOOKUP(A264,'NonXtal_SegEnds_Prot#'!A:AL,31,FALSE)-VLOOKUP(A264,'NonXtal_SegEnds_Prot#'!A:AL,28,FALSE)</f>
        <v>99</v>
      </c>
      <c r="AG264" s="1">
        <f>VLOOKUP(A264,'NonXtal_SegEnds_Prot#'!A:AL,34,FALSE)-VLOOKUP(A264,'NonXtal_SegEnds_Prot#'!A:AL,31,FALSE)</f>
        <v>33</v>
      </c>
    </row>
    <row r="265" spans="1:33" x14ac:dyDescent="0.2">
      <c r="A265" s="1" t="s">
        <v>327</v>
      </c>
      <c r="B265" s="1" t="str">
        <f>VLOOKUP(A265,Xtal_Templ!A:B,2,FALSE)</f>
        <v>5ht2b_human</v>
      </c>
      <c r="C265" s="5">
        <f>VLOOKUP($B265&amp;"__wt",'Xtal_SegEnds_BW#'!$A:$Z,3,FALSE)</f>
        <v>32</v>
      </c>
      <c r="D265" s="1">
        <f>VLOOKUP($B265&amp;"__wt",'Xtal_SegEnds_BW#'!$A:$Z,4,FALSE)</f>
        <v>60</v>
      </c>
      <c r="E265" s="1">
        <f>VLOOKUP($B265&amp;"__wt",'Xtal_SegEnds_BW#'!$A:$Z,5,FALSE)</f>
        <v>48</v>
      </c>
      <c r="F265" s="1">
        <f>VLOOKUP($B265&amp;"__wt",'Xtal_SegEnds_BW#'!$A:$Z,6,FALSE)</f>
        <v>51</v>
      </c>
      <c r="G265" s="1">
        <v>37</v>
      </c>
      <c r="H265" s="1">
        <f>VLOOKUP($B265&amp;"__wt",'Xtal_SegEnds_BW#'!$A:$Z,8,FALSE)</f>
        <v>67</v>
      </c>
      <c r="I265" s="1">
        <f>VLOOKUP($B265&amp;"__wt",'Xtal_SegEnds_BW#'!$A:$Z,9,FALSE)</f>
        <v>49</v>
      </c>
      <c r="J265" s="1">
        <f>VLOOKUP($B265&amp;"__wt",'Xtal_SegEnds_BW#'!$A:$Z,10,FALSE)</f>
        <v>52</v>
      </c>
      <c r="K265" s="1">
        <v>18</v>
      </c>
      <c r="L265" s="1">
        <f>VLOOKUP($B265&amp;"__wt",'Xtal_SegEnds_BW#'!$A:$Z,12,FALSE)</f>
        <v>56</v>
      </c>
      <c r="M265" s="1">
        <f>VLOOKUP($B265&amp;"__wt",'Xtal_SegEnds_BW#'!$A:$Z,13,FALSE)</f>
        <v>50</v>
      </c>
      <c r="N265" s="1">
        <v>57</v>
      </c>
      <c r="O265" s="1">
        <v>39</v>
      </c>
      <c r="P265" s="1">
        <f>VLOOKUP($B265&amp;"__wt",'Xtal_SegEnds_BW#'!$A:$Z,16,FALSE)</f>
        <v>64</v>
      </c>
      <c r="Q265" s="1">
        <f>VLOOKUP($B265&amp;"__wt",'Xtal_SegEnds_BW#'!$A:$Z,17,FALSE)</f>
        <v>50</v>
      </c>
      <c r="R265" s="1">
        <f>VLOOKUP($B265&amp;"__wt",'Xtal_SegEnds_BW#'!$A:$Z,18,FALSE)</f>
        <v>52</v>
      </c>
      <c r="S265" s="1">
        <v>35</v>
      </c>
      <c r="T265" s="23">
        <f t="array" ref="T265">INDEX('ICL3'!$G$2:$G$31,MATCH(MIN(ABS(AF265-'ICL3'!$F$2:$F$31)),ABS(AF265-'ICL3'!$F$2:$F$31),0))</f>
        <v>74</v>
      </c>
      <c r="U265" s="1">
        <f t="array" ref="U265">INDEX('ICL3'!$H$2:$H$31,MATCH(MIN(ABS(AF265-'ICL3'!$F$2:$F$31)),ABS(AF265-'ICL3'!$F$2:$F$31),0))</f>
        <v>24</v>
      </c>
      <c r="V265" s="1">
        <v>61</v>
      </c>
      <c r="W265" s="1">
        <v>28</v>
      </c>
      <c r="X265" s="1">
        <f>VLOOKUP($B265&amp;"__wt",'Xtal_SegEnds_BW#'!$A:$Z,24,FALSE)</f>
        <v>56</v>
      </c>
      <c r="Y265" s="1">
        <f>VLOOKUP($B265&amp;"__wt",'Xtal_SegEnds_BW#'!$A:$Z,25,FALSE)</f>
        <v>47</v>
      </c>
      <c r="Z265" s="1">
        <f>VLOOKUP($B265&amp;"__wt",'Xtal_SegEnds_BW#'!$A:$Z,26,FALSE)</f>
        <v>58</v>
      </c>
      <c r="AA265" s="63" t="str">
        <f>VLOOKUP(A265,Classification!A:B,2,FALSE)</f>
        <v>A</v>
      </c>
      <c r="AB265" s="1">
        <f>VLOOKUP(A265,'NonXtal_SegEnds_Prot#'!A:AL,10,FALSE)-VLOOKUP(A265,'NonXtal_SegEnds_Prot#'!A:AL,7,FALSE)</f>
        <v>15</v>
      </c>
      <c r="AC265" s="1">
        <f>VLOOKUP(A265,'NonXtal_SegEnds_Prot#'!A:AL,13,FALSE)-VLOOKUP(A265,'NonXtal_SegEnds_Prot#'!A:AL,10,FALSE)</f>
        <v>21</v>
      </c>
      <c r="AD265" s="1">
        <f>VLOOKUP(A265,'NonXtal_SegEnds_Prot#'!A:AL,16,FALSE)-VLOOKUP(A265,'NonXtal_SegEnds_Prot#'!A:AL,10,FALSE)</f>
        <v>53</v>
      </c>
      <c r="AE265" s="1">
        <f>VLOOKUP(A265,'NonXtal_SegEnds_Prot#'!A:AL,28,FALSE)-VLOOKUP(A265,'NonXtal_SegEnds_Prot#'!A:AL,25,FALSE)</f>
        <v>19</v>
      </c>
      <c r="AF265" s="1">
        <f>VLOOKUP(A265,'NonXtal_SegEnds_Prot#'!A:AL,31,FALSE)-VLOOKUP(A265,'NonXtal_SegEnds_Prot#'!A:AL,28,FALSE)</f>
        <v>100</v>
      </c>
      <c r="AG265" s="1">
        <f>VLOOKUP(A265,'NonXtal_SegEnds_Prot#'!A:AL,34,FALSE)-VLOOKUP(A265,'NonXtal_SegEnds_Prot#'!A:AL,31,FALSE)</f>
        <v>39</v>
      </c>
    </row>
    <row r="266" spans="1:33" x14ac:dyDescent="0.2">
      <c r="A266" s="1" t="s">
        <v>319</v>
      </c>
      <c r="B266" s="1" t="str">
        <f>VLOOKUP(A266,Xtal_Templ!A:B,2,FALSE)</f>
        <v>adrb1_melga</v>
      </c>
      <c r="C266" s="5">
        <f>VLOOKUP($B266&amp;"__wt",'Xtal_SegEnds_BW#'!$A:$Z,3,FALSE)</f>
        <v>24</v>
      </c>
      <c r="D266" s="1">
        <f>VLOOKUP($B266&amp;"__wt",'Xtal_SegEnds_BW#'!$A:$Z,4,FALSE)</f>
        <v>60</v>
      </c>
      <c r="E266" s="1">
        <f>VLOOKUP($B266&amp;"__wt",'Xtal_SegEnds_BW#'!$A:$Z,5,FALSE)</f>
        <v>48</v>
      </c>
      <c r="F266" s="1">
        <f>VLOOKUP($B266&amp;"__wt",'Xtal_SegEnds_BW#'!$A:$Z,6,FALSE)</f>
        <v>51</v>
      </c>
      <c r="G266" s="1">
        <v>37</v>
      </c>
      <c r="H266" s="1">
        <f>VLOOKUP($B266&amp;"__wt",'Xtal_SegEnds_BW#'!$A:$Z,8,FALSE)</f>
        <v>67</v>
      </c>
      <c r="I266" s="1">
        <f>VLOOKUP($B266&amp;"__wt",'Xtal_SegEnds_BW#'!$A:$Z,9,FALSE)</f>
        <v>49</v>
      </c>
      <c r="J266" s="1">
        <f>VLOOKUP($B266&amp;"__wt",'Xtal_SegEnds_BW#'!$A:$Z,10,FALSE)</f>
        <v>52</v>
      </c>
      <c r="K266" s="1">
        <v>18</v>
      </c>
      <c r="L266" s="1">
        <f>VLOOKUP($B266&amp;"__wt",'Xtal_SegEnds_BW#'!$A:$Z,12,FALSE)</f>
        <v>56</v>
      </c>
      <c r="M266" s="1">
        <f>VLOOKUP($B266&amp;"__wt",'Xtal_SegEnds_BW#'!$A:$Z,13,FALSE)</f>
        <v>50</v>
      </c>
      <c r="N266" s="1">
        <v>57</v>
      </c>
      <c r="O266" s="1">
        <v>39</v>
      </c>
      <c r="P266" s="1">
        <f>VLOOKUP($B266&amp;"__wt",'Xtal_SegEnds_BW#'!$A:$Z,16,FALSE)</f>
        <v>64</v>
      </c>
      <c r="Q266" s="1">
        <f>VLOOKUP($B266&amp;"__wt",'Xtal_SegEnds_BW#'!$A:$Z,17,FALSE)</f>
        <v>50</v>
      </c>
      <c r="R266" s="1">
        <f>VLOOKUP($B266&amp;"__wt",'Xtal_SegEnds_BW#'!$A:$Z,18,FALSE)</f>
        <v>52</v>
      </c>
      <c r="S266" s="1">
        <v>35</v>
      </c>
      <c r="T266" s="23">
        <f t="array" ref="T266">INDEX('ICL3'!$G$2:$G$31,MATCH(MIN(ABS(AF266-'ICL3'!$F$2:$F$31)),ABS(AF266-'ICL3'!$F$2:$F$31),0))</f>
        <v>74</v>
      </c>
      <c r="U266" s="1">
        <f t="array" ref="U266">INDEX('ICL3'!$H$2:$H$31,MATCH(MIN(ABS(AF266-'ICL3'!$F$2:$F$31)),ABS(AF266-'ICL3'!$F$2:$F$31),0))</f>
        <v>24</v>
      </c>
      <c r="V266" s="1">
        <v>61</v>
      </c>
      <c r="W266" s="1">
        <v>31</v>
      </c>
      <c r="X266" s="1">
        <f>VLOOKUP($B266&amp;"__wt",'Xtal_SegEnds_BW#'!$A:$Z,24,FALSE)</f>
        <v>55</v>
      </c>
      <c r="Y266" s="1">
        <f>VLOOKUP($B266&amp;"__wt",'Xtal_SegEnds_BW#'!$A:$Z,25,FALSE)</f>
        <v>47</v>
      </c>
      <c r="Z266" s="1">
        <f>VLOOKUP($B266&amp;"__wt",'Xtal_SegEnds_BW#'!$A:$Z,26,FALSE)</f>
        <v>59</v>
      </c>
      <c r="AA266" s="63" t="str">
        <f>VLOOKUP(A266,Classification!A:B,2,FALSE)</f>
        <v>A</v>
      </c>
      <c r="AB266" s="1">
        <f>VLOOKUP(A266,'NonXtal_SegEnds_Prot#'!A:AL,10,FALSE)-VLOOKUP(A266,'NonXtal_SegEnds_Prot#'!A:AL,7,FALSE)</f>
        <v>15</v>
      </c>
      <c r="AC266" s="1">
        <f>VLOOKUP(A266,'NonXtal_SegEnds_Prot#'!A:AL,13,FALSE)-VLOOKUP(A266,'NonXtal_SegEnds_Prot#'!A:AL,10,FALSE)</f>
        <v>20</v>
      </c>
      <c r="AD266" s="1">
        <f>VLOOKUP(A266,'NonXtal_SegEnds_Prot#'!A:AL,16,FALSE)-VLOOKUP(A266,'NonXtal_SegEnds_Prot#'!A:AL,10,FALSE)</f>
        <v>52</v>
      </c>
      <c r="AE266" s="1">
        <f>VLOOKUP(A266,'NonXtal_SegEnds_Prot#'!A:AL,28,FALSE)-VLOOKUP(A266,'NonXtal_SegEnds_Prot#'!A:AL,25,FALSE)</f>
        <v>20</v>
      </c>
      <c r="AF266" s="1">
        <f>VLOOKUP(A266,'NonXtal_SegEnds_Prot#'!A:AL,31,FALSE)-VLOOKUP(A266,'NonXtal_SegEnds_Prot#'!A:AL,28,FALSE)</f>
        <v>103</v>
      </c>
      <c r="AG266" s="1">
        <f>VLOOKUP(A266,'NonXtal_SegEnds_Prot#'!A:AL,34,FALSE)-VLOOKUP(A266,'NonXtal_SegEnds_Prot#'!A:AL,31,FALSE)</f>
        <v>35</v>
      </c>
    </row>
    <row r="267" spans="1:33" x14ac:dyDescent="0.2">
      <c r="A267" s="1" t="s">
        <v>439</v>
      </c>
      <c r="B267" s="1" t="str">
        <f>VLOOKUP(A267,Xtal_Templ!A:B,2,FALSE)</f>
        <v>hrh1_human</v>
      </c>
      <c r="C267" s="5">
        <f>VLOOKUP($B267&amp;"__wt",'Xtal_SegEnds_BW#'!$A:$Z,3,FALSE)</f>
        <v>34</v>
      </c>
      <c r="D267" s="1">
        <f>VLOOKUP($B267&amp;"__wt",'Xtal_SegEnds_BW#'!$A:$Z,4,FALSE)</f>
        <v>60</v>
      </c>
      <c r="E267" s="1">
        <f>VLOOKUP($B267&amp;"__wt",'Xtal_SegEnds_BW#'!$A:$Z,5,FALSE)</f>
        <v>48</v>
      </c>
      <c r="F267" s="1">
        <f>VLOOKUP($B267&amp;"__wt",'Xtal_SegEnds_BW#'!$A:$Z,6,FALSE)</f>
        <v>51</v>
      </c>
      <c r="G267" s="1">
        <v>37</v>
      </c>
      <c r="H267" s="1">
        <f>VLOOKUP($B267&amp;"__wt",'Xtal_SegEnds_BW#'!$A:$Z,8,FALSE)</f>
        <v>67</v>
      </c>
      <c r="I267" s="1">
        <f>VLOOKUP($B267&amp;"__wt",'Xtal_SegEnds_BW#'!$A:$Z,9,FALSE)</f>
        <v>49</v>
      </c>
      <c r="J267" s="1">
        <f>VLOOKUP($B267&amp;"__wt",'Xtal_SegEnds_BW#'!$A:$Z,10,FALSE)</f>
        <v>52</v>
      </c>
      <c r="K267" s="1">
        <v>18</v>
      </c>
      <c r="L267" s="1">
        <f>VLOOKUP($B267&amp;"__wt",'Xtal_SegEnds_BW#'!$A:$Z,12,FALSE)</f>
        <v>56</v>
      </c>
      <c r="M267" s="1">
        <f>VLOOKUP($B267&amp;"__wt",'Xtal_SegEnds_BW#'!$A:$Z,13,FALSE)</f>
        <v>50</v>
      </c>
      <c r="N267" s="1">
        <v>56</v>
      </c>
      <c r="O267" s="1">
        <v>39</v>
      </c>
      <c r="P267" s="1">
        <v>63</v>
      </c>
      <c r="Q267" s="1">
        <f>VLOOKUP($B267&amp;"__wt",'Xtal_SegEnds_BW#'!$A:$Z,17,FALSE)</f>
        <v>50</v>
      </c>
      <c r="R267" s="1">
        <f>VLOOKUP($B267&amp;"__wt",'Xtal_SegEnds_BW#'!$A:$Z,18,FALSE)</f>
        <v>52</v>
      </c>
      <c r="S267" s="1">
        <v>35</v>
      </c>
      <c r="T267" s="23">
        <f t="array" ref="T267">INDEX('ICL3'!$G$2:$G$31,MATCH(MIN(ABS(AF267-'ICL3'!$F$2:$F$31)),ABS(AF267-'ICL3'!$F$2:$F$31),0))</f>
        <v>74</v>
      </c>
      <c r="U267" s="1">
        <f t="array" ref="U267">INDEX('ICL3'!$H$2:$H$31,MATCH(MIN(ABS(AF267-'ICL3'!$F$2:$F$31)),ABS(AF267-'ICL3'!$F$2:$F$31),0))</f>
        <v>24</v>
      </c>
      <c r="V267" s="1">
        <v>61</v>
      </c>
      <c r="W267" s="1">
        <v>31</v>
      </c>
      <c r="X267" s="1">
        <f>VLOOKUP($B267&amp;"__wt",'Xtal_SegEnds_BW#'!$A:$Z,24,FALSE)</f>
        <v>56</v>
      </c>
      <c r="Y267" s="1">
        <f>VLOOKUP($B267&amp;"__wt",'Xtal_SegEnds_BW#'!$A:$Z,25,FALSE)</f>
        <v>47</v>
      </c>
      <c r="Z267" s="1">
        <f>VLOOKUP($B267&amp;"__wt",'Xtal_SegEnds_BW#'!$A:$Z,26,FALSE)</f>
        <v>59</v>
      </c>
      <c r="AA267" s="63" t="str">
        <f>VLOOKUP(A267,Classification!A:B,2,FALSE)</f>
        <v>A</v>
      </c>
      <c r="AB267" s="1">
        <f>VLOOKUP(A267,'NonXtal_SegEnds_Prot#'!A:AL,10,FALSE)-VLOOKUP(A267,'NonXtal_SegEnds_Prot#'!A:AL,7,FALSE)</f>
        <v>16</v>
      </c>
      <c r="AC267" s="1" t="e">
        <f>VLOOKUP(A267,'NonXtal_SegEnds_Prot#'!A:AL,13,FALSE)-VLOOKUP(A267,'NonXtal_SegEnds_Prot#'!A:AL,10,FALSE)</f>
        <v>#VALUE!</v>
      </c>
      <c r="AD267" s="1">
        <f>VLOOKUP(A267,'NonXtal_SegEnds_Prot#'!A:AL,16,FALSE)-VLOOKUP(A267,'NonXtal_SegEnds_Prot#'!A:AL,10,FALSE)</f>
        <v>52</v>
      </c>
      <c r="AE267" s="1">
        <f>VLOOKUP(A267,'NonXtal_SegEnds_Prot#'!A:AL,28,FALSE)-VLOOKUP(A267,'NonXtal_SegEnds_Prot#'!A:AL,25,FALSE)</f>
        <v>26</v>
      </c>
      <c r="AF267" s="1">
        <f>VLOOKUP(A267,'NonXtal_SegEnds_Prot#'!A:AL,31,FALSE)-VLOOKUP(A267,'NonXtal_SegEnds_Prot#'!A:AL,28,FALSE)</f>
        <v>105</v>
      </c>
      <c r="AG267" s="1">
        <f>VLOOKUP(A267,'NonXtal_SegEnds_Prot#'!A:AL,34,FALSE)-VLOOKUP(A267,'NonXtal_SegEnds_Prot#'!A:AL,31,FALSE)</f>
        <v>36</v>
      </c>
    </row>
    <row r="268" spans="1:33" x14ac:dyDescent="0.2">
      <c r="A268" s="1" t="s">
        <v>323</v>
      </c>
      <c r="B268" s="1" t="str">
        <f>VLOOKUP(A268,Xtal_Templ!A:B,2,FALSE)</f>
        <v>5ht1b_human</v>
      </c>
      <c r="C268" s="5">
        <f>VLOOKUP($B268&amp;"__wt",'Xtal_SegEnds_BW#'!$A:$Z,3,FALSE)</f>
        <v>29</v>
      </c>
      <c r="D268" s="1">
        <f>VLOOKUP($B268&amp;"__wt",'Xtal_SegEnds_BW#'!$A:$Z,4,FALSE)</f>
        <v>60</v>
      </c>
      <c r="E268" s="1">
        <f>VLOOKUP($B268&amp;"__wt",'Xtal_SegEnds_BW#'!$A:$Z,5,FALSE)</f>
        <v>48</v>
      </c>
      <c r="F268" s="1">
        <f>VLOOKUP($B268&amp;"__wt",'Xtal_SegEnds_BW#'!$A:$Z,6,FALSE)</f>
        <v>51</v>
      </c>
      <c r="G268" s="1">
        <v>37</v>
      </c>
      <c r="H268" s="1">
        <f>VLOOKUP($B268&amp;"__wt",'Xtal_SegEnds_BW#'!$A:$Z,8,FALSE)</f>
        <v>67</v>
      </c>
      <c r="I268" s="1">
        <f>VLOOKUP($B268&amp;"__wt",'Xtal_SegEnds_BW#'!$A:$Z,9,FALSE)</f>
        <v>49</v>
      </c>
      <c r="J268" s="1">
        <f>VLOOKUP($B268&amp;"__wt",'Xtal_SegEnds_BW#'!$A:$Z,10,FALSE)</f>
        <v>52</v>
      </c>
      <c r="K268" s="1">
        <v>18</v>
      </c>
      <c r="L268" s="1">
        <f>VLOOKUP($B268&amp;"__wt",'Xtal_SegEnds_BW#'!$A:$Z,12,FALSE)</f>
        <v>56</v>
      </c>
      <c r="M268" s="1">
        <f>VLOOKUP($B268&amp;"__wt",'Xtal_SegEnds_BW#'!$A:$Z,13,FALSE)</f>
        <v>50</v>
      </c>
      <c r="N268" s="1">
        <v>57</v>
      </c>
      <c r="O268" s="1">
        <v>39</v>
      </c>
      <c r="P268" s="1">
        <f>VLOOKUP($B268&amp;"__wt",'Xtal_SegEnds_BW#'!$A:$Z,16,FALSE)</f>
        <v>63</v>
      </c>
      <c r="Q268" s="1">
        <f>VLOOKUP($B268&amp;"__wt",'Xtal_SegEnds_BW#'!$A:$Z,17,FALSE)</f>
        <v>50</v>
      </c>
      <c r="R268" s="1">
        <f>VLOOKUP($B268&amp;"__wt",'Xtal_SegEnds_BW#'!$A:$Z,18,FALSE)</f>
        <v>52</v>
      </c>
      <c r="S268" s="1">
        <v>35</v>
      </c>
      <c r="T268" s="23">
        <f t="array" ref="T268">INDEX('ICL3'!$G$2:$G$31,MATCH(MIN(ABS(AF268-'ICL3'!$F$2:$F$31)),ABS(AF268-'ICL3'!$F$2:$F$31),0))</f>
        <v>74</v>
      </c>
      <c r="U268" s="1">
        <f t="array" ref="U268">INDEX('ICL3'!$H$2:$H$31,MATCH(MIN(ABS(AF268-'ICL3'!$F$2:$F$31)),ABS(AF268-'ICL3'!$F$2:$F$31),0))</f>
        <v>24</v>
      </c>
      <c r="V268" s="1">
        <v>60</v>
      </c>
      <c r="W268" s="1">
        <v>31</v>
      </c>
      <c r="X268" s="81">
        <f>VLOOKUP($B268&amp;"__wt",'Xtal_SegEnds_BW#'!$A:$Z,24,FALSE)</f>
        <v>56</v>
      </c>
      <c r="Y268" s="1">
        <f>VLOOKUP($B268&amp;"__wt",'Xtal_SegEnds_BW#'!$A:$Z,25,FALSE)</f>
        <v>47</v>
      </c>
      <c r="Z268" s="1">
        <f>VLOOKUP($B268&amp;"__wt",'Xtal_SegEnds_BW#'!$A:$Z,26,FALSE)</f>
        <v>58</v>
      </c>
      <c r="AA268" s="63" t="str">
        <f>VLOOKUP(A268,Classification!A:B,2,FALSE)</f>
        <v>A</v>
      </c>
      <c r="AB268" s="1">
        <f>VLOOKUP(A268,'NonXtal_SegEnds_Prot#'!A:AL,10,FALSE)-VLOOKUP(A268,'NonXtal_SegEnds_Prot#'!A:AL,7,FALSE)</f>
        <v>15</v>
      </c>
      <c r="AC268" s="1">
        <f>VLOOKUP(A268,'NonXtal_SegEnds_Prot#'!A:AL,13,FALSE)-VLOOKUP(A268,'NonXtal_SegEnds_Prot#'!A:AL,10,FALSE)</f>
        <v>20</v>
      </c>
      <c r="AD268" s="1">
        <f>VLOOKUP(A268,'NonXtal_SegEnds_Prot#'!A:AL,16,FALSE)-VLOOKUP(A268,'NonXtal_SegEnds_Prot#'!A:AL,10,FALSE)</f>
        <v>52</v>
      </c>
      <c r="AE268" s="1">
        <f>VLOOKUP(A268,'NonXtal_SegEnds_Prot#'!A:AL,28,FALSE)-VLOOKUP(A268,'NonXtal_SegEnds_Prot#'!A:AL,25,FALSE)</f>
        <v>21</v>
      </c>
      <c r="AF268" s="1">
        <f>VLOOKUP(A268,'NonXtal_SegEnds_Prot#'!A:AL,31,FALSE)-VLOOKUP(A268,'NonXtal_SegEnds_Prot#'!A:AL,28,FALSE)</f>
        <v>107</v>
      </c>
      <c r="AG268" s="1">
        <f>VLOOKUP(A268,'NonXtal_SegEnds_Prot#'!A:AL,34,FALSE)-VLOOKUP(A268,'NonXtal_SegEnds_Prot#'!A:AL,31,FALSE)</f>
        <v>37</v>
      </c>
    </row>
    <row r="269" spans="1:33" x14ac:dyDescent="0.2">
      <c r="A269" s="1" t="s">
        <v>361</v>
      </c>
      <c r="B269" s="1" t="str">
        <f>VLOOKUP(A269,Xtal_Templ!A:B,2,FALSE)</f>
        <v>ox2r_human</v>
      </c>
      <c r="C269" s="5">
        <f>VLOOKUP($B269&amp;"__wt",'Xtal_SegEnds_BW#'!$A:$Z,3,FALSE)</f>
        <v>31</v>
      </c>
      <c r="D269" s="1">
        <f>VLOOKUP($B269&amp;"__wt",'Xtal_SegEnds_BW#'!$A:$Z,4,FALSE)</f>
        <v>60</v>
      </c>
      <c r="E269" s="1">
        <f>VLOOKUP($B269&amp;"__wt",'Xtal_SegEnds_BW#'!$A:$Z,5,FALSE)</f>
        <v>48</v>
      </c>
      <c r="F269" s="1">
        <f>VLOOKUP($B269&amp;"__wt",'Xtal_SegEnds_BW#'!$A:$Z,6,FALSE)</f>
        <v>51</v>
      </c>
      <c r="G269" s="1">
        <v>37</v>
      </c>
      <c r="H269" s="1">
        <f>VLOOKUP($B269&amp;"__wt",'Xtal_SegEnds_BW#'!$A:$Z,8,FALSE)</f>
        <v>67</v>
      </c>
      <c r="I269" s="1">
        <f>VLOOKUP($B269&amp;"__wt",'Xtal_SegEnds_BW#'!$A:$Z,9,FALSE)</f>
        <v>49</v>
      </c>
      <c r="J269" s="1">
        <f>VLOOKUP($B269&amp;"__wt",'Xtal_SegEnds_BW#'!$A:$Z,10,FALSE)</f>
        <v>52</v>
      </c>
      <c r="K269" s="1">
        <v>18</v>
      </c>
      <c r="L269" s="1">
        <f>VLOOKUP($B269&amp;"__wt",'Xtal_SegEnds_BW#'!$A:$Z,12,FALSE)</f>
        <v>56</v>
      </c>
      <c r="M269" s="1">
        <f>VLOOKUP($B269&amp;"__wt",'Xtal_SegEnds_BW#'!$A:$Z,13,FALSE)</f>
        <v>50</v>
      </c>
      <c r="N269" s="1">
        <v>57</v>
      </c>
      <c r="O269" s="1">
        <v>39</v>
      </c>
      <c r="P269" s="1">
        <f>VLOOKUP($B269&amp;"__wt",'Xtal_SegEnds_BW#'!$A:$Z,16,FALSE)</f>
        <v>64</v>
      </c>
      <c r="Q269" s="1">
        <f>VLOOKUP($B269&amp;"__wt",'Xtal_SegEnds_BW#'!$A:$Z,17,FALSE)</f>
        <v>50</v>
      </c>
      <c r="R269" s="1">
        <f>VLOOKUP($B269&amp;"__wt",'Xtal_SegEnds_BW#'!$A:$Z,18,FALSE)</f>
        <v>52</v>
      </c>
      <c r="S269" s="1">
        <f>VLOOKUP($B269&amp;"__wt",'Xtal_SegEnds_BW#'!$A:$Z,19,FALSE)</f>
        <v>32</v>
      </c>
      <c r="T269" s="23">
        <f t="array" ref="T269">INDEX('ICL3'!$G$2:$G$31,MATCH(MIN(ABS(AF269-'ICL3'!$F$2:$F$31)),ABS(AF269-'ICL3'!$F$2:$F$31),0))</f>
        <v>74</v>
      </c>
      <c r="U269" s="1">
        <f t="array" ref="U269">INDEX('ICL3'!$H$2:$H$31,MATCH(MIN(ABS(AF269-'ICL3'!$F$2:$F$31)),ABS(AF269-'ICL3'!$F$2:$F$31),0))</f>
        <v>24</v>
      </c>
      <c r="V269" s="1">
        <v>61</v>
      </c>
      <c r="W269" s="1">
        <v>28</v>
      </c>
      <c r="X269" s="1">
        <f>VLOOKUP($B269&amp;"__wt",'Xtal_SegEnds_BW#'!$A:$Z,24,FALSE)</f>
        <v>56</v>
      </c>
      <c r="Y269" s="1">
        <f>VLOOKUP($B269&amp;"__wt",'Xtal_SegEnds_BW#'!$A:$Z,25,FALSE)</f>
        <v>47</v>
      </c>
      <c r="Z269" s="1">
        <f>VLOOKUP($B269&amp;"__wt",'Xtal_SegEnds_BW#'!$A:$Z,26,FALSE)</f>
        <v>58</v>
      </c>
      <c r="AA269" s="63" t="str">
        <f>VLOOKUP(A269,Classification!A:B,2,FALSE)</f>
        <v>A</v>
      </c>
      <c r="AB269" s="1">
        <f>VLOOKUP(A269,'NonXtal_SegEnds_Prot#'!A:AL,10,FALSE)-VLOOKUP(A269,'NonXtal_SegEnds_Prot#'!A:AL,7,FALSE)</f>
        <v>15</v>
      </c>
      <c r="AC269" s="1">
        <f>VLOOKUP(A269,'NonXtal_SegEnds_Prot#'!A:AL,13,FALSE)-VLOOKUP(A269,'NonXtal_SegEnds_Prot#'!A:AL,10,FALSE)</f>
        <v>20</v>
      </c>
      <c r="AD269" s="1">
        <f>VLOOKUP(A269,'NonXtal_SegEnds_Prot#'!A:AL,16,FALSE)-VLOOKUP(A269,'NonXtal_SegEnds_Prot#'!A:AL,10,FALSE)</f>
        <v>52</v>
      </c>
      <c r="AE269" s="1">
        <f>VLOOKUP(A269,'NonXtal_SegEnds_Prot#'!A:AL,28,FALSE)-VLOOKUP(A269,'NonXtal_SegEnds_Prot#'!A:AL,25,FALSE)</f>
        <v>25</v>
      </c>
      <c r="AF269" s="1">
        <f>VLOOKUP(A269,'NonXtal_SegEnds_Prot#'!A:AL,31,FALSE)-VLOOKUP(A269,'NonXtal_SegEnds_Prot#'!A:AL,28,FALSE)</f>
        <v>107</v>
      </c>
      <c r="AG269" s="1">
        <f>VLOOKUP(A269,'NonXtal_SegEnds_Prot#'!A:AL,34,FALSE)-VLOOKUP(A269,'NonXtal_SegEnds_Prot#'!A:AL,31,FALSE)</f>
        <v>39</v>
      </c>
    </row>
    <row r="270" spans="1:33" s="23" customFormat="1" x14ac:dyDescent="0.2">
      <c r="A270" s="23" t="s">
        <v>208</v>
      </c>
      <c r="B270" s="23" t="str">
        <f>VLOOKUP(A270,Xtal_Templ!A:B,2,FALSE)</f>
        <v>5ht1b_human</v>
      </c>
      <c r="C270" s="24">
        <f>VLOOKUP($B270&amp;"__wt",'Xtal_SegEnds_BW#'!$A:$Z,3,FALSE)</f>
        <v>29</v>
      </c>
      <c r="D270" s="23">
        <f>VLOOKUP($B270&amp;"__wt",'Xtal_SegEnds_BW#'!$A:$Z,4,FALSE)</f>
        <v>60</v>
      </c>
      <c r="E270" s="23">
        <f>VLOOKUP($B270&amp;"__wt",'Xtal_SegEnds_BW#'!$A:$Z,5,FALSE)</f>
        <v>48</v>
      </c>
      <c r="F270" s="23">
        <f>VLOOKUP($B270&amp;"__wt",'Xtal_SegEnds_BW#'!$A:$Z,6,FALSE)</f>
        <v>51</v>
      </c>
      <c r="G270" s="23">
        <v>37</v>
      </c>
      <c r="H270" s="23">
        <f>VLOOKUP($B270&amp;"__wt",'Xtal_SegEnds_BW#'!$A:$Z,8,FALSE)</f>
        <v>67</v>
      </c>
      <c r="I270" s="23">
        <f>VLOOKUP($B270&amp;"__wt",'Xtal_SegEnds_BW#'!$A:$Z,9,FALSE)</f>
        <v>49</v>
      </c>
      <c r="J270" s="23">
        <f>VLOOKUP($B270&amp;"__wt",'Xtal_SegEnds_BW#'!$A:$Z,10,FALSE)</f>
        <v>52</v>
      </c>
      <c r="K270" s="23">
        <v>18</v>
      </c>
      <c r="L270" s="23">
        <f>VLOOKUP($B270&amp;"__wt",'Xtal_SegEnds_BW#'!$A:$Z,12,FALSE)</f>
        <v>56</v>
      </c>
      <c r="M270" s="23">
        <f>VLOOKUP($B270&amp;"__wt",'Xtal_SegEnds_BW#'!$A:$Z,13,FALSE)</f>
        <v>50</v>
      </c>
      <c r="N270" s="23">
        <v>57</v>
      </c>
      <c r="O270" s="23">
        <v>39</v>
      </c>
      <c r="P270" s="23">
        <f>VLOOKUP($B270&amp;"__wt",'Xtal_SegEnds_BW#'!$A:$Z,16,FALSE)</f>
        <v>63</v>
      </c>
      <c r="Q270" s="23">
        <f>VLOOKUP($B270&amp;"__wt",'Xtal_SegEnds_BW#'!$A:$Z,17,FALSE)</f>
        <v>50</v>
      </c>
      <c r="R270" s="23">
        <f>VLOOKUP($B270&amp;"__wt",'Xtal_SegEnds_BW#'!$A:$Z,18,FALSE)</f>
        <v>52</v>
      </c>
      <c r="S270" s="23">
        <v>35</v>
      </c>
      <c r="T270" s="23">
        <f t="array" ref="T270">INDEX('ICL3'!$G$2:$G$31,MATCH(MIN(ABS(AF270-'ICL3'!$F$2:$F$31)),ABS(AF270-'ICL3'!$F$2:$F$31),0))</f>
        <v>74</v>
      </c>
      <c r="U270" s="1">
        <f t="array" ref="U270">INDEX('ICL3'!$H$2:$H$31,MATCH(MIN(ABS(AF270-'ICL3'!$F$2:$F$31)),ABS(AF270-'ICL3'!$F$2:$F$31),0))</f>
        <v>24</v>
      </c>
      <c r="V270" s="23">
        <v>60</v>
      </c>
      <c r="W270" s="23">
        <v>31</v>
      </c>
      <c r="X270" s="112">
        <f>VLOOKUP($B270&amp;"__wt",'Xtal_SegEnds_BW#'!$A:$Z,24,FALSE)</f>
        <v>56</v>
      </c>
      <c r="Y270" s="23">
        <f>VLOOKUP($B270&amp;"__wt",'Xtal_SegEnds_BW#'!$A:$Z,25,FALSE)</f>
        <v>47</v>
      </c>
      <c r="Z270" s="23">
        <f>VLOOKUP($B270&amp;"__wt",'Xtal_SegEnds_BW#'!$A:$Z,26,FALSE)</f>
        <v>58</v>
      </c>
      <c r="AA270" s="85" t="str">
        <f>VLOOKUP(A270,Classification!A:B,2,FALSE)</f>
        <v>A</v>
      </c>
      <c r="AB270" s="23">
        <f>VLOOKUP(A270,'NonXtal_SegEnds_Prot#'!A:AL,10,FALSE)-VLOOKUP(A270,'NonXtal_SegEnds_Prot#'!A:AL,7,FALSE)</f>
        <v>15</v>
      </c>
      <c r="AC270" s="23">
        <f>VLOOKUP(A270,'NonXtal_SegEnds_Prot#'!A:AL,13,FALSE)-VLOOKUP(A270,'NonXtal_SegEnds_Prot#'!A:AL,10,FALSE)</f>
        <v>20</v>
      </c>
      <c r="AD270" s="23">
        <f>VLOOKUP(A270,'NonXtal_SegEnds_Prot#'!A:AL,16,FALSE)-VLOOKUP(A270,'NonXtal_SegEnds_Prot#'!A:AL,10,FALSE)</f>
        <v>52</v>
      </c>
      <c r="AE270" s="23">
        <f>VLOOKUP(A270,'NonXtal_SegEnds_Prot#'!A:AL,28,FALSE)-VLOOKUP(A270,'NonXtal_SegEnds_Prot#'!A:AL,25,FALSE)</f>
        <v>21</v>
      </c>
      <c r="AF270" s="23">
        <f>VLOOKUP(A270,'NonXtal_SegEnds_Prot#'!A:AL,31,FALSE)-VLOOKUP(A270,'NonXtal_SegEnds_Prot#'!A:AL,28,FALSE)</f>
        <v>109</v>
      </c>
      <c r="AG270" s="23">
        <f>VLOOKUP(A270,'NonXtal_SegEnds_Prot#'!A:AL,34,FALSE)-VLOOKUP(A270,'NonXtal_SegEnds_Prot#'!A:AL,31,FALSE)</f>
        <v>37</v>
      </c>
    </row>
    <row r="271" spans="1:33" x14ac:dyDescent="0.2">
      <c r="A271" s="1" t="s">
        <v>209</v>
      </c>
      <c r="B271" s="1" t="str">
        <f>VLOOKUP(A271,Xtal_Templ!A:B,2,FALSE)</f>
        <v>5ht2b_human</v>
      </c>
      <c r="C271" s="5">
        <f>VLOOKUP($B271&amp;"__wt",'Xtal_SegEnds_BW#'!$A:$Z,3,FALSE)</f>
        <v>32</v>
      </c>
      <c r="D271" s="1">
        <f>VLOOKUP($B271&amp;"__wt",'Xtal_SegEnds_BW#'!$A:$Z,4,FALSE)</f>
        <v>60</v>
      </c>
      <c r="E271" s="1">
        <f>VLOOKUP($B271&amp;"__wt",'Xtal_SegEnds_BW#'!$A:$Z,5,FALSE)</f>
        <v>48</v>
      </c>
      <c r="F271" s="1">
        <f>VLOOKUP($B271&amp;"__wt",'Xtal_SegEnds_BW#'!$A:$Z,6,FALSE)</f>
        <v>51</v>
      </c>
      <c r="G271" s="1">
        <v>37</v>
      </c>
      <c r="H271" s="1">
        <f>VLOOKUP($B271&amp;"__wt",'Xtal_SegEnds_BW#'!$A:$Z,8,FALSE)</f>
        <v>67</v>
      </c>
      <c r="I271" s="1">
        <f>VLOOKUP($B271&amp;"__wt",'Xtal_SegEnds_BW#'!$A:$Z,9,FALSE)</f>
        <v>49</v>
      </c>
      <c r="J271" s="1">
        <f>VLOOKUP($B271&amp;"__wt",'Xtal_SegEnds_BW#'!$A:$Z,10,FALSE)</f>
        <v>52</v>
      </c>
      <c r="K271" s="1">
        <v>18</v>
      </c>
      <c r="L271" s="1">
        <f>VLOOKUP($B271&amp;"__wt",'Xtal_SegEnds_BW#'!$A:$Z,12,FALSE)</f>
        <v>56</v>
      </c>
      <c r="M271" s="1">
        <f>VLOOKUP($B271&amp;"__wt",'Xtal_SegEnds_BW#'!$A:$Z,13,FALSE)</f>
        <v>50</v>
      </c>
      <c r="N271" s="1">
        <v>57</v>
      </c>
      <c r="O271" s="1">
        <v>39</v>
      </c>
      <c r="P271" s="1">
        <f>VLOOKUP($B271&amp;"__wt",'Xtal_SegEnds_BW#'!$A:$Z,16,FALSE)</f>
        <v>64</v>
      </c>
      <c r="Q271" s="1">
        <f>VLOOKUP($B271&amp;"__wt",'Xtal_SegEnds_BW#'!$A:$Z,17,FALSE)</f>
        <v>50</v>
      </c>
      <c r="R271" s="1">
        <f>VLOOKUP($B271&amp;"__wt",'Xtal_SegEnds_BW#'!$A:$Z,18,FALSE)</f>
        <v>52</v>
      </c>
      <c r="S271" s="1">
        <v>35</v>
      </c>
      <c r="T271" s="23">
        <f t="array" ref="T271">INDEX('ICL3'!$G$2:$G$31,MATCH(MIN(ABS(AF271-'ICL3'!$F$2:$F$31)),ABS(AF271-'ICL3'!$F$2:$F$31),0))</f>
        <v>76</v>
      </c>
      <c r="U271" s="1">
        <f t="array" ref="U271">INDEX('ICL3'!$H$2:$H$31,MATCH(MIN(ABS(AF271-'ICL3'!$F$2:$F$31)),ABS(AF271-'ICL3'!$F$2:$F$31),0))</f>
        <v>24</v>
      </c>
      <c r="V271" s="1">
        <v>61</v>
      </c>
      <c r="W271" s="1">
        <v>28</v>
      </c>
      <c r="X271" s="1">
        <f>VLOOKUP($B271&amp;"__wt",'Xtal_SegEnds_BW#'!$A:$Z,24,FALSE)</f>
        <v>56</v>
      </c>
      <c r="Y271" s="1">
        <f>VLOOKUP($B271&amp;"__wt",'Xtal_SegEnds_BW#'!$A:$Z,25,FALSE)</f>
        <v>47</v>
      </c>
      <c r="Z271" s="1">
        <f>VLOOKUP($B271&amp;"__wt",'Xtal_SegEnds_BW#'!$A:$Z,26,FALSE)</f>
        <v>58</v>
      </c>
      <c r="AA271" s="63" t="str">
        <f>VLOOKUP(A271,Classification!A:B,2,FALSE)</f>
        <v>A</v>
      </c>
      <c r="AB271" s="1">
        <f>VLOOKUP(A271,'NonXtal_SegEnds_Prot#'!A:AL,10,FALSE)-VLOOKUP(A271,'NonXtal_SegEnds_Prot#'!A:AL,7,FALSE)</f>
        <v>15</v>
      </c>
      <c r="AC271" s="1">
        <f>VLOOKUP(A271,'NonXtal_SegEnds_Prot#'!A:AL,13,FALSE)-VLOOKUP(A271,'NonXtal_SegEnds_Prot#'!A:AL,10,FALSE)</f>
        <v>21</v>
      </c>
      <c r="AD271" s="1">
        <f>VLOOKUP(A271,'NonXtal_SegEnds_Prot#'!A:AL,16,FALSE)-VLOOKUP(A271,'NonXtal_SegEnds_Prot#'!A:AL,10,FALSE)</f>
        <v>53</v>
      </c>
      <c r="AE271" s="1">
        <f>VLOOKUP(A271,'NonXtal_SegEnds_Prot#'!A:AL,28,FALSE)-VLOOKUP(A271,'NonXtal_SegEnds_Prot#'!A:AL,25,FALSE)</f>
        <v>22</v>
      </c>
      <c r="AF271" s="1">
        <f>VLOOKUP(A271,'NonXtal_SegEnds_Prot#'!A:AL,31,FALSE)-VLOOKUP(A271,'NonXtal_SegEnds_Prot#'!A:AL,28,FALSE)</f>
        <v>110</v>
      </c>
      <c r="AG271" s="1">
        <f>VLOOKUP(A271,'NonXtal_SegEnds_Prot#'!A:AL,34,FALSE)-VLOOKUP(A271,'NonXtal_SegEnds_Prot#'!A:AL,31,FALSE)</f>
        <v>38</v>
      </c>
    </row>
    <row r="272" spans="1:33" x14ac:dyDescent="0.2">
      <c r="A272" s="1" t="s">
        <v>442</v>
      </c>
      <c r="B272" s="1" t="str">
        <f>VLOOKUP(A272,Xtal_Templ!A:B,2,FALSE)</f>
        <v>5ht2b_human</v>
      </c>
      <c r="C272" s="5">
        <f>VLOOKUP($B272&amp;"__wt",'Xtal_SegEnds_BW#'!$A:$Z,3,FALSE)</f>
        <v>32</v>
      </c>
      <c r="D272" s="1">
        <f>VLOOKUP($B272&amp;"__wt",'Xtal_SegEnds_BW#'!$A:$Z,4,FALSE)</f>
        <v>60</v>
      </c>
      <c r="E272" s="1">
        <f>VLOOKUP($B272&amp;"__wt",'Xtal_SegEnds_BW#'!$A:$Z,5,FALSE)</f>
        <v>48</v>
      </c>
      <c r="F272" s="1">
        <f>VLOOKUP($B272&amp;"__wt",'Xtal_SegEnds_BW#'!$A:$Z,6,FALSE)</f>
        <v>51</v>
      </c>
      <c r="G272" s="1">
        <v>37</v>
      </c>
      <c r="H272" s="1">
        <f>VLOOKUP($B272&amp;"__wt",'Xtal_SegEnds_BW#'!$A:$Z,8,FALSE)</f>
        <v>67</v>
      </c>
      <c r="I272" s="1">
        <f>VLOOKUP($B272&amp;"__wt",'Xtal_SegEnds_BW#'!$A:$Z,9,FALSE)</f>
        <v>49</v>
      </c>
      <c r="J272" s="1">
        <f>VLOOKUP($B272&amp;"__wt",'Xtal_SegEnds_BW#'!$A:$Z,10,FALSE)</f>
        <v>52</v>
      </c>
      <c r="K272" s="1">
        <v>18</v>
      </c>
      <c r="L272" s="1">
        <f>VLOOKUP($B272&amp;"__wt",'Xtal_SegEnds_BW#'!$A:$Z,12,FALSE)</f>
        <v>56</v>
      </c>
      <c r="M272" s="1">
        <f>VLOOKUP($B272&amp;"__wt",'Xtal_SegEnds_BW#'!$A:$Z,13,FALSE)</f>
        <v>50</v>
      </c>
      <c r="N272" s="1">
        <v>58</v>
      </c>
      <c r="O272" s="1">
        <v>39</v>
      </c>
      <c r="P272" s="1">
        <f>VLOOKUP($B272&amp;"__wt",'Xtal_SegEnds_BW#'!$A:$Z,16,FALSE)</f>
        <v>64</v>
      </c>
      <c r="Q272" s="1">
        <f>VLOOKUP($B272&amp;"__wt",'Xtal_SegEnds_BW#'!$A:$Z,17,FALSE)</f>
        <v>50</v>
      </c>
      <c r="R272" s="1">
        <f>VLOOKUP($B272&amp;"__wt",'Xtal_SegEnds_BW#'!$A:$Z,18,FALSE)</f>
        <v>52</v>
      </c>
      <c r="S272" s="1">
        <v>35</v>
      </c>
      <c r="T272" s="23">
        <f t="array" ref="T272">INDEX('ICL3'!$G$2:$G$31,MATCH(MIN(ABS(AF272-'ICL3'!$F$2:$F$31)),ABS(AF272-'ICL3'!$F$2:$F$31),0))</f>
        <v>76</v>
      </c>
      <c r="U272" s="1">
        <f t="array" ref="U272">INDEX('ICL3'!$H$2:$H$31,MATCH(MIN(ABS(AF272-'ICL3'!$F$2:$F$31)),ABS(AF272-'ICL3'!$F$2:$F$31),0))</f>
        <v>24</v>
      </c>
      <c r="V272" s="1">
        <v>61</v>
      </c>
      <c r="W272" s="1">
        <v>31</v>
      </c>
      <c r="X272" s="1">
        <f>VLOOKUP($B272&amp;"__wt",'Xtal_SegEnds_BW#'!$A:$Z,24,FALSE)</f>
        <v>56</v>
      </c>
      <c r="Y272" s="1">
        <f>VLOOKUP($B272&amp;"__wt",'Xtal_SegEnds_BW#'!$A:$Z,25,FALSE)</f>
        <v>47</v>
      </c>
      <c r="Z272" s="1">
        <f>VLOOKUP($B272&amp;"__wt",'Xtal_SegEnds_BW#'!$A:$Z,26,FALSE)</f>
        <v>58</v>
      </c>
      <c r="AA272" s="63" t="str">
        <f>VLOOKUP(A272,Classification!A:B,2,FALSE)</f>
        <v>A</v>
      </c>
      <c r="AB272" s="1">
        <f>VLOOKUP(A272,'NonXtal_SegEnds_Prot#'!A:AL,10,FALSE)-VLOOKUP(A272,'NonXtal_SegEnds_Prot#'!A:AL,7,FALSE)</f>
        <v>15</v>
      </c>
      <c r="AC272" s="1" t="e">
        <f>VLOOKUP(A272,'NonXtal_SegEnds_Prot#'!A:AL,13,FALSE)-VLOOKUP(A272,'NonXtal_SegEnds_Prot#'!A:AL,10,FALSE)</f>
        <v>#VALUE!</v>
      </c>
      <c r="AD272" s="1">
        <f>VLOOKUP(A272,'NonXtal_SegEnds_Prot#'!A:AL,16,FALSE)-VLOOKUP(A272,'NonXtal_SegEnds_Prot#'!A:AL,10,FALSE)</f>
        <v>56</v>
      </c>
      <c r="AE272" s="1">
        <f>VLOOKUP(A272,'NonXtal_SegEnds_Prot#'!A:AL,28,FALSE)-VLOOKUP(A272,'NonXtal_SegEnds_Prot#'!A:AL,25,FALSE)</f>
        <v>18</v>
      </c>
      <c r="AF272" s="1">
        <f>VLOOKUP(A272,'NonXtal_SegEnds_Prot#'!A:AL,31,FALSE)-VLOOKUP(A272,'NonXtal_SegEnds_Prot#'!A:AL,28,FALSE)</f>
        <v>110</v>
      </c>
      <c r="AG272" s="1">
        <f>VLOOKUP(A272,'NonXtal_SegEnds_Prot#'!A:AL,34,FALSE)-VLOOKUP(A272,'NonXtal_SegEnds_Prot#'!A:AL,31,FALSE)</f>
        <v>36</v>
      </c>
    </row>
    <row r="273" spans="1:33" x14ac:dyDescent="0.2">
      <c r="A273" s="1" t="s">
        <v>324</v>
      </c>
      <c r="B273" s="1" t="str">
        <f>VLOOKUP(A273,Xtal_Templ!A:B,2,FALSE)</f>
        <v>5ht1b_human</v>
      </c>
      <c r="C273" s="5">
        <f>VLOOKUP($B273&amp;"__wt",'Xtal_SegEnds_BW#'!$A:$Z,3,FALSE)</f>
        <v>29</v>
      </c>
      <c r="D273" s="1">
        <f>VLOOKUP($B273&amp;"__wt",'Xtal_SegEnds_BW#'!$A:$Z,4,FALSE)</f>
        <v>60</v>
      </c>
      <c r="E273" s="1">
        <f>VLOOKUP($B273&amp;"__wt",'Xtal_SegEnds_BW#'!$A:$Z,5,FALSE)</f>
        <v>48</v>
      </c>
      <c r="F273" s="1">
        <f>VLOOKUP($B273&amp;"__wt",'Xtal_SegEnds_BW#'!$A:$Z,6,FALSE)</f>
        <v>51</v>
      </c>
      <c r="G273" s="1">
        <v>37</v>
      </c>
      <c r="H273" s="1">
        <f>VLOOKUP($B273&amp;"__wt",'Xtal_SegEnds_BW#'!$A:$Z,8,FALSE)</f>
        <v>67</v>
      </c>
      <c r="I273" s="1">
        <f>VLOOKUP($B273&amp;"__wt",'Xtal_SegEnds_BW#'!$A:$Z,9,FALSE)</f>
        <v>49</v>
      </c>
      <c r="J273" s="1">
        <f>VLOOKUP($B273&amp;"__wt",'Xtal_SegEnds_BW#'!$A:$Z,10,FALSE)</f>
        <v>52</v>
      </c>
      <c r="K273" s="1">
        <v>18</v>
      </c>
      <c r="L273" s="1">
        <f>VLOOKUP($B273&amp;"__wt",'Xtal_SegEnds_BW#'!$A:$Z,12,FALSE)</f>
        <v>56</v>
      </c>
      <c r="M273" s="1">
        <f>VLOOKUP($B273&amp;"__wt",'Xtal_SegEnds_BW#'!$A:$Z,13,FALSE)</f>
        <v>50</v>
      </c>
      <c r="N273" s="1">
        <v>57</v>
      </c>
      <c r="O273" s="1">
        <v>39</v>
      </c>
      <c r="P273" s="1">
        <f>VLOOKUP($B273&amp;"__wt",'Xtal_SegEnds_BW#'!$A:$Z,16,FALSE)</f>
        <v>63</v>
      </c>
      <c r="Q273" s="1">
        <f>VLOOKUP($B273&amp;"__wt",'Xtal_SegEnds_BW#'!$A:$Z,17,FALSE)</f>
        <v>50</v>
      </c>
      <c r="R273" s="1">
        <f>VLOOKUP($B273&amp;"__wt",'Xtal_SegEnds_BW#'!$A:$Z,18,FALSE)</f>
        <v>52</v>
      </c>
      <c r="S273" s="1">
        <v>35</v>
      </c>
      <c r="T273" s="23">
        <f t="array" ref="T273">INDEX('ICL3'!$G$2:$G$31,MATCH(MIN(ABS(AF273-'ICL3'!$F$2:$F$31)),ABS(AF273-'ICL3'!$F$2:$F$31),0))</f>
        <v>76</v>
      </c>
      <c r="U273" s="1">
        <f t="array" ref="U273">INDEX('ICL3'!$H$2:$H$31,MATCH(MIN(ABS(AF273-'ICL3'!$F$2:$F$31)),ABS(AF273-'ICL3'!$F$2:$F$31),0))</f>
        <v>24</v>
      </c>
      <c r="V273" s="1">
        <v>61</v>
      </c>
      <c r="W273" s="1">
        <v>31</v>
      </c>
      <c r="X273" s="1">
        <f>VLOOKUP($B273&amp;"__wt",'Xtal_SegEnds_BW#'!$A:$Z,24,FALSE)</f>
        <v>56</v>
      </c>
      <c r="Y273" s="1">
        <f>VLOOKUP($B273&amp;"__wt",'Xtal_SegEnds_BW#'!$A:$Z,25,FALSE)</f>
        <v>47</v>
      </c>
      <c r="Z273" s="1">
        <f>VLOOKUP($B273&amp;"__wt",'Xtal_SegEnds_BW#'!$A:$Z,26,FALSE)</f>
        <v>58</v>
      </c>
      <c r="AA273" s="63" t="str">
        <f>VLOOKUP(A273,Classification!A:B,2,FALSE)</f>
        <v>A</v>
      </c>
      <c r="AB273" s="1">
        <f>VLOOKUP(A273,'NonXtal_SegEnds_Prot#'!A:AL,10,FALSE)-VLOOKUP(A273,'NonXtal_SegEnds_Prot#'!A:AL,7,FALSE)</f>
        <v>15</v>
      </c>
      <c r="AC273" s="1">
        <f>VLOOKUP(A273,'NonXtal_SegEnds_Prot#'!A:AL,13,FALSE)-VLOOKUP(A273,'NonXtal_SegEnds_Prot#'!A:AL,10,FALSE)</f>
        <v>20</v>
      </c>
      <c r="AD273" s="1">
        <f>VLOOKUP(A273,'NonXtal_SegEnds_Prot#'!A:AL,16,FALSE)-VLOOKUP(A273,'NonXtal_SegEnds_Prot#'!A:AL,10,FALSE)</f>
        <v>52</v>
      </c>
      <c r="AE273" s="1">
        <f>VLOOKUP(A273,'NonXtal_SegEnds_Prot#'!A:AL,28,FALSE)-VLOOKUP(A273,'NonXtal_SegEnds_Prot#'!A:AL,25,FALSE)</f>
        <v>21</v>
      </c>
      <c r="AF273" s="1">
        <f>VLOOKUP(A273,'NonXtal_SegEnds_Prot#'!A:AL,31,FALSE)-VLOOKUP(A273,'NonXtal_SegEnds_Prot#'!A:AL,28,FALSE)</f>
        <v>112</v>
      </c>
      <c r="AG273" s="1">
        <f>VLOOKUP(A273,'NonXtal_SegEnds_Prot#'!A:AL,34,FALSE)-VLOOKUP(A273,'NonXtal_SegEnds_Prot#'!A:AL,31,FALSE)</f>
        <v>35</v>
      </c>
    </row>
    <row r="274" spans="1:33" x14ac:dyDescent="0.2">
      <c r="A274" s="1" t="s">
        <v>415</v>
      </c>
      <c r="B274" s="1" t="str">
        <f>VLOOKUP(A274,Xtal_Templ!A:B,2,FALSE)</f>
        <v>us28_hcmva</v>
      </c>
      <c r="C274" s="5">
        <f>VLOOKUP($B274&amp;"__wt",'Xtal_SegEnds_BW#'!$A:$Z,3,FALSE)</f>
        <v>25</v>
      </c>
      <c r="D274" s="1">
        <f>VLOOKUP($B274&amp;"__wt",'Xtal_SegEnds_BW#'!$A:$Z,4,FALSE)</f>
        <v>60</v>
      </c>
      <c r="E274" s="1">
        <f>VLOOKUP($B274&amp;"__wt",'Xtal_SegEnds_BW#'!$A:$Z,5,FALSE)</f>
        <v>48</v>
      </c>
      <c r="F274" s="1">
        <f>VLOOKUP($B274&amp;"__wt",'Xtal_SegEnds_BW#'!$A:$Z,6,FALSE)</f>
        <v>51</v>
      </c>
      <c r="G274" s="1">
        <v>37</v>
      </c>
      <c r="H274" s="1">
        <v>67</v>
      </c>
      <c r="I274" s="1" t="str">
        <f>VLOOKUP($B274&amp;"__wt",'Xtal_SegEnds_BW#'!$A:$Z,9,FALSE)</f>
        <v>-</v>
      </c>
      <c r="J274" s="1" t="str">
        <f>VLOOKUP($B274&amp;"__wt",'Xtal_SegEnds_BW#'!$A:$Z,10,FALSE)</f>
        <v>-</v>
      </c>
      <c r="K274" s="1">
        <v>18</v>
      </c>
      <c r="L274" s="1">
        <f>VLOOKUP($B274&amp;"__wt",'Xtal_SegEnds_BW#'!$A:$Z,12,FALSE)</f>
        <v>56</v>
      </c>
      <c r="M274" s="1" t="str">
        <f>VLOOKUP($B274&amp;"__wt",'Xtal_SegEnds_BW#'!$A:$Z,13,FALSE)</f>
        <v>-</v>
      </c>
      <c r="N274" s="1" t="s">
        <v>129</v>
      </c>
      <c r="O274" s="1">
        <v>39</v>
      </c>
      <c r="P274" s="1">
        <f>VLOOKUP($B274&amp;"__wt",'Xtal_SegEnds_BW#'!$A:$Z,16,FALSE)</f>
        <v>63</v>
      </c>
      <c r="Q274" s="1">
        <f>VLOOKUP($B274&amp;"__wt",'Xtal_SegEnds_BW#'!$A:$Z,17,FALSE)</f>
        <v>50</v>
      </c>
      <c r="R274" s="1">
        <f>VLOOKUP($B274&amp;"__wt",'Xtal_SegEnds_BW#'!$A:$Z,18,FALSE)</f>
        <v>52</v>
      </c>
      <c r="S274" s="1">
        <f>VLOOKUP($B274&amp;"__wt",'Xtal_SegEnds_BW#'!$A:$Z,19,FALSE)</f>
        <v>32</v>
      </c>
      <c r="T274" s="23">
        <f t="array" ref="T274">INDEX('ICL3'!$G$2:$G$31,MATCH(MIN(ABS(AF274-'ICL3'!$F$2:$F$31)),ABS(AF274-'ICL3'!$F$2:$F$31),0))</f>
        <v>76</v>
      </c>
      <c r="U274" s="1">
        <f t="array" ref="U274">INDEX('ICL3'!$H$2:$H$31,MATCH(MIN(ABS(AF274-'ICL3'!$F$2:$F$31)),ABS(AF274-'ICL3'!$F$2:$F$31),0))</f>
        <v>24</v>
      </c>
      <c r="V274" s="1">
        <v>61</v>
      </c>
      <c r="W274" s="1">
        <v>32</v>
      </c>
      <c r="X274" s="1">
        <f>VLOOKUP($B274&amp;"__wt",'Xtal_SegEnds_BW#'!$A:$Z,24,FALSE)</f>
        <v>56</v>
      </c>
      <c r="Y274" s="1">
        <f>VLOOKUP($B274&amp;"__wt",'Xtal_SegEnds_BW#'!$A:$Z,25,FALSE)</f>
        <v>47</v>
      </c>
      <c r="Z274" s="1">
        <f>VLOOKUP($B274&amp;"__wt",'Xtal_SegEnds_BW#'!$A:$Z,26,FALSE)</f>
        <v>62</v>
      </c>
      <c r="AA274" s="63" t="str">
        <f>VLOOKUP(A274,Classification!A:B,2,FALSE)</f>
        <v>A</v>
      </c>
      <c r="AB274" s="1" t="e">
        <f>VLOOKUP(A274,'NonXtal_SegEnds_Prot#'!A:AL,10,FALSE)-VLOOKUP(A274,'NonXtal_SegEnds_Prot#'!A:AL,7,FALSE)</f>
        <v>#VALUE!</v>
      </c>
      <c r="AC274" s="1">
        <f>VLOOKUP(A274,'NonXtal_SegEnds_Prot#'!A:AL,13,FALSE)-VLOOKUP(A274,'NonXtal_SegEnds_Prot#'!A:AL,10,FALSE)</f>
        <v>26</v>
      </c>
      <c r="AD274" s="1">
        <f>VLOOKUP(A274,'NonXtal_SegEnds_Prot#'!A:AL,16,FALSE)-VLOOKUP(A274,'NonXtal_SegEnds_Prot#'!A:AL,10,FALSE)</f>
        <v>69</v>
      </c>
      <c r="AE274" s="1" t="e">
        <f>VLOOKUP(A274,'NonXtal_SegEnds_Prot#'!A:AL,28,FALSE)-VLOOKUP(A274,'NonXtal_SegEnds_Prot#'!A:AL,25,FALSE)</f>
        <v>#VALUE!</v>
      </c>
      <c r="AF274" s="1">
        <f>VLOOKUP(A274,'NonXtal_SegEnds_Prot#'!A:AL,31,FALSE)-VLOOKUP(A274,'NonXtal_SegEnds_Prot#'!A:AL,28,FALSE)</f>
        <v>114</v>
      </c>
      <c r="AG274" s="1">
        <f>VLOOKUP(A274,'NonXtal_SegEnds_Prot#'!A:AL,34,FALSE)-VLOOKUP(A274,'NonXtal_SegEnds_Prot#'!A:AL,31,FALSE)</f>
        <v>34</v>
      </c>
    </row>
    <row r="275" spans="1:33" x14ac:dyDescent="0.2">
      <c r="A275" s="1" t="s">
        <v>325</v>
      </c>
      <c r="B275" s="1" t="str">
        <f>VLOOKUP(A275,Xtal_Templ!A:B,2,FALSE)</f>
        <v>5ht1b_human</v>
      </c>
      <c r="C275" s="5">
        <f>VLOOKUP($B275&amp;"__wt",'Xtal_SegEnds_BW#'!$A:$Z,3,FALSE)</f>
        <v>29</v>
      </c>
      <c r="D275" s="1">
        <f>VLOOKUP($B275&amp;"__wt",'Xtal_SegEnds_BW#'!$A:$Z,4,FALSE)</f>
        <v>60</v>
      </c>
      <c r="E275" s="1">
        <f>VLOOKUP($B275&amp;"__wt",'Xtal_SegEnds_BW#'!$A:$Z,5,FALSE)</f>
        <v>48</v>
      </c>
      <c r="F275" s="1">
        <f>VLOOKUP($B275&amp;"__wt",'Xtal_SegEnds_BW#'!$A:$Z,6,FALSE)</f>
        <v>51</v>
      </c>
      <c r="G275" s="1">
        <v>37</v>
      </c>
      <c r="H275" s="1">
        <f>VLOOKUP($B275&amp;"__wt",'Xtal_SegEnds_BW#'!$A:$Z,8,FALSE)</f>
        <v>67</v>
      </c>
      <c r="I275" s="1">
        <f>VLOOKUP($B275&amp;"__wt",'Xtal_SegEnds_BW#'!$A:$Z,9,FALSE)</f>
        <v>49</v>
      </c>
      <c r="J275" s="1">
        <f>VLOOKUP($B275&amp;"__wt",'Xtal_SegEnds_BW#'!$A:$Z,10,FALSE)</f>
        <v>52</v>
      </c>
      <c r="K275" s="1">
        <v>18</v>
      </c>
      <c r="L275" s="1">
        <f>VLOOKUP($B275&amp;"__wt",'Xtal_SegEnds_BW#'!$A:$Z,12,FALSE)</f>
        <v>56</v>
      </c>
      <c r="M275" s="1">
        <f>VLOOKUP($B275&amp;"__wt",'Xtal_SegEnds_BW#'!$A:$Z,13,FALSE)</f>
        <v>50</v>
      </c>
      <c r="N275" s="1">
        <v>57</v>
      </c>
      <c r="O275" s="1">
        <v>39</v>
      </c>
      <c r="P275" s="1">
        <f>VLOOKUP($B275&amp;"__wt",'Xtal_SegEnds_BW#'!$A:$Z,16,FALSE)</f>
        <v>63</v>
      </c>
      <c r="Q275" s="1">
        <f>VLOOKUP($B275&amp;"__wt",'Xtal_SegEnds_BW#'!$A:$Z,17,FALSE)</f>
        <v>50</v>
      </c>
      <c r="R275" s="1">
        <f>VLOOKUP($B275&amp;"__wt",'Xtal_SegEnds_BW#'!$A:$Z,18,FALSE)</f>
        <v>52</v>
      </c>
      <c r="S275" s="1">
        <v>35</v>
      </c>
      <c r="T275" s="23">
        <f t="array" ref="T275">INDEX('ICL3'!$G$2:$G$31,MATCH(MIN(ABS(AF275-'ICL3'!$F$2:$F$31)),ABS(AF275-'ICL3'!$F$2:$F$31),0))</f>
        <v>76</v>
      </c>
      <c r="U275" s="1">
        <f t="array" ref="U275">INDEX('ICL3'!$H$2:$H$31,MATCH(MIN(ABS(AF275-'ICL3'!$F$2:$F$31)),ABS(AF275-'ICL3'!$F$2:$F$31),0))</f>
        <v>24</v>
      </c>
      <c r="V275" s="1">
        <v>61</v>
      </c>
      <c r="W275" s="1">
        <v>31</v>
      </c>
      <c r="X275" s="1">
        <f>VLOOKUP($B275&amp;"__wt",'Xtal_SegEnds_BW#'!$A:$Z,24,FALSE)</f>
        <v>56</v>
      </c>
      <c r="Y275" s="1">
        <f>VLOOKUP($B275&amp;"__wt",'Xtal_SegEnds_BW#'!$A:$Z,25,FALSE)</f>
        <v>47</v>
      </c>
      <c r="Z275" s="1">
        <f>VLOOKUP($B275&amp;"__wt",'Xtal_SegEnds_BW#'!$A:$Z,26,FALSE)</f>
        <v>58</v>
      </c>
      <c r="AA275" s="63" t="str">
        <f>VLOOKUP(A275,Classification!A:B,2,FALSE)</f>
        <v>A</v>
      </c>
      <c r="AB275" s="1">
        <f>VLOOKUP(A275,'NonXtal_SegEnds_Prot#'!A:AL,10,FALSE)-VLOOKUP(A275,'NonXtal_SegEnds_Prot#'!A:AL,7,FALSE)</f>
        <v>15</v>
      </c>
      <c r="AC275" s="1">
        <f>VLOOKUP(A275,'NonXtal_SegEnds_Prot#'!A:AL,13,FALSE)-VLOOKUP(A275,'NonXtal_SegEnds_Prot#'!A:AL,10,FALSE)</f>
        <v>20</v>
      </c>
      <c r="AD275" s="1">
        <f>VLOOKUP(A275,'NonXtal_SegEnds_Prot#'!A:AL,16,FALSE)-VLOOKUP(A275,'NonXtal_SegEnds_Prot#'!A:AL,10,FALSE)</f>
        <v>52</v>
      </c>
      <c r="AE275" s="1">
        <f>VLOOKUP(A275,'NonXtal_SegEnds_Prot#'!A:AL,28,FALSE)-VLOOKUP(A275,'NonXtal_SegEnds_Prot#'!A:AL,25,FALSE)</f>
        <v>21</v>
      </c>
      <c r="AF275" s="1">
        <f>VLOOKUP(A275,'NonXtal_SegEnds_Prot#'!A:AL,31,FALSE)-VLOOKUP(A275,'NonXtal_SegEnds_Prot#'!A:AL,28,FALSE)</f>
        <v>115</v>
      </c>
      <c r="AG275" s="1">
        <f>VLOOKUP(A275,'NonXtal_SegEnds_Prot#'!A:AL,34,FALSE)-VLOOKUP(A275,'NonXtal_SegEnds_Prot#'!A:AL,31,FALSE)</f>
        <v>36</v>
      </c>
    </row>
    <row r="276" spans="1:33" x14ac:dyDescent="0.2">
      <c r="A276" s="1" t="s">
        <v>402</v>
      </c>
      <c r="B276" s="1" t="str">
        <f>VLOOKUP(A276,Xtal_Templ!A:B,2,FALSE)</f>
        <v>ox2r_human</v>
      </c>
      <c r="C276" s="5">
        <f>VLOOKUP($B276&amp;"__wt",'Xtal_SegEnds_BW#'!$A:$Z,3,FALSE)</f>
        <v>31</v>
      </c>
      <c r="D276" s="1">
        <f>VLOOKUP($B276&amp;"__wt",'Xtal_SegEnds_BW#'!$A:$Z,4,FALSE)</f>
        <v>60</v>
      </c>
      <c r="E276" s="1">
        <f>VLOOKUP($B276&amp;"__wt",'Xtal_SegEnds_BW#'!$A:$Z,5,FALSE)</f>
        <v>48</v>
      </c>
      <c r="F276" s="1">
        <f>VLOOKUP($B276&amp;"__wt",'Xtal_SegEnds_BW#'!$A:$Z,6,FALSE)</f>
        <v>51</v>
      </c>
      <c r="G276" s="1">
        <v>37</v>
      </c>
      <c r="H276" s="1">
        <f>VLOOKUP($B276&amp;"__wt",'Xtal_SegEnds_BW#'!$A:$Z,8,FALSE)</f>
        <v>67</v>
      </c>
      <c r="I276" s="1">
        <f>VLOOKUP($B276&amp;"__wt",'Xtal_SegEnds_BW#'!$A:$Z,9,FALSE)</f>
        <v>49</v>
      </c>
      <c r="J276" s="1">
        <f>VLOOKUP($B276&amp;"__wt",'Xtal_SegEnds_BW#'!$A:$Z,10,FALSE)</f>
        <v>52</v>
      </c>
      <c r="K276" s="1">
        <v>18</v>
      </c>
      <c r="L276" s="1">
        <f>VLOOKUP($B276&amp;"__wt",'Xtal_SegEnds_BW#'!$A:$Z,12,FALSE)</f>
        <v>56</v>
      </c>
      <c r="M276" s="1">
        <f>VLOOKUP($B276&amp;"__wt",'Xtal_SegEnds_BW#'!$A:$Z,13,FALSE)</f>
        <v>50</v>
      </c>
      <c r="N276" s="1">
        <v>57</v>
      </c>
      <c r="O276" s="1">
        <v>39</v>
      </c>
      <c r="P276" s="1">
        <f>VLOOKUP($B276&amp;"__wt",'Xtal_SegEnds_BW#'!$A:$Z,16,FALSE)</f>
        <v>64</v>
      </c>
      <c r="Q276" s="1">
        <f>VLOOKUP($B276&amp;"__wt",'Xtal_SegEnds_BW#'!$A:$Z,17,FALSE)</f>
        <v>50</v>
      </c>
      <c r="R276" s="1">
        <f>VLOOKUP($B276&amp;"__wt",'Xtal_SegEnds_BW#'!$A:$Z,18,FALSE)</f>
        <v>52</v>
      </c>
      <c r="S276" s="1">
        <f>VLOOKUP($B276&amp;"__wt",'Xtal_SegEnds_BW#'!$A:$Z,19,FALSE)</f>
        <v>32</v>
      </c>
      <c r="T276" s="23">
        <f t="array" ref="T276">INDEX('ICL3'!$G$2:$G$31,MATCH(MIN(ABS(AF276-'ICL3'!$F$2:$F$31)),ABS(AF276-'ICL3'!$F$2:$F$31),0))</f>
        <v>76</v>
      </c>
      <c r="U276" s="1">
        <f t="array" ref="U276">INDEX('ICL3'!$H$2:$H$31,MATCH(MIN(ABS(AF276-'ICL3'!$F$2:$F$31)),ABS(AF276-'ICL3'!$F$2:$F$31),0))</f>
        <v>24</v>
      </c>
      <c r="V276" s="1">
        <v>61</v>
      </c>
      <c r="W276" s="1">
        <v>28</v>
      </c>
      <c r="X276" s="1">
        <f>VLOOKUP($B276&amp;"__wt",'Xtal_SegEnds_BW#'!$A:$Z,24,FALSE)</f>
        <v>56</v>
      </c>
      <c r="Y276" s="1">
        <f>VLOOKUP($B276&amp;"__wt",'Xtal_SegEnds_BW#'!$A:$Z,25,FALSE)</f>
        <v>47</v>
      </c>
      <c r="Z276" s="1">
        <f>VLOOKUP($B276&amp;"__wt",'Xtal_SegEnds_BW#'!$A:$Z,26,FALSE)</f>
        <v>58</v>
      </c>
      <c r="AA276" s="63" t="str">
        <f>VLOOKUP(A276,Classification!A:B,2,FALSE)</f>
        <v>A</v>
      </c>
      <c r="AB276" s="1">
        <f>VLOOKUP(A276,'NonXtal_SegEnds_Prot#'!A:AL,10,FALSE)-VLOOKUP(A276,'NonXtal_SegEnds_Prot#'!A:AL,7,FALSE)</f>
        <v>15</v>
      </c>
      <c r="AC276" s="1">
        <f>VLOOKUP(A276,'NonXtal_SegEnds_Prot#'!A:AL,13,FALSE)-VLOOKUP(A276,'NonXtal_SegEnds_Prot#'!A:AL,10,FALSE)</f>
        <v>20</v>
      </c>
      <c r="AD276" s="1">
        <f>VLOOKUP(A276,'NonXtal_SegEnds_Prot#'!A:AL,16,FALSE)-VLOOKUP(A276,'NonXtal_SegEnds_Prot#'!A:AL,10,FALSE)</f>
        <v>52</v>
      </c>
      <c r="AE276" s="1">
        <f>VLOOKUP(A276,'NonXtal_SegEnds_Prot#'!A:AL,28,FALSE)-VLOOKUP(A276,'NonXtal_SegEnds_Prot#'!A:AL,25,FALSE)</f>
        <v>25</v>
      </c>
      <c r="AF276" s="1">
        <f>VLOOKUP(A276,'NonXtal_SegEnds_Prot#'!A:AL,31,FALSE)-VLOOKUP(A276,'NonXtal_SegEnds_Prot#'!A:AL,28,FALSE)</f>
        <v>118</v>
      </c>
      <c r="AG276" s="1">
        <f>VLOOKUP(A276,'NonXtal_SegEnds_Prot#'!A:AL,34,FALSE)-VLOOKUP(A276,'NonXtal_SegEnds_Prot#'!A:AL,31,FALSE)</f>
        <v>39</v>
      </c>
    </row>
    <row r="277" spans="1:33" x14ac:dyDescent="0.2">
      <c r="A277" s="1" t="s">
        <v>460</v>
      </c>
      <c r="B277" s="1" t="str">
        <f>VLOOKUP(A277,Xtal_Templ!A:B,2,FALSE)</f>
        <v>drd3_human</v>
      </c>
      <c r="C277" s="5">
        <f>VLOOKUP($B277&amp;"__wt",'Xtal_SegEnds_BW#'!$A:$Z,3,FALSE)</f>
        <v>29</v>
      </c>
      <c r="D277" s="1">
        <f>VLOOKUP($B277&amp;"__wt",'Xtal_SegEnds_BW#'!$A:$Z,4,FALSE)</f>
        <v>60</v>
      </c>
      <c r="E277" s="1">
        <f>VLOOKUP($B277&amp;"__wt",'Xtal_SegEnds_BW#'!$A:$Z,5,FALSE)</f>
        <v>48</v>
      </c>
      <c r="F277" s="1">
        <f>VLOOKUP($B277&amp;"__wt",'Xtal_SegEnds_BW#'!$A:$Z,6,FALSE)</f>
        <v>51</v>
      </c>
      <c r="G277" s="1">
        <v>37</v>
      </c>
      <c r="H277" s="1">
        <v>67</v>
      </c>
      <c r="I277" s="1">
        <f>VLOOKUP($B277&amp;"__wt",'Xtal_SegEnds_BW#'!$A:$Z,9,FALSE)</f>
        <v>49</v>
      </c>
      <c r="J277" s="1">
        <f>VLOOKUP($B277&amp;"__wt",'Xtal_SegEnds_BW#'!$A:$Z,10,FALSE)</f>
        <v>52</v>
      </c>
      <c r="K277" s="1">
        <v>18</v>
      </c>
      <c r="L277" s="1">
        <f>VLOOKUP($B277&amp;"__wt",'Xtal_SegEnds_BW#'!$A:$Z,12,FALSE)</f>
        <v>56</v>
      </c>
      <c r="M277" s="1">
        <f>VLOOKUP($B277&amp;"__wt",'Xtal_SegEnds_BW#'!$A:$Z,13,FALSE)</f>
        <v>50</v>
      </c>
      <c r="N277" s="1">
        <f>VLOOKUP($B277&amp;"__wt",'Xtal_SegEnds_BW#'!$A:$Z,14,FALSE)</f>
        <v>58</v>
      </c>
      <c r="O277" s="1">
        <v>39</v>
      </c>
      <c r="P277" s="1">
        <f>VLOOKUP($B277&amp;"__wt",'Xtal_SegEnds_BW#'!$A:$Z,16,FALSE)</f>
        <v>63</v>
      </c>
      <c r="Q277" s="1">
        <f>VLOOKUP($B277&amp;"__wt",'Xtal_SegEnds_BW#'!$A:$Z,17,FALSE)</f>
        <v>50</v>
      </c>
      <c r="R277" s="1">
        <f>VLOOKUP($B277&amp;"__wt",'Xtal_SegEnds_BW#'!$A:$Z,18,FALSE)</f>
        <v>52</v>
      </c>
      <c r="S277" s="1">
        <f>VLOOKUP($B277&amp;"__wt",'Xtal_SegEnds_BW#'!$A:$Z,19,FALSE)</f>
        <v>35</v>
      </c>
      <c r="T277" s="23">
        <f t="array" ref="T277">INDEX('ICL3'!$G$2:$G$31,MATCH(MIN(ABS(AF277-'ICL3'!$F$2:$F$31)),ABS(AF277-'ICL3'!$F$2:$F$31),0))</f>
        <v>76</v>
      </c>
      <c r="U277" s="1">
        <f t="array" ref="U277">INDEX('ICL3'!$H$2:$H$31,MATCH(MIN(ABS(AF277-'ICL3'!$F$2:$F$31)),ABS(AF277-'ICL3'!$F$2:$F$31),0))</f>
        <v>24</v>
      </c>
      <c r="V277" s="1">
        <v>61</v>
      </c>
      <c r="W277" s="1">
        <v>31</v>
      </c>
      <c r="X277" s="1">
        <f>VLOOKUP($B277&amp;"__wt",'Xtal_SegEnds_BW#'!$A:$Z,24,FALSE)</f>
        <v>56</v>
      </c>
      <c r="Y277" s="1">
        <f>VLOOKUP($B277&amp;"__wt",'Xtal_SegEnds_BW#'!$A:$Z,25,FALSE)</f>
        <v>47</v>
      </c>
      <c r="Z277" s="1">
        <f>VLOOKUP($B277&amp;"__wt",'Xtal_SegEnds_BW#'!$A:$Z,26,FALSE)</f>
        <v>59</v>
      </c>
      <c r="AA277" s="63" t="str">
        <f>VLOOKUP(A277,Classification!A:B,2,FALSE)</f>
        <v>A</v>
      </c>
      <c r="AB277" s="1">
        <f>VLOOKUP(A277,'NonXtal_SegEnds_Prot#'!A:AL,10,FALSE)-VLOOKUP(A277,'NonXtal_SegEnds_Prot#'!A:AL,7,FALSE)</f>
        <v>15</v>
      </c>
      <c r="AC277" s="1" t="e">
        <f>VLOOKUP(A277,'NonXtal_SegEnds_Prot#'!A:AL,13,FALSE)-VLOOKUP(A277,'NonXtal_SegEnds_Prot#'!A:AL,10,FALSE)</f>
        <v>#VALUE!</v>
      </c>
      <c r="AD277" s="1">
        <f>VLOOKUP(A277,'NonXtal_SegEnds_Prot#'!A:AL,16,FALSE)-VLOOKUP(A277,'NonXtal_SegEnds_Prot#'!A:AL,10,FALSE)</f>
        <v>53</v>
      </c>
      <c r="AE277" s="1">
        <f>VLOOKUP(A277,'NonXtal_SegEnds_Prot#'!A:AL,28,FALSE)-VLOOKUP(A277,'NonXtal_SegEnds_Prot#'!A:AL,25,FALSE)</f>
        <v>25</v>
      </c>
      <c r="AF277" s="1">
        <f>VLOOKUP(A277,'NonXtal_SegEnds_Prot#'!A:AL,31,FALSE)-VLOOKUP(A277,'NonXtal_SegEnds_Prot#'!A:AL,28,FALSE)</f>
        <v>122</v>
      </c>
      <c r="AG277" s="1">
        <f>VLOOKUP(A277,'NonXtal_SegEnds_Prot#'!A:AL,34,FALSE)-VLOOKUP(A277,'NonXtal_SegEnds_Prot#'!A:AL,31,FALSE)</f>
        <v>37</v>
      </c>
    </row>
    <row r="278" spans="1:33" x14ac:dyDescent="0.2">
      <c r="A278" s="1" t="s">
        <v>475</v>
      </c>
      <c r="B278" s="1" t="str">
        <f>VLOOKUP(A278,Xtal_Templ!A:B,2,FALSE)</f>
        <v>acm3_rat</v>
      </c>
      <c r="C278" s="5">
        <f>VLOOKUP($B278&amp;"__wt",'Xtal_SegEnds_BW#'!$A:$Z,3,FALSE)</f>
        <v>29</v>
      </c>
      <c r="D278" s="1">
        <f>VLOOKUP($B278&amp;"__wt",'Xtal_SegEnds_BW#'!$A:$Z,4,FALSE)</f>
        <v>60</v>
      </c>
      <c r="E278" s="1">
        <f>VLOOKUP($B278&amp;"__wt",'Xtal_SegEnds_BW#'!$A:$Z,5,FALSE)</f>
        <v>48</v>
      </c>
      <c r="F278" s="1">
        <f>VLOOKUP($B278&amp;"__wt",'Xtal_SegEnds_BW#'!$A:$Z,6,FALSE)</f>
        <v>51</v>
      </c>
      <c r="G278" s="1">
        <v>37</v>
      </c>
      <c r="H278" s="1">
        <v>66</v>
      </c>
      <c r="I278" s="1">
        <f>VLOOKUP($B278&amp;"__wt",'Xtal_SegEnds_BW#'!$A:$Z,9,FALSE)</f>
        <v>49</v>
      </c>
      <c r="J278" s="1">
        <f>VLOOKUP($B278&amp;"__wt",'Xtal_SegEnds_BW#'!$A:$Z,10,FALSE)</f>
        <v>52</v>
      </c>
      <c r="K278" s="1">
        <v>18</v>
      </c>
      <c r="L278" s="1">
        <f>VLOOKUP($B278&amp;"__wt",'Xtal_SegEnds_BW#'!$A:$Z,12,FALSE)</f>
        <v>56</v>
      </c>
      <c r="M278" s="1">
        <f>VLOOKUP($B278&amp;"__wt",'Xtal_SegEnds_BW#'!$A:$Z,13,FALSE)</f>
        <v>50</v>
      </c>
      <c r="N278" s="1">
        <v>58</v>
      </c>
      <c r="O278" s="1">
        <v>39</v>
      </c>
      <c r="P278" s="1">
        <v>63</v>
      </c>
      <c r="Q278" s="1">
        <f>VLOOKUP($B278&amp;"__wt",'Xtal_SegEnds_BW#'!$A:$Z,17,FALSE)</f>
        <v>50</v>
      </c>
      <c r="R278" s="1">
        <f>VLOOKUP($B278&amp;"__wt",'Xtal_SegEnds_BW#'!$A:$Z,18,FALSE)</f>
        <v>52</v>
      </c>
      <c r="S278" s="1">
        <v>35</v>
      </c>
      <c r="T278" s="23">
        <f t="array" ref="T278">INDEX('ICL3'!$G$2:$G$31,MATCH(MIN(ABS(AF278-'ICL3'!$F$2:$F$31)),ABS(AF278-'ICL3'!$F$2:$F$31),0))</f>
        <v>76</v>
      </c>
      <c r="U278" s="1">
        <f t="array" ref="U278">INDEX('ICL3'!$H$2:$H$31,MATCH(MIN(ABS(AF278-'ICL3'!$F$2:$F$31)),ABS(AF278-'ICL3'!$F$2:$F$31),0))</f>
        <v>24</v>
      </c>
      <c r="V278" s="1">
        <v>61</v>
      </c>
      <c r="W278" s="1">
        <v>31</v>
      </c>
      <c r="X278" s="1">
        <f>VLOOKUP($B278&amp;"__wt",'Xtal_SegEnds_BW#'!$A:$Z,24,FALSE)</f>
        <v>56</v>
      </c>
      <c r="Y278" s="1">
        <f>VLOOKUP($B278&amp;"__wt",'Xtal_SegEnds_BW#'!$A:$Z,25,FALSE)</f>
        <v>47</v>
      </c>
      <c r="Z278" s="1">
        <f>VLOOKUP($B278&amp;"__wt",'Xtal_SegEnds_BW#'!$A:$Z,26,FALSE)</f>
        <v>58</v>
      </c>
      <c r="AA278" s="63" t="str">
        <f>VLOOKUP(A278,Classification!A:B,2,FALSE)</f>
        <v>A</v>
      </c>
      <c r="AB278" s="1">
        <f>VLOOKUP(A278,'NonXtal_SegEnds_Prot#'!A:AL,10,FALSE)-VLOOKUP(A278,'NonXtal_SegEnds_Prot#'!A:AL,7,FALSE)</f>
        <v>15</v>
      </c>
      <c r="AC278" s="1">
        <f>VLOOKUP(A278,'NonXtal_SegEnds_Prot#'!A:AL,13,FALSE)-VLOOKUP(A278,'NonXtal_SegEnds_Prot#'!A:AL,10,FALSE)</f>
        <v>19</v>
      </c>
      <c r="AD278" s="1">
        <f>VLOOKUP(A278,'NonXtal_SegEnds_Prot#'!A:AL,16,FALSE)-VLOOKUP(A278,'NonXtal_SegEnds_Prot#'!A:AL,10,FALSE)</f>
        <v>51</v>
      </c>
      <c r="AE278" s="1">
        <f>VLOOKUP(A278,'NonXtal_SegEnds_Prot#'!A:AL,28,FALSE)-VLOOKUP(A278,'NonXtal_SegEnds_Prot#'!A:AL,25,FALSE)</f>
        <v>22</v>
      </c>
      <c r="AF278" s="1">
        <f>VLOOKUP(A278,'NonXtal_SegEnds_Prot#'!A:AL,31,FALSE)-VLOOKUP(A278,'NonXtal_SegEnds_Prot#'!A:AL,28,FALSE)</f>
        <v>132</v>
      </c>
      <c r="AG278" s="1">
        <f>VLOOKUP(A278,'NonXtal_SegEnds_Prot#'!A:AL,34,FALSE)-VLOOKUP(A278,'NonXtal_SegEnds_Prot#'!A:AL,31,FALSE)</f>
        <v>37</v>
      </c>
    </row>
    <row r="279" spans="1:33" x14ac:dyDescent="0.2">
      <c r="A279" s="1" t="s">
        <v>386</v>
      </c>
      <c r="B279" s="1" t="str">
        <f>VLOOKUP(A279,Xtal_Templ!A:B,2,FALSE)</f>
        <v>drd3_human</v>
      </c>
      <c r="C279" s="5">
        <f>VLOOKUP($B279&amp;"__wt",'Xtal_SegEnds_BW#'!$A:$Z,3,FALSE)</f>
        <v>29</v>
      </c>
      <c r="D279" s="1">
        <f>VLOOKUP($B279&amp;"__wt",'Xtal_SegEnds_BW#'!$A:$Z,4,FALSE)</f>
        <v>60</v>
      </c>
      <c r="E279" s="1">
        <f>VLOOKUP($B279&amp;"__wt",'Xtal_SegEnds_BW#'!$A:$Z,5,FALSE)</f>
        <v>48</v>
      </c>
      <c r="F279" s="1">
        <f>VLOOKUP($B279&amp;"__wt",'Xtal_SegEnds_BW#'!$A:$Z,6,FALSE)</f>
        <v>51</v>
      </c>
      <c r="G279" s="1">
        <v>37</v>
      </c>
      <c r="H279" s="1">
        <f>VLOOKUP($B279&amp;"__wt",'Xtal_SegEnds_BW#'!$A:$Z,8,FALSE)</f>
        <v>67</v>
      </c>
      <c r="I279" s="1">
        <f>VLOOKUP($B279&amp;"__wt",'Xtal_SegEnds_BW#'!$A:$Z,9,FALSE)</f>
        <v>49</v>
      </c>
      <c r="J279" s="1">
        <f>VLOOKUP($B279&amp;"__wt",'Xtal_SegEnds_BW#'!$A:$Z,10,FALSE)</f>
        <v>52</v>
      </c>
      <c r="K279" s="1">
        <v>18</v>
      </c>
      <c r="L279" s="1">
        <f>VLOOKUP($B279&amp;"__wt",'Xtal_SegEnds_BW#'!$A:$Z,12,FALSE)</f>
        <v>56</v>
      </c>
      <c r="M279" s="1">
        <f>VLOOKUP($B279&amp;"__wt",'Xtal_SegEnds_BW#'!$A:$Z,13,FALSE)</f>
        <v>50</v>
      </c>
      <c r="N279" s="1">
        <v>58</v>
      </c>
      <c r="O279" s="1">
        <v>38</v>
      </c>
      <c r="P279" s="1">
        <f>VLOOKUP($B279&amp;"__wt",'Xtal_SegEnds_BW#'!$A:$Z,16,FALSE)</f>
        <v>63</v>
      </c>
      <c r="Q279" s="1">
        <f>VLOOKUP($B279&amp;"__wt",'Xtal_SegEnds_BW#'!$A:$Z,17,FALSE)</f>
        <v>50</v>
      </c>
      <c r="R279" s="1">
        <f>VLOOKUP($B279&amp;"__wt",'Xtal_SegEnds_BW#'!$A:$Z,18,FALSE)</f>
        <v>52</v>
      </c>
      <c r="S279" s="1">
        <v>35</v>
      </c>
      <c r="T279" s="23">
        <f t="array" ref="T279">INDEX('ICL3'!$G$2:$G$31,MATCH(MIN(ABS(AF279-'ICL3'!$F$2:$F$31)),ABS(AF279-'ICL3'!$F$2:$F$31),0))</f>
        <v>76</v>
      </c>
      <c r="U279" s="1">
        <f t="array" ref="U279">INDEX('ICL3'!$H$2:$H$31,MATCH(MIN(ABS(AF279-'ICL3'!$F$2:$F$31)),ABS(AF279-'ICL3'!$F$2:$F$31),0))</f>
        <v>24</v>
      </c>
      <c r="V279" s="1">
        <v>60</v>
      </c>
      <c r="W279" s="1">
        <v>31</v>
      </c>
      <c r="X279" s="1">
        <f>VLOOKUP($B279&amp;"__wt",'Xtal_SegEnds_BW#'!$A:$Z,24,FALSE)</f>
        <v>56</v>
      </c>
      <c r="Y279" s="1">
        <f>VLOOKUP($B279&amp;"__wt",'Xtal_SegEnds_BW#'!$A:$Z,25,FALSE)</f>
        <v>47</v>
      </c>
      <c r="Z279" s="1">
        <f>VLOOKUP($B279&amp;"__wt",'Xtal_SegEnds_BW#'!$A:$Z,26,FALSE)</f>
        <v>59</v>
      </c>
      <c r="AA279" s="63" t="str">
        <f>VLOOKUP(A279,Classification!A:B,2,FALSE)</f>
        <v>A</v>
      </c>
      <c r="AB279" s="1">
        <f>VLOOKUP(A279,'NonXtal_SegEnds_Prot#'!A:AL,10,FALSE)-VLOOKUP(A279,'NonXtal_SegEnds_Prot#'!A:AL,7,FALSE)</f>
        <v>15</v>
      </c>
      <c r="AC279" s="1">
        <f>VLOOKUP(A279,'NonXtal_SegEnds_Prot#'!A:AL,13,FALSE)-VLOOKUP(A279,'NonXtal_SegEnds_Prot#'!A:AL,10,FALSE)</f>
        <v>21</v>
      </c>
      <c r="AD279" s="1">
        <f>VLOOKUP(A279,'NonXtal_SegEnds_Prot#'!A:AL,16,FALSE)-VLOOKUP(A279,'NonXtal_SegEnds_Prot#'!A:AL,10,FALSE)</f>
        <v>53</v>
      </c>
      <c r="AE279" s="1">
        <f>VLOOKUP(A279,'NonXtal_SegEnds_Prot#'!A:AL,28,FALSE)-VLOOKUP(A279,'NonXtal_SegEnds_Prot#'!A:AL,25,FALSE)</f>
        <v>19</v>
      </c>
      <c r="AF279" s="1">
        <f>VLOOKUP(A279,'NonXtal_SegEnds_Prot#'!A:AL,31,FALSE)-VLOOKUP(A279,'NonXtal_SegEnds_Prot#'!A:AL,28,FALSE)</f>
        <v>144</v>
      </c>
      <c r="AG279" s="1">
        <f>VLOOKUP(A279,'NonXtal_SegEnds_Prot#'!A:AL,34,FALSE)-VLOOKUP(A279,'NonXtal_SegEnds_Prot#'!A:AL,31,FALSE)</f>
        <v>36</v>
      </c>
    </row>
    <row r="280" spans="1:33" x14ac:dyDescent="0.2">
      <c r="A280" s="1" t="s">
        <v>322</v>
      </c>
      <c r="B280" s="1" t="str">
        <f>VLOOKUP(A280,Xtal_Templ!A:B,2,FALSE)</f>
        <v>5ht1b_human</v>
      </c>
      <c r="C280" s="5">
        <f>VLOOKUP($B280&amp;"__wt",'Xtal_SegEnds_BW#'!$A:$Z,3,FALSE)</f>
        <v>29</v>
      </c>
      <c r="D280" s="1">
        <f>VLOOKUP($B280&amp;"__wt",'Xtal_SegEnds_BW#'!$A:$Z,4,FALSE)</f>
        <v>60</v>
      </c>
      <c r="E280" s="1">
        <f>VLOOKUP($B280&amp;"__wt",'Xtal_SegEnds_BW#'!$A:$Z,5,FALSE)</f>
        <v>48</v>
      </c>
      <c r="F280" s="1">
        <f>VLOOKUP($B280&amp;"__wt",'Xtal_SegEnds_BW#'!$A:$Z,6,FALSE)</f>
        <v>51</v>
      </c>
      <c r="G280" s="1">
        <v>37</v>
      </c>
      <c r="H280" s="1">
        <f>VLOOKUP($B280&amp;"__wt",'Xtal_SegEnds_BW#'!$A:$Z,8,FALSE)</f>
        <v>67</v>
      </c>
      <c r="I280" s="1">
        <f>VLOOKUP($B280&amp;"__wt",'Xtal_SegEnds_BW#'!$A:$Z,9,FALSE)</f>
        <v>49</v>
      </c>
      <c r="J280" s="1">
        <f>VLOOKUP($B280&amp;"__wt",'Xtal_SegEnds_BW#'!$A:$Z,10,FALSE)</f>
        <v>52</v>
      </c>
      <c r="K280" s="1">
        <v>18</v>
      </c>
      <c r="L280" s="1">
        <f>VLOOKUP($B280&amp;"__wt",'Xtal_SegEnds_BW#'!$A:$Z,12,FALSE)</f>
        <v>56</v>
      </c>
      <c r="M280" s="1">
        <f>VLOOKUP($B280&amp;"__wt",'Xtal_SegEnds_BW#'!$A:$Z,13,FALSE)</f>
        <v>50</v>
      </c>
      <c r="N280" s="1">
        <v>57</v>
      </c>
      <c r="O280" s="1">
        <v>39</v>
      </c>
      <c r="P280" s="1">
        <f>VLOOKUP($B280&amp;"__wt",'Xtal_SegEnds_BW#'!$A:$Z,16,FALSE)</f>
        <v>63</v>
      </c>
      <c r="Q280" s="1">
        <f>VLOOKUP($B280&amp;"__wt",'Xtal_SegEnds_BW#'!$A:$Z,17,FALSE)</f>
        <v>50</v>
      </c>
      <c r="R280" s="1">
        <f>VLOOKUP($B280&amp;"__wt",'Xtal_SegEnds_BW#'!$A:$Z,18,FALSE)</f>
        <v>52</v>
      </c>
      <c r="S280" s="1">
        <v>35</v>
      </c>
      <c r="T280" s="23">
        <f t="array" ref="T280">INDEX('ICL3'!$G$2:$G$31,MATCH(MIN(ABS(AF280-'ICL3'!$F$2:$F$31)),ABS(AF280-'ICL3'!$F$2:$F$31),0))</f>
        <v>76</v>
      </c>
      <c r="U280" s="1">
        <f t="array" ref="U280">INDEX('ICL3'!$H$2:$H$31,MATCH(MIN(ABS(AF280-'ICL3'!$F$2:$F$31)),ABS(AF280-'ICL3'!$F$2:$F$31),0))</f>
        <v>24</v>
      </c>
      <c r="V280" s="1">
        <v>60</v>
      </c>
      <c r="W280" s="1">
        <v>31</v>
      </c>
      <c r="X280" s="81">
        <f>VLOOKUP($B280&amp;"__wt",'Xtal_SegEnds_BW#'!$A:$Z,24,FALSE)</f>
        <v>56</v>
      </c>
      <c r="Y280" s="1">
        <f>VLOOKUP($B280&amp;"__wt",'Xtal_SegEnds_BW#'!$A:$Z,25,FALSE)</f>
        <v>47</v>
      </c>
      <c r="Z280" s="1">
        <f>VLOOKUP($B280&amp;"__wt",'Xtal_SegEnds_BW#'!$A:$Z,26,FALSE)</f>
        <v>58</v>
      </c>
      <c r="AA280" s="63" t="str">
        <f>VLOOKUP(A280,Classification!A:B,2,FALSE)</f>
        <v>A</v>
      </c>
      <c r="AB280" s="1">
        <f>VLOOKUP(A280,'NonXtal_SegEnds_Prot#'!A:AL,10,FALSE)-VLOOKUP(A280,'NonXtal_SegEnds_Prot#'!A:AL,7,FALSE)</f>
        <v>15</v>
      </c>
      <c r="AC280" s="1">
        <f>VLOOKUP(A280,'NonXtal_SegEnds_Prot#'!A:AL,13,FALSE)-VLOOKUP(A280,'NonXtal_SegEnds_Prot#'!A:AL,10,FALSE)</f>
        <v>20</v>
      </c>
      <c r="AD280" s="1">
        <f>VLOOKUP(A280,'NonXtal_SegEnds_Prot#'!A:AL,16,FALSE)-VLOOKUP(A280,'NonXtal_SegEnds_Prot#'!A:AL,10,FALSE)</f>
        <v>52</v>
      </c>
      <c r="AE280" s="1">
        <f>VLOOKUP(A280,'NonXtal_SegEnds_Prot#'!A:AL,28,FALSE)-VLOOKUP(A280,'NonXtal_SegEnds_Prot#'!A:AL,25,FALSE)</f>
        <v>20</v>
      </c>
      <c r="AF280" s="1">
        <f>VLOOKUP(A280,'NonXtal_SegEnds_Prot#'!A:AL,31,FALSE)-VLOOKUP(A280,'NonXtal_SegEnds_Prot#'!A:AL,28,FALSE)</f>
        <v>153</v>
      </c>
      <c r="AG280" s="1">
        <f>VLOOKUP(A280,'NonXtal_SegEnds_Prot#'!A:AL,34,FALSE)-VLOOKUP(A280,'NonXtal_SegEnds_Prot#'!A:AL,31,FALSE)</f>
        <v>37</v>
      </c>
    </row>
    <row r="281" spans="1:33" x14ac:dyDescent="0.2">
      <c r="A281" s="1" t="s">
        <v>522</v>
      </c>
      <c r="B281" s="1" t="str">
        <f>VLOOKUP(A281,Xtal_Templ!A:B,2,FALSE)</f>
        <v>ox2r_human</v>
      </c>
      <c r="C281" s="5">
        <f>VLOOKUP($B281&amp;"__wt",'Xtal_SegEnds_BW#'!$A:$Z,3,FALSE)</f>
        <v>31</v>
      </c>
      <c r="D281" s="1">
        <f>VLOOKUP($B281&amp;"__wt",'Xtal_SegEnds_BW#'!$A:$Z,4,FALSE)</f>
        <v>60</v>
      </c>
      <c r="E281" s="1">
        <f>VLOOKUP($B281&amp;"__wt",'Xtal_SegEnds_BW#'!$A:$Z,5,FALSE)</f>
        <v>48</v>
      </c>
      <c r="F281" s="1">
        <f>VLOOKUP($B281&amp;"__wt",'Xtal_SegEnds_BW#'!$A:$Z,6,FALSE)</f>
        <v>51</v>
      </c>
      <c r="G281" s="1">
        <v>37</v>
      </c>
      <c r="H281" s="1">
        <f>VLOOKUP($B281&amp;"__wt",'Xtal_SegEnds_BW#'!$A:$Z,8,FALSE)</f>
        <v>67</v>
      </c>
      <c r="I281" s="1">
        <f>VLOOKUP($B281&amp;"__wt",'Xtal_SegEnds_BW#'!$A:$Z,9,FALSE)</f>
        <v>49</v>
      </c>
      <c r="J281" s="1">
        <f>VLOOKUP($B281&amp;"__wt",'Xtal_SegEnds_BW#'!$A:$Z,10,FALSE)</f>
        <v>52</v>
      </c>
      <c r="K281" s="1">
        <v>18</v>
      </c>
      <c r="L281" s="1">
        <f>VLOOKUP($B281&amp;"__wt",'Xtal_SegEnds_BW#'!$A:$Z,12,FALSE)</f>
        <v>56</v>
      </c>
      <c r="M281" s="1">
        <f>VLOOKUP($B281&amp;"__wt",'Xtal_SegEnds_BW#'!$A:$Z,13,FALSE)</f>
        <v>50</v>
      </c>
      <c r="N281" s="1">
        <v>56</v>
      </c>
      <c r="O281" s="1">
        <v>39</v>
      </c>
      <c r="P281" s="1">
        <f>VLOOKUP($B281&amp;"__wt",'Xtal_SegEnds_BW#'!$A:$Z,16,FALSE)</f>
        <v>64</v>
      </c>
      <c r="Q281" s="1">
        <f>VLOOKUP($B281&amp;"__wt",'Xtal_SegEnds_BW#'!$A:$Z,17,FALSE)</f>
        <v>50</v>
      </c>
      <c r="R281" s="1">
        <f>VLOOKUP($B281&amp;"__wt",'Xtal_SegEnds_BW#'!$A:$Z,18,FALSE)</f>
        <v>52</v>
      </c>
      <c r="S281" s="1">
        <f>VLOOKUP($B281&amp;"__wt",'Xtal_SegEnds_BW#'!$A:$Z,19,FALSE)</f>
        <v>32</v>
      </c>
      <c r="T281" s="23">
        <f t="array" ref="T281">INDEX('ICL3'!$G$2:$G$31,MATCH(MIN(ABS(AF281-'ICL3'!$F$2:$F$31)),ABS(AF281-'ICL3'!$F$2:$F$31),0))</f>
        <v>76</v>
      </c>
      <c r="U281" s="1">
        <f t="array" ref="U281">INDEX('ICL3'!$H$2:$H$31,MATCH(MIN(ABS(AF281-'ICL3'!$F$2:$F$31)),ABS(AF281-'ICL3'!$F$2:$F$31),0))</f>
        <v>24</v>
      </c>
      <c r="V281" s="1">
        <v>61</v>
      </c>
      <c r="W281" s="1">
        <v>28</v>
      </c>
      <c r="X281" s="1">
        <f>VLOOKUP($B281&amp;"__wt",'Xtal_SegEnds_BW#'!$A:$Z,24,FALSE)</f>
        <v>56</v>
      </c>
      <c r="Y281" s="1">
        <f>VLOOKUP($B281&amp;"__wt",'Xtal_SegEnds_BW#'!$A:$Z,25,FALSE)</f>
        <v>47</v>
      </c>
      <c r="Z281" s="1">
        <f>VLOOKUP($B281&amp;"__wt",'Xtal_SegEnds_BW#'!$A:$Z,26,FALSE)</f>
        <v>58</v>
      </c>
      <c r="AA281" s="63" t="str">
        <f>VLOOKUP(A281,Classification!A:B,2,FALSE)</f>
        <v>A</v>
      </c>
      <c r="AB281" s="1">
        <f>VLOOKUP(A281,'NonXtal_SegEnds_Prot#'!A:AL,10,FALSE)-VLOOKUP(A281,'NonXtal_SegEnds_Prot#'!A:AL,7,FALSE)</f>
        <v>15</v>
      </c>
      <c r="AC281" s="1">
        <f>VLOOKUP(A281,'NonXtal_SegEnds_Prot#'!A:AL,13,FALSE)-VLOOKUP(A281,'NonXtal_SegEnds_Prot#'!A:AL,10,FALSE)</f>
        <v>20</v>
      </c>
      <c r="AD281" s="1">
        <f>VLOOKUP(A281,'NonXtal_SegEnds_Prot#'!A:AL,16,FALSE)-VLOOKUP(A281,'NonXtal_SegEnds_Prot#'!A:AL,10,FALSE)</f>
        <v>52</v>
      </c>
      <c r="AE281" s="1">
        <f>VLOOKUP(A281,'NonXtal_SegEnds_Prot#'!A:AL,28,FALSE)-VLOOKUP(A281,'NonXtal_SegEnds_Prot#'!A:AL,25,FALSE)</f>
        <v>25</v>
      </c>
      <c r="AF281" s="1">
        <f>VLOOKUP(A281,'NonXtal_SegEnds_Prot#'!A:AL,31,FALSE)-VLOOKUP(A281,'NonXtal_SegEnds_Prot#'!A:AL,28,FALSE)</f>
        <v>160</v>
      </c>
      <c r="AG281" s="1">
        <f>VLOOKUP(A281,'NonXtal_SegEnds_Prot#'!A:AL,34,FALSE)-VLOOKUP(A281,'NonXtal_SegEnds_Prot#'!A:AL,31,FALSE)</f>
        <v>39</v>
      </c>
    </row>
    <row r="282" spans="1:33" x14ac:dyDescent="0.2">
      <c r="A282" s="1" t="s">
        <v>474</v>
      </c>
      <c r="B282" s="1" t="str">
        <f>VLOOKUP(A282,Xtal_Templ!A:B,2,FALSE)</f>
        <v>acm1_human</v>
      </c>
      <c r="C282" s="5">
        <f>VLOOKUP($B282&amp;"__wt",'Xtal_SegEnds_BW#'!$A:$Z,3,FALSE)</f>
        <v>29</v>
      </c>
      <c r="D282" s="1">
        <f>VLOOKUP($B282&amp;"__wt",'Xtal_SegEnds_BW#'!$A:$Z,4,FALSE)</f>
        <v>60</v>
      </c>
      <c r="E282" s="1">
        <f>VLOOKUP($B282&amp;"__wt",'Xtal_SegEnds_BW#'!$A:$Z,5,FALSE)</f>
        <v>48</v>
      </c>
      <c r="F282" s="1">
        <f>VLOOKUP($B282&amp;"__wt",'Xtal_SegEnds_BW#'!$A:$Z,6,FALSE)</f>
        <v>51</v>
      </c>
      <c r="G282" s="1">
        <v>37</v>
      </c>
      <c r="H282" s="1">
        <f>VLOOKUP($B282&amp;"__wt",'Xtal_SegEnds_BW#'!$A:$Z,8,FALSE)</f>
        <v>67</v>
      </c>
      <c r="I282" s="1">
        <f>VLOOKUP($B282&amp;"__wt",'Xtal_SegEnds_BW#'!$A:$Z,9,FALSE)</f>
        <v>49</v>
      </c>
      <c r="J282" s="1">
        <f>VLOOKUP($B282&amp;"__wt",'Xtal_SegEnds_BW#'!$A:$Z,10,FALSE)</f>
        <v>52</v>
      </c>
      <c r="K282" s="1">
        <v>18</v>
      </c>
      <c r="L282" s="1">
        <f>VLOOKUP($B282&amp;"__wt",'Xtal_SegEnds_BW#'!$A:$Z,12,FALSE)</f>
        <v>56</v>
      </c>
      <c r="M282" s="1">
        <f>VLOOKUP($B282&amp;"__wt",'Xtal_SegEnds_BW#'!$A:$Z,13,FALSE)</f>
        <v>50</v>
      </c>
      <c r="N282" s="1">
        <v>58</v>
      </c>
      <c r="O282" s="1">
        <v>39</v>
      </c>
      <c r="P282" s="1">
        <v>63</v>
      </c>
      <c r="Q282" s="1">
        <f>VLOOKUP($B282&amp;"__wt",'Xtal_SegEnds_BW#'!$A:$Z,17,FALSE)</f>
        <v>50</v>
      </c>
      <c r="R282" s="1">
        <f>VLOOKUP($B282&amp;"__wt",'Xtal_SegEnds_BW#'!$A:$Z,18,FALSE)</f>
        <v>52</v>
      </c>
      <c r="S282" s="1">
        <v>35</v>
      </c>
      <c r="T282" s="23">
        <f t="array" ref="T282">INDEX('ICL3'!$G$2:$G$31,MATCH(MIN(ABS(AF282-'ICL3'!$F$2:$F$31)),ABS(AF282-'ICL3'!$F$2:$F$31),0))</f>
        <v>75</v>
      </c>
      <c r="U282" s="1">
        <f t="array" ref="U282">INDEX('ICL3'!$H$2:$H$31,MATCH(MIN(ABS(AF282-'ICL3'!$F$2:$F$31)),ABS(AF282-'ICL3'!$F$2:$F$31),0))</f>
        <v>24</v>
      </c>
      <c r="V282" s="1">
        <v>61</v>
      </c>
      <c r="W282" s="1">
        <v>31</v>
      </c>
      <c r="X282" s="1">
        <f>VLOOKUP($B282&amp;"__wt",'Xtal_SegEnds_BW#'!$A:$Z,24,FALSE)</f>
        <v>56</v>
      </c>
      <c r="Y282" s="1">
        <f>VLOOKUP($B282&amp;"__wt",'Xtal_SegEnds_BW#'!$A:$Z,25,FALSE)</f>
        <v>47</v>
      </c>
      <c r="Z282" s="1">
        <f>VLOOKUP($B282&amp;"__wt",'Xtal_SegEnds_BW#'!$A:$Z,26,FALSE)</f>
        <v>59</v>
      </c>
      <c r="AA282" s="63" t="str">
        <f>VLOOKUP(A282,Classification!A:B,2,FALSE)</f>
        <v>A</v>
      </c>
      <c r="AB282" s="1">
        <f>VLOOKUP(A282,'NonXtal_SegEnds_Prot#'!A:AL,10,FALSE)-VLOOKUP(A282,'NonXtal_SegEnds_Prot#'!A:AL,7,FALSE)</f>
        <v>15</v>
      </c>
      <c r="AC282" s="1">
        <f>VLOOKUP(A282,'NonXtal_SegEnds_Prot#'!A:AL,13,FALSE)-VLOOKUP(A282,'NonXtal_SegEnds_Prot#'!A:AL,10,FALSE)</f>
        <v>20</v>
      </c>
      <c r="AD282" s="1">
        <f>VLOOKUP(A282,'NonXtal_SegEnds_Prot#'!A:AL,16,FALSE)-VLOOKUP(A282,'NonXtal_SegEnds_Prot#'!A:AL,10,FALSE)</f>
        <v>52</v>
      </c>
      <c r="AE282" s="1">
        <f>VLOOKUP(A282,'NonXtal_SegEnds_Prot#'!A:AL,28,FALSE)-VLOOKUP(A282,'NonXtal_SegEnds_Prot#'!A:AL,25,FALSE)</f>
        <v>22</v>
      </c>
      <c r="AF282" s="1">
        <f>VLOOKUP(A282,'NonXtal_SegEnds_Prot#'!A:AL,31,FALSE)-VLOOKUP(A282,'NonXtal_SegEnds_Prot#'!A:AL,28,FALSE)</f>
        <v>163</v>
      </c>
      <c r="AG282" s="1">
        <f>VLOOKUP(A282,'NonXtal_SegEnds_Prot#'!A:AL,34,FALSE)-VLOOKUP(A282,'NonXtal_SegEnds_Prot#'!A:AL,31,FALSE)</f>
        <v>36</v>
      </c>
    </row>
    <row r="283" spans="1:33" x14ac:dyDescent="0.2">
      <c r="A283" s="1" t="s">
        <v>351</v>
      </c>
      <c r="B283" s="1" t="str">
        <f>VLOOKUP(A283,Xtal_Templ!A:B,2,FALSE)</f>
        <v>5ht1b_human</v>
      </c>
      <c r="C283" s="5">
        <f>VLOOKUP($B283&amp;"__wt",'Xtal_SegEnds_BW#'!$A:$Z,3,FALSE)</f>
        <v>29</v>
      </c>
      <c r="D283" s="1">
        <f>VLOOKUP($B283&amp;"__wt",'Xtal_SegEnds_BW#'!$A:$Z,4,FALSE)</f>
        <v>60</v>
      </c>
      <c r="E283" s="1">
        <f>VLOOKUP($B283&amp;"__wt",'Xtal_SegEnds_BW#'!$A:$Z,5,FALSE)</f>
        <v>48</v>
      </c>
      <c r="F283" s="1">
        <f>VLOOKUP($B283&amp;"__wt",'Xtal_SegEnds_BW#'!$A:$Z,6,FALSE)</f>
        <v>51</v>
      </c>
      <c r="G283" s="1">
        <v>37</v>
      </c>
      <c r="H283" s="1">
        <f>VLOOKUP($B283&amp;"__wt",'Xtal_SegEnds_BW#'!$A:$Z,8,FALSE)</f>
        <v>67</v>
      </c>
      <c r="I283" s="1">
        <f>VLOOKUP($B283&amp;"__wt",'Xtal_SegEnds_BW#'!$A:$Z,9,FALSE)</f>
        <v>49</v>
      </c>
      <c r="J283" s="1">
        <f>VLOOKUP($B283&amp;"__wt",'Xtal_SegEnds_BW#'!$A:$Z,10,FALSE)</f>
        <v>52</v>
      </c>
      <c r="K283" s="1">
        <v>18</v>
      </c>
      <c r="L283" s="1">
        <f>VLOOKUP($B283&amp;"__wt",'Xtal_SegEnds_BW#'!$A:$Z,12,FALSE)</f>
        <v>56</v>
      </c>
      <c r="M283" s="1">
        <f>VLOOKUP($B283&amp;"__wt",'Xtal_SegEnds_BW#'!$A:$Z,13,FALSE)</f>
        <v>50</v>
      </c>
      <c r="N283" s="1">
        <v>57</v>
      </c>
      <c r="O283" s="1">
        <v>39</v>
      </c>
      <c r="P283" s="1">
        <f>VLOOKUP($B283&amp;"__wt",'Xtal_SegEnds_BW#'!$A:$Z,16,FALSE)</f>
        <v>63</v>
      </c>
      <c r="Q283" s="1">
        <f>VLOOKUP($B283&amp;"__wt",'Xtal_SegEnds_BW#'!$A:$Z,17,FALSE)</f>
        <v>50</v>
      </c>
      <c r="R283" s="1">
        <f>VLOOKUP($B283&amp;"__wt",'Xtal_SegEnds_BW#'!$A:$Z,18,FALSE)</f>
        <v>52</v>
      </c>
      <c r="S283" s="1">
        <v>35</v>
      </c>
      <c r="T283" s="23">
        <f t="array" ref="T283">INDEX('ICL3'!$G$2:$G$31,MATCH(MIN(ABS(AF283-'ICL3'!$F$2:$F$31)),ABS(AF283-'ICL3'!$F$2:$F$31),0))</f>
        <v>75</v>
      </c>
      <c r="U283" s="1">
        <f t="array" ref="U283">INDEX('ICL3'!$H$2:$H$31,MATCH(MIN(ABS(AF283-'ICL3'!$F$2:$F$31)),ABS(AF283-'ICL3'!$F$2:$F$31),0))</f>
        <v>24</v>
      </c>
      <c r="V283" s="1">
        <v>61</v>
      </c>
      <c r="W283" s="1">
        <v>31</v>
      </c>
      <c r="X283" s="1">
        <f>VLOOKUP($B283&amp;"__wt",'Xtal_SegEnds_BW#'!$A:$Z,24,FALSE)</f>
        <v>56</v>
      </c>
      <c r="Y283" s="1">
        <f>VLOOKUP($B283&amp;"__wt",'Xtal_SegEnds_BW#'!$A:$Z,25,FALSE)</f>
        <v>47</v>
      </c>
      <c r="Z283" s="1">
        <f>VLOOKUP($B283&amp;"__wt",'Xtal_SegEnds_BW#'!$A:$Z,26,FALSE)</f>
        <v>58</v>
      </c>
      <c r="AA283" s="63" t="str">
        <f>VLOOKUP(A283,Classification!A:B,2,FALSE)</f>
        <v>A</v>
      </c>
      <c r="AB283" s="1">
        <f>VLOOKUP(A283,'NonXtal_SegEnds_Prot#'!A:AL,10,FALSE)-VLOOKUP(A283,'NonXtal_SegEnds_Prot#'!A:AL,7,FALSE)</f>
        <v>15</v>
      </c>
      <c r="AC283" s="1">
        <f>VLOOKUP(A283,'NonXtal_SegEnds_Prot#'!A:AL,13,FALSE)-VLOOKUP(A283,'NonXtal_SegEnds_Prot#'!A:AL,10,FALSE)</f>
        <v>20</v>
      </c>
      <c r="AD283" s="1">
        <f>VLOOKUP(A283,'NonXtal_SegEnds_Prot#'!A:AL,16,FALSE)-VLOOKUP(A283,'NonXtal_SegEnds_Prot#'!A:AL,10,FALSE)</f>
        <v>52</v>
      </c>
      <c r="AE283" s="1">
        <f>VLOOKUP(A283,'NonXtal_SegEnds_Prot#'!A:AL,28,FALSE)-VLOOKUP(A283,'NonXtal_SegEnds_Prot#'!A:AL,25,FALSE)</f>
        <v>20</v>
      </c>
      <c r="AF283" s="1">
        <f>VLOOKUP(A283,'NonXtal_SegEnds_Prot#'!A:AL,31,FALSE)-VLOOKUP(A283,'NonXtal_SegEnds_Prot#'!A:AL,28,FALSE)</f>
        <v>175</v>
      </c>
      <c r="AG283" s="1">
        <f>VLOOKUP(A283,'NonXtal_SegEnds_Prot#'!A:AL,34,FALSE)-VLOOKUP(A283,'NonXtal_SegEnds_Prot#'!A:AL,31,FALSE)</f>
        <v>37</v>
      </c>
    </row>
    <row r="284" spans="1:33" x14ac:dyDescent="0.2">
      <c r="A284" s="1" t="s">
        <v>340</v>
      </c>
      <c r="B284" s="1" t="str">
        <f>VLOOKUP(A284,Xtal_Templ!A:B,2,FALSE)</f>
        <v>acm1_human</v>
      </c>
      <c r="C284" s="5">
        <f>VLOOKUP($B284&amp;"__wt",'Xtal_SegEnds_BW#'!$A:$Z,3,FALSE)</f>
        <v>29</v>
      </c>
      <c r="D284" s="1">
        <f>VLOOKUP($B284&amp;"__wt",'Xtal_SegEnds_BW#'!$A:$Z,4,FALSE)</f>
        <v>60</v>
      </c>
      <c r="E284" s="1">
        <f>VLOOKUP($B284&amp;"__wt",'Xtal_SegEnds_BW#'!$A:$Z,5,FALSE)</f>
        <v>48</v>
      </c>
      <c r="F284" s="1">
        <f>VLOOKUP($B284&amp;"__wt",'Xtal_SegEnds_BW#'!$A:$Z,6,FALSE)</f>
        <v>51</v>
      </c>
      <c r="G284" s="1">
        <v>37</v>
      </c>
      <c r="H284" s="1">
        <f>VLOOKUP($B284&amp;"__wt",'Xtal_SegEnds_BW#'!$A:$Z,8,FALSE)</f>
        <v>67</v>
      </c>
      <c r="I284" s="1">
        <f>VLOOKUP($B284&amp;"__wt",'Xtal_SegEnds_BW#'!$A:$Z,9,FALSE)</f>
        <v>49</v>
      </c>
      <c r="J284" s="1">
        <f>VLOOKUP($B284&amp;"__wt",'Xtal_SegEnds_BW#'!$A:$Z,10,FALSE)</f>
        <v>52</v>
      </c>
      <c r="K284" s="1">
        <v>18</v>
      </c>
      <c r="L284" s="1">
        <f>VLOOKUP($B284&amp;"__wt",'Xtal_SegEnds_BW#'!$A:$Z,12,FALSE)</f>
        <v>56</v>
      </c>
      <c r="M284" s="1">
        <f>VLOOKUP($B284&amp;"__wt",'Xtal_SegEnds_BW#'!$A:$Z,13,FALSE)</f>
        <v>50</v>
      </c>
      <c r="N284" s="1">
        <v>57</v>
      </c>
      <c r="O284" s="1">
        <v>39</v>
      </c>
      <c r="P284" s="1">
        <f>VLOOKUP($B284&amp;"__wt",'Xtal_SegEnds_BW#'!$A:$Z,16,FALSE)</f>
        <v>69</v>
      </c>
      <c r="Q284" s="1">
        <f>VLOOKUP($B284&amp;"__wt",'Xtal_SegEnds_BW#'!$A:$Z,17,FALSE)</f>
        <v>50</v>
      </c>
      <c r="R284" s="1">
        <f>VLOOKUP($B284&amp;"__wt",'Xtal_SegEnds_BW#'!$A:$Z,18,FALSE)</f>
        <v>52</v>
      </c>
      <c r="S284" s="1">
        <v>35</v>
      </c>
      <c r="T284" s="23">
        <f t="array" ref="T284">INDEX('ICL3'!$G$2:$G$31,MATCH(MIN(ABS(AF284-'ICL3'!$F$2:$F$31)),ABS(AF284-'ICL3'!$F$2:$F$31),0))</f>
        <v>75</v>
      </c>
      <c r="U284" s="1">
        <f t="array" ref="U284">INDEX('ICL3'!$H$2:$H$31,MATCH(MIN(ABS(AF284-'ICL3'!$F$2:$F$31)),ABS(AF284-'ICL3'!$F$2:$F$31),0))</f>
        <v>24</v>
      </c>
      <c r="V284" s="1">
        <v>61</v>
      </c>
      <c r="W284" s="1">
        <v>31</v>
      </c>
      <c r="X284" s="1">
        <f>VLOOKUP($B284&amp;"__wt",'Xtal_SegEnds_BW#'!$A:$Z,24,FALSE)</f>
        <v>56</v>
      </c>
      <c r="Y284" s="1">
        <f>VLOOKUP($B284&amp;"__wt",'Xtal_SegEnds_BW#'!$A:$Z,25,FALSE)</f>
        <v>47</v>
      </c>
      <c r="Z284" s="1">
        <f>VLOOKUP($B284&amp;"__wt",'Xtal_SegEnds_BW#'!$A:$Z,26,FALSE)</f>
        <v>59</v>
      </c>
      <c r="AA284" s="63" t="str">
        <f>VLOOKUP(A284,Classification!A:B,2,FALSE)</f>
        <v>A</v>
      </c>
      <c r="AB284" s="1">
        <f>VLOOKUP(A284,'NonXtal_SegEnds_Prot#'!A:AL,10,FALSE)-VLOOKUP(A284,'NonXtal_SegEnds_Prot#'!A:AL,7,FALSE)</f>
        <v>15</v>
      </c>
      <c r="AC284" s="1">
        <f>VLOOKUP(A284,'NonXtal_SegEnds_Prot#'!A:AL,13,FALSE)-VLOOKUP(A284,'NonXtal_SegEnds_Prot#'!A:AL,10,FALSE)</f>
        <v>20</v>
      </c>
      <c r="AD284" s="1">
        <f>VLOOKUP(A284,'NonXtal_SegEnds_Prot#'!A:AL,16,FALSE)-VLOOKUP(A284,'NonXtal_SegEnds_Prot#'!A:AL,10,FALSE)</f>
        <v>52</v>
      </c>
      <c r="AE284" s="1">
        <f>VLOOKUP(A284,'NonXtal_SegEnds_Prot#'!A:AL,28,FALSE)-VLOOKUP(A284,'NonXtal_SegEnds_Prot#'!A:AL,25,FALSE)</f>
        <v>22</v>
      </c>
      <c r="AF284" s="1">
        <f>VLOOKUP(A284,'NonXtal_SegEnds_Prot#'!A:AL,31,FALSE)-VLOOKUP(A284,'NonXtal_SegEnds_Prot#'!A:AL,28,FALSE)</f>
        <v>180</v>
      </c>
      <c r="AG284" s="1">
        <f>VLOOKUP(A284,'NonXtal_SegEnds_Prot#'!A:AL,34,FALSE)-VLOOKUP(A284,'NonXtal_SegEnds_Prot#'!A:AL,31,FALSE)</f>
        <v>35</v>
      </c>
    </row>
    <row r="285" spans="1:33" x14ac:dyDescent="0.2">
      <c r="A285" s="1" t="s">
        <v>349</v>
      </c>
      <c r="B285" s="1" t="str">
        <f>VLOOKUP(A285,Xtal_Templ!A:B,2,FALSE)</f>
        <v>5ht1b_human</v>
      </c>
      <c r="C285" s="5">
        <f>VLOOKUP($B285&amp;"__wt",'Xtal_SegEnds_BW#'!$A:$Z,3,FALSE)</f>
        <v>29</v>
      </c>
      <c r="D285" s="1">
        <f>VLOOKUP($B285&amp;"__wt",'Xtal_SegEnds_BW#'!$A:$Z,4,FALSE)</f>
        <v>60</v>
      </c>
      <c r="E285" s="1">
        <f>VLOOKUP($B285&amp;"__wt",'Xtal_SegEnds_BW#'!$A:$Z,5,FALSE)</f>
        <v>48</v>
      </c>
      <c r="F285" s="1">
        <f>VLOOKUP($B285&amp;"__wt",'Xtal_SegEnds_BW#'!$A:$Z,6,FALSE)</f>
        <v>51</v>
      </c>
      <c r="G285" s="1">
        <v>37</v>
      </c>
      <c r="H285" s="1">
        <f>VLOOKUP($B285&amp;"__wt",'Xtal_SegEnds_BW#'!$A:$Z,8,FALSE)</f>
        <v>67</v>
      </c>
      <c r="I285" s="1">
        <f>VLOOKUP($B285&amp;"__wt",'Xtal_SegEnds_BW#'!$A:$Z,9,FALSE)</f>
        <v>49</v>
      </c>
      <c r="J285" s="1">
        <f>VLOOKUP($B285&amp;"__wt",'Xtal_SegEnds_BW#'!$A:$Z,10,FALSE)</f>
        <v>52</v>
      </c>
      <c r="K285" s="1">
        <v>18</v>
      </c>
      <c r="L285" s="1">
        <f>VLOOKUP($B285&amp;"__wt",'Xtal_SegEnds_BW#'!$A:$Z,12,FALSE)</f>
        <v>56</v>
      </c>
      <c r="M285" s="1">
        <f>VLOOKUP($B285&amp;"__wt",'Xtal_SegEnds_BW#'!$A:$Z,13,FALSE)</f>
        <v>50</v>
      </c>
      <c r="N285" s="1">
        <v>57</v>
      </c>
      <c r="O285" s="1">
        <v>39</v>
      </c>
      <c r="P285" s="1">
        <f>VLOOKUP($B285&amp;"__wt",'Xtal_SegEnds_BW#'!$A:$Z,16,FALSE)</f>
        <v>63</v>
      </c>
      <c r="Q285" s="1">
        <f>VLOOKUP($B285&amp;"__wt",'Xtal_SegEnds_BW#'!$A:$Z,17,FALSE)</f>
        <v>50</v>
      </c>
      <c r="R285" s="1">
        <f>VLOOKUP($B285&amp;"__wt",'Xtal_SegEnds_BW#'!$A:$Z,18,FALSE)</f>
        <v>52</v>
      </c>
      <c r="S285" s="1">
        <v>35</v>
      </c>
      <c r="T285" s="23">
        <f t="array" ref="T285">INDEX('ICL3'!$G$2:$G$31,MATCH(MIN(ABS(AF285-'ICL3'!$F$2:$F$31)),ABS(AF285-'ICL3'!$F$2:$F$31),0))</f>
        <v>75</v>
      </c>
      <c r="U285" s="1">
        <f t="array" ref="U285">INDEX('ICL3'!$H$2:$H$31,MATCH(MIN(ABS(AF285-'ICL3'!$F$2:$F$31)),ABS(AF285-'ICL3'!$F$2:$F$31),0))</f>
        <v>24</v>
      </c>
      <c r="V285" s="1">
        <v>61</v>
      </c>
      <c r="W285" s="1">
        <v>32</v>
      </c>
      <c r="X285" s="1">
        <f>VLOOKUP($B285&amp;"__wt",'Xtal_SegEnds_BW#'!$A:$Z,24,FALSE)</f>
        <v>56</v>
      </c>
      <c r="Y285" s="1">
        <f>VLOOKUP($B285&amp;"__wt",'Xtal_SegEnds_BW#'!$A:$Z,25,FALSE)</f>
        <v>47</v>
      </c>
      <c r="Z285" s="1">
        <f>VLOOKUP($B285&amp;"__wt",'Xtal_SegEnds_BW#'!$A:$Z,26,FALSE)</f>
        <v>58</v>
      </c>
      <c r="AA285" s="63" t="str">
        <f>VLOOKUP(A285,Classification!A:B,2,FALSE)</f>
        <v>A</v>
      </c>
      <c r="AB285" s="1">
        <f>VLOOKUP(A285,'NonXtal_SegEnds_Prot#'!A:AL,10,FALSE)-VLOOKUP(A285,'NonXtal_SegEnds_Prot#'!A:AL,7,FALSE)</f>
        <v>15</v>
      </c>
      <c r="AC285" s="1">
        <f>VLOOKUP(A285,'NonXtal_SegEnds_Prot#'!A:AL,13,FALSE)-VLOOKUP(A285,'NonXtal_SegEnds_Prot#'!A:AL,10,FALSE)</f>
        <v>20</v>
      </c>
      <c r="AD285" s="1">
        <f>VLOOKUP(A285,'NonXtal_SegEnds_Prot#'!A:AL,16,FALSE)-VLOOKUP(A285,'NonXtal_SegEnds_Prot#'!A:AL,10,FALSE)</f>
        <v>52</v>
      </c>
      <c r="AE285" s="1">
        <f>VLOOKUP(A285,'NonXtal_SegEnds_Prot#'!A:AL,28,FALSE)-VLOOKUP(A285,'NonXtal_SegEnds_Prot#'!A:AL,25,FALSE)</f>
        <v>20</v>
      </c>
      <c r="AF285" s="1">
        <f>VLOOKUP(A285,'NonXtal_SegEnds_Prot#'!A:AL,31,FALSE)-VLOOKUP(A285,'NonXtal_SegEnds_Prot#'!A:AL,28,FALSE)</f>
        <v>181</v>
      </c>
      <c r="AG285" s="1">
        <f>VLOOKUP(A285,'NonXtal_SegEnds_Prot#'!A:AL,34,FALSE)-VLOOKUP(A285,'NonXtal_SegEnds_Prot#'!A:AL,31,FALSE)</f>
        <v>34</v>
      </c>
    </row>
    <row r="286" spans="1:33" x14ac:dyDescent="0.2">
      <c r="A286" s="1" t="s">
        <v>385</v>
      </c>
      <c r="B286" s="1" t="str">
        <f>VLOOKUP(A286,Xtal_Templ!A:B,2,FALSE)</f>
        <v>drd3_human</v>
      </c>
      <c r="C286" s="5">
        <f>VLOOKUP($B286&amp;"__wt",'Xtal_SegEnds_BW#'!$A:$Z,3,FALSE)</f>
        <v>29</v>
      </c>
      <c r="D286" s="1">
        <f>VLOOKUP($B286&amp;"__wt",'Xtal_SegEnds_BW#'!$A:$Z,4,FALSE)</f>
        <v>60</v>
      </c>
      <c r="E286" s="1">
        <f>VLOOKUP($B286&amp;"__wt",'Xtal_SegEnds_BW#'!$A:$Z,5,FALSE)</f>
        <v>48</v>
      </c>
      <c r="F286" s="1">
        <f>VLOOKUP($B286&amp;"__wt",'Xtal_SegEnds_BW#'!$A:$Z,6,FALSE)</f>
        <v>51</v>
      </c>
      <c r="G286" s="1">
        <v>37</v>
      </c>
      <c r="H286" s="1">
        <f>VLOOKUP($B286&amp;"__wt",'Xtal_SegEnds_BW#'!$A:$Z,8,FALSE)</f>
        <v>67</v>
      </c>
      <c r="I286" s="1">
        <f>VLOOKUP($B286&amp;"__wt",'Xtal_SegEnds_BW#'!$A:$Z,9,FALSE)</f>
        <v>49</v>
      </c>
      <c r="J286" s="1">
        <f>VLOOKUP($B286&amp;"__wt",'Xtal_SegEnds_BW#'!$A:$Z,10,FALSE)</f>
        <v>52</v>
      </c>
      <c r="K286" s="1">
        <v>18</v>
      </c>
      <c r="L286" s="1">
        <f>VLOOKUP($B286&amp;"__wt",'Xtal_SegEnds_BW#'!$A:$Z,12,FALSE)</f>
        <v>56</v>
      </c>
      <c r="M286" s="1">
        <f>VLOOKUP($B286&amp;"__wt",'Xtal_SegEnds_BW#'!$A:$Z,13,FALSE)</f>
        <v>50</v>
      </c>
      <c r="N286" s="1">
        <v>58</v>
      </c>
      <c r="O286" s="1">
        <v>39</v>
      </c>
      <c r="P286" s="1">
        <f>VLOOKUP($B286&amp;"__wt",'Xtal_SegEnds_BW#'!$A:$Z,16,FALSE)</f>
        <v>63</v>
      </c>
      <c r="Q286" s="1">
        <f>VLOOKUP($B286&amp;"__wt",'Xtal_SegEnds_BW#'!$A:$Z,17,FALSE)</f>
        <v>50</v>
      </c>
      <c r="R286" s="1">
        <f>VLOOKUP($B286&amp;"__wt",'Xtal_SegEnds_BW#'!$A:$Z,18,FALSE)</f>
        <v>52</v>
      </c>
      <c r="S286" s="1">
        <v>35</v>
      </c>
      <c r="T286" s="23">
        <f t="array" ref="T286">INDEX('ICL3'!$G$2:$G$31,MATCH(MIN(ABS(AF286-'ICL3'!$F$2:$F$31)),ABS(AF286-'ICL3'!$F$2:$F$31),0))</f>
        <v>75</v>
      </c>
      <c r="U286" s="1">
        <f t="array" ref="U286">INDEX('ICL3'!$H$2:$H$31,MATCH(MIN(ABS(AF286-'ICL3'!$F$2:$F$31)),ABS(AF286-'ICL3'!$F$2:$F$31),0))</f>
        <v>24</v>
      </c>
      <c r="V286" s="1">
        <v>61</v>
      </c>
      <c r="W286" s="1">
        <v>31</v>
      </c>
      <c r="X286" s="1">
        <f>VLOOKUP($B286&amp;"__wt",'Xtal_SegEnds_BW#'!$A:$Z,24,FALSE)</f>
        <v>56</v>
      </c>
      <c r="Y286" s="1">
        <f>VLOOKUP($B286&amp;"__wt",'Xtal_SegEnds_BW#'!$A:$Z,25,FALSE)</f>
        <v>47</v>
      </c>
      <c r="Z286" s="1">
        <f>VLOOKUP($B286&amp;"__wt",'Xtal_SegEnds_BW#'!$A:$Z,26,FALSE)</f>
        <v>59</v>
      </c>
      <c r="AA286" s="63" t="str">
        <f>VLOOKUP(A286,Classification!A:B,2,FALSE)</f>
        <v>A</v>
      </c>
      <c r="AB286" s="1">
        <f>VLOOKUP(A286,'NonXtal_SegEnds_Prot#'!A:AL,10,FALSE)-VLOOKUP(A286,'NonXtal_SegEnds_Prot#'!A:AL,7,FALSE)</f>
        <v>15</v>
      </c>
      <c r="AC286" s="1">
        <f>VLOOKUP(A286,'NonXtal_SegEnds_Prot#'!A:AL,13,FALSE)-VLOOKUP(A286,'NonXtal_SegEnds_Prot#'!A:AL,10,FALSE)</f>
        <v>20</v>
      </c>
      <c r="AD286" s="1">
        <f>VLOOKUP(A286,'NonXtal_SegEnds_Prot#'!A:AL,16,FALSE)-VLOOKUP(A286,'NonXtal_SegEnds_Prot#'!A:AL,10,FALSE)</f>
        <v>52</v>
      </c>
      <c r="AE286" s="1">
        <f>VLOOKUP(A286,'NonXtal_SegEnds_Prot#'!A:AL,28,FALSE)-VLOOKUP(A286,'NonXtal_SegEnds_Prot#'!A:AL,25,FALSE)</f>
        <v>19</v>
      </c>
      <c r="AF286" s="1">
        <f>VLOOKUP(A286,'NonXtal_SegEnds_Prot#'!A:AL,31,FALSE)-VLOOKUP(A286,'NonXtal_SegEnds_Prot#'!A:AL,28,FALSE)</f>
        <v>187</v>
      </c>
      <c r="AG286" s="1">
        <f>VLOOKUP(A286,'NonXtal_SegEnds_Prot#'!A:AL,34,FALSE)-VLOOKUP(A286,'NonXtal_SegEnds_Prot#'!A:AL,31,FALSE)</f>
        <v>35</v>
      </c>
    </row>
    <row r="287" spans="1:33" x14ac:dyDescent="0.2">
      <c r="A287" s="1" t="s">
        <v>350</v>
      </c>
      <c r="B287" s="1" t="str">
        <f>VLOOKUP(A287,Xtal_Templ!A:B,2,FALSE)</f>
        <v>drd3_human</v>
      </c>
      <c r="C287" s="5">
        <f>VLOOKUP($B287&amp;"__wt",'Xtal_SegEnds_BW#'!$A:$Z,3,FALSE)</f>
        <v>29</v>
      </c>
      <c r="D287" s="1">
        <f>VLOOKUP($B287&amp;"__wt",'Xtal_SegEnds_BW#'!$A:$Z,4,FALSE)</f>
        <v>60</v>
      </c>
      <c r="E287" s="1">
        <f>VLOOKUP($B287&amp;"__wt",'Xtal_SegEnds_BW#'!$A:$Z,5,FALSE)</f>
        <v>48</v>
      </c>
      <c r="F287" s="1">
        <f>VLOOKUP($B287&amp;"__wt",'Xtal_SegEnds_BW#'!$A:$Z,6,FALSE)</f>
        <v>51</v>
      </c>
      <c r="G287" s="1">
        <v>37</v>
      </c>
      <c r="H287" s="1">
        <f>VLOOKUP($B287&amp;"__wt",'Xtal_SegEnds_BW#'!$A:$Z,8,FALSE)</f>
        <v>67</v>
      </c>
      <c r="I287" s="1">
        <f>VLOOKUP($B287&amp;"__wt",'Xtal_SegEnds_BW#'!$A:$Z,9,FALSE)</f>
        <v>49</v>
      </c>
      <c r="J287" s="1">
        <f>VLOOKUP($B287&amp;"__wt",'Xtal_SegEnds_BW#'!$A:$Z,10,FALSE)</f>
        <v>52</v>
      </c>
      <c r="K287" s="1">
        <v>18</v>
      </c>
      <c r="L287" s="1">
        <f>VLOOKUP($B287&amp;"__wt",'Xtal_SegEnds_BW#'!$A:$Z,12,FALSE)</f>
        <v>56</v>
      </c>
      <c r="M287" s="1">
        <f>VLOOKUP($B287&amp;"__wt",'Xtal_SegEnds_BW#'!$A:$Z,13,FALSE)</f>
        <v>50</v>
      </c>
      <c r="N287" s="1">
        <v>57</v>
      </c>
      <c r="O287" s="1">
        <v>39</v>
      </c>
      <c r="P287" s="1">
        <f>VLOOKUP($B287&amp;"__wt",'Xtal_SegEnds_BW#'!$A:$Z,16,FALSE)</f>
        <v>63</v>
      </c>
      <c r="Q287" s="1">
        <f>VLOOKUP($B287&amp;"__wt",'Xtal_SegEnds_BW#'!$A:$Z,17,FALSE)</f>
        <v>50</v>
      </c>
      <c r="R287" s="1">
        <f>VLOOKUP($B287&amp;"__wt",'Xtal_SegEnds_BW#'!$A:$Z,18,FALSE)</f>
        <v>52</v>
      </c>
      <c r="S287" s="1">
        <v>35</v>
      </c>
      <c r="T287" s="23">
        <f t="array" ref="T287">INDEX('ICL3'!$G$2:$G$31,MATCH(MIN(ABS(AF287-'ICL3'!$F$2:$F$31)),ABS(AF287-'ICL3'!$F$2:$F$31),0))</f>
        <v>75</v>
      </c>
      <c r="U287" s="1">
        <f t="array" ref="U287">INDEX('ICL3'!$H$2:$H$31,MATCH(MIN(ABS(AF287-'ICL3'!$F$2:$F$31)),ABS(AF287-'ICL3'!$F$2:$F$31),0))</f>
        <v>24</v>
      </c>
      <c r="V287" s="1">
        <v>61</v>
      </c>
      <c r="W287" s="1">
        <v>31</v>
      </c>
      <c r="X287" s="1">
        <f>VLOOKUP($B287&amp;"__wt",'Xtal_SegEnds_BW#'!$A:$Z,24,FALSE)</f>
        <v>56</v>
      </c>
      <c r="Y287" s="1">
        <f>VLOOKUP($B287&amp;"__wt",'Xtal_SegEnds_BW#'!$A:$Z,25,FALSE)</f>
        <v>47</v>
      </c>
      <c r="Z287" s="1">
        <f>VLOOKUP($B287&amp;"__wt",'Xtal_SegEnds_BW#'!$A:$Z,26,FALSE)</f>
        <v>59</v>
      </c>
      <c r="AA287" s="63" t="str">
        <f>VLOOKUP(A287,Classification!A:B,2,FALSE)</f>
        <v>A</v>
      </c>
      <c r="AB287" s="1">
        <f>VLOOKUP(A287,'NonXtal_SegEnds_Prot#'!A:AL,10,FALSE)-VLOOKUP(A287,'NonXtal_SegEnds_Prot#'!A:AL,7,FALSE)</f>
        <v>15</v>
      </c>
      <c r="AC287" s="1">
        <f>VLOOKUP(A287,'NonXtal_SegEnds_Prot#'!A:AL,13,FALSE)-VLOOKUP(A287,'NonXtal_SegEnds_Prot#'!A:AL,10,FALSE)</f>
        <v>20</v>
      </c>
      <c r="AD287" s="1">
        <f>VLOOKUP(A287,'NonXtal_SegEnds_Prot#'!A:AL,16,FALSE)-VLOOKUP(A287,'NonXtal_SegEnds_Prot#'!A:AL,10,FALSE)</f>
        <v>52</v>
      </c>
      <c r="AE287" s="1">
        <f>VLOOKUP(A287,'NonXtal_SegEnds_Prot#'!A:AL,28,FALSE)-VLOOKUP(A287,'NonXtal_SegEnds_Prot#'!A:AL,25,FALSE)</f>
        <v>20</v>
      </c>
      <c r="AF287" s="1">
        <f>VLOOKUP(A287,'NonXtal_SegEnds_Prot#'!A:AL,31,FALSE)-VLOOKUP(A287,'NonXtal_SegEnds_Prot#'!A:AL,28,FALSE)</f>
        <v>199</v>
      </c>
      <c r="AG287" s="1">
        <f>VLOOKUP(A287,'NonXtal_SegEnds_Prot#'!A:AL,34,FALSE)-VLOOKUP(A287,'NonXtal_SegEnds_Prot#'!A:AL,31,FALSE)</f>
        <v>37</v>
      </c>
    </row>
    <row r="288" spans="1:33" x14ac:dyDescent="0.2">
      <c r="A288" s="1" t="s">
        <v>341</v>
      </c>
      <c r="B288" s="1" t="str">
        <f>VLOOKUP(A288,Xtal_Templ!A:B,2,FALSE)</f>
        <v>acm2_human</v>
      </c>
      <c r="C288" s="5">
        <f>VLOOKUP($B288&amp;"__wt",'Xtal_SegEnds_BW#'!$A:$Z,3,FALSE)</f>
        <v>28</v>
      </c>
      <c r="D288" s="1">
        <f>VLOOKUP($B288&amp;"__wt",'Xtal_SegEnds_BW#'!$A:$Z,4,FALSE)</f>
        <v>60</v>
      </c>
      <c r="E288" s="1">
        <f>VLOOKUP($B288&amp;"__wt",'Xtal_SegEnds_BW#'!$A:$Z,5,FALSE)</f>
        <v>48</v>
      </c>
      <c r="F288" s="1">
        <f>VLOOKUP($B288&amp;"__wt",'Xtal_SegEnds_BW#'!$A:$Z,6,FALSE)</f>
        <v>51</v>
      </c>
      <c r="G288" s="1">
        <v>37</v>
      </c>
      <c r="H288" s="1">
        <f>VLOOKUP($B288&amp;"__wt",'Xtal_SegEnds_BW#'!$A:$Z,8,FALSE)</f>
        <v>67</v>
      </c>
      <c r="I288" s="1">
        <f>VLOOKUP($B288&amp;"__wt",'Xtal_SegEnds_BW#'!$A:$Z,9,FALSE)</f>
        <v>49</v>
      </c>
      <c r="J288" s="1">
        <f>VLOOKUP($B288&amp;"__wt",'Xtal_SegEnds_BW#'!$A:$Z,10,FALSE)</f>
        <v>52</v>
      </c>
      <c r="K288" s="1">
        <v>18</v>
      </c>
      <c r="L288" s="1">
        <f>VLOOKUP($B288&amp;"__wt",'Xtal_SegEnds_BW#'!$A:$Z,12,FALSE)</f>
        <v>56</v>
      </c>
      <c r="M288" s="1">
        <f>VLOOKUP($B288&amp;"__wt",'Xtal_SegEnds_BW#'!$A:$Z,13,FALSE)</f>
        <v>50</v>
      </c>
      <c r="N288" s="1">
        <v>57</v>
      </c>
      <c r="O288" s="1">
        <v>39</v>
      </c>
      <c r="P288" s="1">
        <f>VLOOKUP($B288&amp;"__wt",'Xtal_SegEnds_BW#'!$A:$Z,16,FALSE)</f>
        <v>69</v>
      </c>
      <c r="Q288" s="1">
        <f>VLOOKUP($B288&amp;"__wt",'Xtal_SegEnds_BW#'!$A:$Z,17,FALSE)</f>
        <v>50</v>
      </c>
      <c r="R288" s="1">
        <f>VLOOKUP($B288&amp;"__wt",'Xtal_SegEnds_BW#'!$A:$Z,18,FALSE)</f>
        <v>52</v>
      </c>
      <c r="S288" s="1">
        <v>35</v>
      </c>
      <c r="T288" s="23">
        <f t="array" ref="T288">INDEX('ICL3'!$G$2:$G$31,MATCH(MIN(ABS(AF288-'ICL3'!$F$2:$F$31)),ABS(AF288-'ICL3'!$F$2:$F$31),0))</f>
        <v>75</v>
      </c>
      <c r="U288" s="1">
        <f t="array" ref="U288">INDEX('ICL3'!$H$2:$H$31,MATCH(MIN(ABS(AF288-'ICL3'!$F$2:$F$31)),ABS(AF288-'ICL3'!$F$2:$F$31),0))</f>
        <v>24</v>
      </c>
      <c r="V288" s="1">
        <v>61</v>
      </c>
      <c r="W288" s="1">
        <v>31</v>
      </c>
      <c r="X288" s="1">
        <f>VLOOKUP($B288&amp;"__wt",'Xtal_SegEnds_BW#'!$A:$Z,24,FALSE)</f>
        <v>56</v>
      </c>
      <c r="Y288" s="1">
        <f>VLOOKUP($B288&amp;"__wt",'Xtal_SegEnds_BW#'!$A:$Z,25,FALSE)</f>
        <v>47</v>
      </c>
      <c r="Z288" s="1">
        <f>VLOOKUP($B288&amp;"__wt",'Xtal_SegEnds_BW#'!$A:$Z,26,FALSE)</f>
        <v>59</v>
      </c>
      <c r="AA288" s="63" t="str">
        <f>VLOOKUP(A288,Classification!A:B,2,FALSE)</f>
        <v>A</v>
      </c>
      <c r="AB288" s="1">
        <f>VLOOKUP(A288,'NonXtal_SegEnds_Prot#'!A:AL,10,FALSE)-VLOOKUP(A288,'NonXtal_SegEnds_Prot#'!A:AL,7,FALSE)</f>
        <v>15</v>
      </c>
      <c r="AC288" s="1">
        <f>VLOOKUP(A288,'NonXtal_SegEnds_Prot#'!A:AL,13,FALSE)-VLOOKUP(A288,'NonXtal_SegEnds_Prot#'!A:AL,10,FALSE)</f>
        <v>20</v>
      </c>
      <c r="AD288" s="1">
        <f>VLOOKUP(A288,'NonXtal_SegEnds_Prot#'!A:AL,16,FALSE)-VLOOKUP(A288,'NonXtal_SegEnds_Prot#'!A:AL,10,FALSE)</f>
        <v>52</v>
      </c>
      <c r="AE288" s="1">
        <f>VLOOKUP(A288,'NonXtal_SegEnds_Prot#'!A:AL,28,FALSE)-VLOOKUP(A288,'NonXtal_SegEnds_Prot#'!A:AL,25,FALSE)</f>
        <v>22</v>
      </c>
      <c r="AF288" s="1">
        <f>VLOOKUP(A288,'NonXtal_SegEnds_Prot#'!A:AL,31,FALSE)-VLOOKUP(A288,'NonXtal_SegEnds_Prot#'!A:AL,28,FALSE)</f>
        <v>204</v>
      </c>
      <c r="AG288" s="1">
        <f>VLOOKUP(A288,'NonXtal_SegEnds_Prot#'!A:AL,34,FALSE)-VLOOKUP(A288,'NonXtal_SegEnds_Prot#'!A:AL,31,FALSE)</f>
        <v>35</v>
      </c>
    </row>
    <row r="289" spans="1:33" x14ac:dyDescent="0.2">
      <c r="A289" s="1" t="s">
        <v>387</v>
      </c>
      <c r="B289" s="1" t="str">
        <f>VLOOKUP(A289,Xtal_Templ!A:B,2,FALSE)</f>
        <v>drd3_human</v>
      </c>
      <c r="C289" s="5">
        <f>VLOOKUP($B289&amp;"__wt",'Xtal_SegEnds_BW#'!$A:$Z,3,FALSE)</f>
        <v>29</v>
      </c>
      <c r="D289" s="1">
        <f>VLOOKUP($B289&amp;"__wt",'Xtal_SegEnds_BW#'!$A:$Z,4,FALSE)</f>
        <v>60</v>
      </c>
      <c r="E289" s="1">
        <f>VLOOKUP($B289&amp;"__wt",'Xtal_SegEnds_BW#'!$A:$Z,5,FALSE)</f>
        <v>48</v>
      </c>
      <c r="F289" s="1">
        <f>VLOOKUP($B289&amp;"__wt",'Xtal_SegEnds_BW#'!$A:$Z,6,FALSE)</f>
        <v>51</v>
      </c>
      <c r="G289" s="1">
        <v>37</v>
      </c>
      <c r="H289" s="1">
        <f>VLOOKUP($B289&amp;"__wt",'Xtal_SegEnds_BW#'!$A:$Z,8,FALSE)</f>
        <v>67</v>
      </c>
      <c r="I289" s="1">
        <f>VLOOKUP($B289&amp;"__wt",'Xtal_SegEnds_BW#'!$A:$Z,9,FALSE)</f>
        <v>49</v>
      </c>
      <c r="J289" s="1">
        <f>VLOOKUP($B289&amp;"__wt",'Xtal_SegEnds_BW#'!$A:$Z,10,FALSE)</f>
        <v>52</v>
      </c>
      <c r="K289" s="1">
        <v>18</v>
      </c>
      <c r="L289" s="1">
        <f>VLOOKUP($B289&amp;"__wt",'Xtal_SegEnds_BW#'!$A:$Z,12,FALSE)</f>
        <v>56</v>
      </c>
      <c r="M289" s="1">
        <f>VLOOKUP($B289&amp;"__wt",'Xtal_SegEnds_BW#'!$A:$Z,13,FALSE)</f>
        <v>50</v>
      </c>
      <c r="N289" s="1">
        <v>57</v>
      </c>
      <c r="O289" s="1">
        <v>39</v>
      </c>
      <c r="P289" s="1">
        <f>VLOOKUP($B289&amp;"__wt",'Xtal_SegEnds_BW#'!$A:$Z,16,FALSE)</f>
        <v>63</v>
      </c>
      <c r="Q289" s="1">
        <f>VLOOKUP($B289&amp;"__wt",'Xtal_SegEnds_BW#'!$A:$Z,17,FALSE)</f>
        <v>50</v>
      </c>
      <c r="R289" s="1">
        <f>VLOOKUP($B289&amp;"__wt",'Xtal_SegEnds_BW#'!$A:$Z,18,FALSE)</f>
        <v>52</v>
      </c>
      <c r="S289" s="1">
        <v>35</v>
      </c>
      <c r="T289" s="23">
        <f t="array" ref="T289">INDEX('ICL3'!$G$2:$G$31,MATCH(MIN(ABS(AF289-'ICL3'!$F$2:$F$31)),ABS(AF289-'ICL3'!$F$2:$F$31),0))</f>
        <v>75</v>
      </c>
      <c r="U289" s="1">
        <f t="array" ref="U289">INDEX('ICL3'!$H$2:$H$31,MATCH(MIN(ABS(AF289-'ICL3'!$F$2:$F$31)),ABS(AF289-'ICL3'!$F$2:$F$31),0))</f>
        <v>24</v>
      </c>
      <c r="V289" s="1">
        <v>60</v>
      </c>
      <c r="W289" s="1">
        <v>31</v>
      </c>
      <c r="X289" s="1">
        <f>VLOOKUP($B289&amp;"__wt",'Xtal_SegEnds_BW#'!$A:$Z,24,FALSE)</f>
        <v>56</v>
      </c>
      <c r="Y289" s="1">
        <f>VLOOKUP($B289&amp;"__wt",'Xtal_SegEnds_BW#'!$A:$Z,25,FALSE)</f>
        <v>47</v>
      </c>
      <c r="Z289" s="1">
        <f>VLOOKUP($B289&amp;"__wt",'Xtal_SegEnds_BW#'!$A:$Z,26,FALSE)</f>
        <v>59</v>
      </c>
      <c r="AA289" s="63" t="str">
        <f>VLOOKUP(A289,Classification!A:B,2,FALSE)</f>
        <v>A</v>
      </c>
      <c r="AB289" s="1">
        <f>VLOOKUP(A289,'NonXtal_SegEnds_Prot#'!A:AL,10,FALSE)-VLOOKUP(A289,'NonXtal_SegEnds_Prot#'!A:AL,7,FALSE)</f>
        <v>15</v>
      </c>
      <c r="AC289" s="1">
        <f>VLOOKUP(A289,'NonXtal_SegEnds_Prot#'!A:AL,13,FALSE)-VLOOKUP(A289,'NonXtal_SegEnds_Prot#'!A:AL,10,FALSE)</f>
        <v>21</v>
      </c>
      <c r="AD289" s="1">
        <f>VLOOKUP(A289,'NonXtal_SegEnds_Prot#'!A:AL,16,FALSE)-VLOOKUP(A289,'NonXtal_SegEnds_Prot#'!A:AL,10,FALSE)</f>
        <v>53</v>
      </c>
      <c r="AE289" s="1">
        <f>VLOOKUP(A289,'NonXtal_SegEnds_Prot#'!A:AL,28,FALSE)-VLOOKUP(A289,'NonXtal_SegEnds_Prot#'!A:AL,25,FALSE)</f>
        <v>19</v>
      </c>
      <c r="AF289" s="1">
        <f>VLOOKUP(A289,'NonXtal_SegEnds_Prot#'!A:AL,31,FALSE)-VLOOKUP(A289,'NonXtal_SegEnds_Prot#'!A:AL,28,FALSE)</f>
        <v>205</v>
      </c>
      <c r="AG289" s="1">
        <f>VLOOKUP(A289,'NonXtal_SegEnds_Prot#'!A:AL,34,FALSE)-VLOOKUP(A289,'NonXtal_SegEnds_Prot#'!A:AL,31,FALSE)</f>
        <v>36</v>
      </c>
    </row>
    <row r="290" spans="1:33" x14ac:dyDescent="0.2">
      <c r="A290" s="1" t="s">
        <v>343</v>
      </c>
      <c r="B290" s="1" t="str">
        <f>VLOOKUP(A290,Xtal_Templ!A:B,2,FALSE)</f>
        <v>acm4_human</v>
      </c>
      <c r="C290" s="5">
        <f>VLOOKUP($B290&amp;"__wt",'Xtal_SegEnds_BW#'!$A:$Z,3,FALSE)</f>
        <v>26</v>
      </c>
      <c r="D290" s="1">
        <f>VLOOKUP($B290&amp;"__wt",'Xtal_SegEnds_BW#'!$A:$Z,4,FALSE)</f>
        <v>60</v>
      </c>
      <c r="E290" s="1">
        <f>VLOOKUP($B290&amp;"__wt",'Xtal_SegEnds_BW#'!$A:$Z,5,FALSE)</f>
        <v>48</v>
      </c>
      <c r="F290" s="1">
        <f>VLOOKUP($B290&amp;"__wt",'Xtal_SegEnds_BW#'!$A:$Z,6,FALSE)</f>
        <v>51</v>
      </c>
      <c r="G290" s="1">
        <v>37</v>
      </c>
      <c r="H290" s="1">
        <f>VLOOKUP($B290&amp;"__wt",'Xtal_SegEnds_BW#'!$A:$Z,8,FALSE)</f>
        <v>67</v>
      </c>
      <c r="I290" s="1">
        <f>VLOOKUP($B290&amp;"__wt",'Xtal_SegEnds_BW#'!$A:$Z,9,FALSE)</f>
        <v>49</v>
      </c>
      <c r="J290" s="1">
        <f>VLOOKUP($B290&amp;"__wt",'Xtal_SegEnds_BW#'!$A:$Z,10,FALSE)</f>
        <v>52</v>
      </c>
      <c r="K290" s="1">
        <v>18</v>
      </c>
      <c r="L290" s="1">
        <f>VLOOKUP($B290&amp;"__wt",'Xtal_SegEnds_BW#'!$A:$Z,12,FALSE)</f>
        <v>56</v>
      </c>
      <c r="M290" s="1">
        <f>VLOOKUP($B290&amp;"__wt",'Xtal_SegEnds_BW#'!$A:$Z,13,FALSE)</f>
        <v>50</v>
      </c>
      <c r="N290" s="1">
        <v>57</v>
      </c>
      <c r="O290" s="1">
        <v>39</v>
      </c>
      <c r="P290" s="1">
        <f>VLOOKUP($B290&amp;"__wt",'Xtal_SegEnds_BW#'!$A:$Z,16,FALSE)</f>
        <v>69</v>
      </c>
      <c r="Q290" s="1">
        <f>VLOOKUP($B290&amp;"__wt",'Xtal_SegEnds_BW#'!$A:$Z,17,FALSE)</f>
        <v>50</v>
      </c>
      <c r="R290" s="1">
        <f>VLOOKUP($B290&amp;"__wt",'Xtal_SegEnds_BW#'!$A:$Z,18,FALSE)</f>
        <v>52</v>
      </c>
      <c r="S290" s="1">
        <v>35</v>
      </c>
      <c r="T290" s="23">
        <f t="array" ref="T290">INDEX('ICL3'!$G$2:$G$31,MATCH(MIN(ABS(AF290-'ICL3'!$F$2:$F$31)),ABS(AF290-'ICL3'!$F$2:$F$31),0))</f>
        <v>75</v>
      </c>
      <c r="U290" s="1">
        <f t="array" ref="U290">INDEX('ICL3'!$H$2:$H$31,MATCH(MIN(ABS(AF290-'ICL3'!$F$2:$F$31)),ABS(AF290-'ICL3'!$F$2:$F$31),0))</f>
        <v>24</v>
      </c>
      <c r="V290" s="1">
        <v>61</v>
      </c>
      <c r="W290" s="1">
        <v>31</v>
      </c>
      <c r="X290" s="1">
        <f>VLOOKUP($B290&amp;"__wt",'Xtal_SegEnds_BW#'!$A:$Z,24,FALSE)</f>
        <v>56</v>
      </c>
      <c r="Y290" s="1">
        <f>VLOOKUP($B290&amp;"__wt",'Xtal_SegEnds_BW#'!$A:$Z,25,FALSE)</f>
        <v>47</v>
      </c>
      <c r="Z290" s="1">
        <f>VLOOKUP($B290&amp;"__wt",'Xtal_SegEnds_BW#'!$A:$Z,26,FALSE)</f>
        <v>59</v>
      </c>
      <c r="AA290" s="63" t="str">
        <f>VLOOKUP(A290,Classification!A:B,2,FALSE)</f>
        <v>A</v>
      </c>
      <c r="AB290" s="1">
        <f>VLOOKUP(A290,'NonXtal_SegEnds_Prot#'!A:AL,10,FALSE)-VLOOKUP(A290,'NonXtal_SegEnds_Prot#'!A:AL,7,FALSE)</f>
        <v>15</v>
      </c>
      <c r="AC290" s="1">
        <f>VLOOKUP(A290,'NonXtal_SegEnds_Prot#'!A:AL,13,FALSE)-VLOOKUP(A290,'NonXtal_SegEnds_Prot#'!A:AL,10,FALSE)</f>
        <v>20</v>
      </c>
      <c r="AD290" s="1">
        <f>VLOOKUP(A290,'NonXtal_SegEnds_Prot#'!A:AL,16,FALSE)-VLOOKUP(A290,'NonXtal_SegEnds_Prot#'!A:AL,10,FALSE)</f>
        <v>52</v>
      </c>
      <c r="AE290" s="1">
        <f>VLOOKUP(A290,'NonXtal_SegEnds_Prot#'!A:AL,28,FALSE)-VLOOKUP(A290,'NonXtal_SegEnds_Prot#'!A:AL,25,FALSE)</f>
        <v>22</v>
      </c>
      <c r="AF290" s="1">
        <f>VLOOKUP(A290,'NonXtal_SegEnds_Prot#'!A:AL,31,FALSE)-VLOOKUP(A290,'NonXtal_SegEnds_Prot#'!A:AL,28,FALSE)</f>
        <v>208</v>
      </c>
      <c r="AG290" s="1">
        <f>VLOOKUP(A290,'NonXtal_SegEnds_Prot#'!A:AL,34,FALSE)-VLOOKUP(A290,'NonXtal_SegEnds_Prot#'!A:AL,31,FALSE)</f>
        <v>35</v>
      </c>
    </row>
    <row r="291" spans="1:33" x14ac:dyDescent="0.2">
      <c r="A291" s="1" t="s">
        <v>406</v>
      </c>
      <c r="B291" s="1" t="str">
        <f>VLOOKUP(A291,Xtal_Templ!A:B,2,FALSE)</f>
        <v>adrb1_melga</v>
      </c>
      <c r="C291" s="5">
        <f>VLOOKUP($B291&amp;"__wt",'Xtal_SegEnds_BW#'!$A:$Z,3,FALSE)</f>
        <v>24</v>
      </c>
      <c r="D291" s="1">
        <f>VLOOKUP($B291&amp;"__wt",'Xtal_SegEnds_BW#'!$A:$Z,4,FALSE)</f>
        <v>60</v>
      </c>
      <c r="E291" s="1">
        <f>VLOOKUP($B291&amp;"__wt",'Xtal_SegEnds_BW#'!$A:$Z,5,FALSE)</f>
        <v>48</v>
      </c>
      <c r="F291" s="1">
        <f>VLOOKUP($B291&amp;"__wt",'Xtal_SegEnds_BW#'!$A:$Z,6,FALSE)</f>
        <v>51</v>
      </c>
      <c r="G291" s="1">
        <v>37</v>
      </c>
      <c r="H291" s="1">
        <f>VLOOKUP($B291&amp;"__wt",'Xtal_SegEnds_BW#'!$A:$Z,8,FALSE)</f>
        <v>67</v>
      </c>
      <c r="I291" s="1">
        <f>VLOOKUP($B291&amp;"__wt",'Xtal_SegEnds_BW#'!$A:$Z,9,FALSE)</f>
        <v>49</v>
      </c>
      <c r="J291" s="1">
        <f>VLOOKUP($B291&amp;"__wt",'Xtal_SegEnds_BW#'!$A:$Z,10,FALSE)</f>
        <v>52</v>
      </c>
      <c r="K291" s="1">
        <v>18</v>
      </c>
      <c r="L291" s="1">
        <f>VLOOKUP($B291&amp;"__wt",'Xtal_SegEnds_BW#'!$A:$Z,12,FALSE)</f>
        <v>56</v>
      </c>
      <c r="M291" s="1">
        <f>VLOOKUP($B291&amp;"__wt",'Xtal_SegEnds_BW#'!$A:$Z,13,FALSE)</f>
        <v>50</v>
      </c>
      <c r="N291" s="1">
        <v>57</v>
      </c>
      <c r="O291" s="1">
        <v>39</v>
      </c>
      <c r="P291" s="1">
        <f>VLOOKUP($B291&amp;"__wt",'Xtal_SegEnds_BW#'!$A:$Z,16,FALSE)</f>
        <v>64</v>
      </c>
      <c r="Q291" s="1">
        <f>VLOOKUP($B291&amp;"__wt",'Xtal_SegEnds_BW#'!$A:$Z,17,FALSE)</f>
        <v>50</v>
      </c>
      <c r="R291" s="1">
        <f>VLOOKUP($B291&amp;"__wt",'Xtal_SegEnds_BW#'!$A:$Z,18,FALSE)</f>
        <v>52</v>
      </c>
      <c r="S291" s="1">
        <v>35</v>
      </c>
      <c r="T291" s="23">
        <f t="array" ref="T291">INDEX('ICL3'!$G$2:$G$31,MATCH(MIN(ABS(AF291-'ICL3'!$F$2:$F$31)),ABS(AF291-'ICL3'!$F$2:$F$31),0))</f>
        <v>75</v>
      </c>
      <c r="U291" s="1">
        <f t="array" ref="U291">INDEX('ICL3'!$H$2:$H$31,MATCH(MIN(ABS(AF291-'ICL3'!$F$2:$F$31)),ABS(AF291-'ICL3'!$F$2:$F$31),0))</f>
        <v>24</v>
      </c>
      <c r="V291" s="1">
        <v>61</v>
      </c>
      <c r="W291" s="1">
        <v>31</v>
      </c>
      <c r="X291" s="1">
        <f>VLOOKUP($B291&amp;"__wt",'Xtal_SegEnds_BW#'!$A:$Z,24,FALSE)</f>
        <v>55</v>
      </c>
      <c r="Y291" s="1">
        <f>VLOOKUP($B291&amp;"__wt",'Xtal_SegEnds_BW#'!$A:$Z,25,FALSE)</f>
        <v>47</v>
      </c>
      <c r="Z291" s="1">
        <f>VLOOKUP($B291&amp;"__wt",'Xtal_SegEnds_BW#'!$A:$Z,26,FALSE)</f>
        <v>59</v>
      </c>
      <c r="AA291" s="63" t="str">
        <f>VLOOKUP(A291,Classification!A:B,2,FALSE)</f>
        <v>A</v>
      </c>
      <c r="AB291" s="1">
        <f>VLOOKUP(A291,'NonXtal_SegEnds_Prot#'!A:AL,10,FALSE)-VLOOKUP(A291,'NonXtal_SegEnds_Prot#'!A:AL,7,FALSE)</f>
        <v>15</v>
      </c>
      <c r="AC291" s="1">
        <f>VLOOKUP(A291,'NonXtal_SegEnds_Prot#'!A:AL,13,FALSE)-VLOOKUP(A291,'NonXtal_SegEnds_Prot#'!A:AL,10,FALSE)</f>
        <v>20</v>
      </c>
      <c r="AD291" s="1">
        <f>VLOOKUP(A291,'NonXtal_SegEnds_Prot#'!A:AL,16,FALSE)-VLOOKUP(A291,'NonXtal_SegEnds_Prot#'!A:AL,10,FALSE)</f>
        <v>52</v>
      </c>
      <c r="AE291" s="1">
        <f>VLOOKUP(A291,'NonXtal_SegEnds_Prot#'!A:AL,28,FALSE)-VLOOKUP(A291,'NonXtal_SegEnds_Prot#'!A:AL,25,FALSE)</f>
        <v>22</v>
      </c>
      <c r="AF291" s="1">
        <f>VLOOKUP(A291,'NonXtal_SegEnds_Prot#'!A:AL,31,FALSE)-VLOOKUP(A291,'NonXtal_SegEnds_Prot#'!A:AL,28,FALSE)</f>
        <v>210</v>
      </c>
      <c r="AG291" s="1">
        <f>VLOOKUP(A291,'NonXtal_SegEnds_Prot#'!A:AL,34,FALSE)-VLOOKUP(A291,'NonXtal_SegEnds_Prot#'!A:AL,31,FALSE)</f>
        <v>37</v>
      </c>
    </row>
    <row r="292" spans="1:33" x14ac:dyDescent="0.2">
      <c r="A292" s="1" t="s">
        <v>472</v>
      </c>
      <c r="B292" s="1" t="str">
        <f>VLOOKUP(A292,Xtal_Templ!A:B,2,FALSE)</f>
        <v>hrh1_human</v>
      </c>
      <c r="C292" s="5">
        <f>VLOOKUP($B292&amp;"__wt",'Xtal_SegEnds_BW#'!$A:$Z,3,FALSE)</f>
        <v>34</v>
      </c>
      <c r="D292" s="1">
        <f>VLOOKUP($B292&amp;"__wt",'Xtal_SegEnds_BW#'!$A:$Z,4,FALSE)</f>
        <v>60</v>
      </c>
      <c r="E292" s="1">
        <f>VLOOKUP($B292&amp;"__wt",'Xtal_SegEnds_BW#'!$A:$Z,5,FALSE)</f>
        <v>48</v>
      </c>
      <c r="F292" s="1">
        <f>VLOOKUP($B292&amp;"__wt",'Xtal_SegEnds_BW#'!$A:$Z,6,FALSE)</f>
        <v>51</v>
      </c>
      <c r="G292" s="1">
        <v>37</v>
      </c>
      <c r="H292" s="1">
        <f>VLOOKUP($B292&amp;"__wt",'Xtal_SegEnds_BW#'!$A:$Z,8,FALSE)</f>
        <v>67</v>
      </c>
      <c r="I292" s="1">
        <f>VLOOKUP($B292&amp;"__wt",'Xtal_SegEnds_BW#'!$A:$Z,9,FALSE)</f>
        <v>49</v>
      </c>
      <c r="J292" s="1">
        <f>VLOOKUP($B292&amp;"__wt",'Xtal_SegEnds_BW#'!$A:$Z,10,FALSE)</f>
        <v>52</v>
      </c>
      <c r="K292" s="1">
        <v>18</v>
      </c>
      <c r="L292" s="1">
        <f>VLOOKUP($B292&amp;"__wt",'Xtal_SegEnds_BW#'!$A:$Z,12,FALSE)</f>
        <v>56</v>
      </c>
      <c r="M292" s="1">
        <f>VLOOKUP($B292&amp;"__wt",'Xtal_SegEnds_BW#'!$A:$Z,13,FALSE)</f>
        <v>50</v>
      </c>
      <c r="N292" s="1">
        <v>57</v>
      </c>
      <c r="O292" s="1">
        <v>39</v>
      </c>
      <c r="P292" s="1">
        <f>VLOOKUP($B292&amp;"__wt",'Xtal_SegEnds_BW#'!$A:$Z,16,FALSE)</f>
        <v>62</v>
      </c>
      <c r="Q292" s="1">
        <f>VLOOKUP($B292&amp;"__wt",'Xtal_SegEnds_BW#'!$A:$Z,17,FALSE)</f>
        <v>50</v>
      </c>
      <c r="R292" s="1">
        <f>VLOOKUP($B292&amp;"__wt",'Xtal_SegEnds_BW#'!$A:$Z,18,FALSE)</f>
        <v>52</v>
      </c>
      <c r="S292" s="1">
        <v>35</v>
      </c>
      <c r="T292" s="23">
        <f t="array" ref="T292">INDEX('ICL3'!$G$2:$G$31,MATCH(MIN(ABS(AF292-'ICL3'!$F$2:$F$31)),ABS(AF292-'ICL3'!$F$2:$F$31),0))</f>
        <v>76</v>
      </c>
      <c r="U292" s="1">
        <f t="array" ref="U292">INDEX('ICL3'!$H$2:$H$31,MATCH(MIN(ABS(AF292-'ICL3'!$F$2:$F$31)),ABS(AF292-'ICL3'!$F$2:$F$31),0))</f>
        <v>24</v>
      </c>
      <c r="V292" s="1">
        <v>61</v>
      </c>
      <c r="W292" s="1">
        <v>31</v>
      </c>
      <c r="X292" s="1">
        <f>VLOOKUP($B292&amp;"__wt",'Xtal_SegEnds_BW#'!$A:$Z,24,FALSE)</f>
        <v>56</v>
      </c>
      <c r="Y292" s="1">
        <f>VLOOKUP($B292&amp;"__wt",'Xtal_SegEnds_BW#'!$A:$Z,25,FALSE)</f>
        <v>47</v>
      </c>
      <c r="Z292" s="1">
        <f>VLOOKUP($B292&amp;"__wt",'Xtal_SegEnds_BW#'!$A:$Z,26,FALSE)</f>
        <v>59</v>
      </c>
      <c r="AA292" s="63" t="str">
        <f>VLOOKUP(A292,Classification!A:B,2,FALSE)</f>
        <v>A</v>
      </c>
      <c r="AB292" s="1">
        <f>VLOOKUP(A292,'NonXtal_SegEnds_Prot#'!A:AL,10,FALSE)-VLOOKUP(A292,'NonXtal_SegEnds_Prot#'!A:AL,7,FALSE)</f>
        <v>15</v>
      </c>
      <c r="AC292" s="1">
        <f>VLOOKUP(A292,'NonXtal_SegEnds_Prot#'!A:AL,13,FALSE)-VLOOKUP(A292,'NonXtal_SegEnds_Prot#'!A:AL,10,FALSE)</f>
        <v>20</v>
      </c>
      <c r="AD292" s="1">
        <f>VLOOKUP(A292,'NonXtal_SegEnds_Prot#'!A:AL,16,FALSE)-VLOOKUP(A292,'NonXtal_SegEnds_Prot#'!A:AL,10,FALSE)</f>
        <v>52</v>
      </c>
      <c r="AE292" s="1">
        <f>VLOOKUP(A292,'NonXtal_SegEnds_Prot#'!A:AL,28,FALSE)-VLOOKUP(A292,'NonXtal_SegEnds_Prot#'!A:AL,25,FALSE)</f>
        <v>22</v>
      </c>
      <c r="AF292" s="1">
        <f>VLOOKUP(A292,'NonXtal_SegEnds_Prot#'!A:AL,31,FALSE)-VLOOKUP(A292,'NonXtal_SegEnds_Prot#'!A:AL,28,FALSE)</f>
        <v>228</v>
      </c>
      <c r="AG292" s="1">
        <f>VLOOKUP(A292,'NonXtal_SegEnds_Prot#'!A:AL,34,FALSE)-VLOOKUP(A292,'NonXtal_SegEnds_Prot#'!A:AL,31,FALSE)</f>
        <v>35</v>
      </c>
    </row>
    <row r="293" spans="1:33" x14ac:dyDescent="0.2">
      <c r="A293" s="1" t="s">
        <v>344</v>
      </c>
      <c r="B293" s="1" t="str">
        <f>VLOOKUP(A293,Xtal_Templ!A:B,2,FALSE)</f>
        <v>acm3_rat</v>
      </c>
      <c r="C293" s="5">
        <f>VLOOKUP($B293&amp;"__wt",'Xtal_SegEnds_BW#'!$A:$Z,3,FALSE)</f>
        <v>29</v>
      </c>
      <c r="D293" s="1">
        <f>VLOOKUP($B293&amp;"__wt",'Xtal_SegEnds_BW#'!$A:$Z,4,FALSE)</f>
        <v>60</v>
      </c>
      <c r="E293" s="1">
        <f>VLOOKUP($B293&amp;"__wt",'Xtal_SegEnds_BW#'!$A:$Z,5,FALSE)</f>
        <v>48</v>
      </c>
      <c r="F293" s="1">
        <f>VLOOKUP($B293&amp;"__wt",'Xtal_SegEnds_BW#'!$A:$Z,6,FALSE)</f>
        <v>51</v>
      </c>
      <c r="G293" s="1">
        <v>37</v>
      </c>
      <c r="H293" s="1">
        <f>VLOOKUP($B293&amp;"__wt",'Xtal_SegEnds_BW#'!$A:$Z,8,FALSE)</f>
        <v>67</v>
      </c>
      <c r="I293" s="1">
        <f>VLOOKUP($B293&amp;"__wt",'Xtal_SegEnds_BW#'!$A:$Z,9,FALSE)</f>
        <v>49</v>
      </c>
      <c r="J293" s="1">
        <f>VLOOKUP($B293&amp;"__wt",'Xtal_SegEnds_BW#'!$A:$Z,10,FALSE)</f>
        <v>52</v>
      </c>
      <c r="K293" s="1">
        <v>18</v>
      </c>
      <c r="L293" s="1">
        <f>VLOOKUP($B293&amp;"__wt",'Xtal_SegEnds_BW#'!$A:$Z,12,FALSE)</f>
        <v>56</v>
      </c>
      <c r="M293" s="1">
        <f>VLOOKUP($B293&amp;"__wt",'Xtal_SegEnds_BW#'!$A:$Z,13,FALSE)</f>
        <v>50</v>
      </c>
      <c r="N293" s="1">
        <v>57</v>
      </c>
      <c r="O293" s="1">
        <v>39</v>
      </c>
      <c r="P293" s="1">
        <f>VLOOKUP($B293&amp;"__wt",'Xtal_SegEnds_BW#'!$A:$Z,16,FALSE)</f>
        <v>69</v>
      </c>
      <c r="Q293" s="1">
        <f>VLOOKUP($B293&amp;"__wt",'Xtal_SegEnds_BW#'!$A:$Z,17,FALSE)</f>
        <v>50</v>
      </c>
      <c r="R293" s="1">
        <f>VLOOKUP($B293&amp;"__wt",'Xtal_SegEnds_BW#'!$A:$Z,18,FALSE)</f>
        <v>52</v>
      </c>
      <c r="S293" s="1">
        <v>35</v>
      </c>
      <c r="T293" s="23">
        <f t="array" ref="T293">INDEX('ICL3'!$G$2:$G$31,MATCH(MIN(ABS(AF293-'ICL3'!$F$2:$F$31)),ABS(AF293-'ICL3'!$F$2:$F$31),0))</f>
        <v>75</v>
      </c>
      <c r="U293" s="1">
        <f t="array" ref="U293">INDEX('ICL3'!$H$2:$H$31,MATCH(MIN(ABS(AF293-'ICL3'!$F$2:$F$31)),ABS(AF293-'ICL3'!$F$2:$F$31),0))</f>
        <v>24</v>
      </c>
      <c r="V293" s="1">
        <v>61</v>
      </c>
      <c r="W293" s="1">
        <v>31</v>
      </c>
      <c r="X293" s="1">
        <f>VLOOKUP($B293&amp;"__wt",'Xtal_SegEnds_BW#'!$A:$Z,24,FALSE)</f>
        <v>56</v>
      </c>
      <c r="Y293" s="1">
        <f>VLOOKUP($B293&amp;"__wt",'Xtal_SegEnds_BW#'!$A:$Z,25,FALSE)</f>
        <v>47</v>
      </c>
      <c r="Z293" s="1">
        <f>VLOOKUP($B293&amp;"__wt",'Xtal_SegEnds_BW#'!$A:$Z,26,FALSE)</f>
        <v>58</v>
      </c>
      <c r="AA293" s="63" t="str">
        <f>VLOOKUP(A293,Classification!A:B,2,FALSE)</f>
        <v>A</v>
      </c>
      <c r="AB293" s="1">
        <f>VLOOKUP(A293,'NonXtal_SegEnds_Prot#'!A:AL,10,FALSE)-VLOOKUP(A293,'NonXtal_SegEnds_Prot#'!A:AL,7,FALSE)</f>
        <v>15</v>
      </c>
      <c r="AC293" s="1">
        <f>VLOOKUP(A293,'NonXtal_SegEnds_Prot#'!A:AL,13,FALSE)-VLOOKUP(A293,'NonXtal_SegEnds_Prot#'!A:AL,10,FALSE)</f>
        <v>20</v>
      </c>
      <c r="AD293" s="1">
        <f>VLOOKUP(A293,'NonXtal_SegEnds_Prot#'!A:AL,16,FALSE)-VLOOKUP(A293,'NonXtal_SegEnds_Prot#'!A:AL,10,FALSE)</f>
        <v>52</v>
      </c>
      <c r="AE293" s="1">
        <f>VLOOKUP(A293,'NonXtal_SegEnds_Prot#'!A:AL,28,FALSE)-VLOOKUP(A293,'NonXtal_SegEnds_Prot#'!A:AL,25,FALSE)</f>
        <v>22</v>
      </c>
      <c r="AF293" s="1">
        <f>VLOOKUP(A293,'NonXtal_SegEnds_Prot#'!A:AL,31,FALSE)-VLOOKUP(A293,'NonXtal_SegEnds_Prot#'!A:AL,28,FALSE)</f>
        <v>252</v>
      </c>
      <c r="AG293" s="1">
        <f>VLOOKUP(A293,'NonXtal_SegEnds_Prot#'!A:AL,34,FALSE)-VLOOKUP(A293,'NonXtal_SegEnds_Prot#'!A:AL,31,FALSE)</f>
        <v>35</v>
      </c>
    </row>
    <row r="294" spans="1:33" x14ac:dyDescent="0.2">
      <c r="A294" s="1" t="s">
        <v>342</v>
      </c>
      <c r="B294" s="1" t="str">
        <f>VLOOKUP(A294,Xtal_Templ!A:B,2,FALSE)</f>
        <v>acm3_rat</v>
      </c>
      <c r="C294" s="5">
        <f>VLOOKUP($B294&amp;"__wt",'Xtal_SegEnds_BW#'!$A:$Z,3,FALSE)</f>
        <v>29</v>
      </c>
      <c r="D294" s="1">
        <f>VLOOKUP($B294&amp;"__wt",'Xtal_SegEnds_BW#'!$A:$Z,4,FALSE)</f>
        <v>60</v>
      </c>
      <c r="E294" s="1">
        <f>VLOOKUP($B294&amp;"__wt",'Xtal_SegEnds_BW#'!$A:$Z,5,FALSE)</f>
        <v>48</v>
      </c>
      <c r="F294" s="1">
        <f>VLOOKUP($B294&amp;"__wt",'Xtal_SegEnds_BW#'!$A:$Z,6,FALSE)</f>
        <v>51</v>
      </c>
      <c r="G294" s="1">
        <v>37</v>
      </c>
      <c r="H294" s="1">
        <f>VLOOKUP($B294&amp;"__wt",'Xtal_SegEnds_BW#'!$A:$Z,8,FALSE)</f>
        <v>67</v>
      </c>
      <c r="I294" s="1">
        <f>VLOOKUP($B294&amp;"__wt",'Xtal_SegEnds_BW#'!$A:$Z,9,FALSE)</f>
        <v>49</v>
      </c>
      <c r="J294" s="1">
        <f>VLOOKUP($B294&amp;"__wt",'Xtal_SegEnds_BW#'!$A:$Z,10,FALSE)</f>
        <v>52</v>
      </c>
      <c r="K294" s="1">
        <v>18</v>
      </c>
      <c r="L294" s="1">
        <f>VLOOKUP($B294&amp;"__wt",'Xtal_SegEnds_BW#'!$A:$Z,12,FALSE)</f>
        <v>56</v>
      </c>
      <c r="M294" s="1">
        <f>VLOOKUP($B294&amp;"__wt",'Xtal_SegEnds_BW#'!$A:$Z,13,FALSE)</f>
        <v>50</v>
      </c>
      <c r="N294" s="1">
        <v>57</v>
      </c>
      <c r="O294" s="1">
        <v>39</v>
      </c>
      <c r="P294" s="1">
        <f>VLOOKUP($B294&amp;"__wt",'Xtal_SegEnds_BW#'!$A:$Z,16,FALSE)</f>
        <v>69</v>
      </c>
      <c r="Q294" s="1">
        <f>VLOOKUP($B294&amp;"__wt",'Xtal_SegEnds_BW#'!$A:$Z,17,FALSE)</f>
        <v>50</v>
      </c>
      <c r="R294" s="1">
        <f>VLOOKUP($B294&amp;"__wt",'Xtal_SegEnds_BW#'!$A:$Z,18,FALSE)</f>
        <v>52</v>
      </c>
      <c r="S294" s="1">
        <v>35</v>
      </c>
      <c r="T294" s="23">
        <f t="array" ref="T294">INDEX('ICL3'!$G$2:$G$31,MATCH(MIN(ABS(AF294-'ICL3'!$F$2:$F$31)),ABS(AF294-'ICL3'!$F$2:$F$31),0))</f>
        <v>75</v>
      </c>
      <c r="U294" s="1">
        <f t="array" ref="U294">INDEX('ICL3'!$H$2:$H$31,MATCH(MIN(ABS(AF294-'ICL3'!$F$2:$F$31)),ABS(AF294-'ICL3'!$F$2:$F$31),0))</f>
        <v>24</v>
      </c>
      <c r="V294" s="1">
        <v>61</v>
      </c>
      <c r="W294" s="1">
        <v>31</v>
      </c>
      <c r="X294" s="1">
        <f>VLOOKUP($B294&amp;"__wt",'Xtal_SegEnds_BW#'!$A:$Z,24,FALSE)</f>
        <v>56</v>
      </c>
      <c r="Y294" s="1">
        <f>VLOOKUP($B294&amp;"__wt",'Xtal_SegEnds_BW#'!$A:$Z,25,FALSE)</f>
        <v>47</v>
      </c>
      <c r="Z294" s="1">
        <f>VLOOKUP($B294&amp;"__wt",'Xtal_SegEnds_BW#'!$A:$Z,26,FALSE)</f>
        <v>58</v>
      </c>
      <c r="AA294" s="63" t="str">
        <f>VLOOKUP(A294,Classification!A:B,2,FALSE)</f>
        <v>A</v>
      </c>
      <c r="AB294" s="1">
        <f>VLOOKUP(A294,'NonXtal_SegEnds_Prot#'!A:AL,10,FALSE)-VLOOKUP(A294,'NonXtal_SegEnds_Prot#'!A:AL,7,FALSE)</f>
        <v>15</v>
      </c>
      <c r="AC294" s="1">
        <f>VLOOKUP(A294,'NonXtal_SegEnds_Prot#'!A:AL,13,FALSE)-VLOOKUP(A294,'NonXtal_SegEnds_Prot#'!A:AL,10,FALSE)</f>
        <v>20</v>
      </c>
      <c r="AD294" s="1">
        <f>VLOOKUP(A294,'NonXtal_SegEnds_Prot#'!A:AL,16,FALSE)-VLOOKUP(A294,'NonXtal_SegEnds_Prot#'!A:AL,10,FALSE)</f>
        <v>52</v>
      </c>
      <c r="AE294" s="1">
        <f>VLOOKUP(A294,'NonXtal_SegEnds_Prot#'!A:AL,28,FALSE)-VLOOKUP(A294,'NonXtal_SegEnds_Prot#'!A:AL,25,FALSE)</f>
        <v>22</v>
      </c>
      <c r="AF294" s="1">
        <f>VLOOKUP(A294,'NonXtal_SegEnds_Prot#'!A:AL,31,FALSE)-VLOOKUP(A294,'NonXtal_SegEnds_Prot#'!A:AL,28,FALSE)</f>
        <v>263</v>
      </c>
      <c r="AG294" s="1">
        <f>VLOOKUP(A294,'NonXtal_SegEnds_Prot#'!A:AL,34,FALSE)-VLOOKUP(A294,'NonXtal_SegEnds_Prot#'!A:AL,31,FALSE)</f>
        <v>35</v>
      </c>
    </row>
    <row r="295" spans="1:33" x14ac:dyDescent="0.2">
      <c r="A295" s="4" t="s">
        <v>1106</v>
      </c>
      <c r="B295" s="4" t="str">
        <f>VLOOKUP(A295,Xtal_Templ!A:B,2,FALSE)</f>
        <v>acm3_rat</v>
      </c>
      <c r="C295" s="5">
        <f>VLOOKUP($B295&amp;"__wt",'Xtal_SegEnds_BW#'!$A:$Z,3,FALSE)</f>
        <v>29</v>
      </c>
      <c r="D295" s="4">
        <f>VLOOKUP($B295&amp;"__wt",'Xtal_SegEnds_BW#'!$A:$Z,4,FALSE)</f>
        <v>60</v>
      </c>
      <c r="E295" s="4">
        <f>VLOOKUP($B295&amp;"__wt",'Xtal_SegEnds_BW#'!$A:$Z,5,FALSE)</f>
        <v>48</v>
      </c>
      <c r="F295" s="4">
        <f>VLOOKUP($B295&amp;"__wt",'Xtal_SegEnds_BW#'!$A:$Z,6,FALSE)</f>
        <v>51</v>
      </c>
      <c r="G295" s="4">
        <v>37</v>
      </c>
      <c r="H295" s="4">
        <f>VLOOKUP($B295&amp;"__wt",'Xtal_SegEnds_BW#'!$A:$Z,8,FALSE)</f>
        <v>67</v>
      </c>
      <c r="I295" s="4">
        <f>VLOOKUP($B295&amp;"__wt",'Xtal_SegEnds_BW#'!$A:$Z,9,FALSE)</f>
        <v>49</v>
      </c>
      <c r="J295" s="4">
        <f>VLOOKUP($B295&amp;"__wt",'Xtal_SegEnds_BW#'!$A:$Z,10,FALSE)</f>
        <v>52</v>
      </c>
      <c r="K295" s="4">
        <v>18</v>
      </c>
      <c r="L295" s="4">
        <f>VLOOKUP($B295&amp;"__wt",'Xtal_SegEnds_BW#'!$A:$Z,12,FALSE)</f>
        <v>56</v>
      </c>
      <c r="M295" s="4">
        <f>VLOOKUP($B295&amp;"__wt",'Xtal_SegEnds_BW#'!$A:$Z,13,FALSE)</f>
        <v>50</v>
      </c>
      <c r="N295" s="4">
        <v>57</v>
      </c>
      <c r="O295" s="4">
        <v>39</v>
      </c>
      <c r="P295" s="4">
        <f>VLOOKUP($B295&amp;"__wt",'Xtal_SegEnds_BW#'!$A:$Z,16,FALSE)</f>
        <v>69</v>
      </c>
      <c r="Q295" s="4">
        <f>VLOOKUP($B295&amp;"__wt",'Xtal_SegEnds_BW#'!$A:$Z,17,FALSE)</f>
        <v>50</v>
      </c>
      <c r="R295" s="4">
        <f>VLOOKUP($B295&amp;"__wt",'Xtal_SegEnds_BW#'!$A:$Z,18,FALSE)</f>
        <v>52</v>
      </c>
      <c r="S295" s="4">
        <v>35</v>
      </c>
      <c r="T295" s="21">
        <f t="array" ref="T295">INDEX('ICL3'!$G$2:$G$31,MATCH(MIN(ABS(AF295-'ICL3'!$F$2:$F$31)),ABS(AF295-'ICL3'!$F$2:$F$31),0))</f>
        <v>75</v>
      </c>
      <c r="U295" s="4">
        <f t="array" ref="U295">INDEX('ICL3'!$H$2:$H$31,MATCH(MIN(ABS(AF295-'ICL3'!$F$2:$F$31)),ABS(AF295-'ICL3'!$F$2:$F$31),0))</f>
        <v>24</v>
      </c>
      <c r="V295" s="4">
        <v>61</v>
      </c>
      <c r="W295" s="4">
        <v>31</v>
      </c>
      <c r="X295" s="4">
        <f>VLOOKUP($B295&amp;"__wt",'Xtal_SegEnds_BW#'!$A:$Z,24,FALSE)</f>
        <v>56</v>
      </c>
      <c r="Y295" s="4">
        <f>VLOOKUP($B295&amp;"__wt",'Xtal_SegEnds_BW#'!$A:$Z,25,FALSE)</f>
        <v>47</v>
      </c>
      <c r="Z295" s="4">
        <f>VLOOKUP($B295&amp;"__wt",'Xtal_SegEnds_BW#'!$A:$Z,26,FALSE)</f>
        <v>58</v>
      </c>
      <c r="AA295" s="63" t="str">
        <f>VLOOKUP(A295,Classification!A:B,2,FALSE)</f>
        <v>A</v>
      </c>
      <c r="AB295" s="4">
        <f>VLOOKUP(A295,'NonXtal_SegEnds_Prot#'!A:AL,10,FALSE)-VLOOKUP(A295,'NonXtal_SegEnds_Prot#'!A:AL,7,FALSE)</f>
        <v>15</v>
      </c>
      <c r="AC295" s="4">
        <f>VLOOKUP(A295,'NonXtal_SegEnds_Prot#'!A:AL,13,FALSE)-VLOOKUP(A295,'NonXtal_SegEnds_Prot#'!A:AL,10,FALSE)</f>
        <v>20</v>
      </c>
      <c r="AD295" s="4">
        <f>VLOOKUP(A295,'NonXtal_SegEnds_Prot#'!A:AL,16,FALSE)-VLOOKUP(A295,'NonXtal_SegEnds_Prot#'!A:AL,10,FALSE)</f>
        <v>52</v>
      </c>
      <c r="AE295" s="4">
        <f>VLOOKUP(A295,'NonXtal_SegEnds_Prot#'!A:AL,28,FALSE)-VLOOKUP(A295,'NonXtal_SegEnds_Prot#'!A:AL,25,FALSE)</f>
        <v>22</v>
      </c>
      <c r="AF295" s="4">
        <f>VLOOKUP(A295,'NonXtal_SegEnds_Prot#'!A:AL,31,FALSE)-VLOOKUP(A295,'NonXtal_SegEnds_Prot#'!A:AL,28,FALSE)</f>
        <v>263</v>
      </c>
      <c r="AG295" s="4">
        <f>VLOOKUP(A295,'NonXtal_SegEnds_Prot#'!A:AL,34,FALSE)-VLOOKUP(A295,'NonXtal_SegEnds_Prot#'!A:AL,31,FALSE)</f>
        <v>35</v>
      </c>
    </row>
    <row r="296" spans="1:33" s="91" customFormat="1" x14ac:dyDescent="0.2">
      <c r="A296" s="91" t="s">
        <v>595</v>
      </c>
      <c r="B296" s="91" t="str">
        <f>VLOOKUP(A296,Xtal_Templ!A:B,2,FALSE)</f>
        <v>crfr1_human</v>
      </c>
      <c r="C296" s="93">
        <f>VLOOKUP($B296&amp;"__wt",'Xtal_SegEnds_BW#'!$A:$Z,3,FALSE)</f>
        <v>19</v>
      </c>
      <c r="D296" s="91">
        <f>VLOOKUP($B296&amp;"__wt",'Xtal_SegEnds_BW#'!$A:$Z,4,FALSE)</f>
        <v>60</v>
      </c>
      <c r="E296" s="91">
        <f>VLOOKUP($B296&amp;"__wt",'Xtal_SegEnds_BW#'!$A:$Z,5,FALSE)</f>
        <v>48</v>
      </c>
      <c r="F296" s="91">
        <f>VLOOKUP($B296&amp;"__wt",'Xtal_SegEnds_BW#'!$A:$Z,6,FALSE)</f>
        <v>51</v>
      </c>
      <c r="G296" s="91">
        <v>37</v>
      </c>
      <c r="H296" s="91">
        <v>63</v>
      </c>
      <c r="I296" s="91" t="str">
        <f>VLOOKUP($B296&amp;"__wt",'Xtal_SegEnds_BW#'!$A:$Z,9,FALSE)</f>
        <v>-</v>
      </c>
      <c r="J296" s="91" t="str">
        <f>VLOOKUP($B296&amp;"__wt",'Xtal_SegEnds_BW#'!$A:$Z,10,FALSE)</f>
        <v>-</v>
      </c>
      <c r="K296" s="91">
        <v>23</v>
      </c>
      <c r="L296" s="91">
        <f>VLOOKUP($B296&amp;"__wt",'Xtal_SegEnds_BW#'!$A:$Z,12,FALSE)</f>
        <v>56</v>
      </c>
      <c r="M296" s="91" t="str">
        <f>VLOOKUP($B296&amp;"__wt",'Xtal_SegEnds_BW#'!$A:$Z,13,FALSE)</f>
        <v>-</v>
      </c>
      <c r="N296" s="91" t="str">
        <f>VLOOKUP($B296&amp;"__wt",'Xtal_SegEnds_BW#'!$A:$Z,14,FALSE)</f>
        <v>-</v>
      </c>
      <c r="O296" s="91">
        <f>VLOOKUP($B296&amp;"__wt",'Xtal_SegEnds_BW#'!$A:$Z,15,FALSE)</f>
        <v>40</v>
      </c>
      <c r="P296" s="91">
        <f>VLOOKUP($B296&amp;"__wt",'Xtal_SegEnds_BW#'!$A:$Z,16,FALSE)</f>
        <v>68</v>
      </c>
      <c r="Q296" s="91">
        <f>VLOOKUP($B296&amp;"__wt",'Xtal_SegEnds_BW#'!$A:$Z,17,FALSE)</f>
        <v>50</v>
      </c>
      <c r="R296" s="91">
        <f>VLOOKUP($B296&amp;"__wt",'Xtal_SegEnds_BW#'!$A:$Z,18,FALSE)</f>
        <v>52</v>
      </c>
      <c r="S296" s="91">
        <v>36</v>
      </c>
      <c r="T296" s="92">
        <f>VLOOKUP($B296&amp;"__wt",'Xtal_SegEnds_BW#'!$A:$Z,20,FALSE)</f>
        <v>69</v>
      </c>
      <c r="U296" s="91">
        <f>VLOOKUP($B296&amp;"__wt",'Xtal_SegEnds_BW#'!$A:$Z,21,FALSE)</f>
        <v>25</v>
      </c>
      <c r="V296" s="91">
        <f>VLOOKUP($B296&amp;"__wt",'Xtal_SegEnds_BW#'!$A:$Z,22,FALSE)</f>
        <v>53</v>
      </c>
      <c r="W296" s="91">
        <v>30</v>
      </c>
      <c r="X296" s="91">
        <f>VLOOKUP($B296&amp;"__wt",'Xtal_SegEnds_BW#'!$A:$Z,24,FALSE)</f>
        <v>56</v>
      </c>
      <c r="Y296" s="91">
        <f>VLOOKUP($B296&amp;"__wt",'Xtal_SegEnds_BW#'!$A:$Z,25,FALSE)</f>
        <v>47</v>
      </c>
      <c r="Z296" s="91">
        <f>VLOOKUP($B296&amp;"__wt",'Xtal_SegEnds_BW#'!$A:$Z,26,FALSE)</f>
        <v>72</v>
      </c>
      <c r="AA296" s="94" t="str">
        <f>VLOOKUP(A296,Classification!A:B,2,FALSE)</f>
        <v>B1</v>
      </c>
      <c r="AB296" s="91">
        <f>VLOOKUP(A296,'NonXtal_SegEnds_Prot#'!A:AL,10,FALSE)-VLOOKUP(A296,'NonXtal_SegEnds_Prot#'!A:AL,7,FALSE)</f>
        <v>15</v>
      </c>
      <c r="AC296" s="91" t="e">
        <f>VLOOKUP(A296,'NonXtal_SegEnds_Prot#'!A:AL,13,FALSE)-VLOOKUP(A296,'NonXtal_SegEnds_Prot#'!A:AL,10,FALSE)</f>
        <v>#VALUE!</v>
      </c>
      <c r="AD296" s="91">
        <f>VLOOKUP(A296,'NonXtal_SegEnds_Prot#'!A:AL,16,FALSE)-VLOOKUP(A296,'NonXtal_SegEnds_Prot#'!A:AL,10,FALSE)</f>
        <v>53</v>
      </c>
      <c r="AE296" s="91">
        <f>VLOOKUP(A296,'NonXtal_SegEnds_Prot#'!A:AL,28,FALSE)-VLOOKUP(A296,'NonXtal_SegEnds_Prot#'!A:AL,25,FALSE)</f>
        <v>19</v>
      </c>
      <c r="AF296" s="91">
        <f>VLOOKUP(A296,'NonXtal_SegEnds_Prot#'!A:AL,31,FALSE)-VLOOKUP(A296,'NonXtal_SegEnds_Prot#'!A:AL,28,FALSE)</f>
        <v>50</v>
      </c>
      <c r="AG296" s="91">
        <f>VLOOKUP(A296,'NonXtal_SegEnds_Prot#'!A:AL,34,FALSE)-VLOOKUP(A296,'NonXtal_SegEnds_Prot#'!A:AL,31,FALSE)</f>
        <v>30</v>
      </c>
    </row>
    <row r="297" spans="1:33" x14ac:dyDescent="0.2">
      <c r="A297" s="1" t="s">
        <v>596</v>
      </c>
      <c r="B297" s="1" t="str">
        <f>VLOOKUP(A297,Xtal_Templ!A:B,2,FALSE)</f>
        <v>crfr1_human</v>
      </c>
      <c r="C297" s="5">
        <f>VLOOKUP($B297&amp;"__wt",'Xtal_SegEnds_BW#'!$A:$Z,3,FALSE)</f>
        <v>19</v>
      </c>
      <c r="D297" s="1">
        <f>VLOOKUP($B297&amp;"__wt",'Xtal_SegEnds_BW#'!$A:$Z,4,FALSE)</f>
        <v>60</v>
      </c>
      <c r="E297" s="1">
        <f>VLOOKUP($B297&amp;"__wt",'Xtal_SegEnds_BW#'!$A:$Z,5,FALSE)</f>
        <v>48</v>
      </c>
      <c r="F297" s="1">
        <f>VLOOKUP($B297&amp;"__wt",'Xtal_SegEnds_BW#'!$A:$Z,6,FALSE)</f>
        <v>51</v>
      </c>
      <c r="G297" s="1">
        <v>37</v>
      </c>
      <c r="H297" s="1">
        <v>63</v>
      </c>
      <c r="I297" s="1" t="str">
        <f>VLOOKUP($B297&amp;"__wt",'Xtal_SegEnds_BW#'!$A:$Z,9,FALSE)</f>
        <v>-</v>
      </c>
      <c r="J297" s="1" t="str">
        <f>VLOOKUP($B297&amp;"__wt",'Xtal_SegEnds_BW#'!$A:$Z,10,FALSE)</f>
        <v>-</v>
      </c>
      <c r="K297" s="1">
        <v>23</v>
      </c>
      <c r="L297" s="1">
        <f>VLOOKUP($B297&amp;"__wt",'Xtal_SegEnds_BW#'!$A:$Z,12,FALSE)</f>
        <v>56</v>
      </c>
      <c r="M297" s="1" t="str">
        <f>VLOOKUP($B297&amp;"__wt",'Xtal_SegEnds_BW#'!$A:$Z,13,FALSE)</f>
        <v>-</v>
      </c>
      <c r="N297" s="1" t="str">
        <f>VLOOKUP($B297&amp;"__wt",'Xtal_SegEnds_BW#'!$A:$Z,14,FALSE)</f>
        <v>-</v>
      </c>
      <c r="O297" s="1">
        <f>VLOOKUP($B297&amp;"__wt",'Xtal_SegEnds_BW#'!$A:$Z,15,FALSE)</f>
        <v>40</v>
      </c>
      <c r="P297" s="1">
        <f>VLOOKUP($B297&amp;"__wt",'Xtal_SegEnds_BW#'!$A:$Z,16,FALSE)</f>
        <v>68</v>
      </c>
      <c r="Q297" s="1">
        <f>VLOOKUP($B297&amp;"__wt",'Xtal_SegEnds_BW#'!$A:$Z,17,FALSE)</f>
        <v>50</v>
      </c>
      <c r="R297" s="1">
        <f>VLOOKUP($B297&amp;"__wt",'Xtal_SegEnds_BW#'!$A:$Z,18,FALSE)</f>
        <v>52</v>
      </c>
      <c r="S297" s="1">
        <v>36</v>
      </c>
      <c r="T297" s="23">
        <f>VLOOKUP($B297&amp;"__wt",'Xtal_SegEnds_BW#'!$A:$Z,20,FALSE)</f>
        <v>69</v>
      </c>
      <c r="U297" s="1">
        <f>VLOOKUP($B297&amp;"__wt",'Xtal_SegEnds_BW#'!$A:$Z,21,FALSE)</f>
        <v>25</v>
      </c>
      <c r="V297" s="1">
        <f>VLOOKUP($B297&amp;"__wt",'Xtal_SegEnds_BW#'!$A:$Z,22,FALSE)</f>
        <v>53</v>
      </c>
      <c r="W297" s="1">
        <v>30</v>
      </c>
      <c r="X297" s="1">
        <f>VLOOKUP($B297&amp;"__wt",'Xtal_SegEnds_BW#'!$A:$Z,24,FALSE)</f>
        <v>56</v>
      </c>
      <c r="Y297" s="1">
        <f>VLOOKUP($B297&amp;"__wt",'Xtal_SegEnds_BW#'!$A:$Z,25,FALSE)</f>
        <v>47</v>
      </c>
      <c r="Z297" s="1">
        <f>VLOOKUP($B297&amp;"__wt",'Xtal_SegEnds_BW#'!$A:$Z,26,FALSE)</f>
        <v>72</v>
      </c>
      <c r="AA297" s="63" t="str">
        <f>VLOOKUP(A297,Classification!A:B,2,FALSE)</f>
        <v>B1</v>
      </c>
      <c r="AB297" s="1">
        <f>VLOOKUP(A297,'NonXtal_SegEnds_Prot#'!A:AL,10,FALSE)-VLOOKUP(A297,'NonXtal_SegEnds_Prot#'!A:AL,7,FALSE)</f>
        <v>15</v>
      </c>
      <c r="AC297" s="1" t="e">
        <f>VLOOKUP(A297,'NonXtal_SegEnds_Prot#'!A:AL,13,FALSE)-VLOOKUP(A297,'NonXtal_SegEnds_Prot#'!A:AL,10,FALSE)</f>
        <v>#VALUE!</v>
      </c>
      <c r="AD297" s="1">
        <f>VLOOKUP(A297,'NonXtal_SegEnds_Prot#'!A:AL,16,FALSE)-VLOOKUP(A297,'NonXtal_SegEnds_Prot#'!A:AL,10,FALSE)</f>
        <v>53</v>
      </c>
      <c r="AE297" s="1">
        <f>VLOOKUP(A297,'NonXtal_SegEnds_Prot#'!A:AL,28,FALSE)-VLOOKUP(A297,'NonXtal_SegEnds_Prot#'!A:AL,25,FALSE)</f>
        <v>19</v>
      </c>
      <c r="AF297" s="1">
        <f>VLOOKUP(A297,'NonXtal_SegEnds_Prot#'!A:AL,31,FALSE)-VLOOKUP(A297,'NonXtal_SegEnds_Prot#'!A:AL,28,FALSE)</f>
        <v>50</v>
      </c>
      <c r="AG297" s="1">
        <f>VLOOKUP(A297,'NonXtal_SegEnds_Prot#'!A:AL,34,FALSE)-VLOOKUP(A297,'NonXtal_SegEnds_Prot#'!A:AL,31,FALSE)</f>
        <v>30</v>
      </c>
    </row>
    <row r="298" spans="1:33" x14ac:dyDescent="0.2">
      <c r="A298" s="1" t="s">
        <v>213</v>
      </c>
      <c r="B298" s="1" t="str">
        <f>VLOOKUP(A298,Xtal_Templ!A:B,2,FALSE)</f>
        <v>crfr1_human</v>
      </c>
      <c r="C298" s="5">
        <f>VLOOKUP($B298&amp;"__wt",'Xtal_SegEnds_BW#'!$A:$Z,3,FALSE)</f>
        <v>19</v>
      </c>
      <c r="D298" s="1">
        <f>VLOOKUP($B298&amp;"__wt",'Xtal_SegEnds_BW#'!$A:$Z,4,FALSE)</f>
        <v>60</v>
      </c>
      <c r="E298" s="1">
        <f>VLOOKUP($B298&amp;"__wt",'Xtal_SegEnds_BW#'!$A:$Z,5,FALSE)</f>
        <v>48</v>
      </c>
      <c r="F298" s="1">
        <f>VLOOKUP($B298&amp;"__wt",'Xtal_SegEnds_BW#'!$A:$Z,6,FALSE)</f>
        <v>51</v>
      </c>
      <c r="G298" s="1">
        <v>37</v>
      </c>
      <c r="H298" s="1">
        <v>63</v>
      </c>
      <c r="I298" s="1" t="str">
        <f>VLOOKUP($B298&amp;"__wt",'Xtal_SegEnds_BW#'!$A:$Z,9,FALSE)</f>
        <v>-</v>
      </c>
      <c r="J298" s="1" t="str">
        <f>VLOOKUP($B298&amp;"__wt",'Xtal_SegEnds_BW#'!$A:$Z,10,FALSE)</f>
        <v>-</v>
      </c>
      <c r="K298" s="1">
        <v>23</v>
      </c>
      <c r="L298" s="1">
        <f>VLOOKUP($B298&amp;"__wt",'Xtal_SegEnds_BW#'!$A:$Z,12,FALSE)</f>
        <v>56</v>
      </c>
      <c r="M298" s="1" t="str">
        <f>VLOOKUP($B298&amp;"__wt",'Xtal_SegEnds_BW#'!$A:$Z,13,FALSE)</f>
        <v>-</v>
      </c>
      <c r="N298" s="1" t="str">
        <f>VLOOKUP($B298&amp;"__wt",'Xtal_SegEnds_BW#'!$A:$Z,14,FALSE)</f>
        <v>-</v>
      </c>
      <c r="O298" s="1">
        <f>VLOOKUP($B298&amp;"__wt",'Xtal_SegEnds_BW#'!$A:$Z,15,FALSE)</f>
        <v>40</v>
      </c>
      <c r="P298" s="1">
        <f>VLOOKUP($B298&amp;"__wt",'Xtal_SegEnds_BW#'!$A:$Z,16,FALSE)</f>
        <v>68</v>
      </c>
      <c r="Q298" s="1">
        <f>VLOOKUP($B298&amp;"__wt",'Xtal_SegEnds_BW#'!$A:$Z,17,FALSE)</f>
        <v>50</v>
      </c>
      <c r="R298" s="1">
        <f>VLOOKUP($B298&amp;"__wt",'Xtal_SegEnds_BW#'!$A:$Z,18,FALSE)</f>
        <v>52</v>
      </c>
      <c r="S298" s="1">
        <v>39</v>
      </c>
      <c r="T298" s="23">
        <f>VLOOKUP($B298&amp;"__wt",'Xtal_SegEnds_BW#'!$A:$Z,20,FALSE)</f>
        <v>69</v>
      </c>
      <c r="U298" s="1">
        <f>VLOOKUP($B298&amp;"__wt",'Xtal_SegEnds_BW#'!$A:$Z,21,FALSE)</f>
        <v>25</v>
      </c>
      <c r="V298" s="1">
        <f>VLOOKUP($B298&amp;"__wt",'Xtal_SegEnds_BW#'!$A:$Z,22,FALSE)</f>
        <v>53</v>
      </c>
      <c r="W298" s="1">
        <v>29</v>
      </c>
      <c r="X298" s="1">
        <f>VLOOKUP($B298&amp;"__wt",'Xtal_SegEnds_BW#'!$A:$Z,24,FALSE)</f>
        <v>56</v>
      </c>
      <c r="Y298" s="1">
        <f>VLOOKUP($B298&amp;"__wt",'Xtal_SegEnds_BW#'!$A:$Z,25,FALSE)</f>
        <v>47</v>
      </c>
      <c r="Z298" s="1">
        <f>VLOOKUP($B298&amp;"__wt",'Xtal_SegEnds_BW#'!$A:$Z,26,FALSE)</f>
        <v>72</v>
      </c>
      <c r="AA298" s="63" t="str">
        <f>VLOOKUP(A298,Classification!A:B,2,FALSE)</f>
        <v>B1</v>
      </c>
      <c r="AB298" s="1">
        <f>VLOOKUP(A298,'NonXtal_SegEnds_Prot#'!A:AL,10,FALSE)-VLOOKUP(A298,'NonXtal_SegEnds_Prot#'!A:AL,7,FALSE)</f>
        <v>15</v>
      </c>
      <c r="AC298" s="1" t="e">
        <f>VLOOKUP(A298,'NonXtal_SegEnds_Prot#'!A:AL,13,FALSE)-VLOOKUP(A298,'NonXtal_SegEnds_Prot#'!A:AL,10,FALSE)</f>
        <v>#VALUE!</v>
      </c>
      <c r="AD298" s="1">
        <f>VLOOKUP(A298,'NonXtal_SegEnds_Prot#'!A:AL,16,FALSE)-VLOOKUP(A298,'NonXtal_SegEnds_Prot#'!A:AL,10,FALSE)</f>
        <v>51</v>
      </c>
      <c r="AE298" s="1">
        <f>VLOOKUP(A298,'NonXtal_SegEnds_Prot#'!A:AL,28,FALSE)-VLOOKUP(A298,'NonXtal_SegEnds_Prot#'!A:AL,25,FALSE)</f>
        <v>21</v>
      </c>
      <c r="AF298" s="1">
        <f>VLOOKUP(A298,'NonXtal_SegEnds_Prot#'!A:AL,31,FALSE)-VLOOKUP(A298,'NonXtal_SegEnds_Prot#'!A:AL,28,FALSE)</f>
        <v>50</v>
      </c>
      <c r="AG298" s="1">
        <f>VLOOKUP(A298,'NonXtal_SegEnds_Prot#'!A:AL,34,FALSE)-VLOOKUP(A298,'NonXtal_SegEnds_Prot#'!A:AL,31,FALSE)</f>
        <v>31</v>
      </c>
    </row>
    <row r="299" spans="1:33" x14ac:dyDescent="0.2">
      <c r="A299" s="1" t="s">
        <v>597</v>
      </c>
      <c r="B299" s="1" t="str">
        <f>VLOOKUP(A299,Xtal_Templ!A:B,2,FALSE)</f>
        <v>crfr1_human</v>
      </c>
      <c r="C299" s="5">
        <f>VLOOKUP($B299&amp;"__wt",'Xtal_SegEnds_BW#'!$A:$Z,3,FALSE)</f>
        <v>19</v>
      </c>
      <c r="D299" s="1">
        <f>VLOOKUP($B299&amp;"__wt",'Xtal_SegEnds_BW#'!$A:$Z,4,FALSE)</f>
        <v>60</v>
      </c>
      <c r="E299" s="1">
        <f>VLOOKUP($B299&amp;"__wt",'Xtal_SegEnds_BW#'!$A:$Z,5,FALSE)</f>
        <v>48</v>
      </c>
      <c r="F299" s="1">
        <f>VLOOKUP($B299&amp;"__wt",'Xtal_SegEnds_BW#'!$A:$Z,6,FALSE)</f>
        <v>51</v>
      </c>
      <c r="G299" s="1">
        <v>37</v>
      </c>
      <c r="H299" s="1">
        <v>63</v>
      </c>
      <c r="I299" s="1" t="str">
        <f>VLOOKUP($B299&amp;"__wt",'Xtal_SegEnds_BW#'!$A:$Z,9,FALSE)</f>
        <v>-</v>
      </c>
      <c r="J299" s="1" t="str">
        <f>VLOOKUP($B299&amp;"__wt",'Xtal_SegEnds_BW#'!$A:$Z,10,FALSE)</f>
        <v>-</v>
      </c>
      <c r="K299" s="1">
        <v>23</v>
      </c>
      <c r="L299" s="1">
        <f>VLOOKUP($B299&amp;"__wt",'Xtal_SegEnds_BW#'!$A:$Z,12,FALSE)</f>
        <v>56</v>
      </c>
      <c r="M299" s="1" t="str">
        <f>VLOOKUP($B299&amp;"__wt",'Xtal_SegEnds_BW#'!$A:$Z,13,FALSE)</f>
        <v>-</v>
      </c>
      <c r="N299" s="1" t="str">
        <f>VLOOKUP($B299&amp;"__wt",'Xtal_SegEnds_BW#'!$A:$Z,14,FALSE)</f>
        <v>-</v>
      </c>
      <c r="O299" s="1">
        <f>VLOOKUP($B299&amp;"__wt",'Xtal_SegEnds_BW#'!$A:$Z,15,FALSE)</f>
        <v>40</v>
      </c>
      <c r="P299" s="1">
        <f>VLOOKUP($B299&amp;"__wt",'Xtal_SegEnds_BW#'!$A:$Z,16,FALSE)</f>
        <v>68</v>
      </c>
      <c r="Q299" s="1">
        <f>VLOOKUP($B299&amp;"__wt",'Xtal_SegEnds_BW#'!$A:$Z,17,FALSE)</f>
        <v>50</v>
      </c>
      <c r="R299" s="1">
        <f>VLOOKUP($B299&amp;"__wt",'Xtal_SegEnds_BW#'!$A:$Z,18,FALSE)</f>
        <v>52</v>
      </c>
      <c r="S299" s="1">
        <v>39</v>
      </c>
      <c r="T299" s="23">
        <f>VLOOKUP($B299&amp;"__wt",'Xtal_SegEnds_BW#'!$A:$Z,20,FALSE)</f>
        <v>69</v>
      </c>
      <c r="U299" s="1">
        <f>VLOOKUP($B299&amp;"__wt",'Xtal_SegEnds_BW#'!$A:$Z,21,FALSE)</f>
        <v>25</v>
      </c>
      <c r="V299" s="1">
        <f>VLOOKUP($B299&amp;"__wt",'Xtal_SegEnds_BW#'!$A:$Z,22,FALSE)</f>
        <v>53</v>
      </c>
      <c r="W299" s="1">
        <v>29</v>
      </c>
      <c r="X299" s="1">
        <f>VLOOKUP($B299&amp;"__wt",'Xtal_SegEnds_BW#'!$A:$Z,24,FALSE)</f>
        <v>56</v>
      </c>
      <c r="Y299" s="1">
        <f>VLOOKUP($B299&amp;"__wt",'Xtal_SegEnds_BW#'!$A:$Z,25,FALSE)</f>
        <v>47</v>
      </c>
      <c r="Z299" s="1">
        <f>VLOOKUP($B299&amp;"__wt",'Xtal_SegEnds_BW#'!$A:$Z,26,FALSE)</f>
        <v>72</v>
      </c>
      <c r="AA299" s="63" t="str">
        <f>VLOOKUP(A299,Classification!A:B,2,FALSE)</f>
        <v>B1</v>
      </c>
      <c r="AB299" s="1">
        <f>VLOOKUP(A299,'NonXtal_SegEnds_Prot#'!A:AL,10,FALSE)-VLOOKUP(A299,'NonXtal_SegEnds_Prot#'!A:AL,7,FALSE)</f>
        <v>15</v>
      </c>
      <c r="AC299" s="1" t="e">
        <f>VLOOKUP(A299,'NonXtal_SegEnds_Prot#'!A:AL,13,FALSE)-VLOOKUP(A299,'NonXtal_SegEnds_Prot#'!A:AL,10,FALSE)</f>
        <v>#VALUE!</v>
      </c>
      <c r="AD299" s="1">
        <f>VLOOKUP(A299,'NonXtal_SegEnds_Prot#'!A:AL,16,FALSE)-VLOOKUP(A299,'NonXtal_SegEnds_Prot#'!A:AL,10,FALSE)</f>
        <v>50</v>
      </c>
      <c r="AE299" s="1">
        <f>VLOOKUP(A299,'NonXtal_SegEnds_Prot#'!A:AL,28,FALSE)-VLOOKUP(A299,'NonXtal_SegEnds_Prot#'!A:AL,25,FALSE)</f>
        <v>21</v>
      </c>
      <c r="AF299" s="1">
        <f>VLOOKUP(A299,'NonXtal_SegEnds_Prot#'!A:AL,31,FALSE)-VLOOKUP(A299,'NonXtal_SegEnds_Prot#'!A:AL,28,FALSE)</f>
        <v>50</v>
      </c>
      <c r="AG299" s="1">
        <f>VLOOKUP(A299,'NonXtal_SegEnds_Prot#'!A:AL,34,FALSE)-VLOOKUP(A299,'NonXtal_SegEnds_Prot#'!A:AL,31,FALSE)</f>
        <v>31</v>
      </c>
    </row>
    <row r="300" spans="1:33" x14ac:dyDescent="0.2">
      <c r="A300" s="1" t="s">
        <v>599</v>
      </c>
      <c r="B300" s="1" t="str">
        <f>VLOOKUP(A300,Xtal_Templ!A:B,2,FALSE)</f>
        <v>glr_human</v>
      </c>
      <c r="C300" s="5">
        <f>VLOOKUP($B300&amp;"__wt",'Xtal_SegEnds_BW#'!$A:$Z,3,FALSE)</f>
        <v>19</v>
      </c>
      <c r="D300" s="1">
        <f>VLOOKUP($B300&amp;"__wt",'Xtal_SegEnds_BW#'!$A:$Z,4,FALSE)</f>
        <v>60</v>
      </c>
      <c r="E300" s="1">
        <f>VLOOKUP($B300&amp;"__wt",'Xtal_SegEnds_BW#'!$A:$Z,5,FALSE)</f>
        <v>48</v>
      </c>
      <c r="F300" s="1">
        <f>VLOOKUP($B300&amp;"__wt",'Xtal_SegEnds_BW#'!$A:$Z,6,FALSE)</f>
        <v>51</v>
      </c>
      <c r="G300" s="1">
        <v>37</v>
      </c>
      <c r="H300" s="1">
        <v>65</v>
      </c>
      <c r="I300" s="1" t="str">
        <f>VLOOKUP($B300&amp;"__wt",'Xtal_SegEnds_BW#'!$A:$Z,9,FALSE)</f>
        <v>-</v>
      </c>
      <c r="J300" s="1" t="str">
        <f>VLOOKUP($B300&amp;"__wt",'Xtal_SegEnds_BW#'!$A:$Z,10,FALSE)</f>
        <v>-</v>
      </c>
      <c r="K300" s="1">
        <v>18</v>
      </c>
      <c r="L300" s="1">
        <f>VLOOKUP($B300&amp;"__wt",'Xtal_SegEnds_BW#'!$A:$Z,12,FALSE)</f>
        <v>56</v>
      </c>
      <c r="M300" s="1" t="str">
        <f>VLOOKUP($B300&amp;"__wt",'Xtal_SegEnds_BW#'!$A:$Z,13,FALSE)</f>
        <v>-</v>
      </c>
      <c r="N300" s="1" t="str">
        <f>VLOOKUP($B300&amp;"__wt",'Xtal_SegEnds_BW#'!$A:$Z,14,FALSE)</f>
        <v>-</v>
      </c>
      <c r="O300" s="1">
        <f>VLOOKUP($B300&amp;"__wt",'Xtal_SegEnds_BW#'!$A:$Z,15,FALSE)</f>
        <v>40</v>
      </c>
      <c r="P300" s="1">
        <f>VLOOKUP($B300&amp;"__wt",'Xtal_SegEnds_BW#'!$A:$Z,16,FALSE)</f>
        <v>68</v>
      </c>
      <c r="Q300" s="1">
        <f>VLOOKUP($B300&amp;"__wt",'Xtal_SegEnds_BW#'!$A:$Z,17,FALSE)</f>
        <v>50</v>
      </c>
      <c r="R300" s="1">
        <f>VLOOKUP($B300&amp;"__wt",'Xtal_SegEnds_BW#'!$A:$Z,18,FALSE)</f>
        <v>52</v>
      </c>
      <c r="S300" s="1">
        <v>36</v>
      </c>
      <c r="T300" s="23">
        <f>VLOOKUP($B300&amp;"__wt",'Xtal_SegEnds_BW#'!$A:$Z,20,FALSE)</f>
        <v>71</v>
      </c>
      <c r="U300" s="1">
        <f>VLOOKUP($B300&amp;"__wt",'Xtal_SegEnds_BW#'!$A:$Z,21,FALSE)</f>
        <v>29</v>
      </c>
      <c r="V300" s="1">
        <f>VLOOKUP($B300&amp;"__wt",'Xtal_SegEnds_BW#'!$A:$Z,22,FALSE)</f>
        <v>53</v>
      </c>
      <c r="W300" s="1">
        <v>27</v>
      </c>
      <c r="X300" s="1">
        <f>VLOOKUP($B300&amp;"__wt",'Xtal_SegEnds_BW#'!$A:$Z,24,FALSE)</f>
        <v>56</v>
      </c>
      <c r="Y300" s="1">
        <f>VLOOKUP($B300&amp;"__wt",'Xtal_SegEnds_BW#'!$A:$Z,25,FALSE)</f>
        <v>47</v>
      </c>
      <c r="Z300" s="1">
        <f>VLOOKUP($B300&amp;"__wt",'Xtal_SegEnds_BW#'!$A:$Z,26,FALSE)</f>
        <v>72</v>
      </c>
      <c r="AA300" s="63" t="str">
        <f>VLOOKUP(A300,Classification!A:B,2,FALSE)</f>
        <v>B1</v>
      </c>
      <c r="AB300" s="1">
        <f>VLOOKUP(A300,'NonXtal_SegEnds_Prot#'!A:AL,10,FALSE)-VLOOKUP(A300,'NonXtal_SegEnds_Prot#'!A:AL,7,FALSE)</f>
        <v>15</v>
      </c>
      <c r="AC300" s="1" t="e">
        <f>VLOOKUP(A300,'NonXtal_SegEnds_Prot#'!A:AL,13,FALSE)-VLOOKUP(A300,'NonXtal_SegEnds_Prot#'!A:AL,10,FALSE)</f>
        <v>#VALUE!</v>
      </c>
      <c r="AD300" s="1">
        <f>VLOOKUP(A300,'NonXtal_SegEnds_Prot#'!A:AL,16,FALSE)-VLOOKUP(A300,'NonXtal_SegEnds_Prot#'!A:AL,10,FALSE)</f>
        <v>61</v>
      </c>
      <c r="AE300" s="1">
        <f>VLOOKUP(A300,'NonXtal_SegEnds_Prot#'!A:AL,28,FALSE)-VLOOKUP(A300,'NonXtal_SegEnds_Prot#'!A:AL,25,FALSE)</f>
        <v>20</v>
      </c>
      <c r="AF300" s="1">
        <f>VLOOKUP(A300,'NonXtal_SegEnds_Prot#'!A:AL,31,FALSE)-VLOOKUP(A300,'NonXtal_SegEnds_Prot#'!A:AL,28,FALSE)</f>
        <v>50</v>
      </c>
      <c r="AG300" s="1">
        <f>VLOOKUP(A300,'NonXtal_SegEnds_Prot#'!A:AL,34,FALSE)-VLOOKUP(A300,'NonXtal_SegEnds_Prot#'!A:AL,31,FALSE)</f>
        <v>33</v>
      </c>
    </row>
    <row r="301" spans="1:33" x14ac:dyDescent="0.2">
      <c r="A301" s="1" t="s">
        <v>600</v>
      </c>
      <c r="B301" s="1" t="str">
        <f>VLOOKUP(A301,Xtal_Templ!A:B,2,FALSE)</f>
        <v>glr_human</v>
      </c>
      <c r="C301" s="5">
        <f>VLOOKUP($B301&amp;"__wt",'Xtal_SegEnds_BW#'!$A:$Z,3,FALSE)</f>
        <v>19</v>
      </c>
      <c r="D301" s="1">
        <f>VLOOKUP($B301&amp;"__wt",'Xtal_SegEnds_BW#'!$A:$Z,4,FALSE)</f>
        <v>60</v>
      </c>
      <c r="E301" s="1">
        <f>VLOOKUP($B301&amp;"__wt",'Xtal_SegEnds_BW#'!$A:$Z,5,FALSE)</f>
        <v>48</v>
      </c>
      <c r="F301" s="1">
        <f>VLOOKUP($B301&amp;"__wt",'Xtal_SegEnds_BW#'!$A:$Z,6,FALSE)</f>
        <v>51</v>
      </c>
      <c r="G301" s="1">
        <v>37</v>
      </c>
      <c r="H301" s="1">
        <v>65</v>
      </c>
      <c r="I301" s="1" t="str">
        <f>VLOOKUP($B301&amp;"__wt",'Xtal_SegEnds_BW#'!$A:$Z,9,FALSE)</f>
        <v>-</v>
      </c>
      <c r="J301" s="1" t="str">
        <f>VLOOKUP($B301&amp;"__wt",'Xtal_SegEnds_BW#'!$A:$Z,10,FALSE)</f>
        <v>-</v>
      </c>
      <c r="K301" s="1">
        <v>18</v>
      </c>
      <c r="L301" s="1">
        <f>VLOOKUP($B301&amp;"__wt",'Xtal_SegEnds_BW#'!$A:$Z,12,FALSE)</f>
        <v>56</v>
      </c>
      <c r="M301" s="1" t="str">
        <f>VLOOKUP($B301&amp;"__wt",'Xtal_SegEnds_BW#'!$A:$Z,13,FALSE)</f>
        <v>-</v>
      </c>
      <c r="N301" s="1" t="str">
        <f>VLOOKUP($B301&amp;"__wt",'Xtal_SegEnds_BW#'!$A:$Z,14,FALSE)</f>
        <v>-</v>
      </c>
      <c r="O301" s="1">
        <f>VLOOKUP($B301&amp;"__wt",'Xtal_SegEnds_BW#'!$A:$Z,15,FALSE)</f>
        <v>40</v>
      </c>
      <c r="P301" s="1">
        <f>VLOOKUP($B301&amp;"__wt",'Xtal_SegEnds_BW#'!$A:$Z,16,FALSE)</f>
        <v>68</v>
      </c>
      <c r="Q301" s="1">
        <f>VLOOKUP($B301&amp;"__wt",'Xtal_SegEnds_BW#'!$A:$Z,17,FALSE)</f>
        <v>50</v>
      </c>
      <c r="R301" s="1">
        <f>VLOOKUP($B301&amp;"__wt",'Xtal_SegEnds_BW#'!$A:$Z,18,FALSE)</f>
        <v>52</v>
      </c>
      <c r="S301" s="1">
        <v>36</v>
      </c>
      <c r="T301" s="23">
        <f>VLOOKUP($B301&amp;"__wt",'Xtal_SegEnds_BW#'!$A:$Z,20,FALSE)</f>
        <v>71</v>
      </c>
      <c r="U301" s="1">
        <f>VLOOKUP($B301&amp;"__wt",'Xtal_SegEnds_BW#'!$A:$Z,21,FALSE)</f>
        <v>29</v>
      </c>
      <c r="V301" s="1">
        <f>VLOOKUP($B301&amp;"__wt",'Xtal_SegEnds_BW#'!$A:$Z,22,FALSE)</f>
        <v>53</v>
      </c>
      <c r="W301" s="1">
        <v>27</v>
      </c>
      <c r="X301" s="1">
        <f>VLOOKUP($B301&amp;"__wt",'Xtal_SegEnds_BW#'!$A:$Z,24,FALSE)</f>
        <v>56</v>
      </c>
      <c r="Y301" s="1">
        <f>VLOOKUP($B301&amp;"__wt",'Xtal_SegEnds_BW#'!$A:$Z,25,FALSE)</f>
        <v>47</v>
      </c>
      <c r="Z301" s="1">
        <f>VLOOKUP($B301&amp;"__wt",'Xtal_SegEnds_BW#'!$A:$Z,26,FALSE)</f>
        <v>72</v>
      </c>
      <c r="AA301" s="63" t="str">
        <f>VLOOKUP(A301,Classification!A:B,2,FALSE)</f>
        <v>B1</v>
      </c>
      <c r="AB301" s="1">
        <f>VLOOKUP(A301,'NonXtal_SegEnds_Prot#'!A:AL,10,FALSE)-VLOOKUP(A301,'NonXtal_SegEnds_Prot#'!A:AL,7,FALSE)</f>
        <v>15</v>
      </c>
      <c r="AC301" s="1" t="e">
        <f>VLOOKUP(A301,'NonXtal_SegEnds_Prot#'!A:AL,13,FALSE)-VLOOKUP(A301,'NonXtal_SegEnds_Prot#'!A:AL,10,FALSE)</f>
        <v>#VALUE!</v>
      </c>
      <c r="AD301" s="1">
        <f>VLOOKUP(A301,'NonXtal_SegEnds_Prot#'!A:AL,16,FALSE)-VLOOKUP(A301,'NonXtal_SegEnds_Prot#'!A:AL,10,FALSE)</f>
        <v>64</v>
      </c>
      <c r="AE301" s="1">
        <f>VLOOKUP(A301,'NonXtal_SegEnds_Prot#'!A:AL,28,FALSE)-VLOOKUP(A301,'NonXtal_SegEnds_Prot#'!A:AL,25,FALSE)</f>
        <v>20</v>
      </c>
      <c r="AF301" s="1">
        <f>VLOOKUP(A301,'NonXtal_SegEnds_Prot#'!A:AL,31,FALSE)-VLOOKUP(A301,'NonXtal_SegEnds_Prot#'!A:AL,28,FALSE)</f>
        <v>50</v>
      </c>
      <c r="AG301" s="1">
        <f>VLOOKUP(A301,'NonXtal_SegEnds_Prot#'!A:AL,34,FALSE)-VLOOKUP(A301,'NonXtal_SegEnds_Prot#'!A:AL,31,FALSE)</f>
        <v>33</v>
      </c>
    </row>
    <row r="302" spans="1:33" x14ac:dyDescent="0.2">
      <c r="A302" s="1" t="s">
        <v>601</v>
      </c>
      <c r="B302" s="1" t="str">
        <f>VLOOKUP(A302,Xtal_Templ!A:B,2,FALSE)</f>
        <v>glr_human</v>
      </c>
      <c r="C302" s="5">
        <f>VLOOKUP($B302&amp;"__wt",'Xtal_SegEnds_BW#'!$A:$Z,3,FALSE)</f>
        <v>19</v>
      </c>
      <c r="D302" s="1">
        <f>VLOOKUP($B302&amp;"__wt",'Xtal_SegEnds_BW#'!$A:$Z,4,FALSE)</f>
        <v>60</v>
      </c>
      <c r="E302" s="1">
        <f>VLOOKUP($B302&amp;"__wt",'Xtal_SegEnds_BW#'!$A:$Z,5,FALSE)</f>
        <v>48</v>
      </c>
      <c r="F302" s="1">
        <f>VLOOKUP($B302&amp;"__wt",'Xtal_SegEnds_BW#'!$A:$Z,6,FALSE)</f>
        <v>51</v>
      </c>
      <c r="G302" s="1">
        <v>37</v>
      </c>
      <c r="H302" s="1">
        <v>65</v>
      </c>
      <c r="I302" s="1" t="str">
        <f>VLOOKUP($B302&amp;"__wt",'Xtal_SegEnds_BW#'!$A:$Z,9,FALSE)</f>
        <v>-</v>
      </c>
      <c r="J302" s="1" t="str">
        <f>VLOOKUP($B302&amp;"__wt",'Xtal_SegEnds_BW#'!$A:$Z,10,FALSE)</f>
        <v>-</v>
      </c>
      <c r="K302" s="1">
        <v>18</v>
      </c>
      <c r="L302" s="1">
        <f>VLOOKUP($B302&amp;"__wt",'Xtal_SegEnds_BW#'!$A:$Z,12,FALSE)</f>
        <v>56</v>
      </c>
      <c r="M302" s="1" t="str">
        <f>VLOOKUP($B302&amp;"__wt",'Xtal_SegEnds_BW#'!$A:$Z,13,FALSE)</f>
        <v>-</v>
      </c>
      <c r="N302" s="1" t="str">
        <f>VLOOKUP($B302&amp;"__wt",'Xtal_SegEnds_BW#'!$A:$Z,14,FALSE)</f>
        <v>-</v>
      </c>
      <c r="O302" s="1">
        <f>VLOOKUP($B302&amp;"__wt",'Xtal_SegEnds_BW#'!$A:$Z,15,FALSE)</f>
        <v>40</v>
      </c>
      <c r="P302" s="1">
        <f>VLOOKUP($B302&amp;"__wt",'Xtal_SegEnds_BW#'!$A:$Z,16,FALSE)</f>
        <v>68</v>
      </c>
      <c r="Q302" s="1">
        <f>VLOOKUP($B302&amp;"__wt",'Xtal_SegEnds_BW#'!$A:$Z,17,FALSE)</f>
        <v>50</v>
      </c>
      <c r="R302" s="1">
        <f>VLOOKUP($B302&amp;"__wt",'Xtal_SegEnds_BW#'!$A:$Z,18,FALSE)</f>
        <v>52</v>
      </c>
      <c r="S302" s="1">
        <v>36</v>
      </c>
      <c r="T302" s="23">
        <f>VLOOKUP($B302&amp;"__wt",'Xtal_SegEnds_BW#'!$A:$Z,20,FALSE)</f>
        <v>71</v>
      </c>
      <c r="U302" s="1">
        <f>VLOOKUP($B302&amp;"__wt",'Xtal_SegEnds_BW#'!$A:$Z,21,FALSE)</f>
        <v>29</v>
      </c>
      <c r="V302" s="1">
        <f>VLOOKUP($B302&amp;"__wt",'Xtal_SegEnds_BW#'!$A:$Z,22,FALSE)</f>
        <v>53</v>
      </c>
      <c r="W302" s="1">
        <v>27</v>
      </c>
      <c r="X302" s="1">
        <f>VLOOKUP($B302&amp;"__wt",'Xtal_SegEnds_BW#'!$A:$Z,24,FALSE)</f>
        <v>56</v>
      </c>
      <c r="Y302" s="1">
        <f>VLOOKUP($B302&amp;"__wt",'Xtal_SegEnds_BW#'!$A:$Z,25,FALSE)</f>
        <v>47</v>
      </c>
      <c r="Z302" s="1">
        <f>VLOOKUP($B302&amp;"__wt",'Xtal_SegEnds_BW#'!$A:$Z,26,FALSE)</f>
        <v>72</v>
      </c>
      <c r="AA302" s="63" t="str">
        <f>VLOOKUP(A302,Classification!A:B,2,FALSE)</f>
        <v>B1</v>
      </c>
      <c r="AB302" s="1">
        <f>VLOOKUP(A302,'NonXtal_SegEnds_Prot#'!A:AL,10,FALSE)-VLOOKUP(A302,'NonXtal_SegEnds_Prot#'!A:AL,7,FALSE)</f>
        <v>15</v>
      </c>
      <c r="AC302" s="1" t="e">
        <f>VLOOKUP(A302,'NonXtal_SegEnds_Prot#'!A:AL,13,FALSE)-VLOOKUP(A302,'NonXtal_SegEnds_Prot#'!A:AL,10,FALSE)</f>
        <v>#VALUE!</v>
      </c>
      <c r="AD302" s="1">
        <f>VLOOKUP(A302,'NonXtal_SegEnds_Prot#'!A:AL,16,FALSE)-VLOOKUP(A302,'NonXtal_SegEnds_Prot#'!A:AL,10,FALSE)</f>
        <v>64</v>
      </c>
      <c r="AE302" s="1">
        <f>VLOOKUP(A302,'NonXtal_SegEnds_Prot#'!A:AL,28,FALSE)-VLOOKUP(A302,'NonXtal_SegEnds_Prot#'!A:AL,25,FALSE)</f>
        <v>20</v>
      </c>
      <c r="AF302" s="1">
        <f>VLOOKUP(A302,'NonXtal_SegEnds_Prot#'!A:AL,31,FALSE)-VLOOKUP(A302,'NonXtal_SegEnds_Prot#'!A:AL,28,FALSE)</f>
        <v>50</v>
      </c>
      <c r="AG302" s="1">
        <f>VLOOKUP(A302,'NonXtal_SegEnds_Prot#'!A:AL,34,FALSE)-VLOOKUP(A302,'NonXtal_SegEnds_Prot#'!A:AL,31,FALSE)</f>
        <v>33</v>
      </c>
    </row>
    <row r="303" spans="1:33" x14ac:dyDescent="0.2">
      <c r="A303" s="1" t="s">
        <v>206</v>
      </c>
      <c r="B303" s="1" t="str">
        <f>VLOOKUP(A303,Xtal_Templ!A:B,2,FALSE)</f>
        <v>glr_human</v>
      </c>
      <c r="C303" s="5">
        <f>VLOOKUP($B303&amp;"__wt",'Xtal_SegEnds_BW#'!$A:$Z,3,FALSE)</f>
        <v>19</v>
      </c>
      <c r="D303" s="1">
        <f>VLOOKUP($B303&amp;"__wt",'Xtal_SegEnds_BW#'!$A:$Z,4,FALSE)</f>
        <v>60</v>
      </c>
      <c r="E303" s="1">
        <f>VLOOKUP($B303&amp;"__wt",'Xtal_SegEnds_BW#'!$A:$Z,5,FALSE)</f>
        <v>48</v>
      </c>
      <c r="F303" s="1">
        <f>VLOOKUP($B303&amp;"__wt",'Xtal_SegEnds_BW#'!$A:$Z,6,FALSE)</f>
        <v>51</v>
      </c>
      <c r="G303" s="1">
        <v>37</v>
      </c>
      <c r="H303" s="1">
        <v>65</v>
      </c>
      <c r="I303" s="1" t="str">
        <f>VLOOKUP($B303&amp;"__wt",'Xtal_SegEnds_BW#'!$A:$Z,9,FALSE)</f>
        <v>-</v>
      </c>
      <c r="J303" s="1" t="str">
        <f>VLOOKUP($B303&amp;"__wt",'Xtal_SegEnds_BW#'!$A:$Z,10,FALSE)</f>
        <v>-</v>
      </c>
      <c r="K303" s="1">
        <v>18</v>
      </c>
      <c r="L303" s="1">
        <f>VLOOKUP($B303&amp;"__wt",'Xtal_SegEnds_BW#'!$A:$Z,12,FALSE)</f>
        <v>56</v>
      </c>
      <c r="M303" s="1" t="str">
        <f>VLOOKUP($B303&amp;"__wt",'Xtal_SegEnds_BW#'!$A:$Z,13,FALSE)</f>
        <v>-</v>
      </c>
      <c r="N303" s="1" t="str">
        <f>VLOOKUP($B303&amp;"__wt",'Xtal_SegEnds_BW#'!$A:$Z,14,FALSE)</f>
        <v>-</v>
      </c>
      <c r="O303" s="1">
        <f>VLOOKUP($B303&amp;"__wt",'Xtal_SegEnds_BW#'!$A:$Z,15,FALSE)</f>
        <v>40</v>
      </c>
      <c r="P303" s="1">
        <f>VLOOKUP($B303&amp;"__wt",'Xtal_SegEnds_BW#'!$A:$Z,16,FALSE)</f>
        <v>68</v>
      </c>
      <c r="Q303" s="1">
        <f>VLOOKUP($B303&amp;"__wt",'Xtal_SegEnds_BW#'!$A:$Z,17,FALSE)</f>
        <v>50</v>
      </c>
      <c r="R303" s="1">
        <f>VLOOKUP($B303&amp;"__wt",'Xtal_SegEnds_BW#'!$A:$Z,18,FALSE)</f>
        <v>52</v>
      </c>
      <c r="S303" s="1">
        <v>36</v>
      </c>
      <c r="T303" s="23">
        <f>VLOOKUP($B303&amp;"__wt",'Xtal_SegEnds_BW#'!$A:$Z,20,FALSE)</f>
        <v>71</v>
      </c>
      <c r="U303" s="1">
        <f>VLOOKUP($B303&amp;"__wt",'Xtal_SegEnds_BW#'!$A:$Z,21,FALSE)</f>
        <v>29</v>
      </c>
      <c r="V303" s="1">
        <f>VLOOKUP($B303&amp;"__wt",'Xtal_SegEnds_BW#'!$A:$Z,22,FALSE)</f>
        <v>53</v>
      </c>
      <c r="W303" s="1">
        <v>27</v>
      </c>
      <c r="X303" s="1">
        <f>VLOOKUP($B303&amp;"__wt",'Xtal_SegEnds_BW#'!$A:$Z,24,FALSE)</f>
        <v>56</v>
      </c>
      <c r="Y303" s="1">
        <f>VLOOKUP($B303&amp;"__wt",'Xtal_SegEnds_BW#'!$A:$Z,25,FALSE)</f>
        <v>47</v>
      </c>
      <c r="Z303" s="1">
        <f>VLOOKUP($B303&amp;"__wt",'Xtal_SegEnds_BW#'!$A:$Z,26,FALSE)</f>
        <v>72</v>
      </c>
      <c r="AA303" s="63" t="str">
        <f>VLOOKUP(A303,Classification!A:B,2,FALSE)</f>
        <v>B1</v>
      </c>
      <c r="AB303" s="1">
        <f>VLOOKUP(A303,'NonXtal_SegEnds_Prot#'!A:AL,10,FALSE)-VLOOKUP(A303,'NonXtal_SegEnds_Prot#'!A:AL,7,FALSE)</f>
        <v>15</v>
      </c>
      <c r="AC303" s="1" t="e">
        <f>VLOOKUP(A303,'NonXtal_SegEnds_Prot#'!A:AL,13,FALSE)-VLOOKUP(A303,'NonXtal_SegEnds_Prot#'!A:AL,10,FALSE)</f>
        <v>#VALUE!</v>
      </c>
      <c r="AD303" s="1">
        <f>VLOOKUP(A303,'NonXtal_SegEnds_Prot#'!A:AL,16,FALSE)-VLOOKUP(A303,'NonXtal_SegEnds_Prot#'!A:AL,10,FALSE)</f>
        <v>65</v>
      </c>
      <c r="AE303" s="1">
        <f>VLOOKUP(A303,'NonXtal_SegEnds_Prot#'!A:AL,28,FALSE)-VLOOKUP(A303,'NonXtal_SegEnds_Prot#'!A:AL,25,FALSE)</f>
        <v>20</v>
      </c>
      <c r="AF303" s="1">
        <f>VLOOKUP(A303,'NonXtal_SegEnds_Prot#'!A:AL,31,FALSE)-VLOOKUP(A303,'NonXtal_SegEnds_Prot#'!A:AL,28,FALSE)</f>
        <v>50</v>
      </c>
      <c r="AG303" s="1">
        <f>VLOOKUP(A303,'NonXtal_SegEnds_Prot#'!A:AL,34,FALSE)-VLOOKUP(A303,'NonXtal_SegEnds_Prot#'!A:AL,31,FALSE)</f>
        <v>33</v>
      </c>
    </row>
    <row r="304" spans="1:33" x14ac:dyDescent="0.2">
      <c r="A304" s="1" t="s">
        <v>598</v>
      </c>
      <c r="B304" s="1" t="str">
        <f>VLOOKUP(A304,Xtal_Templ!A:B,2,FALSE)</f>
        <v>glr_human</v>
      </c>
      <c r="C304" s="5">
        <f>VLOOKUP($B304&amp;"__wt",'Xtal_SegEnds_BW#'!$A:$Z,3,FALSE)</f>
        <v>19</v>
      </c>
      <c r="D304" s="1">
        <f>VLOOKUP($B304&amp;"__wt",'Xtal_SegEnds_BW#'!$A:$Z,4,FALSE)</f>
        <v>60</v>
      </c>
      <c r="E304" s="1">
        <f>VLOOKUP($B304&amp;"__wt",'Xtal_SegEnds_BW#'!$A:$Z,5,FALSE)</f>
        <v>48</v>
      </c>
      <c r="F304" s="1">
        <f>VLOOKUP($B304&amp;"__wt",'Xtal_SegEnds_BW#'!$A:$Z,6,FALSE)</f>
        <v>51</v>
      </c>
      <c r="G304" s="1">
        <v>37</v>
      </c>
      <c r="H304" s="1">
        <v>63</v>
      </c>
      <c r="I304" s="1" t="str">
        <f>VLOOKUP($B304&amp;"__wt",'Xtal_SegEnds_BW#'!$A:$Z,9,FALSE)</f>
        <v>-</v>
      </c>
      <c r="J304" s="1" t="str">
        <f>VLOOKUP($B304&amp;"__wt",'Xtal_SegEnds_BW#'!$A:$Z,10,FALSE)</f>
        <v>-</v>
      </c>
      <c r="K304" s="1">
        <v>23</v>
      </c>
      <c r="L304" s="1">
        <f>VLOOKUP($B304&amp;"__wt",'Xtal_SegEnds_BW#'!$A:$Z,12,FALSE)</f>
        <v>56</v>
      </c>
      <c r="M304" s="1" t="str">
        <f>VLOOKUP($B304&amp;"__wt",'Xtal_SegEnds_BW#'!$A:$Z,13,FALSE)</f>
        <v>-</v>
      </c>
      <c r="N304" s="1" t="str">
        <f>VLOOKUP($B304&amp;"__wt",'Xtal_SegEnds_BW#'!$A:$Z,14,FALSE)</f>
        <v>-</v>
      </c>
      <c r="O304" s="1">
        <f>VLOOKUP($B304&amp;"__wt",'Xtal_SegEnds_BW#'!$A:$Z,15,FALSE)</f>
        <v>40</v>
      </c>
      <c r="P304" s="1">
        <f>VLOOKUP($B304&amp;"__wt",'Xtal_SegEnds_BW#'!$A:$Z,16,FALSE)</f>
        <v>68</v>
      </c>
      <c r="Q304" s="1">
        <f>VLOOKUP($B304&amp;"__wt",'Xtal_SegEnds_BW#'!$A:$Z,17,FALSE)</f>
        <v>50</v>
      </c>
      <c r="R304" s="1">
        <f>VLOOKUP($B304&amp;"__wt",'Xtal_SegEnds_BW#'!$A:$Z,18,FALSE)</f>
        <v>52</v>
      </c>
      <c r="S304" s="1">
        <v>36</v>
      </c>
      <c r="T304" s="23">
        <v>69</v>
      </c>
      <c r="U304" s="1">
        <v>25</v>
      </c>
      <c r="V304" s="1">
        <f>VLOOKUP($B304&amp;"__wt",'Xtal_SegEnds_BW#'!$A:$Z,22,FALSE)</f>
        <v>53</v>
      </c>
      <c r="W304" s="1">
        <v>31</v>
      </c>
      <c r="X304" s="1">
        <f>VLOOKUP($B304&amp;"__wt",'Xtal_SegEnds_BW#'!$A:$Z,24,FALSE)</f>
        <v>56</v>
      </c>
      <c r="Y304" s="1">
        <f>VLOOKUP($B304&amp;"__wt",'Xtal_SegEnds_BW#'!$A:$Z,25,FALSE)</f>
        <v>47</v>
      </c>
      <c r="Z304" s="1">
        <f>VLOOKUP($B304&amp;"__wt",'Xtal_SegEnds_BW#'!$A:$Z,26,FALSE)</f>
        <v>72</v>
      </c>
      <c r="AA304" s="63" t="str">
        <f>VLOOKUP(A304,Classification!A:B,2,FALSE)</f>
        <v>B1</v>
      </c>
      <c r="AB304" s="1">
        <f>VLOOKUP(A304,'NonXtal_SegEnds_Prot#'!A:AL,10,FALSE)-VLOOKUP(A304,'NonXtal_SegEnds_Prot#'!A:AL,7,FALSE)</f>
        <v>15</v>
      </c>
      <c r="AC304" s="1" t="e">
        <f>VLOOKUP(A304,'NonXtal_SegEnds_Prot#'!A:AL,13,FALSE)-VLOOKUP(A304,'NonXtal_SegEnds_Prot#'!A:AL,10,FALSE)</f>
        <v>#VALUE!</v>
      </c>
      <c r="AD304" s="1">
        <f>VLOOKUP(A304,'NonXtal_SegEnds_Prot#'!A:AL,16,FALSE)-VLOOKUP(A304,'NonXtal_SegEnds_Prot#'!A:AL,10,FALSE)</f>
        <v>55</v>
      </c>
      <c r="AE304" s="1">
        <f>VLOOKUP(A304,'NonXtal_SegEnds_Prot#'!A:AL,28,FALSE)-VLOOKUP(A304,'NonXtal_SegEnds_Prot#'!A:AL,25,FALSE)</f>
        <v>20</v>
      </c>
      <c r="AF304" s="1">
        <f>VLOOKUP(A304,'NonXtal_SegEnds_Prot#'!A:AL,31,FALSE)-VLOOKUP(A304,'NonXtal_SegEnds_Prot#'!A:AL,28,FALSE)</f>
        <v>52</v>
      </c>
      <c r="AG304" s="1">
        <f>VLOOKUP(A304,'NonXtal_SegEnds_Prot#'!A:AL,34,FALSE)-VLOOKUP(A304,'NonXtal_SegEnds_Prot#'!A:AL,31,FALSE)</f>
        <v>29</v>
      </c>
    </row>
    <row r="305" spans="1:33" x14ac:dyDescent="0.2">
      <c r="A305" s="1" t="s">
        <v>602</v>
      </c>
      <c r="B305" s="1" t="str">
        <f>VLOOKUP(A305,Xtal_Templ!A:B,2,FALSE)</f>
        <v>glr_human</v>
      </c>
      <c r="C305" s="5">
        <f>VLOOKUP($B305&amp;"__wt",'Xtal_SegEnds_BW#'!$A:$Z,3,FALSE)</f>
        <v>19</v>
      </c>
      <c r="D305" s="1">
        <f>VLOOKUP($B305&amp;"__wt",'Xtal_SegEnds_BW#'!$A:$Z,4,FALSE)</f>
        <v>60</v>
      </c>
      <c r="E305" s="1">
        <f>VLOOKUP($B305&amp;"__wt",'Xtal_SegEnds_BW#'!$A:$Z,5,FALSE)</f>
        <v>48</v>
      </c>
      <c r="F305" s="1">
        <f>VLOOKUP($B305&amp;"__wt",'Xtal_SegEnds_BW#'!$A:$Z,6,FALSE)</f>
        <v>51</v>
      </c>
      <c r="G305" s="1">
        <v>37</v>
      </c>
      <c r="H305" s="1">
        <v>63</v>
      </c>
      <c r="I305" s="1" t="str">
        <f>VLOOKUP($B305&amp;"__wt",'Xtal_SegEnds_BW#'!$A:$Z,9,FALSE)</f>
        <v>-</v>
      </c>
      <c r="J305" s="1" t="str">
        <f>VLOOKUP($B305&amp;"__wt",'Xtal_SegEnds_BW#'!$A:$Z,10,FALSE)</f>
        <v>-</v>
      </c>
      <c r="K305" s="1">
        <v>23</v>
      </c>
      <c r="L305" s="1">
        <f>VLOOKUP($B305&amp;"__wt",'Xtal_SegEnds_BW#'!$A:$Z,12,FALSE)</f>
        <v>56</v>
      </c>
      <c r="M305" s="1" t="str">
        <f>VLOOKUP($B305&amp;"__wt",'Xtal_SegEnds_BW#'!$A:$Z,13,FALSE)</f>
        <v>-</v>
      </c>
      <c r="N305" s="1" t="str">
        <f>VLOOKUP($B305&amp;"__wt",'Xtal_SegEnds_BW#'!$A:$Z,14,FALSE)</f>
        <v>-</v>
      </c>
      <c r="O305" s="1">
        <f>VLOOKUP($B305&amp;"__wt",'Xtal_SegEnds_BW#'!$A:$Z,15,FALSE)</f>
        <v>40</v>
      </c>
      <c r="P305" s="1">
        <f>VLOOKUP($B305&amp;"__wt",'Xtal_SegEnds_BW#'!$A:$Z,16,FALSE)</f>
        <v>68</v>
      </c>
      <c r="Q305" s="1">
        <f>VLOOKUP($B305&amp;"__wt",'Xtal_SegEnds_BW#'!$A:$Z,17,FALSE)</f>
        <v>50</v>
      </c>
      <c r="R305" s="1">
        <f>VLOOKUP($B305&amp;"__wt",'Xtal_SegEnds_BW#'!$A:$Z,18,FALSE)</f>
        <v>52</v>
      </c>
      <c r="S305" s="1">
        <v>36</v>
      </c>
      <c r="T305" s="23">
        <v>69</v>
      </c>
      <c r="U305" s="1">
        <v>25</v>
      </c>
      <c r="V305" s="1">
        <f>VLOOKUP($B305&amp;"__wt",'Xtal_SegEnds_BW#'!$A:$Z,22,FALSE)</f>
        <v>53</v>
      </c>
      <c r="W305" s="1">
        <v>31</v>
      </c>
      <c r="X305" s="1">
        <f>VLOOKUP($B305&amp;"__wt",'Xtal_SegEnds_BW#'!$A:$Z,24,FALSE)</f>
        <v>56</v>
      </c>
      <c r="Y305" s="1">
        <f>VLOOKUP($B305&amp;"__wt",'Xtal_SegEnds_BW#'!$A:$Z,25,FALSE)</f>
        <v>47</v>
      </c>
      <c r="Z305" s="1">
        <f>VLOOKUP($B305&amp;"__wt",'Xtal_SegEnds_BW#'!$A:$Z,26,FALSE)</f>
        <v>72</v>
      </c>
      <c r="AA305" s="63" t="str">
        <f>VLOOKUP(A305,Classification!A:B,2,FALSE)</f>
        <v>B1</v>
      </c>
      <c r="AB305" s="1">
        <f>VLOOKUP(A305,'NonXtal_SegEnds_Prot#'!A:AL,10,FALSE)-VLOOKUP(A305,'NonXtal_SegEnds_Prot#'!A:AL,7,FALSE)</f>
        <v>15</v>
      </c>
      <c r="AC305" s="1" t="e">
        <f>VLOOKUP(A305,'NonXtal_SegEnds_Prot#'!A:AL,13,FALSE)-VLOOKUP(A305,'NonXtal_SegEnds_Prot#'!A:AL,10,FALSE)</f>
        <v>#VALUE!</v>
      </c>
      <c r="AD305" s="1">
        <f>VLOOKUP(A305,'NonXtal_SegEnds_Prot#'!A:AL,16,FALSE)-VLOOKUP(A305,'NonXtal_SegEnds_Prot#'!A:AL,10,FALSE)</f>
        <v>55</v>
      </c>
      <c r="AE305" s="1">
        <f>VLOOKUP(A305,'NonXtal_SegEnds_Prot#'!A:AL,28,FALSE)-VLOOKUP(A305,'NonXtal_SegEnds_Prot#'!A:AL,25,FALSE)</f>
        <v>20</v>
      </c>
      <c r="AF305" s="1">
        <f>VLOOKUP(A305,'NonXtal_SegEnds_Prot#'!A:AL,31,FALSE)-VLOOKUP(A305,'NonXtal_SegEnds_Prot#'!A:AL,28,FALSE)</f>
        <v>52</v>
      </c>
      <c r="AG305" s="1">
        <f>VLOOKUP(A305,'NonXtal_SegEnds_Prot#'!A:AL,34,FALSE)-VLOOKUP(A305,'NonXtal_SegEnds_Prot#'!A:AL,31,FALSE)</f>
        <v>29</v>
      </c>
    </row>
    <row r="306" spans="1:33" x14ac:dyDescent="0.2">
      <c r="A306" s="1" t="s">
        <v>605</v>
      </c>
      <c r="B306" s="1" t="str">
        <f>VLOOKUP(A306,Xtal_Templ!A:B,2,FALSE)</f>
        <v>glr_human</v>
      </c>
      <c r="C306" s="5">
        <f>VLOOKUP($B306&amp;"__wt",'Xtal_SegEnds_BW#'!$A:$Z,3,FALSE)</f>
        <v>19</v>
      </c>
      <c r="D306" s="1">
        <f>VLOOKUP($B306&amp;"__wt",'Xtal_SegEnds_BW#'!$A:$Z,4,FALSE)</f>
        <v>60</v>
      </c>
      <c r="E306" s="1">
        <f>VLOOKUP($B306&amp;"__wt",'Xtal_SegEnds_BW#'!$A:$Z,5,FALSE)</f>
        <v>48</v>
      </c>
      <c r="F306" s="1">
        <f>VLOOKUP($B306&amp;"__wt",'Xtal_SegEnds_BW#'!$A:$Z,6,FALSE)</f>
        <v>51</v>
      </c>
      <c r="G306" s="1">
        <v>37</v>
      </c>
      <c r="H306" s="1">
        <v>63</v>
      </c>
      <c r="I306" s="1" t="str">
        <f>VLOOKUP($B306&amp;"__wt",'Xtal_SegEnds_BW#'!$A:$Z,9,FALSE)</f>
        <v>-</v>
      </c>
      <c r="J306" s="1" t="str">
        <f>VLOOKUP($B306&amp;"__wt",'Xtal_SegEnds_BW#'!$A:$Z,10,FALSE)</f>
        <v>-</v>
      </c>
      <c r="K306" s="1">
        <v>23</v>
      </c>
      <c r="L306" s="1">
        <f>VLOOKUP($B306&amp;"__wt",'Xtal_SegEnds_BW#'!$A:$Z,12,FALSE)</f>
        <v>56</v>
      </c>
      <c r="M306" s="1" t="str">
        <f>VLOOKUP($B306&amp;"__wt",'Xtal_SegEnds_BW#'!$A:$Z,13,FALSE)</f>
        <v>-</v>
      </c>
      <c r="N306" s="1" t="str">
        <f>VLOOKUP($B306&amp;"__wt",'Xtal_SegEnds_BW#'!$A:$Z,14,FALSE)</f>
        <v>-</v>
      </c>
      <c r="O306" s="1">
        <f>VLOOKUP($B306&amp;"__wt",'Xtal_SegEnds_BW#'!$A:$Z,15,FALSE)</f>
        <v>40</v>
      </c>
      <c r="P306" s="1">
        <f>VLOOKUP($B306&amp;"__wt",'Xtal_SegEnds_BW#'!$A:$Z,16,FALSE)</f>
        <v>68</v>
      </c>
      <c r="Q306" s="1">
        <f>VLOOKUP($B306&amp;"__wt",'Xtal_SegEnds_BW#'!$A:$Z,17,FALSE)</f>
        <v>50</v>
      </c>
      <c r="R306" s="1">
        <f>VLOOKUP($B306&amp;"__wt",'Xtal_SegEnds_BW#'!$A:$Z,18,FALSE)</f>
        <v>52</v>
      </c>
      <c r="S306" s="1">
        <v>36</v>
      </c>
      <c r="T306" s="23">
        <v>69</v>
      </c>
      <c r="U306" s="1">
        <v>25</v>
      </c>
      <c r="V306" s="1">
        <f>VLOOKUP($B306&amp;"__wt",'Xtal_SegEnds_BW#'!$A:$Z,22,FALSE)</f>
        <v>53</v>
      </c>
      <c r="W306" s="1">
        <v>31</v>
      </c>
      <c r="X306" s="1">
        <f>VLOOKUP($B306&amp;"__wt",'Xtal_SegEnds_BW#'!$A:$Z,24,FALSE)</f>
        <v>56</v>
      </c>
      <c r="Y306" s="1">
        <f>VLOOKUP($B306&amp;"__wt",'Xtal_SegEnds_BW#'!$A:$Z,25,FALSE)</f>
        <v>47</v>
      </c>
      <c r="Z306" s="1">
        <f>VLOOKUP($B306&amp;"__wt",'Xtal_SegEnds_BW#'!$A:$Z,26,FALSE)</f>
        <v>72</v>
      </c>
      <c r="AA306" s="63" t="str">
        <f>VLOOKUP(A306,Classification!A:B,2,FALSE)</f>
        <v>B1</v>
      </c>
      <c r="AB306" s="1">
        <f>VLOOKUP(A306,'NonXtal_SegEnds_Prot#'!A:AL,10,FALSE)-VLOOKUP(A306,'NonXtal_SegEnds_Prot#'!A:AL,7,FALSE)</f>
        <v>15</v>
      </c>
      <c r="AC306" s="1" t="e">
        <f>VLOOKUP(A306,'NonXtal_SegEnds_Prot#'!A:AL,13,FALSE)-VLOOKUP(A306,'NonXtal_SegEnds_Prot#'!A:AL,10,FALSE)</f>
        <v>#VALUE!</v>
      </c>
      <c r="AD306" s="1">
        <f>VLOOKUP(A306,'NonXtal_SegEnds_Prot#'!A:AL,16,FALSE)-VLOOKUP(A306,'NonXtal_SegEnds_Prot#'!A:AL,10,FALSE)</f>
        <v>55</v>
      </c>
      <c r="AE306" s="1">
        <f>VLOOKUP(A306,'NonXtal_SegEnds_Prot#'!A:AL,28,FALSE)-VLOOKUP(A306,'NonXtal_SegEnds_Prot#'!A:AL,25,FALSE)</f>
        <v>20</v>
      </c>
      <c r="AF306" s="1">
        <f>VLOOKUP(A306,'NonXtal_SegEnds_Prot#'!A:AL,31,FALSE)-VLOOKUP(A306,'NonXtal_SegEnds_Prot#'!A:AL,28,FALSE)</f>
        <v>52</v>
      </c>
      <c r="AG306" s="1">
        <f>VLOOKUP(A306,'NonXtal_SegEnds_Prot#'!A:AL,34,FALSE)-VLOOKUP(A306,'NonXtal_SegEnds_Prot#'!A:AL,31,FALSE)</f>
        <v>28</v>
      </c>
    </row>
    <row r="307" spans="1:33" x14ac:dyDescent="0.2">
      <c r="A307" s="1" t="s">
        <v>606</v>
      </c>
      <c r="B307" s="1" t="str">
        <f>VLOOKUP(A307,Xtal_Templ!A:B,2,FALSE)</f>
        <v>glr_human</v>
      </c>
      <c r="C307" s="5">
        <f>VLOOKUP($B307&amp;"__wt",'Xtal_SegEnds_BW#'!$A:$Z,3,FALSE)</f>
        <v>19</v>
      </c>
      <c r="D307" s="1">
        <f>VLOOKUP($B307&amp;"__wt",'Xtal_SegEnds_BW#'!$A:$Z,4,FALSE)</f>
        <v>60</v>
      </c>
      <c r="E307" s="1">
        <f>VLOOKUP($B307&amp;"__wt",'Xtal_SegEnds_BW#'!$A:$Z,5,FALSE)</f>
        <v>48</v>
      </c>
      <c r="F307" s="1">
        <f>VLOOKUP($B307&amp;"__wt",'Xtal_SegEnds_BW#'!$A:$Z,6,FALSE)</f>
        <v>51</v>
      </c>
      <c r="G307" s="1">
        <v>37</v>
      </c>
      <c r="H307" s="1">
        <v>63</v>
      </c>
      <c r="I307" s="1" t="str">
        <f>VLOOKUP($B307&amp;"__wt",'Xtal_SegEnds_BW#'!$A:$Z,9,FALSE)</f>
        <v>-</v>
      </c>
      <c r="J307" s="1" t="str">
        <f>VLOOKUP($B307&amp;"__wt",'Xtal_SegEnds_BW#'!$A:$Z,10,FALSE)</f>
        <v>-</v>
      </c>
      <c r="K307" s="1">
        <v>23</v>
      </c>
      <c r="L307" s="1">
        <f>VLOOKUP($B307&amp;"__wt",'Xtal_SegEnds_BW#'!$A:$Z,12,FALSE)</f>
        <v>56</v>
      </c>
      <c r="M307" s="1" t="str">
        <f>VLOOKUP($B307&amp;"__wt",'Xtal_SegEnds_BW#'!$A:$Z,13,FALSE)</f>
        <v>-</v>
      </c>
      <c r="N307" s="1" t="str">
        <f>VLOOKUP($B307&amp;"__wt",'Xtal_SegEnds_BW#'!$A:$Z,14,FALSE)</f>
        <v>-</v>
      </c>
      <c r="O307" s="1">
        <f>VLOOKUP($B307&amp;"__wt",'Xtal_SegEnds_BW#'!$A:$Z,15,FALSE)</f>
        <v>40</v>
      </c>
      <c r="P307" s="1">
        <f>VLOOKUP($B307&amp;"__wt",'Xtal_SegEnds_BW#'!$A:$Z,16,FALSE)</f>
        <v>68</v>
      </c>
      <c r="Q307" s="1">
        <f>VLOOKUP($B307&amp;"__wt",'Xtal_SegEnds_BW#'!$A:$Z,17,FALSE)</f>
        <v>50</v>
      </c>
      <c r="R307" s="1">
        <f>VLOOKUP($B307&amp;"__wt",'Xtal_SegEnds_BW#'!$A:$Z,18,FALSE)</f>
        <v>52</v>
      </c>
      <c r="S307" s="1">
        <v>36</v>
      </c>
      <c r="T307" s="23">
        <v>69</v>
      </c>
      <c r="U307" s="1">
        <v>25</v>
      </c>
      <c r="V307" s="1">
        <f>VLOOKUP($B307&amp;"__wt",'Xtal_SegEnds_BW#'!$A:$Z,22,FALSE)</f>
        <v>53</v>
      </c>
      <c r="W307" s="1">
        <v>31</v>
      </c>
      <c r="X307" s="1">
        <f>VLOOKUP($B307&amp;"__wt",'Xtal_SegEnds_BW#'!$A:$Z,24,FALSE)</f>
        <v>56</v>
      </c>
      <c r="Y307" s="1">
        <f>VLOOKUP($B307&amp;"__wt",'Xtal_SegEnds_BW#'!$A:$Z,25,FALSE)</f>
        <v>47</v>
      </c>
      <c r="Z307" s="1">
        <f>VLOOKUP($B307&amp;"__wt",'Xtal_SegEnds_BW#'!$A:$Z,26,FALSE)</f>
        <v>72</v>
      </c>
      <c r="AA307" s="63" t="str">
        <f>VLOOKUP(A307,Classification!A:B,2,FALSE)</f>
        <v>B1</v>
      </c>
      <c r="AB307" s="1">
        <f>VLOOKUP(A307,'NonXtal_SegEnds_Prot#'!A:AL,10,FALSE)-VLOOKUP(A307,'NonXtal_SegEnds_Prot#'!A:AL,7,FALSE)</f>
        <v>15</v>
      </c>
      <c r="AC307" s="1" t="e">
        <f>VLOOKUP(A307,'NonXtal_SegEnds_Prot#'!A:AL,13,FALSE)-VLOOKUP(A307,'NonXtal_SegEnds_Prot#'!A:AL,10,FALSE)</f>
        <v>#VALUE!</v>
      </c>
      <c r="AD307" s="1">
        <f>VLOOKUP(A307,'NonXtal_SegEnds_Prot#'!A:AL,16,FALSE)-VLOOKUP(A307,'NonXtal_SegEnds_Prot#'!A:AL,10,FALSE)</f>
        <v>55</v>
      </c>
      <c r="AE307" s="1">
        <f>VLOOKUP(A307,'NonXtal_SegEnds_Prot#'!A:AL,28,FALSE)-VLOOKUP(A307,'NonXtal_SegEnds_Prot#'!A:AL,25,FALSE)</f>
        <v>19</v>
      </c>
      <c r="AF307" s="1">
        <f>VLOOKUP(A307,'NonXtal_SegEnds_Prot#'!A:AL,31,FALSE)-VLOOKUP(A307,'NonXtal_SegEnds_Prot#'!A:AL,28,FALSE)</f>
        <v>52</v>
      </c>
      <c r="AG307" s="1">
        <f>VLOOKUP(A307,'NonXtal_SegEnds_Prot#'!A:AL,34,FALSE)-VLOOKUP(A307,'NonXtal_SegEnds_Prot#'!A:AL,31,FALSE)</f>
        <v>29</v>
      </c>
    </row>
    <row r="308" spans="1:33" x14ac:dyDescent="0.2">
      <c r="A308" s="1" t="s">
        <v>607</v>
      </c>
      <c r="B308" s="1" t="str">
        <f>VLOOKUP(A308,Xtal_Templ!A:B,2,FALSE)</f>
        <v>glr_human</v>
      </c>
      <c r="C308" s="5">
        <f>VLOOKUP($B308&amp;"__wt",'Xtal_SegEnds_BW#'!$A:$Z,3,FALSE)</f>
        <v>19</v>
      </c>
      <c r="D308" s="1">
        <f>VLOOKUP($B308&amp;"__wt",'Xtal_SegEnds_BW#'!$A:$Z,4,FALSE)</f>
        <v>60</v>
      </c>
      <c r="E308" s="1">
        <f>VLOOKUP($B308&amp;"__wt",'Xtal_SegEnds_BW#'!$A:$Z,5,FALSE)</f>
        <v>48</v>
      </c>
      <c r="F308" s="1">
        <f>VLOOKUP($B308&amp;"__wt",'Xtal_SegEnds_BW#'!$A:$Z,6,FALSE)</f>
        <v>51</v>
      </c>
      <c r="G308" s="1">
        <v>37</v>
      </c>
      <c r="H308" s="1">
        <v>65</v>
      </c>
      <c r="I308" s="1" t="str">
        <f>VLOOKUP($B308&amp;"__wt",'Xtal_SegEnds_BW#'!$A:$Z,9,FALSE)</f>
        <v>-</v>
      </c>
      <c r="J308" s="1" t="str">
        <f>VLOOKUP($B308&amp;"__wt",'Xtal_SegEnds_BW#'!$A:$Z,10,FALSE)</f>
        <v>-</v>
      </c>
      <c r="K308" s="1">
        <v>18</v>
      </c>
      <c r="L308" s="1">
        <f>VLOOKUP($B308&amp;"__wt",'Xtal_SegEnds_BW#'!$A:$Z,12,FALSE)</f>
        <v>56</v>
      </c>
      <c r="M308" s="1" t="str">
        <f>VLOOKUP($B308&amp;"__wt",'Xtal_SegEnds_BW#'!$A:$Z,13,FALSE)</f>
        <v>-</v>
      </c>
      <c r="N308" s="1" t="str">
        <f>VLOOKUP($B308&amp;"__wt",'Xtal_SegEnds_BW#'!$A:$Z,14,FALSE)</f>
        <v>-</v>
      </c>
      <c r="O308" s="1">
        <f>VLOOKUP($B308&amp;"__wt",'Xtal_SegEnds_BW#'!$A:$Z,15,FALSE)</f>
        <v>40</v>
      </c>
      <c r="P308" s="1">
        <f>VLOOKUP($B308&amp;"__wt",'Xtal_SegEnds_BW#'!$A:$Z,16,FALSE)</f>
        <v>68</v>
      </c>
      <c r="Q308" s="1">
        <f>VLOOKUP($B308&amp;"__wt",'Xtal_SegEnds_BW#'!$A:$Z,17,FALSE)</f>
        <v>50</v>
      </c>
      <c r="R308" s="1">
        <f>VLOOKUP($B308&amp;"__wt",'Xtal_SegEnds_BW#'!$A:$Z,18,FALSE)</f>
        <v>52</v>
      </c>
      <c r="S308" s="1">
        <v>36</v>
      </c>
      <c r="T308" s="23">
        <v>69</v>
      </c>
      <c r="U308" s="1">
        <v>25</v>
      </c>
      <c r="V308" s="1">
        <f>VLOOKUP($B308&amp;"__wt",'Xtal_SegEnds_BW#'!$A:$Z,22,FALSE)</f>
        <v>53</v>
      </c>
      <c r="W308" s="1">
        <v>31</v>
      </c>
      <c r="X308" s="1">
        <f>VLOOKUP($B308&amp;"__wt",'Xtal_SegEnds_BW#'!$A:$Z,24,FALSE)</f>
        <v>56</v>
      </c>
      <c r="Y308" s="1">
        <f>VLOOKUP($B308&amp;"__wt",'Xtal_SegEnds_BW#'!$A:$Z,25,FALSE)</f>
        <v>47</v>
      </c>
      <c r="Z308" s="1">
        <f>VLOOKUP($B308&amp;"__wt",'Xtal_SegEnds_BW#'!$A:$Z,26,FALSE)</f>
        <v>72</v>
      </c>
      <c r="AA308" s="63" t="str">
        <f>VLOOKUP(A308,Classification!A:B,2,FALSE)</f>
        <v>B1</v>
      </c>
      <c r="AB308" s="1">
        <f>VLOOKUP(A308,'NonXtal_SegEnds_Prot#'!A:AL,10,FALSE)-VLOOKUP(A308,'NonXtal_SegEnds_Prot#'!A:AL,7,FALSE)</f>
        <v>15</v>
      </c>
      <c r="AC308" s="1" t="e">
        <f>VLOOKUP(A308,'NonXtal_SegEnds_Prot#'!A:AL,13,FALSE)-VLOOKUP(A308,'NonXtal_SegEnds_Prot#'!A:AL,10,FALSE)</f>
        <v>#VALUE!</v>
      </c>
      <c r="AD308" s="1">
        <f>VLOOKUP(A308,'NonXtal_SegEnds_Prot#'!A:AL,16,FALSE)-VLOOKUP(A308,'NonXtal_SegEnds_Prot#'!A:AL,10,FALSE)</f>
        <v>58</v>
      </c>
      <c r="AE308" s="1">
        <f>VLOOKUP(A308,'NonXtal_SegEnds_Prot#'!A:AL,28,FALSE)-VLOOKUP(A308,'NonXtal_SegEnds_Prot#'!A:AL,25,FALSE)</f>
        <v>20</v>
      </c>
      <c r="AF308" s="1">
        <f>VLOOKUP(A308,'NonXtal_SegEnds_Prot#'!A:AL,31,FALSE)-VLOOKUP(A308,'NonXtal_SegEnds_Prot#'!A:AL,28,FALSE)</f>
        <v>52</v>
      </c>
      <c r="AG308" s="1">
        <f>VLOOKUP(A308,'NonXtal_SegEnds_Prot#'!A:AL,34,FALSE)-VLOOKUP(A308,'NonXtal_SegEnds_Prot#'!A:AL,31,FALSE)</f>
        <v>29</v>
      </c>
    </row>
    <row r="309" spans="1:33" x14ac:dyDescent="0.2">
      <c r="A309" s="4" t="s">
        <v>603</v>
      </c>
      <c r="B309" s="4" t="str">
        <f>VLOOKUP(A309,Xtal_Templ!A:B,2,FALSE)</f>
        <v>glr_human</v>
      </c>
      <c r="C309" s="5">
        <f>VLOOKUP($B309&amp;"__wt",'Xtal_SegEnds_BW#'!$A:$Z,3,FALSE)</f>
        <v>19</v>
      </c>
      <c r="D309" s="4">
        <f>VLOOKUP($B309&amp;"__wt",'Xtal_SegEnds_BW#'!$A:$Z,4,FALSE)</f>
        <v>60</v>
      </c>
      <c r="E309" s="4">
        <f>VLOOKUP($B309&amp;"__wt",'Xtal_SegEnds_BW#'!$A:$Z,5,FALSE)</f>
        <v>48</v>
      </c>
      <c r="F309" s="4">
        <f>VLOOKUP($B309&amp;"__wt",'Xtal_SegEnds_BW#'!$A:$Z,6,FALSE)</f>
        <v>51</v>
      </c>
      <c r="G309" s="4">
        <v>37</v>
      </c>
      <c r="H309" s="4">
        <v>65</v>
      </c>
      <c r="I309" s="4" t="str">
        <f>VLOOKUP($B309&amp;"__wt",'Xtal_SegEnds_BW#'!$A:$Z,9,FALSE)</f>
        <v>-</v>
      </c>
      <c r="J309" s="4" t="str">
        <f>VLOOKUP($B309&amp;"__wt",'Xtal_SegEnds_BW#'!$A:$Z,10,FALSE)</f>
        <v>-</v>
      </c>
      <c r="K309" s="4">
        <v>18</v>
      </c>
      <c r="L309" s="4">
        <f>VLOOKUP($B309&amp;"__wt",'Xtal_SegEnds_BW#'!$A:$Z,12,FALSE)</f>
        <v>56</v>
      </c>
      <c r="M309" s="4" t="str">
        <f>VLOOKUP($B309&amp;"__wt",'Xtal_SegEnds_BW#'!$A:$Z,13,FALSE)</f>
        <v>-</v>
      </c>
      <c r="N309" s="4" t="str">
        <f>VLOOKUP($B309&amp;"__wt",'Xtal_SegEnds_BW#'!$A:$Z,14,FALSE)</f>
        <v>-</v>
      </c>
      <c r="O309" s="4">
        <f>VLOOKUP($B309&amp;"__wt",'Xtal_SegEnds_BW#'!$A:$Z,15,FALSE)</f>
        <v>40</v>
      </c>
      <c r="P309" s="4">
        <f>VLOOKUP($B309&amp;"__wt",'Xtal_SegEnds_BW#'!$A:$Z,16,FALSE)</f>
        <v>68</v>
      </c>
      <c r="Q309" s="4">
        <f>VLOOKUP($B309&amp;"__wt",'Xtal_SegEnds_BW#'!$A:$Z,17,FALSE)</f>
        <v>50</v>
      </c>
      <c r="R309" s="4">
        <f>VLOOKUP($B309&amp;"__wt",'Xtal_SegEnds_BW#'!$A:$Z,18,FALSE)</f>
        <v>52</v>
      </c>
      <c r="S309" s="4">
        <v>36</v>
      </c>
      <c r="T309" s="21">
        <v>69</v>
      </c>
      <c r="U309" s="4">
        <v>25</v>
      </c>
      <c r="V309" s="4">
        <f>VLOOKUP($B309&amp;"__wt",'Xtal_SegEnds_BW#'!$A:$Z,22,FALSE)</f>
        <v>53</v>
      </c>
      <c r="W309" s="4">
        <v>27</v>
      </c>
      <c r="X309" s="4">
        <f>VLOOKUP($B309&amp;"__wt",'Xtal_SegEnds_BW#'!$A:$Z,24,FALSE)</f>
        <v>56</v>
      </c>
      <c r="Y309" s="4">
        <f>VLOOKUP($B309&amp;"__wt",'Xtal_SegEnds_BW#'!$A:$Z,25,FALSE)</f>
        <v>47</v>
      </c>
      <c r="Z309" s="4">
        <f>VLOOKUP($B309&amp;"__wt",'Xtal_SegEnds_BW#'!$A:$Z,26,FALSE)</f>
        <v>72</v>
      </c>
      <c r="AA309" s="63" t="str">
        <f>VLOOKUP(A309,Classification!A:B,2,FALSE)</f>
        <v>B1</v>
      </c>
      <c r="AB309" s="4">
        <f>VLOOKUP(A309,'NonXtal_SegEnds_Prot#'!A:AL,10,FALSE)-VLOOKUP(A309,'NonXtal_SegEnds_Prot#'!A:AL,7,FALSE)</f>
        <v>15</v>
      </c>
      <c r="AC309" s="4" t="e">
        <f>VLOOKUP(A309,'NonXtal_SegEnds_Prot#'!A:AL,13,FALSE)-VLOOKUP(A309,'NonXtal_SegEnds_Prot#'!A:AL,10,FALSE)</f>
        <v>#VALUE!</v>
      </c>
      <c r="AD309" s="4">
        <f>VLOOKUP(A309,'NonXtal_SegEnds_Prot#'!A:AL,16,FALSE)-VLOOKUP(A309,'NonXtal_SegEnds_Prot#'!A:AL,10,FALSE)</f>
        <v>76</v>
      </c>
      <c r="AE309" s="4">
        <f>VLOOKUP(A309,'NonXtal_SegEnds_Prot#'!A:AL,28,FALSE)-VLOOKUP(A309,'NonXtal_SegEnds_Prot#'!A:AL,25,FALSE)</f>
        <v>19</v>
      </c>
      <c r="AF309" s="4">
        <f>VLOOKUP(A309,'NonXtal_SegEnds_Prot#'!A:AL,31,FALSE)-VLOOKUP(A309,'NonXtal_SegEnds_Prot#'!A:AL,28,FALSE)</f>
        <v>53</v>
      </c>
      <c r="AG309" s="4">
        <f>VLOOKUP(A309,'NonXtal_SegEnds_Prot#'!A:AL,34,FALSE)-VLOOKUP(A309,'NonXtal_SegEnds_Prot#'!A:AL,31,FALSE)</f>
        <v>33</v>
      </c>
    </row>
    <row r="310" spans="1:33" s="95" customFormat="1" x14ac:dyDescent="0.2">
      <c r="A310" s="95" t="s">
        <v>604</v>
      </c>
      <c r="B310" s="95" t="str">
        <f>VLOOKUP(A310,Xtal_Templ!A:B,2,FALSE)</f>
        <v>glr_human</v>
      </c>
      <c r="C310" s="96">
        <f>VLOOKUP($B310&amp;"__wt",'Xtal_SegEnds_BW#'!$A:$Z,3,FALSE)</f>
        <v>19</v>
      </c>
      <c r="D310" s="95">
        <f>VLOOKUP($B310&amp;"__wt",'Xtal_SegEnds_BW#'!$A:$Z,4,FALSE)</f>
        <v>60</v>
      </c>
      <c r="E310" s="95">
        <f>VLOOKUP($B310&amp;"__wt",'Xtal_SegEnds_BW#'!$A:$Z,5,FALSE)</f>
        <v>48</v>
      </c>
      <c r="F310" s="95">
        <f>VLOOKUP($B310&amp;"__wt",'Xtal_SegEnds_BW#'!$A:$Z,6,FALSE)</f>
        <v>51</v>
      </c>
      <c r="G310" s="95">
        <v>37</v>
      </c>
      <c r="H310" s="95">
        <v>65</v>
      </c>
      <c r="I310" s="95" t="str">
        <f>VLOOKUP($B310&amp;"__wt",'Xtal_SegEnds_BW#'!$A:$Z,9,FALSE)</f>
        <v>-</v>
      </c>
      <c r="J310" s="95" t="str">
        <f>VLOOKUP($B310&amp;"__wt",'Xtal_SegEnds_BW#'!$A:$Z,10,FALSE)</f>
        <v>-</v>
      </c>
      <c r="K310" s="95">
        <v>18</v>
      </c>
      <c r="L310" s="95">
        <f>VLOOKUP($B310&amp;"__wt",'Xtal_SegEnds_BW#'!$A:$Z,12,FALSE)</f>
        <v>56</v>
      </c>
      <c r="M310" s="95" t="str">
        <f>VLOOKUP($B310&amp;"__wt",'Xtal_SegEnds_BW#'!$A:$Z,13,FALSE)</f>
        <v>-</v>
      </c>
      <c r="N310" s="95" t="str">
        <f>VLOOKUP($B310&amp;"__wt",'Xtal_SegEnds_BW#'!$A:$Z,14,FALSE)</f>
        <v>-</v>
      </c>
      <c r="O310" s="95">
        <f>VLOOKUP($B310&amp;"__wt",'Xtal_SegEnds_BW#'!$A:$Z,15,FALSE)</f>
        <v>40</v>
      </c>
      <c r="P310" s="95">
        <f>VLOOKUP($B310&amp;"__wt",'Xtal_SegEnds_BW#'!$A:$Z,16,FALSE)</f>
        <v>68</v>
      </c>
      <c r="Q310" s="95">
        <f>VLOOKUP($B310&amp;"__wt",'Xtal_SegEnds_BW#'!$A:$Z,17,FALSE)</f>
        <v>50</v>
      </c>
      <c r="R310" s="95">
        <f>VLOOKUP($B310&amp;"__wt",'Xtal_SegEnds_BW#'!$A:$Z,18,FALSE)</f>
        <v>52</v>
      </c>
      <c r="S310" s="95">
        <v>36</v>
      </c>
      <c r="T310" s="97">
        <v>69</v>
      </c>
      <c r="U310" s="95">
        <v>25</v>
      </c>
      <c r="V310" s="95">
        <f>VLOOKUP($B310&amp;"__wt",'Xtal_SegEnds_BW#'!$A:$Z,22,FALSE)</f>
        <v>53</v>
      </c>
      <c r="W310" s="95">
        <v>27</v>
      </c>
      <c r="X310" s="95">
        <f>VLOOKUP($B310&amp;"__wt",'Xtal_SegEnds_BW#'!$A:$Z,24,FALSE)</f>
        <v>56</v>
      </c>
      <c r="Y310" s="95">
        <f>VLOOKUP($B310&amp;"__wt",'Xtal_SegEnds_BW#'!$A:$Z,25,FALSE)</f>
        <v>47</v>
      </c>
      <c r="Z310" s="95">
        <f>VLOOKUP($B310&amp;"__wt",'Xtal_SegEnds_BW#'!$A:$Z,26,FALSE)</f>
        <v>72</v>
      </c>
      <c r="AA310" s="98" t="str">
        <f>VLOOKUP(A310,Classification!A:B,2,FALSE)</f>
        <v>B1</v>
      </c>
      <c r="AB310" s="95">
        <f>VLOOKUP(A310,'NonXtal_SegEnds_Prot#'!A:AL,10,FALSE)-VLOOKUP(A310,'NonXtal_SegEnds_Prot#'!A:AL,7,FALSE)</f>
        <v>15</v>
      </c>
      <c r="AC310" s="95" t="e">
        <f>VLOOKUP(A310,'NonXtal_SegEnds_Prot#'!A:AL,13,FALSE)-VLOOKUP(A310,'NonXtal_SegEnds_Prot#'!A:AL,10,FALSE)</f>
        <v>#VALUE!</v>
      </c>
      <c r="AD310" s="95">
        <f>VLOOKUP(A310,'NonXtal_SegEnds_Prot#'!A:AL,16,FALSE)-VLOOKUP(A310,'NonXtal_SegEnds_Prot#'!A:AL,10,FALSE)</f>
        <v>74</v>
      </c>
      <c r="AE310" s="95">
        <f>VLOOKUP(A310,'NonXtal_SegEnds_Prot#'!A:AL,28,FALSE)-VLOOKUP(A310,'NonXtal_SegEnds_Prot#'!A:AL,25,FALSE)</f>
        <v>19</v>
      </c>
      <c r="AF310" s="95">
        <f>VLOOKUP(A310,'NonXtal_SegEnds_Prot#'!A:AL,31,FALSE)-VLOOKUP(A310,'NonXtal_SegEnds_Prot#'!A:AL,28,FALSE)</f>
        <v>53</v>
      </c>
      <c r="AG310" s="95">
        <f>VLOOKUP(A310,'NonXtal_SegEnds_Prot#'!A:AL,34,FALSE)-VLOOKUP(A310,'NonXtal_SegEnds_Prot#'!A:AL,31,FALSE)</f>
        <v>32</v>
      </c>
    </row>
    <row r="311" spans="1:33" x14ac:dyDescent="0.2">
      <c r="A311" s="1" t="s">
        <v>1412</v>
      </c>
      <c r="B311" s="1" t="str">
        <f>VLOOKUP(A311,Xtal_Templ!A:B,2,FALSE)</f>
        <v>crfr1_human</v>
      </c>
      <c r="C311" s="5">
        <v>23</v>
      </c>
      <c r="D311" s="1">
        <f>VLOOKUP($B311&amp;"__wt",'Xtal_SegEnds_BW#'!$A:$Z,4,FALSE)</f>
        <v>60</v>
      </c>
      <c r="E311" s="1">
        <f>VLOOKUP($B311&amp;"__wt",'Xtal_SegEnds_BW#'!$A:$Z,5,FALSE)</f>
        <v>48</v>
      </c>
      <c r="F311" s="1">
        <f>VLOOKUP($B311&amp;"__wt",'Xtal_SegEnds_BW#'!$A:$Z,6,FALSE)</f>
        <v>51</v>
      </c>
      <c r="G311" s="1">
        <v>37</v>
      </c>
      <c r="H311" s="1">
        <v>63</v>
      </c>
      <c r="I311" s="1" t="str">
        <f>VLOOKUP($B311&amp;"__wt",'Xtal_SegEnds_BW#'!$A:$Z,9,FALSE)</f>
        <v>-</v>
      </c>
      <c r="J311" s="1" t="str">
        <f>VLOOKUP($B311&amp;"__wt",'Xtal_SegEnds_BW#'!$A:$Z,10,FALSE)</f>
        <v>-</v>
      </c>
      <c r="K311" s="1">
        <v>23</v>
      </c>
      <c r="L311" s="1">
        <f>VLOOKUP($B311&amp;"__wt",'Xtal_SegEnds_BW#'!$A:$Z,12,FALSE)</f>
        <v>56</v>
      </c>
      <c r="M311" s="1" t="str">
        <f>VLOOKUP($B311&amp;"__wt",'Xtal_SegEnds_BW#'!$A:$Z,13,FALSE)</f>
        <v>-</v>
      </c>
      <c r="N311" s="1" t="str">
        <f>VLOOKUP($B311&amp;"__wt",'Xtal_SegEnds_BW#'!$A:$Z,14,FALSE)</f>
        <v>-</v>
      </c>
      <c r="O311" s="1">
        <f>VLOOKUP($B311&amp;"__wt",'Xtal_SegEnds_BW#'!$A:$Z,15,FALSE)</f>
        <v>40</v>
      </c>
      <c r="P311" s="1">
        <f>VLOOKUP($B311&amp;"__wt",'Xtal_SegEnds_BW#'!$A:$Z,16,FALSE)</f>
        <v>68</v>
      </c>
      <c r="Q311" s="1">
        <f>VLOOKUP($B311&amp;"__wt",'Xtal_SegEnds_BW#'!$A:$Z,17,FALSE)</f>
        <v>50</v>
      </c>
      <c r="R311" s="1">
        <f>VLOOKUP($B311&amp;"__wt",'Xtal_SegEnds_BW#'!$A:$Z,18,FALSE)</f>
        <v>52</v>
      </c>
      <c r="S311" s="1">
        <v>36</v>
      </c>
      <c r="T311" s="23">
        <v>69</v>
      </c>
      <c r="U311" s="1">
        <v>29</v>
      </c>
      <c r="V311" s="1">
        <f>VLOOKUP($B311&amp;"__wt",'Xtal_SegEnds_BW#'!$A:$Z,22,FALSE)</f>
        <v>53</v>
      </c>
      <c r="W311" s="1">
        <v>30</v>
      </c>
      <c r="X311" s="1">
        <f>VLOOKUP($B311&amp;"__wt",'Xtal_SegEnds_BW#'!$A:$Z,24,FALSE)</f>
        <v>56</v>
      </c>
      <c r="Y311" s="1">
        <f>VLOOKUP($B311&amp;"__wt",'Xtal_SegEnds_BW#'!$A:$Z,25,FALSE)</f>
        <v>47</v>
      </c>
      <c r="Z311" s="1">
        <v>63</v>
      </c>
      <c r="AA311" s="63" t="str">
        <f>VLOOKUP(A311,Classification!A:B,2,FALSE)</f>
        <v>B2</v>
      </c>
      <c r="AB311" s="1">
        <f>VLOOKUP(A311,'NonXtal_SegEnds_Prot#'!A:AL,10,FALSE)-VLOOKUP(A311,'NonXtal_SegEnds_Prot#'!A:AL,7,FALSE)</f>
        <v>21</v>
      </c>
      <c r="AC311" s="1" t="e">
        <f>VLOOKUP(A311,'NonXtal_SegEnds_Prot#'!A:AL,13,FALSE)-VLOOKUP(A311,'NonXtal_SegEnds_Prot#'!A:AL,10,FALSE)</f>
        <v>#VALUE!</v>
      </c>
      <c r="AD311" s="1">
        <f>VLOOKUP(A311,'NonXtal_SegEnds_Prot#'!A:AL,16,FALSE)-VLOOKUP(A311,'NonXtal_SegEnds_Prot#'!A:AL,10,FALSE)</f>
        <v>47</v>
      </c>
      <c r="AE311" s="1">
        <f>VLOOKUP(A311,'NonXtal_SegEnds_Prot#'!A:AL,28,FALSE)-VLOOKUP(A311,'NonXtal_SegEnds_Prot#'!A:AL,25,FALSE)</f>
        <v>19</v>
      </c>
      <c r="AF311" s="1">
        <f>VLOOKUP(A311,'NonXtal_SegEnds_Prot#'!A:AL,31,FALSE)-VLOOKUP(A311,'NonXtal_SegEnds_Prot#'!A:AL,28,FALSE)</f>
        <v>44</v>
      </c>
      <c r="AG311" s="1">
        <f>VLOOKUP(A311,'NonXtal_SegEnds_Prot#'!A:AL,34,FALSE)-VLOOKUP(A311,'NonXtal_SegEnds_Prot#'!A:AL,31,FALSE)</f>
        <v>30</v>
      </c>
    </row>
    <row r="312" spans="1:33" x14ac:dyDescent="0.2">
      <c r="A312" s="1" t="s">
        <v>614</v>
      </c>
      <c r="B312" s="1" t="str">
        <f>VLOOKUP(A312,Xtal_Templ!A:B,2,FALSE)</f>
        <v>glr_human</v>
      </c>
      <c r="C312" s="5">
        <v>23</v>
      </c>
      <c r="D312" s="1">
        <f>VLOOKUP($B312&amp;"__wt",'Xtal_SegEnds_BW#'!$A:$Z,4,FALSE)</f>
        <v>60</v>
      </c>
      <c r="E312" s="1">
        <f>VLOOKUP($B312&amp;"__wt",'Xtal_SegEnds_BW#'!$A:$Z,5,FALSE)</f>
        <v>48</v>
      </c>
      <c r="F312" s="1">
        <f>VLOOKUP($B312&amp;"__wt",'Xtal_SegEnds_BW#'!$A:$Z,6,FALSE)</f>
        <v>51</v>
      </c>
      <c r="G312" s="1">
        <v>37</v>
      </c>
      <c r="H312" s="1">
        <v>63</v>
      </c>
      <c r="I312" s="1" t="str">
        <f>VLOOKUP($B312&amp;"__wt",'Xtal_SegEnds_BW#'!$A:$Z,9,FALSE)</f>
        <v>-</v>
      </c>
      <c r="J312" s="1" t="str">
        <f>VLOOKUP($B312&amp;"__wt",'Xtal_SegEnds_BW#'!$A:$Z,10,FALSE)</f>
        <v>-</v>
      </c>
      <c r="K312" s="1">
        <v>23</v>
      </c>
      <c r="L312" s="1">
        <f>VLOOKUP($B312&amp;"__wt",'Xtal_SegEnds_BW#'!$A:$Z,12,FALSE)</f>
        <v>56</v>
      </c>
      <c r="M312" s="1" t="str">
        <f>VLOOKUP($B312&amp;"__wt",'Xtal_SegEnds_BW#'!$A:$Z,13,FALSE)</f>
        <v>-</v>
      </c>
      <c r="N312" s="1" t="str">
        <f>VLOOKUP($B312&amp;"__wt",'Xtal_SegEnds_BW#'!$A:$Z,14,FALSE)</f>
        <v>-</v>
      </c>
      <c r="O312" s="1">
        <f>VLOOKUP($B312&amp;"__wt",'Xtal_SegEnds_BW#'!$A:$Z,15,FALSE)</f>
        <v>40</v>
      </c>
      <c r="P312" s="1">
        <f>VLOOKUP($B312&amp;"__wt",'Xtal_SegEnds_BW#'!$A:$Z,16,FALSE)</f>
        <v>68</v>
      </c>
      <c r="Q312" s="1">
        <f>VLOOKUP($B312&amp;"__wt",'Xtal_SegEnds_BW#'!$A:$Z,17,FALSE)</f>
        <v>50</v>
      </c>
      <c r="R312" s="1">
        <f>VLOOKUP($B312&amp;"__wt",'Xtal_SegEnds_BW#'!$A:$Z,18,FALSE)</f>
        <v>52</v>
      </c>
      <c r="S312" s="1">
        <v>36</v>
      </c>
      <c r="T312" s="23">
        <v>69</v>
      </c>
      <c r="U312" s="1">
        <v>29</v>
      </c>
      <c r="V312" s="1">
        <f>VLOOKUP($B312&amp;"__wt",'Xtal_SegEnds_BW#'!$A:$Z,22,FALSE)</f>
        <v>53</v>
      </c>
      <c r="W312" s="1">
        <v>31</v>
      </c>
      <c r="X312" s="1">
        <f>VLOOKUP($B312&amp;"__wt",'Xtal_SegEnds_BW#'!$A:$Z,24,FALSE)</f>
        <v>56</v>
      </c>
      <c r="Y312" s="1">
        <f>VLOOKUP($B312&amp;"__wt",'Xtal_SegEnds_BW#'!$A:$Z,25,FALSE)</f>
        <v>47</v>
      </c>
      <c r="Z312" s="1">
        <v>63</v>
      </c>
      <c r="AA312" s="63" t="str">
        <f>VLOOKUP(A312,Classification!A:B,2,FALSE)</f>
        <v>B2</v>
      </c>
      <c r="AB312" s="1">
        <f>VLOOKUP(A312,'NonXtal_SegEnds_Prot#'!A:AL,10,FALSE)-VLOOKUP(A312,'NonXtal_SegEnds_Prot#'!A:AL,7,FALSE)</f>
        <v>15</v>
      </c>
      <c r="AC312" s="1" t="e">
        <f>VLOOKUP(A312,'NonXtal_SegEnds_Prot#'!A:AL,13,FALSE)-VLOOKUP(A312,'NonXtal_SegEnds_Prot#'!A:AL,10,FALSE)</f>
        <v>#VALUE!</v>
      </c>
      <c r="AD312" s="1">
        <f>VLOOKUP(A312,'NonXtal_SegEnds_Prot#'!A:AL,16,FALSE)-VLOOKUP(A312,'NonXtal_SegEnds_Prot#'!A:AL,10,FALSE)</f>
        <v>45</v>
      </c>
      <c r="AE312" s="1">
        <f>VLOOKUP(A312,'NonXtal_SegEnds_Prot#'!A:AL,28,FALSE)-VLOOKUP(A312,'NonXtal_SegEnds_Prot#'!A:AL,25,FALSE)</f>
        <v>19</v>
      </c>
      <c r="AF312" s="1">
        <f>VLOOKUP(A312,'NonXtal_SegEnds_Prot#'!A:AL,31,FALSE)-VLOOKUP(A312,'NonXtal_SegEnds_Prot#'!A:AL,28,FALSE)</f>
        <v>47</v>
      </c>
      <c r="AG312" s="1">
        <f>VLOOKUP(A312,'NonXtal_SegEnds_Prot#'!A:AL,34,FALSE)-VLOOKUP(A312,'NonXtal_SegEnds_Prot#'!A:AL,31,FALSE)</f>
        <v>28</v>
      </c>
    </row>
    <row r="313" spans="1:33" x14ac:dyDescent="0.2">
      <c r="A313" s="1" t="s">
        <v>612</v>
      </c>
      <c r="B313" s="1" t="str">
        <f>VLOOKUP(A313,Xtal_Templ!A:B,2,FALSE)</f>
        <v>crfr1_human</v>
      </c>
      <c r="C313" s="5">
        <v>23</v>
      </c>
      <c r="D313" s="1">
        <f>VLOOKUP($B313&amp;"__wt",'Xtal_SegEnds_BW#'!$A:$Z,4,FALSE)</f>
        <v>60</v>
      </c>
      <c r="E313" s="1">
        <f>VLOOKUP($B313&amp;"__wt",'Xtal_SegEnds_BW#'!$A:$Z,5,FALSE)</f>
        <v>48</v>
      </c>
      <c r="F313" s="1">
        <f>VLOOKUP($B313&amp;"__wt",'Xtal_SegEnds_BW#'!$A:$Z,6,FALSE)</f>
        <v>51</v>
      </c>
      <c r="G313" s="1">
        <v>37</v>
      </c>
      <c r="H313" s="1">
        <v>63</v>
      </c>
      <c r="I313" s="1" t="str">
        <f>VLOOKUP($B313&amp;"__wt",'Xtal_SegEnds_BW#'!$A:$Z,9,FALSE)</f>
        <v>-</v>
      </c>
      <c r="J313" s="1" t="str">
        <f>VLOOKUP($B313&amp;"__wt",'Xtal_SegEnds_BW#'!$A:$Z,10,FALSE)</f>
        <v>-</v>
      </c>
      <c r="K313" s="1">
        <v>23</v>
      </c>
      <c r="L313" s="1">
        <f>VLOOKUP($B313&amp;"__wt",'Xtal_SegEnds_BW#'!$A:$Z,12,FALSE)</f>
        <v>56</v>
      </c>
      <c r="M313" s="1" t="str">
        <f>VLOOKUP($B313&amp;"__wt",'Xtal_SegEnds_BW#'!$A:$Z,13,FALSE)</f>
        <v>-</v>
      </c>
      <c r="N313" s="1" t="str">
        <f>VLOOKUP($B313&amp;"__wt",'Xtal_SegEnds_BW#'!$A:$Z,14,FALSE)</f>
        <v>-</v>
      </c>
      <c r="O313" s="1">
        <f>VLOOKUP($B313&amp;"__wt",'Xtal_SegEnds_BW#'!$A:$Z,15,FALSE)</f>
        <v>40</v>
      </c>
      <c r="P313" s="1">
        <f>VLOOKUP($B313&amp;"__wt",'Xtal_SegEnds_BW#'!$A:$Z,16,FALSE)</f>
        <v>68</v>
      </c>
      <c r="Q313" s="1">
        <f>VLOOKUP($B313&amp;"__wt",'Xtal_SegEnds_BW#'!$A:$Z,17,FALSE)</f>
        <v>50</v>
      </c>
      <c r="R313" s="1">
        <f>VLOOKUP($B313&amp;"__wt",'Xtal_SegEnds_BW#'!$A:$Z,18,FALSE)</f>
        <v>52</v>
      </c>
      <c r="S313" s="1">
        <v>36</v>
      </c>
      <c r="T313" s="23">
        <v>69</v>
      </c>
      <c r="U313" s="1">
        <v>29</v>
      </c>
      <c r="V313" s="1">
        <f>VLOOKUP($B313&amp;"__wt",'Xtal_SegEnds_BW#'!$A:$Z,22,FALSE)</f>
        <v>53</v>
      </c>
      <c r="W313" s="1">
        <v>31</v>
      </c>
      <c r="X313" s="1">
        <f>VLOOKUP($B313&amp;"__wt",'Xtal_SegEnds_BW#'!$A:$Z,24,FALSE)</f>
        <v>56</v>
      </c>
      <c r="Y313" s="1">
        <f>VLOOKUP($B313&amp;"__wt",'Xtal_SegEnds_BW#'!$A:$Z,25,FALSE)</f>
        <v>47</v>
      </c>
      <c r="Z313" s="1">
        <v>63</v>
      </c>
      <c r="AA313" s="63" t="str">
        <f>VLOOKUP(A313,Classification!A:B,2,FALSE)</f>
        <v>B2</v>
      </c>
      <c r="AB313" s="1">
        <f>VLOOKUP(A313,'NonXtal_SegEnds_Prot#'!A:AL,10,FALSE)-VLOOKUP(A313,'NonXtal_SegEnds_Prot#'!A:AL,7,FALSE)</f>
        <v>15</v>
      </c>
      <c r="AC313" s="1" t="e">
        <f>VLOOKUP(A313,'NonXtal_SegEnds_Prot#'!A:AL,13,FALSE)-VLOOKUP(A313,'NonXtal_SegEnds_Prot#'!A:AL,10,FALSE)</f>
        <v>#VALUE!</v>
      </c>
      <c r="AD313" s="1">
        <f>VLOOKUP(A313,'NonXtal_SegEnds_Prot#'!A:AL,16,FALSE)-VLOOKUP(A313,'NonXtal_SegEnds_Prot#'!A:AL,10,FALSE)</f>
        <v>45</v>
      </c>
      <c r="AE313" s="1">
        <f>VLOOKUP(A313,'NonXtal_SegEnds_Prot#'!A:AL,28,FALSE)-VLOOKUP(A313,'NonXtal_SegEnds_Prot#'!A:AL,25,FALSE)</f>
        <v>19</v>
      </c>
      <c r="AF313" s="1">
        <f>VLOOKUP(A313,'NonXtal_SegEnds_Prot#'!A:AL,31,FALSE)-VLOOKUP(A313,'NonXtal_SegEnds_Prot#'!A:AL,28,FALSE)</f>
        <v>48</v>
      </c>
      <c r="AG313" s="1">
        <f>VLOOKUP(A313,'NonXtal_SegEnds_Prot#'!A:AL,34,FALSE)-VLOOKUP(A313,'NonXtal_SegEnds_Prot#'!A:AL,31,FALSE)</f>
        <v>28</v>
      </c>
    </row>
    <row r="314" spans="1:33" x14ac:dyDescent="0.2">
      <c r="A314" s="1" t="s">
        <v>613</v>
      </c>
      <c r="B314" s="1" t="str">
        <f>VLOOKUP(A314,Xtal_Templ!A:B,2,FALSE)</f>
        <v>crfr1_human</v>
      </c>
      <c r="C314" s="5">
        <v>23</v>
      </c>
      <c r="D314" s="1">
        <f>VLOOKUP($B314&amp;"__wt",'Xtal_SegEnds_BW#'!$A:$Z,4,FALSE)</f>
        <v>60</v>
      </c>
      <c r="E314" s="1">
        <f>VLOOKUP($B314&amp;"__wt",'Xtal_SegEnds_BW#'!$A:$Z,5,FALSE)</f>
        <v>48</v>
      </c>
      <c r="F314" s="1">
        <f>VLOOKUP($B314&amp;"__wt",'Xtal_SegEnds_BW#'!$A:$Z,6,FALSE)</f>
        <v>51</v>
      </c>
      <c r="G314" s="1">
        <v>37</v>
      </c>
      <c r="H314" s="1">
        <v>63</v>
      </c>
      <c r="I314" s="1" t="str">
        <f>VLOOKUP($B314&amp;"__wt",'Xtal_SegEnds_BW#'!$A:$Z,9,FALSE)</f>
        <v>-</v>
      </c>
      <c r="J314" s="1" t="str">
        <f>VLOOKUP($B314&amp;"__wt",'Xtal_SegEnds_BW#'!$A:$Z,10,FALSE)</f>
        <v>-</v>
      </c>
      <c r="K314" s="1">
        <v>23</v>
      </c>
      <c r="L314" s="1">
        <f>VLOOKUP($B314&amp;"__wt",'Xtal_SegEnds_BW#'!$A:$Z,12,FALSE)</f>
        <v>56</v>
      </c>
      <c r="M314" s="1" t="str">
        <f>VLOOKUP($B314&amp;"__wt",'Xtal_SegEnds_BW#'!$A:$Z,13,FALSE)</f>
        <v>-</v>
      </c>
      <c r="N314" s="1" t="str">
        <f>VLOOKUP($B314&amp;"__wt",'Xtal_SegEnds_BW#'!$A:$Z,14,FALSE)</f>
        <v>-</v>
      </c>
      <c r="O314" s="1">
        <f>VLOOKUP($B314&amp;"__wt",'Xtal_SegEnds_BW#'!$A:$Z,15,FALSE)</f>
        <v>40</v>
      </c>
      <c r="P314" s="1">
        <f>VLOOKUP($B314&amp;"__wt",'Xtal_SegEnds_BW#'!$A:$Z,16,FALSE)</f>
        <v>68</v>
      </c>
      <c r="Q314" s="1">
        <f>VLOOKUP($B314&amp;"__wt",'Xtal_SegEnds_BW#'!$A:$Z,17,FALSE)</f>
        <v>50</v>
      </c>
      <c r="R314" s="1">
        <f>VLOOKUP($B314&amp;"__wt",'Xtal_SegEnds_BW#'!$A:$Z,18,FALSE)</f>
        <v>52</v>
      </c>
      <c r="S314" s="1">
        <v>36</v>
      </c>
      <c r="T314" s="23">
        <v>69</v>
      </c>
      <c r="U314" s="1">
        <v>29</v>
      </c>
      <c r="V314" s="1">
        <f>VLOOKUP($B314&amp;"__wt",'Xtal_SegEnds_BW#'!$A:$Z,22,FALSE)</f>
        <v>53</v>
      </c>
      <c r="W314" s="1">
        <v>31</v>
      </c>
      <c r="X314" s="1">
        <f>VLOOKUP($B314&amp;"__wt",'Xtal_SegEnds_BW#'!$A:$Z,24,FALSE)</f>
        <v>56</v>
      </c>
      <c r="Y314" s="1">
        <f>VLOOKUP($B314&amp;"__wt",'Xtal_SegEnds_BW#'!$A:$Z,25,FALSE)</f>
        <v>47</v>
      </c>
      <c r="Z314" s="1">
        <v>63</v>
      </c>
      <c r="AA314" s="63" t="str">
        <f>VLOOKUP(A314,Classification!A:B,2,FALSE)</f>
        <v>B2</v>
      </c>
      <c r="AB314" s="1">
        <f>VLOOKUP(A314,'NonXtal_SegEnds_Prot#'!A:AL,10,FALSE)-VLOOKUP(A314,'NonXtal_SegEnds_Prot#'!A:AL,7,FALSE)</f>
        <v>15</v>
      </c>
      <c r="AC314" s="1" t="e">
        <f>VLOOKUP(A314,'NonXtal_SegEnds_Prot#'!A:AL,13,FALSE)-VLOOKUP(A314,'NonXtal_SegEnds_Prot#'!A:AL,10,FALSE)</f>
        <v>#VALUE!</v>
      </c>
      <c r="AD314" s="1">
        <f>VLOOKUP(A314,'NonXtal_SegEnds_Prot#'!A:AL,16,FALSE)-VLOOKUP(A314,'NonXtal_SegEnds_Prot#'!A:AL,10,FALSE)</f>
        <v>45</v>
      </c>
      <c r="AE314" s="1">
        <f>VLOOKUP(A314,'NonXtal_SegEnds_Prot#'!A:AL,28,FALSE)-VLOOKUP(A314,'NonXtal_SegEnds_Prot#'!A:AL,25,FALSE)</f>
        <v>19</v>
      </c>
      <c r="AF314" s="1">
        <f>VLOOKUP(A314,'NonXtal_SegEnds_Prot#'!A:AL,31,FALSE)-VLOOKUP(A314,'NonXtal_SegEnds_Prot#'!A:AL,28,FALSE)</f>
        <v>48</v>
      </c>
      <c r="AG314" s="1">
        <f>VLOOKUP(A314,'NonXtal_SegEnds_Prot#'!A:AL,34,FALSE)-VLOOKUP(A314,'NonXtal_SegEnds_Prot#'!A:AL,31,FALSE)</f>
        <v>28</v>
      </c>
    </row>
    <row r="315" spans="1:33" x14ac:dyDescent="0.2">
      <c r="A315" s="1" t="s">
        <v>1416</v>
      </c>
      <c r="B315" s="1" t="str">
        <f>VLOOKUP(A315,Xtal_Templ!A:B,2,FALSE)</f>
        <v>crfr1_human</v>
      </c>
      <c r="C315" s="5">
        <v>23</v>
      </c>
      <c r="D315" s="1">
        <f>VLOOKUP($B315&amp;"__wt",'Xtal_SegEnds_BW#'!$A:$Z,4,FALSE)</f>
        <v>60</v>
      </c>
      <c r="E315" s="1">
        <f>VLOOKUP($B315&amp;"__wt",'Xtal_SegEnds_BW#'!$A:$Z,5,FALSE)</f>
        <v>48</v>
      </c>
      <c r="F315" s="1">
        <f>VLOOKUP($B315&amp;"__wt",'Xtal_SegEnds_BW#'!$A:$Z,6,FALSE)</f>
        <v>51</v>
      </c>
      <c r="G315" s="1">
        <v>37</v>
      </c>
      <c r="H315" s="1">
        <v>63</v>
      </c>
      <c r="I315" s="1" t="str">
        <f>VLOOKUP($B315&amp;"__wt",'Xtal_SegEnds_BW#'!$A:$Z,9,FALSE)</f>
        <v>-</v>
      </c>
      <c r="J315" s="1" t="str">
        <f>VLOOKUP($B315&amp;"__wt",'Xtal_SegEnds_BW#'!$A:$Z,10,FALSE)</f>
        <v>-</v>
      </c>
      <c r="K315" s="1">
        <v>23</v>
      </c>
      <c r="L315" s="1">
        <f>VLOOKUP($B315&amp;"__wt",'Xtal_SegEnds_BW#'!$A:$Z,12,FALSE)</f>
        <v>56</v>
      </c>
      <c r="M315" s="1" t="str">
        <f>VLOOKUP($B315&amp;"__wt",'Xtal_SegEnds_BW#'!$A:$Z,13,FALSE)</f>
        <v>-</v>
      </c>
      <c r="N315" s="1" t="str">
        <f>VLOOKUP($B315&amp;"__wt",'Xtal_SegEnds_BW#'!$A:$Z,14,FALSE)</f>
        <v>-</v>
      </c>
      <c r="O315" s="1">
        <f>VLOOKUP($B315&amp;"__wt",'Xtal_SegEnds_BW#'!$A:$Z,15,FALSE)</f>
        <v>40</v>
      </c>
      <c r="P315" s="1">
        <f>VLOOKUP($B315&amp;"__wt",'Xtal_SegEnds_BW#'!$A:$Z,16,FALSE)</f>
        <v>68</v>
      </c>
      <c r="Q315" s="1">
        <f>VLOOKUP($B315&amp;"__wt",'Xtal_SegEnds_BW#'!$A:$Z,17,FALSE)</f>
        <v>50</v>
      </c>
      <c r="R315" s="1">
        <f>VLOOKUP($B315&amp;"__wt",'Xtal_SegEnds_BW#'!$A:$Z,18,FALSE)</f>
        <v>52</v>
      </c>
      <c r="S315" s="1">
        <v>36</v>
      </c>
      <c r="T315" s="23">
        <v>69</v>
      </c>
      <c r="U315" s="1">
        <v>29</v>
      </c>
      <c r="V315" s="1">
        <f>VLOOKUP($B315&amp;"__wt",'Xtal_SegEnds_BW#'!$A:$Z,22,FALSE)</f>
        <v>53</v>
      </c>
      <c r="W315" s="1">
        <v>31</v>
      </c>
      <c r="X315" s="1">
        <f>VLOOKUP($B315&amp;"__wt",'Xtal_SegEnds_BW#'!$A:$Z,24,FALSE)</f>
        <v>56</v>
      </c>
      <c r="Y315" s="1">
        <f>VLOOKUP($B315&amp;"__wt",'Xtal_SegEnds_BW#'!$A:$Z,25,FALSE)</f>
        <v>47</v>
      </c>
      <c r="Z315" s="1">
        <v>63</v>
      </c>
      <c r="AA315" s="63" t="str">
        <f>VLOOKUP(A315,Classification!A:B,2,FALSE)</f>
        <v>B2</v>
      </c>
      <c r="AB315" s="1" t="e">
        <f>VLOOKUP(A315,'NonXtal_SegEnds_Prot#'!A:AL,10,FALSE)-VLOOKUP(A315,'NonXtal_SegEnds_Prot#'!A:AL,7,FALSE)</f>
        <v>#VALUE!</v>
      </c>
      <c r="AC315" s="1" t="e">
        <f>VLOOKUP(A315,'NonXtal_SegEnds_Prot#'!A:AL,13,FALSE)-VLOOKUP(A315,'NonXtal_SegEnds_Prot#'!A:AL,10,FALSE)</f>
        <v>#VALUE!</v>
      </c>
      <c r="AD315" s="1">
        <f>VLOOKUP(A315,'NonXtal_SegEnds_Prot#'!A:AL,16,FALSE)-VLOOKUP(A315,'NonXtal_SegEnds_Prot#'!A:AL,10,FALSE)</f>
        <v>48</v>
      </c>
      <c r="AE315" s="1">
        <f>VLOOKUP(A315,'NonXtal_SegEnds_Prot#'!A:AL,28,FALSE)-VLOOKUP(A315,'NonXtal_SegEnds_Prot#'!A:AL,25,FALSE)</f>
        <v>19</v>
      </c>
      <c r="AF315" s="1">
        <f>VLOOKUP(A315,'NonXtal_SegEnds_Prot#'!A:AL,31,FALSE)-VLOOKUP(A315,'NonXtal_SegEnds_Prot#'!A:AL,28,FALSE)</f>
        <v>49</v>
      </c>
      <c r="AG315" s="1">
        <f>VLOOKUP(A315,'NonXtal_SegEnds_Prot#'!A:AL,34,FALSE)-VLOOKUP(A315,'NonXtal_SegEnds_Prot#'!A:AL,31,FALSE)</f>
        <v>28</v>
      </c>
    </row>
    <row r="316" spans="1:33" x14ac:dyDescent="0.2">
      <c r="A316" s="1" t="s">
        <v>637</v>
      </c>
      <c r="B316" s="1" t="str">
        <f>VLOOKUP(A316,Xtal_Templ!A:B,2,FALSE)</f>
        <v>crfr1_human</v>
      </c>
      <c r="C316" s="5">
        <v>23</v>
      </c>
      <c r="D316" s="1">
        <f>VLOOKUP($B316&amp;"__wt",'Xtal_SegEnds_BW#'!$A:$Z,4,FALSE)</f>
        <v>60</v>
      </c>
      <c r="E316" s="1">
        <f>VLOOKUP($B316&amp;"__wt",'Xtal_SegEnds_BW#'!$A:$Z,5,FALSE)</f>
        <v>48</v>
      </c>
      <c r="F316" s="1">
        <f>VLOOKUP($B316&amp;"__wt",'Xtal_SegEnds_BW#'!$A:$Z,6,FALSE)</f>
        <v>51</v>
      </c>
      <c r="G316" s="1">
        <v>37</v>
      </c>
      <c r="H316" s="1">
        <v>63</v>
      </c>
      <c r="I316" s="1" t="str">
        <f>VLOOKUP($B316&amp;"__wt",'Xtal_SegEnds_BW#'!$A:$Z,9,FALSE)</f>
        <v>-</v>
      </c>
      <c r="J316" s="1" t="str">
        <f>VLOOKUP($B316&amp;"__wt",'Xtal_SegEnds_BW#'!$A:$Z,10,FALSE)</f>
        <v>-</v>
      </c>
      <c r="K316" s="1">
        <v>23</v>
      </c>
      <c r="L316" s="1">
        <f>VLOOKUP($B316&amp;"__wt",'Xtal_SegEnds_BW#'!$A:$Z,12,FALSE)</f>
        <v>56</v>
      </c>
      <c r="M316" s="1" t="str">
        <f>VLOOKUP($B316&amp;"__wt",'Xtal_SegEnds_BW#'!$A:$Z,13,FALSE)</f>
        <v>-</v>
      </c>
      <c r="N316" s="1" t="str">
        <f>VLOOKUP($B316&amp;"__wt",'Xtal_SegEnds_BW#'!$A:$Z,14,FALSE)</f>
        <v>-</v>
      </c>
      <c r="O316" s="1">
        <f>VLOOKUP($B316&amp;"__wt",'Xtal_SegEnds_BW#'!$A:$Z,15,FALSE)</f>
        <v>40</v>
      </c>
      <c r="P316" s="1">
        <f>VLOOKUP($B316&amp;"__wt",'Xtal_SegEnds_BW#'!$A:$Z,16,FALSE)</f>
        <v>68</v>
      </c>
      <c r="Q316" s="1">
        <f>VLOOKUP($B316&amp;"__wt",'Xtal_SegEnds_BW#'!$A:$Z,17,FALSE)</f>
        <v>50</v>
      </c>
      <c r="R316" s="1">
        <f>VLOOKUP($B316&amp;"__wt",'Xtal_SegEnds_BW#'!$A:$Z,18,FALSE)</f>
        <v>52</v>
      </c>
      <c r="S316" s="1">
        <v>36</v>
      </c>
      <c r="T316" s="23">
        <v>69</v>
      </c>
      <c r="U316" s="1">
        <v>29</v>
      </c>
      <c r="V316" s="1">
        <f>VLOOKUP($B316&amp;"__wt",'Xtal_SegEnds_BW#'!$A:$Z,22,FALSE)</f>
        <v>53</v>
      </c>
      <c r="W316" s="1">
        <v>31</v>
      </c>
      <c r="X316" s="1">
        <f>VLOOKUP($B316&amp;"__wt",'Xtal_SegEnds_BW#'!$A:$Z,24,FALSE)</f>
        <v>56</v>
      </c>
      <c r="Y316" s="1">
        <f>VLOOKUP($B316&amp;"__wt",'Xtal_SegEnds_BW#'!$A:$Z,25,FALSE)</f>
        <v>47</v>
      </c>
      <c r="Z316" s="1">
        <v>63</v>
      </c>
      <c r="AA316" s="63" t="str">
        <f>VLOOKUP(A316,Classification!A:B,2,FALSE)</f>
        <v>B2</v>
      </c>
      <c r="AB316" s="1" t="e">
        <f>VLOOKUP(A316,'NonXtal_SegEnds_Prot#'!A:AL,10,FALSE)-VLOOKUP(A316,'NonXtal_SegEnds_Prot#'!A:AL,7,FALSE)</f>
        <v>#VALUE!</v>
      </c>
      <c r="AC316" s="1" t="e">
        <f>VLOOKUP(A316,'NonXtal_SegEnds_Prot#'!A:AL,13,FALSE)-VLOOKUP(A316,'NonXtal_SegEnds_Prot#'!A:AL,10,FALSE)</f>
        <v>#VALUE!</v>
      </c>
      <c r="AD316" s="1">
        <f>VLOOKUP(A316,'NonXtal_SegEnds_Prot#'!A:AL,16,FALSE)-VLOOKUP(A316,'NonXtal_SegEnds_Prot#'!A:AL,10,FALSE)</f>
        <v>47</v>
      </c>
      <c r="AE316" s="1">
        <f>VLOOKUP(A316,'NonXtal_SegEnds_Prot#'!A:AL,28,FALSE)-VLOOKUP(A316,'NonXtal_SegEnds_Prot#'!A:AL,25,FALSE)</f>
        <v>20</v>
      </c>
      <c r="AF316" s="1">
        <f>VLOOKUP(A316,'NonXtal_SegEnds_Prot#'!A:AL,31,FALSE)-VLOOKUP(A316,'NonXtal_SegEnds_Prot#'!A:AL,28,FALSE)</f>
        <v>49</v>
      </c>
      <c r="AG316" s="1">
        <f>VLOOKUP(A316,'NonXtal_SegEnds_Prot#'!A:AL,34,FALSE)-VLOOKUP(A316,'NonXtal_SegEnds_Prot#'!A:AL,31,FALSE)</f>
        <v>28</v>
      </c>
    </row>
    <row r="317" spans="1:33" x14ac:dyDescent="0.2">
      <c r="A317" s="1" t="s">
        <v>1415</v>
      </c>
      <c r="B317" s="1" t="str">
        <f>VLOOKUP(A317,Xtal_Templ!A:B,2,FALSE)</f>
        <v>crfr1_human</v>
      </c>
      <c r="C317" s="5">
        <v>23</v>
      </c>
      <c r="D317" s="1">
        <f>VLOOKUP($B317&amp;"__wt",'Xtal_SegEnds_BW#'!$A:$Z,4,FALSE)</f>
        <v>60</v>
      </c>
      <c r="E317" s="1">
        <f>VLOOKUP($B317&amp;"__wt",'Xtal_SegEnds_BW#'!$A:$Z,5,FALSE)</f>
        <v>48</v>
      </c>
      <c r="F317" s="1">
        <f>VLOOKUP($B317&amp;"__wt",'Xtal_SegEnds_BW#'!$A:$Z,6,FALSE)</f>
        <v>51</v>
      </c>
      <c r="G317" s="1">
        <v>37</v>
      </c>
      <c r="H317" s="1">
        <v>63</v>
      </c>
      <c r="I317" s="1" t="str">
        <f>VLOOKUP($B317&amp;"__wt",'Xtal_SegEnds_BW#'!$A:$Z,9,FALSE)</f>
        <v>-</v>
      </c>
      <c r="J317" s="1" t="str">
        <f>VLOOKUP($B317&amp;"__wt",'Xtal_SegEnds_BW#'!$A:$Z,10,FALSE)</f>
        <v>-</v>
      </c>
      <c r="K317" s="1">
        <v>23</v>
      </c>
      <c r="L317" s="1">
        <f>VLOOKUP($B317&amp;"__wt",'Xtal_SegEnds_BW#'!$A:$Z,12,FALSE)</f>
        <v>56</v>
      </c>
      <c r="M317" s="1" t="str">
        <f>VLOOKUP($B317&amp;"__wt",'Xtal_SegEnds_BW#'!$A:$Z,13,FALSE)</f>
        <v>-</v>
      </c>
      <c r="N317" s="1" t="str">
        <f>VLOOKUP($B317&amp;"__wt",'Xtal_SegEnds_BW#'!$A:$Z,14,FALSE)</f>
        <v>-</v>
      </c>
      <c r="O317" s="1">
        <f>VLOOKUP($B317&amp;"__wt",'Xtal_SegEnds_BW#'!$A:$Z,15,FALSE)</f>
        <v>40</v>
      </c>
      <c r="P317" s="1">
        <f>VLOOKUP($B317&amp;"__wt",'Xtal_SegEnds_BW#'!$A:$Z,16,FALSE)</f>
        <v>68</v>
      </c>
      <c r="Q317" s="1">
        <f>VLOOKUP($B317&amp;"__wt",'Xtal_SegEnds_BW#'!$A:$Z,17,FALSE)</f>
        <v>50</v>
      </c>
      <c r="R317" s="1">
        <f>VLOOKUP($B317&amp;"__wt",'Xtal_SegEnds_BW#'!$A:$Z,18,FALSE)</f>
        <v>52</v>
      </c>
      <c r="S317" s="1">
        <v>36</v>
      </c>
      <c r="T317" s="23">
        <v>69</v>
      </c>
      <c r="U317" s="1">
        <v>29</v>
      </c>
      <c r="V317" s="1">
        <f>VLOOKUP($B317&amp;"__wt",'Xtal_SegEnds_BW#'!$A:$Z,22,FALSE)</f>
        <v>53</v>
      </c>
      <c r="W317" s="1">
        <v>31</v>
      </c>
      <c r="X317" s="1">
        <f>VLOOKUP($B317&amp;"__wt",'Xtal_SegEnds_BW#'!$A:$Z,24,FALSE)</f>
        <v>56</v>
      </c>
      <c r="Y317" s="1">
        <f>VLOOKUP($B317&amp;"__wt",'Xtal_SegEnds_BW#'!$A:$Z,25,FALSE)</f>
        <v>47</v>
      </c>
      <c r="Z317" s="1">
        <v>63</v>
      </c>
      <c r="AA317" s="63" t="str">
        <f>VLOOKUP(A317,Classification!A:B,2,FALSE)</f>
        <v>B2</v>
      </c>
      <c r="AB317" s="1" t="e">
        <f>VLOOKUP(A317,'NonXtal_SegEnds_Prot#'!A:AL,10,FALSE)-VLOOKUP(A317,'NonXtal_SegEnds_Prot#'!A:AL,7,FALSE)</f>
        <v>#VALUE!</v>
      </c>
      <c r="AC317" s="1" t="e">
        <f>VLOOKUP(A317,'NonXtal_SegEnds_Prot#'!A:AL,13,FALSE)-VLOOKUP(A317,'NonXtal_SegEnds_Prot#'!A:AL,10,FALSE)</f>
        <v>#VALUE!</v>
      </c>
      <c r="AD317" s="1">
        <f>VLOOKUP(A317,'NonXtal_SegEnds_Prot#'!A:AL,16,FALSE)-VLOOKUP(A317,'NonXtal_SegEnds_Prot#'!A:AL,10,FALSE)</f>
        <v>47</v>
      </c>
      <c r="AE317" s="1">
        <f>VLOOKUP(A317,'NonXtal_SegEnds_Prot#'!A:AL,28,FALSE)-VLOOKUP(A317,'NonXtal_SegEnds_Prot#'!A:AL,25,FALSE)</f>
        <v>19</v>
      </c>
      <c r="AF317" s="1">
        <f>VLOOKUP(A317,'NonXtal_SegEnds_Prot#'!A:AL,31,FALSE)-VLOOKUP(A317,'NonXtal_SegEnds_Prot#'!A:AL,28,FALSE)</f>
        <v>50</v>
      </c>
      <c r="AG317" s="1">
        <f>VLOOKUP(A317,'NonXtal_SegEnds_Prot#'!A:AL,34,FALSE)-VLOOKUP(A317,'NonXtal_SegEnds_Prot#'!A:AL,31,FALSE)</f>
        <v>28</v>
      </c>
    </row>
    <row r="318" spans="1:33" x14ac:dyDescent="0.2">
      <c r="A318" s="1" t="s">
        <v>608</v>
      </c>
      <c r="B318" s="1" t="str">
        <f>VLOOKUP(A318,Xtal_Templ!A:B,2,FALSE)</f>
        <v>crfr1_human</v>
      </c>
      <c r="C318" s="5">
        <v>23</v>
      </c>
      <c r="D318" s="1">
        <f>VLOOKUP($B318&amp;"__wt",'Xtal_SegEnds_BW#'!$A:$Z,4,FALSE)</f>
        <v>60</v>
      </c>
      <c r="E318" s="1">
        <f>VLOOKUP($B318&amp;"__wt",'Xtal_SegEnds_BW#'!$A:$Z,5,FALSE)</f>
        <v>48</v>
      </c>
      <c r="F318" s="1">
        <f>VLOOKUP($B318&amp;"__wt",'Xtal_SegEnds_BW#'!$A:$Z,6,FALSE)</f>
        <v>51</v>
      </c>
      <c r="G318" s="1">
        <v>37</v>
      </c>
      <c r="H318" s="1">
        <v>63</v>
      </c>
      <c r="I318" s="1" t="str">
        <f>VLOOKUP($B318&amp;"__wt",'Xtal_SegEnds_BW#'!$A:$Z,9,FALSE)</f>
        <v>-</v>
      </c>
      <c r="J318" s="1" t="str">
        <f>VLOOKUP($B318&amp;"__wt",'Xtal_SegEnds_BW#'!$A:$Z,10,FALSE)</f>
        <v>-</v>
      </c>
      <c r="K318" s="1">
        <v>23</v>
      </c>
      <c r="L318" s="1">
        <f>VLOOKUP($B318&amp;"__wt",'Xtal_SegEnds_BW#'!$A:$Z,12,FALSE)</f>
        <v>56</v>
      </c>
      <c r="M318" s="1" t="str">
        <f>VLOOKUP($B318&amp;"__wt",'Xtal_SegEnds_BW#'!$A:$Z,13,FALSE)</f>
        <v>-</v>
      </c>
      <c r="N318" s="1" t="str">
        <f>VLOOKUP($B318&amp;"__wt",'Xtal_SegEnds_BW#'!$A:$Z,14,FALSE)</f>
        <v>-</v>
      </c>
      <c r="O318" s="1">
        <f>VLOOKUP($B318&amp;"__wt",'Xtal_SegEnds_BW#'!$A:$Z,15,FALSE)</f>
        <v>40</v>
      </c>
      <c r="P318" s="1">
        <f>VLOOKUP($B318&amp;"__wt",'Xtal_SegEnds_BW#'!$A:$Z,16,FALSE)</f>
        <v>68</v>
      </c>
      <c r="Q318" s="1">
        <f>VLOOKUP($B318&amp;"__wt",'Xtal_SegEnds_BW#'!$A:$Z,17,FALSE)</f>
        <v>50</v>
      </c>
      <c r="R318" s="1">
        <f>VLOOKUP($B318&amp;"__wt",'Xtal_SegEnds_BW#'!$A:$Z,18,FALSE)</f>
        <v>52</v>
      </c>
      <c r="S318" s="1">
        <v>36</v>
      </c>
      <c r="T318" s="23">
        <v>69</v>
      </c>
      <c r="U318" s="1">
        <v>29</v>
      </c>
      <c r="V318" s="1">
        <f>VLOOKUP($B318&amp;"__wt",'Xtal_SegEnds_BW#'!$A:$Z,22,FALSE)</f>
        <v>53</v>
      </c>
      <c r="W318" s="1">
        <v>31</v>
      </c>
      <c r="X318" s="1">
        <f>VLOOKUP($B318&amp;"__wt",'Xtal_SegEnds_BW#'!$A:$Z,24,FALSE)</f>
        <v>56</v>
      </c>
      <c r="Y318" s="1">
        <f>VLOOKUP($B318&amp;"__wt",'Xtal_SegEnds_BW#'!$A:$Z,25,FALSE)</f>
        <v>47</v>
      </c>
      <c r="Z318" s="1">
        <v>63</v>
      </c>
      <c r="AA318" s="63" t="str">
        <f>VLOOKUP(A318,Classification!A:B,2,FALSE)</f>
        <v>B2</v>
      </c>
      <c r="AB318" s="1" t="e">
        <f>VLOOKUP(A318,'NonXtal_SegEnds_Prot#'!A:AL,10,FALSE)-VLOOKUP(A318,'NonXtal_SegEnds_Prot#'!A:AL,7,FALSE)</f>
        <v>#VALUE!</v>
      </c>
      <c r="AC318" s="1" t="e">
        <f>VLOOKUP(A318,'NonXtal_SegEnds_Prot#'!A:AL,13,FALSE)-VLOOKUP(A318,'NonXtal_SegEnds_Prot#'!A:AL,10,FALSE)</f>
        <v>#VALUE!</v>
      </c>
      <c r="AD318" s="1">
        <f>VLOOKUP(A318,'NonXtal_SegEnds_Prot#'!A:AL,16,FALSE)-VLOOKUP(A318,'NonXtal_SegEnds_Prot#'!A:AL,10,FALSE)</f>
        <v>45</v>
      </c>
      <c r="AE318" s="1">
        <f>VLOOKUP(A318,'NonXtal_SegEnds_Prot#'!A:AL,28,FALSE)-VLOOKUP(A318,'NonXtal_SegEnds_Prot#'!A:AL,25,FALSE)</f>
        <v>19</v>
      </c>
      <c r="AF318" s="1">
        <f>VLOOKUP(A318,'NonXtal_SegEnds_Prot#'!A:AL,31,FALSE)-VLOOKUP(A318,'NonXtal_SegEnds_Prot#'!A:AL,28,FALSE)</f>
        <v>50</v>
      </c>
      <c r="AG318" s="1">
        <f>VLOOKUP(A318,'NonXtal_SegEnds_Prot#'!A:AL,34,FALSE)-VLOOKUP(A318,'NonXtal_SegEnds_Prot#'!A:AL,31,FALSE)</f>
        <v>29</v>
      </c>
    </row>
    <row r="319" spans="1:33" x14ac:dyDescent="0.2">
      <c r="A319" s="1" t="s">
        <v>1410</v>
      </c>
      <c r="B319" s="1" t="str">
        <f>VLOOKUP(A319,Xtal_Templ!A:B,2,FALSE)</f>
        <v>crfr1_human</v>
      </c>
      <c r="C319" s="5">
        <v>23</v>
      </c>
      <c r="D319" s="1">
        <f>VLOOKUP($B319&amp;"__wt",'Xtal_SegEnds_BW#'!$A:$Z,4,FALSE)</f>
        <v>60</v>
      </c>
      <c r="E319" s="1">
        <f>VLOOKUP($B319&amp;"__wt",'Xtal_SegEnds_BW#'!$A:$Z,5,FALSE)</f>
        <v>48</v>
      </c>
      <c r="F319" s="1">
        <f>VLOOKUP($B319&amp;"__wt",'Xtal_SegEnds_BW#'!$A:$Z,6,FALSE)</f>
        <v>51</v>
      </c>
      <c r="G319" s="1">
        <v>37</v>
      </c>
      <c r="H319" s="1">
        <v>63</v>
      </c>
      <c r="I319" s="1" t="str">
        <f>VLOOKUP($B319&amp;"__wt",'Xtal_SegEnds_BW#'!$A:$Z,9,FALSE)</f>
        <v>-</v>
      </c>
      <c r="J319" s="1" t="str">
        <f>VLOOKUP($B319&amp;"__wt",'Xtal_SegEnds_BW#'!$A:$Z,10,FALSE)</f>
        <v>-</v>
      </c>
      <c r="K319" s="1">
        <v>23</v>
      </c>
      <c r="L319" s="1">
        <f>VLOOKUP($B319&amp;"__wt",'Xtal_SegEnds_BW#'!$A:$Z,12,FALSE)</f>
        <v>56</v>
      </c>
      <c r="M319" s="1" t="str">
        <f>VLOOKUP($B319&amp;"__wt",'Xtal_SegEnds_BW#'!$A:$Z,13,FALSE)</f>
        <v>-</v>
      </c>
      <c r="N319" s="1" t="str">
        <f>VLOOKUP($B319&amp;"__wt",'Xtal_SegEnds_BW#'!$A:$Z,14,FALSE)</f>
        <v>-</v>
      </c>
      <c r="O319" s="1">
        <f>VLOOKUP($B319&amp;"__wt",'Xtal_SegEnds_BW#'!$A:$Z,15,FALSE)</f>
        <v>40</v>
      </c>
      <c r="P319" s="1">
        <f>VLOOKUP($B319&amp;"__wt",'Xtal_SegEnds_BW#'!$A:$Z,16,FALSE)</f>
        <v>68</v>
      </c>
      <c r="Q319" s="1">
        <f>VLOOKUP($B319&amp;"__wt",'Xtal_SegEnds_BW#'!$A:$Z,17,FALSE)</f>
        <v>50</v>
      </c>
      <c r="R319" s="1">
        <f>VLOOKUP($B319&amp;"__wt",'Xtal_SegEnds_BW#'!$A:$Z,18,FALSE)</f>
        <v>52</v>
      </c>
      <c r="S319" s="1">
        <v>36</v>
      </c>
      <c r="T319" s="23">
        <v>69</v>
      </c>
      <c r="U319" s="1">
        <v>29</v>
      </c>
      <c r="V319" s="1">
        <f>VLOOKUP($B319&amp;"__wt",'Xtal_SegEnds_BW#'!$A:$Z,22,FALSE)</f>
        <v>53</v>
      </c>
      <c r="W319" s="1">
        <v>31</v>
      </c>
      <c r="X319" s="1">
        <f>VLOOKUP($B319&amp;"__wt",'Xtal_SegEnds_BW#'!$A:$Z,24,FALSE)</f>
        <v>56</v>
      </c>
      <c r="Y319" s="1">
        <f>VLOOKUP($B319&amp;"__wt",'Xtal_SegEnds_BW#'!$A:$Z,25,FALSE)</f>
        <v>47</v>
      </c>
      <c r="Z319" s="1">
        <v>63</v>
      </c>
      <c r="AA319" s="63" t="str">
        <f>VLOOKUP(A319,Classification!A:B,2,FALSE)</f>
        <v>B2</v>
      </c>
      <c r="AB319" s="1" t="e">
        <f>VLOOKUP(A319,'NonXtal_SegEnds_Prot#'!A:AL,10,FALSE)-VLOOKUP(A319,'NonXtal_SegEnds_Prot#'!A:AL,7,FALSE)</f>
        <v>#VALUE!</v>
      </c>
      <c r="AC319" s="1" t="e">
        <f>VLOOKUP(A319,'NonXtal_SegEnds_Prot#'!A:AL,13,FALSE)-VLOOKUP(A319,'NonXtal_SegEnds_Prot#'!A:AL,10,FALSE)</f>
        <v>#VALUE!</v>
      </c>
      <c r="AD319" s="1">
        <f>VLOOKUP(A319,'NonXtal_SegEnds_Prot#'!A:AL,16,FALSE)-VLOOKUP(A319,'NonXtal_SegEnds_Prot#'!A:AL,10,FALSE)</f>
        <v>51</v>
      </c>
      <c r="AE319" s="1">
        <f>VLOOKUP(A319,'NonXtal_SegEnds_Prot#'!A:AL,28,FALSE)-VLOOKUP(A319,'NonXtal_SegEnds_Prot#'!A:AL,25,FALSE)</f>
        <v>20</v>
      </c>
      <c r="AF319" s="1">
        <f>VLOOKUP(A319,'NonXtal_SegEnds_Prot#'!A:AL,31,FALSE)-VLOOKUP(A319,'NonXtal_SegEnds_Prot#'!A:AL,28,FALSE)</f>
        <v>51</v>
      </c>
      <c r="AG319" s="1">
        <f>VLOOKUP(A319,'NonXtal_SegEnds_Prot#'!A:AL,34,FALSE)-VLOOKUP(A319,'NonXtal_SegEnds_Prot#'!A:AL,31,FALSE)</f>
        <v>29</v>
      </c>
    </row>
    <row r="320" spans="1:33" x14ac:dyDescent="0.2">
      <c r="A320" s="1" t="s">
        <v>1413</v>
      </c>
      <c r="B320" s="1" t="str">
        <f>VLOOKUP(A320,Xtal_Templ!A:B,2,FALSE)</f>
        <v>crfr1_human</v>
      </c>
      <c r="C320" s="5">
        <v>23</v>
      </c>
      <c r="D320" s="1">
        <f>VLOOKUP($B320&amp;"__wt",'Xtal_SegEnds_BW#'!$A:$Z,4,FALSE)</f>
        <v>60</v>
      </c>
      <c r="E320" s="1">
        <f>VLOOKUP($B320&amp;"__wt",'Xtal_SegEnds_BW#'!$A:$Z,5,FALSE)</f>
        <v>48</v>
      </c>
      <c r="F320" s="1">
        <f>VLOOKUP($B320&amp;"__wt",'Xtal_SegEnds_BW#'!$A:$Z,6,FALSE)</f>
        <v>51</v>
      </c>
      <c r="G320" s="1">
        <v>37</v>
      </c>
      <c r="H320" s="1">
        <v>63</v>
      </c>
      <c r="I320" s="1" t="str">
        <f>VLOOKUP($B320&amp;"__wt",'Xtal_SegEnds_BW#'!$A:$Z,9,FALSE)</f>
        <v>-</v>
      </c>
      <c r="J320" s="1" t="str">
        <f>VLOOKUP($B320&amp;"__wt",'Xtal_SegEnds_BW#'!$A:$Z,10,FALSE)</f>
        <v>-</v>
      </c>
      <c r="K320" s="1">
        <v>23</v>
      </c>
      <c r="L320" s="1">
        <f>VLOOKUP($B320&amp;"__wt",'Xtal_SegEnds_BW#'!$A:$Z,12,FALSE)</f>
        <v>56</v>
      </c>
      <c r="M320" s="1" t="str">
        <f>VLOOKUP($B320&amp;"__wt",'Xtal_SegEnds_BW#'!$A:$Z,13,FALSE)</f>
        <v>-</v>
      </c>
      <c r="N320" s="1" t="str">
        <f>VLOOKUP($B320&amp;"__wt",'Xtal_SegEnds_BW#'!$A:$Z,14,FALSE)</f>
        <v>-</v>
      </c>
      <c r="O320" s="1">
        <f>VLOOKUP($B320&amp;"__wt",'Xtal_SegEnds_BW#'!$A:$Z,15,FALSE)</f>
        <v>40</v>
      </c>
      <c r="P320" s="1">
        <f>VLOOKUP($B320&amp;"__wt",'Xtal_SegEnds_BW#'!$A:$Z,16,FALSE)</f>
        <v>68</v>
      </c>
      <c r="Q320" s="1">
        <f>VLOOKUP($B320&amp;"__wt",'Xtal_SegEnds_BW#'!$A:$Z,17,FALSE)</f>
        <v>50</v>
      </c>
      <c r="R320" s="1">
        <f>VLOOKUP($B320&amp;"__wt",'Xtal_SegEnds_BW#'!$A:$Z,18,FALSE)</f>
        <v>52</v>
      </c>
      <c r="S320" s="1">
        <v>36</v>
      </c>
      <c r="T320" s="23">
        <v>69</v>
      </c>
      <c r="U320" s="1">
        <v>29</v>
      </c>
      <c r="V320" s="1">
        <f>VLOOKUP($B320&amp;"__wt",'Xtal_SegEnds_BW#'!$A:$Z,22,FALSE)</f>
        <v>53</v>
      </c>
      <c r="W320" s="1">
        <v>31</v>
      </c>
      <c r="X320" s="1">
        <f>VLOOKUP($B320&amp;"__wt",'Xtal_SegEnds_BW#'!$A:$Z,24,FALSE)</f>
        <v>56</v>
      </c>
      <c r="Y320" s="1">
        <f>VLOOKUP($B320&amp;"__wt",'Xtal_SegEnds_BW#'!$A:$Z,25,FALSE)</f>
        <v>47</v>
      </c>
      <c r="Z320" s="1">
        <v>63</v>
      </c>
      <c r="AA320" s="63" t="str">
        <f>VLOOKUP(A320,Classification!A:B,2,FALSE)</f>
        <v>B2</v>
      </c>
      <c r="AB320" s="1" t="e">
        <f>VLOOKUP(A320,'NonXtal_SegEnds_Prot#'!A:AL,10,FALSE)-VLOOKUP(A320,'NonXtal_SegEnds_Prot#'!A:AL,7,FALSE)</f>
        <v>#VALUE!</v>
      </c>
      <c r="AC320" s="1" t="e">
        <f>VLOOKUP(A320,'NonXtal_SegEnds_Prot#'!A:AL,13,FALSE)-VLOOKUP(A320,'NonXtal_SegEnds_Prot#'!A:AL,10,FALSE)</f>
        <v>#VALUE!</v>
      </c>
      <c r="AD320" s="1">
        <f>VLOOKUP(A320,'NonXtal_SegEnds_Prot#'!A:AL,16,FALSE)-VLOOKUP(A320,'NonXtal_SegEnds_Prot#'!A:AL,10,FALSE)</f>
        <v>47</v>
      </c>
      <c r="AE320" s="1">
        <f>VLOOKUP(A320,'NonXtal_SegEnds_Prot#'!A:AL,28,FALSE)-VLOOKUP(A320,'NonXtal_SegEnds_Prot#'!A:AL,25,FALSE)</f>
        <v>19</v>
      </c>
      <c r="AF320" s="1">
        <f>VLOOKUP(A320,'NonXtal_SegEnds_Prot#'!A:AL,31,FALSE)-VLOOKUP(A320,'NonXtal_SegEnds_Prot#'!A:AL,28,FALSE)</f>
        <v>51</v>
      </c>
      <c r="AG320" s="1">
        <f>VLOOKUP(A320,'NonXtal_SegEnds_Prot#'!A:AL,34,FALSE)-VLOOKUP(A320,'NonXtal_SegEnds_Prot#'!A:AL,31,FALSE)</f>
        <v>28</v>
      </c>
    </row>
    <row r="321" spans="1:33" x14ac:dyDescent="0.2">
      <c r="A321" s="1" t="s">
        <v>1417</v>
      </c>
      <c r="B321" s="1" t="str">
        <f>VLOOKUP(A321,Xtal_Templ!A:B,2,FALSE)</f>
        <v>crfr1_human</v>
      </c>
      <c r="C321" s="5">
        <v>23</v>
      </c>
      <c r="D321" s="1">
        <f>VLOOKUP($B321&amp;"__wt",'Xtal_SegEnds_BW#'!$A:$Z,4,FALSE)</f>
        <v>60</v>
      </c>
      <c r="E321" s="1">
        <f>VLOOKUP($B321&amp;"__wt",'Xtal_SegEnds_BW#'!$A:$Z,5,FALSE)</f>
        <v>48</v>
      </c>
      <c r="F321" s="1">
        <f>VLOOKUP($B321&amp;"__wt",'Xtal_SegEnds_BW#'!$A:$Z,6,FALSE)</f>
        <v>51</v>
      </c>
      <c r="G321" s="1">
        <v>37</v>
      </c>
      <c r="H321" s="1">
        <v>65</v>
      </c>
      <c r="I321" s="1" t="str">
        <f>VLOOKUP($B321&amp;"__wt",'Xtal_SegEnds_BW#'!$A:$Z,9,FALSE)</f>
        <v>-</v>
      </c>
      <c r="J321" s="1" t="str">
        <f>VLOOKUP($B321&amp;"__wt",'Xtal_SegEnds_BW#'!$A:$Z,10,FALSE)</f>
        <v>-</v>
      </c>
      <c r="K321" s="1">
        <v>18</v>
      </c>
      <c r="L321" s="1">
        <f>VLOOKUP($B321&amp;"__wt",'Xtal_SegEnds_BW#'!$A:$Z,12,FALSE)</f>
        <v>56</v>
      </c>
      <c r="M321" s="1" t="str">
        <f>VLOOKUP($B321&amp;"__wt",'Xtal_SegEnds_BW#'!$A:$Z,13,FALSE)</f>
        <v>-</v>
      </c>
      <c r="N321" s="1" t="str">
        <f>VLOOKUP($B321&amp;"__wt",'Xtal_SegEnds_BW#'!$A:$Z,14,FALSE)</f>
        <v>-</v>
      </c>
      <c r="O321" s="1">
        <f>VLOOKUP($B321&amp;"__wt",'Xtal_SegEnds_BW#'!$A:$Z,15,FALSE)</f>
        <v>40</v>
      </c>
      <c r="P321" s="1">
        <f>VLOOKUP($B321&amp;"__wt",'Xtal_SegEnds_BW#'!$A:$Z,16,FALSE)</f>
        <v>68</v>
      </c>
      <c r="Q321" s="1">
        <f>VLOOKUP($B321&amp;"__wt",'Xtal_SegEnds_BW#'!$A:$Z,17,FALSE)</f>
        <v>50</v>
      </c>
      <c r="R321" s="1">
        <f>VLOOKUP($B321&amp;"__wt",'Xtal_SegEnds_BW#'!$A:$Z,18,FALSE)</f>
        <v>52</v>
      </c>
      <c r="S321" s="1">
        <v>36</v>
      </c>
      <c r="T321" s="23">
        <v>69</v>
      </c>
      <c r="U321" s="1">
        <v>29</v>
      </c>
      <c r="V321" s="1">
        <f>VLOOKUP($B321&amp;"__wt",'Xtal_SegEnds_BW#'!$A:$Z,22,FALSE)</f>
        <v>53</v>
      </c>
      <c r="W321" s="1">
        <v>29</v>
      </c>
      <c r="X321" s="1">
        <f>VLOOKUP($B321&amp;"__wt",'Xtal_SegEnds_BW#'!$A:$Z,24,FALSE)</f>
        <v>56</v>
      </c>
      <c r="Y321" s="1">
        <f>VLOOKUP($B321&amp;"__wt",'Xtal_SegEnds_BW#'!$A:$Z,25,FALSE)</f>
        <v>47</v>
      </c>
      <c r="Z321" s="1">
        <v>63</v>
      </c>
      <c r="AA321" s="63" t="str">
        <f>VLOOKUP(A321,Classification!A:B,2,FALSE)</f>
        <v>B2</v>
      </c>
      <c r="AB321" s="1" t="e">
        <f>VLOOKUP(A321,'NonXtal_SegEnds_Prot#'!A:AL,10,FALSE)-VLOOKUP(A321,'NonXtal_SegEnds_Prot#'!A:AL,7,FALSE)</f>
        <v>#VALUE!</v>
      </c>
      <c r="AC321" s="1" t="e">
        <f>VLOOKUP(A321,'NonXtal_SegEnds_Prot#'!A:AL,13,FALSE)-VLOOKUP(A321,'NonXtal_SegEnds_Prot#'!A:AL,10,FALSE)</f>
        <v>#VALUE!</v>
      </c>
      <c r="AD321" s="1">
        <f>VLOOKUP(A321,'NonXtal_SegEnds_Prot#'!A:AL,16,FALSE)-VLOOKUP(A321,'NonXtal_SegEnds_Prot#'!A:AL,10,FALSE)</f>
        <v>73</v>
      </c>
      <c r="AE321" s="1">
        <f>VLOOKUP(A321,'NonXtal_SegEnds_Prot#'!A:AL,28,FALSE)-VLOOKUP(A321,'NonXtal_SegEnds_Prot#'!A:AL,25,FALSE)</f>
        <v>26</v>
      </c>
      <c r="AF321" s="1">
        <f>VLOOKUP(A321,'NonXtal_SegEnds_Prot#'!A:AL,31,FALSE)-VLOOKUP(A321,'NonXtal_SegEnds_Prot#'!A:AL,28,FALSE)</f>
        <v>51</v>
      </c>
      <c r="AG321" s="1">
        <f>VLOOKUP(A321,'NonXtal_SegEnds_Prot#'!A:AL,34,FALSE)-VLOOKUP(A321,'NonXtal_SegEnds_Prot#'!A:AL,31,FALSE)</f>
        <v>31</v>
      </c>
    </row>
    <row r="322" spans="1:33" x14ac:dyDescent="0.2">
      <c r="A322" s="1" t="s">
        <v>630</v>
      </c>
      <c r="B322" s="1" t="str">
        <f>VLOOKUP(A322,Xtal_Templ!A:B,2,FALSE)</f>
        <v>crfr1_human</v>
      </c>
      <c r="C322" s="5">
        <v>23</v>
      </c>
      <c r="D322" s="1">
        <f>VLOOKUP($B322&amp;"__wt",'Xtal_SegEnds_BW#'!$A:$Z,4,FALSE)</f>
        <v>60</v>
      </c>
      <c r="E322" s="1">
        <f>VLOOKUP($B322&amp;"__wt",'Xtal_SegEnds_BW#'!$A:$Z,5,FALSE)</f>
        <v>48</v>
      </c>
      <c r="F322" s="1">
        <f>VLOOKUP($B322&amp;"__wt",'Xtal_SegEnds_BW#'!$A:$Z,6,FALSE)</f>
        <v>51</v>
      </c>
      <c r="G322" s="1">
        <v>37</v>
      </c>
      <c r="H322" s="1">
        <v>63</v>
      </c>
      <c r="I322" s="1" t="str">
        <f>VLOOKUP($B322&amp;"__wt",'Xtal_SegEnds_BW#'!$A:$Z,9,FALSE)</f>
        <v>-</v>
      </c>
      <c r="J322" s="1" t="str">
        <f>VLOOKUP($B322&amp;"__wt",'Xtal_SegEnds_BW#'!$A:$Z,10,FALSE)</f>
        <v>-</v>
      </c>
      <c r="K322" s="1">
        <v>23</v>
      </c>
      <c r="L322" s="1">
        <f>VLOOKUP($B322&amp;"__wt",'Xtal_SegEnds_BW#'!$A:$Z,12,FALSE)</f>
        <v>56</v>
      </c>
      <c r="M322" s="1" t="str">
        <f>VLOOKUP($B322&amp;"__wt",'Xtal_SegEnds_BW#'!$A:$Z,13,FALSE)</f>
        <v>-</v>
      </c>
      <c r="N322" s="1" t="str">
        <f>VLOOKUP($B322&amp;"__wt",'Xtal_SegEnds_BW#'!$A:$Z,14,FALSE)</f>
        <v>-</v>
      </c>
      <c r="O322" s="1">
        <f>VLOOKUP($B322&amp;"__wt",'Xtal_SegEnds_BW#'!$A:$Z,15,FALSE)</f>
        <v>40</v>
      </c>
      <c r="P322" s="1">
        <f>VLOOKUP($B322&amp;"__wt",'Xtal_SegEnds_BW#'!$A:$Z,16,FALSE)</f>
        <v>68</v>
      </c>
      <c r="Q322" s="1">
        <f>VLOOKUP($B322&amp;"__wt",'Xtal_SegEnds_BW#'!$A:$Z,17,FALSE)</f>
        <v>50</v>
      </c>
      <c r="R322" s="1">
        <f>VLOOKUP($B322&amp;"__wt",'Xtal_SegEnds_BW#'!$A:$Z,18,FALSE)</f>
        <v>52</v>
      </c>
      <c r="S322" s="1">
        <v>36</v>
      </c>
      <c r="T322" s="23">
        <v>69</v>
      </c>
      <c r="U322" s="1">
        <v>29</v>
      </c>
      <c r="V322" s="1">
        <f>VLOOKUP($B322&amp;"__wt",'Xtal_SegEnds_BW#'!$A:$Z,22,FALSE)</f>
        <v>53</v>
      </c>
      <c r="W322" s="1">
        <v>31</v>
      </c>
      <c r="X322" s="1">
        <f>VLOOKUP($B322&amp;"__wt",'Xtal_SegEnds_BW#'!$A:$Z,24,FALSE)</f>
        <v>56</v>
      </c>
      <c r="Y322" s="1">
        <f>VLOOKUP($B322&amp;"__wt",'Xtal_SegEnds_BW#'!$A:$Z,25,FALSE)</f>
        <v>47</v>
      </c>
      <c r="Z322" s="1">
        <v>63</v>
      </c>
      <c r="AA322" s="63" t="str">
        <f>VLOOKUP(A322,Classification!A:B,2,FALSE)</f>
        <v>B2</v>
      </c>
      <c r="AB322" s="1">
        <f>VLOOKUP(A322,'NonXtal_SegEnds_Prot#'!A:AL,10,FALSE)-VLOOKUP(A322,'NonXtal_SegEnds_Prot#'!A:AL,7,FALSE)</f>
        <v>16</v>
      </c>
      <c r="AC322" s="1" t="e">
        <f>VLOOKUP(A322,'NonXtal_SegEnds_Prot#'!A:AL,13,FALSE)-VLOOKUP(A322,'NonXtal_SegEnds_Prot#'!A:AL,10,FALSE)</f>
        <v>#VALUE!</v>
      </c>
      <c r="AD322" s="1">
        <f>VLOOKUP(A322,'NonXtal_SegEnds_Prot#'!A:AL,16,FALSE)-VLOOKUP(A322,'NonXtal_SegEnds_Prot#'!A:AL,10,FALSE)</f>
        <v>47</v>
      </c>
      <c r="AE322" s="1">
        <f>VLOOKUP(A322,'NonXtal_SegEnds_Prot#'!A:AL,28,FALSE)-VLOOKUP(A322,'NonXtal_SegEnds_Prot#'!A:AL,25,FALSE)</f>
        <v>19</v>
      </c>
      <c r="AF322" s="1">
        <f>VLOOKUP(A322,'NonXtal_SegEnds_Prot#'!A:AL,31,FALSE)-VLOOKUP(A322,'NonXtal_SegEnds_Prot#'!A:AL,28,FALSE)</f>
        <v>51</v>
      </c>
      <c r="AG322" s="1">
        <f>VLOOKUP(A322,'NonXtal_SegEnds_Prot#'!A:AL,34,FALSE)-VLOOKUP(A322,'NonXtal_SegEnds_Prot#'!A:AL,31,FALSE)</f>
        <v>28</v>
      </c>
    </row>
    <row r="323" spans="1:33" x14ac:dyDescent="0.2">
      <c r="A323" s="1" t="s">
        <v>1401</v>
      </c>
      <c r="B323" s="1" t="str">
        <f>VLOOKUP(A323,Xtal_Templ!A:B,2,FALSE)</f>
        <v>crfr1_human</v>
      </c>
      <c r="C323" s="5">
        <v>23</v>
      </c>
      <c r="D323" s="1">
        <f>VLOOKUP($B323&amp;"__wt",'Xtal_SegEnds_BW#'!$A:$Z,4,FALSE)</f>
        <v>60</v>
      </c>
      <c r="E323" s="1">
        <f>VLOOKUP($B323&amp;"__wt",'Xtal_SegEnds_BW#'!$A:$Z,5,FALSE)</f>
        <v>48</v>
      </c>
      <c r="F323" s="1">
        <f>VLOOKUP($B323&amp;"__wt",'Xtal_SegEnds_BW#'!$A:$Z,6,FALSE)</f>
        <v>51</v>
      </c>
      <c r="G323" s="1">
        <v>37</v>
      </c>
      <c r="H323" s="1">
        <v>63</v>
      </c>
      <c r="I323" s="1" t="str">
        <f>VLOOKUP($B323&amp;"__wt",'Xtal_SegEnds_BW#'!$A:$Z,9,FALSE)</f>
        <v>-</v>
      </c>
      <c r="J323" s="1" t="str">
        <f>VLOOKUP($B323&amp;"__wt",'Xtal_SegEnds_BW#'!$A:$Z,10,FALSE)</f>
        <v>-</v>
      </c>
      <c r="K323" s="1">
        <v>23</v>
      </c>
      <c r="L323" s="1">
        <f>VLOOKUP($B323&amp;"__wt",'Xtal_SegEnds_BW#'!$A:$Z,12,FALSE)</f>
        <v>56</v>
      </c>
      <c r="M323" s="1" t="str">
        <f>VLOOKUP($B323&amp;"__wt",'Xtal_SegEnds_BW#'!$A:$Z,13,FALSE)</f>
        <v>-</v>
      </c>
      <c r="N323" s="1" t="str">
        <f>VLOOKUP($B323&amp;"__wt",'Xtal_SegEnds_BW#'!$A:$Z,14,FALSE)</f>
        <v>-</v>
      </c>
      <c r="O323" s="1">
        <f>VLOOKUP($B323&amp;"__wt",'Xtal_SegEnds_BW#'!$A:$Z,15,FALSE)</f>
        <v>40</v>
      </c>
      <c r="P323" s="1">
        <f>VLOOKUP($B323&amp;"__wt",'Xtal_SegEnds_BW#'!$A:$Z,16,FALSE)</f>
        <v>68</v>
      </c>
      <c r="Q323" s="1">
        <f>VLOOKUP($B323&amp;"__wt",'Xtal_SegEnds_BW#'!$A:$Z,17,FALSE)</f>
        <v>50</v>
      </c>
      <c r="R323" s="1">
        <f>VLOOKUP($B323&amp;"__wt",'Xtal_SegEnds_BW#'!$A:$Z,18,FALSE)</f>
        <v>52</v>
      </c>
      <c r="S323" s="1">
        <v>36</v>
      </c>
      <c r="T323" s="23">
        <v>69</v>
      </c>
      <c r="U323" s="1">
        <v>29</v>
      </c>
      <c r="V323" s="1">
        <f>VLOOKUP($B323&amp;"__wt",'Xtal_SegEnds_BW#'!$A:$Z,22,FALSE)</f>
        <v>53</v>
      </c>
      <c r="W323" s="1">
        <v>31</v>
      </c>
      <c r="X323" s="1">
        <f>VLOOKUP($B323&amp;"__wt",'Xtal_SegEnds_BW#'!$A:$Z,24,FALSE)</f>
        <v>56</v>
      </c>
      <c r="Y323" s="1">
        <f>VLOOKUP($B323&amp;"__wt",'Xtal_SegEnds_BW#'!$A:$Z,25,FALSE)</f>
        <v>47</v>
      </c>
      <c r="Z323" s="1">
        <v>63</v>
      </c>
      <c r="AA323" s="63" t="str">
        <f>VLOOKUP(A323,Classification!A:B,2,FALSE)</f>
        <v>B2</v>
      </c>
      <c r="AB323" s="1">
        <f>VLOOKUP(A323,'NonXtal_SegEnds_Prot#'!A:AL,10,FALSE)-VLOOKUP(A323,'NonXtal_SegEnds_Prot#'!A:AL,7,FALSE)</f>
        <v>18</v>
      </c>
      <c r="AC323" s="1" t="e">
        <f>VLOOKUP(A323,'NonXtal_SegEnds_Prot#'!A:AL,13,FALSE)-VLOOKUP(A323,'NonXtal_SegEnds_Prot#'!A:AL,10,FALSE)</f>
        <v>#VALUE!</v>
      </c>
      <c r="AD323" s="1">
        <f>VLOOKUP(A323,'NonXtal_SegEnds_Prot#'!A:AL,16,FALSE)-VLOOKUP(A323,'NonXtal_SegEnds_Prot#'!A:AL,10,FALSE)</f>
        <v>45</v>
      </c>
      <c r="AE323" s="1">
        <f>VLOOKUP(A323,'NonXtal_SegEnds_Prot#'!A:AL,28,FALSE)-VLOOKUP(A323,'NonXtal_SegEnds_Prot#'!A:AL,25,FALSE)</f>
        <v>19</v>
      </c>
      <c r="AF323" s="1">
        <f>VLOOKUP(A323,'NonXtal_SegEnds_Prot#'!A:AL,31,FALSE)-VLOOKUP(A323,'NonXtal_SegEnds_Prot#'!A:AL,28,FALSE)</f>
        <v>52</v>
      </c>
      <c r="AG323" s="1">
        <f>VLOOKUP(A323,'NonXtal_SegEnds_Prot#'!A:AL,34,FALSE)-VLOOKUP(A323,'NonXtal_SegEnds_Prot#'!A:AL,31,FALSE)</f>
        <v>28</v>
      </c>
    </row>
    <row r="324" spans="1:33" x14ac:dyDescent="0.2">
      <c r="A324" s="1" t="s">
        <v>1403</v>
      </c>
      <c r="B324" s="1" t="str">
        <f>VLOOKUP(A324,Xtal_Templ!A:B,2,FALSE)</f>
        <v>crfr1_human</v>
      </c>
      <c r="C324" s="5">
        <v>23</v>
      </c>
      <c r="D324" s="1">
        <f>VLOOKUP($B324&amp;"__wt",'Xtal_SegEnds_BW#'!$A:$Z,4,FALSE)</f>
        <v>60</v>
      </c>
      <c r="E324" s="1">
        <f>VLOOKUP($B324&amp;"__wt",'Xtal_SegEnds_BW#'!$A:$Z,5,FALSE)</f>
        <v>48</v>
      </c>
      <c r="F324" s="1">
        <f>VLOOKUP($B324&amp;"__wt",'Xtal_SegEnds_BW#'!$A:$Z,6,FALSE)</f>
        <v>51</v>
      </c>
      <c r="G324" s="1">
        <v>37</v>
      </c>
      <c r="H324" s="1">
        <v>63</v>
      </c>
      <c r="I324" s="1" t="str">
        <f>VLOOKUP($B324&amp;"__wt",'Xtal_SegEnds_BW#'!$A:$Z,9,FALSE)</f>
        <v>-</v>
      </c>
      <c r="J324" s="1" t="str">
        <f>VLOOKUP($B324&amp;"__wt",'Xtal_SegEnds_BW#'!$A:$Z,10,FALSE)</f>
        <v>-</v>
      </c>
      <c r="K324" s="1">
        <v>23</v>
      </c>
      <c r="L324" s="1">
        <f>VLOOKUP($B324&amp;"__wt",'Xtal_SegEnds_BW#'!$A:$Z,12,FALSE)</f>
        <v>56</v>
      </c>
      <c r="M324" s="1" t="str">
        <f>VLOOKUP($B324&amp;"__wt",'Xtal_SegEnds_BW#'!$A:$Z,13,FALSE)</f>
        <v>-</v>
      </c>
      <c r="N324" s="1" t="str">
        <f>VLOOKUP($B324&amp;"__wt",'Xtal_SegEnds_BW#'!$A:$Z,14,FALSE)</f>
        <v>-</v>
      </c>
      <c r="O324" s="1">
        <f>VLOOKUP($B324&amp;"__wt",'Xtal_SegEnds_BW#'!$A:$Z,15,FALSE)</f>
        <v>40</v>
      </c>
      <c r="P324" s="1">
        <f>VLOOKUP($B324&amp;"__wt",'Xtal_SegEnds_BW#'!$A:$Z,16,FALSE)</f>
        <v>68</v>
      </c>
      <c r="Q324" s="1">
        <f>VLOOKUP($B324&amp;"__wt",'Xtal_SegEnds_BW#'!$A:$Z,17,FALSE)</f>
        <v>50</v>
      </c>
      <c r="R324" s="1">
        <f>VLOOKUP($B324&amp;"__wt",'Xtal_SegEnds_BW#'!$A:$Z,18,FALSE)</f>
        <v>52</v>
      </c>
      <c r="S324" s="1">
        <v>36</v>
      </c>
      <c r="T324" s="23">
        <v>69</v>
      </c>
      <c r="U324" s="1">
        <v>29</v>
      </c>
      <c r="V324" s="1">
        <f>VLOOKUP($B324&amp;"__wt",'Xtal_SegEnds_BW#'!$A:$Z,22,FALSE)</f>
        <v>53</v>
      </c>
      <c r="W324" s="1">
        <v>31</v>
      </c>
      <c r="X324" s="1">
        <f>VLOOKUP($B324&amp;"__wt",'Xtal_SegEnds_BW#'!$A:$Z,24,FALSE)</f>
        <v>56</v>
      </c>
      <c r="Y324" s="1">
        <f>VLOOKUP($B324&amp;"__wt",'Xtal_SegEnds_BW#'!$A:$Z,25,FALSE)</f>
        <v>47</v>
      </c>
      <c r="Z324" s="1">
        <v>63</v>
      </c>
      <c r="AA324" s="63" t="str">
        <f>VLOOKUP(A324,Classification!A:B,2,FALSE)</f>
        <v>B2</v>
      </c>
      <c r="AB324" s="1" t="e">
        <f>VLOOKUP(A324,'NonXtal_SegEnds_Prot#'!A:AL,10,FALSE)-VLOOKUP(A324,'NonXtal_SegEnds_Prot#'!A:AL,7,FALSE)</f>
        <v>#VALUE!</v>
      </c>
      <c r="AC324" s="1" t="e">
        <f>VLOOKUP(A324,'NonXtal_SegEnds_Prot#'!A:AL,13,FALSE)-VLOOKUP(A324,'NonXtal_SegEnds_Prot#'!A:AL,10,FALSE)</f>
        <v>#VALUE!</v>
      </c>
      <c r="AD324" s="1">
        <f>VLOOKUP(A324,'NonXtal_SegEnds_Prot#'!A:AL,16,FALSE)-VLOOKUP(A324,'NonXtal_SegEnds_Prot#'!A:AL,10,FALSE)</f>
        <v>45</v>
      </c>
      <c r="AE324" s="1">
        <f>VLOOKUP(A324,'NonXtal_SegEnds_Prot#'!A:AL,28,FALSE)-VLOOKUP(A324,'NonXtal_SegEnds_Prot#'!A:AL,25,FALSE)</f>
        <v>19</v>
      </c>
      <c r="AF324" s="1">
        <f>VLOOKUP(A324,'NonXtal_SegEnds_Prot#'!A:AL,31,FALSE)-VLOOKUP(A324,'NonXtal_SegEnds_Prot#'!A:AL,28,FALSE)</f>
        <v>52</v>
      </c>
      <c r="AG324" s="1">
        <f>VLOOKUP(A324,'NonXtal_SegEnds_Prot#'!A:AL,34,FALSE)-VLOOKUP(A324,'NonXtal_SegEnds_Prot#'!A:AL,31,FALSE)</f>
        <v>28</v>
      </c>
    </row>
    <row r="325" spans="1:33" x14ac:dyDescent="0.2">
      <c r="A325" s="1" t="s">
        <v>1404</v>
      </c>
      <c r="B325" s="1" t="str">
        <f>VLOOKUP(A325,Xtal_Templ!A:B,2,FALSE)</f>
        <v>crfr1_human</v>
      </c>
      <c r="C325" s="5">
        <v>23</v>
      </c>
      <c r="D325" s="1">
        <f>VLOOKUP($B325&amp;"__wt",'Xtal_SegEnds_BW#'!$A:$Z,4,FALSE)</f>
        <v>60</v>
      </c>
      <c r="E325" s="1">
        <f>VLOOKUP($B325&amp;"__wt",'Xtal_SegEnds_BW#'!$A:$Z,5,FALSE)</f>
        <v>48</v>
      </c>
      <c r="F325" s="1">
        <f>VLOOKUP($B325&amp;"__wt",'Xtal_SegEnds_BW#'!$A:$Z,6,FALSE)</f>
        <v>51</v>
      </c>
      <c r="G325" s="1">
        <v>37</v>
      </c>
      <c r="H325" s="1">
        <v>63</v>
      </c>
      <c r="I325" s="1" t="str">
        <f>VLOOKUP($B325&amp;"__wt",'Xtal_SegEnds_BW#'!$A:$Z,9,FALSE)</f>
        <v>-</v>
      </c>
      <c r="J325" s="1" t="str">
        <f>VLOOKUP($B325&amp;"__wt",'Xtal_SegEnds_BW#'!$A:$Z,10,FALSE)</f>
        <v>-</v>
      </c>
      <c r="K325" s="1">
        <v>23</v>
      </c>
      <c r="L325" s="1">
        <f>VLOOKUP($B325&amp;"__wt",'Xtal_SegEnds_BW#'!$A:$Z,12,FALSE)</f>
        <v>56</v>
      </c>
      <c r="M325" s="1" t="str">
        <f>VLOOKUP($B325&amp;"__wt",'Xtal_SegEnds_BW#'!$A:$Z,13,FALSE)</f>
        <v>-</v>
      </c>
      <c r="N325" s="1" t="str">
        <f>VLOOKUP($B325&amp;"__wt",'Xtal_SegEnds_BW#'!$A:$Z,14,FALSE)</f>
        <v>-</v>
      </c>
      <c r="O325" s="1">
        <f>VLOOKUP($B325&amp;"__wt",'Xtal_SegEnds_BW#'!$A:$Z,15,FALSE)</f>
        <v>40</v>
      </c>
      <c r="P325" s="1">
        <f>VLOOKUP($B325&amp;"__wt",'Xtal_SegEnds_BW#'!$A:$Z,16,FALSE)</f>
        <v>68</v>
      </c>
      <c r="Q325" s="1">
        <f>VLOOKUP($B325&amp;"__wt",'Xtal_SegEnds_BW#'!$A:$Z,17,FALSE)</f>
        <v>50</v>
      </c>
      <c r="R325" s="1">
        <f>VLOOKUP($B325&amp;"__wt",'Xtal_SegEnds_BW#'!$A:$Z,18,FALSE)</f>
        <v>52</v>
      </c>
      <c r="S325" s="1">
        <v>36</v>
      </c>
      <c r="T325" s="23">
        <v>69</v>
      </c>
      <c r="U325" s="1">
        <v>29</v>
      </c>
      <c r="V325" s="1">
        <f>VLOOKUP($B325&amp;"__wt",'Xtal_SegEnds_BW#'!$A:$Z,22,FALSE)</f>
        <v>53</v>
      </c>
      <c r="W325" s="1">
        <v>31</v>
      </c>
      <c r="X325" s="1">
        <f>VLOOKUP($B325&amp;"__wt",'Xtal_SegEnds_BW#'!$A:$Z,24,FALSE)</f>
        <v>56</v>
      </c>
      <c r="Y325" s="1">
        <f>VLOOKUP($B325&amp;"__wt",'Xtal_SegEnds_BW#'!$A:$Z,25,FALSE)</f>
        <v>47</v>
      </c>
      <c r="Z325" s="1">
        <v>63</v>
      </c>
      <c r="AA325" s="63" t="str">
        <f>VLOOKUP(A325,Classification!A:B,2,FALSE)</f>
        <v>B2</v>
      </c>
      <c r="AB325" s="1">
        <f>VLOOKUP(A325,'NonXtal_SegEnds_Prot#'!A:AL,10,FALSE)-VLOOKUP(A325,'NonXtal_SegEnds_Prot#'!A:AL,7,FALSE)</f>
        <v>15</v>
      </c>
      <c r="AC325" s="1" t="e">
        <f>VLOOKUP(A325,'NonXtal_SegEnds_Prot#'!A:AL,13,FALSE)-VLOOKUP(A325,'NonXtal_SegEnds_Prot#'!A:AL,10,FALSE)</f>
        <v>#VALUE!</v>
      </c>
      <c r="AD325" s="1">
        <f>VLOOKUP(A325,'NonXtal_SegEnds_Prot#'!A:AL,16,FALSE)-VLOOKUP(A325,'NonXtal_SegEnds_Prot#'!A:AL,10,FALSE)</f>
        <v>45</v>
      </c>
      <c r="AE325" s="1">
        <f>VLOOKUP(A325,'NonXtal_SegEnds_Prot#'!A:AL,28,FALSE)-VLOOKUP(A325,'NonXtal_SegEnds_Prot#'!A:AL,25,FALSE)</f>
        <v>19</v>
      </c>
      <c r="AF325" s="1">
        <f>VLOOKUP(A325,'NonXtal_SegEnds_Prot#'!A:AL,31,FALSE)-VLOOKUP(A325,'NonXtal_SegEnds_Prot#'!A:AL,28,FALSE)</f>
        <v>52</v>
      </c>
      <c r="AG325" s="1">
        <f>VLOOKUP(A325,'NonXtal_SegEnds_Prot#'!A:AL,34,FALSE)-VLOOKUP(A325,'NonXtal_SegEnds_Prot#'!A:AL,31,FALSE)</f>
        <v>28</v>
      </c>
    </row>
    <row r="326" spans="1:33" x14ac:dyDescent="0.2">
      <c r="A326" s="1" t="s">
        <v>1405</v>
      </c>
      <c r="B326" s="1" t="str">
        <f>VLOOKUP(A326,Xtal_Templ!A:B,2,FALSE)</f>
        <v>crfr1_human</v>
      </c>
      <c r="C326" s="5">
        <v>23</v>
      </c>
      <c r="D326" s="1">
        <f>VLOOKUP($B326&amp;"__wt",'Xtal_SegEnds_BW#'!$A:$Z,4,FALSE)</f>
        <v>60</v>
      </c>
      <c r="E326" s="1">
        <f>VLOOKUP($B326&amp;"__wt",'Xtal_SegEnds_BW#'!$A:$Z,5,FALSE)</f>
        <v>48</v>
      </c>
      <c r="F326" s="1">
        <f>VLOOKUP($B326&amp;"__wt",'Xtal_SegEnds_BW#'!$A:$Z,6,FALSE)</f>
        <v>51</v>
      </c>
      <c r="G326" s="1">
        <v>37</v>
      </c>
      <c r="H326" s="1">
        <v>63</v>
      </c>
      <c r="I326" s="1" t="str">
        <f>VLOOKUP($B326&amp;"__wt",'Xtal_SegEnds_BW#'!$A:$Z,9,FALSE)</f>
        <v>-</v>
      </c>
      <c r="J326" s="1" t="str">
        <f>VLOOKUP($B326&amp;"__wt",'Xtal_SegEnds_BW#'!$A:$Z,10,FALSE)</f>
        <v>-</v>
      </c>
      <c r="K326" s="1">
        <v>23</v>
      </c>
      <c r="L326" s="1">
        <f>VLOOKUP($B326&amp;"__wt",'Xtal_SegEnds_BW#'!$A:$Z,12,FALSE)</f>
        <v>56</v>
      </c>
      <c r="M326" s="1" t="str">
        <f>VLOOKUP($B326&amp;"__wt",'Xtal_SegEnds_BW#'!$A:$Z,13,FALSE)</f>
        <v>-</v>
      </c>
      <c r="N326" s="1" t="str">
        <f>VLOOKUP($B326&amp;"__wt",'Xtal_SegEnds_BW#'!$A:$Z,14,FALSE)</f>
        <v>-</v>
      </c>
      <c r="O326" s="1">
        <f>VLOOKUP($B326&amp;"__wt",'Xtal_SegEnds_BW#'!$A:$Z,15,FALSE)</f>
        <v>40</v>
      </c>
      <c r="P326" s="1">
        <f>VLOOKUP($B326&amp;"__wt",'Xtal_SegEnds_BW#'!$A:$Z,16,FALSE)</f>
        <v>68</v>
      </c>
      <c r="Q326" s="1">
        <f>VLOOKUP($B326&amp;"__wt",'Xtal_SegEnds_BW#'!$A:$Z,17,FALSE)</f>
        <v>50</v>
      </c>
      <c r="R326" s="1">
        <f>VLOOKUP($B326&amp;"__wt",'Xtal_SegEnds_BW#'!$A:$Z,18,FALSE)</f>
        <v>52</v>
      </c>
      <c r="S326" s="1">
        <v>36</v>
      </c>
      <c r="T326" s="23">
        <v>69</v>
      </c>
      <c r="U326" s="1">
        <v>29</v>
      </c>
      <c r="V326" s="1">
        <f>VLOOKUP($B326&amp;"__wt",'Xtal_SegEnds_BW#'!$A:$Z,22,FALSE)</f>
        <v>53</v>
      </c>
      <c r="W326" s="1">
        <v>31</v>
      </c>
      <c r="X326" s="1">
        <f>VLOOKUP($B326&amp;"__wt",'Xtal_SegEnds_BW#'!$A:$Z,24,FALSE)</f>
        <v>56</v>
      </c>
      <c r="Y326" s="1">
        <f>VLOOKUP($B326&amp;"__wt",'Xtal_SegEnds_BW#'!$A:$Z,25,FALSE)</f>
        <v>47</v>
      </c>
      <c r="Z326" s="1">
        <v>63</v>
      </c>
      <c r="AA326" s="63" t="str">
        <f>VLOOKUP(A326,Classification!A:B,2,FALSE)</f>
        <v>B2</v>
      </c>
      <c r="AB326" s="1">
        <f>VLOOKUP(A326,'NonXtal_SegEnds_Prot#'!A:AL,10,FALSE)-VLOOKUP(A326,'NonXtal_SegEnds_Prot#'!A:AL,7,FALSE)</f>
        <v>15</v>
      </c>
      <c r="AC326" s="1" t="e">
        <f>VLOOKUP(A326,'NonXtal_SegEnds_Prot#'!A:AL,13,FALSE)-VLOOKUP(A326,'NonXtal_SegEnds_Prot#'!A:AL,10,FALSE)</f>
        <v>#VALUE!</v>
      </c>
      <c r="AD326" s="1">
        <f>VLOOKUP(A326,'NonXtal_SegEnds_Prot#'!A:AL,16,FALSE)-VLOOKUP(A326,'NonXtal_SegEnds_Prot#'!A:AL,10,FALSE)</f>
        <v>45</v>
      </c>
      <c r="AE326" s="1">
        <f>VLOOKUP(A326,'NonXtal_SegEnds_Prot#'!A:AL,28,FALSE)-VLOOKUP(A326,'NonXtal_SegEnds_Prot#'!A:AL,25,FALSE)</f>
        <v>19</v>
      </c>
      <c r="AF326" s="1">
        <f>VLOOKUP(A326,'NonXtal_SegEnds_Prot#'!A:AL,31,FALSE)-VLOOKUP(A326,'NonXtal_SegEnds_Prot#'!A:AL,28,FALSE)</f>
        <v>52</v>
      </c>
      <c r="AG326" s="1">
        <f>VLOOKUP(A326,'NonXtal_SegEnds_Prot#'!A:AL,34,FALSE)-VLOOKUP(A326,'NonXtal_SegEnds_Prot#'!A:AL,31,FALSE)</f>
        <v>28</v>
      </c>
    </row>
    <row r="327" spans="1:33" x14ac:dyDescent="0.2">
      <c r="A327" s="1" t="s">
        <v>1406</v>
      </c>
      <c r="B327" s="1" t="str">
        <f>VLOOKUP(A327,Xtal_Templ!A:B,2,FALSE)</f>
        <v>crfr1_human</v>
      </c>
      <c r="C327" s="5">
        <v>23</v>
      </c>
      <c r="D327" s="1">
        <f>VLOOKUP($B327&amp;"__wt",'Xtal_SegEnds_BW#'!$A:$Z,4,FALSE)</f>
        <v>60</v>
      </c>
      <c r="E327" s="1">
        <f>VLOOKUP($B327&amp;"__wt",'Xtal_SegEnds_BW#'!$A:$Z,5,FALSE)</f>
        <v>48</v>
      </c>
      <c r="F327" s="1">
        <f>VLOOKUP($B327&amp;"__wt",'Xtal_SegEnds_BW#'!$A:$Z,6,FALSE)</f>
        <v>51</v>
      </c>
      <c r="G327" s="1">
        <v>37</v>
      </c>
      <c r="H327" s="1">
        <v>63</v>
      </c>
      <c r="I327" s="1" t="str">
        <f>VLOOKUP($B327&amp;"__wt",'Xtal_SegEnds_BW#'!$A:$Z,9,FALSE)</f>
        <v>-</v>
      </c>
      <c r="J327" s="1" t="str">
        <f>VLOOKUP($B327&amp;"__wt",'Xtal_SegEnds_BW#'!$A:$Z,10,FALSE)</f>
        <v>-</v>
      </c>
      <c r="K327" s="1">
        <v>23</v>
      </c>
      <c r="L327" s="1">
        <f>VLOOKUP($B327&amp;"__wt",'Xtal_SegEnds_BW#'!$A:$Z,12,FALSE)</f>
        <v>56</v>
      </c>
      <c r="M327" s="1" t="str">
        <f>VLOOKUP($B327&amp;"__wt",'Xtal_SegEnds_BW#'!$A:$Z,13,FALSE)</f>
        <v>-</v>
      </c>
      <c r="N327" s="1" t="str">
        <f>VLOOKUP($B327&amp;"__wt",'Xtal_SegEnds_BW#'!$A:$Z,14,FALSE)</f>
        <v>-</v>
      </c>
      <c r="O327" s="1">
        <f>VLOOKUP($B327&amp;"__wt",'Xtal_SegEnds_BW#'!$A:$Z,15,FALSE)</f>
        <v>40</v>
      </c>
      <c r="P327" s="1">
        <f>VLOOKUP($B327&amp;"__wt",'Xtal_SegEnds_BW#'!$A:$Z,16,FALSE)</f>
        <v>68</v>
      </c>
      <c r="Q327" s="1">
        <f>VLOOKUP($B327&amp;"__wt",'Xtal_SegEnds_BW#'!$A:$Z,17,FALSE)</f>
        <v>50</v>
      </c>
      <c r="R327" s="1">
        <f>VLOOKUP($B327&amp;"__wt",'Xtal_SegEnds_BW#'!$A:$Z,18,FALSE)</f>
        <v>52</v>
      </c>
      <c r="S327" s="1">
        <v>36</v>
      </c>
      <c r="T327" s="23">
        <v>69</v>
      </c>
      <c r="U327" s="1">
        <v>29</v>
      </c>
      <c r="V327" s="1">
        <f>VLOOKUP($B327&amp;"__wt",'Xtal_SegEnds_BW#'!$A:$Z,22,FALSE)</f>
        <v>53</v>
      </c>
      <c r="W327" s="1">
        <v>27</v>
      </c>
      <c r="X327" s="1">
        <f>VLOOKUP($B327&amp;"__wt",'Xtal_SegEnds_BW#'!$A:$Z,24,FALSE)</f>
        <v>56</v>
      </c>
      <c r="Y327" s="1">
        <f>VLOOKUP($B327&amp;"__wt",'Xtal_SegEnds_BW#'!$A:$Z,25,FALSE)</f>
        <v>47</v>
      </c>
      <c r="Z327" s="1">
        <v>63</v>
      </c>
      <c r="AA327" s="63" t="str">
        <f>VLOOKUP(A327,Classification!A:B,2,FALSE)</f>
        <v>B2</v>
      </c>
      <c r="AB327" s="1">
        <f>VLOOKUP(A327,'NonXtal_SegEnds_Prot#'!A:AL,10,FALSE)-VLOOKUP(A327,'NonXtal_SegEnds_Prot#'!A:AL,7,FALSE)</f>
        <v>15</v>
      </c>
      <c r="AC327" s="1" t="e">
        <f>VLOOKUP(A327,'NonXtal_SegEnds_Prot#'!A:AL,13,FALSE)-VLOOKUP(A327,'NonXtal_SegEnds_Prot#'!A:AL,10,FALSE)</f>
        <v>#VALUE!</v>
      </c>
      <c r="AD327" s="1">
        <f>VLOOKUP(A327,'NonXtal_SegEnds_Prot#'!A:AL,16,FALSE)-VLOOKUP(A327,'NonXtal_SegEnds_Prot#'!A:AL,10,FALSE)</f>
        <v>45</v>
      </c>
      <c r="AE327" s="1">
        <f>VLOOKUP(A327,'NonXtal_SegEnds_Prot#'!A:AL,28,FALSE)-VLOOKUP(A327,'NonXtal_SegEnds_Prot#'!A:AL,25,FALSE)</f>
        <v>19</v>
      </c>
      <c r="AF327" s="1">
        <f>VLOOKUP(A327,'NonXtal_SegEnds_Prot#'!A:AL,31,FALSE)-VLOOKUP(A327,'NonXtal_SegEnds_Prot#'!A:AL,28,FALSE)</f>
        <v>52</v>
      </c>
      <c r="AG327" s="1">
        <f>VLOOKUP(A327,'NonXtal_SegEnds_Prot#'!A:AL,34,FALSE)-VLOOKUP(A327,'NonXtal_SegEnds_Prot#'!A:AL,31,FALSE)</f>
        <v>32</v>
      </c>
    </row>
    <row r="328" spans="1:33" x14ac:dyDescent="0.2">
      <c r="A328" s="1" t="s">
        <v>1407</v>
      </c>
      <c r="B328" s="1" t="str">
        <f>VLOOKUP(A328,Xtal_Templ!A:B,2,FALSE)</f>
        <v>crfr1_human</v>
      </c>
      <c r="C328" s="5">
        <v>23</v>
      </c>
      <c r="D328" s="1">
        <f>VLOOKUP($B328&amp;"__wt",'Xtal_SegEnds_BW#'!$A:$Z,4,FALSE)</f>
        <v>60</v>
      </c>
      <c r="E328" s="1">
        <f>VLOOKUP($B328&amp;"__wt",'Xtal_SegEnds_BW#'!$A:$Z,5,FALSE)</f>
        <v>48</v>
      </c>
      <c r="F328" s="1">
        <f>VLOOKUP($B328&amp;"__wt",'Xtal_SegEnds_BW#'!$A:$Z,6,FALSE)</f>
        <v>51</v>
      </c>
      <c r="G328" s="1">
        <v>37</v>
      </c>
      <c r="H328" s="1">
        <v>63</v>
      </c>
      <c r="I328" s="1" t="str">
        <f>VLOOKUP($B328&amp;"__wt",'Xtal_SegEnds_BW#'!$A:$Z,9,FALSE)</f>
        <v>-</v>
      </c>
      <c r="J328" s="1" t="str">
        <f>VLOOKUP($B328&amp;"__wt",'Xtal_SegEnds_BW#'!$A:$Z,10,FALSE)</f>
        <v>-</v>
      </c>
      <c r="K328" s="1">
        <v>23</v>
      </c>
      <c r="L328" s="1">
        <f>VLOOKUP($B328&amp;"__wt",'Xtal_SegEnds_BW#'!$A:$Z,12,FALSE)</f>
        <v>56</v>
      </c>
      <c r="M328" s="1" t="str">
        <f>VLOOKUP($B328&amp;"__wt",'Xtal_SegEnds_BW#'!$A:$Z,13,FALSE)</f>
        <v>-</v>
      </c>
      <c r="N328" s="1" t="str">
        <f>VLOOKUP($B328&amp;"__wt",'Xtal_SegEnds_BW#'!$A:$Z,14,FALSE)</f>
        <v>-</v>
      </c>
      <c r="O328" s="1">
        <f>VLOOKUP($B328&amp;"__wt",'Xtal_SegEnds_BW#'!$A:$Z,15,FALSE)</f>
        <v>40</v>
      </c>
      <c r="P328" s="1">
        <f>VLOOKUP($B328&amp;"__wt",'Xtal_SegEnds_BW#'!$A:$Z,16,FALSE)</f>
        <v>68</v>
      </c>
      <c r="Q328" s="1">
        <f>VLOOKUP($B328&amp;"__wt",'Xtal_SegEnds_BW#'!$A:$Z,17,FALSE)</f>
        <v>50</v>
      </c>
      <c r="R328" s="1">
        <f>VLOOKUP($B328&amp;"__wt",'Xtal_SegEnds_BW#'!$A:$Z,18,FALSE)</f>
        <v>52</v>
      </c>
      <c r="S328" s="1">
        <v>36</v>
      </c>
      <c r="T328" s="23">
        <v>69</v>
      </c>
      <c r="U328" s="1">
        <v>29</v>
      </c>
      <c r="V328" s="1">
        <f>VLOOKUP($B328&amp;"__wt",'Xtal_SegEnds_BW#'!$A:$Z,22,FALSE)</f>
        <v>53</v>
      </c>
      <c r="W328" s="1">
        <v>31</v>
      </c>
      <c r="X328" s="1">
        <f>VLOOKUP($B328&amp;"__wt",'Xtal_SegEnds_BW#'!$A:$Z,24,FALSE)</f>
        <v>56</v>
      </c>
      <c r="Y328" s="1">
        <f>VLOOKUP($B328&amp;"__wt",'Xtal_SegEnds_BW#'!$A:$Z,25,FALSE)</f>
        <v>47</v>
      </c>
      <c r="Z328" s="1">
        <v>63</v>
      </c>
      <c r="AA328" s="63" t="str">
        <f>VLOOKUP(A328,Classification!A:B,2,FALSE)</f>
        <v>B2</v>
      </c>
      <c r="AB328" s="1" t="e">
        <f>VLOOKUP(A328,'NonXtal_SegEnds_Prot#'!A:AL,10,FALSE)-VLOOKUP(A328,'NonXtal_SegEnds_Prot#'!A:AL,7,FALSE)</f>
        <v>#VALUE!</v>
      </c>
      <c r="AC328" s="1" t="e">
        <f>VLOOKUP(A328,'NonXtal_SegEnds_Prot#'!A:AL,13,FALSE)-VLOOKUP(A328,'NonXtal_SegEnds_Prot#'!A:AL,10,FALSE)</f>
        <v>#VALUE!</v>
      </c>
      <c r="AD328" s="1">
        <f>VLOOKUP(A328,'NonXtal_SegEnds_Prot#'!A:AL,16,FALSE)-VLOOKUP(A328,'NonXtal_SegEnds_Prot#'!A:AL,10,FALSE)</f>
        <v>51</v>
      </c>
      <c r="AE328" s="1">
        <f>VLOOKUP(A328,'NonXtal_SegEnds_Prot#'!A:AL,28,FALSE)-VLOOKUP(A328,'NonXtal_SegEnds_Prot#'!A:AL,25,FALSE)</f>
        <v>21</v>
      </c>
      <c r="AF328" s="1">
        <f>VLOOKUP(A328,'NonXtal_SegEnds_Prot#'!A:AL,31,FALSE)-VLOOKUP(A328,'NonXtal_SegEnds_Prot#'!A:AL,28,FALSE)</f>
        <v>52</v>
      </c>
      <c r="AG328" s="1">
        <f>VLOOKUP(A328,'NonXtal_SegEnds_Prot#'!A:AL,34,FALSE)-VLOOKUP(A328,'NonXtal_SegEnds_Prot#'!A:AL,31,FALSE)</f>
        <v>29</v>
      </c>
    </row>
    <row r="329" spans="1:33" x14ac:dyDescent="0.2">
      <c r="A329" s="1" t="s">
        <v>1409</v>
      </c>
      <c r="B329" s="1" t="str">
        <f>VLOOKUP(A329,Xtal_Templ!A:B,2,FALSE)</f>
        <v>crfr1_human</v>
      </c>
      <c r="C329" s="5">
        <v>23</v>
      </c>
      <c r="D329" s="1">
        <f>VLOOKUP($B329&amp;"__wt",'Xtal_SegEnds_BW#'!$A:$Z,4,FALSE)</f>
        <v>60</v>
      </c>
      <c r="E329" s="1">
        <f>VLOOKUP($B329&amp;"__wt",'Xtal_SegEnds_BW#'!$A:$Z,5,FALSE)</f>
        <v>48</v>
      </c>
      <c r="F329" s="1">
        <f>VLOOKUP($B329&amp;"__wt",'Xtal_SegEnds_BW#'!$A:$Z,6,FALSE)</f>
        <v>51</v>
      </c>
      <c r="G329" s="1">
        <v>37</v>
      </c>
      <c r="H329" s="1">
        <v>63</v>
      </c>
      <c r="I329" s="1" t="str">
        <f>VLOOKUP($B329&amp;"__wt",'Xtal_SegEnds_BW#'!$A:$Z,9,FALSE)</f>
        <v>-</v>
      </c>
      <c r="J329" s="1" t="str">
        <f>VLOOKUP($B329&amp;"__wt",'Xtal_SegEnds_BW#'!$A:$Z,10,FALSE)</f>
        <v>-</v>
      </c>
      <c r="K329" s="1">
        <v>23</v>
      </c>
      <c r="L329" s="1">
        <f>VLOOKUP($B329&amp;"__wt",'Xtal_SegEnds_BW#'!$A:$Z,12,FALSE)</f>
        <v>56</v>
      </c>
      <c r="M329" s="1" t="str">
        <f>VLOOKUP($B329&amp;"__wt",'Xtal_SegEnds_BW#'!$A:$Z,13,FALSE)</f>
        <v>-</v>
      </c>
      <c r="N329" s="1" t="str">
        <f>VLOOKUP($B329&amp;"__wt",'Xtal_SegEnds_BW#'!$A:$Z,14,FALSE)</f>
        <v>-</v>
      </c>
      <c r="O329" s="1">
        <f>VLOOKUP($B329&amp;"__wt",'Xtal_SegEnds_BW#'!$A:$Z,15,FALSE)</f>
        <v>40</v>
      </c>
      <c r="P329" s="1">
        <f>VLOOKUP($B329&amp;"__wt",'Xtal_SegEnds_BW#'!$A:$Z,16,FALSE)</f>
        <v>68</v>
      </c>
      <c r="Q329" s="1">
        <f>VLOOKUP($B329&amp;"__wt",'Xtal_SegEnds_BW#'!$A:$Z,17,FALSE)</f>
        <v>50</v>
      </c>
      <c r="R329" s="1">
        <f>VLOOKUP($B329&amp;"__wt",'Xtal_SegEnds_BW#'!$A:$Z,18,FALSE)</f>
        <v>52</v>
      </c>
      <c r="S329" s="1">
        <v>36</v>
      </c>
      <c r="T329" s="23">
        <v>69</v>
      </c>
      <c r="U329" s="1">
        <v>29</v>
      </c>
      <c r="V329" s="1">
        <f>VLOOKUP($B329&amp;"__wt",'Xtal_SegEnds_BW#'!$A:$Z,22,FALSE)</f>
        <v>53</v>
      </c>
      <c r="W329" s="1">
        <v>31</v>
      </c>
      <c r="X329" s="1">
        <f>VLOOKUP($B329&amp;"__wt",'Xtal_SegEnds_BW#'!$A:$Z,24,FALSE)</f>
        <v>56</v>
      </c>
      <c r="Y329" s="1">
        <f>VLOOKUP($B329&amp;"__wt",'Xtal_SegEnds_BW#'!$A:$Z,25,FALSE)</f>
        <v>47</v>
      </c>
      <c r="Z329" s="1">
        <v>63</v>
      </c>
      <c r="AA329" s="63" t="str">
        <f>VLOOKUP(A329,Classification!A:B,2,FALSE)</f>
        <v>B2</v>
      </c>
      <c r="AB329" s="1" t="e">
        <f>VLOOKUP(A329,'NonXtal_SegEnds_Prot#'!A:AL,10,FALSE)-VLOOKUP(A329,'NonXtal_SegEnds_Prot#'!A:AL,7,FALSE)</f>
        <v>#VALUE!</v>
      </c>
      <c r="AC329" s="1" t="e">
        <f>VLOOKUP(A329,'NonXtal_SegEnds_Prot#'!A:AL,13,FALSE)-VLOOKUP(A329,'NonXtal_SegEnds_Prot#'!A:AL,10,FALSE)</f>
        <v>#VALUE!</v>
      </c>
      <c r="AD329" s="1">
        <f>VLOOKUP(A329,'NonXtal_SegEnds_Prot#'!A:AL,16,FALSE)-VLOOKUP(A329,'NonXtal_SegEnds_Prot#'!A:AL,10,FALSE)</f>
        <v>50</v>
      </c>
      <c r="AE329" s="1">
        <f>VLOOKUP(A329,'NonXtal_SegEnds_Prot#'!A:AL,28,FALSE)-VLOOKUP(A329,'NonXtal_SegEnds_Prot#'!A:AL,25,FALSE)</f>
        <v>19</v>
      </c>
      <c r="AF329" s="1">
        <f>VLOOKUP(A329,'NonXtal_SegEnds_Prot#'!A:AL,31,FALSE)-VLOOKUP(A329,'NonXtal_SegEnds_Prot#'!A:AL,28,FALSE)</f>
        <v>52</v>
      </c>
      <c r="AG329" s="1">
        <f>VLOOKUP(A329,'NonXtal_SegEnds_Prot#'!A:AL,34,FALSE)-VLOOKUP(A329,'NonXtal_SegEnds_Prot#'!A:AL,31,FALSE)</f>
        <v>29</v>
      </c>
    </row>
    <row r="330" spans="1:33" x14ac:dyDescent="0.2">
      <c r="A330" s="1" t="s">
        <v>1411</v>
      </c>
      <c r="B330" s="1" t="str">
        <f>VLOOKUP(A330,Xtal_Templ!A:B,2,FALSE)</f>
        <v>crfr1_human</v>
      </c>
      <c r="C330" s="5">
        <v>23</v>
      </c>
      <c r="D330" s="1">
        <f>VLOOKUP($B330&amp;"__wt",'Xtal_SegEnds_BW#'!$A:$Z,4,FALSE)</f>
        <v>60</v>
      </c>
      <c r="E330" s="1">
        <f>VLOOKUP($B330&amp;"__wt",'Xtal_SegEnds_BW#'!$A:$Z,5,FALSE)</f>
        <v>48</v>
      </c>
      <c r="F330" s="1">
        <f>VLOOKUP($B330&amp;"__wt",'Xtal_SegEnds_BW#'!$A:$Z,6,FALSE)</f>
        <v>51</v>
      </c>
      <c r="G330" s="1">
        <v>37</v>
      </c>
      <c r="H330" s="1">
        <v>63</v>
      </c>
      <c r="I330" s="1" t="str">
        <f>VLOOKUP($B330&amp;"__wt",'Xtal_SegEnds_BW#'!$A:$Z,9,FALSE)</f>
        <v>-</v>
      </c>
      <c r="J330" s="1" t="str">
        <f>VLOOKUP($B330&amp;"__wt",'Xtal_SegEnds_BW#'!$A:$Z,10,FALSE)</f>
        <v>-</v>
      </c>
      <c r="K330" s="1">
        <v>23</v>
      </c>
      <c r="L330" s="1">
        <f>VLOOKUP($B330&amp;"__wt",'Xtal_SegEnds_BW#'!$A:$Z,12,FALSE)</f>
        <v>56</v>
      </c>
      <c r="M330" s="1" t="str">
        <f>VLOOKUP($B330&amp;"__wt",'Xtal_SegEnds_BW#'!$A:$Z,13,FALSE)</f>
        <v>-</v>
      </c>
      <c r="N330" s="1" t="str">
        <f>VLOOKUP($B330&amp;"__wt",'Xtal_SegEnds_BW#'!$A:$Z,14,FALSE)</f>
        <v>-</v>
      </c>
      <c r="O330" s="1">
        <f>VLOOKUP($B330&amp;"__wt",'Xtal_SegEnds_BW#'!$A:$Z,15,FALSE)</f>
        <v>40</v>
      </c>
      <c r="P330" s="1">
        <f>VLOOKUP($B330&amp;"__wt",'Xtal_SegEnds_BW#'!$A:$Z,16,FALSE)</f>
        <v>68</v>
      </c>
      <c r="Q330" s="1">
        <f>VLOOKUP($B330&amp;"__wt",'Xtal_SegEnds_BW#'!$A:$Z,17,FALSE)</f>
        <v>50</v>
      </c>
      <c r="R330" s="1">
        <f>VLOOKUP($B330&amp;"__wt",'Xtal_SegEnds_BW#'!$A:$Z,18,FALSE)</f>
        <v>52</v>
      </c>
      <c r="S330" s="1">
        <v>36</v>
      </c>
      <c r="T330" s="23">
        <v>69</v>
      </c>
      <c r="U330" s="1">
        <v>29</v>
      </c>
      <c r="V330" s="1">
        <f>VLOOKUP($B330&amp;"__wt",'Xtal_SegEnds_BW#'!$A:$Z,22,FALSE)</f>
        <v>53</v>
      </c>
      <c r="W330" s="1">
        <v>31</v>
      </c>
      <c r="X330" s="1">
        <f>VLOOKUP($B330&amp;"__wt",'Xtal_SegEnds_BW#'!$A:$Z,24,FALSE)</f>
        <v>56</v>
      </c>
      <c r="Y330" s="1">
        <f>VLOOKUP($B330&amp;"__wt",'Xtal_SegEnds_BW#'!$A:$Z,25,FALSE)</f>
        <v>47</v>
      </c>
      <c r="Z330" s="1">
        <v>63</v>
      </c>
      <c r="AA330" s="63" t="str">
        <f>VLOOKUP(A330,Classification!A:B,2,FALSE)</f>
        <v>B2</v>
      </c>
      <c r="AB330" s="1">
        <f>VLOOKUP(A330,'NonXtal_SegEnds_Prot#'!A:AL,10,FALSE)-VLOOKUP(A330,'NonXtal_SegEnds_Prot#'!A:AL,7,FALSE)</f>
        <v>17</v>
      </c>
      <c r="AC330" s="1" t="e">
        <f>VLOOKUP(A330,'NonXtal_SegEnds_Prot#'!A:AL,13,FALSE)-VLOOKUP(A330,'NonXtal_SegEnds_Prot#'!A:AL,10,FALSE)</f>
        <v>#VALUE!</v>
      </c>
      <c r="AD330" s="1">
        <f>VLOOKUP(A330,'NonXtal_SegEnds_Prot#'!A:AL,16,FALSE)-VLOOKUP(A330,'NonXtal_SegEnds_Prot#'!A:AL,10,FALSE)</f>
        <v>53</v>
      </c>
      <c r="AE330" s="1">
        <f>VLOOKUP(A330,'NonXtal_SegEnds_Prot#'!A:AL,28,FALSE)-VLOOKUP(A330,'NonXtal_SegEnds_Prot#'!A:AL,25,FALSE)</f>
        <v>20</v>
      </c>
      <c r="AF330" s="1">
        <f>VLOOKUP(A330,'NonXtal_SegEnds_Prot#'!A:AL,31,FALSE)-VLOOKUP(A330,'NonXtal_SegEnds_Prot#'!A:AL,28,FALSE)</f>
        <v>52</v>
      </c>
      <c r="AG330" s="1">
        <f>VLOOKUP(A330,'NonXtal_SegEnds_Prot#'!A:AL,34,FALSE)-VLOOKUP(A330,'NonXtal_SegEnds_Prot#'!A:AL,31,FALSE)</f>
        <v>29</v>
      </c>
    </row>
    <row r="331" spans="1:33" x14ac:dyDescent="0.2">
      <c r="A331" s="1" t="s">
        <v>1418</v>
      </c>
      <c r="B331" s="1" t="str">
        <f>VLOOKUP(A331,Xtal_Templ!A:B,2,FALSE)</f>
        <v>crfr1_human</v>
      </c>
      <c r="C331" s="5">
        <v>23</v>
      </c>
      <c r="D331" s="1">
        <f>VLOOKUP($B331&amp;"__wt",'Xtal_SegEnds_BW#'!$A:$Z,4,FALSE)</f>
        <v>60</v>
      </c>
      <c r="E331" s="1">
        <f>VLOOKUP($B331&amp;"__wt",'Xtal_SegEnds_BW#'!$A:$Z,5,FALSE)</f>
        <v>48</v>
      </c>
      <c r="F331" s="1">
        <f>VLOOKUP($B331&amp;"__wt",'Xtal_SegEnds_BW#'!$A:$Z,6,FALSE)</f>
        <v>51</v>
      </c>
      <c r="G331" s="1">
        <v>37</v>
      </c>
      <c r="H331" s="1">
        <v>63</v>
      </c>
      <c r="I331" s="1" t="str">
        <f>VLOOKUP($B331&amp;"__wt",'Xtal_SegEnds_BW#'!$A:$Z,9,FALSE)</f>
        <v>-</v>
      </c>
      <c r="J331" s="1" t="str">
        <f>VLOOKUP($B331&amp;"__wt",'Xtal_SegEnds_BW#'!$A:$Z,10,FALSE)</f>
        <v>-</v>
      </c>
      <c r="K331" s="1">
        <v>23</v>
      </c>
      <c r="L331" s="1">
        <f>VLOOKUP($B331&amp;"__wt",'Xtal_SegEnds_BW#'!$A:$Z,12,FALSE)</f>
        <v>56</v>
      </c>
      <c r="M331" s="1" t="str">
        <f>VLOOKUP($B331&amp;"__wt",'Xtal_SegEnds_BW#'!$A:$Z,13,FALSE)</f>
        <v>-</v>
      </c>
      <c r="N331" s="1" t="str">
        <f>VLOOKUP($B331&amp;"__wt",'Xtal_SegEnds_BW#'!$A:$Z,14,FALSE)</f>
        <v>-</v>
      </c>
      <c r="O331" s="1">
        <f>VLOOKUP($B331&amp;"__wt",'Xtal_SegEnds_BW#'!$A:$Z,15,FALSE)</f>
        <v>40</v>
      </c>
      <c r="P331" s="1">
        <f>VLOOKUP($B331&amp;"__wt",'Xtal_SegEnds_BW#'!$A:$Z,16,FALSE)</f>
        <v>68</v>
      </c>
      <c r="Q331" s="1">
        <f>VLOOKUP($B331&amp;"__wt",'Xtal_SegEnds_BW#'!$A:$Z,17,FALSE)</f>
        <v>50</v>
      </c>
      <c r="R331" s="1">
        <f>VLOOKUP($B331&amp;"__wt",'Xtal_SegEnds_BW#'!$A:$Z,18,FALSE)</f>
        <v>52</v>
      </c>
      <c r="S331" s="1">
        <v>36</v>
      </c>
      <c r="T331" s="23">
        <v>69</v>
      </c>
      <c r="U331" s="1">
        <v>29</v>
      </c>
      <c r="V331" s="1">
        <f>VLOOKUP($B331&amp;"__wt",'Xtal_SegEnds_BW#'!$A:$Z,22,FALSE)</f>
        <v>53</v>
      </c>
      <c r="W331" s="1">
        <v>31</v>
      </c>
      <c r="X331" s="1">
        <f>VLOOKUP($B331&amp;"__wt",'Xtal_SegEnds_BW#'!$A:$Z,24,FALSE)</f>
        <v>56</v>
      </c>
      <c r="Y331" s="1">
        <f>VLOOKUP($B331&amp;"__wt",'Xtal_SegEnds_BW#'!$A:$Z,25,FALSE)</f>
        <v>47</v>
      </c>
      <c r="Z331" s="1">
        <v>63</v>
      </c>
      <c r="AA331" s="63" t="str">
        <f>VLOOKUP(A331,Classification!A:B,2,FALSE)</f>
        <v>B2</v>
      </c>
      <c r="AB331" s="1">
        <f>VLOOKUP(A331,'NonXtal_SegEnds_Prot#'!A:AL,10,FALSE)-VLOOKUP(A331,'NonXtal_SegEnds_Prot#'!A:AL,7,FALSE)</f>
        <v>15</v>
      </c>
      <c r="AC331" s="1" t="e">
        <f>VLOOKUP(A331,'NonXtal_SegEnds_Prot#'!A:AL,13,FALSE)-VLOOKUP(A331,'NonXtal_SegEnds_Prot#'!A:AL,10,FALSE)</f>
        <v>#VALUE!</v>
      </c>
      <c r="AD331" s="1">
        <f>VLOOKUP(A331,'NonXtal_SegEnds_Prot#'!A:AL,16,FALSE)-VLOOKUP(A331,'NonXtal_SegEnds_Prot#'!A:AL,10,FALSE)</f>
        <v>45</v>
      </c>
      <c r="AE331" s="1">
        <f>VLOOKUP(A331,'NonXtal_SegEnds_Prot#'!A:AL,28,FALSE)-VLOOKUP(A331,'NonXtal_SegEnds_Prot#'!A:AL,25,FALSE)</f>
        <v>19</v>
      </c>
      <c r="AF331" s="1">
        <f>VLOOKUP(A331,'NonXtal_SegEnds_Prot#'!A:AL,31,FALSE)-VLOOKUP(A331,'NonXtal_SegEnds_Prot#'!A:AL,28,FALSE)</f>
        <v>52</v>
      </c>
      <c r="AG331" s="1">
        <f>VLOOKUP(A331,'NonXtal_SegEnds_Prot#'!A:AL,34,FALSE)-VLOOKUP(A331,'NonXtal_SegEnds_Prot#'!A:AL,31,FALSE)</f>
        <v>28</v>
      </c>
    </row>
    <row r="332" spans="1:33" x14ac:dyDescent="0.2">
      <c r="A332" s="1" t="s">
        <v>1419</v>
      </c>
      <c r="B332" s="1" t="str">
        <f>VLOOKUP(A332,Xtal_Templ!A:B,2,FALSE)</f>
        <v>crfr1_human</v>
      </c>
      <c r="C332" s="5">
        <v>23</v>
      </c>
      <c r="D332" s="1">
        <f>VLOOKUP($B332&amp;"__wt",'Xtal_SegEnds_BW#'!$A:$Z,4,FALSE)</f>
        <v>60</v>
      </c>
      <c r="E332" s="1">
        <f>VLOOKUP($B332&amp;"__wt",'Xtal_SegEnds_BW#'!$A:$Z,5,FALSE)</f>
        <v>48</v>
      </c>
      <c r="F332" s="1">
        <f>VLOOKUP($B332&amp;"__wt",'Xtal_SegEnds_BW#'!$A:$Z,6,FALSE)</f>
        <v>51</v>
      </c>
      <c r="G332" s="1">
        <v>37</v>
      </c>
      <c r="H332" s="1">
        <v>63</v>
      </c>
      <c r="I332" s="1" t="str">
        <f>VLOOKUP($B332&amp;"__wt",'Xtal_SegEnds_BW#'!$A:$Z,9,FALSE)</f>
        <v>-</v>
      </c>
      <c r="J332" s="1" t="str">
        <f>VLOOKUP($B332&amp;"__wt",'Xtal_SegEnds_BW#'!$A:$Z,10,FALSE)</f>
        <v>-</v>
      </c>
      <c r="K332" s="1">
        <v>23</v>
      </c>
      <c r="L332" s="1">
        <f>VLOOKUP($B332&amp;"__wt",'Xtal_SegEnds_BW#'!$A:$Z,12,FALSE)</f>
        <v>56</v>
      </c>
      <c r="M332" s="1" t="str">
        <f>VLOOKUP($B332&amp;"__wt",'Xtal_SegEnds_BW#'!$A:$Z,13,FALSE)</f>
        <v>-</v>
      </c>
      <c r="N332" s="1" t="str">
        <f>VLOOKUP($B332&amp;"__wt",'Xtal_SegEnds_BW#'!$A:$Z,14,FALSE)</f>
        <v>-</v>
      </c>
      <c r="O332" s="1">
        <f>VLOOKUP($B332&amp;"__wt",'Xtal_SegEnds_BW#'!$A:$Z,15,FALSE)</f>
        <v>40</v>
      </c>
      <c r="P332" s="1">
        <f>VLOOKUP($B332&amp;"__wt",'Xtal_SegEnds_BW#'!$A:$Z,16,FALSE)</f>
        <v>68</v>
      </c>
      <c r="Q332" s="1">
        <f>VLOOKUP($B332&amp;"__wt",'Xtal_SegEnds_BW#'!$A:$Z,17,FALSE)</f>
        <v>50</v>
      </c>
      <c r="R332" s="1">
        <f>VLOOKUP($B332&amp;"__wt",'Xtal_SegEnds_BW#'!$A:$Z,18,FALSE)</f>
        <v>52</v>
      </c>
      <c r="S332" s="1">
        <v>36</v>
      </c>
      <c r="T332" s="23">
        <v>69</v>
      </c>
      <c r="U332" s="1">
        <v>29</v>
      </c>
      <c r="V332" s="1">
        <f>VLOOKUP($B332&amp;"__wt",'Xtal_SegEnds_BW#'!$A:$Z,22,FALSE)</f>
        <v>53</v>
      </c>
      <c r="W332" s="1">
        <v>31</v>
      </c>
      <c r="X332" s="1">
        <f>VLOOKUP($B332&amp;"__wt",'Xtal_SegEnds_BW#'!$A:$Z,24,FALSE)</f>
        <v>56</v>
      </c>
      <c r="Y332" s="1">
        <f>VLOOKUP($B332&amp;"__wt",'Xtal_SegEnds_BW#'!$A:$Z,25,FALSE)</f>
        <v>47</v>
      </c>
      <c r="Z332" s="1">
        <v>63</v>
      </c>
      <c r="AA332" s="63" t="str">
        <f>VLOOKUP(A332,Classification!A:B,2,FALSE)</f>
        <v>B2</v>
      </c>
      <c r="AB332" s="1" t="e">
        <f>VLOOKUP(A332,'NonXtal_SegEnds_Prot#'!A:AL,10,FALSE)-VLOOKUP(A332,'NonXtal_SegEnds_Prot#'!A:AL,7,FALSE)</f>
        <v>#VALUE!</v>
      </c>
      <c r="AC332" s="1" t="e">
        <f>VLOOKUP(A332,'NonXtal_SegEnds_Prot#'!A:AL,13,FALSE)-VLOOKUP(A332,'NonXtal_SegEnds_Prot#'!A:AL,10,FALSE)</f>
        <v>#VALUE!</v>
      </c>
      <c r="AD332" s="1">
        <f>VLOOKUP(A332,'NonXtal_SegEnds_Prot#'!A:AL,16,FALSE)-VLOOKUP(A332,'NonXtal_SegEnds_Prot#'!A:AL,10,FALSE)</f>
        <v>45</v>
      </c>
      <c r="AE332" s="1">
        <f>VLOOKUP(A332,'NonXtal_SegEnds_Prot#'!A:AL,28,FALSE)-VLOOKUP(A332,'NonXtal_SegEnds_Prot#'!A:AL,25,FALSE)</f>
        <v>19</v>
      </c>
      <c r="AF332" s="1">
        <f>VLOOKUP(A332,'NonXtal_SegEnds_Prot#'!A:AL,31,FALSE)-VLOOKUP(A332,'NonXtal_SegEnds_Prot#'!A:AL,28,FALSE)</f>
        <v>52</v>
      </c>
      <c r="AG332" s="1">
        <f>VLOOKUP(A332,'NonXtal_SegEnds_Prot#'!A:AL,34,FALSE)-VLOOKUP(A332,'NonXtal_SegEnds_Prot#'!A:AL,31,FALSE)</f>
        <v>28</v>
      </c>
    </row>
    <row r="333" spans="1:33" x14ac:dyDescent="0.2">
      <c r="A333" s="1" t="s">
        <v>1420</v>
      </c>
      <c r="B333" s="1" t="str">
        <f>VLOOKUP(A333,Xtal_Templ!A:B,2,FALSE)</f>
        <v>crfr1_human</v>
      </c>
      <c r="C333" s="5">
        <v>23</v>
      </c>
      <c r="D333" s="1">
        <f>VLOOKUP($B333&amp;"__wt",'Xtal_SegEnds_BW#'!$A:$Z,4,FALSE)</f>
        <v>60</v>
      </c>
      <c r="E333" s="1">
        <f>VLOOKUP($B333&amp;"__wt",'Xtal_SegEnds_BW#'!$A:$Z,5,FALSE)</f>
        <v>48</v>
      </c>
      <c r="F333" s="1">
        <f>VLOOKUP($B333&amp;"__wt",'Xtal_SegEnds_BW#'!$A:$Z,6,FALSE)</f>
        <v>51</v>
      </c>
      <c r="G333" s="1">
        <v>37</v>
      </c>
      <c r="H333" s="1">
        <v>63</v>
      </c>
      <c r="I333" s="1" t="str">
        <f>VLOOKUP($B333&amp;"__wt",'Xtal_SegEnds_BW#'!$A:$Z,9,FALSE)</f>
        <v>-</v>
      </c>
      <c r="J333" s="1" t="str">
        <f>VLOOKUP($B333&amp;"__wt",'Xtal_SegEnds_BW#'!$A:$Z,10,FALSE)</f>
        <v>-</v>
      </c>
      <c r="K333" s="1">
        <v>23</v>
      </c>
      <c r="L333" s="1">
        <f>VLOOKUP($B333&amp;"__wt",'Xtal_SegEnds_BW#'!$A:$Z,12,FALSE)</f>
        <v>56</v>
      </c>
      <c r="M333" s="1" t="str">
        <f>VLOOKUP($B333&amp;"__wt",'Xtal_SegEnds_BW#'!$A:$Z,13,FALSE)</f>
        <v>-</v>
      </c>
      <c r="N333" s="1" t="str">
        <f>VLOOKUP($B333&amp;"__wt",'Xtal_SegEnds_BW#'!$A:$Z,14,FALSE)</f>
        <v>-</v>
      </c>
      <c r="O333" s="1">
        <f>VLOOKUP($B333&amp;"__wt",'Xtal_SegEnds_BW#'!$A:$Z,15,FALSE)</f>
        <v>40</v>
      </c>
      <c r="P333" s="1">
        <f>VLOOKUP($B333&amp;"__wt",'Xtal_SegEnds_BW#'!$A:$Z,16,FALSE)</f>
        <v>68</v>
      </c>
      <c r="Q333" s="1">
        <f>VLOOKUP($B333&amp;"__wt",'Xtal_SegEnds_BW#'!$A:$Z,17,FALSE)</f>
        <v>50</v>
      </c>
      <c r="R333" s="1">
        <f>VLOOKUP($B333&amp;"__wt",'Xtal_SegEnds_BW#'!$A:$Z,18,FALSE)</f>
        <v>52</v>
      </c>
      <c r="S333" s="1">
        <v>36</v>
      </c>
      <c r="T333" s="23">
        <v>69</v>
      </c>
      <c r="U333" s="1">
        <v>29</v>
      </c>
      <c r="V333" s="1">
        <f>VLOOKUP($B333&amp;"__wt",'Xtal_SegEnds_BW#'!$A:$Z,22,FALSE)</f>
        <v>53</v>
      </c>
      <c r="W333" s="1">
        <v>31</v>
      </c>
      <c r="X333" s="1">
        <f>VLOOKUP($B333&amp;"__wt",'Xtal_SegEnds_BW#'!$A:$Z,24,FALSE)</f>
        <v>56</v>
      </c>
      <c r="Y333" s="1">
        <f>VLOOKUP($B333&amp;"__wt",'Xtal_SegEnds_BW#'!$A:$Z,25,FALSE)</f>
        <v>47</v>
      </c>
      <c r="Z333" s="1">
        <v>63</v>
      </c>
      <c r="AA333" s="63" t="str">
        <f>VLOOKUP(A333,Classification!A:B,2,FALSE)</f>
        <v>B2</v>
      </c>
      <c r="AB333" s="1">
        <f>VLOOKUP(A333,'NonXtal_SegEnds_Prot#'!A:AL,10,FALSE)-VLOOKUP(A333,'NonXtal_SegEnds_Prot#'!A:AL,7,FALSE)</f>
        <v>15</v>
      </c>
      <c r="AC333" s="1" t="e">
        <f>VLOOKUP(A333,'NonXtal_SegEnds_Prot#'!A:AL,13,FALSE)-VLOOKUP(A333,'NonXtal_SegEnds_Prot#'!A:AL,10,FALSE)</f>
        <v>#VALUE!</v>
      </c>
      <c r="AD333" s="1">
        <f>VLOOKUP(A333,'NonXtal_SegEnds_Prot#'!A:AL,16,FALSE)-VLOOKUP(A333,'NonXtal_SegEnds_Prot#'!A:AL,10,FALSE)</f>
        <v>45</v>
      </c>
      <c r="AE333" s="1">
        <f>VLOOKUP(A333,'NonXtal_SegEnds_Prot#'!A:AL,28,FALSE)-VLOOKUP(A333,'NonXtal_SegEnds_Prot#'!A:AL,25,FALSE)</f>
        <v>19</v>
      </c>
      <c r="AF333" s="1">
        <f>VLOOKUP(A333,'NonXtal_SegEnds_Prot#'!A:AL,31,FALSE)-VLOOKUP(A333,'NonXtal_SegEnds_Prot#'!A:AL,28,FALSE)</f>
        <v>52</v>
      </c>
      <c r="AG333" s="1">
        <f>VLOOKUP(A333,'NonXtal_SegEnds_Prot#'!A:AL,34,FALSE)-VLOOKUP(A333,'NonXtal_SegEnds_Prot#'!A:AL,31,FALSE)</f>
        <v>28</v>
      </c>
    </row>
    <row r="334" spans="1:33" x14ac:dyDescent="0.2">
      <c r="A334" s="1" t="s">
        <v>1421</v>
      </c>
      <c r="B334" s="1" t="str">
        <f>VLOOKUP(A334,Xtal_Templ!A:B,2,FALSE)</f>
        <v>crfr1_human</v>
      </c>
      <c r="C334" s="5">
        <v>23</v>
      </c>
      <c r="D334" s="1">
        <f>VLOOKUP($B334&amp;"__wt",'Xtal_SegEnds_BW#'!$A:$Z,4,FALSE)</f>
        <v>60</v>
      </c>
      <c r="E334" s="1">
        <f>VLOOKUP($B334&amp;"__wt",'Xtal_SegEnds_BW#'!$A:$Z,5,FALSE)</f>
        <v>48</v>
      </c>
      <c r="F334" s="1">
        <f>VLOOKUP($B334&amp;"__wt",'Xtal_SegEnds_BW#'!$A:$Z,6,FALSE)</f>
        <v>51</v>
      </c>
      <c r="G334" s="1">
        <v>37</v>
      </c>
      <c r="H334" s="1">
        <v>63</v>
      </c>
      <c r="I334" s="1" t="str">
        <f>VLOOKUP($B334&amp;"__wt",'Xtal_SegEnds_BW#'!$A:$Z,9,FALSE)</f>
        <v>-</v>
      </c>
      <c r="J334" s="1" t="str">
        <f>VLOOKUP($B334&amp;"__wt",'Xtal_SegEnds_BW#'!$A:$Z,10,FALSE)</f>
        <v>-</v>
      </c>
      <c r="K334" s="1">
        <v>23</v>
      </c>
      <c r="L334" s="1">
        <f>VLOOKUP($B334&amp;"__wt",'Xtal_SegEnds_BW#'!$A:$Z,12,FALSE)</f>
        <v>56</v>
      </c>
      <c r="M334" s="1" t="str">
        <f>VLOOKUP($B334&amp;"__wt",'Xtal_SegEnds_BW#'!$A:$Z,13,FALSE)</f>
        <v>-</v>
      </c>
      <c r="N334" s="1" t="str">
        <f>VLOOKUP($B334&amp;"__wt",'Xtal_SegEnds_BW#'!$A:$Z,14,FALSE)</f>
        <v>-</v>
      </c>
      <c r="O334" s="1">
        <f>VLOOKUP($B334&amp;"__wt",'Xtal_SegEnds_BW#'!$A:$Z,15,FALSE)</f>
        <v>40</v>
      </c>
      <c r="P334" s="1">
        <f>VLOOKUP($B334&amp;"__wt",'Xtal_SegEnds_BW#'!$A:$Z,16,FALSE)</f>
        <v>68</v>
      </c>
      <c r="Q334" s="1">
        <f>VLOOKUP($B334&amp;"__wt",'Xtal_SegEnds_BW#'!$A:$Z,17,FALSE)</f>
        <v>50</v>
      </c>
      <c r="R334" s="1">
        <f>VLOOKUP($B334&amp;"__wt",'Xtal_SegEnds_BW#'!$A:$Z,18,FALSE)</f>
        <v>52</v>
      </c>
      <c r="S334" s="1">
        <v>36</v>
      </c>
      <c r="T334" s="23">
        <v>69</v>
      </c>
      <c r="U334" s="1">
        <v>29</v>
      </c>
      <c r="V334" s="1">
        <f>VLOOKUP($B334&amp;"__wt",'Xtal_SegEnds_BW#'!$A:$Z,22,FALSE)</f>
        <v>53</v>
      </c>
      <c r="W334" s="1">
        <v>31</v>
      </c>
      <c r="X334" s="1">
        <f>VLOOKUP($B334&amp;"__wt",'Xtal_SegEnds_BW#'!$A:$Z,24,FALSE)</f>
        <v>56</v>
      </c>
      <c r="Y334" s="1">
        <f>VLOOKUP($B334&amp;"__wt",'Xtal_SegEnds_BW#'!$A:$Z,25,FALSE)</f>
        <v>47</v>
      </c>
      <c r="Z334" s="1">
        <v>63</v>
      </c>
      <c r="AA334" s="63" t="str">
        <f>VLOOKUP(A334,Classification!A:B,2,FALSE)</f>
        <v>B2</v>
      </c>
      <c r="AB334" s="1" t="e">
        <f>VLOOKUP(A334,'NonXtal_SegEnds_Prot#'!A:AL,10,FALSE)-VLOOKUP(A334,'NonXtal_SegEnds_Prot#'!A:AL,7,FALSE)</f>
        <v>#VALUE!</v>
      </c>
      <c r="AC334" s="1" t="e">
        <f>VLOOKUP(A334,'NonXtal_SegEnds_Prot#'!A:AL,13,FALSE)-VLOOKUP(A334,'NonXtal_SegEnds_Prot#'!A:AL,10,FALSE)</f>
        <v>#VALUE!</v>
      </c>
      <c r="AD334" s="1">
        <f>VLOOKUP(A334,'NonXtal_SegEnds_Prot#'!A:AL,16,FALSE)-VLOOKUP(A334,'NonXtal_SegEnds_Prot#'!A:AL,10,FALSE)</f>
        <v>45</v>
      </c>
      <c r="AE334" s="1">
        <f>VLOOKUP(A334,'NonXtal_SegEnds_Prot#'!A:AL,28,FALSE)-VLOOKUP(A334,'NonXtal_SegEnds_Prot#'!A:AL,25,FALSE)</f>
        <v>19</v>
      </c>
      <c r="AF334" s="1">
        <f>VLOOKUP(A334,'NonXtal_SegEnds_Prot#'!A:AL,31,FALSE)-VLOOKUP(A334,'NonXtal_SegEnds_Prot#'!A:AL,28,FALSE)</f>
        <v>52</v>
      </c>
      <c r="AG334" s="1">
        <f>VLOOKUP(A334,'NonXtal_SegEnds_Prot#'!A:AL,34,FALSE)-VLOOKUP(A334,'NonXtal_SegEnds_Prot#'!A:AL,31,FALSE)</f>
        <v>28</v>
      </c>
    </row>
    <row r="335" spans="1:33" x14ac:dyDescent="0.2">
      <c r="A335" s="1" t="s">
        <v>611</v>
      </c>
      <c r="B335" s="1" t="str">
        <f>VLOOKUP(A335,Xtal_Templ!A:B,2,FALSE)</f>
        <v>glr_human</v>
      </c>
      <c r="C335" s="5">
        <v>23</v>
      </c>
      <c r="D335" s="1">
        <f>VLOOKUP($B335&amp;"__wt",'Xtal_SegEnds_BW#'!$A:$Z,4,FALSE)</f>
        <v>60</v>
      </c>
      <c r="E335" s="1">
        <f>VLOOKUP($B335&amp;"__wt",'Xtal_SegEnds_BW#'!$A:$Z,5,FALSE)</f>
        <v>48</v>
      </c>
      <c r="F335" s="1">
        <f>VLOOKUP($B335&amp;"__wt",'Xtal_SegEnds_BW#'!$A:$Z,6,FALSE)</f>
        <v>51</v>
      </c>
      <c r="G335" s="1">
        <v>37</v>
      </c>
      <c r="H335" s="1">
        <v>63</v>
      </c>
      <c r="I335" s="1" t="str">
        <f>VLOOKUP($B335&amp;"__wt",'Xtal_SegEnds_BW#'!$A:$Z,9,FALSE)</f>
        <v>-</v>
      </c>
      <c r="J335" s="1" t="str">
        <f>VLOOKUP($B335&amp;"__wt",'Xtal_SegEnds_BW#'!$A:$Z,10,FALSE)</f>
        <v>-</v>
      </c>
      <c r="K335" s="1">
        <v>23</v>
      </c>
      <c r="L335" s="1">
        <f>VLOOKUP($B335&amp;"__wt",'Xtal_SegEnds_BW#'!$A:$Z,12,FALSE)</f>
        <v>56</v>
      </c>
      <c r="M335" s="1" t="str">
        <f>VLOOKUP($B335&amp;"__wt",'Xtal_SegEnds_BW#'!$A:$Z,13,FALSE)</f>
        <v>-</v>
      </c>
      <c r="N335" s="1" t="str">
        <f>VLOOKUP($B335&amp;"__wt",'Xtal_SegEnds_BW#'!$A:$Z,14,FALSE)</f>
        <v>-</v>
      </c>
      <c r="O335" s="1">
        <f>VLOOKUP($B335&amp;"__wt",'Xtal_SegEnds_BW#'!$A:$Z,15,FALSE)</f>
        <v>40</v>
      </c>
      <c r="P335" s="1">
        <f>VLOOKUP($B335&amp;"__wt",'Xtal_SegEnds_BW#'!$A:$Z,16,FALSE)</f>
        <v>68</v>
      </c>
      <c r="Q335" s="1">
        <f>VLOOKUP($B335&amp;"__wt",'Xtal_SegEnds_BW#'!$A:$Z,17,FALSE)</f>
        <v>50</v>
      </c>
      <c r="R335" s="1">
        <f>VLOOKUP($B335&amp;"__wt",'Xtal_SegEnds_BW#'!$A:$Z,18,FALSE)</f>
        <v>52</v>
      </c>
      <c r="S335" s="1">
        <v>36</v>
      </c>
      <c r="T335" s="23">
        <v>69</v>
      </c>
      <c r="U335" s="1">
        <v>29</v>
      </c>
      <c r="V335" s="1">
        <f>VLOOKUP($B335&amp;"__wt",'Xtal_SegEnds_BW#'!$A:$Z,22,FALSE)</f>
        <v>53</v>
      </c>
      <c r="W335" s="1">
        <v>31</v>
      </c>
      <c r="X335" s="1">
        <f>VLOOKUP($B335&amp;"__wt",'Xtal_SegEnds_BW#'!$A:$Z,24,FALSE)</f>
        <v>56</v>
      </c>
      <c r="Y335" s="1">
        <f>VLOOKUP($B335&amp;"__wt",'Xtal_SegEnds_BW#'!$A:$Z,25,FALSE)</f>
        <v>47</v>
      </c>
      <c r="Z335" s="1">
        <v>63</v>
      </c>
      <c r="AA335" s="63" t="str">
        <f>VLOOKUP(A335,Classification!A:B,2,FALSE)</f>
        <v>B2</v>
      </c>
      <c r="AB335" s="1" t="e">
        <f>VLOOKUP(A335,'NonXtal_SegEnds_Prot#'!A:AL,10,FALSE)-VLOOKUP(A335,'NonXtal_SegEnds_Prot#'!A:AL,7,FALSE)</f>
        <v>#VALUE!</v>
      </c>
      <c r="AC335" s="1" t="e">
        <f>VLOOKUP(A335,'NonXtal_SegEnds_Prot#'!A:AL,13,FALSE)-VLOOKUP(A335,'NonXtal_SegEnds_Prot#'!A:AL,10,FALSE)</f>
        <v>#VALUE!</v>
      </c>
      <c r="AD335" s="1">
        <f>VLOOKUP(A335,'NonXtal_SegEnds_Prot#'!A:AL,16,FALSE)-VLOOKUP(A335,'NonXtal_SegEnds_Prot#'!A:AL,10,FALSE)</f>
        <v>47</v>
      </c>
      <c r="AE335" s="1">
        <f>VLOOKUP(A335,'NonXtal_SegEnds_Prot#'!A:AL,28,FALSE)-VLOOKUP(A335,'NonXtal_SegEnds_Prot#'!A:AL,25,FALSE)</f>
        <v>19</v>
      </c>
      <c r="AF335" s="1">
        <f>VLOOKUP(A335,'NonXtal_SegEnds_Prot#'!A:AL,31,FALSE)-VLOOKUP(A335,'NonXtal_SegEnds_Prot#'!A:AL,28,FALSE)</f>
        <v>52</v>
      </c>
      <c r="AG335" s="1">
        <f>VLOOKUP(A335,'NonXtal_SegEnds_Prot#'!A:AL,34,FALSE)-VLOOKUP(A335,'NonXtal_SegEnds_Prot#'!A:AL,31,FALSE)</f>
        <v>28</v>
      </c>
    </row>
    <row r="336" spans="1:33" x14ac:dyDescent="0.2">
      <c r="A336" s="1" t="s">
        <v>1414</v>
      </c>
      <c r="B336" s="1" t="str">
        <f>VLOOKUP(A336,Xtal_Templ!A:B,2,FALSE)</f>
        <v>crfr1_human</v>
      </c>
      <c r="C336" s="5">
        <v>23</v>
      </c>
      <c r="D336" s="1">
        <f>VLOOKUP($B336&amp;"__wt",'Xtal_SegEnds_BW#'!$A:$Z,4,FALSE)</f>
        <v>60</v>
      </c>
      <c r="E336" s="1">
        <f>VLOOKUP($B336&amp;"__wt",'Xtal_SegEnds_BW#'!$A:$Z,5,FALSE)</f>
        <v>48</v>
      </c>
      <c r="F336" s="1">
        <f>VLOOKUP($B336&amp;"__wt",'Xtal_SegEnds_BW#'!$A:$Z,6,FALSE)</f>
        <v>51</v>
      </c>
      <c r="G336" s="1">
        <v>37</v>
      </c>
      <c r="H336" s="1">
        <v>63</v>
      </c>
      <c r="I336" s="1" t="str">
        <f>VLOOKUP($B336&amp;"__wt",'Xtal_SegEnds_BW#'!$A:$Z,9,FALSE)</f>
        <v>-</v>
      </c>
      <c r="J336" s="1" t="str">
        <f>VLOOKUP($B336&amp;"__wt",'Xtal_SegEnds_BW#'!$A:$Z,10,FALSE)</f>
        <v>-</v>
      </c>
      <c r="K336" s="1">
        <v>23</v>
      </c>
      <c r="L336" s="1">
        <f>VLOOKUP($B336&amp;"__wt",'Xtal_SegEnds_BW#'!$A:$Z,12,FALSE)</f>
        <v>56</v>
      </c>
      <c r="M336" s="1" t="str">
        <f>VLOOKUP($B336&amp;"__wt",'Xtal_SegEnds_BW#'!$A:$Z,13,FALSE)</f>
        <v>-</v>
      </c>
      <c r="N336" s="1" t="str">
        <f>VLOOKUP($B336&amp;"__wt",'Xtal_SegEnds_BW#'!$A:$Z,14,FALSE)</f>
        <v>-</v>
      </c>
      <c r="O336" s="1">
        <f>VLOOKUP($B336&amp;"__wt",'Xtal_SegEnds_BW#'!$A:$Z,15,FALSE)</f>
        <v>40</v>
      </c>
      <c r="P336" s="1">
        <f>VLOOKUP($B336&amp;"__wt",'Xtal_SegEnds_BW#'!$A:$Z,16,FALSE)</f>
        <v>68</v>
      </c>
      <c r="Q336" s="1">
        <f>VLOOKUP($B336&amp;"__wt",'Xtal_SegEnds_BW#'!$A:$Z,17,FALSE)</f>
        <v>50</v>
      </c>
      <c r="R336" s="1">
        <f>VLOOKUP($B336&amp;"__wt",'Xtal_SegEnds_BW#'!$A:$Z,18,FALSE)</f>
        <v>52</v>
      </c>
      <c r="S336" s="1">
        <v>36</v>
      </c>
      <c r="T336" s="23">
        <v>69</v>
      </c>
      <c r="U336" s="1">
        <v>29</v>
      </c>
      <c r="V336" s="1">
        <v>50</v>
      </c>
      <c r="W336" s="1">
        <v>31</v>
      </c>
      <c r="X336" s="1">
        <f>VLOOKUP($B336&amp;"__wt",'Xtal_SegEnds_BW#'!$A:$Z,24,FALSE)</f>
        <v>56</v>
      </c>
      <c r="Y336" s="1">
        <f>VLOOKUP($B336&amp;"__wt",'Xtal_SegEnds_BW#'!$A:$Z,25,FALSE)</f>
        <v>47</v>
      </c>
      <c r="Z336" s="1">
        <v>63</v>
      </c>
      <c r="AA336" s="63" t="str">
        <f>VLOOKUP(A336,Classification!A:B,2,FALSE)</f>
        <v>B2</v>
      </c>
      <c r="AB336" s="1" t="e">
        <f>VLOOKUP(A336,'NonXtal_SegEnds_Prot#'!A:AL,10,FALSE)-VLOOKUP(A336,'NonXtal_SegEnds_Prot#'!A:AL,7,FALSE)</f>
        <v>#VALUE!</v>
      </c>
      <c r="AC336" s="1" t="e">
        <f>VLOOKUP(A336,'NonXtal_SegEnds_Prot#'!A:AL,13,FALSE)-VLOOKUP(A336,'NonXtal_SegEnds_Prot#'!A:AL,10,FALSE)</f>
        <v>#VALUE!</v>
      </c>
      <c r="AD336" s="1">
        <f>VLOOKUP(A336,'NonXtal_SegEnds_Prot#'!A:AL,16,FALSE)-VLOOKUP(A336,'NonXtal_SegEnds_Prot#'!A:AL,10,FALSE)</f>
        <v>47</v>
      </c>
      <c r="AE336" s="1">
        <f>VLOOKUP(A336,'NonXtal_SegEnds_Prot#'!A:AL,28,FALSE)-VLOOKUP(A336,'NonXtal_SegEnds_Prot#'!A:AL,25,FALSE)</f>
        <v>18</v>
      </c>
      <c r="AF336" s="1">
        <f>VLOOKUP(A336,'NonXtal_SegEnds_Prot#'!A:AL,31,FALSE)-VLOOKUP(A336,'NonXtal_SegEnds_Prot#'!A:AL,28,FALSE)</f>
        <v>54</v>
      </c>
      <c r="AG336" s="1">
        <f>VLOOKUP(A336,'NonXtal_SegEnds_Prot#'!A:AL,34,FALSE)-VLOOKUP(A336,'NonXtal_SegEnds_Prot#'!A:AL,31,FALSE)</f>
        <v>26</v>
      </c>
    </row>
    <row r="337" spans="1:33" x14ac:dyDescent="0.2">
      <c r="A337" s="1" t="s">
        <v>1408</v>
      </c>
      <c r="B337" s="1" t="str">
        <f>VLOOKUP(A337,Xtal_Templ!A:B,2,FALSE)</f>
        <v>crfr1_human</v>
      </c>
      <c r="C337" s="5">
        <v>23</v>
      </c>
      <c r="D337" s="1">
        <f>VLOOKUP($B337&amp;"__wt",'Xtal_SegEnds_BW#'!$A:$Z,4,FALSE)</f>
        <v>60</v>
      </c>
      <c r="E337" s="1">
        <f>VLOOKUP($B337&amp;"__wt",'Xtal_SegEnds_BW#'!$A:$Z,5,FALSE)</f>
        <v>48</v>
      </c>
      <c r="F337" s="1">
        <f>VLOOKUP($B337&amp;"__wt",'Xtal_SegEnds_BW#'!$A:$Z,6,FALSE)</f>
        <v>51</v>
      </c>
      <c r="G337" s="1">
        <v>37</v>
      </c>
      <c r="H337" s="1">
        <v>63</v>
      </c>
      <c r="I337" s="1" t="str">
        <f>VLOOKUP($B337&amp;"__wt",'Xtal_SegEnds_BW#'!$A:$Z,9,FALSE)</f>
        <v>-</v>
      </c>
      <c r="J337" s="1" t="str">
        <f>VLOOKUP($B337&amp;"__wt",'Xtal_SegEnds_BW#'!$A:$Z,10,FALSE)</f>
        <v>-</v>
      </c>
      <c r="K337" s="1">
        <v>23</v>
      </c>
      <c r="L337" s="1">
        <f>VLOOKUP($B337&amp;"__wt",'Xtal_SegEnds_BW#'!$A:$Z,12,FALSE)</f>
        <v>56</v>
      </c>
      <c r="M337" s="1" t="str">
        <f>VLOOKUP($B337&amp;"__wt",'Xtal_SegEnds_BW#'!$A:$Z,13,FALSE)</f>
        <v>-</v>
      </c>
      <c r="N337" s="1" t="str">
        <f>VLOOKUP($B337&amp;"__wt",'Xtal_SegEnds_BW#'!$A:$Z,14,FALSE)</f>
        <v>-</v>
      </c>
      <c r="O337" s="1">
        <f>VLOOKUP($B337&amp;"__wt",'Xtal_SegEnds_BW#'!$A:$Z,15,FALSE)</f>
        <v>40</v>
      </c>
      <c r="P337" s="1">
        <f>VLOOKUP($B337&amp;"__wt",'Xtal_SegEnds_BW#'!$A:$Z,16,FALSE)</f>
        <v>68</v>
      </c>
      <c r="Q337" s="1">
        <f>VLOOKUP($B337&amp;"__wt",'Xtal_SegEnds_BW#'!$A:$Z,17,FALSE)</f>
        <v>50</v>
      </c>
      <c r="R337" s="1">
        <f>VLOOKUP($B337&amp;"__wt",'Xtal_SegEnds_BW#'!$A:$Z,18,FALSE)</f>
        <v>52</v>
      </c>
      <c r="S337" s="1">
        <v>36</v>
      </c>
      <c r="T337" s="23">
        <v>69</v>
      </c>
      <c r="U337" s="1">
        <v>29</v>
      </c>
      <c r="V337" s="1">
        <f>VLOOKUP($B337&amp;"__wt",'Xtal_SegEnds_BW#'!$A:$Z,22,FALSE)</f>
        <v>53</v>
      </c>
      <c r="W337" s="1">
        <v>31</v>
      </c>
      <c r="X337" s="1">
        <f>VLOOKUP($B337&amp;"__wt",'Xtal_SegEnds_BW#'!$A:$Z,24,FALSE)</f>
        <v>56</v>
      </c>
      <c r="Y337" s="1">
        <f>VLOOKUP($B337&amp;"__wt",'Xtal_SegEnds_BW#'!$A:$Z,25,FALSE)</f>
        <v>47</v>
      </c>
      <c r="Z337" s="1">
        <v>63</v>
      </c>
      <c r="AA337" s="63" t="str">
        <f>VLOOKUP(A337,Classification!A:B,2,FALSE)</f>
        <v>B2</v>
      </c>
      <c r="AB337" s="1" t="e">
        <f>VLOOKUP(A337,'NonXtal_SegEnds_Prot#'!A:AL,10,FALSE)-VLOOKUP(A337,'NonXtal_SegEnds_Prot#'!A:AL,7,FALSE)</f>
        <v>#VALUE!</v>
      </c>
      <c r="AC337" s="1" t="e">
        <f>VLOOKUP(A337,'NonXtal_SegEnds_Prot#'!A:AL,13,FALSE)-VLOOKUP(A337,'NonXtal_SegEnds_Prot#'!A:AL,10,FALSE)</f>
        <v>#VALUE!</v>
      </c>
      <c r="AD337" s="1">
        <f>VLOOKUP(A337,'NonXtal_SegEnds_Prot#'!A:AL,16,FALSE)-VLOOKUP(A337,'NonXtal_SegEnds_Prot#'!A:AL,10,FALSE)</f>
        <v>51</v>
      </c>
      <c r="AE337" s="1">
        <f>VLOOKUP(A337,'NonXtal_SegEnds_Prot#'!A:AL,28,FALSE)-VLOOKUP(A337,'NonXtal_SegEnds_Prot#'!A:AL,25,FALSE)</f>
        <v>20</v>
      </c>
      <c r="AF337" s="1">
        <f>VLOOKUP(A337,'NonXtal_SegEnds_Prot#'!A:AL,31,FALSE)-VLOOKUP(A337,'NonXtal_SegEnds_Prot#'!A:AL,28,FALSE)</f>
        <v>57</v>
      </c>
      <c r="AG337" s="1">
        <f>VLOOKUP(A337,'NonXtal_SegEnds_Prot#'!A:AL,34,FALSE)-VLOOKUP(A337,'NonXtal_SegEnds_Prot#'!A:AL,31,FALSE)</f>
        <v>23</v>
      </c>
    </row>
    <row r="338" spans="1:33" x14ac:dyDescent="0.2">
      <c r="A338" s="1" t="s">
        <v>1402</v>
      </c>
      <c r="B338" s="1" t="str">
        <f>VLOOKUP(A338,Xtal_Templ!A:B,2,FALSE)</f>
        <v>crfr1_human</v>
      </c>
      <c r="C338" s="5">
        <v>23</v>
      </c>
      <c r="D338" s="1">
        <f>VLOOKUP($B338&amp;"__wt",'Xtal_SegEnds_BW#'!$A:$Z,4,FALSE)</f>
        <v>60</v>
      </c>
      <c r="E338" s="1">
        <f>VLOOKUP($B338&amp;"__wt",'Xtal_SegEnds_BW#'!$A:$Z,5,FALSE)</f>
        <v>48</v>
      </c>
      <c r="F338" s="1">
        <f>VLOOKUP($B338&amp;"__wt",'Xtal_SegEnds_BW#'!$A:$Z,6,FALSE)</f>
        <v>51</v>
      </c>
      <c r="G338" s="1">
        <v>37</v>
      </c>
      <c r="H338" s="1">
        <v>63</v>
      </c>
      <c r="I338" s="1" t="str">
        <f>VLOOKUP($B338&amp;"__wt",'Xtal_SegEnds_BW#'!$A:$Z,9,FALSE)</f>
        <v>-</v>
      </c>
      <c r="J338" s="1" t="str">
        <f>VLOOKUP($B338&amp;"__wt",'Xtal_SegEnds_BW#'!$A:$Z,10,FALSE)</f>
        <v>-</v>
      </c>
      <c r="K338" s="1">
        <v>23</v>
      </c>
      <c r="L338" s="1">
        <f>VLOOKUP($B338&amp;"__wt",'Xtal_SegEnds_BW#'!$A:$Z,12,FALSE)</f>
        <v>56</v>
      </c>
      <c r="M338" s="1" t="str">
        <f>VLOOKUP($B338&amp;"__wt",'Xtal_SegEnds_BW#'!$A:$Z,13,FALSE)</f>
        <v>-</v>
      </c>
      <c r="N338" s="1" t="str">
        <f>VLOOKUP($B338&amp;"__wt",'Xtal_SegEnds_BW#'!$A:$Z,14,FALSE)</f>
        <v>-</v>
      </c>
      <c r="O338" s="1">
        <f>VLOOKUP($B338&amp;"__wt",'Xtal_SegEnds_BW#'!$A:$Z,15,FALSE)</f>
        <v>40</v>
      </c>
      <c r="P338" s="1">
        <f>VLOOKUP($B338&amp;"__wt",'Xtal_SegEnds_BW#'!$A:$Z,16,FALSE)</f>
        <v>68</v>
      </c>
      <c r="Q338" s="1">
        <f>VLOOKUP($B338&amp;"__wt",'Xtal_SegEnds_BW#'!$A:$Z,17,FALSE)</f>
        <v>50</v>
      </c>
      <c r="R338" s="1">
        <f>VLOOKUP($B338&amp;"__wt",'Xtal_SegEnds_BW#'!$A:$Z,18,FALSE)</f>
        <v>52</v>
      </c>
      <c r="S338" s="1">
        <v>36</v>
      </c>
      <c r="T338" s="23">
        <v>69</v>
      </c>
      <c r="U338" s="1">
        <v>29</v>
      </c>
      <c r="V338" s="1">
        <v>50</v>
      </c>
      <c r="W338" s="1">
        <v>33</v>
      </c>
      <c r="X338" s="1">
        <f>VLOOKUP($B338&amp;"__wt",'Xtal_SegEnds_BW#'!$A:$Z,24,FALSE)</f>
        <v>56</v>
      </c>
      <c r="Y338" s="1">
        <f>VLOOKUP($B338&amp;"__wt",'Xtal_SegEnds_BW#'!$A:$Z,25,FALSE)</f>
        <v>47</v>
      </c>
      <c r="Z338" s="1">
        <v>63</v>
      </c>
      <c r="AA338" s="63" t="str">
        <f>VLOOKUP(A338,Classification!A:B,2,FALSE)</f>
        <v>B2</v>
      </c>
      <c r="AB338" s="1" t="e">
        <f>VLOOKUP(A338,'NonXtal_SegEnds_Prot#'!A:AL,10,FALSE)-VLOOKUP(A338,'NonXtal_SegEnds_Prot#'!A:AL,7,FALSE)</f>
        <v>#VALUE!</v>
      </c>
      <c r="AC338" s="1" t="e">
        <f>VLOOKUP(A338,'NonXtal_SegEnds_Prot#'!A:AL,13,FALSE)-VLOOKUP(A338,'NonXtal_SegEnds_Prot#'!A:AL,10,FALSE)</f>
        <v>#VALUE!</v>
      </c>
      <c r="AD338" s="1">
        <f>VLOOKUP(A338,'NonXtal_SegEnds_Prot#'!A:AL,16,FALSE)-VLOOKUP(A338,'NonXtal_SegEnds_Prot#'!A:AL,10,FALSE)</f>
        <v>45</v>
      </c>
      <c r="AE338" s="1">
        <f>VLOOKUP(A338,'NonXtal_SegEnds_Prot#'!A:AL,28,FALSE)-VLOOKUP(A338,'NonXtal_SegEnds_Prot#'!A:AL,25,FALSE)</f>
        <v>19</v>
      </c>
      <c r="AF338" s="1">
        <f>VLOOKUP(A338,'NonXtal_SegEnds_Prot#'!A:AL,31,FALSE)-VLOOKUP(A338,'NonXtal_SegEnds_Prot#'!A:AL,28,FALSE)</f>
        <v>66</v>
      </c>
      <c r="AG338" s="1">
        <f>VLOOKUP(A338,'NonXtal_SegEnds_Prot#'!A:AL,34,FALSE)-VLOOKUP(A338,'NonXtal_SegEnds_Prot#'!A:AL,31,FALSE)</f>
        <v>20</v>
      </c>
    </row>
    <row r="339" spans="1:33" x14ac:dyDescent="0.2">
      <c r="A339" s="1" t="s">
        <v>1399</v>
      </c>
      <c r="B339" s="1" t="str">
        <f>VLOOKUP(A339,Xtal_Templ!A:B,2,FALSE)</f>
        <v>crfr1_human</v>
      </c>
      <c r="C339" s="5">
        <v>23</v>
      </c>
      <c r="D339" s="1">
        <f>VLOOKUP($B339&amp;"__wt",'Xtal_SegEnds_BW#'!$A:$Z,4,FALSE)</f>
        <v>60</v>
      </c>
      <c r="E339" s="1">
        <f>VLOOKUP($B339&amp;"__wt",'Xtal_SegEnds_BW#'!$A:$Z,5,FALSE)</f>
        <v>48</v>
      </c>
      <c r="F339" s="1">
        <f>VLOOKUP($B339&amp;"__wt",'Xtal_SegEnds_BW#'!$A:$Z,6,FALSE)</f>
        <v>51</v>
      </c>
      <c r="G339" s="1">
        <v>37</v>
      </c>
      <c r="H339" s="1">
        <v>63</v>
      </c>
      <c r="I339" s="1" t="str">
        <f>VLOOKUP($B339&amp;"__wt",'Xtal_SegEnds_BW#'!$A:$Z,9,FALSE)</f>
        <v>-</v>
      </c>
      <c r="J339" s="1" t="str">
        <f>VLOOKUP($B339&amp;"__wt",'Xtal_SegEnds_BW#'!$A:$Z,10,FALSE)</f>
        <v>-</v>
      </c>
      <c r="K339" s="1">
        <v>23</v>
      </c>
      <c r="L339" s="1">
        <f>VLOOKUP($B339&amp;"__wt",'Xtal_SegEnds_BW#'!$A:$Z,12,FALSE)</f>
        <v>56</v>
      </c>
      <c r="M339" s="1" t="str">
        <f>VLOOKUP($B339&amp;"__wt",'Xtal_SegEnds_BW#'!$A:$Z,13,FALSE)</f>
        <v>-</v>
      </c>
      <c r="N339" s="1" t="str">
        <f>VLOOKUP($B339&amp;"__wt",'Xtal_SegEnds_BW#'!$A:$Z,14,FALSE)</f>
        <v>-</v>
      </c>
      <c r="O339" s="1">
        <f>VLOOKUP($B339&amp;"__wt",'Xtal_SegEnds_BW#'!$A:$Z,15,FALSE)</f>
        <v>40</v>
      </c>
      <c r="P339" s="1">
        <f>VLOOKUP($B339&amp;"__wt",'Xtal_SegEnds_BW#'!$A:$Z,16,FALSE)</f>
        <v>68</v>
      </c>
      <c r="Q339" s="1">
        <f>VLOOKUP($B339&amp;"__wt",'Xtal_SegEnds_BW#'!$A:$Z,17,FALSE)</f>
        <v>50</v>
      </c>
      <c r="R339" s="1">
        <f>VLOOKUP($B339&amp;"__wt",'Xtal_SegEnds_BW#'!$A:$Z,18,FALSE)</f>
        <v>52</v>
      </c>
      <c r="S339" s="1">
        <v>36</v>
      </c>
      <c r="T339" s="23">
        <v>69</v>
      </c>
      <c r="U339" s="1">
        <v>29</v>
      </c>
      <c r="V339" s="1">
        <f>VLOOKUP($B339&amp;"__wt",'Xtal_SegEnds_BW#'!$A:$Z,22,FALSE)</f>
        <v>53</v>
      </c>
      <c r="W339" s="1">
        <v>31</v>
      </c>
      <c r="X339" s="1">
        <f>VLOOKUP($B339&amp;"__wt",'Xtal_SegEnds_BW#'!$A:$Z,24,FALSE)</f>
        <v>56</v>
      </c>
      <c r="Y339" s="1">
        <f>VLOOKUP($B339&amp;"__wt",'Xtal_SegEnds_BW#'!$A:$Z,25,FALSE)</f>
        <v>47</v>
      </c>
      <c r="Z339" s="1">
        <v>63</v>
      </c>
      <c r="AA339" s="63" t="str">
        <f>VLOOKUP(A339,Classification!A:B,2,FALSE)</f>
        <v>B2</v>
      </c>
      <c r="AB339" s="1" t="e">
        <f>VLOOKUP(A339,'NonXtal_SegEnds_Prot#'!A:AL,10,FALSE)-VLOOKUP(A339,'NonXtal_SegEnds_Prot#'!A:AL,7,FALSE)</f>
        <v>#VALUE!</v>
      </c>
      <c r="AC339" s="1" t="e">
        <f>VLOOKUP(A339,'NonXtal_SegEnds_Prot#'!A:AL,13,FALSE)-VLOOKUP(A339,'NonXtal_SegEnds_Prot#'!A:AL,10,FALSE)</f>
        <v>#VALUE!</v>
      </c>
      <c r="AD339" s="1">
        <f>VLOOKUP(A339,'NonXtal_SegEnds_Prot#'!A:AL,16,FALSE)-VLOOKUP(A339,'NonXtal_SegEnds_Prot#'!A:AL,10,FALSE)</f>
        <v>45</v>
      </c>
      <c r="AE339" s="1">
        <f>VLOOKUP(A339,'NonXtal_SegEnds_Prot#'!A:AL,28,FALSE)-VLOOKUP(A339,'NonXtal_SegEnds_Prot#'!A:AL,25,FALSE)</f>
        <v>19</v>
      </c>
      <c r="AF339" s="1">
        <f>VLOOKUP(A339,'NonXtal_SegEnds_Prot#'!A:AL,31,FALSE)-VLOOKUP(A339,'NonXtal_SegEnds_Prot#'!A:AL,28,FALSE)</f>
        <v>83</v>
      </c>
      <c r="AG339" s="1">
        <f>VLOOKUP(A339,'NonXtal_SegEnds_Prot#'!A:AL,34,FALSE)-VLOOKUP(A339,'NonXtal_SegEnds_Prot#'!A:AL,31,FALSE)</f>
        <v>29</v>
      </c>
    </row>
    <row r="340" spans="1:33" x14ac:dyDescent="0.2">
      <c r="A340" s="1" t="s">
        <v>1400</v>
      </c>
      <c r="B340" s="1" t="str">
        <f>VLOOKUP(A340,Xtal_Templ!A:B,2,FALSE)</f>
        <v>crfr1_human</v>
      </c>
      <c r="C340" s="5">
        <v>23</v>
      </c>
      <c r="D340" s="1">
        <f>VLOOKUP($B340&amp;"__wt",'Xtal_SegEnds_BW#'!$A:$Z,4,FALSE)</f>
        <v>60</v>
      </c>
      <c r="E340" s="1">
        <f>VLOOKUP($B340&amp;"__wt",'Xtal_SegEnds_BW#'!$A:$Z,5,FALSE)</f>
        <v>48</v>
      </c>
      <c r="F340" s="1">
        <f>VLOOKUP($B340&amp;"__wt",'Xtal_SegEnds_BW#'!$A:$Z,6,FALSE)</f>
        <v>51</v>
      </c>
      <c r="G340" s="1">
        <v>37</v>
      </c>
      <c r="H340" s="1">
        <v>63</v>
      </c>
      <c r="I340" s="1" t="str">
        <f>VLOOKUP($B340&amp;"__wt",'Xtal_SegEnds_BW#'!$A:$Z,9,FALSE)</f>
        <v>-</v>
      </c>
      <c r="J340" s="1" t="str">
        <f>VLOOKUP($B340&amp;"__wt",'Xtal_SegEnds_BW#'!$A:$Z,10,FALSE)</f>
        <v>-</v>
      </c>
      <c r="K340" s="1">
        <v>23</v>
      </c>
      <c r="L340" s="1">
        <f>VLOOKUP($B340&amp;"__wt",'Xtal_SegEnds_BW#'!$A:$Z,12,FALSE)</f>
        <v>56</v>
      </c>
      <c r="M340" s="1" t="str">
        <f>VLOOKUP($B340&amp;"__wt",'Xtal_SegEnds_BW#'!$A:$Z,13,FALSE)</f>
        <v>-</v>
      </c>
      <c r="N340" s="1" t="str">
        <f>VLOOKUP($B340&amp;"__wt",'Xtal_SegEnds_BW#'!$A:$Z,14,FALSE)</f>
        <v>-</v>
      </c>
      <c r="O340" s="1">
        <f>VLOOKUP($B340&amp;"__wt",'Xtal_SegEnds_BW#'!$A:$Z,15,FALSE)</f>
        <v>40</v>
      </c>
      <c r="P340" s="1">
        <f>VLOOKUP($B340&amp;"__wt",'Xtal_SegEnds_BW#'!$A:$Z,16,FALSE)</f>
        <v>68</v>
      </c>
      <c r="Q340" s="1">
        <f>VLOOKUP($B340&amp;"__wt",'Xtal_SegEnds_BW#'!$A:$Z,17,FALSE)</f>
        <v>50</v>
      </c>
      <c r="R340" s="1">
        <f>VLOOKUP($B340&amp;"__wt",'Xtal_SegEnds_BW#'!$A:$Z,18,FALSE)</f>
        <v>52</v>
      </c>
      <c r="S340" s="1">
        <v>36</v>
      </c>
      <c r="T340" s="23">
        <v>69</v>
      </c>
      <c r="U340" s="1">
        <v>29</v>
      </c>
      <c r="V340" s="1">
        <f>VLOOKUP($B340&amp;"__wt",'Xtal_SegEnds_BW#'!$A:$Z,22,FALSE)</f>
        <v>53</v>
      </c>
      <c r="W340" s="1">
        <v>31</v>
      </c>
      <c r="X340" s="1">
        <f>VLOOKUP($B340&amp;"__wt",'Xtal_SegEnds_BW#'!$A:$Z,24,FALSE)</f>
        <v>56</v>
      </c>
      <c r="Y340" s="1">
        <f>VLOOKUP($B340&amp;"__wt",'Xtal_SegEnds_BW#'!$A:$Z,25,FALSE)</f>
        <v>47</v>
      </c>
      <c r="Z340" s="1">
        <v>63</v>
      </c>
      <c r="AA340" s="63" t="str">
        <f>VLOOKUP(A340,Classification!A:B,2,FALSE)</f>
        <v>B2</v>
      </c>
      <c r="AB340" s="1" t="e">
        <f>VLOOKUP(A340,'NonXtal_SegEnds_Prot#'!A:AL,10,FALSE)-VLOOKUP(A340,'NonXtal_SegEnds_Prot#'!A:AL,7,FALSE)</f>
        <v>#VALUE!</v>
      </c>
      <c r="AC340" s="1" t="e">
        <f>VLOOKUP(A340,'NonXtal_SegEnds_Prot#'!A:AL,13,FALSE)-VLOOKUP(A340,'NonXtal_SegEnds_Prot#'!A:AL,10,FALSE)</f>
        <v>#VALUE!</v>
      </c>
      <c r="AD340" s="1">
        <f>VLOOKUP(A340,'NonXtal_SegEnds_Prot#'!A:AL,16,FALSE)-VLOOKUP(A340,'NonXtal_SegEnds_Prot#'!A:AL,10,FALSE)</f>
        <v>45</v>
      </c>
      <c r="AE340" s="1">
        <f>VLOOKUP(A340,'NonXtal_SegEnds_Prot#'!A:AL,28,FALSE)-VLOOKUP(A340,'NonXtal_SegEnds_Prot#'!A:AL,25,FALSE)</f>
        <v>19</v>
      </c>
      <c r="AF340" s="1">
        <f>VLOOKUP(A340,'NonXtal_SegEnds_Prot#'!A:AL,31,FALSE)-VLOOKUP(A340,'NonXtal_SegEnds_Prot#'!A:AL,28,FALSE)</f>
        <v>83</v>
      </c>
      <c r="AG340" s="1">
        <f>VLOOKUP(A340,'NonXtal_SegEnds_Prot#'!A:AL,34,FALSE)-VLOOKUP(A340,'NonXtal_SegEnds_Prot#'!A:AL,31,FALSE)</f>
        <v>29</v>
      </c>
    </row>
    <row r="341" spans="1:33" x14ac:dyDescent="0.2">
      <c r="A341" s="1" t="s">
        <v>1398</v>
      </c>
      <c r="B341" s="1" t="str">
        <f>VLOOKUP(A341,Xtal_Templ!A:B,2,FALSE)</f>
        <v>crfr1_human</v>
      </c>
      <c r="C341" s="5">
        <v>23</v>
      </c>
      <c r="D341" s="1">
        <f>VLOOKUP($B341&amp;"__wt",'Xtal_SegEnds_BW#'!$A:$Z,4,FALSE)</f>
        <v>60</v>
      </c>
      <c r="E341" s="1">
        <f>VLOOKUP($B341&amp;"__wt",'Xtal_SegEnds_BW#'!$A:$Z,5,FALSE)</f>
        <v>48</v>
      </c>
      <c r="F341" s="1">
        <f>VLOOKUP($B341&amp;"__wt",'Xtal_SegEnds_BW#'!$A:$Z,6,FALSE)</f>
        <v>51</v>
      </c>
      <c r="G341" s="1">
        <v>37</v>
      </c>
      <c r="H341" s="1">
        <v>63</v>
      </c>
      <c r="I341" s="1" t="str">
        <f>VLOOKUP($B341&amp;"__wt",'Xtal_SegEnds_BW#'!$A:$Z,9,FALSE)</f>
        <v>-</v>
      </c>
      <c r="J341" s="1" t="str">
        <f>VLOOKUP($B341&amp;"__wt",'Xtal_SegEnds_BW#'!$A:$Z,10,FALSE)</f>
        <v>-</v>
      </c>
      <c r="K341" s="1">
        <v>23</v>
      </c>
      <c r="L341" s="1">
        <f>VLOOKUP($B341&amp;"__wt",'Xtal_SegEnds_BW#'!$A:$Z,12,FALSE)</f>
        <v>56</v>
      </c>
      <c r="M341" s="1" t="str">
        <f>VLOOKUP($B341&amp;"__wt",'Xtal_SegEnds_BW#'!$A:$Z,13,FALSE)</f>
        <v>-</v>
      </c>
      <c r="N341" s="1" t="str">
        <f>VLOOKUP($B341&amp;"__wt",'Xtal_SegEnds_BW#'!$A:$Z,14,FALSE)</f>
        <v>-</v>
      </c>
      <c r="O341" s="1">
        <f>VLOOKUP($B341&amp;"__wt",'Xtal_SegEnds_BW#'!$A:$Z,15,FALSE)</f>
        <v>40</v>
      </c>
      <c r="P341" s="1">
        <f>VLOOKUP($B341&amp;"__wt",'Xtal_SegEnds_BW#'!$A:$Z,16,FALSE)</f>
        <v>68</v>
      </c>
      <c r="Q341" s="1">
        <f>VLOOKUP($B341&amp;"__wt",'Xtal_SegEnds_BW#'!$A:$Z,17,FALSE)</f>
        <v>50</v>
      </c>
      <c r="R341" s="1">
        <f>VLOOKUP($B341&amp;"__wt",'Xtal_SegEnds_BW#'!$A:$Z,18,FALSE)</f>
        <v>52</v>
      </c>
      <c r="S341" s="1">
        <v>36</v>
      </c>
      <c r="T341" s="23">
        <v>69</v>
      </c>
      <c r="U341" s="1">
        <v>29</v>
      </c>
      <c r="V341" s="1">
        <f>VLOOKUP($B341&amp;"__wt",'Xtal_SegEnds_BW#'!$A:$Z,22,FALSE)</f>
        <v>53</v>
      </c>
      <c r="W341" s="1">
        <v>29</v>
      </c>
      <c r="X341" s="1">
        <f>VLOOKUP($B341&amp;"__wt",'Xtal_SegEnds_BW#'!$A:$Z,24,FALSE)</f>
        <v>56</v>
      </c>
      <c r="Y341" s="1">
        <f>VLOOKUP($B341&amp;"__wt",'Xtal_SegEnds_BW#'!$A:$Z,25,FALSE)</f>
        <v>47</v>
      </c>
      <c r="Z341" s="1">
        <v>63</v>
      </c>
      <c r="AA341" s="63" t="str">
        <f>VLOOKUP(A341,Classification!A:B,2,FALSE)</f>
        <v>B2</v>
      </c>
      <c r="AB341" s="1" t="e">
        <f>VLOOKUP(A341,'NonXtal_SegEnds_Prot#'!A:AL,10,FALSE)-VLOOKUP(A341,'NonXtal_SegEnds_Prot#'!A:AL,7,FALSE)</f>
        <v>#VALUE!</v>
      </c>
      <c r="AC341" s="1" t="e">
        <f>VLOOKUP(A341,'NonXtal_SegEnds_Prot#'!A:AL,13,FALSE)-VLOOKUP(A341,'NonXtal_SegEnds_Prot#'!A:AL,10,FALSE)</f>
        <v>#VALUE!</v>
      </c>
      <c r="AD341" s="1">
        <f>VLOOKUP(A341,'NonXtal_SegEnds_Prot#'!A:AL,16,FALSE)-VLOOKUP(A341,'NonXtal_SegEnds_Prot#'!A:AL,10,FALSE)</f>
        <v>47</v>
      </c>
      <c r="AE341" s="1">
        <f>VLOOKUP(A341,'NonXtal_SegEnds_Prot#'!A:AL,28,FALSE)-VLOOKUP(A341,'NonXtal_SegEnds_Prot#'!A:AL,25,FALSE)</f>
        <v>18</v>
      </c>
      <c r="AF341" s="1">
        <f>VLOOKUP(A341,'NonXtal_SegEnds_Prot#'!A:AL,31,FALSE)-VLOOKUP(A341,'NonXtal_SegEnds_Prot#'!A:AL,28,FALSE)</f>
        <v>85</v>
      </c>
      <c r="AG341" s="1">
        <f>VLOOKUP(A341,'NonXtal_SegEnds_Prot#'!A:AL,34,FALSE)-VLOOKUP(A341,'NonXtal_SegEnds_Prot#'!A:AL,31,FALSE)</f>
        <v>31</v>
      </c>
    </row>
    <row r="342" spans="1:33" x14ac:dyDescent="0.2">
      <c r="A342" s="1" t="s">
        <v>1396</v>
      </c>
      <c r="B342" s="1" t="str">
        <f>VLOOKUP(A342,Xtal_Templ!A:B,2,FALSE)</f>
        <v>crfr1_human</v>
      </c>
      <c r="C342" s="5">
        <v>23</v>
      </c>
      <c r="D342" s="1">
        <f>VLOOKUP($B342&amp;"__wt",'Xtal_SegEnds_BW#'!$A:$Z,4,FALSE)</f>
        <v>60</v>
      </c>
      <c r="E342" s="1">
        <f>VLOOKUP($B342&amp;"__wt",'Xtal_SegEnds_BW#'!$A:$Z,5,FALSE)</f>
        <v>48</v>
      </c>
      <c r="F342" s="1">
        <f>VLOOKUP($B342&amp;"__wt",'Xtal_SegEnds_BW#'!$A:$Z,6,FALSE)</f>
        <v>51</v>
      </c>
      <c r="G342" s="1">
        <v>37</v>
      </c>
      <c r="H342" s="1">
        <v>63</v>
      </c>
      <c r="I342" s="1" t="str">
        <f>VLOOKUP($B342&amp;"__wt",'Xtal_SegEnds_BW#'!$A:$Z,9,FALSE)</f>
        <v>-</v>
      </c>
      <c r="J342" s="1" t="str">
        <f>VLOOKUP($B342&amp;"__wt",'Xtal_SegEnds_BW#'!$A:$Z,10,FALSE)</f>
        <v>-</v>
      </c>
      <c r="K342" s="1">
        <v>23</v>
      </c>
      <c r="L342" s="1">
        <f>VLOOKUP($B342&amp;"__wt",'Xtal_SegEnds_BW#'!$A:$Z,12,FALSE)</f>
        <v>56</v>
      </c>
      <c r="M342" s="1" t="str">
        <f>VLOOKUP($B342&amp;"__wt",'Xtal_SegEnds_BW#'!$A:$Z,13,FALSE)</f>
        <v>-</v>
      </c>
      <c r="N342" s="1" t="str">
        <f>VLOOKUP($B342&amp;"__wt",'Xtal_SegEnds_BW#'!$A:$Z,14,FALSE)</f>
        <v>-</v>
      </c>
      <c r="O342" s="1">
        <f>VLOOKUP($B342&amp;"__wt",'Xtal_SegEnds_BW#'!$A:$Z,15,FALSE)</f>
        <v>40</v>
      </c>
      <c r="P342" s="1">
        <f>VLOOKUP($B342&amp;"__wt",'Xtal_SegEnds_BW#'!$A:$Z,16,FALSE)</f>
        <v>68</v>
      </c>
      <c r="Q342" s="1">
        <f>VLOOKUP($B342&amp;"__wt",'Xtal_SegEnds_BW#'!$A:$Z,17,FALSE)</f>
        <v>50</v>
      </c>
      <c r="R342" s="1">
        <f>VLOOKUP($B342&amp;"__wt",'Xtal_SegEnds_BW#'!$A:$Z,18,FALSE)</f>
        <v>52</v>
      </c>
      <c r="S342" s="1">
        <v>36</v>
      </c>
      <c r="T342" s="23">
        <v>69</v>
      </c>
      <c r="U342" s="1">
        <v>29</v>
      </c>
      <c r="V342" s="1">
        <f>VLOOKUP($B342&amp;"__wt",'Xtal_SegEnds_BW#'!$A:$Z,22,FALSE)</f>
        <v>53</v>
      </c>
      <c r="W342" s="1">
        <v>29</v>
      </c>
      <c r="X342" s="1">
        <f>VLOOKUP($B342&amp;"__wt",'Xtal_SegEnds_BW#'!$A:$Z,24,FALSE)</f>
        <v>56</v>
      </c>
      <c r="Y342" s="1">
        <f>VLOOKUP($B342&amp;"__wt",'Xtal_SegEnds_BW#'!$A:$Z,25,FALSE)</f>
        <v>47</v>
      </c>
      <c r="Z342" s="1">
        <v>63</v>
      </c>
      <c r="AA342" s="63" t="str">
        <f>VLOOKUP(A342,Classification!A:B,2,FALSE)</f>
        <v>B2</v>
      </c>
      <c r="AB342" s="1" t="e">
        <f>VLOOKUP(A342,'NonXtal_SegEnds_Prot#'!A:AL,10,FALSE)-VLOOKUP(A342,'NonXtal_SegEnds_Prot#'!A:AL,7,FALSE)</f>
        <v>#VALUE!</v>
      </c>
      <c r="AC342" s="1" t="e">
        <f>VLOOKUP(A342,'NonXtal_SegEnds_Prot#'!A:AL,13,FALSE)-VLOOKUP(A342,'NonXtal_SegEnds_Prot#'!A:AL,10,FALSE)</f>
        <v>#VALUE!</v>
      </c>
      <c r="AD342" s="1">
        <f>VLOOKUP(A342,'NonXtal_SegEnds_Prot#'!A:AL,16,FALSE)-VLOOKUP(A342,'NonXtal_SegEnds_Prot#'!A:AL,10,FALSE)</f>
        <v>47</v>
      </c>
      <c r="AE342" s="1">
        <f>VLOOKUP(A342,'NonXtal_SegEnds_Prot#'!A:AL,28,FALSE)-VLOOKUP(A342,'NonXtal_SegEnds_Prot#'!A:AL,25,FALSE)</f>
        <v>18</v>
      </c>
      <c r="AF342" s="1">
        <f>VLOOKUP(A342,'NonXtal_SegEnds_Prot#'!A:AL,31,FALSE)-VLOOKUP(A342,'NonXtal_SegEnds_Prot#'!A:AL,28,FALSE)</f>
        <v>86</v>
      </c>
      <c r="AG342" s="1">
        <f>VLOOKUP(A342,'NonXtal_SegEnds_Prot#'!A:AL,34,FALSE)-VLOOKUP(A342,'NonXtal_SegEnds_Prot#'!A:AL,31,FALSE)</f>
        <v>31</v>
      </c>
    </row>
    <row r="343" spans="1:33" x14ac:dyDescent="0.2">
      <c r="A343" s="4" t="s">
        <v>1397</v>
      </c>
      <c r="B343" s="4" t="str">
        <f>VLOOKUP(A343,Xtal_Templ!A:B,2,FALSE)</f>
        <v>crfr1_human</v>
      </c>
      <c r="C343" s="5">
        <v>23</v>
      </c>
      <c r="D343" s="4">
        <f>VLOOKUP($B343&amp;"__wt",'Xtal_SegEnds_BW#'!$A:$Z,4,FALSE)</f>
        <v>60</v>
      </c>
      <c r="E343" s="4">
        <f>VLOOKUP($B343&amp;"__wt",'Xtal_SegEnds_BW#'!$A:$Z,5,FALSE)</f>
        <v>48</v>
      </c>
      <c r="F343" s="4">
        <f>VLOOKUP($B343&amp;"__wt",'Xtal_SegEnds_BW#'!$A:$Z,6,FALSE)</f>
        <v>51</v>
      </c>
      <c r="G343" s="4">
        <v>37</v>
      </c>
      <c r="H343" s="4">
        <v>63</v>
      </c>
      <c r="I343" s="4" t="str">
        <f>VLOOKUP($B343&amp;"__wt",'Xtal_SegEnds_BW#'!$A:$Z,9,FALSE)</f>
        <v>-</v>
      </c>
      <c r="J343" s="4" t="str">
        <f>VLOOKUP($B343&amp;"__wt",'Xtal_SegEnds_BW#'!$A:$Z,10,FALSE)</f>
        <v>-</v>
      </c>
      <c r="K343" s="4">
        <v>23</v>
      </c>
      <c r="L343" s="4">
        <f>VLOOKUP($B343&amp;"__wt",'Xtal_SegEnds_BW#'!$A:$Z,12,FALSE)</f>
        <v>56</v>
      </c>
      <c r="M343" s="4" t="str">
        <f>VLOOKUP($B343&amp;"__wt",'Xtal_SegEnds_BW#'!$A:$Z,13,FALSE)</f>
        <v>-</v>
      </c>
      <c r="N343" s="4" t="str">
        <f>VLOOKUP($B343&amp;"__wt",'Xtal_SegEnds_BW#'!$A:$Z,14,FALSE)</f>
        <v>-</v>
      </c>
      <c r="O343" s="4">
        <f>VLOOKUP($B343&amp;"__wt",'Xtal_SegEnds_BW#'!$A:$Z,15,FALSE)</f>
        <v>40</v>
      </c>
      <c r="P343" s="4">
        <f>VLOOKUP($B343&amp;"__wt",'Xtal_SegEnds_BW#'!$A:$Z,16,FALSE)</f>
        <v>68</v>
      </c>
      <c r="Q343" s="4">
        <f>VLOOKUP($B343&amp;"__wt",'Xtal_SegEnds_BW#'!$A:$Z,17,FALSE)</f>
        <v>50</v>
      </c>
      <c r="R343" s="4">
        <f>VLOOKUP($B343&amp;"__wt",'Xtal_SegEnds_BW#'!$A:$Z,18,FALSE)</f>
        <v>52</v>
      </c>
      <c r="S343" s="4">
        <v>36</v>
      </c>
      <c r="T343" s="21">
        <v>69</v>
      </c>
      <c r="U343" s="4">
        <v>29</v>
      </c>
      <c r="V343" s="4">
        <f>VLOOKUP($B343&amp;"__wt",'Xtal_SegEnds_BW#'!$A:$Z,22,FALSE)</f>
        <v>53</v>
      </c>
      <c r="W343" s="4">
        <v>29</v>
      </c>
      <c r="X343" s="4">
        <f>VLOOKUP($B343&amp;"__wt",'Xtal_SegEnds_BW#'!$A:$Z,24,FALSE)</f>
        <v>56</v>
      </c>
      <c r="Y343" s="4">
        <f>VLOOKUP($B343&amp;"__wt",'Xtal_SegEnds_BW#'!$A:$Z,25,FALSE)</f>
        <v>47</v>
      </c>
      <c r="Z343" s="4">
        <v>63</v>
      </c>
      <c r="AA343" s="63" t="str">
        <f>VLOOKUP(A343,Classification!A:B,2,FALSE)</f>
        <v>B2</v>
      </c>
      <c r="AB343" s="4" t="e">
        <f>VLOOKUP(A343,'NonXtal_SegEnds_Prot#'!A:AL,10,FALSE)-VLOOKUP(A343,'NonXtal_SegEnds_Prot#'!A:AL,7,FALSE)</f>
        <v>#VALUE!</v>
      </c>
      <c r="AC343" s="4" t="e">
        <f>VLOOKUP(A343,'NonXtal_SegEnds_Prot#'!A:AL,13,FALSE)-VLOOKUP(A343,'NonXtal_SegEnds_Prot#'!A:AL,10,FALSE)</f>
        <v>#VALUE!</v>
      </c>
      <c r="AD343" s="4">
        <f>VLOOKUP(A343,'NonXtal_SegEnds_Prot#'!A:AL,16,FALSE)-VLOOKUP(A343,'NonXtal_SegEnds_Prot#'!A:AL,10,FALSE)</f>
        <v>47</v>
      </c>
      <c r="AE343" s="4">
        <f>VLOOKUP(A343,'NonXtal_SegEnds_Prot#'!A:AL,28,FALSE)-VLOOKUP(A343,'NonXtal_SegEnds_Prot#'!A:AL,25,FALSE)</f>
        <v>18</v>
      </c>
      <c r="AF343" s="4">
        <f>VLOOKUP(A343,'NonXtal_SegEnds_Prot#'!A:AL,31,FALSE)-VLOOKUP(A343,'NonXtal_SegEnds_Prot#'!A:AL,28,FALSE)</f>
        <v>100</v>
      </c>
      <c r="AG343" s="4">
        <f>VLOOKUP(A343,'NonXtal_SegEnds_Prot#'!A:AL,34,FALSE)-VLOOKUP(A343,'NonXtal_SegEnds_Prot#'!A:AL,31,FALSE)</f>
        <v>31</v>
      </c>
    </row>
    <row r="344" spans="1:33" s="91" customFormat="1" x14ac:dyDescent="0.2">
      <c r="A344" s="91" t="s">
        <v>308</v>
      </c>
      <c r="B344" s="91" t="str">
        <f>VLOOKUP(A344,Xtal_Templ!A:B,2,FALSE)</f>
        <v>grm1_human</v>
      </c>
      <c r="C344" s="93">
        <f>VLOOKUP($B344&amp;"__wt",'Xtal_SegEnds_BW#'!$A:$Z,3,FALSE)</f>
        <v>34</v>
      </c>
      <c r="D344" s="91">
        <f>VLOOKUP($B344&amp;"__wt",'Xtal_SegEnds_BW#'!$A:$Z,4,FALSE)</f>
        <v>60</v>
      </c>
      <c r="E344" s="91">
        <f>VLOOKUP($B344&amp;"__wt",'Xtal_SegEnds_BW#'!$A:$Z,5,FALSE)</f>
        <v>47</v>
      </c>
      <c r="F344" s="91">
        <f>VLOOKUP($B344&amp;"__wt",'Xtal_SegEnds_BW#'!$A:$Z,6,FALSE)</f>
        <v>53</v>
      </c>
      <c r="G344" s="91">
        <v>39</v>
      </c>
      <c r="H344" s="91">
        <f>VLOOKUP($B344&amp;"__wt",'Xtal_SegEnds_BW#'!$A:$Z,8,FALSE)</f>
        <v>61</v>
      </c>
      <c r="I344" s="91" t="str">
        <f>VLOOKUP($B344&amp;"__wt",'Xtal_SegEnds_BW#'!$A:$Z,9,FALSE)</f>
        <v>-</v>
      </c>
      <c r="J344" s="91" t="str">
        <f>VLOOKUP($B344&amp;"__wt",'Xtal_SegEnds_BW#'!$A:$Z,10,FALSE)</f>
        <v>-</v>
      </c>
      <c r="K344" s="91">
        <f>VLOOKUP($B344&amp;"__wt",'Xtal_SegEnds_BW#'!$A:$Z,11,FALSE)</f>
        <v>22</v>
      </c>
      <c r="L344" s="91">
        <f>VLOOKUP($B344&amp;"__wt",'Xtal_SegEnds_BW#'!$A:$Z,12,FALSE)</f>
        <v>54</v>
      </c>
      <c r="M344" s="91" t="str">
        <f>VLOOKUP($B344&amp;"__wt",'Xtal_SegEnds_BW#'!$A:$Z,13,FALSE)</f>
        <v>-</v>
      </c>
      <c r="N344" s="91" t="str">
        <f>VLOOKUP($B344&amp;"__wt",'Xtal_SegEnds_BW#'!$A:$Z,14,FALSE)</f>
        <v>-</v>
      </c>
      <c r="O344" s="91">
        <f>VLOOKUP($B344&amp;"__wt",'Xtal_SegEnds_BW#'!$A:$Z,15,FALSE)</f>
        <v>39</v>
      </c>
      <c r="P344" s="91">
        <f>VLOOKUP($B344&amp;"__wt",'Xtal_SegEnds_BW#'!$A:$Z,16,FALSE)</f>
        <v>64</v>
      </c>
      <c r="Q344" s="91">
        <f>VLOOKUP($B344&amp;"__wt",'Xtal_SegEnds_BW#'!$A:$Z,17,FALSE)</f>
        <v>50</v>
      </c>
      <c r="R344" s="91">
        <f>VLOOKUP($B344&amp;"__wt",'Xtal_SegEnds_BW#'!$A:$Z,18,FALSE)</f>
        <v>52</v>
      </c>
      <c r="S344" s="91">
        <f>VLOOKUP($B344&amp;"__wt",'Xtal_SegEnds_BW#'!$A:$Z,19,FALSE)</f>
        <v>37</v>
      </c>
      <c r="T344" s="92">
        <f>VLOOKUP($B344&amp;"__wt",'Xtal_SegEnds_BW#'!$A:$Z,20,FALSE)</f>
        <v>61</v>
      </c>
      <c r="U344" s="91">
        <f>VLOOKUP($B344&amp;"__wt",'Xtal_SegEnds_BW#'!$A:$Z,21,FALSE)</f>
        <v>33</v>
      </c>
      <c r="V344" s="91">
        <f>VLOOKUP($B344&amp;"__wt",'Xtal_SegEnds_BW#'!$A:$Z,22,FALSE)</f>
        <v>57</v>
      </c>
      <c r="W344" s="91">
        <f>VLOOKUP($B344&amp;"__wt",'Xtal_SegEnds_BW#'!$A:$Z,23,FALSE)</f>
        <v>34</v>
      </c>
      <c r="X344" s="91">
        <f>VLOOKUP($B344&amp;"__wt",'Xtal_SegEnds_BW#'!$A:$Z,24,FALSE)</f>
        <v>63</v>
      </c>
      <c r="Y344" s="91">
        <f>VLOOKUP($B344&amp;"__wt",'Xtal_SegEnds_BW#'!$A:$Z,25,FALSE)</f>
        <v>47</v>
      </c>
      <c r="Z344" s="91">
        <f>VLOOKUP($B344&amp;"__wt",'Xtal_SegEnds_BW#'!$A:$Z,26,FALSE)</f>
        <v>59</v>
      </c>
      <c r="AA344" s="94" t="str">
        <f>VLOOKUP(A344,Classification!A:B,2,FALSE)</f>
        <v>C</v>
      </c>
      <c r="AB344" s="91">
        <f>VLOOKUP(A344,'NonXtal_SegEnds_Prot#'!A:AL,10,FALSE)-VLOOKUP(A344,'NonXtal_SegEnds_Prot#'!A:AL,7,FALSE)</f>
        <v>16</v>
      </c>
      <c r="AC344" s="91" t="e">
        <f>VLOOKUP(A344,'NonXtal_SegEnds_Prot#'!A:AL,13,FALSE)-VLOOKUP(A344,'NonXtal_SegEnds_Prot#'!A:AL,10,FALSE)</f>
        <v>#VALUE!</v>
      </c>
      <c r="AD344" s="91">
        <f>VLOOKUP(A344,'NonXtal_SegEnds_Prot#'!A:AL,16,FALSE)-VLOOKUP(A344,'NonXtal_SegEnds_Prot#'!A:AL,10,FALSE)</f>
        <v>44</v>
      </c>
      <c r="AE344" s="91">
        <f>VLOOKUP(A344,'NonXtal_SegEnds_Prot#'!A:AL,28,FALSE)-VLOOKUP(A344,'NonXtal_SegEnds_Prot#'!A:AL,25,FALSE)</f>
        <v>18</v>
      </c>
      <c r="AF344" s="91">
        <f>VLOOKUP(A344,'NonXtal_SegEnds_Prot#'!A:AL,31,FALSE)-VLOOKUP(A344,'NonXtal_SegEnds_Prot#'!A:AL,28,FALSE)</f>
        <v>35</v>
      </c>
      <c r="AG344" s="91">
        <f>VLOOKUP(A344,'NonXtal_SegEnds_Prot#'!A:AL,34,FALSE)-VLOOKUP(A344,'NonXtal_SegEnds_Prot#'!A:AL,31,FALSE)</f>
        <v>29</v>
      </c>
    </row>
    <row r="345" spans="1:33" x14ac:dyDescent="0.2">
      <c r="A345" s="1" t="s">
        <v>299</v>
      </c>
      <c r="B345" s="1" t="str">
        <f>VLOOKUP(A345,Xtal_Templ!A:B,2,FALSE)</f>
        <v>grm5_human</v>
      </c>
      <c r="C345" s="5">
        <f>VLOOKUP($B345&amp;"__wt",'Xtal_SegEnds_BW#'!$A:$Z,3,FALSE)</f>
        <v>34</v>
      </c>
      <c r="D345" s="1">
        <f>VLOOKUP($B345&amp;"__wt",'Xtal_SegEnds_BW#'!$A:$Z,4,FALSE)</f>
        <v>60</v>
      </c>
      <c r="E345" s="1">
        <f>VLOOKUP($B345&amp;"__wt",'Xtal_SegEnds_BW#'!$A:$Z,5,FALSE)</f>
        <v>47</v>
      </c>
      <c r="F345" s="1">
        <f>VLOOKUP($B345&amp;"__wt",'Xtal_SegEnds_BW#'!$A:$Z,6,FALSE)</f>
        <v>53</v>
      </c>
      <c r="G345" s="1">
        <v>39</v>
      </c>
      <c r="H345" s="1">
        <f>VLOOKUP($B345&amp;"__wt",'Xtal_SegEnds_BW#'!$A:$Z,8,FALSE)</f>
        <v>61</v>
      </c>
      <c r="I345" s="1" t="str">
        <f>VLOOKUP($B345&amp;"__wt",'Xtal_SegEnds_BW#'!$A:$Z,9,FALSE)</f>
        <v>-</v>
      </c>
      <c r="J345" s="1" t="str">
        <f>VLOOKUP($B345&amp;"__wt",'Xtal_SegEnds_BW#'!$A:$Z,10,FALSE)</f>
        <v>-</v>
      </c>
      <c r="K345" s="1">
        <f>VLOOKUP($B345&amp;"__wt",'Xtal_SegEnds_BW#'!$A:$Z,11,FALSE)</f>
        <v>22</v>
      </c>
      <c r="L345" s="1">
        <f>VLOOKUP($B345&amp;"__wt",'Xtal_SegEnds_BW#'!$A:$Z,12,FALSE)</f>
        <v>54</v>
      </c>
      <c r="M345" s="1" t="str">
        <f>VLOOKUP($B345&amp;"__wt",'Xtal_SegEnds_BW#'!$A:$Z,13,FALSE)</f>
        <v>-</v>
      </c>
      <c r="N345" s="1" t="str">
        <f>VLOOKUP($B345&amp;"__wt",'Xtal_SegEnds_BW#'!$A:$Z,14,FALSE)</f>
        <v>-</v>
      </c>
      <c r="O345" s="1">
        <f>VLOOKUP($B345&amp;"__wt",'Xtal_SegEnds_BW#'!$A:$Z,15,FALSE)</f>
        <v>39</v>
      </c>
      <c r="P345" s="1">
        <f>VLOOKUP($B345&amp;"__wt",'Xtal_SegEnds_BW#'!$A:$Z,16,FALSE)</f>
        <v>64</v>
      </c>
      <c r="Q345" s="1">
        <f>VLOOKUP($B345&amp;"__wt",'Xtal_SegEnds_BW#'!$A:$Z,17,FALSE)</f>
        <v>50</v>
      </c>
      <c r="R345" s="1">
        <f>VLOOKUP($B345&amp;"__wt",'Xtal_SegEnds_BW#'!$A:$Z,18,FALSE)</f>
        <v>52</v>
      </c>
      <c r="S345" s="1">
        <f>VLOOKUP($B345&amp;"__wt",'Xtal_SegEnds_BW#'!$A:$Z,19,FALSE)</f>
        <v>37</v>
      </c>
      <c r="T345" s="23">
        <f>VLOOKUP($B345&amp;"__wt",'Xtal_SegEnds_BW#'!$A:$Z,20,FALSE)</f>
        <v>61</v>
      </c>
      <c r="U345" s="1">
        <f>VLOOKUP($B345&amp;"__wt",'Xtal_SegEnds_BW#'!$A:$Z,21,FALSE)</f>
        <v>33</v>
      </c>
      <c r="V345" s="1">
        <f>VLOOKUP($B345&amp;"__wt",'Xtal_SegEnds_BW#'!$A:$Z,22,FALSE)</f>
        <v>57</v>
      </c>
      <c r="W345" s="1">
        <f>VLOOKUP($B345&amp;"__wt",'Xtal_SegEnds_BW#'!$A:$Z,23,FALSE)</f>
        <v>34</v>
      </c>
      <c r="X345" s="1">
        <f>VLOOKUP($B345&amp;"__wt",'Xtal_SegEnds_BW#'!$A:$Z,24,FALSE)</f>
        <v>63</v>
      </c>
      <c r="Y345" s="1">
        <f>VLOOKUP($B345&amp;"__wt",'Xtal_SegEnds_BW#'!$A:$Z,25,FALSE)</f>
        <v>47</v>
      </c>
      <c r="Z345" s="1">
        <f>VLOOKUP($B345&amp;"__wt",'Xtal_SegEnds_BW#'!$A:$Z,26,FALSE)</f>
        <v>59</v>
      </c>
      <c r="AA345" s="63" t="str">
        <f>VLOOKUP(A345,Classification!A:B,2,FALSE)</f>
        <v>C</v>
      </c>
      <c r="AB345" s="1">
        <f>VLOOKUP(A345,'NonXtal_SegEnds_Prot#'!A:AL,10,FALSE)-VLOOKUP(A345,'NonXtal_SegEnds_Prot#'!A:AL,7,FALSE)</f>
        <v>15</v>
      </c>
      <c r="AC345" s="1" t="e">
        <f>VLOOKUP(A345,'NonXtal_SegEnds_Prot#'!A:AL,13,FALSE)-VLOOKUP(A345,'NonXtal_SegEnds_Prot#'!A:AL,10,FALSE)</f>
        <v>#VALUE!</v>
      </c>
      <c r="AD345" s="1">
        <f>VLOOKUP(A345,'NonXtal_SegEnds_Prot#'!A:AL,16,FALSE)-VLOOKUP(A345,'NonXtal_SegEnds_Prot#'!A:AL,10,FALSE)</f>
        <v>44</v>
      </c>
      <c r="AE345" s="1">
        <f>VLOOKUP(A345,'NonXtal_SegEnds_Prot#'!A:AL,28,FALSE)-VLOOKUP(A345,'NonXtal_SegEnds_Prot#'!A:AL,25,FALSE)</f>
        <v>18</v>
      </c>
      <c r="AF345" s="1">
        <f>VLOOKUP(A345,'NonXtal_SegEnds_Prot#'!A:AL,31,FALSE)-VLOOKUP(A345,'NonXtal_SegEnds_Prot#'!A:AL,28,FALSE)</f>
        <v>37</v>
      </c>
      <c r="AG345" s="1">
        <f>VLOOKUP(A345,'NonXtal_SegEnds_Prot#'!A:AL,34,FALSE)-VLOOKUP(A345,'NonXtal_SegEnds_Prot#'!A:AL,31,FALSE)</f>
        <v>29</v>
      </c>
    </row>
    <row r="346" spans="1:33" x14ac:dyDescent="0.2">
      <c r="A346" s="1" t="s">
        <v>303</v>
      </c>
      <c r="B346" s="1" t="str">
        <f>VLOOKUP(A346,Xtal_Templ!A:B,2,FALSE)</f>
        <v>grm1_human</v>
      </c>
      <c r="C346" s="5">
        <f>VLOOKUP($B346&amp;"__wt",'Xtal_SegEnds_BW#'!$A:$Z,3,FALSE)</f>
        <v>34</v>
      </c>
      <c r="D346" s="1">
        <f>VLOOKUP($B346&amp;"__wt",'Xtal_SegEnds_BW#'!$A:$Z,4,FALSE)</f>
        <v>60</v>
      </c>
      <c r="E346" s="1">
        <f>VLOOKUP($B346&amp;"__wt",'Xtal_SegEnds_BW#'!$A:$Z,5,FALSE)</f>
        <v>47</v>
      </c>
      <c r="F346" s="1">
        <f>VLOOKUP($B346&amp;"__wt",'Xtal_SegEnds_BW#'!$A:$Z,6,FALSE)</f>
        <v>53</v>
      </c>
      <c r="G346" s="1">
        <v>39</v>
      </c>
      <c r="H346" s="1">
        <f>VLOOKUP($B346&amp;"__wt",'Xtal_SegEnds_BW#'!$A:$Z,8,FALSE)</f>
        <v>61</v>
      </c>
      <c r="I346" s="1" t="str">
        <f>VLOOKUP($B346&amp;"__wt",'Xtal_SegEnds_BW#'!$A:$Z,9,FALSE)</f>
        <v>-</v>
      </c>
      <c r="J346" s="1" t="str">
        <f>VLOOKUP($B346&amp;"__wt",'Xtal_SegEnds_BW#'!$A:$Z,10,FALSE)</f>
        <v>-</v>
      </c>
      <c r="K346" s="1">
        <f>VLOOKUP($B346&amp;"__wt",'Xtal_SegEnds_BW#'!$A:$Z,11,FALSE)</f>
        <v>22</v>
      </c>
      <c r="L346" s="1">
        <f>VLOOKUP($B346&amp;"__wt",'Xtal_SegEnds_BW#'!$A:$Z,12,FALSE)</f>
        <v>54</v>
      </c>
      <c r="M346" s="1" t="str">
        <f>VLOOKUP($B346&amp;"__wt",'Xtal_SegEnds_BW#'!$A:$Z,13,FALSE)</f>
        <v>-</v>
      </c>
      <c r="N346" s="1" t="str">
        <f>VLOOKUP($B346&amp;"__wt",'Xtal_SegEnds_BW#'!$A:$Z,14,FALSE)</f>
        <v>-</v>
      </c>
      <c r="O346" s="1">
        <f>VLOOKUP($B346&amp;"__wt",'Xtal_SegEnds_BW#'!$A:$Z,15,FALSE)</f>
        <v>39</v>
      </c>
      <c r="P346" s="1">
        <f>VLOOKUP($B346&amp;"__wt",'Xtal_SegEnds_BW#'!$A:$Z,16,FALSE)</f>
        <v>64</v>
      </c>
      <c r="Q346" s="1">
        <f>VLOOKUP($B346&amp;"__wt",'Xtal_SegEnds_BW#'!$A:$Z,17,FALSE)</f>
        <v>50</v>
      </c>
      <c r="R346" s="1">
        <f>VLOOKUP($B346&amp;"__wt",'Xtal_SegEnds_BW#'!$A:$Z,18,FALSE)</f>
        <v>52</v>
      </c>
      <c r="S346" s="1">
        <f>VLOOKUP($B346&amp;"__wt",'Xtal_SegEnds_BW#'!$A:$Z,19,FALSE)</f>
        <v>37</v>
      </c>
      <c r="T346" s="23">
        <f>VLOOKUP($B346&amp;"__wt",'Xtal_SegEnds_BW#'!$A:$Z,20,FALSE)</f>
        <v>61</v>
      </c>
      <c r="U346" s="1">
        <f>VLOOKUP($B346&amp;"__wt",'Xtal_SegEnds_BW#'!$A:$Z,21,FALSE)</f>
        <v>33</v>
      </c>
      <c r="V346" s="1">
        <f>VLOOKUP($B346&amp;"__wt",'Xtal_SegEnds_BW#'!$A:$Z,22,FALSE)</f>
        <v>57</v>
      </c>
      <c r="W346" s="1">
        <f>VLOOKUP($B346&amp;"__wt",'Xtal_SegEnds_BW#'!$A:$Z,23,FALSE)</f>
        <v>34</v>
      </c>
      <c r="X346" s="1">
        <f>VLOOKUP($B346&amp;"__wt",'Xtal_SegEnds_BW#'!$A:$Z,24,FALSE)</f>
        <v>63</v>
      </c>
      <c r="Y346" s="1">
        <f>VLOOKUP($B346&amp;"__wt",'Xtal_SegEnds_BW#'!$A:$Z,25,FALSE)</f>
        <v>47</v>
      </c>
      <c r="Z346" s="1">
        <f>VLOOKUP($B346&amp;"__wt",'Xtal_SegEnds_BW#'!$A:$Z,26,FALSE)</f>
        <v>59</v>
      </c>
      <c r="AA346" s="63" t="str">
        <f>VLOOKUP(A346,Classification!A:B,2,FALSE)</f>
        <v>C</v>
      </c>
      <c r="AB346" s="1">
        <f>VLOOKUP(A346,'NonXtal_SegEnds_Prot#'!A:AL,10,FALSE)-VLOOKUP(A346,'NonXtal_SegEnds_Prot#'!A:AL,7,FALSE)</f>
        <v>15</v>
      </c>
      <c r="AC346" s="1" t="e">
        <f>VLOOKUP(A346,'NonXtal_SegEnds_Prot#'!A:AL,13,FALSE)-VLOOKUP(A346,'NonXtal_SegEnds_Prot#'!A:AL,10,FALSE)</f>
        <v>#VALUE!</v>
      </c>
      <c r="AD346" s="1">
        <f>VLOOKUP(A346,'NonXtal_SegEnds_Prot#'!A:AL,16,FALSE)-VLOOKUP(A346,'NonXtal_SegEnds_Prot#'!A:AL,10,FALSE)</f>
        <v>44</v>
      </c>
      <c r="AE346" s="1">
        <f>VLOOKUP(A346,'NonXtal_SegEnds_Prot#'!A:AL,28,FALSE)-VLOOKUP(A346,'NonXtal_SegEnds_Prot#'!A:AL,25,FALSE)</f>
        <v>16</v>
      </c>
      <c r="AF346" s="1">
        <f>VLOOKUP(A346,'NonXtal_SegEnds_Prot#'!A:AL,31,FALSE)-VLOOKUP(A346,'NonXtal_SegEnds_Prot#'!A:AL,28,FALSE)</f>
        <v>37</v>
      </c>
      <c r="AG346" s="1">
        <f>VLOOKUP(A346,'NonXtal_SegEnds_Prot#'!A:AL,34,FALSE)-VLOOKUP(A346,'NonXtal_SegEnds_Prot#'!A:AL,31,FALSE)</f>
        <v>33</v>
      </c>
    </row>
    <row r="347" spans="1:33" x14ac:dyDescent="0.2">
      <c r="A347" s="1" t="s">
        <v>304</v>
      </c>
      <c r="B347" s="1" t="str">
        <f>VLOOKUP(A347,Xtal_Templ!A:B,2,FALSE)</f>
        <v>grm1_human</v>
      </c>
      <c r="C347" s="5">
        <f>VLOOKUP($B347&amp;"__wt",'Xtal_SegEnds_BW#'!$A:$Z,3,FALSE)</f>
        <v>34</v>
      </c>
      <c r="D347" s="1">
        <f>VLOOKUP($B347&amp;"__wt",'Xtal_SegEnds_BW#'!$A:$Z,4,FALSE)</f>
        <v>60</v>
      </c>
      <c r="E347" s="1">
        <f>VLOOKUP($B347&amp;"__wt",'Xtal_SegEnds_BW#'!$A:$Z,5,FALSE)</f>
        <v>47</v>
      </c>
      <c r="F347" s="1">
        <f>VLOOKUP($B347&amp;"__wt",'Xtal_SegEnds_BW#'!$A:$Z,6,FALSE)</f>
        <v>53</v>
      </c>
      <c r="G347" s="1">
        <v>39</v>
      </c>
      <c r="H347" s="1">
        <f>VLOOKUP($B347&amp;"__wt",'Xtal_SegEnds_BW#'!$A:$Z,8,FALSE)</f>
        <v>61</v>
      </c>
      <c r="I347" s="1" t="str">
        <f>VLOOKUP($B347&amp;"__wt",'Xtal_SegEnds_BW#'!$A:$Z,9,FALSE)</f>
        <v>-</v>
      </c>
      <c r="J347" s="1" t="str">
        <f>VLOOKUP($B347&amp;"__wt",'Xtal_SegEnds_BW#'!$A:$Z,10,FALSE)</f>
        <v>-</v>
      </c>
      <c r="K347" s="1">
        <f>VLOOKUP($B347&amp;"__wt",'Xtal_SegEnds_BW#'!$A:$Z,11,FALSE)</f>
        <v>22</v>
      </c>
      <c r="L347" s="1">
        <f>VLOOKUP($B347&amp;"__wt",'Xtal_SegEnds_BW#'!$A:$Z,12,FALSE)</f>
        <v>54</v>
      </c>
      <c r="M347" s="1" t="str">
        <f>VLOOKUP($B347&amp;"__wt",'Xtal_SegEnds_BW#'!$A:$Z,13,FALSE)</f>
        <v>-</v>
      </c>
      <c r="N347" s="1" t="str">
        <f>VLOOKUP($B347&amp;"__wt",'Xtal_SegEnds_BW#'!$A:$Z,14,FALSE)</f>
        <v>-</v>
      </c>
      <c r="O347" s="1">
        <f>VLOOKUP($B347&amp;"__wt",'Xtal_SegEnds_BW#'!$A:$Z,15,FALSE)</f>
        <v>39</v>
      </c>
      <c r="P347" s="1">
        <f>VLOOKUP($B347&amp;"__wt",'Xtal_SegEnds_BW#'!$A:$Z,16,FALSE)</f>
        <v>64</v>
      </c>
      <c r="Q347" s="1">
        <f>VLOOKUP($B347&amp;"__wt",'Xtal_SegEnds_BW#'!$A:$Z,17,FALSE)</f>
        <v>50</v>
      </c>
      <c r="R347" s="1">
        <f>VLOOKUP($B347&amp;"__wt",'Xtal_SegEnds_BW#'!$A:$Z,18,FALSE)</f>
        <v>52</v>
      </c>
      <c r="S347" s="1">
        <f>VLOOKUP($B347&amp;"__wt",'Xtal_SegEnds_BW#'!$A:$Z,19,FALSE)</f>
        <v>37</v>
      </c>
      <c r="T347" s="23">
        <f>VLOOKUP($B347&amp;"__wt",'Xtal_SegEnds_BW#'!$A:$Z,20,FALSE)</f>
        <v>61</v>
      </c>
      <c r="U347" s="1">
        <f>VLOOKUP($B347&amp;"__wt",'Xtal_SegEnds_BW#'!$A:$Z,21,FALSE)</f>
        <v>33</v>
      </c>
      <c r="V347" s="1">
        <f>VLOOKUP($B347&amp;"__wt",'Xtal_SegEnds_BW#'!$A:$Z,22,FALSE)</f>
        <v>57</v>
      </c>
      <c r="W347" s="1">
        <f>VLOOKUP($B347&amp;"__wt",'Xtal_SegEnds_BW#'!$A:$Z,23,FALSE)</f>
        <v>34</v>
      </c>
      <c r="X347" s="1">
        <f>VLOOKUP($B347&amp;"__wt",'Xtal_SegEnds_BW#'!$A:$Z,24,FALSE)</f>
        <v>63</v>
      </c>
      <c r="Y347" s="1">
        <f>VLOOKUP($B347&amp;"__wt",'Xtal_SegEnds_BW#'!$A:$Z,25,FALSE)</f>
        <v>47</v>
      </c>
      <c r="Z347" s="1">
        <f>VLOOKUP($B347&amp;"__wt",'Xtal_SegEnds_BW#'!$A:$Z,26,FALSE)</f>
        <v>59</v>
      </c>
      <c r="AA347" s="63" t="str">
        <f>VLOOKUP(A347,Classification!A:B,2,FALSE)</f>
        <v>C</v>
      </c>
      <c r="AB347" s="1">
        <f>VLOOKUP(A347,'NonXtal_SegEnds_Prot#'!A:AL,10,FALSE)-VLOOKUP(A347,'NonXtal_SegEnds_Prot#'!A:AL,7,FALSE)</f>
        <v>15</v>
      </c>
      <c r="AC347" s="1" t="e">
        <f>VLOOKUP(A347,'NonXtal_SegEnds_Prot#'!A:AL,13,FALSE)-VLOOKUP(A347,'NonXtal_SegEnds_Prot#'!A:AL,10,FALSE)</f>
        <v>#VALUE!</v>
      </c>
      <c r="AD347" s="1">
        <f>VLOOKUP(A347,'NonXtal_SegEnds_Prot#'!A:AL,16,FALSE)-VLOOKUP(A347,'NonXtal_SegEnds_Prot#'!A:AL,10,FALSE)</f>
        <v>44</v>
      </c>
      <c r="AE347" s="1">
        <f>VLOOKUP(A347,'NonXtal_SegEnds_Prot#'!A:AL,28,FALSE)-VLOOKUP(A347,'NonXtal_SegEnds_Prot#'!A:AL,25,FALSE)</f>
        <v>16</v>
      </c>
      <c r="AF347" s="1">
        <f>VLOOKUP(A347,'NonXtal_SegEnds_Prot#'!A:AL,31,FALSE)-VLOOKUP(A347,'NonXtal_SegEnds_Prot#'!A:AL,28,FALSE)</f>
        <v>37</v>
      </c>
      <c r="AG347" s="1">
        <f>VLOOKUP(A347,'NonXtal_SegEnds_Prot#'!A:AL,34,FALSE)-VLOOKUP(A347,'NonXtal_SegEnds_Prot#'!A:AL,31,FALSE)</f>
        <v>33</v>
      </c>
    </row>
    <row r="348" spans="1:33" x14ac:dyDescent="0.2">
      <c r="A348" s="1" t="s">
        <v>223</v>
      </c>
      <c r="B348" s="1" t="str">
        <f>VLOOKUP(A348,Xtal_Templ!A:B,2,FALSE)</f>
        <v>grm1_human</v>
      </c>
      <c r="C348" s="5">
        <f>VLOOKUP($B348&amp;"__wt",'Xtal_SegEnds_BW#'!$A:$Z,3,FALSE)</f>
        <v>34</v>
      </c>
      <c r="D348" s="1">
        <f>VLOOKUP($B348&amp;"__wt",'Xtal_SegEnds_BW#'!$A:$Z,4,FALSE)</f>
        <v>60</v>
      </c>
      <c r="E348" s="1">
        <f>VLOOKUP($B348&amp;"__wt",'Xtal_SegEnds_BW#'!$A:$Z,5,FALSE)</f>
        <v>47</v>
      </c>
      <c r="F348" s="1">
        <f>VLOOKUP($B348&amp;"__wt",'Xtal_SegEnds_BW#'!$A:$Z,6,FALSE)</f>
        <v>53</v>
      </c>
      <c r="G348" s="1">
        <v>39</v>
      </c>
      <c r="H348" s="1">
        <f>VLOOKUP($B348&amp;"__wt",'Xtal_SegEnds_BW#'!$A:$Z,8,FALSE)</f>
        <v>61</v>
      </c>
      <c r="I348" s="1" t="str">
        <f>VLOOKUP($B348&amp;"__wt",'Xtal_SegEnds_BW#'!$A:$Z,9,FALSE)</f>
        <v>-</v>
      </c>
      <c r="J348" s="1" t="str">
        <f>VLOOKUP($B348&amp;"__wt",'Xtal_SegEnds_BW#'!$A:$Z,10,FALSE)</f>
        <v>-</v>
      </c>
      <c r="K348" s="1">
        <f>VLOOKUP($B348&amp;"__wt",'Xtal_SegEnds_BW#'!$A:$Z,11,FALSE)</f>
        <v>22</v>
      </c>
      <c r="L348" s="1">
        <f>VLOOKUP($B348&amp;"__wt",'Xtal_SegEnds_BW#'!$A:$Z,12,FALSE)</f>
        <v>54</v>
      </c>
      <c r="M348" s="1" t="str">
        <f>VLOOKUP($B348&amp;"__wt",'Xtal_SegEnds_BW#'!$A:$Z,13,FALSE)</f>
        <v>-</v>
      </c>
      <c r="N348" s="1" t="str">
        <f>VLOOKUP($B348&amp;"__wt",'Xtal_SegEnds_BW#'!$A:$Z,14,FALSE)</f>
        <v>-</v>
      </c>
      <c r="O348" s="1">
        <f>VLOOKUP($B348&amp;"__wt",'Xtal_SegEnds_BW#'!$A:$Z,15,FALSE)</f>
        <v>39</v>
      </c>
      <c r="P348" s="1">
        <f>VLOOKUP($B348&amp;"__wt",'Xtal_SegEnds_BW#'!$A:$Z,16,FALSE)</f>
        <v>64</v>
      </c>
      <c r="Q348" s="1">
        <f>VLOOKUP($B348&amp;"__wt",'Xtal_SegEnds_BW#'!$A:$Z,17,FALSE)</f>
        <v>50</v>
      </c>
      <c r="R348" s="1">
        <f>VLOOKUP($B348&amp;"__wt",'Xtal_SegEnds_BW#'!$A:$Z,18,FALSE)</f>
        <v>52</v>
      </c>
      <c r="S348" s="1">
        <f>VLOOKUP($B348&amp;"__wt",'Xtal_SegEnds_BW#'!$A:$Z,19,FALSE)</f>
        <v>37</v>
      </c>
      <c r="T348" s="23">
        <f>VLOOKUP($B348&amp;"__wt",'Xtal_SegEnds_BW#'!$A:$Z,20,FALSE)</f>
        <v>61</v>
      </c>
      <c r="U348" s="1">
        <f>VLOOKUP($B348&amp;"__wt",'Xtal_SegEnds_BW#'!$A:$Z,21,FALSE)</f>
        <v>33</v>
      </c>
      <c r="V348" s="1">
        <f>VLOOKUP($B348&amp;"__wt",'Xtal_SegEnds_BW#'!$A:$Z,22,FALSE)</f>
        <v>57</v>
      </c>
      <c r="W348" s="1">
        <f>VLOOKUP($B348&amp;"__wt",'Xtal_SegEnds_BW#'!$A:$Z,23,FALSE)</f>
        <v>34</v>
      </c>
      <c r="X348" s="1">
        <f>VLOOKUP($B348&amp;"__wt",'Xtal_SegEnds_BW#'!$A:$Z,24,FALSE)</f>
        <v>63</v>
      </c>
      <c r="Y348" s="1">
        <f>VLOOKUP($B348&amp;"__wt",'Xtal_SegEnds_BW#'!$A:$Z,25,FALSE)</f>
        <v>47</v>
      </c>
      <c r="Z348" s="1">
        <f>VLOOKUP($B348&amp;"__wt",'Xtal_SegEnds_BW#'!$A:$Z,26,FALSE)</f>
        <v>59</v>
      </c>
      <c r="AA348" s="63" t="str">
        <f>VLOOKUP(A348,Classification!A:B,2,FALSE)</f>
        <v>C</v>
      </c>
      <c r="AB348" s="1">
        <f>VLOOKUP(A348,'NonXtal_SegEnds_Prot#'!A:AL,10,FALSE)-VLOOKUP(A348,'NonXtal_SegEnds_Prot#'!A:AL,7,FALSE)</f>
        <v>15</v>
      </c>
      <c r="AC348" s="1" t="e">
        <f>VLOOKUP(A348,'NonXtal_SegEnds_Prot#'!A:AL,13,FALSE)-VLOOKUP(A348,'NonXtal_SegEnds_Prot#'!A:AL,10,FALSE)</f>
        <v>#VALUE!</v>
      </c>
      <c r="AD348" s="1">
        <f>VLOOKUP(A348,'NonXtal_SegEnds_Prot#'!A:AL,16,FALSE)-VLOOKUP(A348,'NonXtal_SegEnds_Prot#'!A:AL,10,FALSE)</f>
        <v>44</v>
      </c>
      <c r="AE348" s="1">
        <f>VLOOKUP(A348,'NonXtal_SegEnds_Prot#'!A:AL,28,FALSE)-VLOOKUP(A348,'NonXtal_SegEnds_Prot#'!A:AL,25,FALSE)</f>
        <v>17</v>
      </c>
      <c r="AF348" s="1">
        <f>VLOOKUP(A348,'NonXtal_SegEnds_Prot#'!A:AL,31,FALSE)-VLOOKUP(A348,'NonXtal_SegEnds_Prot#'!A:AL,28,FALSE)</f>
        <v>37</v>
      </c>
      <c r="AG348" s="1">
        <f>VLOOKUP(A348,'NonXtal_SegEnds_Prot#'!A:AL,34,FALSE)-VLOOKUP(A348,'NonXtal_SegEnds_Prot#'!A:AL,31,FALSE)</f>
        <v>27</v>
      </c>
    </row>
    <row r="349" spans="1:33" x14ac:dyDescent="0.2">
      <c r="A349" s="1" t="s">
        <v>309</v>
      </c>
      <c r="B349" s="1" t="str">
        <f>VLOOKUP(A349,Xtal_Templ!A:B,2,FALSE)</f>
        <v>grm5_human</v>
      </c>
      <c r="C349" s="5">
        <f>VLOOKUP($B349&amp;"__wt",'Xtal_SegEnds_BW#'!$A:$Z,3,FALSE)</f>
        <v>34</v>
      </c>
      <c r="D349" s="1">
        <f>VLOOKUP($B349&amp;"__wt",'Xtal_SegEnds_BW#'!$A:$Z,4,FALSE)</f>
        <v>60</v>
      </c>
      <c r="E349" s="1">
        <f>VLOOKUP($B349&amp;"__wt",'Xtal_SegEnds_BW#'!$A:$Z,5,FALSE)</f>
        <v>47</v>
      </c>
      <c r="F349" s="1">
        <f>VLOOKUP($B349&amp;"__wt",'Xtal_SegEnds_BW#'!$A:$Z,6,FALSE)</f>
        <v>53</v>
      </c>
      <c r="G349" s="1">
        <v>39</v>
      </c>
      <c r="H349" s="1">
        <f>VLOOKUP($B349&amp;"__wt",'Xtal_SegEnds_BW#'!$A:$Z,8,FALSE)</f>
        <v>61</v>
      </c>
      <c r="I349" s="1" t="str">
        <f>VLOOKUP($B349&amp;"__wt",'Xtal_SegEnds_BW#'!$A:$Z,9,FALSE)</f>
        <v>-</v>
      </c>
      <c r="J349" s="1" t="str">
        <f>VLOOKUP($B349&amp;"__wt",'Xtal_SegEnds_BW#'!$A:$Z,10,FALSE)</f>
        <v>-</v>
      </c>
      <c r="K349" s="1">
        <f>VLOOKUP($B349&amp;"__wt",'Xtal_SegEnds_BW#'!$A:$Z,11,FALSE)</f>
        <v>22</v>
      </c>
      <c r="L349" s="1">
        <f>VLOOKUP($B349&amp;"__wt",'Xtal_SegEnds_BW#'!$A:$Z,12,FALSE)</f>
        <v>54</v>
      </c>
      <c r="M349" s="1" t="str">
        <f>VLOOKUP($B349&amp;"__wt",'Xtal_SegEnds_BW#'!$A:$Z,13,FALSE)</f>
        <v>-</v>
      </c>
      <c r="N349" s="1" t="str">
        <f>VLOOKUP($B349&amp;"__wt",'Xtal_SegEnds_BW#'!$A:$Z,14,FALSE)</f>
        <v>-</v>
      </c>
      <c r="O349" s="1">
        <f>VLOOKUP($B349&amp;"__wt",'Xtal_SegEnds_BW#'!$A:$Z,15,FALSE)</f>
        <v>39</v>
      </c>
      <c r="P349" s="1">
        <f>VLOOKUP($B349&amp;"__wt",'Xtal_SegEnds_BW#'!$A:$Z,16,FALSE)</f>
        <v>64</v>
      </c>
      <c r="Q349" s="1">
        <f>VLOOKUP($B349&amp;"__wt",'Xtal_SegEnds_BW#'!$A:$Z,17,FALSE)</f>
        <v>50</v>
      </c>
      <c r="R349" s="1">
        <f>VLOOKUP($B349&amp;"__wt",'Xtal_SegEnds_BW#'!$A:$Z,18,FALSE)</f>
        <v>52</v>
      </c>
      <c r="S349" s="1">
        <f>VLOOKUP($B349&amp;"__wt",'Xtal_SegEnds_BW#'!$A:$Z,19,FALSE)</f>
        <v>37</v>
      </c>
      <c r="T349" s="23">
        <f>VLOOKUP($B349&amp;"__wt",'Xtal_SegEnds_BW#'!$A:$Z,20,FALSE)</f>
        <v>61</v>
      </c>
      <c r="U349" s="1">
        <f>VLOOKUP($B349&amp;"__wt",'Xtal_SegEnds_BW#'!$A:$Z,21,FALSE)</f>
        <v>33</v>
      </c>
      <c r="V349" s="1">
        <f>VLOOKUP($B349&amp;"__wt",'Xtal_SegEnds_BW#'!$A:$Z,22,FALSE)</f>
        <v>57</v>
      </c>
      <c r="W349" s="1">
        <f>VLOOKUP($B349&amp;"__wt",'Xtal_SegEnds_BW#'!$A:$Z,23,FALSE)</f>
        <v>34</v>
      </c>
      <c r="X349" s="1">
        <f>VLOOKUP($B349&amp;"__wt",'Xtal_SegEnds_BW#'!$A:$Z,24,FALSE)</f>
        <v>63</v>
      </c>
      <c r="Y349" s="1">
        <f>VLOOKUP($B349&amp;"__wt",'Xtal_SegEnds_BW#'!$A:$Z,25,FALSE)</f>
        <v>47</v>
      </c>
      <c r="Z349" s="1">
        <f>VLOOKUP($B349&amp;"__wt",'Xtal_SegEnds_BW#'!$A:$Z,26,FALSE)</f>
        <v>59</v>
      </c>
      <c r="AA349" s="63" t="str">
        <f>VLOOKUP(A349,Classification!A:B,2,FALSE)</f>
        <v>C</v>
      </c>
      <c r="AB349" s="1">
        <f>VLOOKUP(A349,'NonXtal_SegEnds_Prot#'!A:AL,10,FALSE)-VLOOKUP(A349,'NonXtal_SegEnds_Prot#'!A:AL,7,FALSE)</f>
        <v>15</v>
      </c>
      <c r="AC349" s="1" t="e">
        <f>VLOOKUP(A349,'NonXtal_SegEnds_Prot#'!A:AL,13,FALSE)-VLOOKUP(A349,'NonXtal_SegEnds_Prot#'!A:AL,10,FALSE)</f>
        <v>#VALUE!</v>
      </c>
      <c r="AD349" s="1">
        <f>VLOOKUP(A349,'NonXtal_SegEnds_Prot#'!A:AL,16,FALSE)-VLOOKUP(A349,'NonXtal_SegEnds_Prot#'!A:AL,10,FALSE)</f>
        <v>44</v>
      </c>
      <c r="AE349" s="1">
        <f>VLOOKUP(A349,'NonXtal_SegEnds_Prot#'!A:AL,28,FALSE)-VLOOKUP(A349,'NonXtal_SegEnds_Prot#'!A:AL,25,FALSE)</f>
        <v>17</v>
      </c>
      <c r="AF349" s="1">
        <f>VLOOKUP(A349,'NonXtal_SegEnds_Prot#'!A:AL,31,FALSE)-VLOOKUP(A349,'NonXtal_SegEnds_Prot#'!A:AL,28,FALSE)</f>
        <v>37</v>
      </c>
      <c r="AG349" s="1">
        <f>VLOOKUP(A349,'NonXtal_SegEnds_Prot#'!A:AL,34,FALSE)-VLOOKUP(A349,'NonXtal_SegEnds_Prot#'!A:AL,31,FALSE)</f>
        <v>31</v>
      </c>
    </row>
    <row r="350" spans="1:33" x14ac:dyDescent="0.2">
      <c r="A350" s="1" t="s">
        <v>310</v>
      </c>
      <c r="B350" s="1" t="str">
        <f>VLOOKUP(A350,Xtal_Templ!A:B,2,FALSE)</f>
        <v>grm5_human</v>
      </c>
      <c r="C350" s="5">
        <f>VLOOKUP($B350&amp;"__wt",'Xtal_SegEnds_BW#'!$A:$Z,3,FALSE)</f>
        <v>34</v>
      </c>
      <c r="D350" s="1">
        <f>VLOOKUP($B350&amp;"__wt",'Xtal_SegEnds_BW#'!$A:$Z,4,FALSE)</f>
        <v>60</v>
      </c>
      <c r="E350" s="1">
        <f>VLOOKUP($B350&amp;"__wt",'Xtal_SegEnds_BW#'!$A:$Z,5,FALSE)</f>
        <v>47</v>
      </c>
      <c r="F350" s="1">
        <f>VLOOKUP($B350&amp;"__wt",'Xtal_SegEnds_BW#'!$A:$Z,6,FALSE)</f>
        <v>53</v>
      </c>
      <c r="G350" s="1">
        <v>39</v>
      </c>
      <c r="H350" s="1">
        <f>VLOOKUP($B350&amp;"__wt",'Xtal_SegEnds_BW#'!$A:$Z,8,FALSE)</f>
        <v>61</v>
      </c>
      <c r="I350" s="1" t="str">
        <f>VLOOKUP($B350&amp;"__wt",'Xtal_SegEnds_BW#'!$A:$Z,9,FALSE)</f>
        <v>-</v>
      </c>
      <c r="J350" s="1" t="str">
        <f>VLOOKUP($B350&amp;"__wt",'Xtal_SegEnds_BW#'!$A:$Z,10,FALSE)</f>
        <v>-</v>
      </c>
      <c r="K350" s="1">
        <f>VLOOKUP($B350&amp;"__wt",'Xtal_SegEnds_BW#'!$A:$Z,11,FALSE)</f>
        <v>22</v>
      </c>
      <c r="L350" s="1">
        <f>VLOOKUP($B350&amp;"__wt",'Xtal_SegEnds_BW#'!$A:$Z,12,FALSE)</f>
        <v>54</v>
      </c>
      <c r="M350" s="1" t="str">
        <f>VLOOKUP($B350&amp;"__wt",'Xtal_SegEnds_BW#'!$A:$Z,13,FALSE)</f>
        <v>-</v>
      </c>
      <c r="N350" s="1" t="str">
        <f>VLOOKUP($B350&amp;"__wt",'Xtal_SegEnds_BW#'!$A:$Z,14,FALSE)</f>
        <v>-</v>
      </c>
      <c r="O350" s="1">
        <f>VLOOKUP($B350&amp;"__wt",'Xtal_SegEnds_BW#'!$A:$Z,15,FALSE)</f>
        <v>39</v>
      </c>
      <c r="P350" s="1">
        <f>VLOOKUP($B350&amp;"__wt",'Xtal_SegEnds_BW#'!$A:$Z,16,FALSE)</f>
        <v>64</v>
      </c>
      <c r="Q350" s="1">
        <f>VLOOKUP($B350&amp;"__wt",'Xtal_SegEnds_BW#'!$A:$Z,17,FALSE)</f>
        <v>50</v>
      </c>
      <c r="R350" s="1">
        <f>VLOOKUP($B350&amp;"__wt",'Xtal_SegEnds_BW#'!$A:$Z,18,FALSE)</f>
        <v>52</v>
      </c>
      <c r="S350" s="1">
        <f>VLOOKUP($B350&amp;"__wt",'Xtal_SegEnds_BW#'!$A:$Z,19,FALSE)</f>
        <v>37</v>
      </c>
      <c r="T350" s="23">
        <f>VLOOKUP($B350&amp;"__wt",'Xtal_SegEnds_BW#'!$A:$Z,20,FALSE)</f>
        <v>61</v>
      </c>
      <c r="U350" s="1">
        <f>VLOOKUP($B350&amp;"__wt",'Xtal_SegEnds_BW#'!$A:$Z,21,FALSE)</f>
        <v>33</v>
      </c>
      <c r="V350" s="1">
        <f>VLOOKUP($B350&amp;"__wt",'Xtal_SegEnds_BW#'!$A:$Z,22,FALSE)</f>
        <v>57</v>
      </c>
      <c r="W350" s="1">
        <f>VLOOKUP($B350&amp;"__wt",'Xtal_SegEnds_BW#'!$A:$Z,23,FALSE)</f>
        <v>34</v>
      </c>
      <c r="X350" s="1">
        <f>VLOOKUP($B350&amp;"__wt",'Xtal_SegEnds_BW#'!$A:$Z,24,FALSE)</f>
        <v>63</v>
      </c>
      <c r="Y350" s="1">
        <f>VLOOKUP($B350&amp;"__wt",'Xtal_SegEnds_BW#'!$A:$Z,25,FALSE)</f>
        <v>47</v>
      </c>
      <c r="Z350" s="1">
        <f>VLOOKUP($B350&amp;"__wt",'Xtal_SegEnds_BW#'!$A:$Z,26,FALSE)</f>
        <v>59</v>
      </c>
      <c r="AA350" s="63" t="str">
        <f>VLOOKUP(A350,Classification!A:B,2,FALSE)</f>
        <v>C</v>
      </c>
      <c r="AB350" s="1">
        <f>VLOOKUP(A350,'NonXtal_SegEnds_Prot#'!A:AL,10,FALSE)-VLOOKUP(A350,'NonXtal_SegEnds_Prot#'!A:AL,7,FALSE)</f>
        <v>15</v>
      </c>
      <c r="AC350" s="1" t="e">
        <f>VLOOKUP(A350,'NonXtal_SegEnds_Prot#'!A:AL,13,FALSE)-VLOOKUP(A350,'NonXtal_SegEnds_Prot#'!A:AL,10,FALSE)</f>
        <v>#VALUE!</v>
      </c>
      <c r="AD350" s="1">
        <f>VLOOKUP(A350,'NonXtal_SegEnds_Prot#'!A:AL,16,FALSE)-VLOOKUP(A350,'NonXtal_SegEnds_Prot#'!A:AL,10,FALSE)</f>
        <v>44</v>
      </c>
      <c r="AE350" s="1">
        <f>VLOOKUP(A350,'NonXtal_SegEnds_Prot#'!A:AL,28,FALSE)-VLOOKUP(A350,'NonXtal_SegEnds_Prot#'!A:AL,25,FALSE)</f>
        <v>17</v>
      </c>
      <c r="AF350" s="1">
        <f>VLOOKUP(A350,'NonXtal_SegEnds_Prot#'!A:AL,31,FALSE)-VLOOKUP(A350,'NonXtal_SegEnds_Prot#'!A:AL,28,FALSE)</f>
        <v>37</v>
      </c>
      <c r="AG350" s="1">
        <f>VLOOKUP(A350,'NonXtal_SegEnds_Prot#'!A:AL,34,FALSE)-VLOOKUP(A350,'NonXtal_SegEnds_Prot#'!A:AL,31,FALSE)</f>
        <v>31</v>
      </c>
    </row>
    <row r="351" spans="1:33" x14ac:dyDescent="0.2">
      <c r="A351" s="1" t="s">
        <v>311</v>
      </c>
      <c r="B351" s="1" t="str">
        <f>VLOOKUP(A351,Xtal_Templ!A:B,2,FALSE)</f>
        <v>grm5_human</v>
      </c>
      <c r="C351" s="5">
        <f>VLOOKUP($B351&amp;"__wt",'Xtal_SegEnds_BW#'!$A:$Z,3,FALSE)</f>
        <v>34</v>
      </c>
      <c r="D351" s="1">
        <f>VLOOKUP($B351&amp;"__wt",'Xtal_SegEnds_BW#'!$A:$Z,4,FALSE)</f>
        <v>60</v>
      </c>
      <c r="E351" s="1">
        <f>VLOOKUP($B351&amp;"__wt",'Xtal_SegEnds_BW#'!$A:$Z,5,FALSE)</f>
        <v>47</v>
      </c>
      <c r="F351" s="1">
        <f>VLOOKUP($B351&amp;"__wt",'Xtal_SegEnds_BW#'!$A:$Z,6,FALSE)</f>
        <v>53</v>
      </c>
      <c r="G351" s="1">
        <v>39</v>
      </c>
      <c r="H351" s="1">
        <f>VLOOKUP($B351&amp;"__wt",'Xtal_SegEnds_BW#'!$A:$Z,8,FALSE)</f>
        <v>61</v>
      </c>
      <c r="I351" s="1" t="str">
        <f>VLOOKUP($B351&amp;"__wt",'Xtal_SegEnds_BW#'!$A:$Z,9,FALSE)</f>
        <v>-</v>
      </c>
      <c r="J351" s="1" t="str">
        <f>VLOOKUP($B351&amp;"__wt",'Xtal_SegEnds_BW#'!$A:$Z,10,FALSE)</f>
        <v>-</v>
      </c>
      <c r="K351" s="1">
        <f>VLOOKUP($B351&amp;"__wt",'Xtal_SegEnds_BW#'!$A:$Z,11,FALSE)</f>
        <v>22</v>
      </c>
      <c r="L351" s="1">
        <f>VLOOKUP($B351&amp;"__wt",'Xtal_SegEnds_BW#'!$A:$Z,12,FALSE)</f>
        <v>54</v>
      </c>
      <c r="M351" s="1" t="str">
        <f>VLOOKUP($B351&amp;"__wt",'Xtal_SegEnds_BW#'!$A:$Z,13,FALSE)</f>
        <v>-</v>
      </c>
      <c r="N351" s="1" t="str">
        <f>VLOOKUP($B351&amp;"__wt",'Xtal_SegEnds_BW#'!$A:$Z,14,FALSE)</f>
        <v>-</v>
      </c>
      <c r="O351" s="1">
        <f>VLOOKUP($B351&amp;"__wt",'Xtal_SegEnds_BW#'!$A:$Z,15,FALSE)</f>
        <v>39</v>
      </c>
      <c r="P351" s="1">
        <f>VLOOKUP($B351&amp;"__wt",'Xtal_SegEnds_BW#'!$A:$Z,16,FALSE)</f>
        <v>64</v>
      </c>
      <c r="Q351" s="1">
        <f>VLOOKUP($B351&amp;"__wt",'Xtal_SegEnds_BW#'!$A:$Z,17,FALSE)</f>
        <v>50</v>
      </c>
      <c r="R351" s="1">
        <f>VLOOKUP($B351&amp;"__wt",'Xtal_SegEnds_BW#'!$A:$Z,18,FALSE)</f>
        <v>52</v>
      </c>
      <c r="S351" s="1">
        <f>VLOOKUP($B351&amp;"__wt",'Xtal_SegEnds_BW#'!$A:$Z,19,FALSE)</f>
        <v>37</v>
      </c>
      <c r="T351" s="23">
        <f>VLOOKUP($B351&amp;"__wt",'Xtal_SegEnds_BW#'!$A:$Z,20,FALSE)</f>
        <v>61</v>
      </c>
      <c r="U351" s="1">
        <f>VLOOKUP($B351&amp;"__wt",'Xtal_SegEnds_BW#'!$A:$Z,21,FALSE)</f>
        <v>33</v>
      </c>
      <c r="V351" s="1">
        <f>VLOOKUP($B351&amp;"__wt",'Xtal_SegEnds_BW#'!$A:$Z,22,FALSE)</f>
        <v>57</v>
      </c>
      <c r="W351" s="1">
        <f>VLOOKUP($B351&amp;"__wt",'Xtal_SegEnds_BW#'!$A:$Z,23,FALSE)</f>
        <v>34</v>
      </c>
      <c r="X351" s="1">
        <f>VLOOKUP($B351&amp;"__wt",'Xtal_SegEnds_BW#'!$A:$Z,24,FALSE)</f>
        <v>63</v>
      </c>
      <c r="Y351" s="1">
        <f>VLOOKUP($B351&amp;"__wt",'Xtal_SegEnds_BW#'!$A:$Z,25,FALSE)</f>
        <v>47</v>
      </c>
      <c r="Z351" s="1">
        <f>VLOOKUP($B351&amp;"__wt",'Xtal_SegEnds_BW#'!$A:$Z,26,FALSE)</f>
        <v>59</v>
      </c>
      <c r="AA351" s="63" t="str">
        <f>VLOOKUP(A351,Classification!A:B,2,FALSE)</f>
        <v>C</v>
      </c>
      <c r="AB351" s="1">
        <f>VLOOKUP(A351,'NonXtal_SegEnds_Prot#'!A:AL,10,FALSE)-VLOOKUP(A351,'NonXtal_SegEnds_Prot#'!A:AL,7,FALSE)</f>
        <v>15</v>
      </c>
      <c r="AC351" s="1" t="e">
        <f>VLOOKUP(A351,'NonXtal_SegEnds_Prot#'!A:AL,13,FALSE)-VLOOKUP(A351,'NonXtal_SegEnds_Prot#'!A:AL,10,FALSE)</f>
        <v>#VALUE!</v>
      </c>
      <c r="AD351" s="1">
        <f>VLOOKUP(A351,'NonXtal_SegEnds_Prot#'!A:AL,16,FALSE)-VLOOKUP(A351,'NonXtal_SegEnds_Prot#'!A:AL,10,FALSE)</f>
        <v>44</v>
      </c>
      <c r="AE351" s="1">
        <f>VLOOKUP(A351,'NonXtal_SegEnds_Prot#'!A:AL,28,FALSE)-VLOOKUP(A351,'NonXtal_SegEnds_Prot#'!A:AL,25,FALSE)</f>
        <v>17</v>
      </c>
      <c r="AF351" s="1">
        <f>VLOOKUP(A351,'NonXtal_SegEnds_Prot#'!A:AL,31,FALSE)-VLOOKUP(A351,'NonXtal_SegEnds_Prot#'!A:AL,28,FALSE)</f>
        <v>37</v>
      </c>
      <c r="AG351" s="1">
        <f>VLOOKUP(A351,'NonXtal_SegEnds_Prot#'!A:AL,34,FALSE)-VLOOKUP(A351,'NonXtal_SegEnds_Prot#'!A:AL,31,FALSE)</f>
        <v>34</v>
      </c>
    </row>
    <row r="352" spans="1:33" x14ac:dyDescent="0.2">
      <c r="A352" s="1" t="s">
        <v>224</v>
      </c>
      <c r="B352" s="1" t="str">
        <f>VLOOKUP(A352,Xtal_Templ!A:B,2,FALSE)</f>
        <v>grm5_human</v>
      </c>
      <c r="C352" s="5">
        <f>VLOOKUP($B352&amp;"__wt",'Xtal_SegEnds_BW#'!$A:$Z,3,FALSE)</f>
        <v>34</v>
      </c>
      <c r="D352" s="1">
        <f>VLOOKUP($B352&amp;"__wt",'Xtal_SegEnds_BW#'!$A:$Z,4,FALSE)</f>
        <v>60</v>
      </c>
      <c r="E352" s="1">
        <f>VLOOKUP($B352&amp;"__wt",'Xtal_SegEnds_BW#'!$A:$Z,5,FALSE)</f>
        <v>47</v>
      </c>
      <c r="F352" s="1">
        <f>VLOOKUP($B352&amp;"__wt",'Xtal_SegEnds_BW#'!$A:$Z,6,FALSE)</f>
        <v>53</v>
      </c>
      <c r="G352" s="1">
        <v>39</v>
      </c>
      <c r="H352" s="1">
        <f>VLOOKUP($B352&amp;"__wt",'Xtal_SegEnds_BW#'!$A:$Z,8,FALSE)</f>
        <v>61</v>
      </c>
      <c r="I352" s="1" t="str">
        <f>VLOOKUP($B352&amp;"__wt",'Xtal_SegEnds_BW#'!$A:$Z,9,FALSE)</f>
        <v>-</v>
      </c>
      <c r="J352" s="1" t="str">
        <f>VLOOKUP($B352&amp;"__wt",'Xtal_SegEnds_BW#'!$A:$Z,10,FALSE)</f>
        <v>-</v>
      </c>
      <c r="K352" s="1">
        <f>VLOOKUP($B352&amp;"__wt",'Xtal_SegEnds_BW#'!$A:$Z,11,FALSE)</f>
        <v>22</v>
      </c>
      <c r="L352" s="1">
        <f>VLOOKUP($B352&amp;"__wt",'Xtal_SegEnds_BW#'!$A:$Z,12,FALSE)</f>
        <v>54</v>
      </c>
      <c r="M352" s="1" t="str">
        <f>VLOOKUP($B352&amp;"__wt",'Xtal_SegEnds_BW#'!$A:$Z,13,FALSE)</f>
        <v>-</v>
      </c>
      <c r="N352" s="1" t="str">
        <f>VLOOKUP($B352&amp;"__wt",'Xtal_SegEnds_BW#'!$A:$Z,14,FALSE)</f>
        <v>-</v>
      </c>
      <c r="O352" s="1">
        <f>VLOOKUP($B352&amp;"__wt",'Xtal_SegEnds_BW#'!$A:$Z,15,FALSE)</f>
        <v>39</v>
      </c>
      <c r="P352" s="1">
        <f>VLOOKUP($B352&amp;"__wt",'Xtal_SegEnds_BW#'!$A:$Z,16,FALSE)</f>
        <v>64</v>
      </c>
      <c r="Q352" s="1">
        <f>VLOOKUP($B352&amp;"__wt",'Xtal_SegEnds_BW#'!$A:$Z,17,FALSE)</f>
        <v>50</v>
      </c>
      <c r="R352" s="1">
        <f>VLOOKUP($B352&amp;"__wt",'Xtal_SegEnds_BW#'!$A:$Z,18,FALSE)</f>
        <v>52</v>
      </c>
      <c r="S352" s="1">
        <f>VLOOKUP($B352&amp;"__wt",'Xtal_SegEnds_BW#'!$A:$Z,19,FALSE)</f>
        <v>37</v>
      </c>
      <c r="T352" s="23">
        <f>VLOOKUP($B352&amp;"__wt",'Xtal_SegEnds_BW#'!$A:$Z,20,FALSE)</f>
        <v>61</v>
      </c>
      <c r="U352" s="1">
        <f>VLOOKUP($B352&amp;"__wt",'Xtal_SegEnds_BW#'!$A:$Z,21,FALSE)</f>
        <v>33</v>
      </c>
      <c r="V352" s="1">
        <f>VLOOKUP($B352&amp;"__wt",'Xtal_SegEnds_BW#'!$A:$Z,22,FALSE)</f>
        <v>57</v>
      </c>
      <c r="W352" s="1">
        <f>VLOOKUP($B352&amp;"__wt",'Xtal_SegEnds_BW#'!$A:$Z,23,FALSE)</f>
        <v>34</v>
      </c>
      <c r="X352" s="1">
        <f>VLOOKUP($B352&amp;"__wt",'Xtal_SegEnds_BW#'!$A:$Z,24,FALSE)</f>
        <v>63</v>
      </c>
      <c r="Y352" s="1">
        <f>VLOOKUP($B352&amp;"__wt",'Xtal_SegEnds_BW#'!$A:$Z,25,FALSE)</f>
        <v>47</v>
      </c>
      <c r="Z352" s="1">
        <f>VLOOKUP($B352&amp;"__wt",'Xtal_SegEnds_BW#'!$A:$Z,26,FALSE)</f>
        <v>59</v>
      </c>
      <c r="AA352" s="63" t="str">
        <f>VLOOKUP(A352,Classification!A:B,2,FALSE)</f>
        <v>C</v>
      </c>
      <c r="AB352" s="1">
        <f>VLOOKUP(A352,'NonXtal_SegEnds_Prot#'!A:AL,10,FALSE)-VLOOKUP(A352,'NonXtal_SegEnds_Prot#'!A:AL,7,FALSE)</f>
        <v>15</v>
      </c>
      <c r="AC352" s="1" t="e">
        <f>VLOOKUP(A352,'NonXtal_SegEnds_Prot#'!A:AL,13,FALSE)-VLOOKUP(A352,'NonXtal_SegEnds_Prot#'!A:AL,10,FALSE)</f>
        <v>#VALUE!</v>
      </c>
      <c r="AD352" s="1">
        <f>VLOOKUP(A352,'NonXtal_SegEnds_Prot#'!A:AL,16,FALSE)-VLOOKUP(A352,'NonXtal_SegEnds_Prot#'!A:AL,10,FALSE)</f>
        <v>44</v>
      </c>
      <c r="AE352" s="1">
        <f>VLOOKUP(A352,'NonXtal_SegEnds_Prot#'!A:AL,28,FALSE)-VLOOKUP(A352,'NonXtal_SegEnds_Prot#'!A:AL,25,FALSE)</f>
        <v>17</v>
      </c>
      <c r="AF352" s="1">
        <f>VLOOKUP(A352,'NonXtal_SegEnds_Prot#'!A:AL,31,FALSE)-VLOOKUP(A352,'NonXtal_SegEnds_Prot#'!A:AL,28,FALSE)</f>
        <v>37</v>
      </c>
      <c r="AG352" s="1">
        <f>VLOOKUP(A352,'NonXtal_SegEnds_Prot#'!A:AL,34,FALSE)-VLOOKUP(A352,'NonXtal_SegEnds_Prot#'!A:AL,31,FALSE)</f>
        <v>27</v>
      </c>
    </row>
    <row r="353" spans="1:33" x14ac:dyDescent="0.2">
      <c r="A353" s="1" t="s">
        <v>312</v>
      </c>
      <c r="B353" s="1" t="str">
        <f>VLOOKUP(A353,Xtal_Templ!A:B,2,FALSE)</f>
        <v>grm5_human</v>
      </c>
      <c r="C353" s="5">
        <f>VLOOKUP($B353&amp;"__wt",'Xtal_SegEnds_BW#'!$A:$Z,3,FALSE)</f>
        <v>34</v>
      </c>
      <c r="D353" s="1">
        <f>VLOOKUP($B353&amp;"__wt",'Xtal_SegEnds_BW#'!$A:$Z,4,FALSE)</f>
        <v>60</v>
      </c>
      <c r="E353" s="1">
        <f>VLOOKUP($B353&amp;"__wt",'Xtal_SegEnds_BW#'!$A:$Z,5,FALSE)</f>
        <v>47</v>
      </c>
      <c r="F353" s="1">
        <f>VLOOKUP($B353&amp;"__wt",'Xtal_SegEnds_BW#'!$A:$Z,6,FALSE)</f>
        <v>53</v>
      </c>
      <c r="G353" s="1">
        <v>39</v>
      </c>
      <c r="H353" s="1">
        <f>VLOOKUP($B353&amp;"__wt",'Xtal_SegEnds_BW#'!$A:$Z,8,FALSE)</f>
        <v>61</v>
      </c>
      <c r="I353" s="1" t="str">
        <f>VLOOKUP($B353&amp;"__wt",'Xtal_SegEnds_BW#'!$A:$Z,9,FALSE)</f>
        <v>-</v>
      </c>
      <c r="J353" s="1" t="str">
        <f>VLOOKUP($B353&amp;"__wt",'Xtal_SegEnds_BW#'!$A:$Z,10,FALSE)</f>
        <v>-</v>
      </c>
      <c r="K353" s="1">
        <f>VLOOKUP($B353&amp;"__wt",'Xtal_SegEnds_BW#'!$A:$Z,11,FALSE)</f>
        <v>22</v>
      </c>
      <c r="L353" s="1">
        <f>VLOOKUP($B353&amp;"__wt",'Xtal_SegEnds_BW#'!$A:$Z,12,FALSE)</f>
        <v>54</v>
      </c>
      <c r="M353" s="1" t="str">
        <f>VLOOKUP($B353&amp;"__wt",'Xtal_SegEnds_BW#'!$A:$Z,13,FALSE)</f>
        <v>-</v>
      </c>
      <c r="N353" s="1" t="str">
        <f>VLOOKUP($B353&amp;"__wt",'Xtal_SegEnds_BW#'!$A:$Z,14,FALSE)</f>
        <v>-</v>
      </c>
      <c r="O353" s="1">
        <f>VLOOKUP($B353&amp;"__wt",'Xtal_SegEnds_BW#'!$A:$Z,15,FALSE)</f>
        <v>39</v>
      </c>
      <c r="P353" s="1">
        <f>VLOOKUP($B353&amp;"__wt",'Xtal_SegEnds_BW#'!$A:$Z,16,FALSE)</f>
        <v>64</v>
      </c>
      <c r="Q353" s="1">
        <f>VLOOKUP($B353&amp;"__wt",'Xtal_SegEnds_BW#'!$A:$Z,17,FALSE)</f>
        <v>50</v>
      </c>
      <c r="R353" s="1">
        <f>VLOOKUP($B353&amp;"__wt",'Xtal_SegEnds_BW#'!$A:$Z,18,FALSE)</f>
        <v>52</v>
      </c>
      <c r="S353" s="1">
        <f>VLOOKUP($B353&amp;"__wt",'Xtal_SegEnds_BW#'!$A:$Z,19,FALSE)</f>
        <v>37</v>
      </c>
      <c r="T353" s="23">
        <f>VLOOKUP($B353&amp;"__wt",'Xtal_SegEnds_BW#'!$A:$Z,20,FALSE)</f>
        <v>61</v>
      </c>
      <c r="U353" s="1">
        <f>VLOOKUP($B353&amp;"__wt",'Xtal_SegEnds_BW#'!$A:$Z,21,FALSE)</f>
        <v>33</v>
      </c>
      <c r="V353" s="1">
        <f>VLOOKUP($B353&amp;"__wt",'Xtal_SegEnds_BW#'!$A:$Z,22,FALSE)</f>
        <v>57</v>
      </c>
      <c r="W353" s="1">
        <f>VLOOKUP($B353&amp;"__wt",'Xtal_SegEnds_BW#'!$A:$Z,23,FALSE)</f>
        <v>34</v>
      </c>
      <c r="X353" s="1">
        <f>VLOOKUP($B353&amp;"__wt",'Xtal_SegEnds_BW#'!$A:$Z,24,FALSE)</f>
        <v>63</v>
      </c>
      <c r="Y353" s="1">
        <f>VLOOKUP($B353&amp;"__wt",'Xtal_SegEnds_BW#'!$A:$Z,25,FALSE)</f>
        <v>47</v>
      </c>
      <c r="Z353" s="1">
        <f>VLOOKUP($B353&amp;"__wt",'Xtal_SegEnds_BW#'!$A:$Z,26,FALSE)</f>
        <v>59</v>
      </c>
      <c r="AA353" s="63" t="str">
        <f>VLOOKUP(A353,Classification!A:B,2,FALSE)</f>
        <v>C</v>
      </c>
      <c r="AB353" s="1">
        <f>VLOOKUP(A353,'NonXtal_SegEnds_Prot#'!A:AL,10,FALSE)-VLOOKUP(A353,'NonXtal_SegEnds_Prot#'!A:AL,7,FALSE)</f>
        <v>15</v>
      </c>
      <c r="AC353" s="1" t="e">
        <f>VLOOKUP(A353,'NonXtal_SegEnds_Prot#'!A:AL,13,FALSE)-VLOOKUP(A353,'NonXtal_SegEnds_Prot#'!A:AL,10,FALSE)</f>
        <v>#VALUE!</v>
      </c>
      <c r="AD353" s="1">
        <f>VLOOKUP(A353,'NonXtal_SegEnds_Prot#'!A:AL,16,FALSE)-VLOOKUP(A353,'NonXtal_SegEnds_Prot#'!A:AL,10,FALSE)</f>
        <v>44</v>
      </c>
      <c r="AE353" s="1">
        <f>VLOOKUP(A353,'NonXtal_SegEnds_Prot#'!A:AL,28,FALSE)-VLOOKUP(A353,'NonXtal_SegEnds_Prot#'!A:AL,25,FALSE)</f>
        <v>17</v>
      </c>
      <c r="AF353" s="1">
        <f>VLOOKUP(A353,'NonXtal_SegEnds_Prot#'!A:AL,31,FALSE)-VLOOKUP(A353,'NonXtal_SegEnds_Prot#'!A:AL,28,FALSE)</f>
        <v>37</v>
      </c>
      <c r="AG353" s="1">
        <f>VLOOKUP(A353,'NonXtal_SegEnds_Prot#'!A:AL,34,FALSE)-VLOOKUP(A353,'NonXtal_SegEnds_Prot#'!A:AL,31,FALSE)</f>
        <v>34</v>
      </c>
    </row>
    <row r="354" spans="1:33" x14ac:dyDescent="0.2">
      <c r="A354" s="1" t="s">
        <v>313</v>
      </c>
      <c r="B354" s="1" t="str">
        <f>VLOOKUP(A354,Xtal_Templ!A:B,2,FALSE)</f>
        <v>grm5_human</v>
      </c>
      <c r="C354" s="5">
        <f>VLOOKUP($B354&amp;"__wt",'Xtal_SegEnds_BW#'!$A:$Z,3,FALSE)</f>
        <v>34</v>
      </c>
      <c r="D354" s="1">
        <f>VLOOKUP($B354&amp;"__wt",'Xtal_SegEnds_BW#'!$A:$Z,4,FALSE)</f>
        <v>60</v>
      </c>
      <c r="E354" s="1">
        <f>VLOOKUP($B354&amp;"__wt",'Xtal_SegEnds_BW#'!$A:$Z,5,FALSE)</f>
        <v>47</v>
      </c>
      <c r="F354" s="1">
        <f>VLOOKUP($B354&amp;"__wt",'Xtal_SegEnds_BW#'!$A:$Z,6,FALSE)</f>
        <v>53</v>
      </c>
      <c r="G354" s="1">
        <v>39</v>
      </c>
      <c r="H354" s="1">
        <f>VLOOKUP($B354&amp;"__wt",'Xtal_SegEnds_BW#'!$A:$Z,8,FALSE)</f>
        <v>61</v>
      </c>
      <c r="I354" s="1" t="str">
        <f>VLOOKUP($B354&amp;"__wt",'Xtal_SegEnds_BW#'!$A:$Z,9,FALSE)</f>
        <v>-</v>
      </c>
      <c r="J354" s="1" t="str">
        <f>VLOOKUP($B354&amp;"__wt",'Xtal_SegEnds_BW#'!$A:$Z,10,FALSE)</f>
        <v>-</v>
      </c>
      <c r="K354" s="1">
        <f>VLOOKUP($B354&amp;"__wt",'Xtal_SegEnds_BW#'!$A:$Z,11,FALSE)</f>
        <v>22</v>
      </c>
      <c r="L354" s="1">
        <f>VLOOKUP($B354&amp;"__wt",'Xtal_SegEnds_BW#'!$A:$Z,12,FALSE)</f>
        <v>54</v>
      </c>
      <c r="M354" s="1" t="str">
        <f>VLOOKUP($B354&amp;"__wt",'Xtal_SegEnds_BW#'!$A:$Z,13,FALSE)</f>
        <v>-</v>
      </c>
      <c r="N354" s="1" t="str">
        <f>VLOOKUP($B354&amp;"__wt",'Xtal_SegEnds_BW#'!$A:$Z,14,FALSE)</f>
        <v>-</v>
      </c>
      <c r="O354" s="1">
        <f>VLOOKUP($B354&amp;"__wt",'Xtal_SegEnds_BW#'!$A:$Z,15,FALSE)</f>
        <v>39</v>
      </c>
      <c r="P354" s="1">
        <f>VLOOKUP($B354&amp;"__wt",'Xtal_SegEnds_BW#'!$A:$Z,16,FALSE)</f>
        <v>64</v>
      </c>
      <c r="Q354" s="1">
        <f>VLOOKUP($B354&amp;"__wt",'Xtal_SegEnds_BW#'!$A:$Z,17,FALSE)</f>
        <v>50</v>
      </c>
      <c r="R354" s="1">
        <f>VLOOKUP($B354&amp;"__wt",'Xtal_SegEnds_BW#'!$A:$Z,18,FALSE)</f>
        <v>52</v>
      </c>
      <c r="S354" s="1">
        <f>VLOOKUP($B354&amp;"__wt",'Xtal_SegEnds_BW#'!$A:$Z,19,FALSE)</f>
        <v>37</v>
      </c>
      <c r="T354" s="23">
        <f>VLOOKUP($B354&amp;"__wt",'Xtal_SegEnds_BW#'!$A:$Z,20,FALSE)</f>
        <v>61</v>
      </c>
      <c r="U354" s="1">
        <f>VLOOKUP($B354&amp;"__wt",'Xtal_SegEnds_BW#'!$A:$Z,21,FALSE)</f>
        <v>33</v>
      </c>
      <c r="V354" s="1">
        <f>VLOOKUP($B354&amp;"__wt",'Xtal_SegEnds_BW#'!$A:$Z,22,FALSE)</f>
        <v>57</v>
      </c>
      <c r="W354" s="1">
        <f>VLOOKUP($B354&amp;"__wt",'Xtal_SegEnds_BW#'!$A:$Z,23,FALSE)</f>
        <v>34</v>
      </c>
      <c r="X354" s="1">
        <f>VLOOKUP($B354&amp;"__wt",'Xtal_SegEnds_BW#'!$A:$Z,24,FALSE)</f>
        <v>63</v>
      </c>
      <c r="Y354" s="1">
        <f>VLOOKUP($B354&amp;"__wt",'Xtal_SegEnds_BW#'!$A:$Z,25,FALSE)</f>
        <v>47</v>
      </c>
      <c r="Z354" s="1">
        <f>VLOOKUP($B354&amp;"__wt",'Xtal_SegEnds_BW#'!$A:$Z,26,FALSE)</f>
        <v>59</v>
      </c>
      <c r="AA354" s="63" t="str">
        <f>VLOOKUP(A354,Classification!A:B,2,FALSE)</f>
        <v>C</v>
      </c>
      <c r="AB354" s="1">
        <f>VLOOKUP(A354,'NonXtal_SegEnds_Prot#'!A:AL,10,FALSE)-VLOOKUP(A354,'NonXtal_SegEnds_Prot#'!A:AL,7,FALSE)</f>
        <v>15</v>
      </c>
      <c r="AC354" s="1" t="e">
        <f>VLOOKUP(A354,'NonXtal_SegEnds_Prot#'!A:AL,13,FALSE)-VLOOKUP(A354,'NonXtal_SegEnds_Prot#'!A:AL,10,FALSE)</f>
        <v>#VALUE!</v>
      </c>
      <c r="AD354" s="1">
        <f>VLOOKUP(A354,'NonXtal_SegEnds_Prot#'!A:AL,16,FALSE)-VLOOKUP(A354,'NonXtal_SegEnds_Prot#'!A:AL,10,FALSE)</f>
        <v>44</v>
      </c>
      <c r="AE354" s="1">
        <f>VLOOKUP(A354,'NonXtal_SegEnds_Prot#'!A:AL,28,FALSE)-VLOOKUP(A354,'NonXtal_SegEnds_Prot#'!A:AL,25,FALSE)</f>
        <v>17</v>
      </c>
      <c r="AF354" s="1">
        <f>VLOOKUP(A354,'NonXtal_SegEnds_Prot#'!A:AL,31,FALSE)-VLOOKUP(A354,'NonXtal_SegEnds_Prot#'!A:AL,28,FALSE)</f>
        <v>37</v>
      </c>
      <c r="AG354" s="1">
        <f>VLOOKUP(A354,'NonXtal_SegEnds_Prot#'!A:AL,34,FALSE)-VLOOKUP(A354,'NonXtal_SegEnds_Prot#'!A:AL,31,FALSE)</f>
        <v>34</v>
      </c>
    </row>
    <row r="355" spans="1:33" x14ac:dyDescent="0.2">
      <c r="A355" s="1" t="s">
        <v>314</v>
      </c>
      <c r="B355" s="1" t="str">
        <f>VLOOKUP(A355,Xtal_Templ!A:B,2,FALSE)</f>
        <v>grm5_human</v>
      </c>
      <c r="C355" s="5">
        <f>VLOOKUP($B355&amp;"__wt",'Xtal_SegEnds_BW#'!$A:$Z,3,FALSE)</f>
        <v>34</v>
      </c>
      <c r="D355" s="1">
        <f>VLOOKUP($B355&amp;"__wt",'Xtal_SegEnds_BW#'!$A:$Z,4,FALSE)</f>
        <v>60</v>
      </c>
      <c r="E355" s="1">
        <f>VLOOKUP($B355&amp;"__wt",'Xtal_SegEnds_BW#'!$A:$Z,5,FALSE)</f>
        <v>47</v>
      </c>
      <c r="F355" s="1">
        <f>VLOOKUP($B355&amp;"__wt",'Xtal_SegEnds_BW#'!$A:$Z,6,FALSE)</f>
        <v>53</v>
      </c>
      <c r="G355" s="1">
        <v>39</v>
      </c>
      <c r="H355" s="1">
        <f>VLOOKUP($B355&amp;"__wt",'Xtal_SegEnds_BW#'!$A:$Z,8,FALSE)</f>
        <v>61</v>
      </c>
      <c r="I355" s="1" t="str">
        <f>VLOOKUP($B355&amp;"__wt",'Xtal_SegEnds_BW#'!$A:$Z,9,FALSE)</f>
        <v>-</v>
      </c>
      <c r="J355" s="1" t="str">
        <f>VLOOKUP($B355&amp;"__wt",'Xtal_SegEnds_BW#'!$A:$Z,10,FALSE)</f>
        <v>-</v>
      </c>
      <c r="K355" s="1">
        <f>VLOOKUP($B355&amp;"__wt",'Xtal_SegEnds_BW#'!$A:$Z,11,FALSE)</f>
        <v>22</v>
      </c>
      <c r="L355" s="1">
        <f>VLOOKUP($B355&amp;"__wt",'Xtal_SegEnds_BW#'!$A:$Z,12,FALSE)</f>
        <v>54</v>
      </c>
      <c r="M355" s="1" t="str">
        <f>VLOOKUP($B355&amp;"__wt",'Xtal_SegEnds_BW#'!$A:$Z,13,FALSE)</f>
        <v>-</v>
      </c>
      <c r="N355" s="1" t="str">
        <f>VLOOKUP($B355&amp;"__wt",'Xtal_SegEnds_BW#'!$A:$Z,14,FALSE)</f>
        <v>-</v>
      </c>
      <c r="O355" s="1">
        <f>VLOOKUP($B355&amp;"__wt",'Xtal_SegEnds_BW#'!$A:$Z,15,FALSE)</f>
        <v>39</v>
      </c>
      <c r="P355" s="1">
        <f>VLOOKUP($B355&amp;"__wt",'Xtal_SegEnds_BW#'!$A:$Z,16,FALSE)</f>
        <v>64</v>
      </c>
      <c r="Q355" s="1">
        <f>VLOOKUP($B355&amp;"__wt",'Xtal_SegEnds_BW#'!$A:$Z,17,FALSE)</f>
        <v>50</v>
      </c>
      <c r="R355" s="1">
        <f>VLOOKUP($B355&amp;"__wt",'Xtal_SegEnds_BW#'!$A:$Z,18,FALSE)</f>
        <v>52</v>
      </c>
      <c r="S355" s="1">
        <f>VLOOKUP($B355&amp;"__wt",'Xtal_SegEnds_BW#'!$A:$Z,19,FALSE)</f>
        <v>37</v>
      </c>
      <c r="T355" s="23">
        <f>VLOOKUP($B355&amp;"__wt",'Xtal_SegEnds_BW#'!$A:$Z,20,FALSE)</f>
        <v>61</v>
      </c>
      <c r="U355" s="1">
        <f>VLOOKUP($B355&amp;"__wt",'Xtal_SegEnds_BW#'!$A:$Z,21,FALSE)</f>
        <v>33</v>
      </c>
      <c r="V355" s="1">
        <f>VLOOKUP($B355&amp;"__wt",'Xtal_SegEnds_BW#'!$A:$Z,22,FALSE)</f>
        <v>57</v>
      </c>
      <c r="W355" s="1">
        <f>VLOOKUP($B355&amp;"__wt",'Xtal_SegEnds_BW#'!$A:$Z,23,FALSE)</f>
        <v>34</v>
      </c>
      <c r="X355" s="1">
        <f>VLOOKUP($B355&amp;"__wt",'Xtal_SegEnds_BW#'!$A:$Z,24,FALSE)</f>
        <v>63</v>
      </c>
      <c r="Y355" s="1">
        <f>VLOOKUP($B355&amp;"__wt",'Xtal_SegEnds_BW#'!$A:$Z,25,FALSE)</f>
        <v>47</v>
      </c>
      <c r="Z355" s="1">
        <f>VLOOKUP($B355&amp;"__wt",'Xtal_SegEnds_BW#'!$A:$Z,26,FALSE)</f>
        <v>59</v>
      </c>
      <c r="AA355" s="63" t="str">
        <f>VLOOKUP(A355,Classification!A:B,2,FALSE)</f>
        <v>C</v>
      </c>
      <c r="AB355" s="1">
        <f>VLOOKUP(A355,'NonXtal_SegEnds_Prot#'!A:AL,10,FALSE)-VLOOKUP(A355,'NonXtal_SegEnds_Prot#'!A:AL,7,FALSE)</f>
        <v>15</v>
      </c>
      <c r="AC355" s="1" t="e">
        <f>VLOOKUP(A355,'NonXtal_SegEnds_Prot#'!A:AL,13,FALSE)-VLOOKUP(A355,'NonXtal_SegEnds_Prot#'!A:AL,10,FALSE)</f>
        <v>#VALUE!</v>
      </c>
      <c r="AD355" s="1">
        <f>VLOOKUP(A355,'NonXtal_SegEnds_Prot#'!A:AL,16,FALSE)-VLOOKUP(A355,'NonXtal_SegEnds_Prot#'!A:AL,10,FALSE)</f>
        <v>44</v>
      </c>
      <c r="AE355" s="1">
        <f>VLOOKUP(A355,'NonXtal_SegEnds_Prot#'!A:AL,28,FALSE)-VLOOKUP(A355,'NonXtal_SegEnds_Prot#'!A:AL,25,FALSE)</f>
        <v>17</v>
      </c>
      <c r="AF355" s="1">
        <f>VLOOKUP(A355,'NonXtal_SegEnds_Prot#'!A:AL,31,FALSE)-VLOOKUP(A355,'NonXtal_SegEnds_Prot#'!A:AL,28,FALSE)</f>
        <v>37</v>
      </c>
      <c r="AG355" s="1">
        <f>VLOOKUP(A355,'NonXtal_SegEnds_Prot#'!A:AL,34,FALSE)-VLOOKUP(A355,'NonXtal_SegEnds_Prot#'!A:AL,31,FALSE)</f>
        <v>34</v>
      </c>
    </row>
    <row r="356" spans="1:33" x14ac:dyDescent="0.2">
      <c r="A356" s="1" t="s">
        <v>316</v>
      </c>
      <c r="B356" s="1" t="str">
        <f>VLOOKUP(A356,Xtal_Templ!A:B,2,FALSE)</f>
        <v>grm1_human</v>
      </c>
      <c r="C356" s="5">
        <f>VLOOKUP($B356&amp;"__wt",'Xtal_SegEnds_BW#'!$A:$Z,3,FALSE)</f>
        <v>34</v>
      </c>
      <c r="D356" s="1">
        <f>VLOOKUP($B356&amp;"__wt",'Xtal_SegEnds_BW#'!$A:$Z,4,FALSE)</f>
        <v>60</v>
      </c>
      <c r="E356" s="1">
        <f>VLOOKUP($B356&amp;"__wt",'Xtal_SegEnds_BW#'!$A:$Z,5,FALSE)</f>
        <v>47</v>
      </c>
      <c r="F356" s="1">
        <f>VLOOKUP($B356&amp;"__wt",'Xtal_SegEnds_BW#'!$A:$Z,6,FALSE)</f>
        <v>53</v>
      </c>
      <c r="G356" s="1">
        <v>39</v>
      </c>
      <c r="H356" s="1">
        <f>VLOOKUP($B356&amp;"__wt",'Xtal_SegEnds_BW#'!$A:$Z,8,FALSE)</f>
        <v>61</v>
      </c>
      <c r="I356" s="1" t="str">
        <f>VLOOKUP($B356&amp;"__wt",'Xtal_SegEnds_BW#'!$A:$Z,9,FALSE)</f>
        <v>-</v>
      </c>
      <c r="J356" s="1" t="str">
        <f>VLOOKUP($B356&amp;"__wt",'Xtal_SegEnds_BW#'!$A:$Z,10,FALSE)</f>
        <v>-</v>
      </c>
      <c r="K356" s="1">
        <f>VLOOKUP($B356&amp;"__wt",'Xtal_SegEnds_BW#'!$A:$Z,11,FALSE)</f>
        <v>22</v>
      </c>
      <c r="L356" s="1">
        <f>VLOOKUP($B356&amp;"__wt",'Xtal_SegEnds_BW#'!$A:$Z,12,FALSE)</f>
        <v>54</v>
      </c>
      <c r="M356" s="1" t="str">
        <f>VLOOKUP($B356&amp;"__wt",'Xtal_SegEnds_BW#'!$A:$Z,13,FALSE)</f>
        <v>-</v>
      </c>
      <c r="N356" s="1" t="str">
        <f>VLOOKUP($B356&amp;"__wt",'Xtal_SegEnds_BW#'!$A:$Z,14,FALSE)</f>
        <v>-</v>
      </c>
      <c r="O356" s="1">
        <f>VLOOKUP($B356&amp;"__wt",'Xtal_SegEnds_BW#'!$A:$Z,15,FALSE)</f>
        <v>39</v>
      </c>
      <c r="P356" s="1">
        <f>VLOOKUP($B356&amp;"__wt",'Xtal_SegEnds_BW#'!$A:$Z,16,FALSE)</f>
        <v>64</v>
      </c>
      <c r="Q356" s="1">
        <f>VLOOKUP($B356&amp;"__wt",'Xtal_SegEnds_BW#'!$A:$Z,17,FALSE)</f>
        <v>50</v>
      </c>
      <c r="R356" s="1">
        <f>VLOOKUP($B356&amp;"__wt",'Xtal_SegEnds_BW#'!$A:$Z,18,FALSE)</f>
        <v>52</v>
      </c>
      <c r="S356" s="1">
        <f>VLOOKUP($B356&amp;"__wt",'Xtal_SegEnds_BW#'!$A:$Z,19,FALSE)</f>
        <v>37</v>
      </c>
      <c r="T356" s="23">
        <f>VLOOKUP($B356&amp;"__wt",'Xtal_SegEnds_BW#'!$A:$Z,20,FALSE)</f>
        <v>61</v>
      </c>
      <c r="U356" s="1">
        <f>VLOOKUP($B356&amp;"__wt",'Xtal_SegEnds_BW#'!$A:$Z,21,FALSE)</f>
        <v>33</v>
      </c>
      <c r="V356" s="1">
        <f>VLOOKUP($B356&amp;"__wt",'Xtal_SegEnds_BW#'!$A:$Z,22,FALSE)</f>
        <v>57</v>
      </c>
      <c r="W356" s="1">
        <f>VLOOKUP($B356&amp;"__wt",'Xtal_SegEnds_BW#'!$A:$Z,23,FALSE)</f>
        <v>34</v>
      </c>
      <c r="X356" s="1">
        <f>VLOOKUP($B356&amp;"__wt",'Xtal_SegEnds_BW#'!$A:$Z,24,FALSE)</f>
        <v>63</v>
      </c>
      <c r="Y356" s="1">
        <f>VLOOKUP($B356&amp;"__wt",'Xtal_SegEnds_BW#'!$A:$Z,25,FALSE)</f>
        <v>47</v>
      </c>
      <c r="Z356" s="1">
        <f>VLOOKUP($B356&amp;"__wt",'Xtal_SegEnds_BW#'!$A:$Z,26,FALSE)</f>
        <v>59</v>
      </c>
      <c r="AA356" s="63" t="str">
        <f>VLOOKUP(A356,Classification!A:B,2,FALSE)</f>
        <v>C</v>
      </c>
      <c r="AB356" s="1">
        <f>VLOOKUP(A356,'NonXtal_SegEnds_Prot#'!A:AL,10,FALSE)-VLOOKUP(A356,'NonXtal_SegEnds_Prot#'!A:AL,7,FALSE)</f>
        <v>15</v>
      </c>
      <c r="AC356" s="1" t="e">
        <f>VLOOKUP(A356,'NonXtal_SegEnds_Prot#'!A:AL,13,FALSE)-VLOOKUP(A356,'NonXtal_SegEnds_Prot#'!A:AL,10,FALSE)</f>
        <v>#VALUE!</v>
      </c>
      <c r="AD356" s="1">
        <f>VLOOKUP(A356,'NonXtal_SegEnds_Prot#'!A:AL,16,FALSE)-VLOOKUP(A356,'NonXtal_SegEnds_Prot#'!A:AL,10,FALSE)</f>
        <v>44</v>
      </c>
      <c r="AE356" s="1">
        <f>VLOOKUP(A356,'NonXtal_SegEnds_Prot#'!A:AL,28,FALSE)-VLOOKUP(A356,'NonXtal_SegEnds_Prot#'!A:AL,25,FALSE)</f>
        <v>18</v>
      </c>
      <c r="AF356" s="1">
        <f>VLOOKUP(A356,'NonXtal_SegEnds_Prot#'!A:AL,31,FALSE)-VLOOKUP(A356,'NonXtal_SegEnds_Prot#'!A:AL,28,FALSE)</f>
        <v>37</v>
      </c>
      <c r="AG356" s="1">
        <f>VLOOKUP(A356,'NonXtal_SegEnds_Prot#'!A:AL,34,FALSE)-VLOOKUP(A356,'NonXtal_SegEnds_Prot#'!A:AL,31,FALSE)</f>
        <v>29</v>
      </c>
    </row>
    <row r="357" spans="1:33" x14ac:dyDescent="0.2">
      <c r="A357" s="1" t="s">
        <v>317</v>
      </c>
      <c r="B357" s="1" t="str">
        <f>VLOOKUP(A357,Xtal_Templ!A:B,2,FALSE)</f>
        <v>grm1_human</v>
      </c>
      <c r="C357" s="5">
        <f>VLOOKUP($B357&amp;"__wt",'Xtal_SegEnds_BW#'!$A:$Z,3,FALSE)</f>
        <v>34</v>
      </c>
      <c r="D357" s="1">
        <f>VLOOKUP($B357&amp;"__wt",'Xtal_SegEnds_BW#'!$A:$Z,4,FALSE)</f>
        <v>60</v>
      </c>
      <c r="E357" s="1">
        <f>VLOOKUP($B357&amp;"__wt",'Xtal_SegEnds_BW#'!$A:$Z,5,FALSE)</f>
        <v>47</v>
      </c>
      <c r="F357" s="1">
        <f>VLOOKUP($B357&amp;"__wt",'Xtal_SegEnds_BW#'!$A:$Z,6,FALSE)</f>
        <v>53</v>
      </c>
      <c r="G357" s="1">
        <v>39</v>
      </c>
      <c r="H357" s="1">
        <f>VLOOKUP($B357&amp;"__wt",'Xtal_SegEnds_BW#'!$A:$Z,8,FALSE)</f>
        <v>61</v>
      </c>
      <c r="I357" s="1" t="str">
        <f>VLOOKUP($B357&amp;"__wt",'Xtal_SegEnds_BW#'!$A:$Z,9,FALSE)</f>
        <v>-</v>
      </c>
      <c r="J357" s="1" t="str">
        <f>VLOOKUP($B357&amp;"__wt",'Xtal_SegEnds_BW#'!$A:$Z,10,FALSE)</f>
        <v>-</v>
      </c>
      <c r="K357" s="1">
        <f>VLOOKUP($B357&amp;"__wt",'Xtal_SegEnds_BW#'!$A:$Z,11,FALSE)</f>
        <v>22</v>
      </c>
      <c r="L357" s="1">
        <f>VLOOKUP($B357&amp;"__wt",'Xtal_SegEnds_BW#'!$A:$Z,12,FALSE)</f>
        <v>54</v>
      </c>
      <c r="M357" s="1" t="str">
        <f>VLOOKUP($B357&amp;"__wt",'Xtal_SegEnds_BW#'!$A:$Z,13,FALSE)</f>
        <v>-</v>
      </c>
      <c r="N357" s="1" t="str">
        <f>VLOOKUP($B357&amp;"__wt",'Xtal_SegEnds_BW#'!$A:$Z,14,FALSE)</f>
        <v>-</v>
      </c>
      <c r="O357" s="1">
        <f>VLOOKUP($B357&amp;"__wt",'Xtal_SegEnds_BW#'!$A:$Z,15,FALSE)</f>
        <v>39</v>
      </c>
      <c r="P357" s="1">
        <f>VLOOKUP($B357&amp;"__wt",'Xtal_SegEnds_BW#'!$A:$Z,16,FALSE)</f>
        <v>64</v>
      </c>
      <c r="Q357" s="1">
        <f>VLOOKUP($B357&amp;"__wt",'Xtal_SegEnds_BW#'!$A:$Z,17,FALSE)</f>
        <v>50</v>
      </c>
      <c r="R357" s="1">
        <f>VLOOKUP($B357&amp;"__wt",'Xtal_SegEnds_BW#'!$A:$Z,18,FALSE)</f>
        <v>52</v>
      </c>
      <c r="S357" s="1">
        <f>VLOOKUP($B357&amp;"__wt",'Xtal_SegEnds_BW#'!$A:$Z,19,FALSE)</f>
        <v>37</v>
      </c>
      <c r="T357" s="23">
        <f>VLOOKUP($B357&amp;"__wt",'Xtal_SegEnds_BW#'!$A:$Z,20,FALSE)</f>
        <v>61</v>
      </c>
      <c r="U357" s="1">
        <f>VLOOKUP($B357&amp;"__wt",'Xtal_SegEnds_BW#'!$A:$Z,21,FALSE)</f>
        <v>33</v>
      </c>
      <c r="V357" s="1">
        <f>VLOOKUP($B357&amp;"__wt",'Xtal_SegEnds_BW#'!$A:$Z,22,FALSE)</f>
        <v>57</v>
      </c>
      <c r="W357" s="1">
        <f>VLOOKUP($B357&amp;"__wt",'Xtal_SegEnds_BW#'!$A:$Z,23,FALSE)</f>
        <v>34</v>
      </c>
      <c r="X357" s="1">
        <f>VLOOKUP($B357&amp;"__wt",'Xtal_SegEnds_BW#'!$A:$Z,24,FALSE)</f>
        <v>63</v>
      </c>
      <c r="Y357" s="1">
        <f>VLOOKUP($B357&amp;"__wt",'Xtal_SegEnds_BW#'!$A:$Z,25,FALSE)</f>
        <v>47</v>
      </c>
      <c r="Z357" s="1">
        <f>VLOOKUP($B357&amp;"__wt",'Xtal_SegEnds_BW#'!$A:$Z,26,FALSE)</f>
        <v>59</v>
      </c>
      <c r="AA357" s="63" t="str">
        <f>VLOOKUP(A357,Classification!A:B,2,FALSE)</f>
        <v>C</v>
      </c>
      <c r="AB357" s="1">
        <f>VLOOKUP(A357,'NonXtal_SegEnds_Prot#'!A:AL,10,FALSE)-VLOOKUP(A357,'NonXtal_SegEnds_Prot#'!A:AL,7,FALSE)</f>
        <v>15</v>
      </c>
      <c r="AC357" s="1" t="e">
        <f>VLOOKUP(A357,'NonXtal_SegEnds_Prot#'!A:AL,13,FALSE)-VLOOKUP(A357,'NonXtal_SegEnds_Prot#'!A:AL,10,FALSE)</f>
        <v>#VALUE!</v>
      </c>
      <c r="AD357" s="1">
        <f>VLOOKUP(A357,'NonXtal_SegEnds_Prot#'!A:AL,16,FALSE)-VLOOKUP(A357,'NonXtal_SegEnds_Prot#'!A:AL,10,FALSE)</f>
        <v>44</v>
      </c>
      <c r="AE357" s="1">
        <f>VLOOKUP(A357,'NonXtal_SegEnds_Prot#'!A:AL,28,FALSE)-VLOOKUP(A357,'NonXtal_SegEnds_Prot#'!A:AL,25,FALSE)</f>
        <v>18</v>
      </c>
      <c r="AF357" s="1">
        <f>VLOOKUP(A357,'NonXtal_SegEnds_Prot#'!A:AL,31,FALSE)-VLOOKUP(A357,'NonXtal_SegEnds_Prot#'!A:AL,28,FALSE)</f>
        <v>37</v>
      </c>
      <c r="AG357" s="1">
        <f>VLOOKUP(A357,'NonXtal_SegEnds_Prot#'!A:AL,34,FALSE)-VLOOKUP(A357,'NonXtal_SegEnds_Prot#'!A:AL,31,FALSE)</f>
        <v>29</v>
      </c>
    </row>
    <row r="358" spans="1:33" x14ac:dyDescent="0.2">
      <c r="A358" s="1" t="s">
        <v>318</v>
      </c>
      <c r="B358" s="1" t="str">
        <f>VLOOKUP(A358,Xtal_Templ!A:B,2,FALSE)</f>
        <v>grm1_human</v>
      </c>
      <c r="C358" s="5">
        <f>VLOOKUP($B358&amp;"__wt",'Xtal_SegEnds_BW#'!$A:$Z,3,FALSE)</f>
        <v>34</v>
      </c>
      <c r="D358" s="1">
        <f>VLOOKUP($B358&amp;"__wt",'Xtal_SegEnds_BW#'!$A:$Z,4,FALSE)</f>
        <v>60</v>
      </c>
      <c r="E358" s="1">
        <f>VLOOKUP($B358&amp;"__wt",'Xtal_SegEnds_BW#'!$A:$Z,5,FALSE)</f>
        <v>47</v>
      </c>
      <c r="F358" s="1">
        <f>VLOOKUP($B358&amp;"__wt",'Xtal_SegEnds_BW#'!$A:$Z,6,FALSE)</f>
        <v>53</v>
      </c>
      <c r="G358" s="1">
        <v>39</v>
      </c>
      <c r="H358" s="1">
        <f>VLOOKUP($B358&amp;"__wt",'Xtal_SegEnds_BW#'!$A:$Z,8,FALSE)</f>
        <v>61</v>
      </c>
      <c r="I358" s="1" t="str">
        <f>VLOOKUP($B358&amp;"__wt",'Xtal_SegEnds_BW#'!$A:$Z,9,FALSE)</f>
        <v>-</v>
      </c>
      <c r="J358" s="1" t="str">
        <f>VLOOKUP($B358&amp;"__wt",'Xtal_SegEnds_BW#'!$A:$Z,10,FALSE)</f>
        <v>-</v>
      </c>
      <c r="K358" s="1">
        <f>VLOOKUP($B358&amp;"__wt",'Xtal_SegEnds_BW#'!$A:$Z,11,FALSE)</f>
        <v>22</v>
      </c>
      <c r="L358" s="1">
        <f>VLOOKUP($B358&amp;"__wt",'Xtal_SegEnds_BW#'!$A:$Z,12,FALSE)</f>
        <v>54</v>
      </c>
      <c r="M358" s="1" t="str">
        <f>VLOOKUP($B358&amp;"__wt",'Xtal_SegEnds_BW#'!$A:$Z,13,FALSE)</f>
        <v>-</v>
      </c>
      <c r="N358" s="1" t="str">
        <f>VLOOKUP($B358&amp;"__wt",'Xtal_SegEnds_BW#'!$A:$Z,14,FALSE)</f>
        <v>-</v>
      </c>
      <c r="O358" s="1">
        <f>VLOOKUP($B358&amp;"__wt",'Xtal_SegEnds_BW#'!$A:$Z,15,FALSE)</f>
        <v>39</v>
      </c>
      <c r="P358" s="1">
        <f>VLOOKUP($B358&amp;"__wt",'Xtal_SegEnds_BW#'!$A:$Z,16,FALSE)</f>
        <v>64</v>
      </c>
      <c r="Q358" s="1">
        <f>VLOOKUP($B358&amp;"__wt",'Xtal_SegEnds_BW#'!$A:$Z,17,FALSE)</f>
        <v>50</v>
      </c>
      <c r="R358" s="1">
        <f>VLOOKUP($B358&amp;"__wt",'Xtal_SegEnds_BW#'!$A:$Z,18,FALSE)</f>
        <v>52</v>
      </c>
      <c r="S358" s="1">
        <f>VLOOKUP($B358&amp;"__wt",'Xtal_SegEnds_BW#'!$A:$Z,19,FALSE)</f>
        <v>37</v>
      </c>
      <c r="T358" s="23">
        <f>VLOOKUP($B358&amp;"__wt",'Xtal_SegEnds_BW#'!$A:$Z,20,FALSE)</f>
        <v>61</v>
      </c>
      <c r="U358" s="1">
        <f>VLOOKUP($B358&amp;"__wt",'Xtal_SegEnds_BW#'!$A:$Z,21,FALSE)</f>
        <v>33</v>
      </c>
      <c r="V358" s="1">
        <f>VLOOKUP($B358&amp;"__wt",'Xtal_SegEnds_BW#'!$A:$Z,22,FALSE)</f>
        <v>57</v>
      </c>
      <c r="W358" s="1">
        <f>VLOOKUP($B358&amp;"__wt",'Xtal_SegEnds_BW#'!$A:$Z,23,FALSE)</f>
        <v>34</v>
      </c>
      <c r="X358" s="1">
        <f>VLOOKUP($B358&amp;"__wt",'Xtal_SegEnds_BW#'!$A:$Z,24,FALSE)</f>
        <v>63</v>
      </c>
      <c r="Y358" s="1">
        <f>VLOOKUP($B358&amp;"__wt",'Xtal_SegEnds_BW#'!$A:$Z,25,FALSE)</f>
        <v>47</v>
      </c>
      <c r="Z358" s="1">
        <f>VLOOKUP($B358&amp;"__wt",'Xtal_SegEnds_BW#'!$A:$Z,26,FALSE)</f>
        <v>59</v>
      </c>
      <c r="AA358" s="63" t="str">
        <f>VLOOKUP(A358,Classification!A:B,2,FALSE)</f>
        <v>C</v>
      </c>
      <c r="AB358" s="1">
        <f>VLOOKUP(A358,'NonXtal_SegEnds_Prot#'!A:AL,10,FALSE)-VLOOKUP(A358,'NonXtal_SegEnds_Prot#'!A:AL,7,FALSE)</f>
        <v>15</v>
      </c>
      <c r="AC358" s="1" t="e">
        <f>VLOOKUP(A358,'NonXtal_SegEnds_Prot#'!A:AL,13,FALSE)-VLOOKUP(A358,'NonXtal_SegEnds_Prot#'!A:AL,10,FALSE)</f>
        <v>#VALUE!</v>
      </c>
      <c r="AD358" s="1">
        <f>VLOOKUP(A358,'NonXtal_SegEnds_Prot#'!A:AL,16,FALSE)-VLOOKUP(A358,'NonXtal_SegEnds_Prot#'!A:AL,10,FALSE)</f>
        <v>44</v>
      </c>
      <c r="AE358" s="1">
        <f>VLOOKUP(A358,'NonXtal_SegEnds_Prot#'!A:AL,28,FALSE)-VLOOKUP(A358,'NonXtal_SegEnds_Prot#'!A:AL,25,FALSE)</f>
        <v>18</v>
      </c>
      <c r="AF358" s="1">
        <f>VLOOKUP(A358,'NonXtal_SegEnds_Prot#'!A:AL,31,FALSE)-VLOOKUP(A358,'NonXtal_SegEnds_Prot#'!A:AL,28,FALSE)</f>
        <v>37</v>
      </c>
      <c r="AG358" s="1">
        <f>VLOOKUP(A358,'NonXtal_SegEnds_Prot#'!A:AL,34,FALSE)-VLOOKUP(A358,'NonXtal_SegEnds_Prot#'!A:AL,31,FALSE)</f>
        <v>29</v>
      </c>
    </row>
    <row r="359" spans="1:33" x14ac:dyDescent="0.2">
      <c r="A359" s="1" t="s">
        <v>300</v>
      </c>
      <c r="B359" s="1" t="str">
        <f>VLOOKUP(A359,Xtal_Templ!A:B,2,FALSE)</f>
        <v>grm1_human</v>
      </c>
      <c r="C359" s="5">
        <f>VLOOKUP($B359&amp;"__wt",'Xtal_SegEnds_BW#'!$A:$Z,3,FALSE)</f>
        <v>34</v>
      </c>
      <c r="D359" s="1">
        <f>VLOOKUP($B359&amp;"__wt",'Xtal_SegEnds_BW#'!$A:$Z,4,FALSE)</f>
        <v>60</v>
      </c>
      <c r="E359" s="1">
        <f>VLOOKUP($B359&amp;"__wt",'Xtal_SegEnds_BW#'!$A:$Z,5,FALSE)</f>
        <v>47</v>
      </c>
      <c r="F359" s="1">
        <f>VLOOKUP($B359&amp;"__wt",'Xtal_SegEnds_BW#'!$A:$Z,6,FALSE)</f>
        <v>53</v>
      </c>
      <c r="G359" s="1">
        <v>39</v>
      </c>
      <c r="H359" s="1">
        <f>VLOOKUP($B359&amp;"__wt",'Xtal_SegEnds_BW#'!$A:$Z,8,FALSE)</f>
        <v>61</v>
      </c>
      <c r="I359" s="1" t="str">
        <f>VLOOKUP($B359&amp;"__wt",'Xtal_SegEnds_BW#'!$A:$Z,9,FALSE)</f>
        <v>-</v>
      </c>
      <c r="J359" s="1" t="str">
        <f>VLOOKUP($B359&amp;"__wt",'Xtal_SegEnds_BW#'!$A:$Z,10,FALSE)</f>
        <v>-</v>
      </c>
      <c r="K359" s="1">
        <f>VLOOKUP($B359&amp;"__wt",'Xtal_SegEnds_BW#'!$A:$Z,11,FALSE)</f>
        <v>22</v>
      </c>
      <c r="L359" s="1">
        <f>VLOOKUP($B359&amp;"__wt",'Xtal_SegEnds_BW#'!$A:$Z,12,FALSE)</f>
        <v>54</v>
      </c>
      <c r="M359" s="1" t="str">
        <f>VLOOKUP($B359&amp;"__wt",'Xtal_SegEnds_BW#'!$A:$Z,13,FALSE)</f>
        <v>-</v>
      </c>
      <c r="N359" s="1" t="str">
        <f>VLOOKUP($B359&amp;"__wt",'Xtal_SegEnds_BW#'!$A:$Z,14,FALSE)</f>
        <v>-</v>
      </c>
      <c r="O359" s="1">
        <f>VLOOKUP($B359&amp;"__wt",'Xtal_SegEnds_BW#'!$A:$Z,15,FALSE)</f>
        <v>39</v>
      </c>
      <c r="P359" s="1">
        <f>VLOOKUP($B359&amp;"__wt",'Xtal_SegEnds_BW#'!$A:$Z,16,FALSE)</f>
        <v>64</v>
      </c>
      <c r="Q359" s="1">
        <f>VLOOKUP($B359&amp;"__wt",'Xtal_SegEnds_BW#'!$A:$Z,17,FALSE)</f>
        <v>50</v>
      </c>
      <c r="R359" s="1">
        <f>VLOOKUP($B359&amp;"__wt",'Xtal_SegEnds_BW#'!$A:$Z,18,FALSE)</f>
        <v>52</v>
      </c>
      <c r="S359" s="1">
        <f>VLOOKUP($B359&amp;"__wt",'Xtal_SegEnds_BW#'!$A:$Z,19,FALSE)</f>
        <v>37</v>
      </c>
      <c r="T359" s="23">
        <f>VLOOKUP($B359&amp;"__wt",'Xtal_SegEnds_BW#'!$A:$Z,20,FALSE)</f>
        <v>61</v>
      </c>
      <c r="U359" s="1">
        <f>VLOOKUP($B359&amp;"__wt",'Xtal_SegEnds_BW#'!$A:$Z,21,FALSE)</f>
        <v>33</v>
      </c>
      <c r="V359" s="1">
        <f>VLOOKUP($B359&amp;"__wt",'Xtal_SegEnds_BW#'!$A:$Z,22,FALSE)</f>
        <v>57</v>
      </c>
      <c r="W359" s="1">
        <f>VLOOKUP($B359&amp;"__wt",'Xtal_SegEnds_BW#'!$A:$Z,23,FALSE)</f>
        <v>34</v>
      </c>
      <c r="X359" s="1">
        <f>VLOOKUP($B359&amp;"__wt",'Xtal_SegEnds_BW#'!$A:$Z,24,FALSE)</f>
        <v>63</v>
      </c>
      <c r="Y359" s="1">
        <f>VLOOKUP($B359&amp;"__wt",'Xtal_SegEnds_BW#'!$A:$Z,25,FALSE)</f>
        <v>47</v>
      </c>
      <c r="Z359" s="1">
        <f>VLOOKUP($B359&amp;"__wt",'Xtal_SegEnds_BW#'!$A:$Z,26,FALSE)</f>
        <v>59</v>
      </c>
      <c r="AA359" s="63" t="str">
        <f>VLOOKUP(A359,Classification!A:B,2,FALSE)</f>
        <v>C</v>
      </c>
      <c r="AB359" s="1">
        <f>VLOOKUP(A359,'NonXtal_SegEnds_Prot#'!A:AL,10,FALSE)-VLOOKUP(A359,'NonXtal_SegEnds_Prot#'!A:AL,7,FALSE)</f>
        <v>15</v>
      </c>
      <c r="AC359" s="1" t="e">
        <f>VLOOKUP(A359,'NonXtal_SegEnds_Prot#'!A:AL,13,FALSE)-VLOOKUP(A359,'NonXtal_SegEnds_Prot#'!A:AL,10,FALSE)</f>
        <v>#VALUE!</v>
      </c>
      <c r="AD359" s="1">
        <f>VLOOKUP(A359,'NonXtal_SegEnds_Prot#'!A:AL,16,FALSE)-VLOOKUP(A359,'NonXtal_SegEnds_Prot#'!A:AL,10,FALSE)</f>
        <v>51</v>
      </c>
      <c r="AE359" s="1">
        <f>VLOOKUP(A359,'NonXtal_SegEnds_Prot#'!A:AL,28,FALSE)-VLOOKUP(A359,'NonXtal_SegEnds_Prot#'!A:AL,25,FALSE)</f>
        <v>19</v>
      </c>
      <c r="AF359" s="1">
        <f>VLOOKUP(A359,'NonXtal_SegEnds_Prot#'!A:AL,31,FALSE)-VLOOKUP(A359,'NonXtal_SegEnds_Prot#'!A:AL,28,FALSE)</f>
        <v>38</v>
      </c>
      <c r="AG359" s="1">
        <f>VLOOKUP(A359,'NonXtal_SegEnds_Prot#'!A:AL,34,FALSE)-VLOOKUP(A359,'NonXtal_SegEnds_Prot#'!A:AL,31,FALSE)</f>
        <v>31</v>
      </c>
    </row>
    <row r="360" spans="1:33" x14ac:dyDescent="0.2">
      <c r="A360" s="1" t="s">
        <v>301</v>
      </c>
      <c r="B360" s="1" t="str">
        <f>VLOOKUP(A360,Xtal_Templ!A:B,2,FALSE)</f>
        <v>grm5_human</v>
      </c>
      <c r="C360" s="5">
        <f>VLOOKUP($B360&amp;"__wt",'Xtal_SegEnds_BW#'!$A:$Z,3,FALSE)</f>
        <v>34</v>
      </c>
      <c r="D360" s="1">
        <f>VLOOKUP($B360&amp;"__wt",'Xtal_SegEnds_BW#'!$A:$Z,4,FALSE)</f>
        <v>60</v>
      </c>
      <c r="E360" s="1">
        <f>VLOOKUP($B360&amp;"__wt",'Xtal_SegEnds_BW#'!$A:$Z,5,FALSE)</f>
        <v>47</v>
      </c>
      <c r="F360" s="1">
        <f>VLOOKUP($B360&amp;"__wt",'Xtal_SegEnds_BW#'!$A:$Z,6,FALSE)</f>
        <v>53</v>
      </c>
      <c r="G360" s="1">
        <v>39</v>
      </c>
      <c r="H360" s="1">
        <f>VLOOKUP($B360&amp;"__wt",'Xtal_SegEnds_BW#'!$A:$Z,8,FALSE)</f>
        <v>61</v>
      </c>
      <c r="I360" s="1" t="str">
        <f>VLOOKUP($B360&amp;"__wt",'Xtal_SegEnds_BW#'!$A:$Z,9,FALSE)</f>
        <v>-</v>
      </c>
      <c r="J360" s="1" t="str">
        <f>VLOOKUP($B360&amp;"__wt",'Xtal_SegEnds_BW#'!$A:$Z,10,FALSE)</f>
        <v>-</v>
      </c>
      <c r="K360" s="1">
        <f>VLOOKUP($B360&amp;"__wt",'Xtal_SegEnds_BW#'!$A:$Z,11,FALSE)</f>
        <v>22</v>
      </c>
      <c r="L360" s="1">
        <f>VLOOKUP($B360&amp;"__wt",'Xtal_SegEnds_BW#'!$A:$Z,12,FALSE)</f>
        <v>54</v>
      </c>
      <c r="M360" s="1" t="str">
        <f>VLOOKUP($B360&amp;"__wt",'Xtal_SegEnds_BW#'!$A:$Z,13,FALSE)</f>
        <v>-</v>
      </c>
      <c r="N360" s="1" t="str">
        <f>VLOOKUP($B360&amp;"__wt",'Xtal_SegEnds_BW#'!$A:$Z,14,FALSE)</f>
        <v>-</v>
      </c>
      <c r="O360" s="1">
        <f>VLOOKUP($B360&amp;"__wt",'Xtal_SegEnds_BW#'!$A:$Z,15,FALSE)</f>
        <v>39</v>
      </c>
      <c r="P360" s="1">
        <f>VLOOKUP($B360&amp;"__wt",'Xtal_SegEnds_BW#'!$A:$Z,16,FALSE)</f>
        <v>64</v>
      </c>
      <c r="Q360" s="1">
        <f>VLOOKUP($B360&amp;"__wt",'Xtal_SegEnds_BW#'!$A:$Z,17,FALSE)</f>
        <v>50</v>
      </c>
      <c r="R360" s="1">
        <f>VLOOKUP($B360&amp;"__wt",'Xtal_SegEnds_BW#'!$A:$Z,18,FALSE)</f>
        <v>52</v>
      </c>
      <c r="S360" s="1">
        <f>VLOOKUP($B360&amp;"__wt",'Xtal_SegEnds_BW#'!$A:$Z,19,FALSE)</f>
        <v>37</v>
      </c>
      <c r="T360" s="23">
        <f>VLOOKUP($B360&amp;"__wt",'Xtal_SegEnds_BW#'!$A:$Z,20,FALSE)</f>
        <v>61</v>
      </c>
      <c r="U360" s="1">
        <f>VLOOKUP($B360&amp;"__wt",'Xtal_SegEnds_BW#'!$A:$Z,21,FALSE)</f>
        <v>33</v>
      </c>
      <c r="V360" s="1">
        <f>VLOOKUP($B360&amp;"__wt",'Xtal_SegEnds_BW#'!$A:$Z,22,FALSE)</f>
        <v>57</v>
      </c>
      <c r="W360" s="1">
        <f>VLOOKUP($B360&amp;"__wt",'Xtal_SegEnds_BW#'!$A:$Z,23,FALSE)</f>
        <v>34</v>
      </c>
      <c r="X360" s="1">
        <f>VLOOKUP($B360&amp;"__wt",'Xtal_SegEnds_BW#'!$A:$Z,24,FALSE)</f>
        <v>63</v>
      </c>
      <c r="Y360" s="1">
        <f>VLOOKUP($B360&amp;"__wt",'Xtal_SegEnds_BW#'!$A:$Z,25,FALSE)</f>
        <v>47</v>
      </c>
      <c r="Z360" s="1">
        <f>VLOOKUP($B360&amp;"__wt",'Xtal_SegEnds_BW#'!$A:$Z,26,FALSE)</f>
        <v>59</v>
      </c>
      <c r="AA360" s="63" t="str">
        <f>VLOOKUP(A360,Classification!A:B,2,FALSE)</f>
        <v>C</v>
      </c>
      <c r="AB360" s="1">
        <f>VLOOKUP(A360,'NonXtal_SegEnds_Prot#'!A:AL,10,FALSE)-VLOOKUP(A360,'NonXtal_SegEnds_Prot#'!A:AL,7,FALSE)</f>
        <v>15</v>
      </c>
      <c r="AC360" s="1" t="e">
        <f>VLOOKUP(A360,'NonXtal_SegEnds_Prot#'!A:AL,13,FALSE)-VLOOKUP(A360,'NonXtal_SegEnds_Prot#'!A:AL,10,FALSE)</f>
        <v>#VALUE!</v>
      </c>
      <c r="AD360" s="1">
        <f>VLOOKUP(A360,'NonXtal_SegEnds_Prot#'!A:AL,16,FALSE)-VLOOKUP(A360,'NonXtal_SegEnds_Prot#'!A:AL,10,FALSE)</f>
        <v>51</v>
      </c>
      <c r="AE360" s="1">
        <f>VLOOKUP(A360,'NonXtal_SegEnds_Prot#'!A:AL,28,FALSE)-VLOOKUP(A360,'NonXtal_SegEnds_Prot#'!A:AL,25,FALSE)</f>
        <v>19</v>
      </c>
      <c r="AF360" s="1">
        <f>VLOOKUP(A360,'NonXtal_SegEnds_Prot#'!A:AL,31,FALSE)-VLOOKUP(A360,'NonXtal_SegEnds_Prot#'!A:AL,28,FALSE)</f>
        <v>38</v>
      </c>
      <c r="AG360" s="1">
        <f>VLOOKUP(A360,'NonXtal_SegEnds_Prot#'!A:AL,34,FALSE)-VLOOKUP(A360,'NonXtal_SegEnds_Prot#'!A:AL,31,FALSE)</f>
        <v>31</v>
      </c>
    </row>
    <row r="361" spans="1:33" x14ac:dyDescent="0.2">
      <c r="A361" s="1" t="s">
        <v>302</v>
      </c>
      <c r="B361" s="1" t="str">
        <f>VLOOKUP(A361,Xtal_Templ!A:B,2,FALSE)</f>
        <v>grm1_human</v>
      </c>
      <c r="C361" s="5">
        <f>VLOOKUP($B361&amp;"__wt",'Xtal_SegEnds_BW#'!$A:$Z,3,FALSE)</f>
        <v>34</v>
      </c>
      <c r="D361" s="1">
        <f>VLOOKUP($B361&amp;"__wt",'Xtal_SegEnds_BW#'!$A:$Z,4,FALSE)</f>
        <v>60</v>
      </c>
      <c r="E361" s="1">
        <f>VLOOKUP($B361&amp;"__wt",'Xtal_SegEnds_BW#'!$A:$Z,5,FALSE)</f>
        <v>47</v>
      </c>
      <c r="F361" s="1">
        <f>VLOOKUP($B361&amp;"__wt",'Xtal_SegEnds_BW#'!$A:$Z,6,FALSE)</f>
        <v>53</v>
      </c>
      <c r="G361" s="1">
        <v>39</v>
      </c>
      <c r="H361" s="1">
        <f>VLOOKUP($B361&amp;"__wt",'Xtal_SegEnds_BW#'!$A:$Z,8,FALSE)</f>
        <v>61</v>
      </c>
      <c r="I361" s="1" t="str">
        <f>VLOOKUP($B361&amp;"__wt",'Xtal_SegEnds_BW#'!$A:$Z,9,FALSE)</f>
        <v>-</v>
      </c>
      <c r="J361" s="1" t="str">
        <f>VLOOKUP($B361&amp;"__wt",'Xtal_SegEnds_BW#'!$A:$Z,10,FALSE)</f>
        <v>-</v>
      </c>
      <c r="K361" s="1">
        <f>VLOOKUP($B361&amp;"__wt",'Xtal_SegEnds_BW#'!$A:$Z,11,FALSE)</f>
        <v>22</v>
      </c>
      <c r="L361" s="1">
        <f>VLOOKUP($B361&amp;"__wt",'Xtal_SegEnds_BW#'!$A:$Z,12,FALSE)</f>
        <v>54</v>
      </c>
      <c r="M361" s="1" t="str">
        <f>VLOOKUP($B361&amp;"__wt",'Xtal_SegEnds_BW#'!$A:$Z,13,FALSE)</f>
        <v>-</v>
      </c>
      <c r="N361" s="1" t="str">
        <f>VLOOKUP($B361&amp;"__wt",'Xtal_SegEnds_BW#'!$A:$Z,14,FALSE)</f>
        <v>-</v>
      </c>
      <c r="O361" s="1">
        <f>VLOOKUP($B361&amp;"__wt",'Xtal_SegEnds_BW#'!$A:$Z,15,FALSE)</f>
        <v>39</v>
      </c>
      <c r="P361" s="1">
        <f>VLOOKUP($B361&amp;"__wt",'Xtal_SegEnds_BW#'!$A:$Z,16,FALSE)</f>
        <v>64</v>
      </c>
      <c r="Q361" s="1">
        <f>VLOOKUP($B361&amp;"__wt",'Xtal_SegEnds_BW#'!$A:$Z,17,FALSE)</f>
        <v>50</v>
      </c>
      <c r="R361" s="1">
        <f>VLOOKUP($B361&amp;"__wt",'Xtal_SegEnds_BW#'!$A:$Z,18,FALSE)</f>
        <v>52</v>
      </c>
      <c r="S361" s="1">
        <f>VLOOKUP($B361&amp;"__wt",'Xtal_SegEnds_BW#'!$A:$Z,19,FALSE)</f>
        <v>37</v>
      </c>
      <c r="T361" s="23">
        <f>VLOOKUP($B361&amp;"__wt",'Xtal_SegEnds_BW#'!$A:$Z,20,FALSE)</f>
        <v>61</v>
      </c>
      <c r="U361" s="1">
        <f>VLOOKUP($B361&amp;"__wt",'Xtal_SegEnds_BW#'!$A:$Z,21,FALSE)</f>
        <v>33</v>
      </c>
      <c r="V361" s="1">
        <f>VLOOKUP($B361&amp;"__wt",'Xtal_SegEnds_BW#'!$A:$Z,22,FALSE)</f>
        <v>57</v>
      </c>
      <c r="W361" s="1">
        <f>VLOOKUP($B361&amp;"__wt",'Xtal_SegEnds_BW#'!$A:$Z,23,FALSE)</f>
        <v>34</v>
      </c>
      <c r="X361" s="1">
        <f>VLOOKUP($B361&amp;"__wt",'Xtal_SegEnds_BW#'!$A:$Z,24,FALSE)</f>
        <v>63</v>
      </c>
      <c r="Y361" s="1">
        <f>VLOOKUP($B361&amp;"__wt",'Xtal_SegEnds_BW#'!$A:$Z,25,FALSE)</f>
        <v>47</v>
      </c>
      <c r="Z361" s="1">
        <f>VLOOKUP($B361&amp;"__wt",'Xtal_SegEnds_BW#'!$A:$Z,26,FALSE)</f>
        <v>59</v>
      </c>
      <c r="AA361" s="63" t="str">
        <f>VLOOKUP(A361,Classification!A:B,2,FALSE)</f>
        <v>C</v>
      </c>
      <c r="AB361" s="1">
        <f>VLOOKUP(A361,'NonXtal_SegEnds_Prot#'!A:AL,10,FALSE)-VLOOKUP(A361,'NonXtal_SegEnds_Prot#'!A:AL,7,FALSE)</f>
        <v>15</v>
      </c>
      <c r="AC361" s="1" t="e">
        <f>VLOOKUP(A361,'NonXtal_SegEnds_Prot#'!A:AL,13,FALSE)-VLOOKUP(A361,'NonXtal_SegEnds_Prot#'!A:AL,10,FALSE)</f>
        <v>#VALUE!</v>
      </c>
      <c r="AD361" s="1">
        <f>VLOOKUP(A361,'NonXtal_SegEnds_Prot#'!A:AL,16,FALSE)-VLOOKUP(A361,'NonXtal_SegEnds_Prot#'!A:AL,10,FALSE)</f>
        <v>50</v>
      </c>
      <c r="AE361" s="1" t="e">
        <f>VLOOKUP(A361,'NonXtal_SegEnds_Prot#'!A:AL,28,FALSE)-VLOOKUP(A361,'NonXtal_SegEnds_Prot#'!A:AL,25,FALSE)</f>
        <v>#VALUE!</v>
      </c>
      <c r="AF361" s="1">
        <f>VLOOKUP(A361,'NonXtal_SegEnds_Prot#'!A:AL,31,FALSE)-VLOOKUP(A361,'NonXtal_SegEnds_Prot#'!A:AL,28,FALSE)</f>
        <v>39</v>
      </c>
      <c r="AG361" s="1">
        <f>VLOOKUP(A361,'NonXtal_SegEnds_Prot#'!A:AL,34,FALSE)-VLOOKUP(A361,'NonXtal_SegEnds_Prot#'!A:AL,31,FALSE)</f>
        <v>30</v>
      </c>
    </row>
    <row r="362" spans="1:33" x14ac:dyDescent="0.2">
      <c r="A362" s="1" t="s">
        <v>305</v>
      </c>
      <c r="B362" s="1" t="str">
        <f>VLOOKUP(A362,Xtal_Templ!A:B,2,FALSE)</f>
        <v>grm1_human</v>
      </c>
      <c r="C362" s="5">
        <f>VLOOKUP($B362&amp;"__wt",'Xtal_SegEnds_BW#'!$A:$Z,3,FALSE)</f>
        <v>34</v>
      </c>
      <c r="D362" s="1">
        <f>VLOOKUP($B362&amp;"__wt",'Xtal_SegEnds_BW#'!$A:$Z,4,FALSE)</f>
        <v>60</v>
      </c>
      <c r="E362" s="1">
        <f>VLOOKUP($B362&amp;"__wt",'Xtal_SegEnds_BW#'!$A:$Z,5,FALSE)</f>
        <v>47</v>
      </c>
      <c r="F362" s="1">
        <f>VLOOKUP($B362&amp;"__wt",'Xtal_SegEnds_BW#'!$A:$Z,6,FALSE)</f>
        <v>53</v>
      </c>
      <c r="G362" s="1">
        <v>39</v>
      </c>
      <c r="H362" s="1">
        <f>VLOOKUP($B362&amp;"__wt",'Xtal_SegEnds_BW#'!$A:$Z,8,FALSE)</f>
        <v>61</v>
      </c>
      <c r="I362" s="1" t="str">
        <f>VLOOKUP($B362&amp;"__wt",'Xtal_SegEnds_BW#'!$A:$Z,9,FALSE)</f>
        <v>-</v>
      </c>
      <c r="J362" s="1" t="str">
        <f>VLOOKUP($B362&amp;"__wt",'Xtal_SegEnds_BW#'!$A:$Z,10,FALSE)</f>
        <v>-</v>
      </c>
      <c r="K362" s="1">
        <f>VLOOKUP($B362&amp;"__wt",'Xtal_SegEnds_BW#'!$A:$Z,11,FALSE)</f>
        <v>22</v>
      </c>
      <c r="L362" s="1">
        <f>VLOOKUP($B362&amp;"__wt",'Xtal_SegEnds_BW#'!$A:$Z,12,FALSE)</f>
        <v>54</v>
      </c>
      <c r="M362" s="1" t="str">
        <f>VLOOKUP($B362&amp;"__wt",'Xtal_SegEnds_BW#'!$A:$Z,13,FALSE)</f>
        <v>-</v>
      </c>
      <c r="N362" s="1" t="str">
        <f>VLOOKUP($B362&amp;"__wt",'Xtal_SegEnds_BW#'!$A:$Z,14,FALSE)</f>
        <v>-</v>
      </c>
      <c r="O362" s="1">
        <f>VLOOKUP($B362&amp;"__wt",'Xtal_SegEnds_BW#'!$A:$Z,15,FALSE)</f>
        <v>39</v>
      </c>
      <c r="P362" s="1">
        <f>VLOOKUP($B362&amp;"__wt",'Xtal_SegEnds_BW#'!$A:$Z,16,FALSE)</f>
        <v>64</v>
      </c>
      <c r="Q362" s="1">
        <f>VLOOKUP($B362&amp;"__wt",'Xtal_SegEnds_BW#'!$A:$Z,17,FALSE)</f>
        <v>50</v>
      </c>
      <c r="R362" s="1">
        <f>VLOOKUP($B362&amp;"__wt",'Xtal_SegEnds_BW#'!$A:$Z,18,FALSE)</f>
        <v>52</v>
      </c>
      <c r="S362" s="1">
        <f>VLOOKUP($B362&amp;"__wt",'Xtal_SegEnds_BW#'!$A:$Z,19,FALSE)</f>
        <v>37</v>
      </c>
      <c r="T362" s="23">
        <f>VLOOKUP($B362&amp;"__wt",'Xtal_SegEnds_BW#'!$A:$Z,20,FALSE)</f>
        <v>61</v>
      </c>
      <c r="U362" s="1">
        <f>VLOOKUP($B362&amp;"__wt",'Xtal_SegEnds_BW#'!$A:$Z,21,FALSE)</f>
        <v>33</v>
      </c>
      <c r="V362" s="1">
        <f>VLOOKUP($B362&amp;"__wt",'Xtal_SegEnds_BW#'!$A:$Z,22,FALSE)</f>
        <v>57</v>
      </c>
      <c r="W362" s="1">
        <f>VLOOKUP($B362&amp;"__wt",'Xtal_SegEnds_BW#'!$A:$Z,23,FALSE)</f>
        <v>34</v>
      </c>
      <c r="X362" s="1">
        <f>VLOOKUP($B362&amp;"__wt",'Xtal_SegEnds_BW#'!$A:$Z,24,FALSE)</f>
        <v>63</v>
      </c>
      <c r="Y362" s="1">
        <f>VLOOKUP($B362&amp;"__wt",'Xtal_SegEnds_BW#'!$A:$Z,25,FALSE)</f>
        <v>47</v>
      </c>
      <c r="Z362" s="1">
        <f>VLOOKUP($B362&amp;"__wt",'Xtal_SegEnds_BW#'!$A:$Z,26,FALSE)</f>
        <v>59</v>
      </c>
      <c r="AA362" s="63" t="str">
        <f>VLOOKUP(A362,Classification!A:B,2,FALSE)</f>
        <v>C</v>
      </c>
      <c r="AB362" s="1">
        <f>VLOOKUP(A362,'NonXtal_SegEnds_Prot#'!A:AL,10,FALSE)-VLOOKUP(A362,'NonXtal_SegEnds_Prot#'!A:AL,7,FALSE)</f>
        <v>19</v>
      </c>
      <c r="AC362" s="1" t="e">
        <f>VLOOKUP(A362,'NonXtal_SegEnds_Prot#'!A:AL,13,FALSE)-VLOOKUP(A362,'NonXtal_SegEnds_Prot#'!A:AL,10,FALSE)</f>
        <v>#VALUE!</v>
      </c>
      <c r="AD362" s="1">
        <f>VLOOKUP(A362,'NonXtal_SegEnds_Prot#'!A:AL,16,FALSE)-VLOOKUP(A362,'NonXtal_SegEnds_Prot#'!A:AL,10,FALSE)</f>
        <v>44</v>
      </c>
      <c r="AE362" s="1">
        <f>VLOOKUP(A362,'NonXtal_SegEnds_Prot#'!A:AL,28,FALSE)-VLOOKUP(A362,'NonXtal_SegEnds_Prot#'!A:AL,25,FALSE)</f>
        <v>17</v>
      </c>
      <c r="AF362" s="1">
        <f>VLOOKUP(A362,'NonXtal_SegEnds_Prot#'!A:AL,31,FALSE)-VLOOKUP(A362,'NonXtal_SegEnds_Prot#'!A:AL,28,FALSE)</f>
        <v>39</v>
      </c>
      <c r="AG362" s="1">
        <f>VLOOKUP(A362,'NonXtal_SegEnds_Prot#'!A:AL,34,FALSE)-VLOOKUP(A362,'NonXtal_SegEnds_Prot#'!A:AL,31,FALSE)</f>
        <v>35</v>
      </c>
    </row>
    <row r="363" spans="1:33" x14ac:dyDescent="0.2">
      <c r="A363" s="1" t="s">
        <v>306</v>
      </c>
      <c r="B363" s="1" t="str">
        <f>VLOOKUP(A363,Xtal_Templ!A:B,2,FALSE)</f>
        <v>grm1_human</v>
      </c>
      <c r="C363" s="5">
        <f>VLOOKUP($B363&amp;"__wt",'Xtal_SegEnds_BW#'!$A:$Z,3,FALSE)</f>
        <v>34</v>
      </c>
      <c r="D363" s="1">
        <f>VLOOKUP($B363&amp;"__wt",'Xtal_SegEnds_BW#'!$A:$Z,4,FALSE)</f>
        <v>60</v>
      </c>
      <c r="E363" s="1">
        <f>VLOOKUP($B363&amp;"__wt",'Xtal_SegEnds_BW#'!$A:$Z,5,FALSE)</f>
        <v>47</v>
      </c>
      <c r="F363" s="1">
        <f>VLOOKUP($B363&amp;"__wt",'Xtal_SegEnds_BW#'!$A:$Z,6,FALSE)</f>
        <v>53</v>
      </c>
      <c r="G363" s="1">
        <v>39</v>
      </c>
      <c r="H363" s="1">
        <f>VLOOKUP($B363&amp;"__wt",'Xtal_SegEnds_BW#'!$A:$Z,8,FALSE)</f>
        <v>61</v>
      </c>
      <c r="I363" s="1" t="str">
        <f>VLOOKUP($B363&amp;"__wt",'Xtal_SegEnds_BW#'!$A:$Z,9,FALSE)</f>
        <v>-</v>
      </c>
      <c r="J363" s="1" t="str">
        <f>VLOOKUP($B363&amp;"__wt",'Xtal_SegEnds_BW#'!$A:$Z,10,FALSE)</f>
        <v>-</v>
      </c>
      <c r="K363" s="1">
        <f>VLOOKUP($B363&amp;"__wt",'Xtal_SegEnds_BW#'!$A:$Z,11,FALSE)</f>
        <v>22</v>
      </c>
      <c r="L363" s="1">
        <f>VLOOKUP($B363&amp;"__wt",'Xtal_SegEnds_BW#'!$A:$Z,12,FALSE)</f>
        <v>54</v>
      </c>
      <c r="M363" s="1" t="str">
        <f>VLOOKUP($B363&amp;"__wt",'Xtal_SegEnds_BW#'!$A:$Z,13,FALSE)</f>
        <v>-</v>
      </c>
      <c r="N363" s="1" t="str">
        <f>VLOOKUP($B363&amp;"__wt",'Xtal_SegEnds_BW#'!$A:$Z,14,FALSE)</f>
        <v>-</v>
      </c>
      <c r="O363" s="1">
        <f>VLOOKUP($B363&amp;"__wt",'Xtal_SegEnds_BW#'!$A:$Z,15,FALSE)</f>
        <v>39</v>
      </c>
      <c r="P363" s="1">
        <f>VLOOKUP($B363&amp;"__wt",'Xtal_SegEnds_BW#'!$A:$Z,16,FALSE)</f>
        <v>64</v>
      </c>
      <c r="Q363" s="1">
        <f>VLOOKUP($B363&amp;"__wt",'Xtal_SegEnds_BW#'!$A:$Z,17,FALSE)</f>
        <v>50</v>
      </c>
      <c r="R363" s="1">
        <f>VLOOKUP($B363&amp;"__wt",'Xtal_SegEnds_BW#'!$A:$Z,18,FALSE)</f>
        <v>52</v>
      </c>
      <c r="S363" s="1">
        <f>VLOOKUP($B363&amp;"__wt",'Xtal_SegEnds_BW#'!$A:$Z,19,FALSE)</f>
        <v>37</v>
      </c>
      <c r="T363" s="23">
        <f>VLOOKUP($B363&amp;"__wt",'Xtal_SegEnds_BW#'!$A:$Z,20,FALSE)</f>
        <v>61</v>
      </c>
      <c r="U363" s="1">
        <f>VLOOKUP($B363&amp;"__wt",'Xtal_SegEnds_BW#'!$A:$Z,21,FALSE)</f>
        <v>33</v>
      </c>
      <c r="V363" s="1">
        <f>VLOOKUP($B363&amp;"__wt",'Xtal_SegEnds_BW#'!$A:$Z,22,FALSE)</f>
        <v>57</v>
      </c>
      <c r="W363" s="1">
        <f>VLOOKUP($B363&amp;"__wt",'Xtal_SegEnds_BW#'!$A:$Z,23,FALSE)</f>
        <v>34</v>
      </c>
      <c r="X363" s="1">
        <f>VLOOKUP($B363&amp;"__wt",'Xtal_SegEnds_BW#'!$A:$Z,24,FALSE)</f>
        <v>63</v>
      </c>
      <c r="Y363" s="1">
        <f>VLOOKUP($B363&amp;"__wt",'Xtal_SegEnds_BW#'!$A:$Z,25,FALSE)</f>
        <v>47</v>
      </c>
      <c r="Z363" s="1">
        <f>VLOOKUP($B363&amp;"__wt",'Xtal_SegEnds_BW#'!$A:$Z,26,FALSE)</f>
        <v>59</v>
      </c>
      <c r="AA363" s="63" t="str">
        <f>VLOOKUP(A363,Classification!A:B,2,FALSE)</f>
        <v>C</v>
      </c>
      <c r="AB363" s="1">
        <f>VLOOKUP(A363,'NonXtal_SegEnds_Prot#'!A:AL,10,FALSE)-VLOOKUP(A363,'NonXtal_SegEnds_Prot#'!A:AL,7,FALSE)</f>
        <v>19</v>
      </c>
      <c r="AC363" s="1" t="e">
        <f>VLOOKUP(A363,'NonXtal_SegEnds_Prot#'!A:AL,13,FALSE)-VLOOKUP(A363,'NonXtal_SegEnds_Prot#'!A:AL,10,FALSE)</f>
        <v>#VALUE!</v>
      </c>
      <c r="AD363" s="1">
        <f>VLOOKUP(A363,'NonXtal_SegEnds_Prot#'!A:AL,16,FALSE)-VLOOKUP(A363,'NonXtal_SegEnds_Prot#'!A:AL,10,FALSE)</f>
        <v>44</v>
      </c>
      <c r="AE363" s="1">
        <f>VLOOKUP(A363,'NonXtal_SegEnds_Prot#'!A:AL,28,FALSE)-VLOOKUP(A363,'NonXtal_SegEnds_Prot#'!A:AL,25,FALSE)</f>
        <v>17</v>
      </c>
      <c r="AF363" s="1">
        <f>VLOOKUP(A363,'NonXtal_SegEnds_Prot#'!A:AL,31,FALSE)-VLOOKUP(A363,'NonXtal_SegEnds_Prot#'!A:AL,28,FALSE)</f>
        <v>39</v>
      </c>
      <c r="AG363" s="1">
        <f>VLOOKUP(A363,'NonXtal_SegEnds_Prot#'!A:AL,34,FALSE)-VLOOKUP(A363,'NonXtal_SegEnds_Prot#'!A:AL,31,FALSE)</f>
        <v>34</v>
      </c>
    </row>
    <row r="364" spans="1:33" x14ac:dyDescent="0.2">
      <c r="A364" s="1" t="s">
        <v>307</v>
      </c>
      <c r="B364" s="1" t="str">
        <f>VLOOKUP(A364,Xtal_Templ!A:B,2,FALSE)</f>
        <v>grm1_human</v>
      </c>
      <c r="C364" s="5">
        <f>VLOOKUP($B364&amp;"__wt",'Xtal_SegEnds_BW#'!$A:$Z,3,FALSE)</f>
        <v>34</v>
      </c>
      <c r="D364" s="1">
        <f>VLOOKUP($B364&amp;"__wt",'Xtal_SegEnds_BW#'!$A:$Z,4,FALSE)</f>
        <v>60</v>
      </c>
      <c r="E364" s="1">
        <f>VLOOKUP($B364&amp;"__wt",'Xtal_SegEnds_BW#'!$A:$Z,5,FALSE)</f>
        <v>47</v>
      </c>
      <c r="F364" s="1">
        <f>VLOOKUP($B364&amp;"__wt",'Xtal_SegEnds_BW#'!$A:$Z,6,FALSE)</f>
        <v>53</v>
      </c>
      <c r="G364" s="1">
        <v>39</v>
      </c>
      <c r="H364" s="1">
        <f>VLOOKUP($B364&amp;"__wt",'Xtal_SegEnds_BW#'!$A:$Z,8,FALSE)</f>
        <v>61</v>
      </c>
      <c r="I364" s="1" t="str">
        <f>VLOOKUP($B364&amp;"__wt",'Xtal_SegEnds_BW#'!$A:$Z,9,FALSE)</f>
        <v>-</v>
      </c>
      <c r="J364" s="1" t="str">
        <f>VLOOKUP($B364&amp;"__wt",'Xtal_SegEnds_BW#'!$A:$Z,10,FALSE)</f>
        <v>-</v>
      </c>
      <c r="K364" s="1">
        <f>VLOOKUP($B364&amp;"__wt",'Xtal_SegEnds_BW#'!$A:$Z,11,FALSE)</f>
        <v>22</v>
      </c>
      <c r="L364" s="1">
        <f>VLOOKUP($B364&amp;"__wt",'Xtal_SegEnds_BW#'!$A:$Z,12,FALSE)</f>
        <v>54</v>
      </c>
      <c r="M364" s="1" t="str">
        <f>VLOOKUP($B364&amp;"__wt",'Xtal_SegEnds_BW#'!$A:$Z,13,FALSE)</f>
        <v>-</v>
      </c>
      <c r="N364" s="1" t="str">
        <f>VLOOKUP($B364&amp;"__wt",'Xtal_SegEnds_BW#'!$A:$Z,14,FALSE)</f>
        <v>-</v>
      </c>
      <c r="O364" s="1">
        <f>VLOOKUP($B364&amp;"__wt",'Xtal_SegEnds_BW#'!$A:$Z,15,FALSE)</f>
        <v>39</v>
      </c>
      <c r="P364" s="1">
        <f>VLOOKUP($B364&amp;"__wt",'Xtal_SegEnds_BW#'!$A:$Z,16,FALSE)</f>
        <v>64</v>
      </c>
      <c r="Q364" s="1">
        <f>VLOOKUP($B364&amp;"__wt",'Xtal_SegEnds_BW#'!$A:$Z,17,FALSE)</f>
        <v>50</v>
      </c>
      <c r="R364" s="1">
        <f>VLOOKUP($B364&amp;"__wt",'Xtal_SegEnds_BW#'!$A:$Z,18,FALSE)</f>
        <v>52</v>
      </c>
      <c r="S364" s="1">
        <f>VLOOKUP($B364&amp;"__wt",'Xtal_SegEnds_BW#'!$A:$Z,19,FALSE)</f>
        <v>37</v>
      </c>
      <c r="T364" s="23">
        <f>VLOOKUP($B364&amp;"__wt",'Xtal_SegEnds_BW#'!$A:$Z,20,FALSE)</f>
        <v>61</v>
      </c>
      <c r="U364" s="1">
        <f>VLOOKUP($B364&amp;"__wt",'Xtal_SegEnds_BW#'!$A:$Z,21,FALSE)</f>
        <v>33</v>
      </c>
      <c r="V364" s="1">
        <f>VLOOKUP($B364&amp;"__wt",'Xtal_SegEnds_BW#'!$A:$Z,22,FALSE)</f>
        <v>57</v>
      </c>
      <c r="W364" s="1">
        <f>VLOOKUP($B364&amp;"__wt",'Xtal_SegEnds_BW#'!$A:$Z,23,FALSE)</f>
        <v>34</v>
      </c>
      <c r="X364" s="1">
        <f>VLOOKUP($B364&amp;"__wt",'Xtal_SegEnds_BW#'!$A:$Z,24,FALSE)</f>
        <v>63</v>
      </c>
      <c r="Y364" s="1">
        <f>VLOOKUP($B364&amp;"__wt",'Xtal_SegEnds_BW#'!$A:$Z,25,FALSE)</f>
        <v>47</v>
      </c>
      <c r="Z364" s="1">
        <f>VLOOKUP($B364&amp;"__wt",'Xtal_SegEnds_BW#'!$A:$Z,26,FALSE)</f>
        <v>59</v>
      </c>
      <c r="AA364" s="63" t="str">
        <f>VLOOKUP(A364,Classification!A:B,2,FALSE)</f>
        <v>C</v>
      </c>
      <c r="AB364" s="1">
        <f>VLOOKUP(A364,'NonXtal_SegEnds_Prot#'!A:AL,10,FALSE)-VLOOKUP(A364,'NonXtal_SegEnds_Prot#'!A:AL,7,FALSE)</f>
        <v>19</v>
      </c>
      <c r="AC364" s="1" t="e">
        <f>VLOOKUP(A364,'NonXtal_SegEnds_Prot#'!A:AL,13,FALSE)-VLOOKUP(A364,'NonXtal_SegEnds_Prot#'!A:AL,10,FALSE)</f>
        <v>#VALUE!</v>
      </c>
      <c r="AD364" s="1">
        <f>VLOOKUP(A364,'NonXtal_SegEnds_Prot#'!A:AL,16,FALSE)-VLOOKUP(A364,'NonXtal_SegEnds_Prot#'!A:AL,10,FALSE)</f>
        <v>44</v>
      </c>
      <c r="AE364" s="1" t="e">
        <f>VLOOKUP(A364,'NonXtal_SegEnds_Prot#'!A:AL,28,FALSE)-VLOOKUP(A364,'NonXtal_SegEnds_Prot#'!A:AL,25,FALSE)</f>
        <v>#VALUE!</v>
      </c>
      <c r="AF364" s="1">
        <f>VLOOKUP(A364,'NonXtal_SegEnds_Prot#'!A:AL,31,FALSE)-VLOOKUP(A364,'NonXtal_SegEnds_Prot#'!A:AL,28,FALSE)</f>
        <v>39</v>
      </c>
      <c r="AG364" s="1">
        <f>VLOOKUP(A364,'NonXtal_SegEnds_Prot#'!A:AL,34,FALSE)-VLOOKUP(A364,'NonXtal_SegEnds_Prot#'!A:AL,31,FALSE)</f>
        <v>35</v>
      </c>
    </row>
    <row r="365" spans="1:33" x14ac:dyDescent="0.2">
      <c r="A365" s="1" t="s">
        <v>315</v>
      </c>
      <c r="B365" s="1" t="str">
        <f>VLOOKUP(A365,Xtal_Templ!A:B,2,FALSE)</f>
        <v>grm1_human</v>
      </c>
      <c r="C365" s="5">
        <f>VLOOKUP($B365&amp;"__wt",'Xtal_SegEnds_BW#'!$A:$Z,3,FALSE)</f>
        <v>34</v>
      </c>
      <c r="D365" s="1">
        <f>VLOOKUP($B365&amp;"__wt",'Xtal_SegEnds_BW#'!$A:$Z,4,FALSE)</f>
        <v>60</v>
      </c>
      <c r="E365" s="1">
        <f>VLOOKUP($B365&amp;"__wt",'Xtal_SegEnds_BW#'!$A:$Z,5,FALSE)</f>
        <v>47</v>
      </c>
      <c r="F365" s="1">
        <f>VLOOKUP($B365&amp;"__wt",'Xtal_SegEnds_BW#'!$A:$Z,6,FALSE)</f>
        <v>53</v>
      </c>
      <c r="G365" s="1">
        <v>39</v>
      </c>
      <c r="H365" s="1">
        <f>VLOOKUP($B365&amp;"__wt",'Xtal_SegEnds_BW#'!$A:$Z,8,FALSE)</f>
        <v>61</v>
      </c>
      <c r="I365" s="1" t="str">
        <f>VLOOKUP($B365&amp;"__wt",'Xtal_SegEnds_BW#'!$A:$Z,9,FALSE)</f>
        <v>-</v>
      </c>
      <c r="J365" s="1" t="str">
        <f>VLOOKUP($B365&amp;"__wt",'Xtal_SegEnds_BW#'!$A:$Z,10,FALSE)</f>
        <v>-</v>
      </c>
      <c r="K365" s="1">
        <f>VLOOKUP($B365&amp;"__wt",'Xtal_SegEnds_BW#'!$A:$Z,11,FALSE)</f>
        <v>22</v>
      </c>
      <c r="L365" s="1">
        <f>VLOOKUP($B365&amp;"__wt",'Xtal_SegEnds_BW#'!$A:$Z,12,FALSE)</f>
        <v>54</v>
      </c>
      <c r="M365" s="1" t="str">
        <f>VLOOKUP($B365&amp;"__wt",'Xtal_SegEnds_BW#'!$A:$Z,13,FALSE)</f>
        <v>-</v>
      </c>
      <c r="N365" s="1" t="str">
        <f>VLOOKUP($B365&amp;"__wt",'Xtal_SegEnds_BW#'!$A:$Z,14,FALSE)</f>
        <v>-</v>
      </c>
      <c r="O365" s="1">
        <f>VLOOKUP($B365&amp;"__wt",'Xtal_SegEnds_BW#'!$A:$Z,15,FALSE)</f>
        <v>39</v>
      </c>
      <c r="P365" s="1">
        <f>VLOOKUP($B365&amp;"__wt",'Xtal_SegEnds_BW#'!$A:$Z,16,FALSE)</f>
        <v>64</v>
      </c>
      <c r="Q365" s="1">
        <f>VLOOKUP($B365&amp;"__wt",'Xtal_SegEnds_BW#'!$A:$Z,17,FALSE)</f>
        <v>50</v>
      </c>
      <c r="R365" s="1">
        <f>VLOOKUP($B365&amp;"__wt",'Xtal_SegEnds_BW#'!$A:$Z,18,FALSE)</f>
        <v>52</v>
      </c>
      <c r="S365" s="1">
        <f>VLOOKUP($B365&amp;"__wt",'Xtal_SegEnds_BW#'!$A:$Z,19,FALSE)</f>
        <v>37</v>
      </c>
      <c r="T365" s="23">
        <f>VLOOKUP($B365&amp;"__wt",'Xtal_SegEnds_BW#'!$A:$Z,20,FALSE)</f>
        <v>61</v>
      </c>
      <c r="U365" s="1">
        <f>VLOOKUP($B365&amp;"__wt",'Xtal_SegEnds_BW#'!$A:$Z,21,FALSE)</f>
        <v>33</v>
      </c>
      <c r="V365" s="1">
        <f>VLOOKUP($B365&amp;"__wt",'Xtal_SegEnds_BW#'!$A:$Z,22,FALSE)</f>
        <v>57</v>
      </c>
      <c r="W365" s="1">
        <f>VLOOKUP($B365&amp;"__wt",'Xtal_SegEnds_BW#'!$A:$Z,23,FALSE)</f>
        <v>34</v>
      </c>
      <c r="X365" s="1">
        <f>VLOOKUP($B365&amp;"__wt",'Xtal_SegEnds_BW#'!$A:$Z,24,FALSE)</f>
        <v>63</v>
      </c>
      <c r="Y365" s="1">
        <f>VLOOKUP($B365&amp;"__wt",'Xtal_SegEnds_BW#'!$A:$Z,25,FALSE)</f>
        <v>47</v>
      </c>
      <c r="Z365" s="1">
        <f>VLOOKUP($B365&amp;"__wt",'Xtal_SegEnds_BW#'!$A:$Z,26,FALSE)</f>
        <v>59</v>
      </c>
      <c r="AA365" s="63" t="str">
        <f>VLOOKUP(A365,Classification!A:B,2,FALSE)</f>
        <v>C</v>
      </c>
      <c r="AB365" s="1">
        <f>VLOOKUP(A365,'NonXtal_SegEnds_Prot#'!A:AL,10,FALSE)-VLOOKUP(A365,'NonXtal_SegEnds_Prot#'!A:AL,7,FALSE)</f>
        <v>19</v>
      </c>
      <c r="AC365" s="1" t="e">
        <f>VLOOKUP(A365,'NonXtal_SegEnds_Prot#'!A:AL,13,FALSE)-VLOOKUP(A365,'NonXtal_SegEnds_Prot#'!A:AL,10,FALSE)</f>
        <v>#VALUE!</v>
      </c>
      <c r="AD365" s="1">
        <f>VLOOKUP(A365,'NonXtal_SegEnds_Prot#'!A:AL,16,FALSE)-VLOOKUP(A365,'NonXtal_SegEnds_Prot#'!A:AL,10,FALSE)</f>
        <v>44</v>
      </c>
      <c r="AE365" s="1" t="e">
        <f>VLOOKUP(A365,'NonXtal_SegEnds_Prot#'!A:AL,28,FALSE)-VLOOKUP(A365,'NonXtal_SegEnds_Prot#'!A:AL,25,FALSE)</f>
        <v>#VALUE!</v>
      </c>
      <c r="AF365" s="1">
        <f>VLOOKUP(A365,'NonXtal_SegEnds_Prot#'!A:AL,31,FALSE)-VLOOKUP(A365,'NonXtal_SegEnds_Prot#'!A:AL,28,FALSE)</f>
        <v>39</v>
      </c>
      <c r="AG365" s="1">
        <f>VLOOKUP(A365,'NonXtal_SegEnds_Prot#'!A:AL,34,FALSE)-VLOOKUP(A365,'NonXtal_SegEnds_Prot#'!A:AL,31,FALSE)</f>
        <v>31</v>
      </c>
    </row>
    <row r="366" spans="1:33" x14ac:dyDescent="0.2">
      <c r="A366" s="1" t="s">
        <v>641</v>
      </c>
      <c r="B366" s="1" t="str">
        <f>VLOOKUP(A366,Xtal_Templ!A:B,2,FALSE)</f>
        <v>smo_human</v>
      </c>
      <c r="C366" s="5">
        <f>VLOOKUP($B366&amp;"__wt",'Xtal_SegEnds_BW#'!$A:$Z,3,FALSE)</f>
        <v>29</v>
      </c>
      <c r="D366" s="1">
        <f>VLOOKUP($B366&amp;"__wt",'Xtal_SegEnds_BW#'!$A:$Z,4,FALSE)</f>
        <v>60</v>
      </c>
      <c r="E366" s="1">
        <f>VLOOKUP($B366&amp;"__wt",'Xtal_SegEnds_BW#'!$A:$Z,5,FALSE)</f>
        <v>47</v>
      </c>
      <c r="F366" s="1">
        <f>VLOOKUP($B366&amp;"__wt",'Xtal_SegEnds_BW#'!$A:$Z,6,FALSE)</f>
        <v>51</v>
      </c>
      <c r="G366" s="1">
        <v>39</v>
      </c>
      <c r="H366" s="1">
        <f>VLOOKUP($B366&amp;"__wt",'Xtal_SegEnds_BW#'!$A:$Z,8,FALSE)</f>
        <v>63</v>
      </c>
      <c r="I366" s="1" t="str">
        <f>VLOOKUP($B366&amp;"__wt",'Xtal_SegEnds_BW#'!$A:$Z,9,FALSE)</f>
        <v>-</v>
      </c>
      <c r="J366" s="1" t="str">
        <f>VLOOKUP($B366&amp;"__wt",'Xtal_SegEnds_BW#'!$A:$Z,10,FALSE)</f>
        <v>-</v>
      </c>
      <c r="K366" s="1">
        <f>VLOOKUP($B366&amp;"__wt",'Xtal_SegEnds_BW#'!$A:$Z,11,FALSE)</f>
        <v>23</v>
      </c>
      <c r="L366" s="1">
        <f>VLOOKUP($B366&amp;"__wt",'Xtal_SegEnds_BW#'!$A:$Z,12,FALSE)</f>
        <v>59</v>
      </c>
      <c r="M366" s="1" t="str">
        <f>VLOOKUP($B366&amp;"__wt",'Xtal_SegEnds_BW#'!$A:$Z,13,FALSE)</f>
        <v>-</v>
      </c>
      <c r="N366" s="1" t="str">
        <f>VLOOKUP($B366&amp;"__wt",'Xtal_SegEnds_BW#'!$A:$Z,14,FALSE)</f>
        <v>-</v>
      </c>
      <c r="O366" s="1">
        <f>VLOOKUP($B366&amp;"__wt",'Xtal_SegEnds_BW#'!$A:$Z,15,FALSE)</f>
        <v>38</v>
      </c>
      <c r="P366" s="1">
        <f>VLOOKUP($B366&amp;"__wt",'Xtal_SegEnds_BW#'!$A:$Z,16,FALSE)</f>
        <v>63</v>
      </c>
      <c r="Q366" s="1">
        <f>VLOOKUP($B366&amp;"__wt",'Xtal_SegEnds_BW#'!$A:$Z,17,FALSE)</f>
        <v>50</v>
      </c>
      <c r="R366" s="1">
        <f>VLOOKUP($B366&amp;"__wt",'Xtal_SegEnds_BW#'!$A:$Z,18,FALSE)</f>
        <v>52</v>
      </c>
      <c r="S366" s="1">
        <f>VLOOKUP($B366&amp;"__wt",'Xtal_SegEnds_BW#'!$A:$Z,19,FALSE)</f>
        <v>36</v>
      </c>
      <c r="T366" s="23">
        <f>VLOOKUP($B366&amp;"__wt",'Xtal_SegEnds_BW#'!$A:$Z,20,FALSE)</f>
        <v>72</v>
      </c>
      <c r="U366" s="1">
        <f>VLOOKUP($B366&amp;"__wt",'Xtal_SegEnds_BW#'!$A:$Z,21,FALSE)</f>
        <v>25</v>
      </c>
      <c r="V366" s="1">
        <f>VLOOKUP($B366&amp;"__wt",'Xtal_SegEnds_BW#'!$A:$Z,22,FALSE)</f>
        <v>75</v>
      </c>
      <c r="W366" s="1">
        <f>VLOOKUP($B366&amp;"__wt",'Xtal_SegEnds_BW#'!$A:$Z,23,FALSE)</f>
        <v>35</v>
      </c>
      <c r="X366" s="1">
        <f>VLOOKUP($B366&amp;"__wt",'Xtal_SegEnds_BW#'!$A:$Z,24,FALSE)</f>
        <v>57</v>
      </c>
      <c r="Y366" s="1">
        <f>VLOOKUP($B366&amp;"__wt",'Xtal_SegEnds_BW#'!$A:$Z,25,FALSE)</f>
        <v>47</v>
      </c>
      <c r="Z366" s="1">
        <f>VLOOKUP($B366&amp;"__wt",'Xtal_SegEnds_BW#'!$A:$Z,26,FALSE)</f>
        <v>62</v>
      </c>
      <c r="AA366" s="63" t="str">
        <f>VLOOKUP(A366,Classification!A:B,2,FALSE)</f>
        <v>F</v>
      </c>
      <c r="AB366" s="1">
        <f>VLOOKUP(A366,'NonXtal_SegEnds_Prot#'!A:AL,10,FALSE)-VLOOKUP(A366,'NonXtal_SegEnds_Prot#'!A:AL,7,FALSE)</f>
        <v>12</v>
      </c>
      <c r="AC366" s="1" t="e">
        <f>VLOOKUP(A366,'NonXtal_SegEnds_Prot#'!A:AL,13,FALSE)-VLOOKUP(A366,'NonXtal_SegEnds_Prot#'!A:AL,10,FALSE)</f>
        <v>#VALUE!</v>
      </c>
      <c r="AD366" s="1">
        <f>VLOOKUP(A366,'NonXtal_SegEnds_Prot#'!A:AL,16,FALSE)-VLOOKUP(A366,'NonXtal_SegEnds_Prot#'!A:AL,10,FALSE)</f>
        <v>67</v>
      </c>
      <c r="AE366" s="1">
        <f>VLOOKUP(A366,'NonXtal_SegEnds_Prot#'!A:AL,28,FALSE)-VLOOKUP(A366,'NonXtal_SegEnds_Prot#'!A:AL,25,FALSE)</f>
        <v>21</v>
      </c>
      <c r="AF366" s="1">
        <f>VLOOKUP(A366,'NonXtal_SegEnds_Prot#'!A:AL,31,FALSE)-VLOOKUP(A366,'NonXtal_SegEnds_Prot#'!A:AL,28,FALSE)</f>
        <v>55</v>
      </c>
      <c r="AG366" s="1">
        <f>VLOOKUP(A366,'NonXtal_SegEnds_Prot#'!A:AL,34,FALSE)-VLOOKUP(A366,'NonXtal_SegEnds_Prot#'!A:AL,31,FALSE)</f>
        <v>62</v>
      </c>
    </row>
    <row r="367" spans="1:33" x14ac:dyDescent="0.2">
      <c r="A367" s="1" t="s">
        <v>642</v>
      </c>
      <c r="B367" s="1" t="str">
        <f>VLOOKUP(A367,Xtal_Templ!A:B,2,FALSE)</f>
        <v>smo_human</v>
      </c>
      <c r="C367" s="5">
        <f>VLOOKUP($B367&amp;"__wt",'Xtal_SegEnds_BW#'!$A:$Z,3,FALSE)</f>
        <v>29</v>
      </c>
      <c r="D367" s="1">
        <f>VLOOKUP($B367&amp;"__wt",'Xtal_SegEnds_BW#'!$A:$Z,4,FALSE)</f>
        <v>60</v>
      </c>
      <c r="E367" s="1">
        <f>VLOOKUP($B367&amp;"__wt",'Xtal_SegEnds_BW#'!$A:$Z,5,FALSE)</f>
        <v>47</v>
      </c>
      <c r="F367" s="1">
        <f>VLOOKUP($B367&amp;"__wt",'Xtal_SegEnds_BW#'!$A:$Z,6,FALSE)</f>
        <v>51</v>
      </c>
      <c r="G367" s="1">
        <v>39</v>
      </c>
      <c r="H367" s="1">
        <f>VLOOKUP($B367&amp;"__wt",'Xtal_SegEnds_BW#'!$A:$Z,8,FALSE)</f>
        <v>63</v>
      </c>
      <c r="I367" s="1" t="str">
        <f>VLOOKUP($B367&amp;"__wt",'Xtal_SegEnds_BW#'!$A:$Z,9,FALSE)</f>
        <v>-</v>
      </c>
      <c r="J367" s="1" t="str">
        <f>VLOOKUP($B367&amp;"__wt",'Xtal_SegEnds_BW#'!$A:$Z,10,FALSE)</f>
        <v>-</v>
      </c>
      <c r="K367" s="1">
        <f>VLOOKUP($B367&amp;"__wt",'Xtal_SegEnds_BW#'!$A:$Z,11,FALSE)</f>
        <v>23</v>
      </c>
      <c r="L367" s="1">
        <f>VLOOKUP($B367&amp;"__wt",'Xtal_SegEnds_BW#'!$A:$Z,12,FALSE)</f>
        <v>59</v>
      </c>
      <c r="M367" s="1" t="str">
        <f>VLOOKUP($B367&amp;"__wt",'Xtal_SegEnds_BW#'!$A:$Z,13,FALSE)</f>
        <v>-</v>
      </c>
      <c r="N367" s="1" t="str">
        <f>VLOOKUP($B367&amp;"__wt",'Xtal_SegEnds_BW#'!$A:$Z,14,FALSE)</f>
        <v>-</v>
      </c>
      <c r="O367" s="1">
        <f>VLOOKUP($B367&amp;"__wt",'Xtal_SegEnds_BW#'!$A:$Z,15,FALSE)</f>
        <v>38</v>
      </c>
      <c r="P367" s="1">
        <f>VLOOKUP($B367&amp;"__wt",'Xtal_SegEnds_BW#'!$A:$Z,16,FALSE)</f>
        <v>63</v>
      </c>
      <c r="Q367" s="1">
        <f>VLOOKUP($B367&amp;"__wt",'Xtal_SegEnds_BW#'!$A:$Z,17,FALSE)</f>
        <v>50</v>
      </c>
      <c r="R367" s="1">
        <f>VLOOKUP($B367&amp;"__wt",'Xtal_SegEnds_BW#'!$A:$Z,18,FALSE)</f>
        <v>52</v>
      </c>
      <c r="S367" s="1">
        <f>VLOOKUP($B367&amp;"__wt",'Xtal_SegEnds_BW#'!$A:$Z,19,FALSE)</f>
        <v>36</v>
      </c>
      <c r="T367" s="23">
        <f>VLOOKUP($B367&amp;"__wt",'Xtal_SegEnds_BW#'!$A:$Z,20,FALSE)</f>
        <v>72</v>
      </c>
      <c r="U367" s="1">
        <f>VLOOKUP($B367&amp;"__wt",'Xtal_SegEnds_BW#'!$A:$Z,21,FALSE)</f>
        <v>25</v>
      </c>
      <c r="V367" s="1">
        <f>VLOOKUP($B367&amp;"__wt",'Xtal_SegEnds_BW#'!$A:$Z,22,FALSE)</f>
        <v>75</v>
      </c>
      <c r="W367" s="1">
        <f>VLOOKUP($B367&amp;"__wt",'Xtal_SegEnds_BW#'!$A:$Z,23,FALSE)</f>
        <v>35</v>
      </c>
      <c r="X367" s="1">
        <f>VLOOKUP($B367&amp;"__wt",'Xtal_SegEnds_BW#'!$A:$Z,24,FALSE)</f>
        <v>57</v>
      </c>
      <c r="Y367" s="1">
        <f>VLOOKUP($B367&amp;"__wt",'Xtal_SegEnds_BW#'!$A:$Z,25,FALSE)</f>
        <v>47</v>
      </c>
      <c r="Z367" s="1">
        <f>VLOOKUP($B367&amp;"__wt",'Xtal_SegEnds_BW#'!$A:$Z,26,FALSE)</f>
        <v>62</v>
      </c>
      <c r="AA367" s="63" t="str">
        <f>VLOOKUP(A367,Classification!A:B,2,FALSE)</f>
        <v>F</v>
      </c>
      <c r="AB367" s="1">
        <f>VLOOKUP(A367,'NonXtal_SegEnds_Prot#'!A:AL,10,FALSE)-VLOOKUP(A367,'NonXtal_SegEnds_Prot#'!A:AL,7,FALSE)</f>
        <v>12</v>
      </c>
      <c r="AC367" s="1" t="e">
        <f>VLOOKUP(A367,'NonXtal_SegEnds_Prot#'!A:AL,13,FALSE)-VLOOKUP(A367,'NonXtal_SegEnds_Prot#'!A:AL,10,FALSE)</f>
        <v>#VALUE!</v>
      </c>
      <c r="AD367" s="1">
        <f>VLOOKUP(A367,'NonXtal_SegEnds_Prot#'!A:AL,16,FALSE)-VLOOKUP(A367,'NonXtal_SegEnds_Prot#'!A:AL,10,FALSE)</f>
        <v>66</v>
      </c>
      <c r="AE367" s="1">
        <f>VLOOKUP(A367,'NonXtal_SegEnds_Prot#'!A:AL,28,FALSE)-VLOOKUP(A367,'NonXtal_SegEnds_Prot#'!A:AL,25,FALSE)</f>
        <v>21</v>
      </c>
      <c r="AF367" s="1">
        <f>VLOOKUP(A367,'NonXtal_SegEnds_Prot#'!A:AL,31,FALSE)-VLOOKUP(A367,'NonXtal_SegEnds_Prot#'!A:AL,28,FALSE)</f>
        <v>55</v>
      </c>
      <c r="AG367" s="1">
        <f>VLOOKUP(A367,'NonXtal_SegEnds_Prot#'!A:AL,34,FALSE)-VLOOKUP(A367,'NonXtal_SegEnds_Prot#'!A:AL,31,FALSE)</f>
        <v>56</v>
      </c>
    </row>
    <row r="368" spans="1:33" x14ac:dyDescent="0.2">
      <c r="A368" s="1" t="s">
        <v>643</v>
      </c>
      <c r="B368" s="1" t="str">
        <f>VLOOKUP(A368,Xtal_Templ!A:B,2,FALSE)</f>
        <v>smo_human</v>
      </c>
      <c r="C368" s="5">
        <f>VLOOKUP($B368&amp;"__wt",'Xtal_SegEnds_BW#'!$A:$Z,3,FALSE)</f>
        <v>29</v>
      </c>
      <c r="D368" s="1">
        <f>VLOOKUP($B368&amp;"__wt",'Xtal_SegEnds_BW#'!$A:$Z,4,FALSE)</f>
        <v>60</v>
      </c>
      <c r="E368" s="1">
        <f>VLOOKUP($B368&amp;"__wt",'Xtal_SegEnds_BW#'!$A:$Z,5,FALSE)</f>
        <v>47</v>
      </c>
      <c r="F368" s="1">
        <f>VLOOKUP($B368&amp;"__wt",'Xtal_SegEnds_BW#'!$A:$Z,6,FALSE)</f>
        <v>51</v>
      </c>
      <c r="G368" s="1">
        <v>39</v>
      </c>
      <c r="H368" s="1">
        <f>VLOOKUP($B368&amp;"__wt",'Xtal_SegEnds_BW#'!$A:$Z,8,FALSE)</f>
        <v>63</v>
      </c>
      <c r="I368" s="1" t="str">
        <f>VLOOKUP($B368&amp;"__wt",'Xtal_SegEnds_BW#'!$A:$Z,9,FALSE)</f>
        <v>-</v>
      </c>
      <c r="J368" s="1" t="str">
        <f>VLOOKUP($B368&amp;"__wt",'Xtal_SegEnds_BW#'!$A:$Z,10,FALSE)</f>
        <v>-</v>
      </c>
      <c r="K368" s="1">
        <f>VLOOKUP($B368&amp;"__wt",'Xtal_SegEnds_BW#'!$A:$Z,11,FALSE)</f>
        <v>23</v>
      </c>
      <c r="L368" s="1">
        <f>VLOOKUP($B368&amp;"__wt",'Xtal_SegEnds_BW#'!$A:$Z,12,FALSE)</f>
        <v>59</v>
      </c>
      <c r="M368" s="1" t="str">
        <f>VLOOKUP($B368&amp;"__wt",'Xtal_SegEnds_BW#'!$A:$Z,13,FALSE)</f>
        <v>-</v>
      </c>
      <c r="N368" s="1" t="str">
        <f>VLOOKUP($B368&amp;"__wt",'Xtal_SegEnds_BW#'!$A:$Z,14,FALSE)</f>
        <v>-</v>
      </c>
      <c r="O368" s="1">
        <f>VLOOKUP($B368&amp;"__wt",'Xtal_SegEnds_BW#'!$A:$Z,15,FALSE)</f>
        <v>38</v>
      </c>
      <c r="P368" s="1">
        <f>VLOOKUP($B368&amp;"__wt",'Xtal_SegEnds_BW#'!$A:$Z,16,FALSE)</f>
        <v>63</v>
      </c>
      <c r="Q368" s="1">
        <f>VLOOKUP($B368&amp;"__wt",'Xtal_SegEnds_BW#'!$A:$Z,17,FALSE)</f>
        <v>50</v>
      </c>
      <c r="R368" s="1">
        <f>VLOOKUP($B368&amp;"__wt",'Xtal_SegEnds_BW#'!$A:$Z,18,FALSE)</f>
        <v>52</v>
      </c>
      <c r="S368" s="1">
        <f>VLOOKUP($B368&amp;"__wt",'Xtal_SegEnds_BW#'!$A:$Z,19,FALSE)</f>
        <v>36</v>
      </c>
      <c r="T368" s="23">
        <f>VLOOKUP($B368&amp;"__wt",'Xtal_SegEnds_BW#'!$A:$Z,20,FALSE)</f>
        <v>72</v>
      </c>
      <c r="U368" s="1">
        <f>VLOOKUP($B368&amp;"__wt",'Xtal_SegEnds_BW#'!$A:$Z,21,FALSE)</f>
        <v>25</v>
      </c>
      <c r="V368" s="1">
        <f>VLOOKUP($B368&amp;"__wt",'Xtal_SegEnds_BW#'!$A:$Z,22,FALSE)</f>
        <v>75</v>
      </c>
      <c r="W368" s="1">
        <f>VLOOKUP($B368&amp;"__wt",'Xtal_SegEnds_BW#'!$A:$Z,23,FALSE)</f>
        <v>35</v>
      </c>
      <c r="X368" s="1">
        <f>VLOOKUP($B368&amp;"__wt",'Xtal_SegEnds_BW#'!$A:$Z,24,FALSE)</f>
        <v>57</v>
      </c>
      <c r="Y368" s="1">
        <f>VLOOKUP($B368&amp;"__wt",'Xtal_SegEnds_BW#'!$A:$Z,25,FALSE)</f>
        <v>47</v>
      </c>
      <c r="Z368" s="1">
        <f>VLOOKUP($B368&amp;"__wt",'Xtal_SegEnds_BW#'!$A:$Z,26,FALSE)</f>
        <v>62</v>
      </c>
      <c r="AA368" s="63" t="str">
        <f>VLOOKUP(A368,Classification!A:B,2,FALSE)</f>
        <v>F</v>
      </c>
      <c r="AB368" s="1">
        <f>VLOOKUP(A368,'NonXtal_SegEnds_Prot#'!A:AL,10,FALSE)-VLOOKUP(A368,'NonXtal_SegEnds_Prot#'!A:AL,7,FALSE)</f>
        <v>12</v>
      </c>
      <c r="AC368" s="1" t="e">
        <f>VLOOKUP(A368,'NonXtal_SegEnds_Prot#'!A:AL,13,FALSE)-VLOOKUP(A368,'NonXtal_SegEnds_Prot#'!A:AL,10,FALSE)</f>
        <v>#VALUE!</v>
      </c>
      <c r="AD368" s="1">
        <f>VLOOKUP(A368,'NonXtal_SegEnds_Prot#'!A:AL,16,FALSE)-VLOOKUP(A368,'NonXtal_SegEnds_Prot#'!A:AL,10,FALSE)</f>
        <v>67</v>
      </c>
      <c r="AE368" s="1">
        <f>VLOOKUP(A368,'NonXtal_SegEnds_Prot#'!A:AL,28,FALSE)-VLOOKUP(A368,'NonXtal_SegEnds_Prot#'!A:AL,25,FALSE)</f>
        <v>21</v>
      </c>
      <c r="AF368" s="1">
        <f>VLOOKUP(A368,'NonXtal_SegEnds_Prot#'!A:AL,31,FALSE)-VLOOKUP(A368,'NonXtal_SegEnds_Prot#'!A:AL,28,FALSE)</f>
        <v>55</v>
      </c>
      <c r="AG368" s="1">
        <f>VLOOKUP(A368,'NonXtal_SegEnds_Prot#'!A:AL,34,FALSE)-VLOOKUP(A368,'NonXtal_SegEnds_Prot#'!A:AL,31,FALSE)</f>
        <v>55</v>
      </c>
    </row>
    <row r="369" spans="1:33" x14ac:dyDescent="0.2">
      <c r="A369" s="1" t="s">
        <v>644</v>
      </c>
      <c r="B369" s="1" t="str">
        <f>VLOOKUP(A369,Xtal_Templ!A:B,2,FALSE)</f>
        <v>smo_human</v>
      </c>
      <c r="C369" s="5">
        <f>VLOOKUP($B369&amp;"__wt",'Xtal_SegEnds_BW#'!$A:$Z,3,FALSE)</f>
        <v>29</v>
      </c>
      <c r="D369" s="1">
        <f>VLOOKUP($B369&amp;"__wt",'Xtal_SegEnds_BW#'!$A:$Z,4,FALSE)</f>
        <v>60</v>
      </c>
      <c r="E369" s="1">
        <f>VLOOKUP($B369&amp;"__wt",'Xtal_SegEnds_BW#'!$A:$Z,5,FALSE)</f>
        <v>47</v>
      </c>
      <c r="F369" s="1">
        <f>VLOOKUP($B369&amp;"__wt",'Xtal_SegEnds_BW#'!$A:$Z,6,FALSE)</f>
        <v>51</v>
      </c>
      <c r="G369" s="1">
        <v>39</v>
      </c>
      <c r="H369" s="1">
        <f>VLOOKUP($B369&amp;"__wt",'Xtal_SegEnds_BW#'!$A:$Z,8,FALSE)</f>
        <v>63</v>
      </c>
      <c r="I369" s="1" t="str">
        <f>VLOOKUP($B369&amp;"__wt",'Xtal_SegEnds_BW#'!$A:$Z,9,FALSE)</f>
        <v>-</v>
      </c>
      <c r="J369" s="1" t="str">
        <f>VLOOKUP($B369&amp;"__wt",'Xtal_SegEnds_BW#'!$A:$Z,10,FALSE)</f>
        <v>-</v>
      </c>
      <c r="K369" s="1">
        <f>VLOOKUP($B369&amp;"__wt",'Xtal_SegEnds_BW#'!$A:$Z,11,FALSE)</f>
        <v>23</v>
      </c>
      <c r="L369" s="1">
        <f>VLOOKUP($B369&amp;"__wt",'Xtal_SegEnds_BW#'!$A:$Z,12,FALSE)</f>
        <v>59</v>
      </c>
      <c r="M369" s="1" t="str">
        <f>VLOOKUP($B369&amp;"__wt",'Xtal_SegEnds_BW#'!$A:$Z,13,FALSE)</f>
        <v>-</v>
      </c>
      <c r="N369" s="1" t="str">
        <f>VLOOKUP($B369&amp;"__wt",'Xtal_SegEnds_BW#'!$A:$Z,14,FALSE)</f>
        <v>-</v>
      </c>
      <c r="O369" s="1">
        <f>VLOOKUP($B369&amp;"__wt",'Xtal_SegEnds_BW#'!$A:$Z,15,FALSE)</f>
        <v>38</v>
      </c>
      <c r="P369" s="1">
        <f>VLOOKUP($B369&amp;"__wt",'Xtal_SegEnds_BW#'!$A:$Z,16,FALSE)</f>
        <v>63</v>
      </c>
      <c r="Q369" s="1">
        <f>VLOOKUP($B369&amp;"__wt",'Xtal_SegEnds_BW#'!$A:$Z,17,FALSE)</f>
        <v>50</v>
      </c>
      <c r="R369" s="1">
        <f>VLOOKUP($B369&amp;"__wt",'Xtal_SegEnds_BW#'!$A:$Z,18,FALSE)</f>
        <v>52</v>
      </c>
      <c r="S369" s="1">
        <f>VLOOKUP($B369&amp;"__wt",'Xtal_SegEnds_BW#'!$A:$Z,19,FALSE)</f>
        <v>36</v>
      </c>
      <c r="T369" s="23">
        <f>VLOOKUP($B369&amp;"__wt",'Xtal_SegEnds_BW#'!$A:$Z,20,FALSE)</f>
        <v>72</v>
      </c>
      <c r="U369" s="1">
        <f>VLOOKUP($B369&amp;"__wt",'Xtal_SegEnds_BW#'!$A:$Z,21,FALSE)</f>
        <v>25</v>
      </c>
      <c r="V369" s="1">
        <f>VLOOKUP($B369&amp;"__wt",'Xtal_SegEnds_BW#'!$A:$Z,22,FALSE)</f>
        <v>75</v>
      </c>
      <c r="W369" s="1">
        <f>VLOOKUP($B369&amp;"__wt",'Xtal_SegEnds_BW#'!$A:$Z,23,FALSE)</f>
        <v>35</v>
      </c>
      <c r="X369" s="1">
        <f>VLOOKUP($B369&amp;"__wt",'Xtal_SegEnds_BW#'!$A:$Z,24,FALSE)</f>
        <v>57</v>
      </c>
      <c r="Y369" s="1">
        <f>VLOOKUP($B369&amp;"__wt",'Xtal_SegEnds_BW#'!$A:$Z,25,FALSE)</f>
        <v>47</v>
      </c>
      <c r="Z369" s="1">
        <f>VLOOKUP($B369&amp;"__wt",'Xtal_SegEnds_BW#'!$A:$Z,26,FALSE)</f>
        <v>62</v>
      </c>
      <c r="AA369" s="63" t="str">
        <f>VLOOKUP(A369,Classification!A:B,2,FALSE)</f>
        <v>F</v>
      </c>
      <c r="AB369" s="1">
        <f>VLOOKUP(A369,'NonXtal_SegEnds_Prot#'!A:AL,10,FALSE)-VLOOKUP(A369,'NonXtal_SegEnds_Prot#'!A:AL,7,FALSE)</f>
        <v>12</v>
      </c>
      <c r="AC369" s="1" t="e">
        <f>VLOOKUP(A369,'NonXtal_SegEnds_Prot#'!A:AL,13,FALSE)-VLOOKUP(A369,'NonXtal_SegEnds_Prot#'!A:AL,10,FALSE)</f>
        <v>#VALUE!</v>
      </c>
      <c r="AD369" s="1">
        <f>VLOOKUP(A369,'NonXtal_SegEnds_Prot#'!A:AL,16,FALSE)-VLOOKUP(A369,'NonXtal_SegEnds_Prot#'!A:AL,10,FALSE)</f>
        <v>68</v>
      </c>
      <c r="AE369" s="1">
        <f>VLOOKUP(A369,'NonXtal_SegEnds_Prot#'!A:AL,28,FALSE)-VLOOKUP(A369,'NonXtal_SegEnds_Prot#'!A:AL,25,FALSE)</f>
        <v>21</v>
      </c>
      <c r="AF369" s="1">
        <f>VLOOKUP(A369,'NonXtal_SegEnds_Prot#'!A:AL,31,FALSE)-VLOOKUP(A369,'NonXtal_SegEnds_Prot#'!A:AL,28,FALSE)</f>
        <v>55</v>
      </c>
      <c r="AG369" s="1">
        <f>VLOOKUP(A369,'NonXtal_SegEnds_Prot#'!A:AL,34,FALSE)-VLOOKUP(A369,'NonXtal_SegEnds_Prot#'!A:AL,31,FALSE)</f>
        <v>55</v>
      </c>
    </row>
    <row r="370" spans="1:33" x14ac:dyDescent="0.2">
      <c r="A370" s="1" t="s">
        <v>645</v>
      </c>
      <c r="B370" s="1" t="str">
        <f>VLOOKUP(A370,Xtal_Templ!A:B,2,FALSE)</f>
        <v>smo_human</v>
      </c>
      <c r="C370" s="5">
        <f>VLOOKUP($B370&amp;"__wt",'Xtal_SegEnds_BW#'!$A:$Z,3,FALSE)</f>
        <v>29</v>
      </c>
      <c r="D370" s="1">
        <f>VLOOKUP($B370&amp;"__wt",'Xtal_SegEnds_BW#'!$A:$Z,4,FALSE)</f>
        <v>60</v>
      </c>
      <c r="E370" s="1">
        <f>VLOOKUP($B370&amp;"__wt",'Xtal_SegEnds_BW#'!$A:$Z,5,FALSE)</f>
        <v>47</v>
      </c>
      <c r="F370" s="1">
        <f>VLOOKUP($B370&amp;"__wt",'Xtal_SegEnds_BW#'!$A:$Z,6,FALSE)</f>
        <v>51</v>
      </c>
      <c r="G370" s="1">
        <v>39</v>
      </c>
      <c r="H370" s="1">
        <f>VLOOKUP($B370&amp;"__wt",'Xtal_SegEnds_BW#'!$A:$Z,8,FALSE)</f>
        <v>63</v>
      </c>
      <c r="I370" s="1" t="str">
        <f>VLOOKUP($B370&amp;"__wt",'Xtal_SegEnds_BW#'!$A:$Z,9,FALSE)</f>
        <v>-</v>
      </c>
      <c r="J370" s="1" t="str">
        <f>VLOOKUP($B370&amp;"__wt",'Xtal_SegEnds_BW#'!$A:$Z,10,FALSE)</f>
        <v>-</v>
      </c>
      <c r="K370" s="1">
        <f>VLOOKUP($B370&amp;"__wt",'Xtal_SegEnds_BW#'!$A:$Z,11,FALSE)</f>
        <v>23</v>
      </c>
      <c r="L370" s="1">
        <f>VLOOKUP($B370&amp;"__wt",'Xtal_SegEnds_BW#'!$A:$Z,12,FALSE)</f>
        <v>59</v>
      </c>
      <c r="M370" s="1" t="str">
        <f>VLOOKUP($B370&amp;"__wt",'Xtal_SegEnds_BW#'!$A:$Z,13,FALSE)</f>
        <v>-</v>
      </c>
      <c r="N370" s="1" t="str">
        <f>VLOOKUP($B370&amp;"__wt",'Xtal_SegEnds_BW#'!$A:$Z,14,FALSE)</f>
        <v>-</v>
      </c>
      <c r="O370" s="1">
        <f>VLOOKUP($B370&amp;"__wt",'Xtal_SegEnds_BW#'!$A:$Z,15,FALSE)</f>
        <v>38</v>
      </c>
      <c r="P370" s="1">
        <f>VLOOKUP($B370&amp;"__wt",'Xtal_SegEnds_BW#'!$A:$Z,16,FALSE)</f>
        <v>63</v>
      </c>
      <c r="Q370" s="1">
        <f>VLOOKUP($B370&amp;"__wt",'Xtal_SegEnds_BW#'!$A:$Z,17,FALSE)</f>
        <v>50</v>
      </c>
      <c r="R370" s="1">
        <f>VLOOKUP($B370&amp;"__wt",'Xtal_SegEnds_BW#'!$A:$Z,18,FALSE)</f>
        <v>52</v>
      </c>
      <c r="S370" s="1">
        <f>VLOOKUP($B370&amp;"__wt",'Xtal_SegEnds_BW#'!$A:$Z,19,FALSE)</f>
        <v>36</v>
      </c>
      <c r="T370" s="23">
        <f>VLOOKUP($B370&amp;"__wt",'Xtal_SegEnds_BW#'!$A:$Z,20,FALSE)</f>
        <v>72</v>
      </c>
      <c r="U370" s="1">
        <f>VLOOKUP($B370&amp;"__wt",'Xtal_SegEnds_BW#'!$A:$Z,21,FALSE)</f>
        <v>25</v>
      </c>
      <c r="V370" s="1">
        <v>66</v>
      </c>
      <c r="W370" s="1">
        <f>VLOOKUP($B370&amp;"__wt",'Xtal_SegEnds_BW#'!$A:$Z,23,FALSE)</f>
        <v>35</v>
      </c>
      <c r="X370" s="1">
        <f>VLOOKUP($B370&amp;"__wt",'Xtal_SegEnds_BW#'!$A:$Z,24,FALSE)</f>
        <v>57</v>
      </c>
      <c r="Y370" s="1">
        <f>VLOOKUP($B370&amp;"__wt",'Xtal_SegEnds_BW#'!$A:$Z,25,FALSE)</f>
        <v>47</v>
      </c>
      <c r="Z370" s="1">
        <f>VLOOKUP($B370&amp;"__wt",'Xtal_SegEnds_BW#'!$A:$Z,26,FALSE)</f>
        <v>62</v>
      </c>
      <c r="AA370" s="63" t="str">
        <f>VLOOKUP(A370,Classification!A:B,2,FALSE)</f>
        <v>F</v>
      </c>
      <c r="AB370" s="1">
        <f>VLOOKUP(A370,'NonXtal_SegEnds_Prot#'!A:AL,10,FALSE)-VLOOKUP(A370,'NonXtal_SegEnds_Prot#'!A:AL,7,FALSE)</f>
        <v>12</v>
      </c>
      <c r="AC370" s="1" t="e">
        <f>VLOOKUP(A370,'NonXtal_SegEnds_Prot#'!A:AL,13,FALSE)-VLOOKUP(A370,'NonXtal_SegEnds_Prot#'!A:AL,10,FALSE)</f>
        <v>#VALUE!</v>
      </c>
      <c r="AD370" s="1">
        <f>VLOOKUP(A370,'NonXtal_SegEnds_Prot#'!A:AL,16,FALSE)-VLOOKUP(A370,'NonXtal_SegEnds_Prot#'!A:AL,10,FALSE)</f>
        <v>67</v>
      </c>
      <c r="AE370" s="1">
        <f>VLOOKUP(A370,'NonXtal_SegEnds_Prot#'!A:AL,28,FALSE)-VLOOKUP(A370,'NonXtal_SegEnds_Prot#'!A:AL,25,FALSE)</f>
        <v>21</v>
      </c>
      <c r="AF370" s="1">
        <f>VLOOKUP(A370,'NonXtal_SegEnds_Prot#'!A:AL,31,FALSE)-VLOOKUP(A370,'NonXtal_SegEnds_Prot#'!A:AL,28,FALSE)</f>
        <v>55</v>
      </c>
      <c r="AG370" s="1">
        <f>VLOOKUP(A370,'NonXtal_SegEnds_Prot#'!A:AL,34,FALSE)-VLOOKUP(A370,'NonXtal_SegEnds_Prot#'!A:AL,31,FALSE)</f>
        <v>36</v>
      </c>
    </row>
    <row r="371" spans="1:33" x14ac:dyDescent="0.2">
      <c r="A371" s="1" t="s">
        <v>646</v>
      </c>
      <c r="B371" s="1" t="str">
        <f>VLOOKUP(A371,Xtal_Templ!A:B,2,FALSE)</f>
        <v>smo_human</v>
      </c>
      <c r="C371" s="5">
        <f>VLOOKUP($B371&amp;"__wt",'Xtal_SegEnds_BW#'!$A:$Z,3,FALSE)</f>
        <v>29</v>
      </c>
      <c r="D371" s="1">
        <f>VLOOKUP($B371&amp;"__wt",'Xtal_SegEnds_BW#'!$A:$Z,4,FALSE)</f>
        <v>60</v>
      </c>
      <c r="E371" s="1">
        <f>VLOOKUP($B371&amp;"__wt",'Xtal_SegEnds_BW#'!$A:$Z,5,FALSE)</f>
        <v>47</v>
      </c>
      <c r="F371" s="1">
        <f>VLOOKUP($B371&amp;"__wt",'Xtal_SegEnds_BW#'!$A:$Z,6,FALSE)</f>
        <v>51</v>
      </c>
      <c r="G371" s="1">
        <v>39</v>
      </c>
      <c r="H371" s="1">
        <f>VLOOKUP($B371&amp;"__wt",'Xtal_SegEnds_BW#'!$A:$Z,8,FALSE)</f>
        <v>63</v>
      </c>
      <c r="I371" s="1" t="str">
        <f>VLOOKUP($B371&amp;"__wt",'Xtal_SegEnds_BW#'!$A:$Z,9,FALSE)</f>
        <v>-</v>
      </c>
      <c r="J371" s="1" t="str">
        <f>VLOOKUP($B371&amp;"__wt",'Xtal_SegEnds_BW#'!$A:$Z,10,FALSE)</f>
        <v>-</v>
      </c>
      <c r="K371" s="1">
        <f>VLOOKUP($B371&amp;"__wt",'Xtal_SegEnds_BW#'!$A:$Z,11,FALSE)</f>
        <v>23</v>
      </c>
      <c r="L371" s="1">
        <f>VLOOKUP($B371&amp;"__wt",'Xtal_SegEnds_BW#'!$A:$Z,12,FALSE)</f>
        <v>59</v>
      </c>
      <c r="M371" s="1" t="str">
        <f>VLOOKUP($B371&amp;"__wt",'Xtal_SegEnds_BW#'!$A:$Z,13,FALSE)</f>
        <v>-</v>
      </c>
      <c r="N371" s="1" t="str">
        <f>VLOOKUP($B371&amp;"__wt",'Xtal_SegEnds_BW#'!$A:$Z,14,FALSE)</f>
        <v>-</v>
      </c>
      <c r="O371" s="1">
        <f>VLOOKUP($B371&amp;"__wt",'Xtal_SegEnds_BW#'!$A:$Z,15,FALSE)</f>
        <v>38</v>
      </c>
      <c r="P371" s="1">
        <f>VLOOKUP($B371&amp;"__wt",'Xtal_SegEnds_BW#'!$A:$Z,16,FALSE)</f>
        <v>63</v>
      </c>
      <c r="Q371" s="1">
        <f>VLOOKUP($B371&amp;"__wt",'Xtal_SegEnds_BW#'!$A:$Z,17,FALSE)</f>
        <v>50</v>
      </c>
      <c r="R371" s="1">
        <f>VLOOKUP($B371&amp;"__wt",'Xtal_SegEnds_BW#'!$A:$Z,18,FALSE)</f>
        <v>52</v>
      </c>
      <c r="S371" s="1">
        <f>VLOOKUP($B371&amp;"__wt",'Xtal_SegEnds_BW#'!$A:$Z,19,FALSE)</f>
        <v>36</v>
      </c>
      <c r="T371" s="23">
        <f>VLOOKUP($B371&amp;"__wt",'Xtal_SegEnds_BW#'!$A:$Z,20,FALSE)</f>
        <v>72</v>
      </c>
      <c r="U371" s="1">
        <f>VLOOKUP($B371&amp;"__wt",'Xtal_SegEnds_BW#'!$A:$Z,21,FALSE)</f>
        <v>25</v>
      </c>
      <c r="V371" s="1">
        <f>VLOOKUP($B371&amp;"__wt",'Xtal_SegEnds_BW#'!$A:$Z,22,FALSE)</f>
        <v>75</v>
      </c>
      <c r="W371" s="1">
        <f>VLOOKUP($B371&amp;"__wt",'Xtal_SegEnds_BW#'!$A:$Z,23,FALSE)</f>
        <v>35</v>
      </c>
      <c r="X371" s="1">
        <f>VLOOKUP($B371&amp;"__wt",'Xtal_SegEnds_BW#'!$A:$Z,24,FALSE)</f>
        <v>57</v>
      </c>
      <c r="Y371" s="1">
        <f>VLOOKUP($B371&amp;"__wt",'Xtal_SegEnds_BW#'!$A:$Z,25,FALSE)</f>
        <v>47</v>
      </c>
      <c r="Z371" s="1">
        <f>VLOOKUP($B371&amp;"__wt",'Xtal_SegEnds_BW#'!$A:$Z,26,FALSE)</f>
        <v>62</v>
      </c>
      <c r="AA371" s="63" t="str">
        <f>VLOOKUP(A371,Classification!A:B,2,FALSE)</f>
        <v>F</v>
      </c>
      <c r="AB371" s="1">
        <f>VLOOKUP(A371,'NonXtal_SegEnds_Prot#'!A:AL,10,FALSE)-VLOOKUP(A371,'NonXtal_SegEnds_Prot#'!A:AL,7,FALSE)</f>
        <v>12</v>
      </c>
      <c r="AC371" s="1" t="e">
        <f>VLOOKUP(A371,'NonXtal_SegEnds_Prot#'!A:AL,13,FALSE)-VLOOKUP(A371,'NonXtal_SegEnds_Prot#'!A:AL,10,FALSE)</f>
        <v>#VALUE!</v>
      </c>
      <c r="AD371" s="1">
        <f>VLOOKUP(A371,'NonXtal_SegEnds_Prot#'!A:AL,16,FALSE)-VLOOKUP(A371,'NonXtal_SegEnds_Prot#'!A:AL,10,FALSE)</f>
        <v>64</v>
      </c>
      <c r="AE371" s="1">
        <f>VLOOKUP(A371,'NonXtal_SegEnds_Prot#'!A:AL,28,FALSE)-VLOOKUP(A371,'NonXtal_SegEnds_Prot#'!A:AL,25,FALSE)</f>
        <v>21</v>
      </c>
      <c r="AF371" s="1">
        <f>VLOOKUP(A371,'NonXtal_SegEnds_Prot#'!A:AL,31,FALSE)-VLOOKUP(A371,'NonXtal_SegEnds_Prot#'!A:AL,28,FALSE)</f>
        <v>55</v>
      </c>
      <c r="AG371" s="1">
        <f>VLOOKUP(A371,'NonXtal_SegEnds_Prot#'!A:AL,34,FALSE)-VLOOKUP(A371,'NonXtal_SegEnds_Prot#'!A:AL,31,FALSE)</f>
        <v>49</v>
      </c>
    </row>
    <row r="372" spans="1:33" x14ac:dyDescent="0.2">
      <c r="A372" s="1" t="s">
        <v>647</v>
      </c>
      <c r="B372" s="1" t="str">
        <f>VLOOKUP(A372,Xtal_Templ!A:B,2,FALSE)</f>
        <v>smo_human</v>
      </c>
      <c r="C372" s="5">
        <f>VLOOKUP($B372&amp;"__wt",'Xtal_SegEnds_BW#'!$A:$Z,3,FALSE)</f>
        <v>29</v>
      </c>
      <c r="D372" s="1">
        <f>VLOOKUP($B372&amp;"__wt",'Xtal_SegEnds_BW#'!$A:$Z,4,FALSE)</f>
        <v>60</v>
      </c>
      <c r="E372" s="1">
        <f>VLOOKUP($B372&amp;"__wt",'Xtal_SegEnds_BW#'!$A:$Z,5,FALSE)</f>
        <v>47</v>
      </c>
      <c r="F372" s="1">
        <f>VLOOKUP($B372&amp;"__wt",'Xtal_SegEnds_BW#'!$A:$Z,6,FALSE)</f>
        <v>51</v>
      </c>
      <c r="G372" s="1">
        <v>39</v>
      </c>
      <c r="H372" s="1">
        <f>VLOOKUP($B372&amp;"__wt",'Xtal_SegEnds_BW#'!$A:$Z,8,FALSE)</f>
        <v>63</v>
      </c>
      <c r="I372" s="1" t="str">
        <f>VLOOKUP($B372&amp;"__wt",'Xtal_SegEnds_BW#'!$A:$Z,9,FALSE)</f>
        <v>-</v>
      </c>
      <c r="J372" s="1" t="str">
        <f>VLOOKUP($B372&amp;"__wt",'Xtal_SegEnds_BW#'!$A:$Z,10,FALSE)</f>
        <v>-</v>
      </c>
      <c r="K372" s="1">
        <f>VLOOKUP($B372&amp;"__wt",'Xtal_SegEnds_BW#'!$A:$Z,11,FALSE)</f>
        <v>23</v>
      </c>
      <c r="L372" s="1">
        <f>VLOOKUP($B372&amp;"__wt",'Xtal_SegEnds_BW#'!$A:$Z,12,FALSE)</f>
        <v>59</v>
      </c>
      <c r="M372" s="1" t="str">
        <f>VLOOKUP($B372&amp;"__wt",'Xtal_SegEnds_BW#'!$A:$Z,13,FALSE)</f>
        <v>-</v>
      </c>
      <c r="N372" s="1" t="str">
        <f>VLOOKUP($B372&amp;"__wt",'Xtal_SegEnds_BW#'!$A:$Z,14,FALSE)</f>
        <v>-</v>
      </c>
      <c r="O372" s="1">
        <f>VLOOKUP($B372&amp;"__wt",'Xtal_SegEnds_BW#'!$A:$Z,15,FALSE)</f>
        <v>38</v>
      </c>
      <c r="P372" s="1">
        <f>VLOOKUP($B372&amp;"__wt",'Xtal_SegEnds_BW#'!$A:$Z,16,FALSE)</f>
        <v>63</v>
      </c>
      <c r="Q372" s="1">
        <f>VLOOKUP($B372&amp;"__wt",'Xtal_SegEnds_BW#'!$A:$Z,17,FALSE)</f>
        <v>50</v>
      </c>
      <c r="R372" s="1">
        <f>VLOOKUP($B372&amp;"__wt",'Xtal_SegEnds_BW#'!$A:$Z,18,FALSE)</f>
        <v>52</v>
      </c>
      <c r="S372" s="1">
        <f>VLOOKUP($B372&amp;"__wt",'Xtal_SegEnds_BW#'!$A:$Z,19,FALSE)</f>
        <v>36</v>
      </c>
      <c r="T372" s="23">
        <f>VLOOKUP($B372&amp;"__wt",'Xtal_SegEnds_BW#'!$A:$Z,20,FALSE)</f>
        <v>72</v>
      </c>
      <c r="U372" s="1">
        <f>VLOOKUP($B372&amp;"__wt",'Xtal_SegEnds_BW#'!$A:$Z,21,FALSE)</f>
        <v>25</v>
      </c>
      <c r="V372" s="1">
        <f>VLOOKUP($B372&amp;"__wt",'Xtal_SegEnds_BW#'!$A:$Z,22,FALSE)</f>
        <v>75</v>
      </c>
      <c r="W372" s="1">
        <f>VLOOKUP($B372&amp;"__wt",'Xtal_SegEnds_BW#'!$A:$Z,23,FALSE)</f>
        <v>35</v>
      </c>
      <c r="X372" s="1">
        <f>VLOOKUP($B372&amp;"__wt",'Xtal_SegEnds_BW#'!$A:$Z,24,FALSE)</f>
        <v>57</v>
      </c>
      <c r="Y372" s="1">
        <f>VLOOKUP($B372&amp;"__wt",'Xtal_SegEnds_BW#'!$A:$Z,25,FALSE)</f>
        <v>47</v>
      </c>
      <c r="Z372" s="1">
        <f>VLOOKUP($B372&amp;"__wt",'Xtal_SegEnds_BW#'!$A:$Z,26,FALSE)</f>
        <v>62</v>
      </c>
      <c r="AA372" s="63" t="str">
        <f>VLOOKUP(A372,Classification!A:B,2,FALSE)</f>
        <v>F</v>
      </c>
      <c r="AB372" s="1">
        <f>VLOOKUP(A372,'NonXtal_SegEnds_Prot#'!A:AL,10,FALSE)-VLOOKUP(A372,'NonXtal_SegEnds_Prot#'!A:AL,7,FALSE)</f>
        <v>12</v>
      </c>
      <c r="AC372" s="1" t="e">
        <f>VLOOKUP(A372,'NonXtal_SegEnds_Prot#'!A:AL,13,FALSE)-VLOOKUP(A372,'NonXtal_SegEnds_Prot#'!A:AL,10,FALSE)</f>
        <v>#VALUE!</v>
      </c>
      <c r="AD372" s="1">
        <f>VLOOKUP(A372,'NonXtal_SegEnds_Prot#'!A:AL,16,FALSE)-VLOOKUP(A372,'NonXtal_SegEnds_Prot#'!A:AL,10,FALSE)</f>
        <v>68</v>
      </c>
      <c r="AE372" s="1">
        <f>VLOOKUP(A372,'NonXtal_SegEnds_Prot#'!A:AL,28,FALSE)-VLOOKUP(A372,'NonXtal_SegEnds_Prot#'!A:AL,25,FALSE)</f>
        <v>21</v>
      </c>
      <c r="AF372" s="1">
        <f>VLOOKUP(A372,'NonXtal_SegEnds_Prot#'!A:AL,31,FALSE)-VLOOKUP(A372,'NonXtal_SegEnds_Prot#'!A:AL,28,FALSE)</f>
        <v>55</v>
      </c>
      <c r="AG372" s="1">
        <f>VLOOKUP(A372,'NonXtal_SegEnds_Prot#'!A:AL,34,FALSE)-VLOOKUP(A372,'NonXtal_SegEnds_Prot#'!A:AL,31,FALSE)</f>
        <v>55</v>
      </c>
    </row>
    <row r="373" spans="1:33" x14ac:dyDescent="0.2">
      <c r="A373" s="1" t="s">
        <v>648</v>
      </c>
      <c r="B373" s="1" t="str">
        <f>VLOOKUP(A373,Xtal_Templ!A:B,2,FALSE)</f>
        <v>smo_human</v>
      </c>
      <c r="C373" s="5">
        <f>VLOOKUP($B373&amp;"__wt",'Xtal_SegEnds_BW#'!$A:$Z,3,FALSE)</f>
        <v>29</v>
      </c>
      <c r="D373" s="1">
        <f>VLOOKUP($B373&amp;"__wt",'Xtal_SegEnds_BW#'!$A:$Z,4,FALSE)</f>
        <v>60</v>
      </c>
      <c r="E373" s="1">
        <f>VLOOKUP($B373&amp;"__wt",'Xtal_SegEnds_BW#'!$A:$Z,5,FALSE)</f>
        <v>47</v>
      </c>
      <c r="F373" s="1">
        <f>VLOOKUP($B373&amp;"__wt",'Xtal_SegEnds_BW#'!$A:$Z,6,FALSE)</f>
        <v>51</v>
      </c>
      <c r="G373" s="1">
        <v>39</v>
      </c>
      <c r="H373" s="1">
        <f>VLOOKUP($B373&amp;"__wt",'Xtal_SegEnds_BW#'!$A:$Z,8,FALSE)</f>
        <v>63</v>
      </c>
      <c r="I373" s="1" t="str">
        <f>VLOOKUP($B373&amp;"__wt",'Xtal_SegEnds_BW#'!$A:$Z,9,FALSE)</f>
        <v>-</v>
      </c>
      <c r="J373" s="1" t="str">
        <f>VLOOKUP($B373&amp;"__wt",'Xtal_SegEnds_BW#'!$A:$Z,10,FALSE)</f>
        <v>-</v>
      </c>
      <c r="K373" s="1">
        <f>VLOOKUP($B373&amp;"__wt",'Xtal_SegEnds_BW#'!$A:$Z,11,FALSE)</f>
        <v>23</v>
      </c>
      <c r="L373" s="1">
        <f>VLOOKUP($B373&amp;"__wt",'Xtal_SegEnds_BW#'!$A:$Z,12,FALSE)</f>
        <v>59</v>
      </c>
      <c r="M373" s="1" t="str">
        <f>VLOOKUP($B373&amp;"__wt",'Xtal_SegEnds_BW#'!$A:$Z,13,FALSE)</f>
        <v>-</v>
      </c>
      <c r="N373" s="1" t="str">
        <f>VLOOKUP($B373&amp;"__wt",'Xtal_SegEnds_BW#'!$A:$Z,14,FALSE)</f>
        <v>-</v>
      </c>
      <c r="O373" s="1">
        <f>VLOOKUP($B373&amp;"__wt",'Xtal_SegEnds_BW#'!$A:$Z,15,FALSE)</f>
        <v>38</v>
      </c>
      <c r="P373" s="1">
        <f>VLOOKUP($B373&amp;"__wt",'Xtal_SegEnds_BW#'!$A:$Z,16,FALSE)</f>
        <v>63</v>
      </c>
      <c r="Q373" s="1">
        <f>VLOOKUP($B373&amp;"__wt",'Xtal_SegEnds_BW#'!$A:$Z,17,FALSE)</f>
        <v>50</v>
      </c>
      <c r="R373" s="1">
        <f>VLOOKUP($B373&amp;"__wt",'Xtal_SegEnds_BW#'!$A:$Z,18,FALSE)</f>
        <v>52</v>
      </c>
      <c r="S373" s="1">
        <f>VLOOKUP($B373&amp;"__wt",'Xtal_SegEnds_BW#'!$A:$Z,19,FALSE)</f>
        <v>36</v>
      </c>
      <c r="T373" s="23">
        <f>VLOOKUP($B373&amp;"__wt",'Xtal_SegEnds_BW#'!$A:$Z,20,FALSE)</f>
        <v>72</v>
      </c>
      <c r="U373" s="1">
        <f>VLOOKUP($B373&amp;"__wt",'Xtal_SegEnds_BW#'!$A:$Z,21,FALSE)</f>
        <v>25</v>
      </c>
      <c r="V373" s="1">
        <f>VLOOKUP($B373&amp;"__wt",'Xtal_SegEnds_BW#'!$A:$Z,22,FALSE)</f>
        <v>75</v>
      </c>
      <c r="W373" s="1">
        <f>VLOOKUP($B373&amp;"__wt",'Xtal_SegEnds_BW#'!$A:$Z,23,FALSE)</f>
        <v>35</v>
      </c>
      <c r="X373" s="1">
        <f>VLOOKUP($B373&amp;"__wt",'Xtal_SegEnds_BW#'!$A:$Z,24,FALSE)</f>
        <v>57</v>
      </c>
      <c r="Y373" s="1">
        <f>VLOOKUP($B373&amp;"__wt",'Xtal_SegEnds_BW#'!$A:$Z,25,FALSE)</f>
        <v>47</v>
      </c>
      <c r="Z373" s="1">
        <f>VLOOKUP($B373&amp;"__wt",'Xtal_SegEnds_BW#'!$A:$Z,26,FALSE)</f>
        <v>62</v>
      </c>
      <c r="AA373" s="63" t="str">
        <f>VLOOKUP(A373,Classification!A:B,2,FALSE)</f>
        <v>F</v>
      </c>
      <c r="AB373" s="1">
        <f>VLOOKUP(A373,'NonXtal_SegEnds_Prot#'!A:AL,10,FALSE)-VLOOKUP(A373,'NonXtal_SegEnds_Prot#'!A:AL,7,FALSE)</f>
        <v>12</v>
      </c>
      <c r="AC373" s="1" t="e">
        <f>VLOOKUP(A373,'NonXtal_SegEnds_Prot#'!A:AL,13,FALSE)-VLOOKUP(A373,'NonXtal_SegEnds_Prot#'!A:AL,10,FALSE)</f>
        <v>#VALUE!</v>
      </c>
      <c r="AD373" s="1">
        <f>VLOOKUP(A373,'NonXtal_SegEnds_Prot#'!A:AL,16,FALSE)-VLOOKUP(A373,'NonXtal_SegEnds_Prot#'!A:AL,10,FALSE)</f>
        <v>67</v>
      </c>
      <c r="AE373" s="1">
        <f>VLOOKUP(A373,'NonXtal_SegEnds_Prot#'!A:AL,28,FALSE)-VLOOKUP(A373,'NonXtal_SegEnds_Prot#'!A:AL,25,FALSE)</f>
        <v>21</v>
      </c>
      <c r="AF373" s="1">
        <f>VLOOKUP(A373,'NonXtal_SegEnds_Prot#'!A:AL,31,FALSE)-VLOOKUP(A373,'NonXtal_SegEnds_Prot#'!A:AL,28,FALSE)</f>
        <v>55</v>
      </c>
      <c r="AG373" s="1">
        <f>VLOOKUP(A373,'NonXtal_SegEnds_Prot#'!A:AL,34,FALSE)-VLOOKUP(A373,'NonXtal_SegEnds_Prot#'!A:AL,31,FALSE)</f>
        <v>55</v>
      </c>
    </row>
    <row r="374" spans="1:33" x14ac:dyDescent="0.2">
      <c r="A374" s="1" t="s">
        <v>650</v>
      </c>
      <c r="B374" s="1" t="str">
        <f>VLOOKUP(A374,Xtal_Templ!A:B,2,FALSE)</f>
        <v>smo_human</v>
      </c>
      <c r="C374" s="5">
        <f>VLOOKUP($B374&amp;"__wt",'Xtal_SegEnds_BW#'!$A:$Z,3,FALSE)</f>
        <v>29</v>
      </c>
      <c r="D374" s="1">
        <f>VLOOKUP($B374&amp;"__wt",'Xtal_SegEnds_BW#'!$A:$Z,4,FALSE)</f>
        <v>60</v>
      </c>
      <c r="E374" s="1">
        <f>VLOOKUP($B374&amp;"__wt",'Xtal_SegEnds_BW#'!$A:$Z,5,FALSE)</f>
        <v>47</v>
      </c>
      <c r="F374" s="1">
        <f>VLOOKUP($B374&amp;"__wt",'Xtal_SegEnds_BW#'!$A:$Z,6,FALSE)</f>
        <v>51</v>
      </c>
      <c r="G374" s="1">
        <v>39</v>
      </c>
      <c r="H374" s="1">
        <f>VLOOKUP($B374&amp;"__wt",'Xtal_SegEnds_BW#'!$A:$Z,8,FALSE)</f>
        <v>63</v>
      </c>
      <c r="I374" s="1" t="str">
        <f>VLOOKUP($B374&amp;"__wt",'Xtal_SegEnds_BW#'!$A:$Z,9,FALSE)</f>
        <v>-</v>
      </c>
      <c r="J374" s="1" t="str">
        <f>VLOOKUP($B374&amp;"__wt",'Xtal_SegEnds_BW#'!$A:$Z,10,FALSE)</f>
        <v>-</v>
      </c>
      <c r="K374" s="1">
        <f>VLOOKUP($B374&amp;"__wt",'Xtal_SegEnds_BW#'!$A:$Z,11,FALSE)</f>
        <v>23</v>
      </c>
      <c r="L374" s="1">
        <f>VLOOKUP($B374&amp;"__wt",'Xtal_SegEnds_BW#'!$A:$Z,12,FALSE)</f>
        <v>59</v>
      </c>
      <c r="M374" s="1" t="str">
        <f>VLOOKUP($B374&amp;"__wt",'Xtal_SegEnds_BW#'!$A:$Z,13,FALSE)</f>
        <v>-</v>
      </c>
      <c r="N374" s="1" t="str">
        <f>VLOOKUP($B374&amp;"__wt",'Xtal_SegEnds_BW#'!$A:$Z,14,FALSE)</f>
        <v>-</v>
      </c>
      <c r="O374" s="1">
        <f>VLOOKUP($B374&amp;"__wt",'Xtal_SegEnds_BW#'!$A:$Z,15,FALSE)</f>
        <v>38</v>
      </c>
      <c r="P374" s="1">
        <f>VLOOKUP($B374&amp;"__wt",'Xtal_SegEnds_BW#'!$A:$Z,16,FALSE)</f>
        <v>63</v>
      </c>
      <c r="Q374" s="1">
        <f>VLOOKUP($B374&amp;"__wt",'Xtal_SegEnds_BW#'!$A:$Z,17,FALSE)</f>
        <v>50</v>
      </c>
      <c r="R374" s="1">
        <f>VLOOKUP($B374&amp;"__wt",'Xtal_SegEnds_BW#'!$A:$Z,18,FALSE)</f>
        <v>52</v>
      </c>
      <c r="S374" s="1">
        <f>VLOOKUP($B374&amp;"__wt",'Xtal_SegEnds_BW#'!$A:$Z,19,FALSE)</f>
        <v>36</v>
      </c>
      <c r="T374" s="23">
        <f>VLOOKUP($B374&amp;"__wt",'Xtal_SegEnds_BW#'!$A:$Z,20,FALSE)</f>
        <v>72</v>
      </c>
      <c r="U374" s="1">
        <f>VLOOKUP($B374&amp;"__wt",'Xtal_SegEnds_BW#'!$A:$Z,21,FALSE)</f>
        <v>25</v>
      </c>
      <c r="V374" s="1">
        <f>VLOOKUP($B374&amp;"__wt",'Xtal_SegEnds_BW#'!$A:$Z,22,FALSE)</f>
        <v>75</v>
      </c>
      <c r="W374" s="1">
        <f>VLOOKUP($B374&amp;"__wt",'Xtal_SegEnds_BW#'!$A:$Z,23,FALSE)</f>
        <v>35</v>
      </c>
      <c r="X374" s="1">
        <f>VLOOKUP($B374&amp;"__wt",'Xtal_SegEnds_BW#'!$A:$Z,24,FALSE)</f>
        <v>57</v>
      </c>
      <c r="Y374" s="1">
        <f>VLOOKUP($B374&amp;"__wt",'Xtal_SegEnds_BW#'!$A:$Z,25,FALSE)</f>
        <v>47</v>
      </c>
      <c r="Z374" s="1">
        <f>VLOOKUP($B374&amp;"__wt",'Xtal_SegEnds_BW#'!$A:$Z,26,FALSE)</f>
        <v>62</v>
      </c>
      <c r="AA374" s="63" t="str">
        <f>VLOOKUP(A374,Classification!A:B,2,FALSE)</f>
        <v>F</v>
      </c>
      <c r="AB374" s="1">
        <f>VLOOKUP(A374,'NonXtal_SegEnds_Prot#'!A:AL,10,FALSE)-VLOOKUP(A374,'NonXtal_SegEnds_Prot#'!A:AL,7,FALSE)</f>
        <v>12</v>
      </c>
      <c r="AC374" s="1" t="e">
        <f>VLOOKUP(A374,'NonXtal_SegEnds_Prot#'!A:AL,13,FALSE)-VLOOKUP(A374,'NonXtal_SegEnds_Prot#'!A:AL,10,FALSE)</f>
        <v>#VALUE!</v>
      </c>
      <c r="AD374" s="1">
        <f>VLOOKUP(A374,'NonXtal_SegEnds_Prot#'!A:AL,16,FALSE)-VLOOKUP(A374,'NonXtal_SegEnds_Prot#'!A:AL,10,FALSE)</f>
        <v>66</v>
      </c>
      <c r="AE374" s="1">
        <f>VLOOKUP(A374,'NonXtal_SegEnds_Prot#'!A:AL,28,FALSE)-VLOOKUP(A374,'NonXtal_SegEnds_Prot#'!A:AL,25,FALSE)</f>
        <v>21</v>
      </c>
      <c r="AF374" s="1">
        <f>VLOOKUP(A374,'NonXtal_SegEnds_Prot#'!A:AL,31,FALSE)-VLOOKUP(A374,'NonXtal_SegEnds_Prot#'!A:AL,28,FALSE)</f>
        <v>55</v>
      </c>
      <c r="AG374" s="1">
        <f>VLOOKUP(A374,'NonXtal_SegEnds_Prot#'!A:AL,34,FALSE)-VLOOKUP(A374,'NonXtal_SegEnds_Prot#'!A:AL,31,FALSE)</f>
        <v>58</v>
      </c>
    </row>
    <row r="375" spans="1:33" x14ac:dyDescent="0.2">
      <c r="A375" s="1" t="s">
        <v>649</v>
      </c>
      <c r="B375" s="1" t="str">
        <f>VLOOKUP(A375,Xtal_Templ!A:B,2,FALSE)</f>
        <v>smo_human</v>
      </c>
      <c r="C375" s="5">
        <f>VLOOKUP($B375&amp;"__wt",'Xtal_SegEnds_BW#'!$A:$Z,3,FALSE)</f>
        <v>29</v>
      </c>
      <c r="D375" s="1">
        <f>VLOOKUP($B375&amp;"__wt",'Xtal_SegEnds_BW#'!$A:$Z,4,FALSE)</f>
        <v>60</v>
      </c>
      <c r="E375" s="1">
        <f>VLOOKUP($B375&amp;"__wt",'Xtal_SegEnds_BW#'!$A:$Z,5,FALSE)</f>
        <v>47</v>
      </c>
      <c r="F375" s="1">
        <f>VLOOKUP($B375&amp;"__wt",'Xtal_SegEnds_BW#'!$A:$Z,6,FALSE)</f>
        <v>51</v>
      </c>
      <c r="G375" s="1">
        <v>39</v>
      </c>
      <c r="H375" s="1">
        <f>VLOOKUP($B375&amp;"__wt",'Xtal_SegEnds_BW#'!$A:$Z,8,FALSE)</f>
        <v>63</v>
      </c>
      <c r="I375" s="1" t="str">
        <f>VLOOKUP($B375&amp;"__wt",'Xtal_SegEnds_BW#'!$A:$Z,9,FALSE)</f>
        <v>-</v>
      </c>
      <c r="J375" s="1" t="str">
        <f>VLOOKUP($B375&amp;"__wt",'Xtal_SegEnds_BW#'!$A:$Z,10,FALSE)</f>
        <v>-</v>
      </c>
      <c r="K375" s="1">
        <f>VLOOKUP($B375&amp;"__wt",'Xtal_SegEnds_BW#'!$A:$Z,11,FALSE)</f>
        <v>23</v>
      </c>
      <c r="L375" s="1">
        <f>VLOOKUP($B375&amp;"__wt",'Xtal_SegEnds_BW#'!$A:$Z,12,FALSE)</f>
        <v>59</v>
      </c>
      <c r="M375" s="1" t="str">
        <f>VLOOKUP($B375&amp;"__wt",'Xtal_SegEnds_BW#'!$A:$Z,13,FALSE)</f>
        <v>-</v>
      </c>
      <c r="N375" s="1" t="str">
        <f>VLOOKUP($B375&amp;"__wt",'Xtal_SegEnds_BW#'!$A:$Z,14,FALSE)</f>
        <v>-</v>
      </c>
      <c r="O375" s="1">
        <f>VLOOKUP($B375&amp;"__wt",'Xtal_SegEnds_BW#'!$A:$Z,15,FALSE)</f>
        <v>38</v>
      </c>
      <c r="P375" s="1">
        <f>VLOOKUP($B375&amp;"__wt",'Xtal_SegEnds_BW#'!$A:$Z,16,FALSE)</f>
        <v>63</v>
      </c>
      <c r="Q375" s="1">
        <f>VLOOKUP($B375&amp;"__wt",'Xtal_SegEnds_BW#'!$A:$Z,17,FALSE)</f>
        <v>50</v>
      </c>
      <c r="R375" s="1">
        <f>VLOOKUP($B375&amp;"__wt",'Xtal_SegEnds_BW#'!$A:$Z,18,FALSE)</f>
        <v>52</v>
      </c>
      <c r="S375" s="1">
        <f>VLOOKUP($B375&amp;"__wt",'Xtal_SegEnds_BW#'!$A:$Z,19,FALSE)</f>
        <v>36</v>
      </c>
      <c r="T375" s="23">
        <f>VLOOKUP($B375&amp;"__wt",'Xtal_SegEnds_BW#'!$A:$Z,20,FALSE)</f>
        <v>72</v>
      </c>
      <c r="U375" s="1">
        <f>VLOOKUP($B375&amp;"__wt",'Xtal_SegEnds_BW#'!$A:$Z,21,FALSE)</f>
        <v>25</v>
      </c>
      <c r="V375" s="1">
        <f>VLOOKUP($B375&amp;"__wt",'Xtal_SegEnds_BW#'!$A:$Z,22,FALSE)</f>
        <v>75</v>
      </c>
      <c r="W375" s="1">
        <f>VLOOKUP($B375&amp;"__wt",'Xtal_SegEnds_BW#'!$A:$Z,23,FALSE)</f>
        <v>35</v>
      </c>
      <c r="X375" s="1">
        <f>VLOOKUP($B375&amp;"__wt",'Xtal_SegEnds_BW#'!$A:$Z,24,FALSE)</f>
        <v>57</v>
      </c>
      <c r="Y375" s="1">
        <f>VLOOKUP($B375&amp;"__wt",'Xtal_SegEnds_BW#'!$A:$Z,25,FALSE)</f>
        <v>47</v>
      </c>
      <c r="Z375" s="1">
        <f>VLOOKUP($B375&amp;"__wt",'Xtal_SegEnds_BW#'!$A:$Z,26,FALSE)</f>
        <v>62</v>
      </c>
      <c r="AA375" s="63" t="str">
        <f>VLOOKUP(A375,Classification!A:B,2,FALSE)</f>
        <v>F</v>
      </c>
      <c r="AB375" s="1">
        <f>VLOOKUP(A375,'NonXtal_SegEnds_Prot#'!A:AL,10,FALSE)-VLOOKUP(A375,'NonXtal_SegEnds_Prot#'!A:AL,7,FALSE)</f>
        <v>12</v>
      </c>
      <c r="AC375" s="1" t="e">
        <f>VLOOKUP(A375,'NonXtal_SegEnds_Prot#'!A:AL,13,FALSE)-VLOOKUP(A375,'NonXtal_SegEnds_Prot#'!A:AL,10,FALSE)</f>
        <v>#VALUE!</v>
      </c>
      <c r="AD375" s="1">
        <f>VLOOKUP(A375,'NonXtal_SegEnds_Prot#'!A:AL,16,FALSE)-VLOOKUP(A375,'NonXtal_SegEnds_Prot#'!A:AL,10,FALSE)</f>
        <v>103</v>
      </c>
      <c r="AE375" s="1">
        <f>VLOOKUP(A375,'NonXtal_SegEnds_Prot#'!A:AL,28,FALSE)-VLOOKUP(A375,'NonXtal_SegEnds_Prot#'!A:AL,25,FALSE)</f>
        <v>21</v>
      </c>
      <c r="AF375" s="1">
        <f>VLOOKUP(A375,'NonXtal_SegEnds_Prot#'!A:AL,31,FALSE)-VLOOKUP(A375,'NonXtal_SegEnds_Prot#'!A:AL,28,FALSE)</f>
        <v>57</v>
      </c>
      <c r="AG375" s="1">
        <f>VLOOKUP(A375,'NonXtal_SegEnds_Prot#'!A:AL,34,FALSE)-VLOOKUP(A375,'NonXtal_SegEnds_Prot#'!A:AL,31,FALSE)</f>
        <v>49</v>
      </c>
    </row>
    <row r="376" spans="1:33" x14ac:dyDescent="0.2">
      <c r="A376" s="1" t="s">
        <v>207</v>
      </c>
      <c r="B376" s="1" t="str">
        <f>VLOOKUP(A376,Xtal_Templ!A:B,2,FALSE)</f>
        <v>smo_human</v>
      </c>
      <c r="C376" s="5">
        <f>VLOOKUP($B376&amp;"__wt",'Xtal_SegEnds_BW#'!$A:$Z,3,FALSE)</f>
        <v>29</v>
      </c>
      <c r="D376" s="1">
        <f>VLOOKUP($B376&amp;"__wt",'Xtal_SegEnds_BW#'!$A:$Z,4,FALSE)</f>
        <v>60</v>
      </c>
      <c r="E376" s="1">
        <f>VLOOKUP($B376&amp;"__wt",'Xtal_SegEnds_BW#'!$A:$Z,5,FALSE)</f>
        <v>47</v>
      </c>
      <c r="F376" s="1">
        <f>VLOOKUP($B376&amp;"__wt",'Xtal_SegEnds_BW#'!$A:$Z,6,FALSE)</f>
        <v>51</v>
      </c>
      <c r="G376" s="1">
        <v>40</v>
      </c>
      <c r="H376" s="1">
        <f>VLOOKUP($B376&amp;"__wt",'Xtal_SegEnds_BW#'!$A:$Z,8,FALSE)</f>
        <v>63</v>
      </c>
      <c r="I376" s="1" t="str">
        <f>VLOOKUP($B376&amp;"__wt",'Xtal_SegEnds_BW#'!$A:$Z,9,FALSE)</f>
        <v>-</v>
      </c>
      <c r="J376" s="1" t="str">
        <f>VLOOKUP($B376&amp;"__wt",'Xtal_SegEnds_BW#'!$A:$Z,10,FALSE)</f>
        <v>-</v>
      </c>
      <c r="K376" s="1">
        <f>VLOOKUP($B376&amp;"__wt",'Xtal_SegEnds_BW#'!$A:$Z,11,FALSE)</f>
        <v>23</v>
      </c>
      <c r="L376" s="1">
        <f>VLOOKUP($B376&amp;"__wt",'Xtal_SegEnds_BW#'!$A:$Z,12,FALSE)</f>
        <v>59</v>
      </c>
      <c r="M376" s="1" t="str">
        <f>VLOOKUP($B376&amp;"__wt",'Xtal_SegEnds_BW#'!$A:$Z,13,FALSE)</f>
        <v>-</v>
      </c>
      <c r="N376" s="1" t="str">
        <f>VLOOKUP($B376&amp;"__wt",'Xtal_SegEnds_BW#'!$A:$Z,14,FALSE)</f>
        <v>-</v>
      </c>
      <c r="O376" s="1">
        <f>VLOOKUP($B376&amp;"__wt",'Xtal_SegEnds_BW#'!$A:$Z,15,FALSE)</f>
        <v>38</v>
      </c>
      <c r="P376" s="1">
        <f>VLOOKUP($B376&amp;"__wt",'Xtal_SegEnds_BW#'!$A:$Z,16,FALSE)</f>
        <v>63</v>
      </c>
      <c r="Q376" s="1">
        <f>VLOOKUP($B376&amp;"__wt",'Xtal_SegEnds_BW#'!$A:$Z,17,FALSE)</f>
        <v>50</v>
      </c>
      <c r="R376" s="1">
        <f>VLOOKUP($B376&amp;"__wt",'Xtal_SegEnds_BW#'!$A:$Z,18,FALSE)</f>
        <v>52</v>
      </c>
      <c r="S376" s="1">
        <f>VLOOKUP($B376&amp;"__wt",'Xtal_SegEnds_BW#'!$A:$Z,19,FALSE)</f>
        <v>36</v>
      </c>
      <c r="T376" s="23">
        <f>VLOOKUP($B376&amp;"__wt",'Xtal_SegEnds_BW#'!$A:$Z,20,FALSE)</f>
        <v>72</v>
      </c>
      <c r="U376" s="1">
        <f>VLOOKUP($B376&amp;"__wt",'Xtal_SegEnds_BW#'!$A:$Z,21,FALSE)</f>
        <v>25</v>
      </c>
      <c r="V376" s="1">
        <f>VLOOKUP($B376&amp;"__wt",'Xtal_SegEnds_BW#'!$A:$Z,22,FALSE)</f>
        <v>75</v>
      </c>
      <c r="W376" s="1">
        <f>VLOOKUP($B376&amp;"__wt",'Xtal_SegEnds_BW#'!$A:$Z,23,FALSE)</f>
        <v>35</v>
      </c>
      <c r="X376" s="1">
        <f>VLOOKUP($B376&amp;"__wt",'Xtal_SegEnds_BW#'!$A:$Z,24,FALSE)</f>
        <v>57</v>
      </c>
      <c r="Y376" s="1">
        <f>VLOOKUP($B376&amp;"__wt",'Xtal_SegEnds_BW#'!$A:$Z,25,FALSE)</f>
        <v>47</v>
      </c>
      <c r="Z376" s="1">
        <f>VLOOKUP($B376&amp;"__wt",'Xtal_SegEnds_BW#'!$A:$Z,26,FALSE)</f>
        <v>62</v>
      </c>
      <c r="AA376" s="63" t="str">
        <f>VLOOKUP(A376,Classification!A:B,2,FALSE)</f>
        <v>F</v>
      </c>
      <c r="AB376" s="1">
        <f>VLOOKUP(A376,'NonXtal_SegEnds_Prot#'!A:AL,10,FALSE)-VLOOKUP(A376,'NonXtal_SegEnds_Prot#'!A:AL,7,FALSE)</f>
        <v>13</v>
      </c>
      <c r="AC376" s="1" t="e">
        <f>VLOOKUP(A376,'NonXtal_SegEnds_Prot#'!A:AL,13,FALSE)-VLOOKUP(A376,'NonXtal_SegEnds_Prot#'!A:AL,10,FALSE)</f>
        <v>#VALUE!</v>
      </c>
      <c r="AD376" s="1">
        <f>VLOOKUP(A376,'NonXtal_SegEnds_Prot#'!A:AL,16,FALSE)-VLOOKUP(A376,'NonXtal_SegEnds_Prot#'!A:AL,10,FALSE)</f>
        <v>67</v>
      </c>
      <c r="AE376" s="1">
        <f>VLOOKUP(A376,'NonXtal_SegEnds_Prot#'!A:AL,28,FALSE)-VLOOKUP(A376,'NonXtal_SegEnds_Prot#'!A:AL,25,FALSE)</f>
        <v>21</v>
      </c>
      <c r="AF376" s="1">
        <f>VLOOKUP(A376,'NonXtal_SegEnds_Prot#'!A:AL,31,FALSE)-VLOOKUP(A376,'NonXtal_SegEnds_Prot#'!A:AL,28,FALSE)</f>
        <v>57</v>
      </c>
      <c r="AG376" s="1">
        <f>VLOOKUP(A376,'NonXtal_SegEnds_Prot#'!A:AL,34,FALSE)-VLOOKUP(A376,'NonXtal_SegEnds_Prot#'!A:AL,31,FALSE)</f>
        <v>62</v>
      </c>
    </row>
    <row r="377" spans="1:33" x14ac:dyDescent="0.2">
      <c r="A377" s="1" t="s">
        <v>677</v>
      </c>
      <c r="B377" s="1" t="str">
        <f>VLOOKUP(A377,Xtal_Templ!A:B,2,FALSE)</f>
        <v>p2y12_human</v>
      </c>
      <c r="C377" s="5">
        <f>VLOOKUP($B377&amp;"__wt",'Xtal_SegEnds_BW#'!$A:$Z,3,FALSE)</f>
        <v>28</v>
      </c>
      <c r="D377" s="1">
        <v>60</v>
      </c>
      <c r="E377" s="1" t="s">
        <v>129</v>
      </c>
      <c r="F377" s="1" t="s">
        <v>129</v>
      </c>
      <c r="G377" s="1">
        <v>39</v>
      </c>
      <c r="H377" s="1">
        <v>63</v>
      </c>
      <c r="I377" s="1" t="s">
        <v>129</v>
      </c>
      <c r="J377" s="1" t="s">
        <v>129</v>
      </c>
      <c r="K377" s="1">
        <v>23</v>
      </c>
      <c r="L377" s="1">
        <v>56</v>
      </c>
      <c r="M377" s="1" t="s">
        <v>129</v>
      </c>
      <c r="N377" s="1" t="s">
        <v>129</v>
      </c>
      <c r="O377" s="1">
        <v>40</v>
      </c>
      <c r="P377" s="1">
        <v>64</v>
      </c>
      <c r="Q377" s="1" t="s">
        <v>129</v>
      </c>
      <c r="R377" s="1" t="s">
        <v>129</v>
      </c>
      <c r="S377" s="1">
        <v>39</v>
      </c>
      <c r="T377" s="23">
        <v>61</v>
      </c>
      <c r="U377" s="1">
        <v>29</v>
      </c>
      <c r="V377" s="1">
        <v>53</v>
      </c>
      <c r="W377" s="1">
        <v>35</v>
      </c>
      <c r="X377" s="1">
        <v>56</v>
      </c>
      <c r="Y377" s="1">
        <v>47</v>
      </c>
      <c r="Z377" s="1">
        <v>57</v>
      </c>
      <c r="AA377" s="63" t="str">
        <f>VLOOKUP(A377,Classification!A:B,2,FALSE)</f>
        <v>O</v>
      </c>
      <c r="AB377" s="1" t="e">
        <f>VLOOKUP(A377,'NonXtal_SegEnds_Prot#'!A:AL,10,FALSE)-VLOOKUP(A377,'NonXtal_SegEnds_Prot#'!A:AL,7,FALSE)</f>
        <v>#VALUE!</v>
      </c>
      <c r="AC377" s="1" t="e">
        <f>VLOOKUP(A377,'NonXtal_SegEnds_Prot#'!A:AL,13,FALSE)-VLOOKUP(A377,'NonXtal_SegEnds_Prot#'!A:AL,10,FALSE)</f>
        <v>#VALUE!</v>
      </c>
      <c r="AD377" s="1">
        <f>VLOOKUP(A377,'NonXtal_SegEnds_Prot#'!A:AL,16,FALSE)-VLOOKUP(A377,'NonXtal_SegEnds_Prot#'!A:AL,10,FALSE)</f>
        <v>74</v>
      </c>
      <c r="AE377" s="1" t="e">
        <f>VLOOKUP(A377,'NonXtal_SegEnds_Prot#'!A:AL,28,FALSE)-VLOOKUP(A377,'NonXtal_SegEnds_Prot#'!A:AL,25,FALSE)</f>
        <v>#VALUE!</v>
      </c>
      <c r="AF377" s="1">
        <f>VLOOKUP(A377,'NonXtal_SegEnds_Prot#'!A:AL,31,FALSE)-VLOOKUP(A377,'NonXtal_SegEnds_Prot#'!A:AL,28,FALSE)</f>
        <v>37</v>
      </c>
      <c r="AG377" s="1">
        <f>VLOOKUP(A377,'NonXtal_SegEnds_Prot#'!A:AL,34,FALSE)-VLOOKUP(A377,'NonXtal_SegEnds_Prot#'!A:AL,31,FALSE)</f>
        <v>44</v>
      </c>
    </row>
    <row r="378" spans="1:33" x14ac:dyDescent="0.2">
      <c r="A378" s="1" t="s">
        <v>680</v>
      </c>
      <c r="B378" s="1" t="str">
        <f>VLOOKUP(A378,Xtal_Templ!A:B,2,FALSE)</f>
        <v>agtr1_human</v>
      </c>
      <c r="C378" s="5">
        <f>VLOOKUP($B378&amp;"__wt",'Xtal_SegEnds_BW#'!$A:$Z,3,FALSE)</f>
        <v>30</v>
      </c>
      <c r="D378" s="1">
        <v>60</v>
      </c>
      <c r="E378" s="1" t="s">
        <v>129</v>
      </c>
      <c r="F378" s="1" t="s">
        <v>129</v>
      </c>
      <c r="G378" s="1">
        <v>39</v>
      </c>
      <c r="H378" s="1">
        <v>63</v>
      </c>
      <c r="I378" s="1" t="s">
        <v>129</v>
      </c>
      <c r="J378" s="1" t="s">
        <v>129</v>
      </c>
      <c r="K378" s="1">
        <v>23</v>
      </c>
      <c r="L378" s="1">
        <v>56</v>
      </c>
      <c r="M378" s="1" t="s">
        <v>129</v>
      </c>
      <c r="N378" s="1" t="s">
        <v>129</v>
      </c>
      <c r="O378" s="1">
        <v>40</v>
      </c>
      <c r="P378" s="1">
        <v>64</v>
      </c>
      <c r="Q378" s="1" t="s">
        <v>129</v>
      </c>
      <c r="R378" s="1" t="s">
        <v>129</v>
      </c>
      <c r="S378" s="1">
        <v>39</v>
      </c>
      <c r="T378" s="23">
        <v>61</v>
      </c>
      <c r="U378" s="1">
        <v>29</v>
      </c>
      <c r="V378" s="1">
        <v>53</v>
      </c>
      <c r="W378" s="1">
        <v>35</v>
      </c>
      <c r="X378" s="1">
        <v>56</v>
      </c>
      <c r="Y378" s="1">
        <v>47</v>
      </c>
      <c r="Z378" s="1">
        <v>57</v>
      </c>
      <c r="AA378" s="63" t="str">
        <f>VLOOKUP(A378,Classification!A:B,2,FALSE)</f>
        <v>O</v>
      </c>
      <c r="AB378" s="1" t="e">
        <f>VLOOKUP(A378,'NonXtal_SegEnds_Prot#'!A:AL,10,FALSE)-VLOOKUP(A378,'NonXtal_SegEnds_Prot#'!A:AL,7,FALSE)</f>
        <v>#VALUE!</v>
      </c>
      <c r="AC378" s="1" t="e">
        <f>VLOOKUP(A378,'NonXtal_SegEnds_Prot#'!A:AL,13,FALSE)-VLOOKUP(A378,'NonXtal_SegEnds_Prot#'!A:AL,10,FALSE)</f>
        <v>#VALUE!</v>
      </c>
      <c r="AD378" s="1">
        <f>VLOOKUP(A378,'NonXtal_SegEnds_Prot#'!A:AL,16,FALSE)-VLOOKUP(A378,'NonXtal_SegEnds_Prot#'!A:AL,10,FALSE)</f>
        <v>63</v>
      </c>
      <c r="AE378" s="1" t="e">
        <f>VLOOKUP(A378,'NonXtal_SegEnds_Prot#'!A:AL,28,FALSE)-VLOOKUP(A378,'NonXtal_SegEnds_Prot#'!A:AL,25,FALSE)</f>
        <v>#VALUE!</v>
      </c>
      <c r="AF378" s="1">
        <f>VLOOKUP(A378,'NonXtal_SegEnds_Prot#'!A:AL,31,FALSE)-VLOOKUP(A378,'NonXtal_SegEnds_Prot#'!A:AL,28,FALSE)</f>
        <v>58</v>
      </c>
      <c r="AG378" s="1">
        <f>VLOOKUP(A378,'NonXtal_SegEnds_Prot#'!A:AL,34,FALSE)-VLOOKUP(A378,'NonXtal_SegEnds_Prot#'!A:AL,31,FALSE)</f>
        <v>49</v>
      </c>
    </row>
    <row r="379" spans="1:33" x14ac:dyDescent="0.2">
      <c r="A379" s="1" t="s">
        <v>681</v>
      </c>
      <c r="B379" s="1" t="str">
        <f>VLOOKUP(A379,Xtal_Templ!A:B,2,FALSE)</f>
        <v>grm1_human</v>
      </c>
      <c r="C379" s="5">
        <f>VLOOKUP($B379&amp;"__wt",'Xtal_SegEnds_BW#'!$A:$Z,3,FALSE)</f>
        <v>34</v>
      </c>
      <c r="D379" s="1">
        <v>60</v>
      </c>
      <c r="E379" s="1" t="s">
        <v>129</v>
      </c>
      <c r="F379" s="1" t="s">
        <v>129</v>
      </c>
      <c r="G379" s="1">
        <v>39</v>
      </c>
      <c r="H379" s="1">
        <v>63</v>
      </c>
      <c r="I379" s="1" t="s">
        <v>129</v>
      </c>
      <c r="J379" s="1" t="s">
        <v>129</v>
      </c>
      <c r="K379" s="1">
        <v>23</v>
      </c>
      <c r="L379" s="1">
        <v>56</v>
      </c>
      <c r="M379" s="1" t="s">
        <v>129</v>
      </c>
      <c r="N379" s="1" t="s">
        <v>129</v>
      </c>
      <c r="O379" s="1">
        <v>40</v>
      </c>
      <c r="P379" s="1">
        <v>64</v>
      </c>
      <c r="Q379" s="1" t="s">
        <v>129</v>
      </c>
      <c r="R379" s="1" t="s">
        <v>129</v>
      </c>
      <c r="S379" s="1">
        <v>39</v>
      </c>
      <c r="T379" s="23">
        <v>61</v>
      </c>
      <c r="U379" s="1">
        <v>29</v>
      </c>
      <c r="V379" s="1">
        <v>53</v>
      </c>
      <c r="W379" s="1">
        <v>35</v>
      </c>
      <c r="X379" s="1">
        <v>56</v>
      </c>
      <c r="Y379" s="1">
        <v>47</v>
      </c>
      <c r="Z379" s="1">
        <v>57</v>
      </c>
      <c r="AA379" s="63" t="str">
        <f>VLOOKUP(A379,Classification!A:B,2,FALSE)</f>
        <v>O</v>
      </c>
      <c r="AB379" s="1" t="e">
        <f>VLOOKUP(A379,'NonXtal_SegEnds_Prot#'!A:AL,10,FALSE)-VLOOKUP(A379,'NonXtal_SegEnds_Prot#'!A:AL,7,FALSE)</f>
        <v>#VALUE!</v>
      </c>
      <c r="AC379" s="1" t="e">
        <f>VLOOKUP(A379,'NonXtal_SegEnds_Prot#'!A:AL,13,FALSE)-VLOOKUP(A379,'NonXtal_SegEnds_Prot#'!A:AL,10,FALSE)</f>
        <v>#VALUE!</v>
      </c>
      <c r="AD379" s="1">
        <f>VLOOKUP(A379,'NonXtal_SegEnds_Prot#'!A:AL,16,FALSE)-VLOOKUP(A379,'NonXtal_SegEnds_Prot#'!A:AL,10,FALSE)</f>
        <v>47</v>
      </c>
      <c r="AE379" s="1" t="e">
        <f>VLOOKUP(A379,'NonXtal_SegEnds_Prot#'!A:AL,28,FALSE)-VLOOKUP(A379,'NonXtal_SegEnds_Prot#'!A:AL,25,FALSE)</f>
        <v>#VALUE!</v>
      </c>
      <c r="AF379" s="1">
        <f>VLOOKUP(A379,'NonXtal_SegEnds_Prot#'!A:AL,31,FALSE)-VLOOKUP(A379,'NonXtal_SegEnds_Prot#'!A:AL,28,FALSE)</f>
        <v>67</v>
      </c>
      <c r="AG379" s="1">
        <f>VLOOKUP(A379,'NonXtal_SegEnds_Prot#'!A:AL,34,FALSE)-VLOOKUP(A379,'NonXtal_SegEnds_Prot#'!A:AL,31,FALSE)</f>
        <v>45</v>
      </c>
    </row>
    <row r="380" spans="1:33" x14ac:dyDescent="0.2">
      <c r="A380" s="1" t="s">
        <v>679</v>
      </c>
      <c r="B380" s="1" t="str">
        <f>VLOOKUP(A380,Xtal_Templ!A:B,2,FALSE)</f>
        <v>cxcr4_human</v>
      </c>
      <c r="C380" s="5">
        <f>VLOOKUP($B380&amp;"__wt",'Xtal_SegEnds_BW#'!$A:$Z,3,FALSE)</f>
        <v>24</v>
      </c>
      <c r="D380" s="1">
        <v>60</v>
      </c>
      <c r="E380" s="1" t="s">
        <v>129</v>
      </c>
      <c r="F380" s="1" t="s">
        <v>129</v>
      </c>
      <c r="G380" s="1">
        <v>39</v>
      </c>
      <c r="H380" s="1">
        <v>63</v>
      </c>
      <c r="I380" s="1" t="s">
        <v>129</v>
      </c>
      <c r="J380" s="1" t="s">
        <v>129</v>
      </c>
      <c r="K380" s="1">
        <v>23</v>
      </c>
      <c r="L380" s="1">
        <v>56</v>
      </c>
      <c r="M380" s="1" t="s">
        <v>129</v>
      </c>
      <c r="N380" s="1" t="s">
        <v>129</v>
      </c>
      <c r="O380" s="1">
        <v>40</v>
      </c>
      <c r="P380" s="1">
        <v>64</v>
      </c>
      <c r="Q380" s="1" t="s">
        <v>129</v>
      </c>
      <c r="R380" s="1" t="s">
        <v>129</v>
      </c>
      <c r="S380" s="1">
        <v>39</v>
      </c>
      <c r="T380" s="23">
        <v>61</v>
      </c>
      <c r="U380" s="1">
        <v>29</v>
      </c>
      <c r="V380" s="1">
        <v>53</v>
      </c>
      <c r="W380" s="1">
        <v>35</v>
      </c>
      <c r="X380" s="1">
        <v>56</v>
      </c>
      <c r="Y380" s="1">
        <v>47</v>
      </c>
      <c r="Z380" s="1">
        <v>57</v>
      </c>
      <c r="AA380" s="63" t="str">
        <f>VLOOKUP(A380,Classification!A:B,2,FALSE)</f>
        <v>O</v>
      </c>
      <c r="AB380" s="1" t="e">
        <f>VLOOKUP(A380,'NonXtal_SegEnds_Prot#'!A:AL,10,FALSE)-VLOOKUP(A380,'NonXtal_SegEnds_Prot#'!A:AL,7,FALSE)</f>
        <v>#VALUE!</v>
      </c>
      <c r="AC380" s="1" t="e">
        <f>VLOOKUP(A380,'NonXtal_SegEnds_Prot#'!A:AL,13,FALSE)-VLOOKUP(A380,'NonXtal_SegEnds_Prot#'!A:AL,10,FALSE)</f>
        <v>#VALUE!</v>
      </c>
      <c r="AD380" s="1">
        <f>VLOOKUP(A380,'NonXtal_SegEnds_Prot#'!A:AL,16,FALSE)-VLOOKUP(A380,'NonXtal_SegEnds_Prot#'!A:AL,10,FALSE)</f>
        <v>45</v>
      </c>
      <c r="AE380" s="1" t="e">
        <f>VLOOKUP(A380,'NonXtal_SegEnds_Prot#'!A:AL,28,FALSE)-VLOOKUP(A380,'NonXtal_SegEnds_Prot#'!A:AL,25,FALSE)</f>
        <v>#VALUE!</v>
      </c>
      <c r="AF380" s="1">
        <f>VLOOKUP(A380,'NonXtal_SegEnds_Prot#'!A:AL,31,FALSE)-VLOOKUP(A380,'NonXtal_SegEnds_Prot#'!A:AL,28,FALSE)</f>
        <v>76</v>
      </c>
      <c r="AG380" s="1">
        <f>VLOOKUP(A380,'NonXtal_SegEnds_Prot#'!A:AL,34,FALSE)-VLOOKUP(A380,'NonXtal_SegEnds_Prot#'!A:AL,31,FALSE)</f>
        <v>36</v>
      </c>
    </row>
    <row r="381" spans="1:33" x14ac:dyDescent="0.2">
      <c r="A381" s="1" t="s">
        <v>676</v>
      </c>
      <c r="B381" s="1" t="str">
        <f>VLOOKUP(A381,Xtal_Templ!A:B,2,FALSE)</f>
        <v>cxcr4_human</v>
      </c>
      <c r="C381" s="5">
        <f>VLOOKUP($B381&amp;"__wt",'Xtal_SegEnds_BW#'!$A:$Z,3,FALSE)</f>
        <v>24</v>
      </c>
      <c r="D381" s="1">
        <v>60</v>
      </c>
      <c r="E381" s="1" t="s">
        <v>129</v>
      </c>
      <c r="F381" s="1" t="s">
        <v>129</v>
      </c>
      <c r="G381" s="1">
        <v>39</v>
      </c>
      <c r="H381" s="1">
        <v>63</v>
      </c>
      <c r="I381" s="1" t="s">
        <v>129</v>
      </c>
      <c r="J381" s="1" t="s">
        <v>129</v>
      </c>
      <c r="K381" s="1">
        <v>23</v>
      </c>
      <c r="L381" s="1">
        <v>56</v>
      </c>
      <c r="M381" s="1" t="s">
        <v>129</v>
      </c>
      <c r="N381" s="1" t="s">
        <v>129</v>
      </c>
      <c r="O381" s="1">
        <v>40</v>
      </c>
      <c r="P381" s="1">
        <v>64</v>
      </c>
      <c r="Q381" s="1" t="s">
        <v>129</v>
      </c>
      <c r="R381" s="1" t="s">
        <v>129</v>
      </c>
      <c r="S381" s="1">
        <v>39</v>
      </c>
      <c r="T381" s="23">
        <v>61</v>
      </c>
      <c r="U381" s="1">
        <v>29</v>
      </c>
      <c r="V381" s="1">
        <v>53</v>
      </c>
      <c r="W381" s="1">
        <v>35</v>
      </c>
      <c r="X381" s="1">
        <v>56</v>
      </c>
      <c r="Y381" s="1">
        <v>47</v>
      </c>
      <c r="Z381" s="1">
        <v>57</v>
      </c>
      <c r="AA381" s="63" t="str">
        <f>VLOOKUP(A381,Classification!A:B,2,FALSE)</f>
        <v>O</v>
      </c>
      <c r="AB381" s="1" t="e">
        <f>VLOOKUP(A381,'NonXtal_SegEnds_Prot#'!A:AL,10,FALSE)-VLOOKUP(A381,'NonXtal_SegEnds_Prot#'!A:AL,7,FALSE)</f>
        <v>#VALUE!</v>
      </c>
      <c r="AC381" s="1" t="e">
        <f>VLOOKUP(A381,'NonXtal_SegEnds_Prot#'!A:AL,13,FALSE)-VLOOKUP(A381,'NonXtal_SegEnds_Prot#'!A:AL,10,FALSE)</f>
        <v>#VALUE!</v>
      </c>
      <c r="AD381" s="1">
        <f>VLOOKUP(A381,'NonXtal_SegEnds_Prot#'!A:AL,16,FALSE)-VLOOKUP(A381,'NonXtal_SegEnds_Prot#'!A:AL,10,FALSE)</f>
        <v>81</v>
      </c>
      <c r="AE381" s="1" t="e">
        <f>VLOOKUP(A381,'NonXtal_SegEnds_Prot#'!A:AL,28,FALSE)-VLOOKUP(A381,'NonXtal_SegEnds_Prot#'!A:AL,25,FALSE)</f>
        <v>#VALUE!</v>
      </c>
      <c r="AF381" s="1">
        <f>VLOOKUP(A381,'NonXtal_SegEnds_Prot#'!A:AL,31,FALSE)-VLOOKUP(A381,'NonXtal_SegEnds_Prot#'!A:AL,28,FALSE)</f>
        <v>79</v>
      </c>
      <c r="AG381" s="1">
        <f>VLOOKUP(A381,'NonXtal_SegEnds_Prot#'!A:AL,34,FALSE)-VLOOKUP(A381,'NonXtal_SegEnds_Prot#'!A:AL,31,FALSE)</f>
        <v>33</v>
      </c>
    </row>
    <row r="382" spans="1:33" x14ac:dyDescent="0.2">
      <c r="A382" s="1" t="s">
        <v>654</v>
      </c>
      <c r="B382" s="1" t="str">
        <f>VLOOKUP(A382,Xtal_Templ!A:B,2,FALSE)</f>
        <v>ox2r_human</v>
      </c>
      <c r="C382" s="5">
        <v>32</v>
      </c>
      <c r="D382" s="1">
        <v>62</v>
      </c>
      <c r="E382" s="1">
        <f>VLOOKUP($B382&amp;"__wt",'Xtal_SegEnds_BW#'!$A:$Z,5,FALSE)</f>
        <v>48</v>
      </c>
      <c r="F382" s="1">
        <f>VLOOKUP($B382&amp;"__wt",'Xtal_SegEnds_BW#'!$A:$Z,6,FALSE)</f>
        <v>51</v>
      </c>
      <c r="G382" s="1">
        <v>39</v>
      </c>
      <c r="H382" s="1">
        <v>66</v>
      </c>
      <c r="I382" s="1" t="s">
        <v>129</v>
      </c>
      <c r="J382" s="1" t="s">
        <v>129</v>
      </c>
      <c r="K382" s="1">
        <v>24</v>
      </c>
      <c r="L382" s="1">
        <f>VLOOKUP($B382&amp;"__wt",'Xtal_SegEnds_BW#'!$A:$Z,12,FALSE)</f>
        <v>56</v>
      </c>
      <c r="M382" s="1">
        <f>VLOOKUP($B382&amp;"__wt",'Xtal_SegEnds_BW#'!$A:$Z,13,FALSE)</f>
        <v>50</v>
      </c>
      <c r="N382" s="1">
        <f>VLOOKUP($B382&amp;"__wt",'Xtal_SegEnds_BW#'!$A:$Z,14,FALSE)</f>
        <v>56</v>
      </c>
      <c r="O382" s="1">
        <f>VLOOKUP($B382&amp;"__wt",'Xtal_SegEnds_BW#'!$A:$Z,15,FALSE)</f>
        <v>39</v>
      </c>
      <c r="P382" s="1">
        <f>VLOOKUP($B382&amp;"__wt",'Xtal_SegEnds_BW#'!$A:$Z,16,FALSE)</f>
        <v>64</v>
      </c>
      <c r="Q382" s="1">
        <f>VLOOKUP($B382&amp;"__wt",'Xtal_SegEnds_BW#'!$A:$Z,17,FALSE)</f>
        <v>50</v>
      </c>
      <c r="R382" s="1">
        <f>VLOOKUP($B382&amp;"__wt",'Xtal_SegEnds_BW#'!$A:$Z,18,FALSE)</f>
        <v>52</v>
      </c>
      <c r="S382" s="1">
        <v>32</v>
      </c>
      <c r="T382" s="23">
        <v>72</v>
      </c>
      <c r="U382" s="1">
        <v>29</v>
      </c>
      <c r="V382" s="1">
        <v>61</v>
      </c>
      <c r="W382" s="1">
        <v>31</v>
      </c>
      <c r="X382" s="1">
        <f>VLOOKUP($B382&amp;"__wt",'Xtal_SegEnds_BW#'!$A:$Z,24,FALSE)</f>
        <v>56</v>
      </c>
      <c r="Y382" s="1">
        <f>VLOOKUP($B382&amp;"__wt",'Xtal_SegEnds_BW#'!$A:$Z,25,FALSE)</f>
        <v>47</v>
      </c>
      <c r="Z382" s="1">
        <v>60</v>
      </c>
      <c r="AA382" s="63" t="str">
        <f>VLOOKUP(A382,Classification!A:B,2,FALSE)</f>
        <v>T</v>
      </c>
      <c r="AB382" s="1">
        <f>VLOOKUP(A382,'NonXtal_SegEnds_Prot#'!A:AL,10,FALSE)-VLOOKUP(A382,'NonXtal_SegEnds_Prot#'!A:AL,7,FALSE)</f>
        <v>16</v>
      </c>
      <c r="AC382" s="1" t="e">
        <f>VLOOKUP(A382,'NonXtal_SegEnds_Prot#'!A:AL,13,FALSE)-VLOOKUP(A382,'NonXtal_SegEnds_Prot#'!A:AL,10,FALSE)</f>
        <v>#VALUE!</v>
      </c>
      <c r="AD382" s="1">
        <f>VLOOKUP(A382,'NonXtal_SegEnds_Prot#'!A:AL,16,FALSE)-VLOOKUP(A382,'NonXtal_SegEnds_Prot#'!A:AL,10,FALSE)</f>
        <v>47</v>
      </c>
      <c r="AE382" s="1" t="e">
        <f>VLOOKUP(A382,'NonXtal_SegEnds_Prot#'!A:AL,28,FALSE)-VLOOKUP(A382,'NonXtal_SegEnds_Prot#'!A:AL,25,FALSE)</f>
        <v>#VALUE!</v>
      </c>
      <c r="AF382" s="1">
        <f>VLOOKUP(A382,'NonXtal_SegEnds_Prot#'!A:AL,31,FALSE)-VLOOKUP(A382,'NonXtal_SegEnds_Prot#'!A:AL,28,FALSE)</f>
        <v>50</v>
      </c>
      <c r="AG382" s="1">
        <f>VLOOKUP(A382,'NonXtal_SegEnds_Prot#'!A:AL,34,FALSE)-VLOOKUP(A382,'NonXtal_SegEnds_Prot#'!A:AL,31,FALSE)</f>
        <v>35</v>
      </c>
    </row>
    <row r="383" spans="1:33" x14ac:dyDescent="0.2">
      <c r="A383" s="1" t="s">
        <v>653</v>
      </c>
      <c r="B383" s="1" t="str">
        <f>VLOOKUP(A383,Xtal_Templ!A:B,2,FALSE)</f>
        <v>p2ry1_human</v>
      </c>
      <c r="C383" s="5">
        <v>32</v>
      </c>
      <c r="D383" s="1">
        <v>62</v>
      </c>
      <c r="E383" s="1" t="str">
        <f>VLOOKUP($B383&amp;"__wt",'Xtal_SegEnds_BW#'!$A:$Z,5,FALSE)</f>
        <v>-</v>
      </c>
      <c r="F383" s="1" t="str">
        <f>VLOOKUP($B383&amp;"__wt",'Xtal_SegEnds_BW#'!$A:$Z,6,FALSE)</f>
        <v>-</v>
      </c>
      <c r="G383" s="1">
        <v>39</v>
      </c>
      <c r="H383" s="1">
        <v>67</v>
      </c>
      <c r="I383" s="1" t="s">
        <v>129</v>
      </c>
      <c r="J383" s="1" t="s">
        <v>129</v>
      </c>
      <c r="K383" s="1">
        <v>18</v>
      </c>
      <c r="L383" s="1">
        <f>VLOOKUP($B383&amp;"__wt",'Xtal_SegEnds_BW#'!$A:$Z,12,FALSE)</f>
        <v>56</v>
      </c>
      <c r="M383" s="1">
        <f>VLOOKUP($B383&amp;"__wt",'Xtal_SegEnds_BW#'!$A:$Z,13,FALSE)</f>
        <v>50</v>
      </c>
      <c r="N383" s="1">
        <f>VLOOKUP($B383&amp;"__wt",'Xtal_SegEnds_BW#'!$A:$Z,14,FALSE)</f>
        <v>57</v>
      </c>
      <c r="O383" s="1">
        <f>VLOOKUP($B383&amp;"__wt",'Xtal_SegEnds_BW#'!$A:$Z,15,FALSE)</f>
        <v>39</v>
      </c>
      <c r="P383" s="1">
        <f>VLOOKUP($B383&amp;"__wt",'Xtal_SegEnds_BW#'!$A:$Z,16,FALSE)</f>
        <v>64</v>
      </c>
      <c r="Q383" s="1">
        <f>VLOOKUP($B383&amp;"__wt",'Xtal_SegEnds_BW#'!$A:$Z,17,FALSE)</f>
        <v>50</v>
      </c>
      <c r="R383" s="1">
        <f>VLOOKUP($B383&amp;"__wt",'Xtal_SegEnds_BW#'!$A:$Z,18,FALSE)</f>
        <v>52</v>
      </c>
      <c r="S383" s="1">
        <v>32</v>
      </c>
      <c r="T383" s="23">
        <v>72</v>
      </c>
      <c r="U383" s="1">
        <v>29</v>
      </c>
      <c r="V383" s="1">
        <v>61</v>
      </c>
      <c r="W383" s="1">
        <v>31</v>
      </c>
      <c r="X383" s="1">
        <f>VLOOKUP($B383&amp;"__wt",'Xtal_SegEnds_BW#'!$A:$Z,24,FALSE)</f>
        <v>56</v>
      </c>
      <c r="Y383" s="1">
        <f>VLOOKUP($B383&amp;"__wt",'Xtal_SegEnds_BW#'!$A:$Z,25,FALSE)</f>
        <v>47</v>
      </c>
      <c r="Z383" s="1">
        <v>60</v>
      </c>
      <c r="AA383" s="63" t="str">
        <f>VLOOKUP(A383,Classification!A:B,2,FALSE)</f>
        <v>T</v>
      </c>
      <c r="AB383" s="1">
        <f>VLOOKUP(A383,'NonXtal_SegEnds_Prot#'!A:AL,10,FALSE)-VLOOKUP(A383,'NonXtal_SegEnds_Prot#'!A:AL,7,FALSE)</f>
        <v>16</v>
      </c>
      <c r="AC383" s="1" t="e">
        <f>VLOOKUP(A383,'NonXtal_SegEnds_Prot#'!A:AL,13,FALSE)-VLOOKUP(A383,'NonXtal_SegEnds_Prot#'!A:AL,10,FALSE)</f>
        <v>#VALUE!</v>
      </c>
      <c r="AD383" s="1">
        <f>VLOOKUP(A383,'NonXtal_SegEnds_Prot#'!A:AL,16,FALSE)-VLOOKUP(A383,'NonXtal_SegEnds_Prot#'!A:AL,10,FALSE)</f>
        <v>52</v>
      </c>
      <c r="AE383" s="1" t="e">
        <f>VLOOKUP(A383,'NonXtal_SegEnds_Prot#'!A:AL,28,FALSE)-VLOOKUP(A383,'NonXtal_SegEnds_Prot#'!A:AL,25,FALSE)</f>
        <v>#VALUE!</v>
      </c>
      <c r="AF383" s="1">
        <f>VLOOKUP(A383,'NonXtal_SegEnds_Prot#'!A:AL,31,FALSE)-VLOOKUP(A383,'NonXtal_SegEnds_Prot#'!A:AL,28,FALSE)</f>
        <v>52</v>
      </c>
      <c r="AG383" s="1">
        <f>VLOOKUP(A383,'NonXtal_SegEnds_Prot#'!A:AL,34,FALSE)-VLOOKUP(A383,'NonXtal_SegEnds_Prot#'!A:AL,31,FALSE)</f>
        <v>35</v>
      </c>
    </row>
    <row r="384" spans="1:33" x14ac:dyDescent="0.2">
      <c r="A384" s="1" t="s">
        <v>651</v>
      </c>
      <c r="B384" s="1" t="str">
        <f>VLOOKUP(A384,Xtal_Templ!A:B,2,FALSE)</f>
        <v>s1pr1_human</v>
      </c>
      <c r="C384" s="5">
        <v>32</v>
      </c>
      <c r="D384" s="1">
        <v>62</v>
      </c>
      <c r="E384" s="1">
        <f>VLOOKUP($B384&amp;"__wt",'Xtal_SegEnds_BW#'!$A:$Z,5,FALSE)</f>
        <v>48</v>
      </c>
      <c r="F384" s="1">
        <f>VLOOKUP($B384&amp;"__wt",'Xtal_SegEnds_BW#'!$A:$Z,6,FALSE)</f>
        <v>51</v>
      </c>
      <c r="G384" s="1">
        <v>39</v>
      </c>
      <c r="H384" s="1">
        <v>67</v>
      </c>
      <c r="I384" s="1" t="s">
        <v>129</v>
      </c>
      <c r="J384" s="1" t="s">
        <v>129</v>
      </c>
      <c r="K384" s="1">
        <v>18</v>
      </c>
      <c r="L384" s="1">
        <f>VLOOKUP($B384&amp;"__wt",'Xtal_SegEnds_BW#'!$A:$Z,12,FALSE)</f>
        <v>56</v>
      </c>
      <c r="M384" s="1">
        <f>VLOOKUP($B384&amp;"__wt",'Xtal_SegEnds_BW#'!$A:$Z,13,FALSE)</f>
        <v>50</v>
      </c>
      <c r="N384" s="1">
        <f>VLOOKUP($B384&amp;"__wt",'Xtal_SegEnds_BW#'!$A:$Z,14,FALSE)</f>
        <v>57</v>
      </c>
      <c r="O384" s="1">
        <f>VLOOKUP($B384&amp;"__wt",'Xtal_SegEnds_BW#'!$A:$Z,15,FALSE)</f>
        <v>39</v>
      </c>
      <c r="P384" s="1">
        <f>VLOOKUP($B384&amp;"__wt",'Xtal_SegEnds_BW#'!$A:$Z,16,FALSE)</f>
        <v>63</v>
      </c>
      <c r="Q384" s="1" t="str">
        <f>VLOOKUP($B384&amp;"__wt",'Xtal_SegEnds_BW#'!$A:$Z,17,FALSE)</f>
        <v>-</v>
      </c>
      <c r="R384" s="1" t="str">
        <f>VLOOKUP($B384&amp;"__wt",'Xtal_SegEnds_BW#'!$A:$Z,18,FALSE)</f>
        <v>-</v>
      </c>
      <c r="S384" s="1">
        <v>32</v>
      </c>
      <c r="T384" s="23">
        <v>72</v>
      </c>
      <c r="U384" s="1">
        <v>29</v>
      </c>
      <c r="V384" s="1">
        <v>61</v>
      </c>
      <c r="W384" s="1">
        <v>31</v>
      </c>
      <c r="X384" s="1">
        <f>VLOOKUP($B384&amp;"__wt",'Xtal_SegEnds_BW#'!$A:$Z,24,FALSE)</f>
        <v>56</v>
      </c>
      <c r="Y384" s="1">
        <f>VLOOKUP($B384&amp;"__wt",'Xtal_SegEnds_BW#'!$A:$Z,25,FALSE)</f>
        <v>47</v>
      </c>
      <c r="Z384" s="1">
        <v>60</v>
      </c>
      <c r="AA384" s="63" t="str">
        <f>VLOOKUP(A384,Classification!A:B,2,FALSE)</f>
        <v>T</v>
      </c>
      <c r="AB384" s="1">
        <f>VLOOKUP(A384,'NonXtal_SegEnds_Prot#'!A:AL,10,FALSE)-VLOOKUP(A384,'NonXtal_SegEnds_Prot#'!A:AL,7,FALSE)</f>
        <v>15</v>
      </c>
      <c r="AC384" s="1" t="e">
        <f>VLOOKUP(A384,'NonXtal_SegEnds_Prot#'!A:AL,13,FALSE)-VLOOKUP(A384,'NonXtal_SegEnds_Prot#'!A:AL,10,FALSE)</f>
        <v>#VALUE!</v>
      </c>
      <c r="AD384" s="1">
        <f>VLOOKUP(A384,'NonXtal_SegEnds_Prot#'!A:AL,16,FALSE)-VLOOKUP(A384,'NonXtal_SegEnds_Prot#'!A:AL,10,FALSE)</f>
        <v>52</v>
      </c>
      <c r="AE384" s="1" t="e">
        <f>VLOOKUP(A384,'NonXtal_SegEnds_Prot#'!A:AL,28,FALSE)-VLOOKUP(A384,'NonXtal_SegEnds_Prot#'!A:AL,25,FALSE)</f>
        <v>#VALUE!</v>
      </c>
      <c r="AF384" s="1">
        <f>VLOOKUP(A384,'NonXtal_SegEnds_Prot#'!A:AL,31,FALSE)-VLOOKUP(A384,'NonXtal_SegEnds_Prot#'!A:AL,28,FALSE)</f>
        <v>53</v>
      </c>
      <c r="AG384" s="1">
        <f>VLOOKUP(A384,'NonXtal_SegEnds_Prot#'!A:AL,34,FALSE)-VLOOKUP(A384,'NonXtal_SegEnds_Prot#'!A:AL,31,FALSE)</f>
        <v>36</v>
      </c>
    </row>
    <row r="385" spans="1:33" x14ac:dyDescent="0.2">
      <c r="A385" s="1" t="s">
        <v>652</v>
      </c>
      <c r="B385" s="1" t="str">
        <f>VLOOKUP(A385,Xtal_Templ!A:B,2,FALSE)</f>
        <v>5ht2b_human</v>
      </c>
      <c r="C385" s="5">
        <v>32</v>
      </c>
      <c r="D385" s="1">
        <v>62</v>
      </c>
      <c r="E385" s="1">
        <f>VLOOKUP($B385&amp;"__wt",'Xtal_SegEnds_BW#'!$A:$Z,5,FALSE)</f>
        <v>48</v>
      </c>
      <c r="F385" s="1">
        <f>VLOOKUP($B385&amp;"__wt",'Xtal_SegEnds_BW#'!$A:$Z,6,FALSE)</f>
        <v>51</v>
      </c>
      <c r="G385" s="1">
        <v>39</v>
      </c>
      <c r="H385" s="1">
        <v>67</v>
      </c>
      <c r="I385" s="1" t="s">
        <v>129</v>
      </c>
      <c r="J385" s="1" t="s">
        <v>129</v>
      </c>
      <c r="K385" s="1">
        <v>18</v>
      </c>
      <c r="L385" s="1">
        <f>VLOOKUP($B385&amp;"__wt",'Xtal_SegEnds_BW#'!$A:$Z,12,FALSE)</f>
        <v>56</v>
      </c>
      <c r="M385" s="1">
        <f>VLOOKUP($B385&amp;"__wt",'Xtal_SegEnds_BW#'!$A:$Z,13,FALSE)</f>
        <v>50</v>
      </c>
      <c r="N385" s="1">
        <f>VLOOKUP($B385&amp;"__wt",'Xtal_SegEnds_BW#'!$A:$Z,14,FALSE)</f>
        <v>57</v>
      </c>
      <c r="O385" s="1">
        <f>VLOOKUP($B385&amp;"__wt",'Xtal_SegEnds_BW#'!$A:$Z,15,FALSE)</f>
        <v>39</v>
      </c>
      <c r="P385" s="1">
        <f>VLOOKUP($B385&amp;"__wt",'Xtal_SegEnds_BW#'!$A:$Z,16,FALSE)</f>
        <v>64</v>
      </c>
      <c r="Q385" s="1">
        <f>VLOOKUP($B385&amp;"__wt",'Xtal_SegEnds_BW#'!$A:$Z,17,FALSE)</f>
        <v>50</v>
      </c>
      <c r="R385" s="1">
        <f>VLOOKUP($B385&amp;"__wt",'Xtal_SegEnds_BW#'!$A:$Z,18,FALSE)</f>
        <v>52</v>
      </c>
      <c r="S385" s="1">
        <v>32</v>
      </c>
      <c r="T385" s="23">
        <v>72</v>
      </c>
      <c r="U385" s="1">
        <v>29</v>
      </c>
      <c r="V385" s="1">
        <v>61</v>
      </c>
      <c r="W385" s="1">
        <v>31</v>
      </c>
      <c r="X385" s="1">
        <f>VLOOKUP($B385&amp;"__wt",'Xtal_SegEnds_BW#'!$A:$Z,24,FALSE)</f>
        <v>56</v>
      </c>
      <c r="Y385" s="1">
        <f>VLOOKUP($B385&amp;"__wt",'Xtal_SegEnds_BW#'!$A:$Z,25,FALSE)</f>
        <v>47</v>
      </c>
      <c r="Z385" s="1">
        <v>60</v>
      </c>
      <c r="AA385" s="63" t="str">
        <f>VLOOKUP(A385,Classification!A:B,2,FALSE)</f>
        <v>T</v>
      </c>
      <c r="AB385" s="1">
        <f>VLOOKUP(A385,'NonXtal_SegEnds_Prot#'!A:AL,10,FALSE)-VLOOKUP(A385,'NonXtal_SegEnds_Prot#'!A:AL,7,FALSE)</f>
        <v>16</v>
      </c>
      <c r="AC385" s="1" t="e">
        <f>VLOOKUP(A385,'NonXtal_SegEnds_Prot#'!A:AL,13,FALSE)-VLOOKUP(A385,'NonXtal_SegEnds_Prot#'!A:AL,10,FALSE)</f>
        <v>#VALUE!</v>
      </c>
      <c r="AD385" s="1">
        <f>VLOOKUP(A385,'NonXtal_SegEnds_Prot#'!A:AL,16,FALSE)-VLOOKUP(A385,'NonXtal_SegEnds_Prot#'!A:AL,10,FALSE)</f>
        <v>52</v>
      </c>
      <c r="AE385" s="1" t="e">
        <f>VLOOKUP(A385,'NonXtal_SegEnds_Prot#'!A:AL,28,FALSE)-VLOOKUP(A385,'NonXtal_SegEnds_Prot#'!A:AL,25,FALSE)</f>
        <v>#VALUE!</v>
      </c>
      <c r="AF385" s="1">
        <f>VLOOKUP(A385,'NonXtal_SegEnds_Prot#'!A:AL,31,FALSE)-VLOOKUP(A385,'NonXtal_SegEnds_Prot#'!A:AL,28,FALSE)</f>
        <v>53</v>
      </c>
      <c r="AG385" s="1">
        <f>VLOOKUP(A385,'NonXtal_SegEnds_Prot#'!A:AL,34,FALSE)-VLOOKUP(A385,'NonXtal_SegEnds_Prot#'!A:AL,31,FALSE)</f>
        <v>35</v>
      </c>
    </row>
    <row r="386" spans="1:33" x14ac:dyDescent="0.2">
      <c r="A386" s="1" t="s">
        <v>655</v>
      </c>
      <c r="B386" s="1" t="str">
        <f>VLOOKUP(A386,Xtal_Templ!A:B,2,FALSE)</f>
        <v>agtr1_human</v>
      </c>
      <c r="C386" s="5">
        <v>32</v>
      </c>
      <c r="D386" s="1">
        <v>62</v>
      </c>
      <c r="E386" s="1">
        <f>VLOOKUP($B386&amp;"__wt",'Xtal_SegEnds_BW#'!$A:$Z,5,FALSE)</f>
        <v>48</v>
      </c>
      <c r="F386" s="1">
        <f>VLOOKUP($B386&amp;"__wt",'Xtal_SegEnds_BW#'!$A:$Z,6,FALSE)</f>
        <v>51</v>
      </c>
      <c r="G386" s="1">
        <v>39</v>
      </c>
      <c r="H386" s="1">
        <v>66</v>
      </c>
      <c r="I386" s="1" t="s">
        <v>129</v>
      </c>
      <c r="J386" s="1" t="s">
        <v>129</v>
      </c>
      <c r="K386" s="1">
        <v>18</v>
      </c>
      <c r="L386" s="1">
        <f>VLOOKUP($B386&amp;"__wt",'Xtal_SegEnds_BW#'!$A:$Z,12,FALSE)</f>
        <v>56</v>
      </c>
      <c r="M386" s="1">
        <f>VLOOKUP($B386&amp;"__wt",'Xtal_SegEnds_BW#'!$A:$Z,13,FALSE)</f>
        <v>50</v>
      </c>
      <c r="N386" s="1">
        <f>VLOOKUP($B386&amp;"__wt",'Xtal_SegEnds_BW#'!$A:$Z,14,FALSE)</f>
        <v>57</v>
      </c>
      <c r="O386" s="1">
        <f>VLOOKUP($B386&amp;"__wt",'Xtal_SegEnds_BW#'!$A:$Z,15,FALSE)</f>
        <v>39</v>
      </c>
      <c r="P386" s="1">
        <f>VLOOKUP($B386&amp;"__wt",'Xtal_SegEnds_BW#'!$A:$Z,16,FALSE)</f>
        <v>64</v>
      </c>
      <c r="Q386" s="1">
        <f>VLOOKUP($B386&amp;"__wt",'Xtal_SegEnds_BW#'!$A:$Z,17,FALSE)</f>
        <v>50</v>
      </c>
      <c r="R386" s="1">
        <f>VLOOKUP($B386&amp;"__wt",'Xtal_SegEnds_BW#'!$A:$Z,18,FALSE)</f>
        <v>52</v>
      </c>
      <c r="S386" s="1">
        <v>32</v>
      </c>
      <c r="T386" s="23">
        <v>72</v>
      </c>
      <c r="U386" s="1">
        <v>29</v>
      </c>
      <c r="V386" s="1">
        <v>61</v>
      </c>
      <c r="W386" s="1">
        <v>31</v>
      </c>
      <c r="X386" s="1">
        <f>VLOOKUP($B386&amp;"__wt",'Xtal_SegEnds_BW#'!$A:$Z,24,FALSE)</f>
        <v>56</v>
      </c>
      <c r="Y386" s="1">
        <f>VLOOKUP($B386&amp;"__wt",'Xtal_SegEnds_BW#'!$A:$Z,25,FALSE)</f>
        <v>47</v>
      </c>
      <c r="Z386" s="1">
        <v>60</v>
      </c>
      <c r="AA386" s="63" t="str">
        <f>VLOOKUP(A386,Classification!A:B,2,FALSE)</f>
        <v>T</v>
      </c>
      <c r="AB386" s="1">
        <f>VLOOKUP(A386,'NonXtal_SegEnds_Prot#'!A:AL,10,FALSE)-VLOOKUP(A386,'NonXtal_SegEnds_Prot#'!A:AL,7,FALSE)</f>
        <v>16</v>
      </c>
      <c r="AC386" s="1" t="e">
        <f>VLOOKUP(A386,'NonXtal_SegEnds_Prot#'!A:AL,13,FALSE)-VLOOKUP(A386,'NonXtal_SegEnds_Prot#'!A:AL,10,FALSE)</f>
        <v>#VALUE!</v>
      </c>
      <c r="AD386" s="1">
        <f>VLOOKUP(A386,'NonXtal_SegEnds_Prot#'!A:AL,16,FALSE)-VLOOKUP(A386,'NonXtal_SegEnds_Prot#'!A:AL,10,FALSE)</f>
        <v>51</v>
      </c>
      <c r="AE386" s="1" t="e">
        <f>VLOOKUP(A386,'NonXtal_SegEnds_Prot#'!A:AL,28,FALSE)-VLOOKUP(A386,'NonXtal_SegEnds_Prot#'!A:AL,25,FALSE)</f>
        <v>#VALUE!</v>
      </c>
      <c r="AF386" s="1">
        <f>VLOOKUP(A386,'NonXtal_SegEnds_Prot#'!A:AL,31,FALSE)-VLOOKUP(A386,'NonXtal_SegEnds_Prot#'!A:AL,28,FALSE)</f>
        <v>53</v>
      </c>
      <c r="AG386" s="1">
        <f>VLOOKUP(A386,'NonXtal_SegEnds_Prot#'!A:AL,34,FALSE)-VLOOKUP(A386,'NonXtal_SegEnds_Prot#'!A:AL,31,FALSE)</f>
        <v>36</v>
      </c>
    </row>
    <row r="387" spans="1:33" x14ac:dyDescent="0.2">
      <c r="A387" s="1" t="s">
        <v>656</v>
      </c>
      <c r="B387" s="1" t="str">
        <f>VLOOKUP(A387,Xtal_Templ!A:B,2,FALSE)</f>
        <v>agtr1_human</v>
      </c>
      <c r="C387" s="5">
        <v>32</v>
      </c>
      <c r="D387" s="1">
        <v>62</v>
      </c>
      <c r="E387" s="1">
        <f>VLOOKUP($B387&amp;"__wt",'Xtal_SegEnds_BW#'!$A:$Z,5,FALSE)</f>
        <v>48</v>
      </c>
      <c r="F387" s="1">
        <f>VLOOKUP($B387&amp;"__wt",'Xtal_SegEnds_BW#'!$A:$Z,6,FALSE)</f>
        <v>51</v>
      </c>
      <c r="G387" s="1">
        <v>39</v>
      </c>
      <c r="H387" s="1">
        <v>66</v>
      </c>
      <c r="I387" s="1" t="s">
        <v>129</v>
      </c>
      <c r="J387" s="1" t="s">
        <v>129</v>
      </c>
      <c r="K387" s="1">
        <v>18</v>
      </c>
      <c r="L387" s="1">
        <f>VLOOKUP($B387&amp;"__wt",'Xtal_SegEnds_BW#'!$A:$Z,12,FALSE)</f>
        <v>56</v>
      </c>
      <c r="M387" s="1">
        <f>VLOOKUP($B387&amp;"__wt",'Xtal_SegEnds_BW#'!$A:$Z,13,FALSE)</f>
        <v>50</v>
      </c>
      <c r="N387" s="1">
        <f>VLOOKUP($B387&amp;"__wt",'Xtal_SegEnds_BW#'!$A:$Z,14,FALSE)</f>
        <v>57</v>
      </c>
      <c r="O387" s="1">
        <f>VLOOKUP($B387&amp;"__wt",'Xtal_SegEnds_BW#'!$A:$Z,15,FALSE)</f>
        <v>39</v>
      </c>
      <c r="P387" s="1">
        <f>VLOOKUP($B387&amp;"__wt",'Xtal_SegEnds_BW#'!$A:$Z,16,FALSE)</f>
        <v>64</v>
      </c>
      <c r="Q387" s="1">
        <f>VLOOKUP($B387&amp;"__wt",'Xtal_SegEnds_BW#'!$A:$Z,17,FALSE)</f>
        <v>50</v>
      </c>
      <c r="R387" s="1">
        <f>VLOOKUP($B387&amp;"__wt",'Xtal_SegEnds_BW#'!$A:$Z,18,FALSE)</f>
        <v>52</v>
      </c>
      <c r="S387" s="1">
        <v>32</v>
      </c>
      <c r="T387" s="23">
        <v>72</v>
      </c>
      <c r="U387" s="1">
        <v>29</v>
      </c>
      <c r="V387" s="1">
        <v>61</v>
      </c>
      <c r="W387" s="1">
        <v>31</v>
      </c>
      <c r="X387" s="1">
        <f>VLOOKUP($B387&amp;"__wt",'Xtal_SegEnds_BW#'!$A:$Z,24,FALSE)</f>
        <v>56</v>
      </c>
      <c r="Y387" s="1">
        <f>VLOOKUP($B387&amp;"__wt",'Xtal_SegEnds_BW#'!$A:$Z,25,FALSE)</f>
        <v>47</v>
      </c>
      <c r="Z387" s="1">
        <v>60</v>
      </c>
      <c r="AA387" s="63" t="str">
        <f>VLOOKUP(A387,Classification!A:B,2,FALSE)</f>
        <v>T</v>
      </c>
      <c r="AB387" s="1">
        <f>VLOOKUP(A387,'NonXtal_SegEnds_Prot#'!A:AL,10,FALSE)-VLOOKUP(A387,'NonXtal_SegEnds_Prot#'!A:AL,7,FALSE)</f>
        <v>16</v>
      </c>
      <c r="AC387" s="1" t="e">
        <f>VLOOKUP(A387,'NonXtal_SegEnds_Prot#'!A:AL,13,FALSE)-VLOOKUP(A387,'NonXtal_SegEnds_Prot#'!A:AL,10,FALSE)</f>
        <v>#VALUE!</v>
      </c>
      <c r="AD387" s="1">
        <f>VLOOKUP(A387,'NonXtal_SegEnds_Prot#'!A:AL,16,FALSE)-VLOOKUP(A387,'NonXtal_SegEnds_Prot#'!A:AL,10,FALSE)</f>
        <v>51</v>
      </c>
      <c r="AE387" s="1" t="e">
        <f>VLOOKUP(A387,'NonXtal_SegEnds_Prot#'!A:AL,28,FALSE)-VLOOKUP(A387,'NonXtal_SegEnds_Prot#'!A:AL,25,FALSE)</f>
        <v>#VALUE!</v>
      </c>
      <c r="AF387" s="1">
        <f>VLOOKUP(A387,'NonXtal_SegEnds_Prot#'!A:AL,31,FALSE)-VLOOKUP(A387,'NonXtal_SegEnds_Prot#'!A:AL,28,FALSE)</f>
        <v>53</v>
      </c>
      <c r="AG387" s="1">
        <f>VLOOKUP(A387,'NonXtal_SegEnds_Prot#'!A:AL,34,FALSE)-VLOOKUP(A387,'NonXtal_SegEnds_Prot#'!A:AL,31,FALSE)</f>
        <v>36</v>
      </c>
    </row>
    <row r="388" spans="1:33" x14ac:dyDescent="0.2">
      <c r="A388" s="1" t="s">
        <v>657</v>
      </c>
      <c r="B388" s="1" t="str">
        <f>VLOOKUP(A388,Xtal_Templ!A:B,2,FALSE)</f>
        <v>agtr1_human</v>
      </c>
      <c r="C388" s="5">
        <v>32</v>
      </c>
      <c r="D388" s="1">
        <v>62</v>
      </c>
      <c r="E388" s="1">
        <f>VLOOKUP($B388&amp;"__wt",'Xtal_SegEnds_BW#'!$A:$Z,5,FALSE)</f>
        <v>48</v>
      </c>
      <c r="F388" s="1">
        <f>VLOOKUP($B388&amp;"__wt",'Xtal_SegEnds_BW#'!$A:$Z,6,FALSE)</f>
        <v>51</v>
      </c>
      <c r="G388" s="1">
        <v>39</v>
      </c>
      <c r="H388" s="1">
        <v>66</v>
      </c>
      <c r="I388" s="1" t="s">
        <v>129</v>
      </c>
      <c r="J388" s="1" t="s">
        <v>129</v>
      </c>
      <c r="K388" s="1">
        <v>18</v>
      </c>
      <c r="L388" s="1">
        <f>VLOOKUP($B388&amp;"__wt",'Xtal_SegEnds_BW#'!$A:$Z,12,FALSE)</f>
        <v>56</v>
      </c>
      <c r="M388" s="1">
        <f>VLOOKUP($B388&amp;"__wt",'Xtal_SegEnds_BW#'!$A:$Z,13,FALSE)</f>
        <v>50</v>
      </c>
      <c r="N388" s="1">
        <f>VLOOKUP($B388&amp;"__wt",'Xtal_SegEnds_BW#'!$A:$Z,14,FALSE)</f>
        <v>57</v>
      </c>
      <c r="O388" s="1">
        <f>VLOOKUP($B388&amp;"__wt",'Xtal_SegEnds_BW#'!$A:$Z,15,FALSE)</f>
        <v>39</v>
      </c>
      <c r="P388" s="1">
        <f>VLOOKUP($B388&amp;"__wt",'Xtal_SegEnds_BW#'!$A:$Z,16,FALSE)</f>
        <v>64</v>
      </c>
      <c r="Q388" s="1">
        <f>VLOOKUP($B388&amp;"__wt",'Xtal_SegEnds_BW#'!$A:$Z,17,FALSE)</f>
        <v>50</v>
      </c>
      <c r="R388" s="1">
        <f>VLOOKUP($B388&amp;"__wt",'Xtal_SegEnds_BW#'!$A:$Z,18,FALSE)</f>
        <v>52</v>
      </c>
      <c r="S388" s="1">
        <v>32</v>
      </c>
      <c r="T388" s="23">
        <v>72</v>
      </c>
      <c r="U388" s="1">
        <v>29</v>
      </c>
      <c r="V388" s="1">
        <v>61</v>
      </c>
      <c r="W388" s="1">
        <v>31</v>
      </c>
      <c r="X388" s="1">
        <f>VLOOKUP($B388&amp;"__wt",'Xtal_SegEnds_BW#'!$A:$Z,24,FALSE)</f>
        <v>56</v>
      </c>
      <c r="Y388" s="1">
        <f>VLOOKUP($B388&amp;"__wt",'Xtal_SegEnds_BW#'!$A:$Z,25,FALSE)</f>
        <v>47</v>
      </c>
      <c r="Z388" s="1">
        <v>60</v>
      </c>
      <c r="AA388" s="63" t="str">
        <f>VLOOKUP(A388,Classification!A:B,2,FALSE)</f>
        <v>T</v>
      </c>
      <c r="AB388" s="1">
        <f>VLOOKUP(A388,'NonXtal_SegEnds_Prot#'!A:AL,10,FALSE)-VLOOKUP(A388,'NonXtal_SegEnds_Prot#'!A:AL,7,FALSE)</f>
        <v>16</v>
      </c>
      <c r="AC388" s="1" t="e">
        <f>VLOOKUP(A388,'NonXtal_SegEnds_Prot#'!A:AL,13,FALSE)-VLOOKUP(A388,'NonXtal_SegEnds_Prot#'!A:AL,10,FALSE)</f>
        <v>#VALUE!</v>
      </c>
      <c r="AD388" s="1">
        <f>VLOOKUP(A388,'NonXtal_SegEnds_Prot#'!A:AL,16,FALSE)-VLOOKUP(A388,'NonXtal_SegEnds_Prot#'!A:AL,10,FALSE)</f>
        <v>51</v>
      </c>
      <c r="AE388" s="1" t="e">
        <f>VLOOKUP(A388,'NonXtal_SegEnds_Prot#'!A:AL,28,FALSE)-VLOOKUP(A388,'NonXtal_SegEnds_Prot#'!A:AL,25,FALSE)</f>
        <v>#VALUE!</v>
      </c>
      <c r="AF388" s="1">
        <f>VLOOKUP(A388,'NonXtal_SegEnds_Prot#'!A:AL,31,FALSE)-VLOOKUP(A388,'NonXtal_SegEnds_Prot#'!A:AL,28,FALSE)</f>
        <v>53</v>
      </c>
      <c r="AG388" s="1">
        <f>VLOOKUP(A388,'NonXtal_SegEnds_Prot#'!A:AL,34,FALSE)-VLOOKUP(A388,'NonXtal_SegEnds_Prot#'!A:AL,31,FALSE)</f>
        <v>36</v>
      </c>
    </row>
    <row r="389" spans="1:33" x14ac:dyDescent="0.2">
      <c r="A389" s="1" t="s">
        <v>658</v>
      </c>
      <c r="B389" s="1" t="str">
        <f>VLOOKUP(A389,Xtal_Templ!A:B,2,FALSE)</f>
        <v>agtr1_human</v>
      </c>
      <c r="C389" s="5">
        <v>32</v>
      </c>
      <c r="D389" s="1">
        <v>62</v>
      </c>
      <c r="E389" s="1">
        <f>VLOOKUP($B389&amp;"__wt",'Xtal_SegEnds_BW#'!$A:$Z,5,FALSE)</f>
        <v>48</v>
      </c>
      <c r="F389" s="1">
        <f>VLOOKUP($B389&amp;"__wt",'Xtal_SegEnds_BW#'!$A:$Z,6,FALSE)</f>
        <v>51</v>
      </c>
      <c r="G389" s="1">
        <v>39</v>
      </c>
      <c r="H389" s="1">
        <v>66</v>
      </c>
      <c r="I389" s="1" t="s">
        <v>129</v>
      </c>
      <c r="J389" s="1" t="s">
        <v>129</v>
      </c>
      <c r="K389" s="1">
        <v>18</v>
      </c>
      <c r="L389" s="1">
        <f>VLOOKUP($B389&amp;"__wt",'Xtal_SegEnds_BW#'!$A:$Z,12,FALSE)</f>
        <v>56</v>
      </c>
      <c r="M389" s="1">
        <f>VLOOKUP($B389&amp;"__wt",'Xtal_SegEnds_BW#'!$A:$Z,13,FALSE)</f>
        <v>50</v>
      </c>
      <c r="N389" s="1">
        <f>VLOOKUP($B389&amp;"__wt",'Xtal_SegEnds_BW#'!$A:$Z,14,FALSE)</f>
        <v>57</v>
      </c>
      <c r="O389" s="1">
        <f>VLOOKUP($B389&amp;"__wt",'Xtal_SegEnds_BW#'!$A:$Z,15,FALSE)</f>
        <v>39</v>
      </c>
      <c r="P389" s="1">
        <f>VLOOKUP($B389&amp;"__wt",'Xtal_SegEnds_BW#'!$A:$Z,16,FALSE)</f>
        <v>64</v>
      </c>
      <c r="Q389" s="1">
        <f>VLOOKUP($B389&amp;"__wt",'Xtal_SegEnds_BW#'!$A:$Z,17,FALSE)</f>
        <v>50</v>
      </c>
      <c r="R389" s="1">
        <f>VLOOKUP($B389&amp;"__wt",'Xtal_SegEnds_BW#'!$A:$Z,18,FALSE)</f>
        <v>52</v>
      </c>
      <c r="S389" s="1">
        <v>32</v>
      </c>
      <c r="T389" s="23">
        <v>72</v>
      </c>
      <c r="U389" s="1">
        <v>29</v>
      </c>
      <c r="V389" s="1">
        <v>61</v>
      </c>
      <c r="W389" s="1">
        <v>31</v>
      </c>
      <c r="X389" s="1">
        <f>VLOOKUP($B389&amp;"__wt",'Xtal_SegEnds_BW#'!$A:$Z,24,FALSE)</f>
        <v>56</v>
      </c>
      <c r="Y389" s="1">
        <f>VLOOKUP($B389&amp;"__wt",'Xtal_SegEnds_BW#'!$A:$Z,25,FALSE)</f>
        <v>47</v>
      </c>
      <c r="Z389" s="1">
        <v>60</v>
      </c>
      <c r="AA389" s="63" t="str">
        <f>VLOOKUP(A389,Classification!A:B,2,FALSE)</f>
        <v>T</v>
      </c>
      <c r="AB389" s="1">
        <f>VLOOKUP(A389,'NonXtal_SegEnds_Prot#'!A:AL,10,FALSE)-VLOOKUP(A389,'NonXtal_SegEnds_Prot#'!A:AL,7,FALSE)</f>
        <v>16</v>
      </c>
      <c r="AC389" s="1" t="e">
        <f>VLOOKUP(A389,'NonXtal_SegEnds_Prot#'!A:AL,13,FALSE)-VLOOKUP(A389,'NonXtal_SegEnds_Prot#'!A:AL,10,FALSE)</f>
        <v>#VALUE!</v>
      </c>
      <c r="AD389" s="1">
        <f>VLOOKUP(A389,'NonXtal_SegEnds_Prot#'!A:AL,16,FALSE)-VLOOKUP(A389,'NonXtal_SegEnds_Prot#'!A:AL,10,FALSE)</f>
        <v>51</v>
      </c>
      <c r="AE389" s="1" t="e">
        <f>VLOOKUP(A389,'NonXtal_SegEnds_Prot#'!A:AL,28,FALSE)-VLOOKUP(A389,'NonXtal_SegEnds_Prot#'!A:AL,25,FALSE)</f>
        <v>#VALUE!</v>
      </c>
      <c r="AF389" s="1">
        <f>VLOOKUP(A389,'NonXtal_SegEnds_Prot#'!A:AL,31,FALSE)-VLOOKUP(A389,'NonXtal_SegEnds_Prot#'!A:AL,28,FALSE)</f>
        <v>53</v>
      </c>
      <c r="AG389" s="1">
        <f>VLOOKUP(A389,'NonXtal_SegEnds_Prot#'!A:AL,34,FALSE)-VLOOKUP(A389,'NonXtal_SegEnds_Prot#'!A:AL,31,FALSE)</f>
        <v>36</v>
      </c>
    </row>
    <row r="390" spans="1:33" x14ac:dyDescent="0.2">
      <c r="A390" s="1" t="s">
        <v>659</v>
      </c>
      <c r="B390" s="1" t="str">
        <f>VLOOKUP(A390,Xtal_Templ!A:B,2,FALSE)</f>
        <v>agtr1_human</v>
      </c>
      <c r="C390" s="5">
        <v>32</v>
      </c>
      <c r="D390" s="1">
        <v>62</v>
      </c>
      <c r="E390" s="1">
        <f>VLOOKUP($B390&amp;"__wt",'Xtal_SegEnds_BW#'!$A:$Z,5,FALSE)</f>
        <v>48</v>
      </c>
      <c r="F390" s="1">
        <f>VLOOKUP($B390&amp;"__wt",'Xtal_SegEnds_BW#'!$A:$Z,6,FALSE)</f>
        <v>51</v>
      </c>
      <c r="G390" s="1">
        <v>39</v>
      </c>
      <c r="H390" s="1">
        <v>67</v>
      </c>
      <c r="I390" s="1" t="s">
        <v>129</v>
      </c>
      <c r="J390" s="1" t="s">
        <v>129</v>
      </c>
      <c r="K390" s="1">
        <v>18</v>
      </c>
      <c r="L390" s="1">
        <f>VLOOKUP($B390&amp;"__wt",'Xtal_SegEnds_BW#'!$A:$Z,12,FALSE)</f>
        <v>56</v>
      </c>
      <c r="M390" s="1">
        <f>VLOOKUP($B390&amp;"__wt",'Xtal_SegEnds_BW#'!$A:$Z,13,FALSE)</f>
        <v>50</v>
      </c>
      <c r="N390" s="1">
        <f>VLOOKUP($B390&amp;"__wt",'Xtal_SegEnds_BW#'!$A:$Z,14,FALSE)</f>
        <v>57</v>
      </c>
      <c r="O390" s="1">
        <f>VLOOKUP($B390&amp;"__wt",'Xtal_SegEnds_BW#'!$A:$Z,15,FALSE)</f>
        <v>39</v>
      </c>
      <c r="P390" s="1">
        <f>VLOOKUP($B390&amp;"__wt",'Xtal_SegEnds_BW#'!$A:$Z,16,FALSE)</f>
        <v>64</v>
      </c>
      <c r="Q390" s="1">
        <f>VLOOKUP($B390&amp;"__wt",'Xtal_SegEnds_BW#'!$A:$Z,17,FALSE)</f>
        <v>50</v>
      </c>
      <c r="R390" s="1">
        <f>VLOOKUP($B390&amp;"__wt",'Xtal_SegEnds_BW#'!$A:$Z,18,FALSE)</f>
        <v>52</v>
      </c>
      <c r="S390" s="1">
        <v>32</v>
      </c>
      <c r="T390" s="23">
        <v>72</v>
      </c>
      <c r="U390" s="1">
        <v>29</v>
      </c>
      <c r="V390" s="1">
        <v>61</v>
      </c>
      <c r="W390" s="1">
        <v>31</v>
      </c>
      <c r="X390" s="1">
        <f>VLOOKUP($B390&amp;"__wt",'Xtal_SegEnds_BW#'!$A:$Z,24,FALSE)</f>
        <v>56</v>
      </c>
      <c r="Y390" s="1">
        <f>VLOOKUP($B390&amp;"__wt",'Xtal_SegEnds_BW#'!$A:$Z,25,FALSE)</f>
        <v>47</v>
      </c>
      <c r="Z390" s="1">
        <v>60</v>
      </c>
      <c r="AA390" s="63" t="str">
        <f>VLOOKUP(A390,Classification!A:B,2,FALSE)</f>
        <v>T</v>
      </c>
      <c r="AB390" s="1">
        <f>VLOOKUP(A390,'NonXtal_SegEnds_Prot#'!A:AL,10,FALSE)-VLOOKUP(A390,'NonXtal_SegEnds_Prot#'!A:AL,7,FALSE)</f>
        <v>16</v>
      </c>
      <c r="AC390" s="1" t="e">
        <f>VLOOKUP(A390,'NonXtal_SegEnds_Prot#'!A:AL,13,FALSE)-VLOOKUP(A390,'NonXtal_SegEnds_Prot#'!A:AL,10,FALSE)</f>
        <v>#VALUE!</v>
      </c>
      <c r="AD390" s="1">
        <f>VLOOKUP(A390,'NonXtal_SegEnds_Prot#'!A:AL,16,FALSE)-VLOOKUP(A390,'NonXtal_SegEnds_Prot#'!A:AL,10,FALSE)</f>
        <v>53</v>
      </c>
      <c r="AE390" s="1" t="e">
        <f>VLOOKUP(A390,'NonXtal_SegEnds_Prot#'!A:AL,28,FALSE)-VLOOKUP(A390,'NonXtal_SegEnds_Prot#'!A:AL,25,FALSE)</f>
        <v>#VALUE!</v>
      </c>
      <c r="AF390" s="1">
        <f>VLOOKUP(A390,'NonXtal_SegEnds_Prot#'!A:AL,31,FALSE)-VLOOKUP(A390,'NonXtal_SegEnds_Prot#'!A:AL,28,FALSE)</f>
        <v>53</v>
      </c>
      <c r="AG390" s="1">
        <f>VLOOKUP(A390,'NonXtal_SegEnds_Prot#'!A:AL,34,FALSE)-VLOOKUP(A390,'NonXtal_SegEnds_Prot#'!A:AL,31,FALSE)</f>
        <v>36</v>
      </c>
    </row>
    <row r="391" spans="1:33" x14ac:dyDescent="0.2">
      <c r="A391" s="1" t="s">
        <v>660</v>
      </c>
      <c r="B391" s="1" t="str">
        <f>VLOOKUP(A391,Xtal_Templ!A:B,2,FALSE)</f>
        <v>acm3_rat</v>
      </c>
      <c r="C391" s="5">
        <v>32</v>
      </c>
      <c r="D391" s="1">
        <v>62</v>
      </c>
      <c r="E391" s="1">
        <f>VLOOKUP($B391&amp;"__wt",'Xtal_SegEnds_BW#'!$A:$Z,5,FALSE)</f>
        <v>48</v>
      </c>
      <c r="F391" s="1">
        <f>VLOOKUP($B391&amp;"__wt",'Xtal_SegEnds_BW#'!$A:$Z,6,FALSE)</f>
        <v>51</v>
      </c>
      <c r="G391" s="1">
        <v>39</v>
      </c>
      <c r="H391" s="1">
        <v>67</v>
      </c>
      <c r="I391" s="1" t="s">
        <v>129</v>
      </c>
      <c r="J391" s="1" t="s">
        <v>129</v>
      </c>
      <c r="K391" s="1">
        <v>18</v>
      </c>
      <c r="L391" s="1">
        <f>VLOOKUP($B391&amp;"__wt",'Xtal_SegEnds_BW#'!$A:$Z,12,FALSE)</f>
        <v>56</v>
      </c>
      <c r="M391" s="1">
        <f>VLOOKUP($B391&amp;"__wt",'Xtal_SegEnds_BW#'!$A:$Z,13,FALSE)</f>
        <v>50</v>
      </c>
      <c r="N391" s="1">
        <f>VLOOKUP($B391&amp;"__wt",'Xtal_SegEnds_BW#'!$A:$Z,14,FALSE)</f>
        <v>57</v>
      </c>
      <c r="O391" s="1">
        <f>VLOOKUP($B391&amp;"__wt",'Xtal_SegEnds_BW#'!$A:$Z,15,FALSE)</f>
        <v>39</v>
      </c>
      <c r="P391" s="1">
        <f>VLOOKUP($B391&amp;"__wt",'Xtal_SegEnds_BW#'!$A:$Z,16,FALSE)</f>
        <v>69</v>
      </c>
      <c r="Q391" s="1">
        <f>VLOOKUP($B391&amp;"__wt",'Xtal_SegEnds_BW#'!$A:$Z,17,FALSE)</f>
        <v>50</v>
      </c>
      <c r="R391" s="1">
        <f>VLOOKUP($B391&amp;"__wt",'Xtal_SegEnds_BW#'!$A:$Z,18,FALSE)</f>
        <v>52</v>
      </c>
      <c r="S391" s="1">
        <v>32</v>
      </c>
      <c r="T391" s="23">
        <v>72</v>
      </c>
      <c r="U391" s="1">
        <v>29</v>
      </c>
      <c r="V391" s="1">
        <v>61</v>
      </c>
      <c r="W391" s="1">
        <v>31</v>
      </c>
      <c r="X391" s="1">
        <f>VLOOKUP($B391&amp;"__wt",'Xtal_SegEnds_BW#'!$A:$Z,24,FALSE)</f>
        <v>56</v>
      </c>
      <c r="Y391" s="1">
        <f>VLOOKUP($B391&amp;"__wt",'Xtal_SegEnds_BW#'!$A:$Z,25,FALSE)</f>
        <v>47</v>
      </c>
      <c r="Z391" s="1">
        <v>60</v>
      </c>
      <c r="AA391" s="63" t="str">
        <f>VLOOKUP(A391,Classification!A:B,2,FALSE)</f>
        <v>T</v>
      </c>
      <c r="AB391" s="1">
        <f>VLOOKUP(A391,'NonXtal_SegEnds_Prot#'!A:AL,10,FALSE)-VLOOKUP(A391,'NonXtal_SegEnds_Prot#'!A:AL,7,FALSE)</f>
        <v>16</v>
      </c>
      <c r="AC391" s="1" t="e">
        <f>VLOOKUP(A391,'NonXtal_SegEnds_Prot#'!A:AL,13,FALSE)-VLOOKUP(A391,'NonXtal_SegEnds_Prot#'!A:AL,10,FALSE)</f>
        <v>#VALUE!</v>
      </c>
      <c r="AD391" s="1">
        <f>VLOOKUP(A391,'NonXtal_SegEnds_Prot#'!A:AL,16,FALSE)-VLOOKUP(A391,'NonXtal_SegEnds_Prot#'!A:AL,10,FALSE)</f>
        <v>52</v>
      </c>
      <c r="AE391" s="1" t="e">
        <f>VLOOKUP(A391,'NonXtal_SegEnds_Prot#'!A:AL,28,FALSE)-VLOOKUP(A391,'NonXtal_SegEnds_Prot#'!A:AL,25,FALSE)</f>
        <v>#VALUE!</v>
      </c>
      <c r="AF391" s="1">
        <f>VLOOKUP(A391,'NonXtal_SegEnds_Prot#'!A:AL,31,FALSE)-VLOOKUP(A391,'NonXtal_SegEnds_Prot#'!A:AL,28,FALSE)</f>
        <v>53</v>
      </c>
      <c r="AG391" s="1">
        <f>VLOOKUP(A391,'NonXtal_SegEnds_Prot#'!A:AL,34,FALSE)-VLOOKUP(A391,'NonXtal_SegEnds_Prot#'!A:AL,31,FALSE)</f>
        <v>35</v>
      </c>
    </row>
    <row r="392" spans="1:33" x14ac:dyDescent="0.2">
      <c r="A392" s="1" t="s">
        <v>661</v>
      </c>
      <c r="B392" s="1" t="str">
        <f>VLOOKUP(A392,Xtal_Templ!A:B,2,FALSE)</f>
        <v>oprm_mouse</v>
      </c>
      <c r="C392" s="5">
        <v>32</v>
      </c>
      <c r="D392" s="1">
        <v>62</v>
      </c>
      <c r="E392" s="1">
        <f>VLOOKUP($B392&amp;"__wt",'Xtal_SegEnds_BW#'!$A:$Z,5,FALSE)</f>
        <v>48</v>
      </c>
      <c r="F392" s="1">
        <f>VLOOKUP($B392&amp;"__wt",'Xtal_SegEnds_BW#'!$A:$Z,6,FALSE)</f>
        <v>51</v>
      </c>
      <c r="G392" s="1">
        <v>39</v>
      </c>
      <c r="H392" s="1">
        <v>67</v>
      </c>
      <c r="I392" s="1" t="s">
        <v>129</v>
      </c>
      <c r="J392" s="1" t="s">
        <v>129</v>
      </c>
      <c r="K392" s="1">
        <v>18</v>
      </c>
      <c r="L392" s="1">
        <f>VLOOKUP($B392&amp;"__wt",'Xtal_SegEnds_BW#'!$A:$Z,12,FALSE)</f>
        <v>56</v>
      </c>
      <c r="M392" s="1">
        <f>VLOOKUP($B392&amp;"__wt",'Xtal_SegEnds_BW#'!$A:$Z,13,FALSE)</f>
        <v>50</v>
      </c>
      <c r="N392" s="1">
        <f>VLOOKUP($B392&amp;"__wt",'Xtal_SegEnds_BW#'!$A:$Z,14,FALSE)</f>
        <v>57</v>
      </c>
      <c r="O392" s="1">
        <f>VLOOKUP($B392&amp;"__wt",'Xtal_SegEnds_BW#'!$A:$Z,15,FALSE)</f>
        <v>39</v>
      </c>
      <c r="P392" s="1">
        <f>VLOOKUP($B392&amp;"__wt",'Xtal_SegEnds_BW#'!$A:$Z,16,FALSE)</f>
        <v>64</v>
      </c>
      <c r="Q392" s="1">
        <f>VLOOKUP($B392&amp;"__wt",'Xtal_SegEnds_BW#'!$A:$Z,17,FALSE)</f>
        <v>50</v>
      </c>
      <c r="R392" s="1">
        <f>VLOOKUP($B392&amp;"__wt",'Xtal_SegEnds_BW#'!$A:$Z,18,FALSE)</f>
        <v>52</v>
      </c>
      <c r="S392" s="1">
        <v>32</v>
      </c>
      <c r="T392" s="23">
        <v>72</v>
      </c>
      <c r="U392" s="1">
        <v>29</v>
      </c>
      <c r="V392" s="1">
        <v>61</v>
      </c>
      <c r="W392" s="1">
        <v>31</v>
      </c>
      <c r="X392" s="1">
        <f>VLOOKUP($B392&amp;"__wt",'Xtal_SegEnds_BW#'!$A:$Z,24,FALSE)</f>
        <v>56</v>
      </c>
      <c r="Y392" s="1">
        <f>VLOOKUP($B392&amp;"__wt",'Xtal_SegEnds_BW#'!$A:$Z,25,FALSE)</f>
        <v>47</v>
      </c>
      <c r="Z392" s="1">
        <v>60</v>
      </c>
      <c r="AA392" s="63" t="str">
        <f>VLOOKUP(A392,Classification!A:B,2,FALSE)</f>
        <v>T</v>
      </c>
      <c r="AB392" s="1">
        <f>VLOOKUP(A392,'NonXtal_SegEnds_Prot#'!A:AL,10,FALSE)-VLOOKUP(A392,'NonXtal_SegEnds_Prot#'!A:AL,7,FALSE)</f>
        <v>16</v>
      </c>
      <c r="AC392" s="1" t="e">
        <f>VLOOKUP(A392,'NonXtal_SegEnds_Prot#'!A:AL,13,FALSE)-VLOOKUP(A392,'NonXtal_SegEnds_Prot#'!A:AL,10,FALSE)</f>
        <v>#VALUE!</v>
      </c>
      <c r="AD392" s="1">
        <f>VLOOKUP(A392,'NonXtal_SegEnds_Prot#'!A:AL,16,FALSE)-VLOOKUP(A392,'NonXtal_SegEnds_Prot#'!A:AL,10,FALSE)</f>
        <v>52</v>
      </c>
      <c r="AE392" s="1" t="e">
        <f>VLOOKUP(A392,'NonXtal_SegEnds_Prot#'!A:AL,28,FALSE)-VLOOKUP(A392,'NonXtal_SegEnds_Prot#'!A:AL,25,FALSE)</f>
        <v>#VALUE!</v>
      </c>
      <c r="AF392" s="1">
        <f>VLOOKUP(A392,'NonXtal_SegEnds_Prot#'!A:AL,31,FALSE)-VLOOKUP(A392,'NonXtal_SegEnds_Prot#'!A:AL,28,FALSE)</f>
        <v>53</v>
      </c>
      <c r="AG392" s="1">
        <f>VLOOKUP(A392,'NonXtal_SegEnds_Prot#'!A:AL,34,FALSE)-VLOOKUP(A392,'NonXtal_SegEnds_Prot#'!A:AL,31,FALSE)</f>
        <v>35</v>
      </c>
    </row>
    <row r="393" spans="1:33" x14ac:dyDescent="0.2">
      <c r="A393" s="1" t="s">
        <v>662</v>
      </c>
      <c r="B393" s="1" t="str">
        <f>VLOOKUP(A393,Xtal_Templ!A:B,2,FALSE)</f>
        <v>agtr1_human</v>
      </c>
      <c r="C393" s="5">
        <v>32</v>
      </c>
      <c r="D393" s="1">
        <v>62</v>
      </c>
      <c r="E393" s="1">
        <f>VLOOKUP($B393&amp;"__wt",'Xtal_SegEnds_BW#'!$A:$Z,5,FALSE)</f>
        <v>48</v>
      </c>
      <c r="F393" s="1">
        <f>VLOOKUP($B393&amp;"__wt",'Xtal_SegEnds_BW#'!$A:$Z,6,FALSE)</f>
        <v>51</v>
      </c>
      <c r="G393" s="1">
        <v>39</v>
      </c>
      <c r="H393" s="1">
        <v>67</v>
      </c>
      <c r="I393" s="1" t="s">
        <v>129</v>
      </c>
      <c r="J393" s="1" t="s">
        <v>129</v>
      </c>
      <c r="K393" s="1">
        <v>18</v>
      </c>
      <c r="L393" s="1">
        <f>VLOOKUP($B393&amp;"__wt",'Xtal_SegEnds_BW#'!$A:$Z,12,FALSE)</f>
        <v>56</v>
      </c>
      <c r="M393" s="1">
        <f>VLOOKUP($B393&amp;"__wt",'Xtal_SegEnds_BW#'!$A:$Z,13,FALSE)</f>
        <v>50</v>
      </c>
      <c r="N393" s="1">
        <f>VLOOKUP($B393&amp;"__wt",'Xtal_SegEnds_BW#'!$A:$Z,14,FALSE)</f>
        <v>57</v>
      </c>
      <c r="O393" s="1">
        <f>VLOOKUP($B393&amp;"__wt",'Xtal_SegEnds_BW#'!$A:$Z,15,FALSE)</f>
        <v>39</v>
      </c>
      <c r="P393" s="1">
        <f>VLOOKUP($B393&amp;"__wt",'Xtal_SegEnds_BW#'!$A:$Z,16,FALSE)</f>
        <v>64</v>
      </c>
      <c r="Q393" s="1">
        <f>VLOOKUP($B393&amp;"__wt",'Xtal_SegEnds_BW#'!$A:$Z,17,FALSE)</f>
        <v>50</v>
      </c>
      <c r="R393" s="1">
        <f>VLOOKUP($B393&amp;"__wt",'Xtal_SegEnds_BW#'!$A:$Z,18,FALSE)</f>
        <v>52</v>
      </c>
      <c r="S393" s="1">
        <v>32</v>
      </c>
      <c r="T393" s="23">
        <v>72</v>
      </c>
      <c r="U393" s="1">
        <v>29</v>
      </c>
      <c r="V393" s="1">
        <v>61</v>
      </c>
      <c r="W393" s="1">
        <v>31</v>
      </c>
      <c r="X393" s="1">
        <f>VLOOKUP($B393&amp;"__wt",'Xtal_SegEnds_BW#'!$A:$Z,24,FALSE)</f>
        <v>56</v>
      </c>
      <c r="Y393" s="1">
        <f>VLOOKUP($B393&amp;"__wt",'Xtal_SegEnds_BW#'!$A:$Z,25,FALSE)</f>
        <v>47</v>
      </c>
      <c r="Z393" s="1">
        <v>60</v>
      </c>
      <c r="AA393" s="63" t="str">
        <f>VLOOKUP(A393,Classification!A:B,2,FALSE)</f>
        <v>T</v>
      </c>
      <c r="AB393" s="1">
        <f>VLOOKUP(A393,'NonXtal_SegEnds_Prot#'!A:AL,10,FALSE)-VLOOKUP(A393,'NonXtal_SegEnds_Prot#'!A:AL,7,FALSE)</f>
        <v>16</v>
      </c>
      <c r="AC393" s="1" t="e">
        <f>VLOOKUP(A393,'NonXtal_SegEnds_Prot#'!A:AL,13,FALSE)-VLOOKUP(A393,'NonXtal_SegEnds_Prot#'!A:AL,10,FALSE)</f>
        <v>#VALUE!</v>
      </c>
      <c r="AD393" s="1">
        <f>VLOOKUP(A393,'NonXtal_SegEnds_Prot#'!A:AL,16,FALSE)-VLOOKUP(A393,'NonXtal_SegEnds_Prot#'!A:AL,10,FALSE)</f>
        <v>52</v>
      </c>
      <c r="AE393" s="1" t="e">
        <f>VLOOKUP(A393,'NonXtal_SegEnds_Prot#'!A:AL,28,FALSE)-VLOOKUP(A393,'NonXtal_SegEnds_Prot#'!A:AL,25,FALSE)</f>
        <v>#VALUE!</v>
      </c>
      <c r="AF393" s="1">
        <f>VLOOKUP(A393,'NonXtal_SegEnds_Prot#'!A:AL,31,FALSE)-VLOOKUP(A393,'NonXtal_SegEnds_Prot#'!A:AL,28,FALSE)</f>
        <v>53</v>
      </c>
      <c r="AG393" s="1">
        <f>VLOOKUP(A393,'NonXtal_SegEnds_Prot#'!A:AL,34,FALSE)-VLOOKUP(A393,'NonXtal_SegEnds_Prot#'!A:AL,31,FALSE)</f>
        <v>35</v>
      </c>
    </row>
    <row r="394" spans="1:33" x14ac:dyDescent="0.2">
      <c r="A394" s="1" t="s">
        <v>663</v>
      </c>
      <c r="B394" s="1" t="str">
        <f>VLOOKUP(A394,Xtal_Templ!A:B,2,FALSE)</f>
        <v>agtr1_human</v>
      </c>
      <c r="C394" s="5">
        <v>32</v>
      </c>
      <c r="D394" s="1">
        <v>62</v>
      </c>
      <c r="E394" s="1">
        <f>VLOOKUP($B394&amp;"__wt",'Xtal_SegEnds_BW#'!$A:$Z,5,FALSE)</f>
        <v>48</v>
      </c>
      <c r="F394" s="1">
        <f>VLOOKUP($B394&amp;"__wt",'Xtal_SegEnds_BW#'!$A:$Z,6,FALSE)</f>
        <v>51</v>
      </c>
      <c r="G394" s="1">
        <v>39</v>
      </c>
      <c r="H394" s="1">
        <v>67</v>
      </c>
      <c r="I394" s="1" t="s">
        <v>129</v>
      </c>
      <c r="J394" s="1" t="s">
        <v>129</v>
      </c>
      <c r="K394" s="1">
        <v>18</v>
      </c>
      <c r="L394" s="1">
        <f>VLOOKUP($B394&amp;"__wt",'Xtal_SegEnds_BW#'!$A:$Z,12,FALSE)</f>
        <v>56</v>
      </c>
      <c r="M394" s="1">
        <f>VLOOKUP($B394&amp;"__wt",'Xtal_SegEnds_BW#'!$A:$Z,13,FALSE)</f>
        <v>50</v>
      </c>
      <c r="N394" s="1">
        <f>VLOOKUP($B394&amp;"__wt",'Xtal_SegEnds_BW#'!$A:$Z,14,FALSE)</f>
        <v>57</v>
      </c>
      <c r="O394" s="1">
        <f>VLOOKUP($B394&amp;"__wt",'Xtal_SegEnds_BW#'!$A:$Z,15,FALSE)</f>
        <v>39</v>
      </c>
      <c r="P394" s="1">
        <f>VLOOKUP($B394&amp;"__wt",'Xtal_SegEnds_BW#'!$A:$Z,16,FALSE)</f>
        <v>64</v>
      </c>
      <c r="Q394" s="1">
        <f>VLOOKUP($B394&amp;"__wt",'Xtal_SegEnds_BW#'!$A:$Z,17,FALSE)</f>
        <v>50</v>
      </c>
      <c r="R394" s="1">
        <f>VLOOKUP($B394&amp;"__wt",'Xtal_SegEnds_BW#'!$A:$Z,18,FALSE)</f>
        <v>52</v>
      </c>
      <c r="S394" s="1">
        <v>32</v>
      </c>
      <c r="T394" s="23">
        <v>72</v>
      </c>
      <c r="U394" s="1">
        <v>29</v>
      </c>
      <c r="V394" s="1">
        <v>61</v>
      </c>
      <c r="W394" s="1">
        <v>31</v>
      </c>
      <c r="X394" s="1">
        <f>VLOOKUP($B394&amp;"__wt",'Xtal_SegEnds_BW#'!$A:$Z,24,FALSE)</f>
        <v>56</v>
      </c>
      <c r="Y394" s="1">
        <f>VLOOKUP($B394&amp;"__wt",'Xtal_SegEnds_BW#'!$A:$Z,25,FALSE)</f>
        <v>47</v>
      </c>
      <c r="Z394" s="1">
        <v>60</v>
      </c>
      <c r="AA394" s="63" t="str">
        <f>VLOOKUP(A394,Classification!A:B,2,FALSE)</f>
        <v>T</v>
      </c>
      <c r="AB394" s="1">
        <f>VLOOKUP(A394,'NonXtal_SegEnds_Prot#'!A:AL,10,FALSE)-VLOOKUP(A394,'NonXtal_SegEnds_Prot#'!A:AL,7,FALSE)</f>
        <v>16</v>
      </c>
      <c r="AC394" s="1" t="e">
        <f>VLOOKUP(A394,'NonXtal_SegEnds_Prot#'!A:AL,13,FALSE)-VLOOKUP(A394,'NonXtal_SegEnds_Prot#'!A:AL,10,FALSE)</f>
        <v>#VALUE!</v>
      </c>
      <c r="AD394" s="1">
        <f>VLOOKUP(A394,'NonXtal_SegEnds_Prot#'!A:AL,16,FALSE)-VLOOKUP(A394,'NonXtal_SegEnds_Prot#'!A:AL,10,FALSE)</f>
        <v>52</v>
      </c>
      <c r="AE394" s="1" t="e">
        <f>VLOOKUP(A394,'NonXtal_SegEnds_Prot#'!A:AL,28,FALSE)-VLOOKUP(A394,'NonXtal_SegEnds_Prot#'!A:AL,25,FALSE)</f>
        <v>#VALUE!</v>
      </c>
      <c r="AF394" s="1">
        <f>VLOOKUP(A394,'NonXtal_SegEnds_Prot#'!A:AL,31,FALSE)-VLOOKUP(A394,'NonXtal_SegEnds_Prot#'!A:AL,28,FALSE)</f>
        <v>53</v>
      </c>
      <c r="AG394" s="1">
        <f>VLOOKUP(A394,'NonXtal_SegEnds_Prot#'!A:AL,34,FALSE)-VLOOKUP(A394,'NonXtal_SegEnds_Prot#'!A:AL,31,FALSE)</f>
        <v>36</v>
      </c>
    </row>
    <row r="395" spans="1:33" x14ac:dyDescent="0.2">
      <c r="A395" s="1" t="s">
        <v>664</v>
      </c>
      <c r="B395" s="1" t="str">
        <f>VLOOKUP(A395,Xtal_Templ!A:B,2,FALSE)</f>
        <v>agtr1_human</v>
      </c>
      <c r="C395" s="5">
        <v>32</v>
      </c>
      <c r="D395" s="1">
        <v>62</v>
      </c>
      <c r="E395" s="1">
        <f>VLOOKUP($B395&amp;"__wt",'Xtal_SegEnds_BW#'!$A:$Z,5,FALSE)</f>
        <v>48</v>
      </c>
      <c r="F395" s="1">
        <f>VLOOKUP($B395&amp;"__wt",'Xtal_SegEnds_BW#'!$A:$Z,6,FALSE)</f>
        <v>51</v>
      </c>
      <c r="G395" s="1">
        <v>39</v>
      </c>
      <c r="H395" s="1">
        <v>66</v>
      </c>
      <c r="I395" s="1" t="s">
        <v>129</v>
      </c>
      <c r="J395" s="1" t="s">
        <v>129</v>
      </c>
      <c r="K395" s="1">
        <v>18</v>
      </c>
      <c r="L395" s="1">
        <f>VLOOKUP($B395&amp;"__wt",'Xtal_SegEnds_BW#'!$A:$Z,12,FALSE)</f>
        <v>56</v>
      </c>
      <c r="M395" s="1">
        <f>VLOOKUP($B395&amp;"__wt",'Xtal_SegEnds_BW#'!$A:$Z,13,FALSE)</f>
        <v>50</v>
      </c>
      <c r="N395" s="1">
        <f>VLOOKUP($B395&amp;"__wt",'Xtal_SegEnds_BW#'!$A:$Z,14,FALSE)</f>
        <v>57</v>
      </c>
      <c r="O395" s="1">
        <f>VLOOKUP($B395&amp;"__wt",'Xtal_SegEnds_BW#'!$A:$Z,15,FALSE)</f>
        <v>39</v>
      </c>
      <c r="P395" s="1">
        <f>VLOOKUP($B395&amp;"__wt",'Xtal_SegEnds_BW#'!$A:$Z,16,FALSE)</f>
        <v>64</v>
      </c>
      <c r="Q395" s="1">
        <f>VLOOKUP($B395&amp;"__wt",'Xtal_SegEnds_BW#'!$A:$Z,17,FALSE)</f>
        <v>50</v>
      </c>
      <c r="R395" s="1">
        <f>VLOOKUP($B395&amp;"__wt",'Xtal_SegEnds_BW#'!$A:$Z,18,FALSE)</f>
        <v>52</v>
      </c>
      <c r="S395" s="1">
        <v>32</v>
      </c>
      <c r="T395" s="23">
        <v>72</v>
      </c>
      <c r="U395" s="1">
        <v>29</v>
      </c>
      <c r="V395" s="1">
        <v>61</v>
      </c>
      <c r="W395" s="1">
        <v>31</v>
      </c>
      <c r="X395" s="1">
        <f>VLOOKUP($B395&amp;"__wt",'Xtal_SegEnds_BW#'!$A:$Z,24,FALSE)</f>
        <v>56</v>
      </c>
      <c r="Y395" s="1">
        <f>VLOOKUP($B395&amp;"__wt",'Xtal_SegEnds_BW#'!$A:$Z,25,FALSE)</f>
        <v>47</v>
      </c>
      <c r="Z395" s="1">
        <v>60</v>
      </c>
      <c r="AA395" s="63" t="str">
        <f>VLOOKUP(A395,Classification!A:B,2,FALSE)</f>
        <v>T</v>
      </c>
      <c r="AB395" s="1">
        <f>VLOOKUP(A395,'NonXtal_SegEnds_Prot#'!A:AL,10,FALSE)-VLOOKUP(A395,'NonXtal_SegEnds_Prot#'!A:AL,7,FALSE)</f>
        <v>16</v>
      </c>
      <c r="AC395" s="1" t="e">
        <f>VLOOKUP(A395,'NonXtal_SegEnds_Prot#'!A:AL,13,FALSE)-VLOOKUP(A395,'NonXtal_SegEnds_Prot#'!A:AL,10,FALSE)</f>
        <v>#VALUE!</v>
      </c>
      <c r="AD395" s="1">
        <f>VLOOKUP(A395,'NonXtal_SegEnds_Prot#'!A:AL,16,FALSE)-VLOOKUP(A395,'NonXtal_SegEnds_Prot#'!A:AL,10,FALSE)</f>
        <v>51</v>
      </c>
      <c r="AE395" s="1" t="e">
        <f>VLOOKUP(A395,'NonXtal_SegEnds_Prot#'!A:AL,28,FALSE)-VLOOKUP(A395,'NonXtal_SegEnds_Prot#'!A:AL,25,FALSE)</f>
        <v>#VALUE!</v>
      </c>
      <c r="AF395" s="1">
        <f>VLOOKUP(A395,'NonXtal_SegEnds_Prot#'!A:AL,31,FALSE)-VLOOKUP(A395,'NonXtal_SegEnds_Prot#'!A:AL,28,FALSE)</f>
        <v>53</v>
      </c>
      <c r="AG395" s="1">
        <f>VLOOKUP(A395,'NonXtal_SegEnds_Prot#'!A:AL,34,FALSE)-VLOOKUP(A395,'NonXtal_SegEnds_Prot#'!A:AL,31,FALSE)</f>
        <v>36</v>
      </c>
    </row>
    <row r="396" spans="1:33" x14ac:dyDescent="0.2">
      <c r="A396" s="1" t="s">
        <v>665</v>
      </c>
      <c r="B396" s="1" t="str">
        <f>VLOOKUP(A396,Xtal_Templ!A:B,2,FALSE)</f>
        <v>agtr1_human</v>
      </c>
      <c r="C396" s="5">
        <v>32</v>
      </c>
      <c r="D396" s="1">
        <v>62</v>
      </c>
      <c r="E396" s="1">
        <f>VLOOKUP($B396&amp;"__wt",'Xtal_SegEnds_BW#'!$A:$Z,5,FALSE)</f>
        <v>48</v>
      </c>
      <c r="F396" s="1">
        <f>VLOOKUP($B396&amp;"__wt",'Xtal_SegEnds_BW#'!$A:$Z,6,FALSE)</f>
        <v>51</v>
      </c>
      <c r="G396" s="1">
        <v>39</v>
      </c>
      <c r="H396" s="1">
        <v>66</v>
      </c>
      <c r="I396" s="1" t="s">
        <v>129</v>
      </c>
      <c r="J396" s="1" t="s">
        <v>129</v>
      </c>
      <c r="K396" s="1">
        <v>18</v>
      </c>
      <c r="L396" s="1">
        <f>VLOOKUP($B396&amp;"__wt",'Xtal_SegEnds_BW#'!$A:$Z,12,FALSE)</f>
        <v>56</v>
      </c>
      <c r="M396" s="1">
        <f>VLOOKUP($B396&amp;"__wt",'Xtal_SegEnds_BW#'!$A:$Z,13,FALSE)</f>
        <v>50</v>
      </c>
      <c r="N396" s="1">
        <f>VLOOKUP($B396&amp;"__wt",'Xtal_SegEnds_BW#'!$A:$Z,14,FALSE)</f>
        <v>57</v>
      </c>
      <c r="O396" s="1">
        <f>VLOOKUP($B396&amp;"__wt",'Xtal_SegEnds_BW#'!$A:$Z,15,FALSE)</f>
        <v>39</v>
      </c>
      <c r="P396" s="1">
        <f>VLOOKUP($B396&amp;"__wt",'Xtal_SegEnds_BW#'!$A:$Z,16,FALSE)</f>
        <v>64</v>
      </c>
      <c r="Q396" s="1">
        <f>VLOOKUP($B396&amp;"__wt",'Xtal_SegEnds_BW#'!$A:$Z,17,FALSE)</f>
        <v>50</v>
      </c>
      <c r="R396" s="1">
        <f>VLOOKUP($B396&amp;"__wt",'Xtal_SegEnds_BW#'!$A:$Z,18,FALSE)</f>
        <v>52</v>
      </c>
      <c r="S396" s="1">
        <v>32</v>
      </c>
      <c r="T396" s="23">
        <v>72</v>
      </c>
      <c r="U396" s="1">
        <v>29</v>
      </c>
      <c r="V396" s="1">
        <v>61</v>
      </c>
      <c r="W396" s="1">
        <v>31</v>
      </c>
      <c r="X396" s="1">
        <f>VLOOKUP($B396&amp;"__wt",'Xtal_SegEnds_BW#'!$A:$Z,24,FALSE)</f>
        <v>56</v>
      </c>
      <c r="Y396" s="1">
        <f>VLOOKUP($B396&amp;"__wt",'Xtal_SegEnds_BW#'!$A:$Z,25,FALSE)</f>
        <v>47</v>
      </c>
      <c r="Z396" s="1">
        <v>60</v>
      </c>
      <c r="AA396" s="63" t="str">
        <f>VLOOKUP(A396,Classification!A:B,2,FALSE)</f>
        <v>T</v>
      </c>
      <c r="AB396" s="1">
        <f>VLOOKUP(A396,'NonXtal_SegEnds_Prot#'!A:AL,10,FALSE)-VLOOKUP(A396,'NonXtal_SegEnds_Prot#'!A:AL,7,FALSE)</f>
        <v>16</v>
      </c>
      <c r="AC396" s="1" t="e">
        <f>VLOOKUP(A396,'NonXtal_SegEnds_Prot#'!A:AL,13,FALSE)-VLOOKUP(A396,'NonXtal_SegEnds_Prot#'!A:AL,10,FALSE)</f>
        <v>#VALUE!</v>
      </c>
      <c r="AD396" s="1">
        <f>VLOOKUP(A396,'NonXtal_SegEnds_Prot#'!A:AL,16,FALSE)-VLOOKUP(A396,'NonXtal_SegEnds_Prot#'!A:AL,10,FALSE)</f>
        <v>51</v>
      </c>
      <c r="AE396" s="1" t="e">
        <f>VLOOKUP(A396,'NonXtal_SegEnds_Prot#'!A:AL,28,FALSE)-VLOOKUP(A396,'NonXtal_SegEnds_Prot#'!A:AL,25,FALSE)</f>
        <v>#VALUE!</v>
      </c>
      <c r="AF396" s="1">
        <f>VLOOKUP(A396,'NonXtal_SegEnds_Prot#'!A:AL,31,FALSE)-VLOOKUP(A396,'NonXtal_SegEnds_Prot#'!A:AL,28,FALSE)</f>
        <v>53</v>
      </c>
      <c r="AG396" s="1">
        <f>VLOOKUP(A396,'NonXtal_SegEnds_Prot#'!A:AL,34,FALSE)-VLOOKUP(A396,'NonXtal_SegEnds_Prot#'!A:AL,31,FALSE)</f>
        <v>36</v>
      </c>
    </row>
    <row r="397" spans="1:33" x14ac:dyDescent="0.2">
      <c r="A397" s="1" t="s">
        <v>666</v>
      </c>
      <c r="B397" s="1" t="str">
        <f>VLOOKUP(A397,Xtal_Templ!A:B,2,FALSE)</f>
        <v>agtr1_human</v>
      </c>
      <c r="C397" s="5">
        <v>32</v>
      </c>
      <c r="D397" s="1">
        <v>62</v>
      </c>
      <c r="E397" s="1">
        <f>VLOOKUP($B397&amp;"__wt",'Xtal_SegEnds_BW#'!$A:$Z,5,FALSE)</f>
        <v>48</v>
      </c>
      <c r="F397" s="1">
        <f>VLOOKUP($B397&amp;"__wt",'Xtal_SegEnds_BW#'!$A:$Z,6,FALSE)</f>
        <v>51</v>
      </c>
      <c r="G397" s="1">
        <v>39</v>
      </c>
      <c r="H397" s="1">
        <v>66</v>
      </c>
      <c r="I397" s="1" t="s">
        <v>129</v>
      </c>
      <c r="J397" s="1" t="s">
        <v>129</v>
      </c>
      <c r="K397" s="1">
        <v>18</v>
      </c>
      <c r="L397" s="1">
        <f>VLOOKUP($B397&amp;"__wt",'Xtal_SegEnds_BW#'!$A:$Z,12,FALSE)</f>
        <v>56</v>
      </c>
      <c r="M397" s="1">
        <f>VLOOKUP($B397&amp;"__wt",'Xtal_SegEnds_BW#'!$A:$Z,13,FALSE)</f>
        <v>50</v>
      </c>
      <c r="N397" s="1">
        <f>VLOOKUP($B397&amp;"__wt",'Xtal_SegEnds_BW#'!$A:$Z,14,FALSE)</f>
        <v>57</v>
      </c>
      <c r="O397" s="1">
        <f>VLOOKUP($B397&amp;"__wt",'Xtal_SegEnds_BW#'!$A:$Z,15,FALSE)</f>
        <v>39</v>
      </c>
      <c r="P397" s="1">
        <f>VLOOKUP($B397&amp;"__wt",'Xtal_SegEnds_BW#'!$A:$Z,16,FALSE)</f>
        <v>64</v>
      </c>
      <c r="Q397" s="1">
        <f>VLOOKUP($B397&amp;"__wt",'Xtal_SegEnds_BW#'!$A:$Z,17,FALSE)</f>
        <v>50</v>
      </c>
      <c r="R397" s="1">
        <f>VLOOKUP($B397&amp;"__wt",'Xtal_SegEnds_BW#'!$A:$Z,18,FALSE)</f>
        <v>52</v>
      </c>
      <c r="S397" s="1">
        <v>32</v>
      </c>
      <c r="T397" s="23">
        <v>72</v>
      </c>
      <c r="U397" s="1">
        <v>29</v>
      </c>
      <c r="V397" s="1">
        <v>61</v>
      </c>
      <c r="W397" s="1">
        <v>31</v>
      </c>
      <c r="X397" s="1">
        <f>VLOOKUP($B397&amp;"__wt",'Xtal_SegEnds_BW#'!$A:$Z,24,FALSE)</f>
        <v>56</v>
      </c>
      <c r="Y397" s="1">
        <f>VLOOKUP($B397&amp;"__wt",'Xtal_SegEnds_BW#'!$A:$Z,25,FALSE)</f>
        <v>47</v>
      </c>
      <c r="Z397" s="1">
        <v>60</v>
      </c>
      <c r="AA397" s="63" t="str">
        <f>VLOOKUP(A397,Classification!A:B,2,FALSE)</f>
        <v>T</v>
      </c>
      <c r="AB397" s="1">
        <f>VLOOKUP(A397,'NonXtal_SegEnds_Prot#'!A:AL,10,FALSE)-VLOOKUP(A397,'NonXtal_SegEnds_Prot#'!A:AL,7,FALSE)</f>
        <v>16</v>
      </c>
      <c r="AC397" s="1" t="e">
        <f>VLOOKUP(A397,'NonXtal_SegEnds_Prot#'!A:AL,13,FALSE)-VLOOKUP(A397,'NonXtal_SegEnds_Prot#'!A:AL,10,FALSE)</f>
        <v>#VALUE!</v>
      </c>
      <c r="AD397" s="1">
        <f>VLOOKUP(A397,'NonXtal_SegEnds_Prot#'!A:AL,16,FALSE)-VLOOKUP(A397,'NonXtal_SegEnds_Prot#'!A:AL,10,FALSE)</f>
        <v>51</v>
      </c>
      <c r="AE397" s="1" t="e">
        <f>VLOOKUP(A397,'NonXtal_SegEnds_Prot#'!A:AL,28,FALSE)-VLOOKUP(A397,'NonXtal_SegEnds_Prot#'!A:AL,25,FALSE)</f>
        <v>#VALUE!</v>
      </c>
      <c r="AF397" s="1">
        <f>VLOOKUP(A397,'NonXtal_SegEnds_Prot#'!A:AL,31,FALSE)-VLOOKUP(A397,'NonXtal_SegEnds_Prot#'!A:AL,28,FALSE)</f>
        <v>53</v>
      </c>
      <c r="AG397" s="1">
        <f>VLOOKUP(A397,'NonXtal_SegEnds_Prot#'!A:AL,34,FALSE)-VLOOKUP(A397,'NonXtal_SegEnds_Prot#'!A:AL,31,FALSE)</f>
        <v>36</v>
      </c>
    </row>
    <row r="398" spans="1:33" x14ac:dyDescent="0.2">
      <c r="A398" s="1" t="s">
        <v>667</v>
      </c>
      <c r="B398" s="1" t="str">
        <f>VLOOKUP(A398,Xtal_Templ!A:B,2,FALSE)</f>
        <v>5ht1b_human</v>
      </c>
      <c r="C398" s="5">
        <v>32</v>
      </c>
      <c r="D398" s="1">
        <v>62</v>
      </c>
      <c r="E398" s="1">
        <f>VLOOKUP($B398&amp;"__wt",'Xtal_SegEnds_BW#'!$A:$Z,5,FALSE)</f>
        <v>48</v>
      </c>
      <c r="F398" s="1">
        <f>VLOOKUP($B398&amp;"__wt",'Xtal_SegEnds_BW#'!$A:$Z,6,FALSE)</f>
        <v>51</v>
      </c>
      <c r="G398" s="1">
        <v>39</v>
      </c>
      <c r="H398" s="1">
        <v>67</v>
      </c>
      <c r="I398" s="1" t="s">
        <v>129</v>
      </c>
      <c r="J398" s="1" t="s">
        <v>129</v>
      </c>
      <c r="K398" s="1">
        <v>18</v>
      </c>
      <c r="L398" s="1">
        <f>VLOOKUP($B398&amp;"__wt",'Xtal_SegEnds_BW#'!$A:$Z,12,FALSE)</f>
        <v>56</v>
      </c>
      <c r="M398" s="1">
        <f>VLOOKUP($B398&amp;"__wt",'Xtal_SegEnds_BW#'!$A:$Z,13,FALSE)</f>
        <v>50</v>
      </c>
      <c r="N398" s="1">
        <f>VLOOKUP($B398&amp;"__wt",'Xtal_SegEnds_BW#'!$A:$Z,14,FALSE)</f>
        <v>57</v>
      </c>
      <c r="O398" s="1">
        <f>VLOOKUP($B398&amp;"__wt",'Xtal_SegEnds_BW#'!$A:$Z,15,FALSE)</f>
        <v>39</v>
      </c>
      <c r="P398" s="1">
        <f>VLOOKUP($B398&amp;"__wt",'Xtal_SegEnds_BW#'!$A:$Z,16,FALSE)</f>
        <v>63</v>
      </c>
      <c r="Q398" s="1">
        <f>VLOOKUP($B398&amp;"__wt",'Xtal_SegEnds_BW#'!$A:$Z,17,FALSE)</f>
        <v>50</v>
      </c>
      <c r="R398" s="1">
        <f>VLOOKUP($B398&amp;"__wt",'Xtal_SegEnds_BW#'!$A:$Z,18,FALSE)</f>
        <v>52</v>
      </c>
      <c r="S398" s="1">
        <v>32</v>
      </c>
      <c r="T398" s="23">
        <v>72</v>
      </c>
      <c r="U398" s="1">
        <v>29</v>
      </c>
      <c r="V398" s="1">
        <v>61</v>
      </c>
      <c r="W398" s="1">
        <v>31</v>
      </c>
      <c r="X398" s="1">
        <f>VLOOKUP($B398&amp;"__wt",'Xtal_SegEnds_BW#'!$A:$Z,24,FALSE)</f>
        <v>56</v>
      </c>
      <c r="Y398" s="1">
        <f>VLOOKUP($B398&amp;"__wt",'Xtal_SegEnds_BW#'!$A:$Z,25,FALSE)</f>
        <v>47</v>
      </c>
      <c r="Z398" s="1">
        <v>60</v>
      </c>
      <c r="AA398" s="63" t="str">
        <f>VLOOKUP(A398,Classification!A:B,2,FALSE)</f>
        <v>T</v>
      </c>
      <c r="AB398" s="1">
        <f>VLOOKUP(A398,'NonXtal_SegEnds_Prot#'!A:AL,10,FALSE)-VLOOKUP(A398,'NonXtal_SegEnds_Prot#'!A:AL,7,FALSE)</f>
        <v>16</v>
      </c>
      <c r="AC398" s="1" t="e">
        <f>VLOOKUP(A398,'NonXtal_SegEnds_Prot#'!A:AL,13,FALSE)-VLOOKUP(A398,'NonXtal_SegEnds_Prot#'!A:AL,10,FALSE)</f>
        <v>#VALUE!</v>
      </c>
      <c r="AD398" s="1">
        <f>VLOOKUP(A398,'NonXtal_SegEnds_Prot#'!A:AL,16,FALSE)-VLOOKUP(A398,'NonXtal_SegEnds_Prot#'!A:AL,10,FALSE)</f>
        <v>52</v>
      </c>
      <c r="AE398" s="1" t="e">
        <f>VLOOKUP(A398,'NonXtal_SegEnds_Prot#'!A:AL,28,FALSE)-VLOOKUP(A398,'NonXtal_SegEnds_Prot#'!A:AL,25,FALSE)</f>
        <v>#VALUE!</v>
      </c>
      <c r="AF398" s="1">
        <f>VLOOKUP(A398,'NonXtal_SegEnds_Prot#'!A:AL,31,FALSE)-VLOOKUP(A398,'NonXtal_SegEnds_Prot#'!A:AL,28,FALSE)</f>
        <v>53</v>
      </c>
      <c r="AG398" s="1">
        <f>VLOOKUP(A398,'NonXtal_SegEnds_Prot#'!A:AL,34,FALSE)-VLOOKUP(A398,'NonXtal_SegEnds_Prot#'!A:AL,31,FALSE)</f>
        <v>35</v>
      </c>
    </row>
    <row r="399" spans="1:33" x14ac:dyDescent="0.2">
      <c r="A399" s="1" t="s">
        <v>669</v>
      </c>
      <c r="B399" s="1" t="str">
        <f>VLOOKUP(A399,Xtal_Templ!A:B,2,FALSE)</f>
        <v>opsd_human</v>
      </c>
      <c r="C399" s="5">
        <v>32</v>
      </c>
      <c r="D399" s="1">
        <v>62</v>
      </c>
      <c r="E399" s="1">
        <f>VLOOKUP($B399&amp;"__wt",'Xtal_SegEnds_BW#'!$A:$Z,5,FALSE)</f>
        <v>48</v>
      </c>
      <c r="F399" s="1">
        <f>VLOOKUP($B399&amp;"__wt",'Xtal_SegEnds_BW#'!$A:$Z,6,FALSE)</f>
        <v>51</v>
      </c>
      <c r="G399" s="1">
        <v>39</v>
      </c>
      <c r="H399" s="1">
        <v>66</v>
      </c>
      <c r="I399" s="1" t="s">
        <v>129</v>
      </c>
      <c r="J399" s="1" t="s">
        <v>129</v>
      </c>
      <c r="K399" s="1">
        <v>24</v>
      </c>
      <c r="L399" s="1">
        <f>VLOOKUP($B399&amp;"__wt",'Xtal_SegEnds_BW#'!$A:$Z,12,FALSE)</f>
        <v>56</v>
      </c>
      <c r="M399" s="1">
        <f>VLOOKUP($B399&amp;"__wt",'Xtal_SegEnds_BW#'!$A:$Z,13,FALSE)</f>
        <v>50</v>
      </c>
      <c r="N399" s="1">
        <f>VLOOKUP($B399&amp;"__wt",'Xtal_SegEnds_BW#'!$A:$Z,14,FALSE)</f>
        <v>57</v>
      </c>
      <c r="O399" s="1">
        <f>VLOOKUP($B399&amp;"__wt",'Xtal_SegEnds_BW#'!$A:$Z,15,FALSE)</f>
        <v>39</v>
      </c>
      <c r="P399" s="1">
        <f>VLOOKUP($B399&amp;"__wt",'Xtal_SegEnds_BW#'!$A:$Z,16,FALSE)</f>
        <v>62</v>
      </c>
      <c r="Q399" s="1">
        <f>VLOOKUP($B399&amp;"__wt",'Xtal_SegEnds_BW#'!$A:$Z,17,FALSE)</f>
        <v>50</v>
      </c>
      <c r="R399" s="1">
        <f>VLOOKUP($B399&amp;"__wt",'Xtal_SegEnds_BW#'!$A:$Z,18,FALSE)</f>
        <v>52</v>
      </c>
      <c r="S399" s="1">
        <v>32</v>
      </c>
      <c r="T399" s="23">
        <v>72</v>
      </c>
      <c r="U399" s="1">
        <v>29</v>
      </c>
      <c r="V399" s="1">
        <v>61</v>
      </c>
      <c r="W399" s="1">
        <v>31</v>
      </c>
      <c r="X399" s="1">
        <f>VLOOKUP($B399&amp;"__wt",'Xtal_SegEnds_BW#'!$A:$Z,24,FALSE)</f>
        <v>56</v>
      </c>
      <c r="Y399" s="1">
        <f>VLOOKUP($B399&amp;"__wt",'Xtal_SegEnds_BW#'!$A:$Z,25,FALSE)</f>
        <v>47</v>
      </c>
      <c r="Z399" s="1">
        <v>60</v>
      </c>
      <c r="AA399" s="63" t="str">
        <f>VLOOKUP(A399,Classification!A:B,2,FALSE)</f>
        <v>T</v>
      </c>
      <c r="AB399" s="1">
        <f>VLOOKUP(A399,'NonXtal_SegEnds_Prot#'!A:AL,10,FALSE)-VLOOKUP(A399,'NonXtal_SegEnds_Prot#'!A:AL,7,FALSE)</f>
        <v>16</v>
      </c>
      <c r="AC399" s="1" t="e">
        <f>VLOOKUP(A399,'NonXtal_SegEnds_Prot#'!A:AL,13,FALSE)-VLOOKUP(A399,'NonXtal_SegEnds_Prot#'!A:AL,10,FALSE)</f>
        <v>#VALUE!</v>
      </c>
      <c r="AD399" s="1">
        <f>VLOOKUP(A399,'NonXtal_SegEnds_Prot#'!A:AL,16,FALSE)-VLOOKUP(A399,'NonXtal_SegEnds_Prot#'!A:AL,10,FALSE)</f>
        <v>48</v>
      </c>
      <c r="AE399" s="1" t="e">
        <f>VLOOKUP(A399,'NonXtal_SegEnds_Prot#'!A:AL,28,FALSE)-VLOOKUP(A399,'NonXtal_SegEnds_Prot#'!A:AL,25,FALSE)</f>
        <v>#VALUE!</v>
      </c>
      <c r="AF399" s="1">
        <f>VLOOKUP(A399,'NonXtal_SegEnds_Prot#'!A:AL,31,FALSE)-VLOOKUP(A399,'NonXtal_SegEnds_Prot#'!A:AL,28,FALSE)</f>
        <v>53</v>
      </c>
      <c r="AG399" s="1">
        <f>VLOOKUP(A399,'NonXtal_SegEnds_Prot#'!A:AL,34,FALSE)-VLOOKUP(A399,'NonXtal_SegEnds_Prot#'!A:AL,31,FALSE)</f>
        <v>35</v>
      </c>
    </row>
    <row r="400" spans="1:33" x14ac:dyDescent="0.2">
      <c r="A400" s="1" t="s">
        <v>670</v>
      </c>
      <c r="B400" s="1" t="str">
        <f>VLOOKUP(A400,Xtal_Templ!A:B,2,FALSE)</f>
        <v>agtr1_human</v>
      </c>
      <c r="C400" s="5">
        <v>32</v>
      </c>
      <c r="D400" s="1">
        <v>62</v>
      </c>
      <c r="E400" s="1">
        <f>VLOOKUP($B400&amp;"__wt",'Xtal_SegEnds_BW#'!$A:$Z,5,FALSE)</f>
        <v>48</v>
      </c>
      <c r="F400" s="1">
        <f>VLOOKUP($B400&amp;"__wt",'Xtal_SegEnds_BW#'!$A:$Z,6,FALSE)</f>
        <v>51</v>
      </c>
      <c r="G400" s="1">
        <v>39</v>
      </c>
      <c r="H400" s="1">
        <v>67</v>
      </c>
      <c r="I400" s="1" t="s">
        <v>129</v>
      </c>
      <c r="J400" s="1" t="s">
        <v>129</v>
      </c>
      <c r="K400" s="1">
        <v>18</v>
      </c>
      <c r="L400" s="1">
        <f>VLOOKUP($B400&amp;"__wt",'Xtal_SegEnds_BW#'!$A:$Z,12,FALSE)</f>
        <v>56</v>
      </c>
      <c r="M400" s="1">
        <f>VLOOKUP($B400&amp;"__wt",'Xtal_SegEnds_BW#'!$A:$Z,13,FALSE)</f>
        <v>50</v>
      </c>
      <c r="N400" s="1">
        <f>VLOOKUP($B400&amp;"__wt",'Xtal_SegEnds_BW#'!$A:$Z,14,FALSE)</f>
        <v>57</v>
      </c>
      <c r="O400" s="1">
        <f>VLOOKUP($B400&amp;"__wt",'Xtal_SegEnds_BW#'!$A:$Z,15,FALSE)</f>
        <v>39</v>
      </c>
      <c r="P400" s="1">
        <f>VLOOKUP($B400&amp;"__wt",'Xtal_SegEnds_BW#'!$A:$Z,16,FALSE)</f>
        <v>64</v>
      </c>
      <c r="Q400" s="1">
        <f>VLOOKUP($B400&amp;"__wt",'Xtal_SegEnds_BW#'!$A:$Z,17,FALSE)</f>
        <v>50</v>
      </c>
      <c r="R400" s="1">
        <f>VLOOKUP($B400&amp;"__wt",'Xtal_SegEnds_BW#'!$A:$Z,18,FALSE)</f>
        <v>52</v>
      </c>
      <c r="S400" s="1">
        <v>32</v>
      </c>
      <c r="T400" s="23">
        <v>72</v>
      </c>
      <c r="U400" s="1">
        <v>29</v>
      </c>
      <c r="V400" s="1">
        <v>61</v>
      </c>
      <c r="W400" s="1">
        <v>31</v>
      </c>
      <c r="X400" s="1">
        <f>VLOOKUP($B400&amp;"__wt",'Xtal_SegEnds_BW#'!$A:$Z,24,FALSE)</f>
        <v>56</v>
      </c>
      <c r="Y400" s="1">
        <f>VLOOKUP($B400&amp;"__wt",'Xtal_SegEnds_BW#'!$A:$Z,25,FALSE)</f>
        <v>47</v>
      </c>
      <c r="Z400" s="1">
        <v>60</v>
      </c>
      <c r="AA400" s="63" t="str">
        <f>VLOOKUP(A400,Classification!A:B,2,FALSE)</f>
        <v>T</v>
      </c>
      <c r="AB400" s="1">
        <f>VLOOKUP(A400,'NonXtal_SegEnds_Prot#'!A:AL,10,FALSE)-VLOOKUP(A400,'NonXtal_SegEnds_Prot#'!A:AL,7,FALSE)</f>
        <v>16</v>
      </c>
      <c r="AC400" s="1" t="e">
        <f>VLOOKUP(A400,'NonXtal_SegEnds_Prot#'!A:AL,13,FALSE)-VLOOKUP(A400,'NonXtal_SegEnds_Prot#'!A:AL,10,FALSE)</f>
        <v>#VALUE!</v>
      </c>
      <c r="AD400" s="1">
        <f>VLOOKUP(A400,'NonXtal_SegEnds_Prot#'!A:AL,16,FALSE)-VLOOKUP(A400,'NonXtal_SegEnds_Prot#'!A:AL,10,FALSE)</f>
        <v>52</v>
      </c>
      <c r="AE400" s="1" t="e">
        <f>VLOOKUP(A400,'NonXtal_SegEnds_Prot#'!A:AL,28,FALSE)-VLOOKUP(A400,'NonXtal_SegEnds_Prot#'!A:AL,25,FALSE)</f>
        <v>#VALUE!</v>
      </c>
      <c r="AF400" s="1">
        <f>VLOOKUP(A400,'NonXtal_SegEnds_Prot#'!A:AL,31,FALSE)-VLOOKUP(A400,'NonXtal_SegEnds_Prot#'!A:AL,28,FALSE)</f>
        <v>53</v>
      </c>
      <c r="AG400" s="1">
        <f>VLOOKUP(A400,'NonXtal_SegEnds_Prot#'!A:AL,34,FALSE)-VLOOKUP(A400,'NonXtal_SegEnds_Prot#'!A:AL,31,FALSE)</f>
        <v>36</v>
      </c>
    </row>
    <row r="401" spans="1:33" x14ac:dyDescent="0.2">
      <c r="A401" s="1" t="s">
        <v>671</v>
      </c>
      <c r="B401" s="1" t="str">
        <f>VLOOKUP(A401,Xtal_Templ!A:B,2,FALSE)</f>
        <v>acm2_human</v>
      </c>
      <c r="C401" s="5">
        <v>32</v>
      </c>
      <c r="D401" s="1">
        <v>62</v>
      </c>
      <c r="E401" s="1">
        <f>VLOOKUP($B401&amp;"__wt",'Xtal_SegEnds_BW#'!$A:$Z,5,FALSE)</f>
        <v>48</v>
      </c>
      <c r="F401" s="1">
        <f>VLOOKUP($B401&amp;"__wt",'Xtal_SegEnds_BW#'!$A:$Z,6,FALSE)</f>
        <v>51</v>
      </c>
      <c r="G401" s="1">
        <v>39</v>
      </c>
      <c r="H401" s="1">
        <v>66</v>
      </c>
      <c r="I401" s="1" t="s">
        <v>129</v>
      </c>
      <c r="J401" s="1" t="s">
        <v>129</v>
      </c>
      <c r="K401" s="1">
        <v>18</v>
      </c>
      <c r="L401" s="1">
        <f>VLOOKUP($B401&amp;"__wt",'Xtal_SegEnds_BW#'!$A:$Z,12,FALSE)</f>
        <v>56</v>
      </c>
      <c r="M401" s="1">
        <f>VLOOKUP($B401&amp;"__wt",'Xtal_SegEnds_BW#'!$A:$Z,13,FALSE)</f>
        <v>50</v>
      </c>
      <c r="N401" s="1">
        <f>VLOOKUP($B401&amp;"__wt",'Xtal_SegEnds_BW#'!$A:$Z,14,FALSE)</f>
        <v>57</v>
      </c>
      <c r="O401" s="1">
        <f>VLOOKUP($B401&amp;"__wt",'Xtal_SegEnds_BW#'!$A:$Z,15,FALSE)</f>
        <v>39</v>
      </c>
      <c r="P401" s="1">
        <f>VLOOKUP($B401&amp;"__wt",'Xtal_SegEnds_BW#'!$A:$Z,16,FALSE)</f>
        <v>69</v>
      </c>
      <c r="Q401" s="1">
        <f>VLOOKUP($B401&amp;"__wt",'Xtal_SegEnds_BW#'!$A:$Z,17,FALSE)</f>
        <v>50</v>
      </c>
      <c r="R401" s="1">
        <f>VLOOKUP($B401&amp;"__wt",'Xtal_SegEnds_BW#'!$A:$Z,18,FALSE)</f>
        <v>52</v>
      </c>
      <c r="S401" s="1">
        <v>32</v>
      </c>
      <c r="T401" s="23">
        <v>72</v>
      </c>
      <c r="U401" s="1">
        <v>29</v>
      </c>
      <c r="V401" s="1">
        <v>61</v>
      </c>
      <c r="W401" s="1">
        <v>31</v>
      </c>
      <c r="X401" s="1">
        <f>VLOOKUP($B401&amp;"__wt",'Xtal_SegEnds_BW#'!$A:$Z,24,FALSE)</f>
        <v>56</v>
      </c>
      <c r="Y401" s="1">
        <f>VLOOKUP($B401&amp;"__wt",'Xtal_SegEnds_BW#'!$A:$Z,25,FALSE)</f>
        <v>47</v>
      </c>
      <c r="Z401" s="1">
        <v>60</v>
      </c>
      <c r="AA401" s="63" t="str">
        <f>VLOOKUP(A401,Classification!A:B,2,FALSE)</f>
        <v>T</v>
      </c>
      <c r="AB401" s="1">
        <f>VLOOKUP(A401,'NonXtal_SegEnds_Prot#'!A:AL,10,FALSE)-VLOOKUP(A401,'NonXtal_SegEnds_Prot#'!A:AL,7,FALSE)</f>
        <v>16</v>
      </c>
      <c r="AC401" s="1" t="e">
        <f>VLOOKUP(A401,'NonXtal_SegEnds_Prot#'!A:AL,13,FALSE)-VLOOKUP(A401,'NonXtal_SegEnds_Prot#'!A:AL,10,FALSE)</f>
        <v>#VALUE!</v>
      </c>
      <c r="AD401" s="1">
        <f>VLOOKUP(A401,'NonXtal_SegEnds_Prot#'!A:AL,16,FALSE)-VLOOKUP(A401,'NonXtal_SegEnds_Prot#'!A:AL,10,FALSE)</f>
        <v>51</v>
      </c>
      <c r="AE401" s="1" t="e">
        <f>VLOOKUP(A401,'NonXtal_SegEnds_Prot#'!A:AL,28,FALSE)-VLOOKUP(A401,'NonXtal_SegEnds_Prot#'!A:AL,25,FALSE)</f>
        <v>#VALUE!</v>
      </c>
      <c r="AF401" s="1">
        <f>VLOOKUP(A401,'NonXtal_SegEnds_Prot#'!A:AL,31,FALSE)-VLOOKUP(A401,'NonXtal_SegEnds_Prot#'!A:AL,28,FALSE)</f>
        <v>53</v>
      </c>
      <c r="AG401" s="1">
        <f>VLOOKUP(A401,'NonXtal_SegEnds_Prot#'!A:AL,34,FALSE)-VLOOKUP(A401,'NonXtal_SegEnds_Prot#'!A:AL,31,FALSE)</f>
        <v>36</v>
      </c>
    </row>
    <row r="402" spans="1:33" x14ac:dyDescent="0.2">
      <c r="A402" s="1" t="s">
        <v>672</v>
      </c>
      <c r="B402" s="1" t="str">
        <f>VLOOKUP(A402,Xtal_Templ!A:B,2,FALSE)</f>
        <v>us28_hcmva</v>
      </c>
      <c r="C402" s="5">
        <v>32</v>
      </c>
      <c r="D402" s="1">
        <v>62</v>
      </c>
      <c r="E402" s="1">
        <f>VLOOKUP($B402&amp;"__wt",'Xtal_SegEnds_BW#'!$A:$Z,5,FALSE)</f>
        <v>48</v>
      </c>
      <c r="F402" s="1">
        <f>VLOOKUP($B402&amp;"__wt",'Xtal_SegEnds_BW#'!$A:$Z,6,FALSE)</f>
        <v>51</v>
      </c>
      <c r="G402" s="1">
        <v>39</v>
      </c>
      <c r="H402" s="1">
        <v>66</v>
      </c>
      <c r="I402" s="1" t="s">
        <v>129</v>
      </c>
      <c r="J402" s="1" t="s">
        <v>129</v>
      </c>
      <c r="K402" s="1">
        <v>24</v>
      </c>
      <c r="L402" s="1">
        <f>VLOOKUP($B402&amp;"__wt",'Xtal_SegEnds_BW#'!$A:$Z,12,FALSE)</f>
        <v>56</v>
      </c>
      <c r="M402" s="1" t="str">
        <f>VLOOKUP($B402&amp;"__wt",'Xtal_SegEnds_BW#'!$A:$Z,13,FALSE)</f>
        <v>-</v>
      </c>
      <c r="N402" s="1" t="str">
        <f>VLOOKUP($B402&amp;"__wt",'Xtal_SegEnds_BW#'!$A:$Z,14,FALSE)</f>
        <v>-</v>
      </c>
      <c r="O402" s="1">
        <f>VLOOKUP($B402&amp;"__wt",'Xtal_SegEnds_BW#'!$A:$Z,15,FALSE)</f>
        <v>39</v>
      </c>
      <c r="P402" s="1">
        <f>VLOOKUP($B402&amp;"__wt",'Xtal_SegEnds_BW#'!$A:$Z,16,FALSE)</f>
        <v>63</v>
      </c>
      <c r="Q402" s="1">
        <f>VLOOKUP($B402&amp;"__wt",'Xtal_SegEnds_BW#'!$A:$Z,17,FALSE)</f>
        <v>50</v>
      </c>
      <c r="R402" s="1">
        <f>VLOOKUP($B402&amp;"__wt",'Xtal_SegEnds_BW#'!$A:$Z,18,FALSE)</f>
        <v>52</v>
      </c>
      <c r="S402" s="1">
        <v>32</v>
      </c>
      <c r="T402" s="23">
        <v>72</v>
      </c>
      <c r="U402" s="1">
        <v>29</v>
      </c>
      <c r="V402" s="1">
        <v>61</v>
      </c>
      <c r="W402" s="1">
        <v>31</v>
      </c>
      <c r="X402" s="1">
        <f>VLOOKUP($B402&amp;"__wt",'Xtal_SegEnds_BW#'!$A:$Z,24,FALSE)</f>
        <v>56</v>
      </c>
      <c r="Y402" s="1">
        <f>VLOOKUP($B402&amp;"__wt",'Xtal_SegEnds_BW#'!$A:$Z,25,FALSE)</f>
        <v>47</v>
      </c>
      <c r="Z402" s="1">
        <v>60</v>
      </c>
      <c r="AA402" s="63" t="str">
        <f>VLOOKUP(A402,Classification!A:B,2,FALSE)</f>
        <v>T</v>
      </c>
      <c r="AB402" s="1">
        <f>VLOOKUP(A402,'NonXtal_SegEnds_Prot#'!A:AL,10,FALSE)-VLOOKUP(A402,'NonXtal_SegEnds_Prot#'!A:AL,7,FALSE)</f>
        <v>16</v>
      </c>
      <c r="AC402" s="1" t="e">
        <f>VLOOKUP(A402,'NonXtal_SegEnds_Prot#'!A:AL,13,FALSE)-VLOOKUP(A402,'NonXtal_SegEnds_Prot#'!A:AL,10,FALSE)</f>
        <v>#VALUE!</v>
      </c>
      <c r="AD402" s="1">
        <f>VLOOKUP(A402,'NonXtal_SegEnds_Prot#'!A:AL,16,FALSE)-VLOOKUP(A402,'NonXtal_SegEnds_Prot#'!A:AL,10,FALSE)</f>
        <v>48</v>
      </c>
      <c r="AE402" s="1" t="e">
        <f>VLOOKUP(A402,'NonXtal_SegEnds_Prot#'!A:AL,28,FALSE)-VLOOKUP(A402,'NonXtal_SegEnds_Prot#'!A:AL,25,FALSE)</f>
        <v>#VALUE!</v>
      </c>
      <c r="AF402" s="1">
        <f>VLOOKUP(A402,'NonXtal_SegEnds_Prot#'!A:AL,31,FALSE)-VLOOKUP(A402,'NonXtal_SegEnds_Prot#'!A:AL,28,FALSE)</f>
        <v>53</v>
      </c>
      <c r="AG402" s="1">
        <f>VLOOKUP(A402,'NonXtal_SegEnds_Prot#'!A:AL,34,FALSE)-VLOOKUP(A402,'NonXtal_SegEnds_Prot#'!A:AL,31,FALSE)</f>
        <v>36</v>
      </c>
    </row>
    <row r="403" spans="1:33" x14ac:dyDescent="0.2">
      <c r="A403" s="1" t="s">
        <v>673</v>
      </c>
      <c r="B403" s="1" t="str">
        <f>VLOOKUP(A403,Xtal_Templ!A:B,2,FALSE)</f>
        <v>agtr1_human</v>
      </c>
      <c r="C403" s="5">
        <v>32</v>
      </c>
      <c r="D403" s="1">
        <v>62</v>
      </c>
      <c r="E403" s="1">
        <f>VLOOKUP($B403&amp;"__wt",'Xtal_SegEnds_BW#'!$A:$Z,5,FALSE)</f>
        <v>48</v>
      </c>
      <c r="F403" s="1">
        <f>VLOOKUP($B403&amp;"__wt",'Xtal_SegEnds_BW#'!$A:$Z,6,FALSE)</f>
        <v>51</v>
      </c>
      <c r="G403" s="1">
        <v>39</v>
      </c>
      <c r="H403" s="1">
        <v>67</v>
      </c>
      <c r="I403" s="1" t="s">
        <v>129</v>
      </c>
      <c r="J403" s="1" t="s">
        <v>129</v>
      </c>
      <c r="K403" s="1">
        <v>18</v>
      </c>
      <c r="L403" s="1">
        <f>VLOOKUP($B403&amp;"__wt",'Xtal_SegEnds_BW#'!$A:$Z,12,FALSE)</f>
        <v>56</v>
      </c>
      <c r="M403" s="1">
        <f>VLOOKUP($B403&amp;"__wt",'Xtal_SegEnds_BW#'!$A:$Z,13,FALSE)</f>
        <v>50</v>
      </c>
      <c r="N403" s="1">
        <f>VLOOKUP($B403&amp;"__wt",'Xtal_SegEnds_BW#'!$A:$Z,14,FALSE)</f>
        <v>57</v>
      </c>
      <c r="O403" s="1">
        <f>VLOOKUP($B403&amp;"__wt",'Xtal_SegEnds_BW#'!$A:$Z,15,FALSE)</f>
        <v>39</v>
      </c>
      <c r="P403" s="1">
        <f>VLOOKUP($B403&amp;"__wt",'Xtal_SegEnds_BW#'!$A:$Z,16,FALSE)</f>
        <v>64</v>
      </c>
      <c r="Q403" s="1">
        <f>VLOOKUP($B403&amp;"__wt",'Xtal_SegEnds_BW#'!$A:$Z,17,FALSE)</f>
        <v>50</v>
      </c>
      <c r="R403" s="1">
        <f>VLOOKUP($B403&amp;"__wt",'Xtal_SegEnds_BW#'!$A:$Z,18,FALSE)</f>
        <v>52</v>
      </c>
      <c r="S403" s="1">
        <v>32</v>
      </c>
      <c r="T403" s="23">
        <v>72</v>
      </c>
      <c r="U403" s="1">
        <v>29</v>
      </c>
      <c r="V403" s="1">
        <v>61</v>
      </c>
      <c r="W403" s="1">
        <v>31</v>
      </c>
      <c r="X403" s="1">
        <f>VLOOKUP($B403&amp;"__wt",'Xtal_SegEnds_BW#'!$A:$Z,24,FALSE)</f>
        <v>56</v>
      </c>
      <c r="Y403" s="1">
        <f>VLOOKUP($B403&amp;"__wt",'Xtal_SegEnds_BW#'!$A:$Z,25,FALSE)</f>
        <v>47</v>
      </c>
      <c r="Z403" s="1">
        <v>60</v>
      </c>
      <c r="AA403" s="63" t="str">
        <f>VLOOKUP(A403,Classification!A:B,2,FALSE)</f>
        <v>T</v>
      </c>
      <c r="AB403" s="1">
        <f>VLOOKUP(A403,'NonXtal_SegEnds_Prot#'!A:AL,10,FALSE)-VLOOKUP(A403,'NonXtal_SegEnds_Prot#'!A:AL,7,FALSE)</f>
        <v>16</v>
      </c>
      <c r="AC403" s="1" t="e">
        <f>VLOOKUP(A403,'NonXtal_SegEnds_Prot#'!A:AL,13,FALSE)-VLOOKUP(A403,'NonXtal_SegEnds_Prot#'!A:AL,10,FALSE)</f>
        <v>#VALUE!</v>
      </c>
      <c r="AD403" s="1">
        <f>VLOOKUP(A403,'NonXtal_SegEnds_Prot#'!A:AL,16,FALSE)-VLOOKUP(A403,'NonXtal_SegEnds_Prot#'!A:AL,10,FALSE)</f>
        <v>52</v>
      </c>
      <c r="AE403" s="1" t="e">
        <f>VLOOKUP(A403,'NonXtal_SegEnds_Prot#'!A:AL,28,FALSE)-VLOOKUP(A403,'NonXtal_SegEnds_Prot#'!A:AL,25,FALSE)</f>
        <v>#VALUE!</v>
      </c>
      <c r="AF403" s="1">
        <f>VLOOKUP(A403,'NonXtal_SegEnds_Prot#'!A:AL,31,FALSE)-VLOOKUP(A403,'NonXtal_SegEnds_Prot#'!A:AL,28,FALSE)</f>
        <v>53</v>
      </c>
      <c r="AG403" s="1">
        <f>VLOOKUP(A403,'NonXtal_SegEnds_Prot#'!A:AL,34,FALSE)-VLOOKUP(A403,'NonXtal_SegEnds_Prot#'!A:AL,31,FALSE)</f>
        <v>36</v>
      </c>
    </row>
    <row r="404" spans="1:33" x14ac:dyDescent="0.2">
      <c r="A404" s="1" t="s">
        <v>674</v>
      </c>
      <c r="B404" s="1" t="str">
        <f>VLOOKUP(A404,Xtal_Templ!A:B,2,FALSE)</f>
        <v>agtr1_human</v>
      </c>
      <c r="C404" s="5">
        <v>32</v>
      </c>
      <c r="D404" s="1">
        <v>62</v>
      </c>
      <c r="E404" s="1">
        <f>VLOOKUP($B404&amp;"__wt",'Xtal_SegEnds_BW#'!$A:$Z,5,FALSE)</f>
        <v>48</v>
      </c>
      <c r="F404" s="1">
        <f>VLOOKUP($B404&amp;"__wt",'Xtal_SegEnds_BW#'!$A:$Z,6,FALSE)</f>
        <v>51</v>
      </c>
      <c r="G404" s="1">
        <v>39</v>
      </c>
      <c r="H404" s="1">
        <v>67</v>
      </c>
      <c r="I404" s="1" t="s">
        <v>129</v>
      </c>
      <c r="J404" s="1" t="s">
        <v>129</v>
      </c>
      <c r="K404" s="1">
        <v>18</v>
      </c>
      <c r="L404" s="1">
        <f>VLOOKUP($B404&amp;"__wt",'Xtal_SegEnds_BW#'!$A:$Z,12,FALSE)</f>
        <v>56</v>
      </c>
      <c r="M404" s="1">
        <f>VLOOKUP($B404&amp;"__wt",'Xtal_SegEnds_BW#'!$A:$Z,13,FALSE)</f>
        <v>50</v>
      </c>
      <c r="N404" s="1">
        <f>VLOOKUP($B404&amp;"__wt",'Xtal_SegEnds_BW#'!$A:$Z,14,FALSE)</f>
        <v>57</v>
      </c>
      <c r="O404" s="1">
        <f>VLOOKUP($B404&amp;"__wt",'Xtal_SegEnds_BW#'!$A:$Z,15,FALSE)</f>
        <v>39</v>
      </c>
      <c r="P404" s="1">
        <f>VLOOKUP($B404&amp;"__wt",'Xtal_SegEnds_BW#'!$A:$Z,16,FALSE)</f>
        <v>64</v>
      </c>
      <c r="Q404" s="1">
        <f>VLOOKUP($B404&amp;"__wt",'Xtal_SegEnds_BW#'!$A:$Z,17,FALSE)</f>
        <v>50</v>
      </c>
      <c r="R404" s="1">
        <f>VLOOKUP($B404&amp;"__wt",'Xtal_SegEnds_BW#'!$A:$Z,18,FALSE)</f>
        <v>52</v>
      </c>
      <c r="S404" s="1">
        <v>32</v>
      </c>
      <c r="T404" s="23">
        <v>72</v>
      </c>
      <c r="U404" s="1">
        <v>29</v>
      </c>
      <c r="V404" s="1">
        <v>61</v>
      </c>
      <c r="W404" s="1">
        <v>31</v>
      </c>
      <c r="X404" s="1">
        <f>VLOOKUP($B404&amp;"__wt",'Xtal_SegEnds_BW#'!$A:$Z,24,FALSE)</f>
        <v>56</v>
      </c>
      <c r="Y404" s="1">
        <f>VLOOKUP($B404&amp;"__wt",'Xtal_SegEnds_BW#'!$A:$Z,25,FALSE)</f>
        <v>47</v>
      </c>
      <c r="Z404" s="1">
        <v>60</v>
      </c>
      <c r="AA404" s="63" t="str">
        <f>VLOOKUP(A404,Classification!A:B,2,FALSE)</f>
        <v>T</v>
      </c>
      <c r="AB404" s="1">
        <f>VLOOKUP(A404,'NonXtal_SegEnds_Prot#'!A:AL,10,FALSE)-VLOOKUP(A404,'NonXtal_SegEnds_Prot#'!A:AL,7,FALSE)</f>
        <v>16</v>
      </c>
      <c r="AC404" s="1" t="e">
        <f>VLOOKUP(A404,'NonXtal_SegEnds_Prot#'!A:AL,13,FALSE)-VLOOKUP(A404,'NonXtal_SegEnds_Prot#'!A:AL,10,FALSE)</f>
        <v>#VALUE!</v>
      </c>
      <c r="AD404" s="1">
        <f>VLOOKUP(A404,'NonXtal_SegEnds_Prot#'!A:AL,16,FALSE)-VLOOKUP(A404,'NonXtal_SegEnds_Prot#'!A:AL,10,FALSE)</f>
        <v>52</v>
      </c>
      <c r="AE404" s="1" t="e">
        <f>VLOOKUP(A404,'NonXtal_SegEnds_Prot#'!A:AL,28,FALSE)-VLOOKUP(A404,'NonXtal_SegEnds_Prot#'!A:AL,25,FALSE)</f>
        <v>#VALUE!</v>
      </c>
      <c r="AF404" s="1">
        <f>VLOOKUP(A404,'NonXtal_SegEnds_Prot#'!A:AL,31,FALSE)-VLOOKUP(A404,'NonXtal_SegEnds_Prot#'!A:AL,28,FALSE)</f>
        <v>53</v>
      </c>
      <c r="AG404" s="1">
        <f>VLOOKUP(A404,'NonXtal_SegEnds_Prot#'!A:AL,34,FALSE)-VLOOKUP(A404,'NonXtal_SegEnds_Prot#'!A:AL,31,FALSE)</f>
        <v>36</v>
      </c>
    </row>
    <row r="405" spans="1:33" x14ac:dyDescent="0.2">
      <c r="A405" s="1" t="s">
        <v>675</v>
      </c>
      <c r="B405" s="1" t="str">
        <f>VLOOKUP(A405,Xtal_Templ!A:B,2,FALSE)</f>
        <v>agtr1_human</v>
      </c>
      <c r="C405" s="5">
        <v>32</v>
      </c>
      <c r="D405" s="1">
        <v>62</v>
      </c>
      <c r="E405" s="1">
        <f>VLOOKUP($B405&amp;"__wt",'Xtal_SegEnds_BW#'!$A:$Z,5,FALSE)</f>
        <v>48</v>
      </c>
      <c r="F405" s="1">
        <f>VLOOKUP($B405&amp;"__wt",'Xtal_SegEnds_BW#'!$A:$Z,6,FALSE)</f>
        <v>51</v>
      </c>
      <c r="G405" s="1">
        <v>39</v>
      </c>
      <c r="H405" s="1">
        <v>67</v>
      </c>
      <c r="I405" s="1" t="s">
        <v>129</v>
      </c>
      <c r="J405" s="1" t="s">
        <v>129</v>
      </c>
      <c r="K405" s="1">
        <v>18</v>
      </c>
      <c r="L405" s="1">
        <f>VLOOKUP($B405&amp;"__wt",'Xtal_SegEnds_BW#'!$A:$Z,12,FALSE)</f>
        <v>56</v>
      </c>
      <c r="M405" s="1">
        <f>VLOOKUP($B405&amp;"__wt",'Xtal_SegEnds_BW#'!$A:$Z,13,FALSE)</f>
        <v>50</v>
      </c>
      <c r="N405" s="1">
        <f>VLOOKUP($B405&amp;"__wt",'Xtal_SegEnds_BW#'!$A:$Z,14,FALSE)</f>
        <v>57</v>
      </c>
      <c r="O405" s="1">
        <f>VLOOKUP($B405&amp;"__wt",'Xtal_SegEnds_BW#'!$A:$Z,15,FALSE)</f>
        <v>39</v>
      </c>
      <c r="P405" s="1">
        <f>VLOOKUP($B405&amp;"__wt",'Xtal_SegEnds_BW#'!$A:$Z,16,FALSE)</f>
        <v>64</v>
      </c>
      <c r="Q405" s="1">
        <f>VLOOKUP($B405&amp;"__wt",'Xtal_SegEnds_BW#'!$A:$Z,17,FALSE)</f>
        <v>50</v>
      </c>
      <c r="R405" s="1">
        <f>VLOOKUP($B405&amp;"__wt",'Xtal_SegEnds_BW#'!$A:$Z,18,FALSE)</f>
        <v>52</v>
      </c>
      <c r="S405" s="1">
        <v>32</v>
      </c>
      <c r="T405" s="23">
        <v>72</v>
      </c>
      <c r="U405" s="1">
        <v>29</v>
      </c>
      <c r="V405" s="1">
        <v>61</v>
      </c>
      <c r="W405" s="1">
        <v>31</v>
      </c>
      <c r="X405" s="1">
        <f>VLOOKUP($B405&amp;"__wt",'Xtal_SegEnds_BW#'!$A:$Z,24,FALSE)</f>
        <v>56</v>
      </c>
      <c r="Y405" s="1">
        <f>VLOOKUP($B405&amp;"__wt",'Xtal_SegEnds_BW#'!$A:$Z,25,FALSE)</f>
        <v>47</v>
      </c>
      <c r="Z405" s="1">
        <v>60</v>
      </c>
      <c r="AA405" s="63" t="str">
        <f>VLOOKUP(A405,Classification!A:B,2,FALSE)</f>
        <v>T</v>
      </c>
      <c r="AB405" s="1">
        <f>VLOOKUP(A405,'NonXtal_SegEnds_Prot#'!A:AL,10,FALSE)-VLOOKUP(A405,'NonXtal_SegEnds_Prot#'!A:AL,7,FALSE)</f>
        <v>16</v>
      </c>
      <c r="AC405" s="1" t="e">
        <f>VLOOKUP(A405,'NonXtal_SegEnds_Prot#'!A:AL,13,FALSE)-VLOOKUP(A405,'NonXtal_SegEnds_Prot#'!A:AL,10,FALSE)</f>
        <v>#VALUE!</v>
      </c>
      <c r="AD405" s="1">
        <f>VLOOKUP(A405,'NonXtal_SegEnds_Prot#'!A:AL,16,FALSE)-VLOOKUP(A405,'NonXtal_SegEnds_Prot#'!A:AL,10,FALSE)</f>
        <v>52</v>
      </c>
      <c r="AE405" s="1" t="e">
        <f>VLOOKUP(A405,'NonXtal_SegEnds_Prot#'!A:AL,28,FALSE)-VLOOKUP(A405,'NonXtal_SegEnds_Prot#'!A:AL,25,FALSE)</f>
        <v>#VALUE!</v>
      </c>
      <c r="AF405" s="1">
        <f>VLOOKUP(A405,'NonXtal_SegEnds_Prot#'!A:AL,31,FALSE)-VLOOKUP(A405,'NonXtal_SegEnds_Prot#'!A:AL,28,FALSE)</f>
        <v>53</v>
      </c>
      <c r="AG405" s="1">
        <f>VLOOKUP(A405,'NonXtal_SegEnds_Prot#'!A:AL,34,FALSE)-VLOOKUP(A405,'NonXtal_SegEnds_Prot#'!A:AL,31,FALSE)</f>
        <v>36</v>
      </c>
    </row>
    <row r="406" spans="1:33" x14ac:dyDescent="0.2">
      <c r="A406" s="1" t="s">
        <v>1126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VLOOKUP($B406&amp;"__wt",'Xtal_SegEnds_BW#'!$A:$Z,5,FALSE)</f>
        <v>48</v>
      </c>
      <c r="F406" s="1">
        <f>VLOOKUP($B406&amp;"__wt",'Xtal_SegEnds_BW#'!$A:$Z,6,FALSE)</f>
        <v>51</v>
      </c>
      <c r="G406" s="1">
        <v>39</v>
      </c>
      <c r="H406" s="1">
        <v>66</v>
      </c>
      <c r="I406" s="1" t="s">
        <v>129</v>
      </c>
      <c r="J406" s="1" t="s">
        <v>129</v>
      </c>
      <c r="K406" s="1">
        <v>18</v>
      </c>
      <c r="L406" s="1">
        <f>VLOOKUP($B406&amp;"__wt",'Xtal_SegEnds_BW#'!$A:$Z,12,FALSE)</f>
        <v>56</v>
      </c>
      <c r="M406" s="1">
        <f>VLOOKUP($B406&amp;"__wt",'Xtal_SegEnds_BW#'!$A:$Z,13,FALSE)</f>
        <v>50</v>
      </c>
      <c r="N406" s="1">
        <f>VLOOKUP($B406&amp;"__wt",'Xtal_SegEnds_BW#'!$A:$Z,14,FALSE)</f>
        <v>57</v>
      </c>
      <c r="O406" s="1">
        <f>VLOOKUP($B406&amp;"__wt",'Xtal_SegEnds_BW#'!$A:$Z,15,FALSE)</f>
        <v>39</v>
      </c>
      <c r="P406" s="1">
        <f>VLOOKUP($B406&amp;"__wt",'Xtal_SegEnds_BW#'!$A:$Z,16,FALSE)</f>
        <v>64</v>
      </c>
      <c r="Q406" s="1">
        <f>VLOOKUP($B406&amp;"__wt",'Xtal_SegEnds_BW#'!$A:$Z,17,FALSE)</f>
        <v>50</v>
      </c>
      <c r="R406" s="1">
        <f>VLOOKUP($B406&amp;"__wt",'Xtal_SegEnds_BW#'!$A:$Z,18,FALSE)</f>
        <v>52</v>
      </c>
      <c r="S406" s="1">
        <v>32</v>
      </c>
      <c r="T406" s="23">
        <v>72</v>
      </c>
      <c r="U406" s="1">
        <v>29</v>
      </c>
      <c r="V406" s="1">
        <v>61</v>
      </c>
      <c r="W406" s="1">
        <v>33</v>
      </c>
      <c r="X406" s="1">
        <f>VLOOKUP($B406&amp;"__wt",'Xtal_SegEnds_BW#'!$A:$Z,24,FALSE)</f>
        <v>56</v>
      </c>
      <c r="Y406" s="1">
        <f>VLOOKUP($B406&amp;"__wt",'Xtal_SegEnds_BW#'!$A:$Z,25,FALSE)</f>
        <v>47</v>
      </c>
      <c r="Z406" s="1">
        <v>60</v>
      </c>
      <c r="AA406" s="63" t="str">
        <f>VLOOKUP(A406,Classification!A:B,2,FALSE)</f>
        <v>T</v>
      </c>
      <c r="AB406" s="1">
        <f>VLOOKUP(A406,'NonXtal_SegEnds_Prot#'!A:AL,10,FALSE)-VLOOKUP(A406,'NonXtal_SegEnds_Prot#'!A:AL,7,FALSE)</f>
        <v>16</v>
      </c>
      <c r="AC406" s="1" t="e">
        <f>VLOOKUP(A406,'NonXtal_SegEnds_Prot#'!A:AL,13,FALSE)-VLOOKUP(A406,'NonXtal_SegEnds_Prot#'!A:AL,10,FALSE)</f>
        <v>#VALUE!</v>
      </c>
      <c r="AD406" s="1">
        <f>VLOOKUP(A406,'NonXtal_SegEnds_Prot#'!A:AL,16,FALSE)-VLOOKUP(A406,'NonXtal_SegEnds_Prot#'!A:AL,10,FALSE)</f>
        <v>51</v>
      </c>
      <c r="AE406" s="1" t="e">
        <f>VLOOKUP(A406,'NonXtal_SegEnds_Prot#'!A:AL,28,FALSE)-VLOOKUP(A406,'NonXtal_SegEnds_Prot#'!A:AL,25,FALSE)</f>
        <v>#VALUE!</v>
      </c>
      <c r="AF406" s="1">
        <f>VLOOKUP(A406,'NonXtal_SegEnds_Prot#'!A:AL,31,FALSE)-VLOOKUP(A406,'NonXtal_SegEnds_Prot#'!A:AL,28,FALSE)</f>
        <v>56</v>
      </c>
      <c r="AG406" s="1">
        <f>VLOOKUP(A406,'NonXtal_SegEnds_Prot#'!A:AL,34,FALSE)-VLOOKUP(A406,'NonXtal_SegEnds_Prot#'!A:AL,31,FALSE)</f>
        <v>33</v>
      </c>
    </row>
  </sheetData>
  <sortState ref="A3:AG407">
    <sortCondition ref="AA2:AA406"/>
    <sortCondition ref="AF2:AF406"/>
    <sortCondition ref="A2:A406"/>
    <sortCondition ref="AC2:AC406"/>
  </sortState>
  <customSheetViews>
    <customSheetView guid="{3E3401AF-8459-8641-BD70-AD04F80E86ED}" scale="135">
      <pane ySplit="1" topLeftCell="A256" activePane="bottomLeft" state="frozenSplit"/>
      <selection pane="bottomLeft" activeCell="T270" sqref="T270"/>
      <pageMargins left="0.7" right="0.7" top="0.75" bottom="0.75" header="0.3" footer="0.3"/>
    </customSheetView>
  </customSheetViews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F409"/>
  <sheetViews>
    <sheetView zoomScale="120" zoomScaleNormal="120" zoomScalePageLayoutView="120" workbookViewId="0">
      <pane ySplit="1" topLeftCell="A267" activePane="bottomLeft" state="frozenSplit"/>
      <selection pane="bottomLeft" activeCell="O272" sqref="O272"/>
    </sheetView>
  </sheetViews>
  <sheetFormatPr baseColWidth="10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7.1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1" customWidth="1"/>
    <col min="21" max="38" width="5.1640625" style="1" customWidth="1"/>
    <col min="39" max="39" width="3.1640625" style="63" bestFit="1" customWidth="1"/>
    <col min="40" max="40" width="8" style="5" customWidth="1"/>
    <col min="41" max="42" width="2.1640625" style="1" customWidth="1"/>
    <col min="43" max="43" width="5.83203125" style="1" customWidth="1"/>
    <col min="44" max="46" width="2.1640625" style="1" customWidth="1"/>
    <col min="47" max="47" width="3.1640625" style="1" customWidth="1"/>
    <col min="48" max="48" width="5.5" style="1" customWidth="1"/>
    <col min="49" max="49" width="5.83203125" style="1" bestFit="1" customWidth="1"/>
    <col min="50" max="50" width="4.83203125" style="1" customWidth="1"/>
    <col min="51" max="51" width="2.1640625" style="1" customWidth="1"/>
    <col min="52" max="52" width="4.6640625" style="1" customWidth="1"/>
    <col min="53" max="53" width="5" style="5" bestFit="1" customWidth="1"/>
    <col min="54" max="54" width="5.5" style="1" customWidth="1"/>
    <col min="55" max="56" width="5" style="1" customWidth="1"/>
    <col min="57" max="57" width="6.1640625" style="1" customWidth="1"/>
    <col min="58" max="58" width="3.83203125" style="1" customWidth="1"/>
    <col min="59" max="16384" width="10.83203125" style="1"/>
  </cols>
  <sheetData>
    <row r="1" spans="1:58" s="11" customFormat="1" x14ac:dyDescent="0.2">
      <c r="A1" s="11" t="s">
        <v>205</v>
      </c>
      <c r="B1" s="84" t="s">
        <v>1423</v>
      </c>
      <c r="C1" s="11" t="s">
        <v>1267</v>
      </c>
      <c r="D1" s="90" t="s">
        <v>1288</v>
      </c>
      <c r="E1" s="11" t="s">
        <v>1268</v>
      </c>
      <c r="F1" s="90" t="s">
        <v>1284</v>
      </c>
      <c r="G1" s="90" t="s">
        <v>1289</v>
      </c>
      <c r="H1" s="90" t="s">
        <v>1285</v>
      </c>
      <c r="I1" s="90" t="s">
        <v>1269</v>
      </c>
      <c r="J1" s="90" t="s">
        <v>1290</v>
      </c>
      <c r="K1" s="11" t="s">
        <v>1270</v>
      </c>
      <c r="L1" s="11" t="s">
        <v>1286</v>
      </c>
      <c r="M1" s="90" t="s">
        <v>1291</v>
      </c>
      <c r="N1" s="11" t="s">
        <v>1287</v>
      </c>
      <c r="O1" s="11" t="s">
        <v>1271</v>
      </c>
      <c r="P1" s="90" t="s">
        <v>1292</v>
      </c>
      <c r="Q1" s="11" t="s">
        <v>1272</v>
      </c>
      <c r="R1" s="11" t="s">
        <v>1299</v>
      </c>
      <c r="S1" s="90" t="s">
        <v>1298</v>
      </c>
      <c r="T1" s="11" t="s">
        <v>1300</v>
      </c>
      <c r="U1" s="11" t="s">
        <v>1273</v>
      </c>
      <c r="V1" s="90" t="s">
        <v>1293</v>
      </c>
      <c r="W1" s="11" t="s">
        <v>1274</v>
      </c>
      <c r="X1" s="11" t="s">
        <v>1302</v>
      </c>
      <c r="Y1" s="90" t="s">
        <v>1301</v>
      </c>
      <c r="Z1" s="11" t="s">
        <v>1303</v>
      </c>
      <c r="AA1" s="11" t="s">
        <v>1275</v>
      </c>
      <c r="AB1" s="90" t="s">
        <v>1294</v>
      </c>
      <c r="AC1" s="11" t="s">
        <v>1276</v>
      </c>
      <c r="AD1" s="11" t="s">
        <v>1277</v>
      </c>
      <c r="AE1" s="90" t="s">
        <v>1295</v>
      </c>
      <c r="AF1" s="11" t="s">
        <v>1278</v>
      </c>
      <c r="AG1" s="11" t="s">
        <v>1279</v>
      </c>
      <c r="AH1" s="90" t="s">
        <v>1296</v>
      </c>
      <c r="AI1" s="11" t="s">
        <v>1280</v>
      </c>
      <c r="AJ1" s="11" t="s">
        <v>1281</v>
      </c>
      <c r="AK1" s="90" t="s">
        <v>1297</v>
      </c>
      <c r="AL1" s="11" t="s">
        <v>1282</v>
      </c>
      <c r="AM1" s="62" t="s">
        <v>292</v>
      </c>
      <c r="AN1" s="62" t="s">
        <v>1386</v>
      </c>
      <c r="AO1" s="11" t="s">
        <v>1450</v>
      </c>
      <c r="AP1" s="11" t="s">
        <v>1451</v>
      </c>
      <c r="AQ1" s="11" t="s">
        <v>1452</v>
      </c>
      <c r="AR1" s="11" t="s">
        <v>1453</v>
      </c>
      <c r="AS1" s="11" t="s">
        <v>1454</v>
      </c>
      <c r="AT1" s="11" t="s">
        <v>1455</v>
      </c>
      <c r="AU1" s="11" t="s">
        <v>1456</v>
      </c>
      <c r="AV1" s="11" t="s">
        <v>1457</v>
      </c>
      <c r="AW1" s="11" t="s">
        <v>1458</v>
      </c>
      <c r="AX1" s="11" t="s">
        <v>1459</v>
      </c>
      <c r="AY1" s="11" t="s">
        <v>1460</v>
      </c>
      <c r="AZ1" s="11" t="s">
        <v>1532</v>
      </c>
      <c r="BA1" s="62" t="s">
        <v>1462</v>
      </c>
      <c r="BB1" s="11" t="s">
        <v>1502</v>
      </c>
      <c r="BC1" s="11" t="s">
        <v>1462</v>
      </c>
      <c r="BD1" s="11" t="s">
        <v>1464</v>
      </c>
      <c r="BE1" s="11" t="s">
        <v>1461</v>
      </c>
      <c r="BF1" s="11" t="s">
        <v>1533</v>
      </c>
    </row>
    <row r="2" spans="1:58" s="3" customFormat="1" x14ac:dyDescent="0.2">
      <c r="A2" s="3" t="s">
        <v>414</v>
      </c>
      <c r="B2" s="3" t="str">
        <f>LOWER(VLOOKUP(A2,Xtal_Templ!A:B,2,FALSE))</f>
        <v>5ht1b_human</v>
      </c>
      <c r="C2" s="3">
        <f>VLOOKUP($A2,'NonXtal_SegEnds_BW#'!$A:$Z,3,FALSE)+D2-50</f>
        <v>46</v>
      </c>
      <c r="D2" s="3">
        <v>67</v>
      </c>
      <c r="E2" s="3">
        <f>IF(ISERROR(VLOOKUP($A2,'NonXtal_SegEnds_BW#'!$A:$Z,4,FALSE)+VLOOKUP($A2,A:AL,4,FALSE)-50),"-",(VLOOKUP($A2,'NonXtal_SegEnds_BW#'!$A:$Z,4,FALSE)+VLOOKUP($A2,A:AL,4,FALSE)-50))</f>
        <v>77</v>
      </c>
      <c r="F2" s="3">
        <f t="shared" ref="F2:F29" si="0">G2-2</f>
        <v>78</v>
      </c>
      <c r="G2" s="3">
        <v>80</v>
      </c>
      <c r="H2" s="3">
        <f t="shared" ref="H2:I29" si="1">G2+1</f>
        <v>81</v>
      </c>
      <c r="I2" s="3">
        <f t="shared" si="1"/>
        <v>82</v>
      </c>
      <c r="J2" s="3">
        <v>96</v>
      </c>
      <c r="K2" s="3">
        <f>VLOOKUP($A2,'NonXtal_SegEnds_BW#'!$A:$Z,8,FALSE)+VLOOKUP($A2,A:AL,10,FALSE)-50</f>
        <v>112</v>
      </c>
      <c r="L2" s="3">
        <f>M2-1</f>
        <v>113</v>
      </c>
      <c r="M2" s="3">
        <v>114</v>
      </c>
      <c r="N2" s="3">
        <f>M2+2</f>
        <v>116</v>
      </c>
      <c r="O2" s="3">
        <f>N2+1</f>
        <v>117</v>
      </c>
      <c r="P2" s="3">
        <v>146</v>
      </c>
      <c r="Q2" s="3">
        <f>VLOOKUP($A2,'NonXtal_SegEnds_BW#'!$A:$Z,12,FALSE)+VLOOKUP($A2,A:AL,16,FALSE)-50</f>
        <v>152</v>
      </c>
      <c r="R2" s="3">
        <f>IF(ISERROR(VLOOKUP($A2,'NonXtal_SegEnds_BW#'!$A:$Z,13,FALSE)+VLOOKUP($A2,A:AL,19,FALSE)-50),"-",VLOOKUP($A2,'NonXtal_SegEnds_BW#'!$A:$Z,13,FALSE)+VLOOKUP($A2,A:AL,19,FALSE)-50)</f>
        <v>153</v>
      </c>
      <c r="S2" s="3">
        <v>153</v>
      </c>
      <c r="T2" s="3">
        <f>IF(ISERROR(VLOOKUP($A2,'NonXtal_SegEnds_BW#'!$A:$Z,14,FALSE)+VLOOKUP($A2,A:AL,19,FALSE)-50),"-",(VLOOKUP($A2,'NonXtal_SegEnds_BW#'!$A:$Z,14,FALSE)+VLOOKUP($A2,A:AL,19,FALSE)-50))</f>
        <v>160</v>
      </c>
      <c r="U2" s="3">
        <f>IF(ISERROR(VLOOKUP($A2,'NonXtal_SegEnds_BW#'!$A:$Z,15,FALSE)+VLOOKUP($A2,A:AL,22,FALSE)-50),"-",VLOOKUP($A2,'NonXtal_SegEnds_BW#'!$A:$Z,15,FALSE)+VLOOKUP($A2,A:AL,22,FALSE)-50)</f>
        <v>162</v>
      </c>
      <c r="V2" s="3">
        <v>173</v>
      </c>
      <c r="W2" s="3">
        <f>IF(ISERROR(VLOOKUP($A2,'NonXtal_SegEnds_BW#'!$A:$Z,16,FALSE)+VLOOKUP($A2,A:AL,22,FALSE)-50),"-",(VLOOKUP($A2,'NonXtal_SegEnds_BW#'!$A:$Z,16,FALSE)+VLOOKUP($A2,A:AL,22,FALSE)-50))</f>
        <v>186</v>
      </c>
      <c r="X2" s="3" t="str">
        <f>IF(ISERROR(VLOOKUP($A2,'NonXtal_SegEnds_BW#'!$A:$Z,17,FALSE)+VLOOKUP($A2,A:AL,25,FALSE)-50),"-",(VLOOKUP($A2,'NonXtal_SegEnds_BW#'!$A:$Z,17,FALSE)+VLOOKUP($A2,A:AL,25,FALSE)-50))</f>
        <v>-</v>
      </c>
      <c r="Y2" s="3" t="s">
        <v>129</v>
      </c>
      <c r="Z2" s="3" t="str">
        <f>IF(ISERROR(VLOOKUP($A2,'NonXtal_SegEnds_BW#'!$A:$Z,18,FALSE)+VLOOKUP($A2,A:AL,25,FALSE)-50),"-",(VLOOKUP($A2,'NonXtal_SegEnds_BW#'!$A:$Z,18,FALSE)+VLOOKUP($A2,A:AL,25,FALSE)-50))</f>
        <v>-</v>
      </c>
      <c r="AA2" s="3">
        <f>IF(ISERROR(VLOOKUP($A2,'NonXtal_SegEnds_BW#'!$A:$Z,19,FALSE)+VLOOKUP($A2,A:AL,28,FALSE)-50),"-",(VLOOKUP($A2,'NonXtal_SegEnds_BW#'!$A:$Z,19,FALSE)+VLOOKUP($A2,A:AL,28,FALSE)-50))</f>
        <v>196</v>
      </c>
      <c r="AB2" s="3">
        <v>211</v>
      </c>
      <c r="AC2" s="3">
        <f>IF(ISERROR((VLOOKUP($A2,'NonXtal_SegEnds_BW#'!$A:$Z,20,FALSE)+VLOOKUP($A2,A:AL,28,FALSE)-50)),"-",(VLOOKUP($A2,'NonXtal_SegEnds_BW#'!$A:$Z,20,FALSE)+VLOOKUP($A2,A:AL,28,FALSE)-50))</f>
        <v>237</v>
      </c>
      <c r="AD2" s="3">
        <f>IF(ISERROR(VLOOKUP($A2,'NonXtal_SegEnds_BW#'!$A:$Z,21,FALSE)+VLOOKUP($A2,A:AL,31,FALSE)-50),"-",(VLOOKUP($A2,'NonXtal_SegEnds_BW#'!$A:$Z,21,FALSE)+VLOOKUP($A2,A:AL,31,FALSE)-50))</f>
        <v>253</v>
      </c>
      <c r="AE2" s="3">
        <v>279</v>
      </c>
      <c r="AF2" s="3">
        <f>IF(ISERROR((VLOOKUP($A2,'NonXtal_SegEnds_BW#'!$A:$Z,22,FALSE)+VLOOKUP($A2,A:AL,31,FALSE)-50)),"-",(VLOOKUP($A2,'NonXtal_SegEnds_BW#'!$A:$Z,22,FALSE)+VLOOKUP($A2,A:AL,31,FALSE)-50))</f>
        <v>287</v>
      </c>
      <c r="AG2" s="3">
        <f>IF(ISERROR(VLOOKUP($A2,'NonXtal_SegEnds_BW#'!$A:$Z,23,FALSE)+VLOOKUP($A2,A:AL,34,FALSE)-50),"-",(VLOOKUP($A2,'NonXtal_SegEnds_BW#'!$A:$Z,23,FALSE)+VLOOKUP($A2,A:AL,34,FALSE)-50))</f>
        <v>295</v>
      </c>
      <c r="AH2" s="3">
        <v>309</v>
      </c>
      <c r="AI2" s="3">
        <v>316</v>
      </c>
      <c r="AJ2" s="3">
        <f>IF(ISERROR(VLOOKUP($A2,'NonXtal_SegEnds_BW#'!$A:$Z,25,FALSE)+VLOOKUP($A2,A:AL,37,FALSE)-50),"-",(VLOOKUP($A2,'NonXtal_SegEnds_BW#'!$A:$Z,25,FALSE)+VLOOKUP($A2,A:AL,37,FALSE)-50))</f>
        <v>317</v>
      </c>
      <c r="AK2" s="3">
        <v>320</v>
      </c>
      <c r="AL2" s="3">
        <f>IF(ISERROR((VLOOKUP($A2,'NonXtal_SegEnds_BW#'!$A:$Z,26,FALSE)+VLOOKUP($A2,A:AL,37,FALSE)-50)),"-",(VLOOKUP($A2,'NonXtal_SegEnds_BW#'!$A:$Z,26,FALSE)+VLOOKUP($A2,A:AL,37,FALSE)-50))</f>
        <v>328</v>
      </c>
      <c r="AM2" s="71" t="str">
        <f>VLOOKUP(A2,Classification!A:B,2,FALSE)</f>
        <v>A</v>
      </c>
      <c r="AN2" s="71" t="b">
        <f t="shared" ref="AN2:AN65" si="2">AND(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>
        <f t="shared" ref="AO2:AO65" si="3">IF(ISERROR(F2-E2),"-",F2-E2)</f>
        <v>1</v>
      </c>
      <c r="AP2" s="3">
        <f t="shared" ref="AP2:AP65" si="4">IF(ISERROR(I2-H2),"-",I2-H2)</f>
        <v>1</v>
      </c>
      <c r="AQ2" s="3">
        <f t="shared" ref="AQ2:AQ65" si="5">IF(ISERROR(L2-K2),"-",L2-K2)</f>
        <v>1</v>
      </c>
      <c r="AR2" s="3">
        <f t="shared" ref="AR2:AR65" si="6">IF(ISERROR(O2-N2),"-",O2-N2)</f>
        <v>1</v>
      </c>
      <c r="AS2" s="3">
        <f t="shared" ref="AS2:AS65" si="7">IF(ISERROR(R2-Q2),"-",R2-Q2)</f>
        <v>1</v>
      </c>
      <c r="AT2" s="3">
        <f t="shared" ref="AT2:AT65" si="8">IF(ISERROR(U2-T2),"-",U2-T2)</f>
        <v>2</v>
      </c>
      <c r="AU2" s="3" t="str">
        <f t="shared" ref="AU2:AU65" si="9">IF(ISERROR(X2-W2),"-",X2-W2)</f>
        <v>-</v>
      </c>
      <c r="AV2" s="3" t="str">
        <f t="shared" ref="AV2:AV65" si="10">IF(ISERROR(AA2-Z2),"-",AA2-Z2)</f>
        <v>-</v>
      </c>
      <c r="AW2" s="3">
        <f t="shared" ref="AW2:AW65" si="11">IF(ISERROR(AD2-AC2),"-",AD2-AC2)</f>
        <v>16</v>
      </c>
      <c r="AX2" s="3">
        <f t="shared" ref="AX2:AX65" si="12">IF(ISERROR(AG2-AF2),"-",AG2-AF2)</f>
        <v>8</v>
      </c>
      <c r="AY2" s="3">
        <f t="shared" ref="AY2:AY65" si="13">IF(ISERROR(AJ2-AI2),"-",AJ2-AI2)</f>
        <v>1</v>
      </c>
      <c r="AZ2" s="3">
        <f>IF(ISERROR(LEN(VLOOKUP(A2,Seqs!A:E,2,FALSE))-AL2),"-",LEN(VLOOKUP(A2,Seqs!A:E,2,FALSE))-AL2)</f>
        <v>19</v>
      </c>
      <c r="BA2" s="35">
        <f t="shared" ref="BA2:BA65" si="14">J2-D2</f>
        <v>29</v>
      </c>
      <c r="BB2" s="3">
        <f t="shared" ref="BB2:BB65" si="15">IF(ISERROR(V2-S2),"-",V2-S2)</f>
        <v>20</v>
      </c>
      <c r="BC2" s="3">
        <f t="shared" ref="BC2:BC65" si="16">J2-D2</f>
        <v>29</v>
      </c>
      <c r="BD2" s="3">
        <f t="shared" ref="BD2:BD65" si="17">AE2-AB2</f>
        <v>68</v>
      </c>
      <c r="BE2" s="3">
        <f>AH2-AE2</f>
        <v>30</v>
      </c>
    </row>
    <row r="3" spans="1:58" s="3" customFormat="1" x14ac:dyDescent="0.2">
      <c r="A3" s="3" t="s">
        <v>667</v>
      </c>
      <c r="B3" s="3" t="str">
        <f>LOWER(VLOOKUP(A3,Xtal_Templ!A:B,2,FALSE))</f>
        <v>5ht1b_human</v>
      </c>
      <c r="C3" s="3">
        <f>VLOOKUP($A3,'NonXtal_SegEnds_BW#'!$A:$Z,3,FALSE)+D3-50</f>
        <v>17</v>
      </c>
      <c r="D3" s="3">
        <v>35</v>
      </c>
      <c r="E3" s="3">
        <f>F3-1</f>
        <v>47</v>
      </c>
      <c r="F3" s="3">
        <f t="shared" si="0"/>
        <v>48</v>
      </c>
      <c r="G3" s="3">
        <v>50</v>
      </c>
      <c r="H3" s="3">
        <f t="shared" si="1"/>
        <v>51</v>
      </c>
      <c r="I3" s="3">
        <f t="shared" si="1"/>
        <v>52</v>
      </c>
      <c r="J3" s="3">
        <v>66</v>
      </c>
      <c r="K3" s="3">
        <f>VLOOKUP($A3,'NonXtal_SegEnds_BW#'!$A:$Z,8,FALSE)+VLOOKUP($A3,A:AL,10,FALSE)-50</f>
        <v>83</v>
      </c>
      <c r="L3" s="3" t="str">
        <f>IF(ISERROR(VLOOKUP($A3,'NonXtal_SegEnds_BW#'!$A:$Z,9,FALSE)+VLOOKUP($A3,A:AL,13,FALSE)-50),"-",(VLOOKUP($A3,'NonXtal_SegEnds_BW#'!$A:$Z,9,FALSE)+VLOOKUP($A3,A:AL,13,FALSE)-50))</f>
        <v>-</v>
      </c>
      <c r="M3" s="3" t="s">
        <v>129</v>
      </c>
      <c r="N3" s="3" t="str">
        <f>IF(ISERROR(VLOOKUP($A3,'NonXtal_SegEnds_BW#'!$A:$Z,10,FALSE)+VLOOKUP($A3,A:AL,13,FALSE)-50),"-",(VLOOKUP($A3,'NonXtal_SegEnds_BW#'!$A:$Z,10,FALSE)+VLOOKUP($A3,A:AL,13,FALSE)-50))</f>
        <v>-</v>
      </c>
      <c r="O3" s="3">
        <f>VLOOKUP($A3,'NonXtal_SegEnds_BW#'!$A:$Z,11,FALSE)+VLOOKUP($A3,A:AL,16,FALSE)-50</f>
        <v>86</v>
      </c>
      <c r="P3" s="3">
        <v>118</v>
      </c>
      <c r="Q3" s="3">
        <f>VLOOKUP($A3,'NonXtal_SegEnds_BW#'!$A:$Z,12,FALSE)+VLOOKUP($A3,A:AL,16,FALSE)-50</f>
        <v>124</v>
      </c>
      <c r="R3" s="3">
        <f>S3</f>
        <v>127</v>
      </c>
      <c r="S3" s="3">
        <v>127</v>
      </c>
      <c r="T3" s="3">
        <f>S3+7</f>
        <v>134</v>
      </c>
      <c r="U3" s="3">
        <f>IF(ISERROR(VLOOKUP($A3,'NonXtal_SegEnds_BW#'!$A:$Z,15,FALSE)+VLOOKUP($A3,A:AL,22,FALSE)-50),"-",VLOOKUP($A3,'NonXtal_SegEnds_BW#'!$A:$Z,15,FALSE)+VLOOKUP($A3,A:AL,22,FALSE)-50)</f>
        <v>136</v>
      </c>
      <c r="V3" s="3">
        <v>147</v>
      </c>
      <c r="W3" s="3">
        <f>IF(ISERROR(VLOOKUP($A3,'NonXtal_SegEnds_BW#'!$A:$Z,16,FALSE)+VLOOKUP($A3,A:AL,22,FALSE)-50),"-",(VLOOKUP($A3,'NonXtal_SegEnds_BW#'!$A:$Z,16,FALSE)+VLOOKUP($A3,A:AL,22,FALSE)-50))</f>
        <v>160</v>
      </c>
      <c r="X3" s="3" t="str">
        <f>IF(ISERROR(VLOOKUP($A3,'NonXtal_SegEnds_BW#'!$A:$Z,17,FALSE)+VLOOKUP($A3,A:AL,25,FALSE)-50),"-",(VLOOKUP($A3,'NonXtal_SegEnds_BW#'!$A:$Z,17,FALSE)+VLOOKUP($A3,A:AL,25,FALSE)-50))</f>
        <v>-</v>
      </c>
      <c r="Y3" s="3" t="s">
        <v>129</v>
      </c>
      <c r="Z3" s="3" t="str">
        <f>IF(ISERROR(VLOOKUP($A3,'NonXtal_SegEnds_BW#'!$A:$Z,18,FALSE)+VLOOKUP($A3,A:AL,25,FALSE)-50),"-",(VLOOKUP($A3,'NonXtal_SegEnds_BW#'!$A:$Z,18,FALSE)+VLOOKUP($A3,A:AL,25,FALSE)-50))</f>
        <v>-</v>
      </c>
      <c r="AA3" s="3">
        <f>IF(ISERROR(VLOOKUP($A3,'NonXtal_SegEnds_BW#'!$A:$Z,19,FALSE)+VLOOKUP($A3,A:AL,28,FALSE)-50),"-",(VLOOKUP($A3,'NonXtal_SegEnds_BW#'!$A:$Z,19,FALSE)+VLOOKUP($A3,A:AL,28,FALSE)-50))</f>
        <v>187</v>
      </c>
      <c r="AB3" s="3">
        <v>205</v>
      </c>
      <c r="AC3" s="3">
        <f>IF(ISERROR((VLOOKUP($A3,'NonXtal_SegEnds_BW#'!$A:$Z,20,FALSE)+VLOOKUP($A3,A:AL,28,FALSE)-50)),"-",(VLOOKUP($A3,'NonXtal_SegEnds_BW#'!$A:$Z,20,FALSE)+VLOOKUP($A3,A:AL,28,FALSE)-50))</f>
        <v>227</v>
      </c>
      <c r="AD3" s="3">
        <f>IF(ISERROR(VLOOKUP($A3,'NonXtal_SegEnds_BW#'!$A:$Z,21,FALSE)+VLOOKUP($A3,A:AL,31,FALSE)-50),"-",(VLOOKUP($A3,'NonXtal_SegEnds_BW#'!$A:$Z,21,FALSE)+VLOOKUP($A3,A:AL,31,FALSE)-50))</f>
        <v>237</v>
      </c>
      <c r="AE3" s="3">
        <v>258</v>
      </c>
      <c r="AF3" s="3">
        <f>IF(ISERROR((VLOOKUP($A3,'NonXtal_SegEnds_BW#'!$A:$Z,22,FALSE)+VLOOKUP($A3,A:AL,31,FALSE)-50)),"-",(VLOOKUP($A3,'NonXtal_SegEnds_BW#'!$A:$Z,22,FALSE)+VLOOKUP($A3,A:AL,31,FALSE)-50))</f>
        <v>269</v>
      </c>
      <c r="AG3" s="3">
        <f>IF(ISERROR(VLOOKUP($A3,'NonXtal_SegEnds_BW#'!$A:$Z,23,FALSE)+VLOOKUP($A3,A:AL,34,FALSE)-50),"-",(VLOOKUP($A3,'NonXtal_SegEnds_BW#'!$A:$Z,23,FALSE)+VLOOKUP($A3,A:AL,34,FALSE)-50))</f>
        <v>274</v>
      </c>
      <c r="AH3" s="3">
        <v>293</v>
      </c>
      <c r="AI3" s="3">
        <f>IF(ISERROR((VLOOKUP($A3,'NonXtal_SegEnds_BW#'!$A:$Z,24,FALSE)+VLOOKUP($A3,A:AL,34,FALSE)-50)),"-",(VLOOKUP($A3,'NonXtal_SegEnds_BW#'!$A:$Z,24,FALSE)+VLOOKUP($A3,A:AL,34,FALSE)-50))</f>
        <v>299</v>
      </c>
      <c r="AJ3" s="3">
        <f>IF(ISERROR(VLOOKUP($A3,'NonXtal_SegEnds_BW#'!$A:$Z,25,FALSE)+VLOOKUP($A3,A:AL,37,FALSE)-50),"-",(VLOOKUP($A3,'NonXtal_SegEnds_BW#'!$A:$Z,25,FALSE)+VLOOKUP($A3,A:AL,37,FALSE)-50))</f>
        <v>300</v>
      </c>
      <c r="AK3" s="3">
        <v>303</v>
      </c>
      <c r="AL3" s="3">
        <f>IF(ISERROR((VLOOKUP($A3,'NonXtal_SegEnds_BW#'!$A:$Z,26,FALSE)+VLOOKUP($A3,A:AL,37,FALSE)-50)),"-",(VLOOKUP($A3,'NonXtal_SegEnds_BW#'!$A:$Z,26,FALSE)+VLOOKUP($A3,A:AL,37,FALSE)-50))</f>
        <v>313</v>
      </c>
      <c r="AM3" s="71" t="str">
        <f>VLOOKUP(A3,Classification!A:B,2,FALSE)</f>
        <v>T</v>
      </c>
      <c r="AN3" s="71" t="b">
        <f t="shared" si="2"/>
        <v>1</v>
      </c>
      <c r="AO3" s="3">
        <f t="shared" si="3"/>
        <v>1</v>
      </c>
      <c r="AP3" s="3">
        <f t="shared" si="4"/>
        <v>1</v>
      </c>
      <c r="AQ3" s="3" t="str">
        <f t="shared" si="5"/>
        <v>-</v>
      </c>
      <c r="AR3" s="3" t="str">
        <f t="shared" si="6"/>
        <v>-</v>
      </c>
      <c r="AS3" s="3">
        <f t="shared" si="7"/>
        <v>3</v>
      </c>
      <c r="AT3" s="3">
        <f t="shared" si="8"/>
        <v>2</v>
      </c>
      <c r="AU3" s="3" t="str">
        <f t="shared" si="9"/>
        <v>-</v>
      </c>
      <c r="AV3" s="3" t="str">
        <f t="shared" si="10"/>
        <v>-</v>
      </c>
      <c r="AW3" s="3">
        <f t="shared" si="11"/>
        <v>10</v>
      </c>
      <c r="AX3" s="3">
        <f t="shared" si="12"/>
        <v>5</v>
      </c>
      <c r="AY3" s="3">
        <f t="shared" si="13"/>
        <v>1</v>
      </c>
      <c r="AZ3" s="3">
        <f>IF(ISERROR(LEN(VLOOKUP(A3,Seqs!A:E,2,FALSE))-AL3),"-",LEN(VLOOKUP(A3,Seqs!A:E,2,FALSE))-AL3)</f>
        <v>5</v>
      </c>
      <c r="BA3" s="35">
        <f t="shared" si="14"/>
        <v>31</v>
      </c>
      <c r="BB3" s="3">
        <f t="shared" si="15"/>
        <v>20</v>
      </c>
      <c r="BC3" s="3">
        <f t="shared" si="16"/>
        <v>31</v>
      </c>
      <c r="BD3" s="3">
        <f t="shared" si="17"/>
        <v>53</v>
      </c>
      <c r="BE3" s="3">
        <f>AH3-AE3</f>
        <v>35</v>
      </c>
    </row>
    <row r="4" spans="1:58" s="3" customFormat="1" x14ac:dyDescent="0.2">
      <c r="A4" s="3" t="s">
        <v>331</v>
      </c>
      <c r="B4" s="3" t="str">
        <f>LOWER(VLOOKUP(A4,Xtal_Templ!A:B,2,FALSE))</f>
        <v>5ht1b_human</v>
      </c>
      <c r="C4" s="3">
        <f>VLOOKUP($A4,'NonXtal_SegEnds_BW#'!$A:$Z,3,FALSE)+D4-50</f>
        <v>78</v>
      </c>
      <c r="D4" s="3">
        <v>99</v>
      </c>
      <c r="E4" s="3">
        <f>IF(ISERROR(VLOOKUP($A4,'NonXtal_SegEnds_BW#'!$A:$Z,4,FALSE)+VLOOKUP($A4,A:AL,4,FALSE)-50),"-",(VLOOKUP($A4,'NonXtal_SegEnds_BW#'!$A:$Z,4,FALSE)+VLOOKUP($A4,A:AL,4,FALSE)-50))</f>
        <v>109</v>
      </c>
      <c r="F4" s="3">
        <f t="shared" si="0"/>
        <v>110</v>
      </c>
      <c r="G4" s="3">
        <v>112</v>
      </c>
      <c r="H4" s="3">
        <f t="shared" si="1"/>
        <v>113</v>
      </c>
      <c r="I4" s="3">
        <f t="shared" si="1"/>
        <v>114</v>
      </c>
      <c r="J4" s="3">
        <v>127</v>
      </c>
      <c r="K4" s="3">
        <f>VLOOKUP($A4,'NonXtal_SegEnds_BW#'!$A:$Z,8,FALSE)+VLOOKUP($A4,A:AL,10,FALSE)-50</f>
        <v>144</v>
      </c>
      <c r="L4" s="3">
        <f t="shared" ref="L4:L21" si="18">M4-1</f>
        <v>147</v>
      </c>
      <c r="M4" s="3">
        <v>148</v>
      </c>
      <c r="N4" s="3">
        <f t="shared" ref="N4:N21" si="19">M4+2</f>
        <v>150</v>
      </c>
      <c r="O4" s="3">
        <f t="shared" ref="O4:O21" si="20">N4+1</f>
        <v>151</v>
      </c>
      <c r="P4" s="3">
        <v>180</v>
      </c>
      <c r="Q4" s="3">
        <f>VLOOKUP($A4,'NonXtal_SegEnds_BW#'!$A:$Z,12,FALSE)+VLOOKUP($A4,A:AL,16,FALSE)-50</f>
        <v>186</v>
      </c>
      <c r="R4" s="3">
        <f>IF(ISERROR(VLOOKUP($A4,'NonXtal_SegEnds_BW#'!$A:$Z,13,FALSE)+VLOOKUP($A4,A:AL,19,FALSE)-50),"-",VLOOKUP($A4,'NonXtal_SegEnds_BW#'!$A:$Z,13,FALSE)+VLOOKUP($A4,A:AL,19,FALSE)-50)</f>
        <v>187</v>
      </c>
      <c r="S4" s="3">
        <v>187</v>
      </c>
      <c r="T4" s="3">
        <f>IF(ISERROR(VLOOKUP($A4,'NonXtal_SegEnds_BW#'!$A:$Z,14,FALSE)+VLOOKUP($A4,A:AL,19,FALSE)-50),"-",(VLOOKUP($A4,'NonXtal_SegEnds_BW#'!$A:$Z,14,FALSE)+VLOOKUP($A4,A:AL,19,FALSE)-50))</f>
        <v>194</v>
      </c>
      <c r="U4" s="3">
        <f>IF(ISERROR(VLOOKUP($A4,'NonXtal_SegEnds_BW#'!$A:$Z,15,FALSE)+VLOOKUP($A4,A:AL,22,FALSE)-50),"-",VLOOKUP($A4,'NonXtal_SegEnds_BW#'!$A:$Z,15,FALSE)+VLOOKUP($A4,A:AL,22,FALSE)-50)</f>
        <v>196</v>
      </c>
      <c r="V4" s="3">
        <v>207</v>
      </c>
      <c r="W4" s="3">
        <f>IF(ISERROR(VLOOKUP($A4,'NonXtal_SegEnds_BW#'!$A:$Z,16,FALSE)+VLOOKUP($A4,A:AL,22,FALSE)-50),"-",(VLOOKUP($A4,'NonXtal_SegEnds_BW#'!$A:$Z,16,FALSE)+VLOOKUP($A4,A:AL,22,FALSE)-50))</f>
        <v>220</v>
      </c>
      <c r="X4" s="3">
        <f>IF(ISERROR(VLOOKUP($A4,'NonXtal_SegEnds_BW#'!$A:$Z,17,FALSE)+VLOOKUP($A4,A:AL,25,FALSE)-50),"-",(VLOOKUP($A4,'NonXtal_SegEnds_BW#'!$A:$Z,17,FALSE)+VLOOKUP($A4,A:AL,25,FALSE)-50))</f>
        <v>231</v>
      </c>
      <c r="Y4" s="3">
        <v>231</v>
      </c>
      <c r="Z4" s="3">
        <f t="shared" ref="Z4:Z21" si="21">Y4+2</f>
        <v>233</v>
      </c>
      <c r="AA4" s="3">
        <f>IF(ISERROR(VLOOKUP($A4,'NonXtal_SegEnds_BW#'!$A:$Z,19,FALSE)+VLOOKUP($A4,A:AL,28,FALSE)-50),"-",(VLOOKUP($A4,'NonXtal_SegEnds_BW#'!$A:$Z,19,FALSE)+VLOOKUP($A4,A:AL,28,FALSE)-50))</f>
        <v>236</v>
      </c>
      <c r="AB4" s="3">
        <v>251</v>
      </c>
      <c r="AC4" s="3">
        <f>IF(ISERROR((VLOOKUP($A4,'NonXtal_SegEnds_BW#'!$A:$Z,20,FALSE)+VLOOKUP($A4,A:AL,28,FALSE)-50)),"-",(VLOOKUP($A4,'NonXtal_SegEnds_BW#'!$A:$Z,20,FALSE)+VLOOKUP($A4,A:AL,28,FALSE)-50))</f>
        <v>277</v>
      </c>
      <c r="AD4" s="3">
        <f>IF(ISERROR(VLOOKUP($A4,'NonXtal_SegEnds_BW#'!$A:$Z,21,FALSE)+VLOOKUP($A4,A:AL,31,FALSE)-50),"-",(VLOOKUP($A4,'NonXtal_SegEnds_BW#'!$A:$Z,21,FALSE)+VLOOKUP($A4,A:AL,31,FALSE)-50))</f>
        <v>316</v>
      </c>
      <c r="AE4" s="3">
        <v>342</v>
      </c>
      <c r="AF4" s="3">
        <f>IF(ISERROR((VLOOKUP($A4,'NonXtal_SegEnds_BW#'!$A:$Z,22,FALSE)+VLOOKUP($A4,A:AL,31,FALSE)-50)),"-",(VLOOKUP($A4,'NonXtal_SegEnds_BW#'!$A:$Z,22,FALSE)+VLOOKUP($A4,A:AL,31,FALSE)-50))</f>
        <v>353</v>
      </c>
      <c r="AG4" s="3">
        <f>IF(ISERROR(VLOOKUP($A4,'NonXtal_SegEnds_BW#'!$A:$Z,23,FALSE)+VLOOKUP($A4,A:AL,34,FALSE)-50),"-",(VLOOKUP($A4,'NonXtal_SegEnds_BW#'!$A:$Z,23,FALSE)+VLOOKUP($A4,A:AL,34,FALSE)-50))</f>
        <v>359</v>
      </c>
      <c r="AH4" s="3">
        <v>381</v>
      </c>
      <c r="AI4" s="3">
        <f>IF(ISERROR((VLOOKUP($A4,'NonXtal_SegEnds_BW#'!$A:$Z,24,FALSE)+VLOOKUP($A4,A:AL,34,FALSE)-50)),"-",(VLOOKUP($A4,'NonXtal_SegEnds_BW#'!$A:$Z,24,FALSE)+VLOOKUP($A4,A:AL,34,FALSE)-50))</f>
        <v>387</v>
      </c>
      <c r="AJ4" s="3">
        <f>IF(ISERROR(VLOOKUP($A4,'NonXtal_SegEnds_BW#'!$A:$Z,25,FALSE)+VLOOKUP($A4,A:AL,37,FALSE)-50),"-",(VLOOKUP($A4,'NonXtal_SegEnds_BW#'!$A:$Z,25,FALSE)+VLOOKUP($A4,A:AL,37,FALSE)-50))</f>
        <v>388</v>
      </c>
      <c r="AK4" s="3">
        <v>391</v>
      </c>
      <c r="AL4" s="3">
        <f>IF(ISERROR((VLOOKUP($A4,'NonXtal_SegEnds_BW#'!$A:$Z,26,FALSE)+VLOOKUP($A4,A:AL,37,FALSE)-50)),"-",(VLOOKUP($A4,'NonXtal_SegEnds_BW#'!$A:$Z,26,FALSE)+VLOOKUP($A4,A:AL,37,FALSE)-50))</f>
        <v>399</v>
      </c>
      <c r="AM4" s="71" t="str">
        <f>VLOOKUP(A4,Classification!A:B,2,FALSE)</f>
        <v>A</v>
      </c>
      <c r="AN4" s="71" t="b">
        <f t="shared" si="2"/>
        <v>1</v>
      </c>
      <c r="AO4" s="3">
        <f t="shared" si="3"/>
        <v>1</v>
      </c>
      <c r="AP4" s="3">
        <f t="shared" si="4"/>
        <v>1</v>
      </c>
      <c r="AQ4" s="3">
        <f t="shared" si="5"/>
        <v>3</v>
      </c>
      <c r="AR4" s="3">
        <f t="shared" si="6"/>
        <v>1</v>
      </c>
      <c r="AS4" s="3">
        <f t="shared" si="7"/>
        <v>1</v>
      </c>
      <c r="AT4" s="3">
        <f t="shared" si="8"/>
        <v>2</v>
      </c>
      <c r="AU4" s="3">
        <f t="shared" si="9"/>
        <v>11</v>
      </c>
      <c r="AV4" s="3">
        <f t="shared" si="10"/>
        <v>3</v>
      </c>
      <c r="AW4" s="3">
        <f t="shared" si="11"/>
        <v>39</v>
      </c>
      <c r="AX4" s="3">
        <f t="shared" si="12"/>
        <v>6</v>
      </c>
      <c r="AY4" s="3">
        <f t="shared" si="13"/>
        <v>1</v>
      </c>
      <c r="AZ4" s="3">
        <f>IF(ISERROR(LEN(VLOOKUP(A4,Seqs!A:E,2,FALSE))-AL4),"-",LEN(VLOOKUP(A4,Seqs!A:E,2,FALSE))-AL4)</f>
        <v>80</v>
      </c>
      <c r="BA4" s="35">
        <f t="shared" si="14"/>
        <v>28</v>
      </c>
      <c r="BB4" s="3">
        <f t="shared" si="15"/>
        <v>20</v>
      </c>
      <c r="BC4" s="3">
        <f t="shared" si="16"/>
        <v>28</v>
      </c>
      <c r="BD4" s="3">
        <f t="shared" si="17"/>
        <v>91</v>
      </c>
    </row>
    <row r="5" spans="1:58" s="3" customFormat="1" x14ac:dyDescent="0.2">
      <c r="A5" s="3" t="s">
        <v>459</v>
      </c>
      <c r="B5" s="3" t="str">
        <f>LOWER(VLOOKUP(A5,Xtal_Templ!A:B,2,FALSE))</f>
        <v>5ht1b_human</v>
      </c>
      <c r="C5" s="3">
        <f>VLOOKUP($A5,'NonXtal_SegEnds_BW#'!$A:$Z,3,FALSE)+D5-50</f>
        <v>78</v>
      </c>
      <c r="D5" s="3">
        <v>99</v>
      </c>
      <c r="E5" s="3">
        <f>IF(ISERROR(VLOOKUP($A5,'NonXtal_SegEnds_BW#'!$A:$Z,4,FALSE)+VLOOKUP($A5,A:AL,4,FALSE)-50),"-",(VLOOKUP($A5,'NonXtal_SegEnds_BW#'!$A:$Z,4,FALSE)+VLOOKUP($A5,A:AL,4,FALSE)-50))</f>
        <v>109</v>
      </c>
      <c r="F5" s="3">
        <f t="shared" si="0"/>
        <v>110</v>
      </c>
      <c r="G5" s="3">
        <v>112</v>
      </c>
      <c r="H5" s="3">
        <f t="shared" si="1"/>
        <v>113</v>
      </c>
      <c r="I5" s="3">
        <f t="shared" si="1"/>
        <v>114</v>
      </c>
      <c r="J5" s="3">
        <v>127</v>
      </c>
      <c r="K5" s="3">
        <f>VLOOKUP($A5,'NonXtal_SegEnds_BW#'!$A:$Z,8,FALSE)+VLOOKUP($A5,A:AL,10,FALSE)-50</f>
        <v>144</v>
      </c>
      <c r="L5" s="3">
        <f t="shared" si="18"/>
        <v>146</v>
      </c>
      <c r="M5" s="3">
        <v>147</v>
      </c>
      <c r="N5" s="3">
        <f t="shared" si="19"/>
        <v>149</v>
      </c>
      <c r="O5" s="3">
        <f t="shared" si="20"/>
        <v>150</v>
      </c>
      <c r="P5" s="3">
        <v>179</v>
      </c>
      <c r="Q5" s="3">
        <f>VLOOKUP($A5,'NonXtal_SegEnds_BW#'!$A:$Z,12,FALSE)+VLOOKUP($A5,A:AL,16,FALSE)-50</f>
        <v>185</v>
      </c>
      <c r="R5" s="3" t="str">
        <f>IF(ISERROR(VLOOKUP($A5,'NonXtal_SegEnds_BW#'!$A:$Z,13,FALSE)+VLOOKUP($A5,A:AL,19,FALSE)-50),"-",VLOOKUP($A5,'NonXtal_SegEnds_BW#'!$A:$Z,13,FALSE)+VLOOKUP($A5,A:AL,19,FALSE)-50)</f>
        <v>-</v>
      </c>
      <c r="S5" s="3" t="s">
        <v>129</v>
      </c>
      <c r="T5" s="3" t="str">
        <f>IF(ISERROR(VLOOKUP($A5,'NonXtal_SegEnds_BW#'!$A:$Z,14,FALSE)+VLOOKUP($A5,A:AL,19,FALSE)-50),"-",(VLOOKUP($A5,'NonXtal_SegEnds_BW#'!$A:$Z,14,FALSE)+VLOOKUP($A5,A:AL,19,FALSE)-50))</f>
        <v>-</v>
      </c>
      <c r="U5" s="3">
        <f>IF(ISERROR(VLOOKUP($A5,'NonXtal_SegEnds_BW#'!$A:$Z,15,FALSE)+VLOOKUP($A5,A:AL,22,FALSE)-50),"-",VLOOKUP($A5,'NonXtal_SegEnds_BW#'!$A:$Z,15,FALSE)+VLOOKUP($A5,A:AL,22,FALSE)-50)</f>
        <v>192</v>
      </c>
      <c r="V5" s="3">
        <v>203</v>
      </c>
      <c r="W5" s="3">
        <f>IF(ISERROR(VLOOKUP($A5,'NonXtal_SegEnds_BW#'!$A:$Z,16,FALSE)+VLOOKUP($A5,A:AL,22,FALSE)-50),"-",(VLOOKUP($A5,'NonXtal_SegEnds_BW#'!$A:$Z,16,FALSE)+VLOOKUP($A5,A:AL,22,FALSE)-50))</f>
        <v>216</v>
      </c>
      <c r="X5" s="3">
        <f>IF(ISERROR(VLOOKUP($A5,'NonXtal_SegEnds_BW#'!$A:$Z,17,FALSE)+VLOOKUP($A5,A:AL,25,FALSE)-50),"-",(VLOOKUP($A5,'NonXtal_SegEnds_BW#'!$A:$Z,17,FALSE)+VLOOKUP($A5,A:AL,25,FALSE)-50))</f>
        <v>229</v>
      </c>
      <c r="Y5" s="3">
        <v>229</v>
      </c>
      <c r="Z5" s="3">
        <f t="shared" si="21"/>
        <v>231</v>
      </c>
      <c r="AA5" s="3">
        <f>IF(ISERROR(VLOOKUP($A5,'NonXtal_SegEnds_BW#'!$A:$Z,19,FALSE)+VLOOKUP($A5,A:AL,28,FALSE)-50),"-",(VLOOKUP($A5,'NonXtal_SegEnds_BW#'!$A:$Z,19,FALSE)+VLOOKUP($A5,A:AL,28,FALSE)-50))</f>
        <v>239</v>
      </c>
      <c r="AB5" s="3">
        <v>254</v>
      </c>
      <c r="AC5" s="3">
        <f>IF(ISERROR((VLOOKUP($A5,'NonXtal_SegEnds_BW#'!$A:$Z,20,FALSE)+VLOOKUP($A5,A:AL,28,FALSE)-50)),"-",(VLOOKUP($A5,'NonXtal_SegEnds_BW#'!$A:$Z,20,FALSE)+VLOOKUP($A5,A:AL,28,FALSE)-50))</f>
        <v>280</v>
      </c>
      <c r="AD5" s="3">
        <f>IF(ISERROR(VLOOKUP($A5,'NonXtal_SegEnds_BW#'!$A:$Z,21,FALSE)+VLOOKUP($A5,A:AL,31,FALSE)-50),"-",(VLOOKUP($A5,'NonXtal_SegEnds_BW#'!$A:$Z,21,FALSE)+VLOOKUP($A5,A:AL,31,FALSE)-50))</f>
        <v>303</v>
      </c>
      <c r="AE5" s="3">
        <v>329</v>
      </c>
      <c r="AF5" s="3">
        <f>IF(ISERROR((VLOOKUP($A5,'NonXtal_SegEnds_BW#'!$A:$Z,22,FALSE)+VLOOKUP($A5,A:AL,31,FALSE)-50)),"-",(VLOOKUP($A5,'NonXtal_SegEnds_BW#'!$A:$Z,22,FALSE)+VLOOKUP($A5,A:AL,31,FALSE)-50))</f>
        <v>340</v>
      </c>
      <c r="AG5" s="3">
        <f>IF(ISERROR(VLOOKUP($A5,'NonXtal_SegEnds_BW#'!$A:$Z,23,FALSE)+VLOOKUP($A5,A:AL,34,FALSE)-50),"-",(VLOOKUP($A5,'NonXtal_SegEnds_BW#'!$A:$Z,23,FALSE)+VLOOKUP($A5,A:AL,34,FALSE)-50))</f>
        <v>346</v>
      </c>
      <c r="AH5" s="3">
        <v>368</v>
      </c>
      <c r="AI5" s="3">
        <f>IF(ISERROR((VLOOKUP($A5,'NonXtal_SegEnds_BW#'!$A:$Z,24,FALSE)+VLOOKUP($A5,A:AL,34,FALSE)-50)),"-",(VLOOKUP($A5,'NonXtal_SegEnds_BW#'!$A:$Z,24,FALSE)+VLOOKUP($A5,A:AL,34,FALSE)-50))</f>
        <v>374</v>
      </c>
      <c r="AJ5" s="3">
        <f>IF(ISERROR(VLOOKUP($A5,'NonXtal_SegEnds_BW#'!$A:$Z,25,FALSE)+VLOOKUP($A5,A:AL,37,FALSE)-50),"-",(VLOOKUP($A5,'NonXtal_SegEnds_BW#'!$A:$Z,25,FALSE)+VLOOKUP($A5,A:AL,37,FALSE)-50))</f>
        <v>375</v>
      </c>
      <c r="AK5" s="3">
        <v>378</v>
      </c>
      <c r="AL5" s="3">
        <f>IF(ISERROR((VLOOKUP($A5,'NonXtal_SegEnds_BW#'!$A:$Z,26,FALSE)+VLOOKUP($A5,A:AL,37,FALSE)-50)),"-",(VLOOKUP($A5,'NonXtal_SegEnds_BW#'!$A:$Z,26,FALSE)+VLOOKUP($A5,A:AL,37,FALSE)-50))</f>
        <v>386</v>
      </c>
      <c r="AM5" s="71" t="str">
        <f>VLOOKUP(A5,Classification!A:B,2,FALSE)</f>
        <v>A</v>
      </c>
      <c r="AN5" s="71" t="b">
        <f t="shared" si="2"/>
        <v>1</v>
      </c>
      <c r="AO5" s="3">
        <f t="shared" si="3"/>
        <v>1</v>
      </c>
      <c r="AP5" s="3">
        <f t="shared" si="4"/>
        <v>1</v>
      </c>
      <c r="AQ5" s="3">
        <f t="shared" si="5"/>
        <v>2</v>
      </c>
      <c r="AR5" s="3">
        <f t="shared" si="6"/>
        <v>1</v>
      </c>
      <c r="AS5" s="3" t="str">
        <f t="shared" si="7"/>
        <v>-</v>
      </c>
      <c r="AT5" s="3" t="str">
        <f t="shared" si="8"/>
        <v>-</v>
      </c>
      <c r="AU5" s="3">
        <f t="shared" si="9"/>
        <v>13</v>
      </c>
      <c r="AV5" s="3">
        <f t="shared" si="10"/>
        <v>8</v>
      </c>
      <c r="AW5" s="3">
        <f t="shared" si="11"/>
        <v>23</v>
      </c>
      <c r="AX5" s="3">
        <f t="shared" si="12"/>
        <v>6</v>
      </c>
      <c r="AY5" s="3">
        <f t="shared" si="13"/>
        <v>1</v>
      </c>
      <c r="AZ5" s="3">
        <f>IF(ISERROR(LEN(VLOOKUP(A5,Seqs!A:E,2,FALSE))-AL5),"-",LEN(VLOOKUP(A5,Seqs!A:E,2,FALSE))-AL5)</f>
        <v>33</v>
      </c>
      <c r="BA5" s="35">
        <f t="shared" si="14"/>
        <v>28</v>
      </c>
      <c r="BB5" s="3" t="str">
        <f t="shared" si="15"/>
        <v>-</v>
      </c>
      <c r="BC5" s="3">
        <f t="shared" si="16"/>
        <v>28</v>
      </c>
      <c r="BD5" s="3">
        <f t="shared" si="17"/>
        <v>75</v>
      </c>
    </row>
    <row r="6" spans="1:58" s="3" customFormat="1" x14ac:dyDescent="0.2">
      <c r="A6" s="3" t="s">
        <v>351</v>
      </c>
      <c r="B6" s="3" t="str">
        <f>LOWER(VLOOKUP(A6,Xtal_Templ!A:B,2,FALSE))</f>
        <v>5ht1b_human</v>
      </c>
      <c r="C6" s="3">
        <f>VLOOKUP($A6,'NonXtal_SegEnds_BW#'!$A:$Z,3,FALSE)+D6-50</f>
        <v>48</v>
      </c>
      <c r="D6" s="3">
        <v>69</v>
      </c>
      <c r="E6" s="3">
        <f>IF(ISERROR(VLOOKUP($A6,'NonXtal_SegEnds_BW#'!$A:$Z,4,FALSE)+VLOOKUP($A6,A:AL,4,FALSE)-50),"-",(VLOOKUP($A6,'NonXtal_SegEnds_BW#'!$A:$Z,4,FALSE)+VLOOKUP($A6,A:AL,4,FALSE)-50))</f>
        <v>79</v>
      </c>
      <c r="F6" s="3">
        <f t="shared" si="0"/>
        <v>80</v>
      </c>
      <c r="G6" s="3">
        <v>82</v>
      </c>
      <c r="H6" s="3">
        <f t="shared" si="1"/>
        <v>83</v>
      </c>
      <c r="I6" s="3">
        <f t="shared" si="1"/>
        <v>84</v>
      </c>
      <c r="J6" s="3">
        <v>97</v>
      </c>
      <c r="K6" s="3">
        <f>VLOOKUP($A6,'NonXtal_SegEnds_BW#'!$A:$Z,8,FALSE)+VLOOKUP($A6,A:AL,10,FALSE)-50</f>
        <v>114</v>
      </c>
      <c r="L6" s="3">
        <f t="shared" si="18"/>
        <v>116</v>
      </c>
      <c r="M6" s="3">
        <v>117</v>
      </c>
      <c r="N6" s="3">
        <f t="shared" si="19"/>
        <v>119</v>
      </c>
      <c r="O6" s="3">
        <f t="shared" si="20"/>
        <v>120</v>
      </c>
      <c r="P6" s="3">
        <v>149</v>
      </c>
      <c r="Q6" s="3">
        <f>VLOOKUP($A6,'NonXtal_SegEnds_BW#'!$A:$Z,12,FALSE)+VLOOKUP($A6,A:AL,16,FALSE)-50</f>
        <v>155</v>
      </c>
      <c r="R6" s="3">
        <f>IF(ISERROR(VLOOKUP($A6,'NonXtal_SegEnds_BW#'!$A:$Z,13,FALSE)+VLOOKUP($A6,A:AL,19,FALSE)-50),"-",VLOOKUP($A6,'NonXtal_SegEnds_BW#'!$A:$Z,13,FALSE)+VLOOKUP($A6,A:AL,19,FALSE)-50)</f>
        <v>156</v>
      </c>
      <c r="S6" s="3">
        <v>156</v>
      </c>
      <c r="T6" s="3">
        <f>IF(ISERROR(VLOOKUP($A6,'NonXtal_SegEnds_BW#'!$A:$Z,14,FALSE)+VLOOKUP($A6,A:AL,19,FALSE)-50),"-",(VLOOKUP($A6,'NonXtal_SegEnds_BW#'!$A:$Z,14,FALSE)+VLOOKUP($A6,A:AL,19,FALSE)-50))</f>
        <v>163</v>
      </c>
      <c r="U6" s="3">
        <f>IF(ISERROR(VLOOKUP($A6,'NonXtal_SegEnds_BW#'!$A:$Z,15,FALSE)+VLOOKUP($A6,A:AL,22,FALSE)-50),"-",VLOOKUP($A6,'NonXtal_SegEnds_BW#'!$A:$Z,15,FALSE)+VLOOKUP($A6,A:AL,22,FALSE)-50)</f>
        <v>165</v>
      </c>
      <c r="V6" s="3">
        <v>176</v>
      </c>
      <c r="W6" s="3">
        <f>IF(ISERROR(VLOOKUP($A6,'NonXtal_SegEnds_BW#'!$A:$Z,16,FALSE)+VLOOKUP($A6,A:AL,22,FALSE)-50),"-",(VLOOKUP($A6,'NonXtal_SegEnds_BW#'!$A:$Z,16,FALSE)+VLOOKUP($A6,A:AL,22,FALSE)-50))</f>
        <v>189</v>
      </c>
      <c r="X6" s="3">
        <f>IF(ISERROR(VLOOKUP($A6,'NonXtal_SegEnds_BW#'!$A:$Z,17,FALSE)+VLOOKUP($A6,A:AL,25,FALSE)-50),"-",(VLOOKUP($A6,'NonXtal_SegEnds_BW#'!$A:$Z,17,FALSE)+VLOOKUP($A6,A:AL,25,FALSE)-50))</f>
        <v>202</v>
      </c>
      <c r="Y6" s="3">
        <v>202</v>
      </c>
      <c r="Z6" s="3">
        <f t="shared" si="21"/>
        <v>204</v>
      </c>
      <c r="AA6" s="3">
        <f>IF(ISERROR(VLOOKUP($A6,'NonXtal_SegEnds_BW#'!$A:$Z,19,FALSE)+VLOOKUP($A6,A:AL,28,FALSE)-50),"-",(VLOOKUP($A6,'NonXtal_SegEnds_BW#'!$A:$Z,19,FALSE)+VLOOKUP($A6,A:AL,28,FALSE)-50))</f>
        <v>207</v>
      </c>
      <c r="AB6" s="3">
        <v>222</v>
      </c>
      <c r="AC6" s="3">
        <f>IF(ISERROR((VLOOKUP($A6,'NonXtal_SegEnds_BW#'!$A:$Z,20,FALSE)+VLOOKUP($A6,A:AL,28,FALSE)-50)),"-",(VLOOKUP($A6,'NonXtal_SegEnds_BW#'!$A:$Z,20,FALSE)+VLOOKUP($A6,A:AL,28,FALSE)-50))</f>
        <v>247</v>
      </c>
      <c r="AD6" s="3">
        <f>IF(ISERROR(VLOOKUP($A6,'NonXtal_SegEnds_BW#'!$A:$Z,21,FALSE)+VLOOKUP($A6,A:AL,31,FALSE)-50),"-",(VLOOKUP($A6,'NonXtal_SegEnds_BW#'!$A:$Z,21,FALSE)+VLOOKUP($A6,A:AL,31,FALSE)-50))</f>
        <v>371</v>
      </c>
      <c r="AE6" s="3">
        <v>397</v>
      </c>
      <c r="AF6" s="3">
        <f>IF(ISERROR((VLOOKUP($A6,'NonXtal_SegEnds_BW#'!$A:$Z,22,FALSE)+VLOOKUP($A6,A:AL,31,FALSE)-50)),"-",(VLOOKUP($A6,'NonXtal_SegEnds_BW#'!$A:$Z,22,FALSE)+VLOOKUP($A6,A:AL,31,FALSE)-50))</f>
        <v>408</v>
      </c>
      <c r="AG6" s="3">
        <f>IF(ISERROR(VLOOKUP($A6,'NonXtal_SegEnds_BW#'!$A:$Z,23,FALSE)+VLOOKUP($A6,A:AL,34,FALSE)-50),"-",(VLOOKUP($A6,'NonXtal_SegEnds_BW#'!$A:$Z,23,FALSE)+VLOOKUP($A6,A:AL,34,FALSE)-50))</f>
        <v>415</v>
      </c>
      <c r="AH6" s="3">
        <v>434</v>
      </c>
      <c r="AI6" s="3">
        <f>IF(ISERROR((VLOOKUP($A6,'NonXtal_SegEnds_BW#'!$A:$Z,24,FALSE)+VLOOKUP($A6,A:AL,34,FALSE)-50)),"-",(VLOOKUP($A6,'NonXtal_SegEnds_BW#'!$A:$Z,24,FALSE)+VLOOKUP($A6,A:AL,34,FALSE)-50))</f>
        <v>440</v>
      </c>
      <c r="AJ6" s="3">
        <f>IF(ISERROR(VLOOKUP($A6,'NonXtal_SegEnds_BW#'!$A:$Z,25,FALSE)+VLOOKUP($A6,A:AL,37,FALSE)-50),"-",(VLOOKUP($A6,'NonXtal_SegEnds_BW#'!$A:$Z,25,FALSE)+VLOOKUP($A6,A:AL,37,FALSE)-50))</f>
        <v>441</v>
      </c>
      <c r="AK6" s="3">
        <v>444</v>
      </c>
      <c r="AL6" s="3">
        <f>IF(ISERROR((VLOOKUP($A6,'NonXtal_SegEnds_BW#'!$A:$Z,26,FALSE)+VLOOKUP($A6,A:AL,37,FALSE)-50)),"-",(VLOOKUP($A6,'NonXtal_SegEnds_BW#'!$A:$Z,26,FALSE)+VLOOKUP($A6,A:AL,37,FALSE)-50))</f>
        <v>452</v>
      </c>
      <c r="AM6" s="71" t="str">
        <f>VLOOKUP(A6,Classification!A:B,2,FALSE)</f>
        <v>A</v>
      </c>
      <c r="AN6" s="71" t="b">
        <f t="shared" si="2"/>
        <v>1</v>
      </c>
      <c r="AO6" s="3">
        <f t="shared" si="3"/>
        <v>1</v>
      </c>
      <c r="AP6" s="3">
        <f t="shared" si="4"/>
        <v>1</v>
      </c>
      <c r="AQ6" s="3">
        <f t="shared" si="5"/>
        <v>2</v>
      </c>
      <c r="AR6" s="3">
        <f t="shared" si="6"/>
        <v>1</v>
      </c>
      <c r="AS6" s="3">
        <f t="shared" si="7"/>
        <v>1</v>
      </c>
      <c r="AT6" s="3">
        <f t="shared" si="8"/>
        <v>2</v>
      </c>
      <c r="AU6" s="3">
        <f t="shared" si="9"/>
        <v>13</v>
      </c>
      <c r="AV6" s="3">
        <f t="shared" si="10"/>
        <v>3</v>
      </c>
      <c r="AW6" s="3">
        <f t="shared" si="11"/>
        <v>124</v>
      </c>
      <c r="AX6" s="3">
        <f t="shared" si="12"/>
        <v>7</v>
      </c>
      <c r="AY6" s="3">
        <f t="shared" si="13"/>
        <v>1</v>
      </c>
      <c r="AZ6" s="3">
        <f>IF(ISERROR(LEN(VLOOKUP(A6,Seqs!A:E,2,FALSE))-AL6),"-",LEN(VLOOKUP(A6,Seqs!A:E,2,FALSE))-AL6)</f>
        <v>10</v>
      </c>
      <c r="BA6" s="35">
        <f t="shared" si="14"/>
        <v>28</v>
      </c>
      <c r="BB6" s="3">
        <f t="shared" si="15"/>
        <v>20</v>
      </c>
      <c r="BC6" s="3">
        <f t="shared" si="16"/>
        <v>28</v>
      </c>
      <c r="BD6" s="3">
        <f t="shared" si="17"/>
        <v>175</v>
      </c>
      <c r="BE6" s="3">
        <f t="shared" ref="BE6:BE17" si="22">AH6-AE6</f>
        <v>37</v>
      </c>
    </row>
    <row r="7" spans="1:58" s="3" customFormat="1" x14ac:dyDescent="0.2">
      <c r="A7" s="3" t="s">
        <v>582</v>
      </c>
      <c r="B7" s="3" t="str">
        <f>LOWER(VLOOKUP(A7,Xtal_Templ!A:B,2,FALSE))</f>
        <v>5ht1b_human</v>
      </c>
      <c r="C7" s="3">
        <f>VLOOKUP($A7,'NonXtal_SegEnds_BW#'!$A:$Z,3,FALSE)+D7-50</f>
        <v>40</v>
      </c>
      <c r="D7" s="3">
        <v>61</v>
      </c>
      <c r="E7" s="3">
        <f>IF(ISERROR(VLOOKUP($A7,'NonXtal_SegEnds_BW#'!$A:$Z,4,FALSE)+VLOOKUP($A7,A:AL,4,FALSE)-50),"-",(VLOOKUP($A7,'NonXtal_SegEnds_BW#'!$A:$Z,4,FALSE)+VLOOKUP($A7,A:AL,4,FALSE)-50))</f>
        <v>71</v>
      </c>
      <c r="F7" s="3">
        <f t="shared" si="0"/>
        <v>72</v>
      </c>
      <c r="G7" s="3">
        <v>74</v>
      </c>
      <c r="H7" s="3">
        <f t="shared" si="1"/>
        <v>75</v>
      </c>
      <c r="I7" s="3">
        <f t="shared" si="1"/>
        <v>76</v>
      </c>
      <c r="J7" s="3">
        <v>89</v>
      </c>
      <c r="K7" s="3">
        <f>VLOOKUP($A7,'NonXtal_SegEnds_BW#'!$A:$Z,8,FALSE)+VLOOKUP($A7,A:AL,10,FALSE)-50</f>
        <v>106</v>
      </c>
      <c r="L7" s="3">
        <f t="shared" si="18"/>
        <v>108</v>
      </c>
      <c r="M7" s="3">
        <v>109</v>
      </c>
      <c r="N7" s="3">
        <f t="shared" si="19"/>
        <v>111</v>
      </c>
      <c r="O7" s="3">
        <f t="shared" si="20"/>
        <v>112</v>
      </c>
      <c r="P7" s="3">
        <v>141</v>
      </c>
      <c r="Q7" s="3">
        <f>VLOOKUP($A7,'NonXtal_SegEnds_BW#'!$A:$Z,12,FALSE)+VLOOKUP($A7,A:AL,16,FALSE)-50</f>
        <v>147</v>
      </c>
      <c r="R7" s="3">
        <f>IF(ISERROR(VLOOKUP($A7,'NonXtal_SegEnds_BW#'!$A:$Z,13,FALSE)+VLOOKUP($A7,A:AL,19,FALSE)-50),"-",VLOOKUP($A7,'NonXtal_SegEnds_BW#'!$A:$Z,13,FALSE)+VLOOKUP($A7,A:AL,19,FALSE)-50)</f>
        <v>148</v>
      </c>
      <c r="S7" s="3">
        <v>148</v>
      </c>
      <c r="T7" s="3">
        <f>IF(ISERROR(VLOOKUP($A7,'NonXtal_SegEnds_BW#'!$A:$Z,14,FALSE)+VLOOKUP($A7,A:AL,19,FALSE)-50),"-",(VLOOKUP($A7,'NonXtal_SegEnds_BW#'!$A:$Z,14,FALSE)+VLOOKUP($A7,A:AL,19,FALSE)-50))</f>
        <v>155</v>
      </c>
      <c r="U7" s="3">
        <f>IF(ISERROR(VLOOKUP($A7,'NonXtal_SegEnds_BW#'!$A:$Z,15,FALSE)+VLOOKUP($A7,A:AL,22,FALSE)-50),"-",VLOOKUP($A7,'NonXtal_SegEnds_BW#'!$A:$Z,15,FALSE)+VLOOKUP($A7,A:AL,22,FALSE)-50)</f>
        <v>157</v>
      </c>
      <c r="V7" s="3">
        <v>168</v>
      </c>
      <c r="W7" s="3">
        <f>IF(ISERROR(VLOOKUP($A7,'NonXtal_SegEnds_BW#'!$A:$Z,16,FALSE)+VLOOKUP($A7,A:AL,22,FALSE)-50),"-",(VLOOKUP($A7,'NonXtal_SegEnds_BW#'!$A:$Z,16,FALSE)+VLOOKUP($A7,A:AL,22,FALSE)-50))</f>
        <v>181</v>
      </c>
      <c r="X7" s="3">
        <f>IF(ISERROR(VLOOKUP($A7,'NonXtal_SegEnds_BW#'!$A:$Z,17,FALSE)+VLOOKUP($A7,A:AL,25,FALSE)-50),"-",(VLOOKUP($A7,'NonXtal_SegEnds_BW#'!$A:$Z,17,FALSE)+VLOOKUP($A7,A:AL,25,FALSE)-50))</f>
        <v>201</v>
      </c>
      <c r="Y7" s="3">
        <v>201</v>
      </c>
      <c r="Z7" s="3">
        <f t="shared" si="21"/>
        <v>203</v>
      </c>
      <c r="AA7" s="3">
        <f>IF(ISERROR(VLOOKUP($A7,'NonXtal_SegEnds_BW#'!$A:$Z,19,FALSE)+VLOOKUP($A7,A:AL,28,FALSE)-50),"-",(VLOOKUP($A7,'NonXtal_SegEnds_BW#'!$A:$Z,19,FALSE)+VLOOKUP($A7,A:AL,28,FALSE)-50))</f>
        <v>206</v>
      </c>
      <c r="AB7" s="3">
        <v>221</v>
      </c>
      <c r="AC7" s="3">
        <f>IF(ISERROR((VLOOKUP($A7,'NonXtal_SegEnds_BW#'!$A:$Z,20,FALSE)+VLOOKUP($A7,A:AL,28,FALSE)-50)),"-",(VLOOKUP($A7,'NonXtal_SegEnds_BW#'!$A:$Z,20,FALSE)+VLOOKUP($A7,A:AL,28,FALSE)-50))</f>
        <v>244</v>
      </c>
      <c r="AD7" s="3">
        <f>IF(ISERROR(VLOOKUP($A7,'NonXtal_SegEnds_BW#'!$A:$Z,21,FALSE)+VLOOKUP($A7,A:AL,31,FALSE)-50),"-",(VLOOKUP($A7,'NonXtal_SegEnds_BW#'!$A:$Z,21,FALSE)+VLOOKUP($A7,A:AL,31,FALSE)-50))</f>
        <v>249</v>
      </c>
      <c r="AE7" s="3">
        <v>277</v>
      </c>
      <c r="AF7" s="3">
        <f>IF(ISERROR((VLOOKUP($A7,'NonXtal_SegEnds_BW#'!$A:$Z,22,FALSE)+VLOOKUP($A7,A:AL,31,FALSE)-50)),"-",(VLOOKUP($A7,'NonXtal_SegEnds_BW#'!$A:$Z,22,FALSE)+VLOOKUP($A7,A:AL,31,FALSE)-50))</f>
        <v>288</v>
      </c>
      <c r="AG7" s="3">
        <f>IF(ISERROR(VLOOKUP($A7,'NonXtal_SegEnds_BW#'!$A:$Z,23,FALSE)+VLOOKUP($A7,A:AL,34,FALSE)-50),"-",(VLOOKUP($A7,'NonXtal_SegEnds_BW#'!$A:$Z,23,FALSE)+VLOOKUP($A7,A:AL,34,FALSE)-50))</f>
        <v>293</v>
      </c>
      <c r="AH7" s="3">
        <v>312</v>
      </c>
      <c r="AI7" s="3">
        <f>IF(ISERROR((VLOOKUP($A7,'NonXtal_SegEnds_BW#'!$A:$Z,24,FALSE)+VLOOKUP($A7,A:AL,34,FALSE)-50)),"-",(VLOOKUP($A7,'NonXtal_SegEnds_BW#'!$A:$Z,24,FALSE)+VLOOKUP($A7,A:AL,34,FALSE)-50))</f>
        <v>318</v>
      </c>
      <c r="AJ7" s="3">
        <f>IF(ISERROR(VLOOKUP($A7,'NonXtal_SegEnds_BW#'!$A:$Z,25,FALSE)+VLOOKUP($A7,A:AL,37,FALSE)-50),"-",(VLOOKUP($A7,'NonXtal_SegEnds_BW#'!$A:$Z,25,FALSE)+VLOOKUP($A7,A:AL,37,FALSE)-50))</f>
        <v>319</v>
      </c>
      <c r="AK7" s="3">
        <v>322</v>
      </c>
      <c r="AL7" s="3">
        <f>IF(ISERROR((VLOOKUP($A7,'NonXtal_SegEnds_BW#'!$A:$Z,26,FALSE)+VLOOKUP($A7,A:AL,37,FALSE)-50)),"-",(VLOOKUP($A7,'NonXtal_SegEnds_BW#'!$A:$Z,26,FALSE)+VLOOKUP($A7,A:AL,37,FALSE)-50))</f>
        <v>330</v>
      </c>
      <c r="AM7" s="71" t="str">
        <f>VLOOKUP(A7,Classification!A:B,2,FALSE)</f>
        <v>A</v>
      </c>
      <c r="AN7" s="71" t="b">
        <f t="shared" si="2"/>
        <v>1</v>
      </c>
      <c r="AO7" s="3">
        <f t="shared" si="3"/>
        <v>1</v>
      </c>
      <c r="AP7" s="3">
        <f t="shared" si="4"/>
        <v>1</v>
      </c>
      <c r="AQ7" s="3">
        <f t="shared" si="5"/>
        <v>2</v>
      </c>
      <c r="AR7" s="3">
        <f t="shared" si="6"/>
        <v>1</v>
      </c>
      <c r="AS7" s="3">
        <f t="shared" si="7"/>
        <v>1</v>
      </c>
      <c r="AT7" s="3">
        <f t="shared" si="8"/>
        <v>2</v>
      </c>
      <c r="AU7" s="3">
        <f t="shared" si="9"/>
        <v>20</v>
      </c>
      <c r="AV7" s="3">
        <f t="shared" si="10"/>
        <v>3</v>
      </c>
      <c r="AW7" s="3">
        <f t="shared" si="11"/>
        <v>5</v>
      </c>
      <c r="AX7" s="3">
        <f t="shared" si="12"/>
        <v>5</v>
      </c>
      <c r="AY7" s="3">
        <f t="shared" si="13"/>
        <v>1</v>
      </c>
      <c r="AZ7" s="3">
        <f>IF(ISERROR(LEN(VLOOKUP(A7,Seqs!A:E,2,FALSE))-AL7),"-",LEN(VLOOKUP(A7,Seqs!A:E,2,FALSE))-AL7)</f>
        <v>21</v>
      </c>
      <c r="BA7" s="35">
        <f t="shared" si="14"/>
        <v>28</v>
      </c>
      <c r="BB7" s="3">
        <f t="shared" si="15"/>
        <v>20</v>
      </c>
      <c r="BC7" s="3">
        <f t="shared" si="16"/>
        <v>28</v>
      </c>
      <c r="BD7" s="3">
        <f t="shared" si="17"/>
        <v>56</v>
      </c>
      <c r="BE7" s="3">
        <f t="shared" si="22"/>
        <v>35</v>
      </c>
    </row>
    <row r="8" spans="1:58" s="3" customFormat="1" x14ac:dyDescent="0.2">
      <c r="A8" s="3" t="s">
        <v>208</v>
      </c>
      <c r="B8" s="3" t="str">
        <f>LOWER(VLOOKUP(A8,Xtal_Templ!A:B,2,FALSE))</f>
        <v>5ht1b_human</v>
      </c>
      <c r="C8" s="3">
        <f>VLOOKUP($A8,'NonXtal_SegEnds_BW#'!$A:$Z,3,FALSE)+D8-50</f>
        <v>46</v>
      </c>
      <c r="D8" s="3">
        <v>67</v>
      </c>
      <c r="E8" s="3">
        <f>IF(ISERROR(VLOOKUP($A8,'NonXtal_SegEnds_BW#'!$A:$Z,4,FALSE)+VLOOKUP($A8,A:AL,4,FALSE)-50),"-",(VLOOKUP($A8,'NonXtal_SegEnds_BW#'!$A:$Z,4,FALSE)+VLOOKUP($A8,A:AL,4,FALSE)-50))</f>
        <v>77</v>
      </c>
      <c r="F8" s="3">
        <f t="shared" si="0"/>
        <v>78</v>
      </c>
      <c r="G8" s="3">
        <v>80</v>
      </c>
      <c r="H8" s="3">
        <f t="shared" si="1"/>
        <v>81</v>
      </c>
      <c r="I8" s="3">
        <f t="shared" si="1"/>
        <v>82</v>
      </c>
      <c r="J8" s="3">
        <v>95</v>
      </c>
      <c r="K8" s="3">
        <f>VLOOKUP($A8,'NonXtal_SegEnds_BW#'!$A:$Z,8,FALSE)+VLOOKUP($A8,A:AL,10,FALSE)-50</f>
        <v>112</v>
      </c>
      <c r="L8" s="3">
        <f t="shared" si="18"/>
        <v>114</v>
      </c>
      <c r="M8" s="3">
        <v>115</v>
      </c>
      <c r="N8" s="3">
        <f t="shared" si="19"/>
        <v>117</v>
      </c>
      <c r="O8" s="3">
        <f t="shared" si="20"/>
        <v>118</v>
      </c>
      <c r="P8" s="3">
        <v>147</v>
      </c>
      <c r="Q8" s="3">
        <f>VLOOKUP($A8,'NonXtal_SegEnds_BW#'!$A:$Z,12,FALSE)+VLOOKUP($A8,A:AL,16,FALSE)-50</f>
        <v>153</v>
      </c>
      <c r="R8" s="3">
        <f>IF(ISERROR(VLOOKUP($A8,'NonXtal_SegEnds_BW#'!$A:$Z,13,FALSE)+VLOOKUP($A8,A:AL,19,FALSE)-50),"-",VLOOKUP($A8,'NonXtal_SegEnds_BW#'!$A:$Z,13,FALSE)+VLOOKUP($A8,A:AL,19,FALSE)-50)</f>
        <v>154</v>
      </c>
      <c r="S8" s="3">
        <v>154</v>
      </c>
      <c r="T8" s="3">
        <f>IF(ISERROR(VLOOKUP($A8,'NonXtal_SegEnds_BW#'!$A:$Z,14,FALSE)+VLOOKUP($A8,A:AL,19,FALSE)-50),"-",(VLOOKUP($A8,'NonXtal_SegEnds_BW#'!$A:$Z,14,FALSE)+VLOOKUP($A8,A:AL,19,FALSE)-50))</f>
        <v>161</v>
      </c>
      <c r="U8" s="3">
        <f>IF(ISERROR(VLOOKUP($A8,'NonXtal_SegEnds_BW#'!$A:$Z,15,FALSE)+VLOOKUP($A8,A:AL,22,FALSE)-50),"-",VLOOKUP($A8,'NonXtal_SegEnds_BW#'!$A:$Z,15,FALSE)+VLOOKUP($A8,A:AL,22,FALSE)-50)</f>
        <v>163</v>
      </c>
      <c r="V8" s="3">
        <v>174</v>
      </c>
      <c r="W8" s="3">
        <f>IF(ISERROR(VLOOKUP($A8,'NonXtal_SegEnds_BW#'!$A:$Z,16,FALSE)+VLOOKUP($A8,A:AL,22,FALSE)-50),"-",(VLOOKUP($A8,'NonXtal_SegEnds_BW#'!$A:$Z,16,FALSE)+VLOOKUP($A8,A:AL,22,FALSE)-50))</f>
        <v>187</v>
      </c>
      <c r="X8" s="3">
        <f>IF(ISERROR(VLOOKUP($A8,'NonXtal_SegEnds_BW#'!$A:$Z,17,FALSE)+VLOOKUP($A8,A:AL,25,FALSE)-50),"-",(VLOOKUP($A8,'NonXtal_SegEnds_BW#'!$A:$Z,17,FALSE)+VLOOKUP($A8,A:AL,25,FALSE)-50))</f>
        <v>199</v>
      </c>
      <c r="Y8" s="3">
        <v>199</v>
      </c>
      <c r="Z8" s="3">
        <f t="shared" si="21"/>
        <v>201</v>
      </c>
      <c r="AA8" s="3">
        <f>IF(ISERROR(VLOOKUP($A8,'NonXtal_SegEnds_BW#'!$A:$Z,19,FALSE)+VLOOKUP($A8,A:AL,28,FALSE)-50),"-",(VLOOKUP($A8,'NonXtal_SegEnds_BW#'!$A:$Z,19,FALSE)+VLOOKUP($A8,A:AL,28,FALSE)-50))</f>
        <v>205</v>
      </c>
      <c r="AB8" s="3">
        <v>220</v>
      </c>
      <c r="AC8" s="3">
        <f>IF(ISERROR((VLOOKUP($A8,'NonXtal_SegEnds_BW#'!$A:$Z,20,FALSE)+VLOOKUP($A8,A:AL,28,FALSE)-50)),"-",(VLOOKUP($A8,'NonXtal_SegEnds_BW#'!$A:$Z,20,FALSE)+VLOOKUP($A8,A:AL,28,FALSE)-50))</f>
        <v>244</v>
      </c>
      <c r="AD8" s="3">
        <f>IF(ISERROR(VLOOKUP($A8,'NonXtal_SegEnds_BW#'!$A:$Z,21,FALSE)+VLOOKUP($A8,A:AL,31,FALSE)-50),"-",(VLOOKUP($A8,'NonXtal_SegEnds_BW#'!$A:$Z,21,FALSE)+VLOOKUP($A8,A:AL,31,FALSE)-50))</f>
        <v>303</v>
      </c>
      <c r="AE8" s="3">
        <v>329</v>
      </c>
      <c r="AF8" s="3">
        <f>IF(ISERROR((VLOOKUP($A8,'NonXtal_SegEnds_BW#'!$A:$Z,22,FALSE)+VLOOKUP($A8,A:AL,31,FALSE)-50)),"-",(VLOOKUP($A8,'NonXtal_SegEnds_BW#'!$A:$Z,22,FALSE)+VLOOKUP($A8,A:AL,31,FALSE)-50))</f>
        <v>339</v>
      </c>
      <c r="AG8" s="3">
        <f>IF(ISERROR(VLOOKUP($A8,'NonXtal_SegEnds_BW#'!$A:$Z,23,FALSE)+VLOOKUP($A8,A:AL,34,FALSE)-50),"-",(VLOOKUP($A8,'NonXtal_SegEnds_BW#'!$A:$Z,23,FALSE)+VLOOKUP($A8,A:AL,34,FALSE)-50))</f>
        <v>347</v>
      </c>
      <c r="AH8" s="3">
        <v>366</v>
      </c>
      <c r="AI8" s="3">
        <f>IF(ISERROR((VLOOKUP($A8,'NonXtal_SegEnds_BW#'!$A:$Z,24,FALSE)+VLOOKUP($A8,A:AL,34,FALSE)-50)),"-",(VLOOKUP($A8,'NonXtal_SegEnds_BW#'!$A:$Z,24,FALSE)+VLOOKUP($A8,A:AL,34,FALSE)-50))</f>
        <v>372</v>
      </c>
      <c r="AJ8" s="3">
        <f>IF(ISERROR(VLOOKUP($A8,'NonXtal_SegEnds_BW#'!$A:$Z,25,FALSE)+VLOOKUP($A8,A:AL,37,FALSE)-50),"-",(VLOOKUP($A8,'NonXtal_SegEnds_BW#'!$A:$Z,25,FALSE)+VLOOKUP($A8,A:AL,37,FALSE)-50))</f>
        <v>373</v>
      </c>
      <c r="AK8" s="3">
        <v>376</v>
      </c>
      <c r="AL8" s="3">
        <f>IF(ISERROR((VLOOKUP($A8,'NonXtal_SegEnds_BW#'!$A:$Z,26,FALSE)+VLOOKUP($A8,A:AL,37,FALSE)-50)),"-",(VLOOKUP($A8,'NonXtal_SegEnds_BW#'!$A:$Z,26,FALSE)+VLOOKUP($A8,A:AL,37,FALSE)-50))</f>
        <v>384</v>
      </c>
      <c r="AM8" s="71" t="str">
        <f>VLOOKUP(A8,Classification!A:B,2,FALSE)</f>
        <v>A</v>
      </c>
      <c r="AN8" s="71" t="b">
        <f t="shared" si="2"/>
        <v>1</v>
      </c>
      <c r="AO8" s="3">
        <f t="shared" si="3"/>
        <v>1</v>
      </c>
      <c r="AP8" s="3">
        <f t="shared" si="4"/>
        <v>1</v>
      </c>
      <c r="AQ8" s="3">
        <f t="shared" si="5"/>
        <v>2</v>
      </c>
      <c r="AR8" s="3">
        <f t="shared" si="6"/>
        <v>1</v>
      </c>
      <c r="AS8" s="3">
        <f t="shared" si="7"/>
        <v>1</v>
      </c>
      <c r="AT8" s="3">
        <f t="shared" si="8"/>
        <v>2</v>
      </c>
      <c r="AU8" s="3">
        <f t="shared" si="9"/>
        <v>12</v>
      </c>
      <c r="AV8" s="3">
        <f t="shared" si="10"/>
        <v>4</v>
      </c>
      <c r="AW8" s="3">
        <f t="shared" si="11"/>
        <v>59</v>
      </c>
      <c r="AX8" s="3">
        <f t="shared" si="12"/>
        <v>8</v>
      </c>
      <c r="AY8" s="3">
        <f t="shared" si="13"/>
        <v>1</v>
      </c>
      <c r="AZ8" s="3">
        <f>IF(ISERROR(LEN(VLOOKUP(A8,Seqs!A:E,2,FALSE))-AL8),"-",LEN(VLOOKUP(A8,Seqs!A:E,2,FALSE))-AL8)</f>
        <v>6</v>
      </c>
      <c r="BA8" s="35">
        <f t="shared" si="14"/>
        <v>28</v>
      </c>
      <c r="BB8" s="3">
        <f t="shared" si="15"/>
        <v>20</v>
      </c>
      <c r="BC8" s="3">
        <f t="shared" si="16"/>
        <v>28</v>
      </c>
      <c r="BD8" s="3">
        <f t="shared" si="17"/>
        <v>109</v>
      </c>
      <c r="BE8" s="3">
        <f t="shared" si="22"/>
        <v>37</v>
      </c>
    </row>
    <row r="9" spans="1:58" s="3" customFormat="1" x14ac:dyDescent="0.2">
      <c r="A9" s="3" t="s">
        <v>329</v>
      </c>
      <c r="B9" s="3" t="str">
        <f>LOWER(VLOOKUP(A9,Xtal_Templ!A:B,2,FALSE))</f>
        <v>5ht1b_human</v>
      </c>
      <c r="C9" s="3">
        <f>VLOOKUP($A9,'NonXtal_SegEnds_BW#'!$A:$Z,3,FALSE)+D9-50</f>
        <v>37</v>
      </c>
      <c r="D9" s="3">
        <v>58</v>
      </c>
      <c r="E9" s="3">
        <f>IF(ISERROR(VLOOKUP($A9,'NonXtal_SegEnds_BW#'!$A:$Z,4,FALSE)+VLOOKUP($A9,A:AL,4,FALSE)-50),"-",(VLOOKUP($A9,'NonXtal_SegEnds_BW#'!$A:$Z,4,FALSE)+VLOOKUP($A9,A:AL,4,FALSE)-50))</f>
        <v>68</v>
      </c>
      <c r="F9" s="3">
        <f t="shared" si="0"/>
        <v>69</v>
      </c>
      <c r="G9" s="3">
        <v>71</v>
      </c>
      <c r="H9" s="3">
        <f t="shared" si="1"/>
        <v>72</v>
      </c>
      <c r="I9" s="3">
        <f t="shared" si="1"/>
        <v>73</v>
      </c>
      <c r="J9" s="3">
        <v>86</v>
      </c>
      <c r="K9" s="3">
        <f>VLOOKUP($A9,'NonXtal_SegEnds_BW#'!$A:$Z,8,FALSE)+VLOOKUP($A9,A:AL,10,FALSE)-50</f>
        <v>103</v>
      </c>
      <c r="L9" s="3">
        <f t="shared" si="18"/>
        <v>106</v>
      </c>
      <c r="M9" s="3">
        <v>107</v>
      </c>
      <c r="N9" s="3">
        <f t="shared" si="19"/>
        <v>109</v>
      </c>
      <c r="O9" s="3">
        <f t="shared" si="20"/>
        <v>110</v>
      </c>
      <c r="P9" s="3">
        <v>139</v>
      </c>
      <c r="Q9" s="3">
        <f>VLOOKUP($A9,'NonXtal_SegEnds_BW#'!$A:$Z,12,FALSE)+VLOOKUP($A9,A:AL,16,FALSE)-50</f>
        <v>145</v>
      </c>
      <c r="R9" s="3">
        <f>IF(ISERROR(VLOOKUP($A9,'NonXtal_SegEnds_BW#'!$A:$Z,13,FALSE)+VLOOKUP($A9,A:AL,19,FALSE)-50),"-",VLOOKUP($A9,'NonXtal_SegEnds_BW#'!$A:$Z,13,FALSE)+VLOOKUP($A9,A:AL,19,FALSE)-50)</f>
        <v>146</v>
      </c>
      <c r="S9" s="3">
        <v>146</v>
      </c>
      <c r="T9" s="3">
        <f>IF(ISERROR(VLOOKUP($A9,'NonXtal_SegEnds_BW#'!$A:$Z,14,FALSE)+VLOOKUP($A9,A:AL,19,FALSE)-50),"-",(VLOOKUP($A9,'NonXtal_SegEnds_BW#'!$A:$Z,14,FALSE)+VLOOKUP($A9,A:AL,19,FALSE)-50))</f>
        <v>153</v>
      </c>
      <c r="U9" s="3">
        <f>IF(ISERROR(VLOOKUP($A9,'NonXtal_SegEnds_BW#'!$A:$Z,15,FALSE)+VLOOKUP($A9,A:AL,22,FALSE)-50),"-",VLOOKUP($A9,'NonXtal_SegEnds_BW#'!$A:$Z,15,FALSE)+VLOOKUP($A9,A:AL,22,FALSE)-50)</f>
        <v>155</v>
      </c>
      <c r="V9" s="3">
        <v>166</v>
      </c>
      <c r="W9" s="3">
        <f>IF(ISERROR(VLOOKUP($A9,'NonXtal_SegEnds_BW#'!$A:$Z,16,FALSE)+VLOOKUP($A9,A:AL,22,FALSE)-50),"-",(VLOOKUP($A9,'NonXtal_SegEnds_BW#'!$A:$Z,16,FALSE)+VLOOKUP($A9,A:AL,22,FALSE)-50))</f>
        <v>179</v>
      </c>
      <c r="X9" s="3">
        <f>IF(ISERROR(VLOOKUP($A9,'NonXtal_SegEnds_BW#'!$A:$Z,17,FALSE)+VLOOKUP($A9,A:AL,25,FALSE)-50),"-",(VLOOKUP($A9,'NonXtal_SegEnds_BW#'!$A:$Z,17,FALSE)+VLOOKUP($A9,A:AL,25,FALSE)-50))</f>
        <v>192</v>
      </c>
      <c r="Y9" s="3">
        <v>192</v>
      </c>
      <c r="Z9" s="3">
        <f t="shared" si="21"/>
        <v>194</v>
      </c>
      <c r="AA9" s="3">
        <f>IF(ISERROR(VLOOKUP($A9,'NonXtal_SegEnds_BW#'!$A:$Z,19,FALSE)+VLOOKUP($A9,A:AL,28,FALSE)-50),"-",(VLOOKUP($A9,'NonXtal_SegEnds_BW#'!$A:$Z,19,FALSE)+VLOOKUP($A9,A:AL,28,FALSE)-50))</f>
        <v>197</v>
      </c>
      <c r="AB9" s="3">
        <v>212</v>
      </c>
      <c r="AC9" s="3">
        <f>IF(ISERROR((VLOOKUP($A9,'NonXtal_SegEnds_BW#'!$A:$Z,20,FALSE)+VLOOKUP($A9,A:AL,28,FALSE)-50)),"-",(VLOOKUP($A9,'NonXtal_SegEnds_BW#'!$A:$Z,20,FALSE)+VLOOKUP($A9,A:AL,28,FALSE)-50))</f>
        <v>238</v>
      </c>
      <c r="AD9" s="3">
        <f>IF(ISERROR(VLOOKUP($A9,'NonXtal_SegEnds_BW#'!$A:$Z,21,FALSE)+VLOOKUP($A9,A:AL,31,FALSE)-50),"-",(VLOOKUP($A9,'NonXtal_SegEnds_BW#'!$A:$Z,21,FALSE)+VLOOKUP($A9,A:AL,31,FALSE)-50))</f>
        <v>274</v>
      </c>
      <c r="AE9" s="3">
        <v>300</v>
      </c>
      <c r="AF9" s="3">
        <f>IF(ISERROR((VLOOKUP($A9,'NonXtal_SegEnds_BW#'!$A:$Z,22,FALSE)+VLOOKUP($A9,A:AL,31,FALSE)-50)),"-",(VLOOKUP($A9,'NonXtal_SegEnds_BW#'!$A:$Z,22,FALSE)+VLOOKUP($A9,A:AL,31,FALSE)-50))</f>
        <v>311</v>
      </c>
      <c r="AG9" s="3">
        <f>IF(ISERROR(VLOOKUP($A9,'NonXtal_SegEnds_BW#'!$A:$Z,23,FALSE)+VLOOKUP($A9,A:AL,34,FALSE)-50),"-",(VLOOKUP($A9,'NonXtal_SegEnds_BW#'!$A:$Z,23,FALSE)+VLOOKUP($A9,A:AL,34,FALSE)-50))</f>
        <v>316</v>
      </c>
      <c r="AH9" s="3">
        <v>335</v>
      </c>
      <c r="AI9" s="3">
        <f>IF(ISERROR((VLOOKUP($A9,'NonXtal_SegEnds_BW#'!$A:$Z,24,FALSE)+VLOOKUP($A9,A:AL,34,FALSE)-50)),"-",(VLOOKUP($A9,'NonXtal_SegEnds_BW#'!$A:$Z,24,FALSE)+VLOOKUP($A9,A:AL,34,FALSE)-50))</f>
        <v>341</v>
      </c>
      <c r="AJ9" s="3">
        <f>IF(ISERROR(VLOOKUP($A9,'NonXtal_SegEnds_BW#'!$A:$Z,25,FALSE)+VLOOKUP($A9,A:AL,37,FALSE)-50),"-",(VLOOKUP($A9,'NonXtal_SegEnds_BW#'!$A:$Z,25,FALSE)+VLOOKUP($A9,A:AL,37,FALSE)-50))</f>
        <v>342</v>
      </c>
      <c r="AK9" s="3">
        <v>345</v>
      </c>
      <c r="AL9" s="3">
        <f>IF(ISERROR((VLOOKUP($A9,'NonXtal_SegEnds_BW#'!$A:$Z,26,FALSE)+VLOOKUP($A9,A:AL,37,FALSE)-50)),"-",(VLOOKUP($A9,'NonXtal_SegEnds_BW#'!$A:$Z,26,FALSE)+VLOOKUP($A9,A:AL,37,FALSE)-50))</f>
        <v>353</v>
      </c>
      <c r="AM9" s="71" t="str">
        <f>VLOOKUP(A9,Classification!A:B,2,FALSE)</f>
        <v>A</v>
      </c>
      <c r="AN9" s="71" t="b">
        <f t="shared" si="2"/>
        <v>1</v>
      </c>
      <c r="AO9" s="3">
        <f t="shared" si="3"/>
        <v>1</v>
      </c>
      <c r="AP9" s="3">
        <f t="shared" si="4"/>
        <v>1</v>
      </c>
      <c r="AQ9" s="3">
        <f t="shared" si="5"/>
        <v>3</v>
      </c>
      <c r="AR9" s="3">
        <f t="shared" si="6"/>
        <v>1</v>
      </c>
      <c r="AS9" s="3">
        <f t="shared" si="7"/>
        <v>1</v>
      </c>
      <c r="AT9" s="3">
        <f t="shared" si="8"/>
        <v>2</v>
      </c>
      <c r="AU9" s="3">
        <f t="shared" si="9"/>
        <v>13</v>
      </c>
      <c r="AV9" s="3">
        <f t="shared" si="10"/>
        <v>3</v>
      </c>
      <c r="AW9" s="3">
        <f t="shared" si="11"/>
        <v>36</v>
      </c>
      <c r="AX9" s="3">
        <f t="shared" si="12"/>
        <v>5</v>
      </c>
      <c r="AY9" s="3">
        <f t="shared" si="13"/>
        <v>1</v>
      </c>
      <c r="AZ9" s="3">
        <f>IF(ISERROR(LEN(VLOOKUP(A9,Seqs!A:E,2,FALSE))-AL9),"-",LEN(VLOOKUP(A9,Seqs!A:E,2,FALSE))-AL9)</f>
        <v>4</v>
      </c>
      <c r="BA9" s="35">
        <f t="shared" si="14"/>
        <v>28</v>
      </c>
      <c r="BB9" s="3">
        <f t="shared" si="15"/>
        <v>20</v>
      </c>
      <c r="BC9" s="3">
        <f t="shared" si="16"/>
        <v>28</v>
      </c>
      <c r="BD9" s="3">
        <f t="shared" si="17"/>
        <v>88</v>
      </c>
      <c r="BE9" s="3">
        <f t="shared" si="22"/>
        <v>35</v>
      </c>
    </row>
    <row r="10" spans="1:58" s="3" customFormat="1" x14ac:dyDescent="0.2">
      <c r="A10" s="3" t="s">
        <v>584</v>
      </c>
      <c r="B10" s="3" t="str">
        <f>LOWER(VLOOKUP(A10,Xtal_Templ!A:B,2,FALSE))</f>
        <v>5ht1b_human</v>
      </c>
      <c r="C10" s="3">
        <f>VLOOKUP($A10,'NonXtal_SegEnds_BW#'!$A:$Z,3,FALSE)+D10-50</f>
        <v>31</v>
      </c>
      <c r="D10" s="3">
        <v>52</v>
      </c>
      <c r="E10" s="3">
        <f>IF(ISERROR(VLOOKUP($A10,'NonXtal_SegEnds_BW#'!$A:$Z,4,FALSE)+VLOOKUP($A10,A:AL,4,FALSE)-50),"-",(VLOOKUP($A10,'NonXtal_SegEnds_BW#'!$A:$Z,4,FALSE)+VLOOKUP($A10,A:AL,4,FALSE)-50))</f>
        <v>62</v>
      </c>
      <c r="F10" s="3">
        <f t="shared" si="0"/>
        <v>63</v>
      </c>
      <c r="G10" s="3">
        <v>65</v>
      </c>
      <c r="H10" s="3">
        <f t="shared" si="1"/>
        <v>66</v>
      </c>
      <c r="I10" s="3">
        <f t="shared" si="1"/>
        <v>67</v>
      </c>
      <c r="J10" s="3">
        <v>80</v>
      </c>
      <c r="K10" s="3">
        <f>VLOOKUP($A10,'NonXtal_SegEnds_BW#'!$A:$Z,8,FALSE)+VLOOKUP($A10,A:AL,10,FALSE)-50</f>
        <v>97</v>
      </c>
      <c r="L10" s="3">
        <f t="shared" si="18"/>
        <v>99</v>
      </c>
      <c r="M10" s="3">
        <v>100</v>
      </c>
      <c r="N10" s="3">
        <f t="shared" si="19"/>
        <v>102</v>
      </c>
      <c r="O10" s="3">
        <f t="shared" si="20"/>
        <v>103</v>
      </c>
      <c r="P10" s="3">
        <v>132</v>
      </c>
      <c r="Q10" s="3">
        <f>VLOOKUP($A10,'NonXtal_SegEnds_BW#'!$A:$Z,12,FALSE)+VLOOKUP($A10,A:AL,16,FALSE)-50</f>
        <v>138</v>
      </c>
      <c r="R10" s="3">
        <f>IF(ISERROR(VLOOKUP($A10,'NonXtal_SegEnds_BW#'!$A:$Z,13,FALSE)+VLOOKUP($A10,A:AL,19,FALSE)-50),"-",VLOOKUP($A10,'NonXtal_SegEnds_BW#'!$A:$Z,13,FALSE)+VLOOKUP($A10,A:AL,19,FALSE)-50)</f>
        <v>139</v>
      </c>
      <c r="S10" s="3">
        <v>139</v>
      </c>
      <c r="T10" s="3">
        <f>IF(ISERROR(VLOOKUP($A10,'NonXtal_SegEnds_BW#'!$A:$Z,14,FALSE)+VLOOKUP($A10,A:AL,19,FALSE)-50),"-",(VLOOKUP($A10,'NonXtal_SegEnds_BW#'!$A:$Z,14,FALSE)+VLOOKUP($A10,A:AL,19,FALSE)-50))</f>
        <v>146</v>
      </c>
      <c r="U10" s="3">
        <f>IF(ISERROR(VLOOKUP($A10,'NonXtal_SegEnds_BW#'!$A:$Z,15,FALSE)+VLOOKUP($A10,A:AL,22,FALSE)-50),"-",VLOOKUP($A10,'NonXtal_SegEnds_BW#'!$A:$Z,15,FALSE)+VLOOKUP($A10,A:AL,22,FALSE)-50)</f>
        <v>148</v>
      </c>
      <c r="V10" s="3">
        <v>159</v>
      </c>
      <c r="W10" s="3">
        <f>IF(ISERROR(VLOOKUP($A10,'NonXtal_SegEnds_BW#'!$A:$Z,16,FALSE)+VLOOKUP($A10,A:AL,22,FALSE)-50),"-",(VLOOKUP($A10,'NonXtal_SegEnds_BW#'!$A:$Z,16,FALSE)+VLOOKUP($A10,A:AL,22,FALSE)-50))</f>
        <v>172</v>
      </c>
      <c r="X10" s="3">
        <f>IF(ISERROR(VLOOKUP($A10,'NonXtal_SegEnds_BW#'!$A:$Z,17,FALSE)+VLOOKUP($A10,A:AL,25,FALSE)-50),"-",(VLOOKUP($A10,'NonXtal_SegEnds_BW#'!$A:$Z,17,FALSE)+VLOOKUP($A10,A:AL,25,FALSE)-50))</f>
        <v>192</v>
      </c>
      <c r="Y10" s="3">
        <v>192</v>
      </c>
      <c r="Z10" s="3">
        <f t="shared" si="21"/>
        <v>194</v>
      </c>
      <c r="AA10" s="3">
        <f>IF(ISERROR(VLOOKUP($A10,'NonXtal_SegEnds_BW#'!$A:$Z,19,FALSE)+VLOOKUP($A10,A:AL,28,FALSE)-50),"-",(VLOOKUP($A10,'NonXtal_SegEnds_BW#'!$A:$Z,19,FALSE)+VLOOKUP($A10,A:AL,28,FALSE)-50))</f>
        <v>196</v>
      </c>
      <c r="AB10" s="3">
        <v>211</v>
      </c>
      <c r="AC10" s="3">
        <f>IF(ISERROR((VLOOKUP($A10,'NonXtal_SegEnds_BW#'!$A:$Z,20,FALSE)+VLOOKUP($A10,A:AL,28,FALSE)-50)),"-",(VLOOKUP($A10,'NonXtal_SegEnds_BW#'!$A:$Z,20,FALSE)+VLOOKUP($A10,A:AL,28,FALSE)-50))</f>
        <v>234</v>
      </c>
      <c r="AD10" s="3">
        <f>IF(ISERROR(VLOOKUP($A10,'NonXtal_SegEnds_BW#'!$A:$Z,21,FALSE)+VLOOKUP($A10,A:AL,31,FALSE)-50),"-",(VLOOKUP($A10,'NonXtal_SegEnds_BW#'!$A:$Z,21,FALSE)+VLOOKUP($A10,A:AL,31,FALSE)-50))</f>
        <v>239</v>
      </c>
      <c r="AE10" s="3">
        <v>267</v>
      </c>
      <c r="AF10" s="3">
        <f>IF(ISERROR((VLOOKUP($A10,'NonXtal_SegEnds_BW#'!$A:$Z,22,FALSE)+VLOOKUP($A10,A:AL,31,FALSE)-50)),"-",(VLOOKUP($A10,'NonXtal_SegEnds_BW#'!$A:$Z,22,FALSE)+VLOOKUP($A10,A:AL,31,FALSE)-50))</f>
        <v>278</v>
      </c>
      <c r="AG10" s="3">
        <f>IF(ISERROR(VLOOKUP($A10,'NonXtal_SegEnds_BW#'!$A:$Z,23,FALSE)+VLOOKUP($A10,A:AL,34,FALSE)-50),"-",(VLOOKUP($A10,'NonXtal_SegEnds_BW#'!$A:$Z,23,FALSE)+VLOOKUP($A10,A:AL,34,FALSE)-50))</f>
        <v>283</v>
      </c>
      <c r="AH10" s="3">
        <v>302</v>
      </c>
      <c r="AI10" s="3">
        <f>IF(ISERROR((VLOOKUP($A10,'NonXtal_SegEnds_BW#'!$A:$Z,24,FALSE)+VLOOKUP($A10,A:AL,34,FALSE)-50)),"-",(VLOOKUP($A10,'NonXtal_SegEnds_BW#'!$A:$Z,24,FALSE)+VLOOKUP($A10,A:AL,34,FALSE)-50))</f>
        <v>308</v>
      </c>
      <c r="AJ10" s="3">
        <f>IF(ISERROR(VLOOKUP($A10,'NonXtal_SegEnds_BW#'!$A:$Z,25,FALSE)+VLOOKUP($A10,A:AL,37,FALSE)-50),"-",(VLOOKUP($A10,'NonXtal_SegEnds_BW#'!$A:$Z,25,FALSE)+VLOOKUP($A10,A:AL,37,FALSE)-50))</f>
        <v>309</v>
      </c>
      <c r="AK10" s="3">
        <v>312</v>
      </c>
      <c r="AL10" s="3">
        <f>IF(ISERROR((VLOOKUP($A10,'NonXtal_SegEnds_BW#'!$A:$Z,26,FALSE)+VLOOKUP($A10,A:AL,37,FALSE)-50)),"-",(VLOOKUP($A10,'NonXtal_SegEnds_BW#'!$A:$Z,26,FALSE)+VLOOKUP($A10,A:AL,37,FALSE)-50))</f>
        <v>320</v>
      </c>
      <c r="AM10" s="71" t="str">
        <f>VLOOKUP(A10,Classification!A:B,2,FALSE)</f>
        <v>A</v>
      </c>
      <c r="AN10" s="71" t="b">
        <f t="shared" si="2"/>
        <v>1</v>
      </c>
      <c r="AO10" s="3">
        <f t="shared" si="3"/>
        <v>1</v>
      </c>
      <c r="AP10" s="3">
        <f t="shared" si="4"/>
        <v>1</v>
      </c>
      <c r="AQ10" s="3">
        <f t="shared" si="5"/>
        <v>2</v>
      </c>
      <c r="AR10" s="3">
        <f t="shared" si="6"/>
        <v>1</v>
      </c>
      <c r="AS10" s="3">
        <f t="shared" si="7"/>
        <v>1</v>
      </c>
      <c r="AT10" s="3">
        <f t="shared" si="8"/>
        <v>2</v>
      </c>
      <c r="AU10" s="3">
        <f t="shared" si="9"/>
        <v>20</v>
      </c>
      <c r="AV10" s="3">
        <f t="shared" si="10"/>
        <v>2</v>
      </c>
      <c r="AW10" s="3">
        <f t="shared" si="11"/>
        <v>5</v>
      </c>
      <c r="AX10" s="3">
        <f t="shared" si="12"/>
        <v>5</v>
      </c>
      <c r="AY10" s="3">
        <f t="shared" si="13"/>
        <v>1</v>
      </c>
      <c r="AZ10" s="3">
        <f>IF(ISERROR(LEN(VLOOKUP(A10,Seqs!A:E,2,FALSE))-AL10),"-",LEN(VLOOKUP(A10,Seqs!A:E,2,FALSE))-AL10)</f>
        <v>17</v>
      </c>
      <c r="BA10" s="35">
        <f t="shared" si="14"/>
        <v>28</v>
      </c>
      <c r="BB10" s="3">
        <f t="shared" si="15"/>
        <v>20</v>
      </c>
      <c r="BC10" s="3">
        <f t="shared" si="16"/>
        <v>28</v>
      </c>
      <c r="BD10" s="3">
        <f t="shared" si="17"/>
        <v>56</v>
      </c>
      <c r="BE10" s="3">
        <f t="shared" si="22"/>
        <v>35</v>
      </c>
    </row>
    <row r="11" spans="1:58" s="3" customFormat="1" x14ac:dyDescent="0.2">
      <c r="A11" s="3" t="s">
        <v>585</v>
      </c>
      <c r="B11" s="3" t="str">
        <f>LOWER(VLOOKUP(A11,Xtal_Templ!A:B,2,FALSE))</f>
        <v>5ht1b_human</v>
      </c>
      <c r="C11" s="3">
        <f>VLOOKUP($A11,'NonXtal_SegEnds_BW#'!$A:$Z,3,FALSE)+D11-50</f>
        <v>29</v>
      </c>
      <c r="D11" s="3">
        <v>50</v>
      </c>
      <c r="E11" s="3">
        <f>IF(ISERROR(VLOOKUP($A11,'NonXtal_SegEnds_BW#'!$A:$Z,4,FALSE)+VLOOKUP($A11,A:AL,4,FALSE)-50),"-",(VLOOKUP($A11,'NonXtal_SegEnds_BW#'!$A:$Z,4,FALSE)+VLOOKUP($A11,A:AL,4,FALSE)-50))</f>
        <v>60</v>
      </c>
      <c r="F11" s="3">
        <f t="shared" si="0"/>
        <v>61</v>
      </c>
      <c r="G11" s="3">
        <v>63</v>
      </c>
      <c r="H11" s="3">
        <f t="shared" si="1"/>
        <v>64</v>
      </c>
      <c r="I11" s="3">
        <f t="shared" si="1"/>
        <v>65</v>
      </c>
      <c r="J11" s="3">
        <v>78</v>
      </c>
      <c r="K11" s="3">
        <f>VLOOKUP($A11,'NonXtal_SegEnds_BW#'!$A:$Z,8,FALSE)+VLOOKUP($A11,A:AL,10,FALSE)-50</f>
        <v>95</v>
      </c>
      <c r="L11" s="3">
        <f t="shared" si="18"/>
        <v>97</v>
      </c>
      <c r="M11" s="3">
        <v>98</v>
      </c>
      <c r="N11" s="3">
        <f t="shared" si="19"/>
        <v>100</v>
      </c>
      <c r="O11" s="3">
        <f t="shared" si="20"/>
        <v>101</v>
      </c>
      <c r="P11" s="3">
        <v>130</v>
      </c>
      <c r="Q11" s="3">
        <f>VLOOKUP($A11,'NonXtal_SegEnds_BW#'!$A:$Z,12,FALSE)+VLOOKUP($A11,A:AL,16,FALSE)-50</f>
        <v>136</v>
      </c>
      <c r="R11" s="3">
        <f>IF(ISERROR(VLOOKUP($A11,'NonXtal_SegEnds_BW#'!$A:$Z,13,FALSE)+VLOOKUP($A11,A:AL,19,FALSE)-50),"-",VLOOKUP($A11,'NonXtal_SegEnds_BW#'!$A:$Z,13,FALSE)+VLOOKUP($A11,A:AL,19,FALSE)-50)</f>
        <v>137</v>
      </c>
      <c r="S11" s="3">
        <v>137</v>
      </c>
      <c r="T11" s="3">
        <f>IF(ISERROR(VLOOKUP($A11,'NonXtal_SegEnds_BW#'!$A:$Z,14,FALSE)+VLOOKUP($A11,A:AL,19,FALSE)-50),"-",(VLOOKUP($A11,'NonXtal_SegEnds_BW#'!$A:$Z,14,FALSE)+VLOOKUP($A11,A:AL,19,FALSE)-50))</f>
        <v>144</v>
      </c>
      <c r="U11" s="3">
        <f>IF(ISERROR(VLOOKUP($A11,'NonXtal_SegEnds_BW#'!$A:$Z,15,FALSE)+VLOOKUP($A11,A:AL,22,FALSE)-50),"-",VLOOKUP($A11,'NonXtal_SegEnds_BW#'!$A:$Z,15,FALSE)+VLOOKUP($A11,A:AL,22,FALSE)-50)</f>
        <v>146</v>
      </c>
      <c r="V11" s="3">
        <v>157</v>
      </c>
      <c r="W11" s="3">
        <f>IF(ISERROR(VLOOKUP($A11,'NonXtal_SegEnds_BW#'!$A:$Z,16,FALSE)+VLOOKUP($A11,A:AL,22,FALSE)-50),"-",(VLOOKUP($A11,'NonXtal_SegEnds_BW#'!$A:$Z,16,FALSE)+VLOOKUP($A11,A:AL,22,FALSE)-50))</f>
        <v>170</v>
      </c>
      <c r="X11" s="3">
        <f>IF(ISERROR(VLOOKUP($A11,'NonXtal_SegEnds_BW#'!$A:$Z,17,FALSE)+VLOOKUP($A11,A:AL,25,FALSE)-50),"-",(VLOOKUP($A11,'NonXtal_SegEnds_BW#'!$A:$Z,17,FALSE)+VLOOKUP($A11,A:AL,25,FALSE)-50))</f>
        <v>190</v>
      </c>
      <c r="Y11" s="3">
        <v>190</v>
      </c>
      <c r="Z11" s="3">
        <f t="shared" si="21"/>
        <v>192</v>
      </c>
      <c r="AA11" s="3">
        <f>IF(ISERROR(VLOOKUP($A11,'NonXtal_SegEnds_BW#'!$A:$Z,19,FALSE)+VLOOKUP($A11,A:AL,28,FALSE)-50),"-",(VLOOKUP($A11,'NonXtal_SegEnds_BW#'!$A:$Z,19,FALSE)+VLOOKUP($A11,A:AL,28,FALSE)-50))</f>
        <v>194</v>
      </c>
      <c r="AB11" s="3">
        <v>209</v>
      </c>
      <c r="AC11" s="3">
        <f>IF(ISERROR((VLOOKUP($A11,'NonXtal_SegEnds_BW#'!$A:$Z,20,FALSE)+VLOOKUP($A11,A:AL,28,FALSE)-50)),"-",(VLOOKUP($A11,'NonXtal_SegEnds_BW#'!$A:$Z,20,FALSE)+VLOOKUP($A11,A:AL,28,FALSE)-50))</f>
        <v>233</v>
      </c>
      <c r="AD11" s="3">
        <f>IF(ISERROR(VLOOKUP($A11,'NonXtal_SegEnds_BW#'!$A:$Z,21,FALSE)+VLOOKUP($A11,A:AL,31,FALSE)-50),"-",(VLOOKUP($A11,'NonXtal_SegEnds_BW#'!$A:$Z,21,FALSE)+VLOOKUP($A11,A:AL,31,FALSE)-50))</f>
        <v>244</v>
      </c>
      <c r="AE11" s="3">
        <v>273</v>
      </c>
      <c r="AF11" s="3">
        <f>IF(ISERROR((VLOOKUP($A11,'NonXtal_SegEnds_BW#'!$A:$Z,22,FALSE)+VLOOKUP($A11,A:AL,31,FALSE)-50)),"-",(VLOOKUP($A11,'NonXtal_SegEnds_BW#'!$A:$Z,22,FALSE)+VLOOKUP($A11,A:AL,31,FALSE)-50))</f>
        <v>284</v>
      </c>
      <c r="AG11" s="3">
        <f>IF(ISERROR(VLOOKUP($A11,'NonXtal_SegEnds_BW#'!$A:$Z,23,FALSE)+VLOOKUP($A11,A:AL,34,FALSE)-50),"-",(VLOOKUP($A11,'NonXtal_SegEnds_BW#'!$A:$Z,23,FALSE)+VLOOKUP($A11,A:AL,34,FALSE)-50))</f>
        <v>289</v>
      </c>
      <c r="AH11" s="3">
        <v>308</v>
      </c>
      <c r="AI11" s="3">
        <f>IF(ISERROR((VLOOKUP($A11,'NonXtal_SegEnds_BW#'!$A:$Z,24,FALSE)+VLOOKUP($A11,A:AL,34,FALSE)-50)),"-",(VLOOKUP($A11,'NonXtal_SegEnds_BW#'!$A:$Z,24,FALSE)+VLOOKUP($A11,A:AL,34,FALSE)-50))</f>
        <v>314</v>
      </c>
      <c r="AJ11" s="3">
        <f>IF(ISERROR(VLOOKUP($A11,'NonXtal_SegEnds_BW#'!$A:$Z,25,FALSE)+VLOOKUP($A11,A:AL,37,FALSE)-50),"-",(VLOOKUP($A11,'NonXtal_SegEnds_BW#'!$A:$Z,25,FALSE)+VLOOKUP($A11,A:AL,37,FALSE)-50))</f>
        <v>315</v>
      </c>
      <c r="AK11" s="3">
        <v>318</v>
      </c>
      <c r="AL11" s="3">
        <f>IF(ISERROR((VLOOKUP($A11,'NonXtal_SegEnds_BW#'!$A:$Z,26,FALSE)+VLOOKUP($A11,A:AL,37,FALSE)-50)),"-",(VLOOKUP($A11,'NonXtal_SegEnds_BW#'!$A:$Z,26,FALSE)+VLOOKUP($A11,A:AL,37,FALSE)-50))</f>
        <v>326</v>
      </c>
      <c r="AM11" s="71" t="str">
        <f>VLOOKUP(A11,Classification!A:B,2,FALSE)</f>
        <v>A</v>
      </c>
      <c r="AN11" s="71" t="b">
        <f t="shared" si="2"/>
        <v>1</v>
      </c>
      <c r="AO11" s="3">
        <f t="shared" si="3"/>
        <v>1</v>
      </c>
      <c r="AP11" s="3">
        <f t="shared" si="4"/>
        <v>1</v>
      </c>
      <c r="AQ11" s="3">
        <f t="shared" si="5"/>
        <v>2</v>
      </c>
      <c r="AR11" s="3">
        <f t="shared" si="6"/>
        <v>1</v>
      </c>
      <c r="AS11" s="3">
        <f t="shared" si="7"/>
        <v>1</v>
      </c>
      <c r="AT11" s="3">
        <f t="shared" si="8"/>
        <v>2</v>
      </c>
      <c r="AU11" s="3">
        <f t="shared" si="9"/>
        <v>20</v>
      </c>
      <c r="AV11" s="3">
        <f t="shared" si="10"/>
        <v>2</v>
      </c>
      <c r="AW11" s="3">
        <f t="shared" si="11"/>
        <v>11</v>
      </c>
      <c r="AX11" s="3">
        <f t="shared" si="12"/>
        <v>5</v>
      </c>
      <c r="AY11" s="3">
        <f t="shared" si="13"/>
        <v>1</v>
      </c>
      <c r="AZ11" s="3">
        <f>IF(ISERROR(LEN(VLOOKUP(A11,Seqs!A:E,2,FALSE))-AL11),"-",LEN(VLOOKUP(A11,Seqs!A:E,2,FALSE))-AL11)</f>
        <v>19</v>
      </c>
      <c r="BA11" s="35">
        <f t="shared" si="14"/>
        <v>28</v>
      </c>
      <c r="BB11" s="3">
        <f t="shared" si="15"/>
        <v>20</v>
      </c>
      <c r="BC11" s="3">
        <f t="shared" si="16"/>
        <v>28</v>
      </c>
      <c r="BD11" s="3">
        <f t="shared" si="17"/>
        <v>64</v>
      </c>
      <c r="BE11" s="3">
        <f t="shared" si="22"/>
        <v>35</v>
      </c>
    </row>
    <row r="12" spans="1:58" s="3" customFormat="1" x14ac:dyDescent="0.2">
      <c r="A12" s="3" t="s">
        <v>587</v>
      </c>
      <c r="B12" s="3" t="str">
        <f>LOWER(VLOOKUP(A12,Xtal_Templ!A:B,2,FALSE))</f>
        <v>5ht1b_human</v>
      </c>
      <c r="C12" s="3">
        <f>VLOOKUP($A12,'NonXtal_SegEnds_BW#'!$A:$Z,3,FALSE)+D12-50</f>
        <v>29</v>
      </c>
      <c r="D12" s="3">
        <v>50</v>
      </c>
      <c r="E12" s="3">
        <f>IF(ISERROR(VLOOKUP($A12,'NonXtal_SegEnds_BW#'!$A:$Z,4,FALSE)+VLOOKUP($A12,A:AL,4,FALSE)-50),"-",(VLOOKUP($A12,'NonXtal_SegEnds_BW#'!$A:$Z,4,FALSE)+VLOOKUP($A12,A:AL,4,FALSE)-50))</f>
        <v>60</v>
      </c>
      <c r="F12" s="3">
        <f t="shared" si="0"/>
        <v>61</v>
      </c>
      <c r="G12" s="3">
        <v>63</v>
      </c>
      <c r="H12" s="3">
        <f t="shared" si="1"/>
        <v>64</v>
      </c>
      <c r="I12" s="3">
        <f t="shared" si="1"/>
        <v>65</v>
      </c>
      <c r="J12" s="3">
        <v>78</v>
      </c>
      <c r="K12" s="3">
        <f>VLOOKUP($A12,'NonXtal_SegEnds_BW#'!$A:$Z,8,FALSE)+VLOOKUP($A12,A:AL,10,FALSE)-50</f>
        <v>95</v>
      </c>
      <c r="L12" s="3">
        <f t="shared" si="18"/>
        <v>97</v>
      </c>
      <c r="M12" s="3">
        <v>98</v>
      </c>
      <c r="N12" s="3">
        <f t="shared" si="19"/>
        <v>100</v>
      </c>
      <c r="O12" s="3">
        <f t="shared" si="20"/>
        <v>101</v>
      </c>
      <c r="P12" s="3">
        <v>130</v>
      </c>
      <c r="Q12" s="3">
        <f>VLOOKUP($A12,'NonXtal_SegEnds_BW#'!$A:$Z,12,FALSE)+VLOOKUP($A12,A:AL,16,FALSE)-50</f>
        <v>136</v>
      </c>
      <c r="R12" s="3">
        <f>IF(ISERROR(VLOOKUP($A12,'NonXtal_SegEnds_BW#'!$A:$Z,13,FALSE)+VLOOKUP($A12,A:AL,19,FALSE)-50),"-",VLOOKUP($A12,'NonXtal_SegEnds_BW#'!$A:$Z,13,FALSE)+VLOOKUP($A12,A:AL,19,FALSE)-50)</f>
        <v>137</v>
      </c>
      <c r="S12" s="3">
        <v>137</v>
      </c>
      <c r="T12" s="3">
        <f>IF(ISERROR(VLOOKUP($A12,'NonXtal_SegEnds_BW#'!$A:$Z,14,FALSE)+VLOOKUP($A12,A:AL,19,FALSE)-50),"-",(VLOOKUP($A12,'NonXtal_SegEnds_BW#'!$A:$Z,14,FALSE)+VLOOKUP($A12,A:AL,19,FALSE)-50))</f>
        <v>144</v>
      </c>
      <c r="U12" s="3">
        <f>IF(ISERROR(VLOOKUP($A12,'NonXtal_SegEnds_BW#'!$A:$Z,15,FALSE)+VLOOKUP($A12,A:AL,22,FALSE)-50),"-",VLOOKUP($A12,'NonXtal_SegEnds_BW#'!$A:$Z,15,FALSE)+VLOOKUP($A12,A:AL,22,FALSE)-50)</f>
        <v>146</v>
      </c>
      <c r="V12" s="3">
        <v>157</v>
      </c>
      <c r="W12" s="3">
        <f>IF(ISERROR(VLOOKUP($A12,'NonXtal_SegEnds_BW#'!$A:$Z,16,FALSE)+VLOOKUP($A12,A:AL,22,FALSE)-50),"-",(VLOOKUP($A12,'NonXtal_SegEnds_BW#'!$A:$Z,16,FALSE)+VLOOKUP($A12,A:AL,22,FALSE)-50))</f>
        <v>170</v>
      </c>
      <c r="X12" s="3">
        <f>IF(ISERROR(VLOOKUP($A12,'NonXtal_SegEnds_BW#'!$A:$Z,17,FALSE)+VLOOKUP($A12,A:AL,25,FALSE)-50),"-",(VLOOKUP($A12,'NonXtal_SegEnds_BW#'!$A:$Z,17,FALSE)+VLOOKUP($A12,A:AL,25,FALSE)-50))</f>
        <v>190</v>
      </c>
      <c r="Y12" s="3">
        <v>190</v>
      </c>
      <c r="Z12" s="3">
        <f t="shared" si="21"/>
        <v>192</v>
      </c>
      <c r="AA12" s="3">
        <f>IF(ISERROR(VLOOKUP($A12,'NonXtal_SegEnds_BW#'!$A:$Z,19,FALSE)+VLOOKUP($A12,A:AL,28,FALSE)-50),"-",(VLOOKUP($A12,'NonXtal_SegEnds_BW#'!$A:$Z,19,FALSE)+VLOOKUP($A12,A:AL,28,FALSE)-50))</f>
        <v>194</v>
      </c>
      <c r="AB12" s="3">
        <v>209</v>
      </c>
      <c r="AC12" s="3">
        <f>IF(ISERROR((VLOOKUP($A12,'NonXtal_SegEnds_BW#'!$A:$Z,20,FALSE)+VLOOKUP($A12,A:AL,28,FALSE)-50)),"-",(VLOOKUP($A12,'NonXtal_SegEnds_BW#'!$A:$Z,20,FALSE)+VLOOKUP($A12,A:AL,28,FALSE)-50))</f>
        <v>233</v>
      </c>
      <c r="AD12" s="3">
        <f>IF(ISERROR(VLOOKUP($A12,'NonXtal_SegEnds_BW#'!$A:$Z,21,FALSE)+VLOOKUP($A12,A:AL,31,FALSE)-50),"-",(VLOOKUP($A12,'NonXtal_SegEnds_BW#'!$A:$Z,21,FALSE)+VLOOKUP($A12,A:AL,31,FALSE)-50))</f>
        <v>244</v>
      </c>
      <c r="AE12" s="3">
        <v>273</v>
      </c>
      <c r="AF12" s="3">
        <f>IF(ISERROR((VLOOKUP($A12,'NonXtal_SegEnds_BW#'!$A:$Z,22,FALSE)+VLOOKUP($A12,A:AL,31,FALSE)-50)),"-",(VLOOKUP($A12,'NonXtal_SegEnds_BW#'!$A:$Z,22,FALSE)+VLOOKUP($A12,A:AL,31,FALSE)-50))</f>
        <v>284</v>
      </c>
      <c r="AG12" s="3">
        <f>IF(ISERROR(VLOOKUP($A12,'NonXtal_SegEnds_BW#'!$A:$Z,23,FALSE)+VLOOKUP($A12,A:AL,34,FALSE)-50),"-",(VLOOKUP($A12,'NonXtal_SegEnds_BW#'!$A:$Z,23,FALSE)+VLOOKUP($A12,A:AL,34,FALSE)-50))</f>
        <v>289</v>
      </c>
      <c r="AH12" s="3">
        <v>308</v>
      </c>
      <c r="AI12" s="3">
        <f>IF(ISERROR((VLOOKUP($A12,'NonXtal_SegEnds_BW#'!$A:$Z,24,FALSE)+VLOOKUP($A12,A:AL,34,FALSE)-50)),"-",(VLOOKUP($A12,'NonXtal_SegEnds_BW#'!$A:$Z,24,FALSE)+VLOOKUP($A12,A:AL,34,FALSE)-50))</f>
        <v>314</v>
      </c>
      <c r="AJ12" s="3">
        <f>IF(ISERROR(VLOOKUP($A12,'NonXtal_SegEnds_BW#'!$A:$Z,25,FALSE)+VLOOKUP($A12,A:AL,37,FALSE)-50),"-",(VLOOKUP($A12,'NonXtal_SegEnds_BW#'!$A:$Z,25,FALSE)+VLOOKUP($A12,A:AL,37,FALSE)-50))</f>
        <v>315</v>
      </c>
      <c r="AK12" s="3">
        <v>318</v>
      </c>
      <c r="AL12" s="3">
        <f>IF(ISERROR((VLOOKUP($A12,'NonXtal_SegEnds_BW#'!$A:$Z,26,FALSE)+VLOOKUP($A12,A:AL,37,FALSE)-50)),"-",(VLOOKUP($A12,'NonXtal_SegEnds_BW#'!$A:$Z,26,FALSE)+VLOOKUP($A12,A:AL,37,FALSE)-50))</f>
        <v>326</v>
      </c>
      <c r="AM12" s="71" t="str">
        <f>VLOOKUP(A12,Classification!A:B,2,FALSE)</f>
        <v>A</v>
      </c>
      <c r="AN12" s="71" t="b">
        <f t="shared" si="2"/>
        <v>1</v>
      </c>
      <c r="AO12" s="3">
        <f t="shared" si="3"/>
        <v>1</v>
      </c>
      <c r="AP12" s="3">
        <f t="shared" si="4"/>
        <v>1</v>
      </c>
      <c r="AQ12" s="3">
        <f t="shared" si="5"/>
        <v>2</v>
      </c>
      <c r="AR12" s="3">
        <f t="shared" si="6"/>
        <v>1</v>
      </c>
      <c r="AS12" s="3">
        <f t="shared" si="7"/>
        <v>1</v>
      </c>
      <c r="AT12" s="3">
        <f t="shared" si="8"/>
        <v>2</v>
      </c>
      <c r="AU12" s="3">
        <f t="shared" si="9"/>
        <v>20</v>
      </c>
      <c r="AV12" s="3">
        <f t="shared" si="10"/>
        <v>2</v>
      </c>
      <c r="AW12" s="3">
        <f t="shared" si="11"/>
        <v>11</v>
      </c>
      <c r="AX12" s="3">
        <f t="shared" si="12"/>
        <v>5</v>
      </c>
      <c r="AY12" s="3">
        <f t="shared" si="13"/>
        <v>1</v>
      </c>
      <c r="AZ12" s="3">
        <f>IF(ISERROR(LEN(VLOOKUP(A12,Seqs!A:E,2,FALSE))-AL12),"-",LEN(VLOOKUP(A12,Seqs!A:E,2,FALSE))-AL12)</f>
        <v>22</v>
      </c>
      <c r="BA12" s="35">
        <f t="shared" si="14"/>
        <v>28</v>
      </c>
      <c r="BB12" s="3">
        <f t="shared" si="15"/>
        <v>20</v>
      </c>
      <c r="BC12" s="3">
        <f t="shared" si="16"/>
        <v>28</v>
      </c>
      <c r="BD12" s="3">
        <f t="shared" si="17"/>
        <v>64</v>
      </c>
      <c r="BE12" s="3">
        <f t="shared" si="22"/>
        <v>35</v>
      </c>
    </row>
    <row r="13" spans="1:58" s="3" customFormat="1" x14ac:dyDescent="0.2">
      <c r="A13" s="3" t="s">
        <v>583</v>
      </c>
      <c r="B13" s="3" t="str">
        <f>LOWER(VLOOKUP(A13,Xtal_Templ!A:B,2,FALSE))</f>
        <v>5ht1b_human</v>
      </c>
      <c r="C13" s="3">
        <f>VLOOKUP($A13,'NonXtal_SegEnds_BW#'!$A:$Z,3,FALSE)+D13-50</f>
        <v>28</v>
      </c>
      <c r="D13" s="3">
        <v>49</v>
      </c>
      <c r="E13" s="3">
        <f>IF(ISERROR(VLOOKUP($A13,'NonXtal_SegEnds_BW#'!$A:$Z,4,FALSE)+VLOOKUP($A13,A:AL,4,FALSE)-50),"-",(VLOOKUP($A13,'NonXtal_SegEnds_BW#'!$A:$Z,4,FALSE)+VLOOKUP($A13,A:AL,4,FALSE)-50))</f>
        <v>59</v>
      </c>
      <c r="F13" s="3">
        <f t="shared" si="0"/>
        <v>60</v>
      </c>
      <c r="G13" s="3">
        <v>62</v>
      </c>
      <c r="H13" s="3">
        <f t="shared" si="1"/>
        <v>63</v>
      </c>
      <c r="I13" s="3">
        <f t="shared" si="1"/>
        <v>64</v>
      </c>
      <c r="J13" s="3">
        <v>77</v>
      </c>
      <c r="K13" s="3">
        <f>VLOOKUP($A13,'NonXtal_SegEnds_BW#'!$A:$Z,8,FALSE)+VLOOKUP($A13,A:AL,10,FALSE)-50</f>
        <v>94</v>
      </c>
      <c r="L13" s="3">
        <f t="shared" si="18"/>
        <v>96</v>
      </c>
      <c r="M13" s="3">
        <v>97</v>
      </c>
      <c r="N13" s="3">
        <f t="shared" si="19"/>
        <v>99</v>
      </c>
      <c r="O13" s="3">
        <f t="shared" si="20"/>
        <v>100</v>
      </c>
      <c r="P13" s="3">
        <v>129</v>
      </c>
      <c r="Q13" s="3">
        <f>VLOOKUP($A13,'NonXtal_SegEnds_BW#'!$A:$Z,12,FALSE)+VLOOKUP($A13,A:AL,16,FALSE)-50</f>
        <v>135</v>
      </c>
      <c r="R13" s="3">
        <f>IF(ISERROR(VLOOKUP($A13,'NonXtal_SegEnds_BW#'!$A:$Z,13,FALSE)+VLOOKUP($A13,A:AL,19,FALSE)-50),"-",VLOOKUP($A13,'NonXtal_SegEnds_BW#'!$A:$Z,13,FALSE)+VLOOKUP($A13,A:AL,19,FALSE)-50)</f>
        <v>136</v>
      </c>
      <c r="S13" s="3">
        <v>136</v>
      </c>
      <c r="T13" s="3">
        <f>IF(ISERROR(VLOOKUP($A13,'NonXtal_SegEnds_BW#'!$A:$Z,14,FALSE)+VLOOKUP($A13,A:AL,19,FALSE)-50),"-",(VLOOKUP($A13,'NonXtal_SegEnds_BW#'!$A:$Z,14,FALSE)+VLOOKUP($A13,A:AL,19,FALSE)-50))</f>
        <v>143</v>
      </c>
      <c r="U13" s="3">
        <f>IF(ISERROR(VLOOKUP($A13,'NonXtal_SegEnds_BW#'!$A:$Z,15,FALSE)+VLOOKUP($A13,A:AL,22,FALSE)-50),"-",VLOOKUP($A13,'NonXtal_SegEnds_BW#'!$A:$Z,15,FALSE)+VLOOKUP($A13,A:AL,22,FALSE)-50)</f>
        <v>145</v>
      </c>
      <c r="V13" s="3">
        <v>156</v>
      </c>
      <c r="W13" s="3">
        <f>IF(ISERROR(VLOOKUP($A13,'NonXtal_SegEnds_BW#'!$A:$Z,16,FALSE)+VLOOKUP($A13,A:AL,22,FALSE)-50),"-",(VLOOKUP($A13,'NonXtal_SegEnds_BW#'!$A:$Z,16,FALSE)+VLOOKUP($A13,A:AL,22,FALSE)-50))</f>
        <v>169</v>
      </c>
      <c r="X13" s="3">
        <f>IF(ISERROR(VLOOKUP($A13,'NonXtal_SegEnds_BW#'!$A:$Z,17,FALSE)+VLOOKUP($A13,A:AL,25,FALSE)-50),"-",(VLOOKUP($A13,'NonXtal_SegEnds_BW#'!$A:$Z,17,FALSE)+VLOOKUP($A13,A:AL,25,FALSE)-50))</f>
        <v>189</v>
      </c>
      <c r="Y13" s="3">
        <v>189</v>
      </c>
      <c r="Z13" s="3">
        <f t="shared" si="21"/>
        <v>191</v>
      </c>
      <c r="AA13" s="3">
        <f>IF(ISERROR(VLOOKUP($A13,'NonXtal_SegEnds_BW#'!$A:$Z,19,FALSE)+VLOOKUP($A13,A:AL,28,FALSE)-50),"-",(VLOOKUP($A13,'NonXtal_SegEnds_BW#'!$A:$Z,19,FALSE)+VLOOKUP($A13,A:AL,28,FALSE)-50))</f>
        <v>194</v>
      </c>
      <c r="AB13" s="3">
        <v>209</v>
      </c>
      <c r="AC13" s="3">
        <f>IF(ISERROR((VLOOKUP($A13,'NonXtal_SegEnds_BW#'!$A:$Z,20,FALSE)+VLOOKUP($A13,A:AL,28,FALSE)-50)),"-",(VLOOKUP($A13,'NonXtal_SegEnds_BW#'!$A:$Z,20,FALSE)+VLOOKUP($A13,A:AL,28,FALSE)-50))</f>
        <v>233</v>
      </c>
      <c r="AD13" s="3">
        <f>IF(ISERROR(VLOOKUP($A13,'NonXtal_SegEnds_BW#'!$A:$Z,21,FALSE)+VLOOKUP($A13,A:AL,31,FALSE)-50),"-",(VLOOKUP($A13,'NonXtal_SegEnds_BW#'!$A:$Z,21,FALSE)+VLOOKUP($A13,A:AL,31,FALSE)-50))</f>
        <v>242</v>
      </c>
      <c r="AE13" s="3">
        <v>271</v>
      </c>
      <c r="AF13" s="3">
        <f>IF(ISERROR((VLOOKUP($A13,'NonXtal_SegEnds_BW#'!$A:$Z,22,FALSE)+VLOOKUP($A13,A:AL,31,FALSE)-50)),"-",(VLOOKUP($A13,'NonXtal_SegEnds_BW#'!$A:$Z,22,FALSE)+VLOOKUP($A13,A:AL,31,FALSE)-50))</f>
        <v>282</v>
      </c>
      <c r="AG13" s="3">
        <f>IF(ISERROR(VLOOKUP($A13,'NonXtal_SegEnds_BW#'!$A:$Z,23,FALSE)+VLOOKUP($A13,A:AL,34,FALSE)-50),"-",(VLOOKUP($A13,'NonXtal_SegEnds_BW#'!$A:$Z,23,FALSE)+VLOOKUP($A13,A:AL,34,FALSE)-50))</f>
        <v>287</v>
      </c>
      <c r="AH13" s="3">
        <v>306</v>
      </c>
      <c r="AI13" s="3">
        <f>IF(ISERROR((VLOOKUP($A13,'NonXtal_SegEnds_BW#'!$A:$Z,24,FALSE)+VLOOKUP($A13,A:AL,34,FALSE)-50)),"-",(VLOOKUP($A13,'NonXtal_SegEnds_BW#'!$A:$Z,24,FALSE)+VLOOKUP($A13,A:AL,34,FALSE)-50))</f>
        <v>312</v>
      </c>
      <c r="AJ13" s="3">
        <f>IF(ISERROR(VLOOKUP($A13,'NonXtal_SegEnds_BW#'!$A:$Z,25,FALSE)+VLOOKUP($A13,A:AL,37,FALSE)-50),"-",(VLOOKUP($A13,'NonXtal_SegEnds_BW#'!$A:$Z,25,FALSE)+VLOOKUP($A13,A:AL,37,FALSE)-50))</f>
        <v>313</v>
      </c>
      <c r="AK13" s="3">
        <v>316</v>
      </c>
      <c r="AL13" s="3">
        <f>IF(ISERROR((VLOOKUP($A13,'NonXtal_SegEnds_BW#'!$A:$Z,26,FALSE)+VLOOKUP($A13,A:AL,37,FALSE)-50)),"-",(VLOOKUP($A13,'NonXtal_SegEnds_BW#'!$A:$Z,26,FALSE)+VLOOKUP($A13,A:AL,37,FALSE)-50))</f>
        <v>324</v>
      </c>
      <c r="AM13" s="71" t="str">
        <f>VLOOKUP(A13,Classification!A:B,2,FALSE)</f>
        <v>A</v>
      </c>
      <c r="AN13" s="71" t="b">
        <f t="shared" si="2"/>
        <v>1</v>
      </c>
      <c r="AO13" s="3">
        <f t="shared" si="3"/>
        <v>1</v>
      </c>
      <c r="AP13" s="3">
        <f t="shared" si="4"/>
        <v>1</v>
      </c>
      <c r="AQ13" s="3">
        <f t="shared" si="5"/>
        <v>2</v>
      </c>
      <c r="AR13" s="3">
        <f t="shared" si="6"/>
        <v>1</v>
      </c>
      <c r="AS13" s="3">
        <f t="shared" si="7"/>
        <v>1</v>
      </c>
      <c r="AT13" s="3">
        <f t="shared" si="8"/>
        <v>2</v>
      </c>
      <c r="AU13" s="3">
        <f t="shared" si="9"/>
        <v>20</v>
      </c>
      <c r="AV13" s="3">
        <f t="shared" si="10"/>
        <v>3</v>
      </c>
      <c r="AW13" s="3">
        <f t="shared" si="11"/>
        <v>9</v>
      </c>
      <c r="AX13" s="3">
        <f t="shared" si="12"/>
        <v>5</v>
      </c>
      <c r="AY13" s="3">
        <f t="shared" si="13"/>
        <v>1</v>
      </c>
      <c r="AZ13" s="3">
        <f>IF(ISERROR(LEN(VLOOKUP(A13,Seqs!A:E,2,FALSE))-AL13),"-",LEN(VLOOKUP(A13,Seqs!A:E,2,FALSE))-AL13)</f>
        <v>19</v>
      </c>
      <c r="BA13" s="35">
        <f t="shared" si="14"/>
        <v>28</v>
      </c>
      <c r="BB13" s="3">
        <f t="shared" si="15"/>
        <v>20</v>
      </c>
      <c r="BC13" s="3">
        <f t="shared" si="16"/>
        <v>28</v>
      </c>
      <c r="BD13" s="3">
        <f t="shared" si="17"/>
        <v>62</v>
      </c>
      <c r="BE13" s="3">
        <f t="shared" si="22"/>
        <v>35</v>
      </c>
    </row>
    <row r="14" spans="1:58" s="3" customFormat="1" x14ac:dyDescent="0.2">
      <c r="A14" s="3" t="s">
        <v>586</v>
      </c>
      <c r="B14" s="3" t="str">
        <f>LOWER(VLOOKUP(A14,Xtal_Templ!A:B,2,FALSE))</f>
        <v>5ht1b_human</v>
      </c>
      <c r="C14" s="3">
        <f>VLOOKUP($A14,'NonXtal_SegEnds_BW#'!$A:$Z,3,FALSE)+D14-50</f>
        <v>28</v>
      </c>
      <c r="D14" s="3">
        <v>49</v>
      </c>
      <c r="E14" s="3">
        <f>IF(ISERROR(VLOOKUP($A14,'NonXtal_SegEnds_BW#'!$A:$Z,4,FALSE)+VLOOKUP($A14,A:AL,4,FALSE)-50),"-",(VLOOKUP($A14,'NonXtal_SegEnds_BW#'!$A:$Z,4,FALSE)+VLOOKUP($A14,A:AL,4,FALSE)-50))</f>
        <v>59</v>
      </c>
      <c r="F14" s="3">
        <f t="shared" si="0"/>
        <v>60</v>
      </c>
      <c r="G14" s="3">
        <v>62</v>
      </c>
      <c r="H14" s="3">
        <f t="shared" si="1"/>
        <v>63</v>
      </c>
      <c r="I14" s="3">
        <f t="shared" si="1"/>
        <v>64</v>
      </c>
      <c r="J14" s="3">
        <v>77</v>
      </c>
      <c r="K14" s="3">
        <f>VLOOKUP($A14,'NonXtal_SegEnds_BW#'!$A:$Z,8,FALSE)+VLOOKUP($A14,A:AL,10,FALSE)-50</f>
        <v>94</v>
      </c>
      <c r="L14" s="3">
        <f t="shared" si="18"/>
        <v>96</v>
      </c>
      <c r="M14" s="3">
        <v>97</v>
      </c>
      <c r="N14" s="3">
        <f t="shared" si="19"/>
        <v>99</v>
      </c>
      <c r="O14" s="3">
        <f t="shared" si="20"/>
        <v>100</v>
      </c>
      <c r="P14" s="3">
        <v>129</v>
      </c>
      <c r="Q14" s="3">
        <f>VLOOKUP($A14,'NonXtal_SegEnds_BW#'!$A:$Z,12,FALSE)+VLOOKUP($A14,A:AL,16,FALSE)-50</f>
        <v>135</v>
      </c>
      <c r="R14" s="3">
        <f>IF(ISERROR(VLOOKUP($A14,'NonXtal_SegEnds_BW#'!$A:$Z,13,FALSE)+VLOOKUP($A14,A:AL,19,FALSE)-50),"-",VLOOKUP($A14,'NonXtal_SegEnds_BW#'!$A:$Z,13,FALSE)+VLOOKUP($A14,A:AL,19,FALSE)-50)</f>
        <v>136</v>
      </c>
      <c r="S14" s="3">
        <v>136</v>
      </c>
      <c r="T14" s="3">
        <f>IF(ISERROR(VLOOKUP($A14,'NonXtal_SegEnds_BW#'!$A:$Z,14,FALSE)+VLOOKUP($A14,A:AL,19,FALSE)-50),"-",(VLOOKUP($A14,'NonXtal_SegEnds_BW#'!$A:$Z,14,FALSE)+VLOOKUP($A14,A:AL,19,FALSE)-50))</f>
        <v>143</v>
      </c>
      <c r="U14" s="3">
        <f>IF(ISERROR(VLOOKUP($A14,'NonXtal_SegEnds_BW#'!$A:$Z,15,FALSE)+VLOOKUP($A14,A:AL,22,FALSE)-50),"-",VLOOKUP($A14,'NonXtal_SegEnds_BW#'!$A:$Z,15,FALSE)+VLOOKUP($A14,A:AL,22,FALSE)-50)</f>
        <v>145</v>
      </c>
      <c r="V14" s="3">
        <v>156</v>
      </c>
      <c r="W14" s="3">
        <f>IF(ISERROR(VLOOKUP($A14,'NonXtal_SegEnds_BW#'!$A:$Z,16,FALSE)+VLOOKUP($A14,A:AL,22,FALSE)-50),"-",(VLOOKUP($A14,'NonXtal_SegEnds_BW#'!$A:$Z,16,FALSE)+VLOOKUP($A14,A:AL,22,FALSE)-50))</f>
        <v>169</v>
      </c>
      <c r="X14" s="3">
        <f>IF(ISERROR(VLOOKUP($A14,'NonXtal_SegEnds_BW#'!$A:$Z,17,FALSE)+VLOOKUP($A14,A:AL,25,FALSE)-50),"-",(VLOOKUP($A14,'NonXtal_SegEnds_BW#'!$A:$Z,17,FALSE)+VLOOKUP($A14,A:AL,25,FALSE)-50))</f>
        <v>189</v>
      </c>
      <c r="Y14" s="3">
        <v>189</v>
      </c>
      <c r="Z14" s="3">
        <f t="shared" si="21"/>
        <v>191</v>
      </c>
      <c r="AA14" s="3">
        <f>IF(ISERROR(VLOOKUP($A14,'NonXtal_SegEnds_BW#'!$A:$Z,19,FALSE)+VLOOKUP($A14,A:AL,28,FALSE)-50),"-",(VLOOKUP($A14,'NonXtal_SegEnds_BW#'!$A:$Z,19,FALSE)+VLOOKUP($A14,A:AL,28,FALSE)-50))</f>
        <v>193</v>
      </c>
      <c r="AB14" s="3">
        <v>208</v>
      </c>
      <c r="AC14" s="3">
        <f>IF(ISERROR((VLOOKUP($A14,'NonXtal_SegEnds_BW#'!$A:$Z,20,FALSE)+VLOOKUP($A14,A:AL,28,FALSE)-50)),"-",(VLOOKUP($A14,'NonXtal_SegEnds_BW#'!$A:$Z,20,FALSE)+VLOOKUP($A14,A:AL,28,FALSE)-50))</f>
        <v>232</v>
      </c>
      <c r="AD14" s="3">
        <f>IF(ISERROR(VLOOKUP($A14,'NonXtal_SegEnds_BW#'!$A:$Z,21,FALSE)+VLOOKUP($A14,A:AL,31,FALSE)-50),"-",(VLOOKUP($A14,'NonXtal_SegEnds_BW#'!$A:$Z,21,FALSE)+VLOOKUP($A14,A:AL,31,FALSE)-50))</f>
        <v>243</v>
      </c>
      <c r="AE14" s="3">
        <v>272</v>
      </c>
      <c r="AF14" s="3">
        <f>IF(ISERROR((VLOOKUP($A14,'NonXtal_SegEnds_BW#'!$A:$Z,22,FALSE)+VLOOKUP($A14,A:AL,31,FALSE)-50)),"-",(VLOOKUP($A14,'NonXtal_SegEnds_BW#'!$A:$Z,22,FALSE)+VLOOKUP($A14,A:AL,31,FALSE)-50))</f>
        <v>283</v>
      </c>
      <c r="AG14" s="3">
        <f>IF(ISERROR(VLOOKUP($A14,'NonXtal_SegEnds_BW#'!$A:$Z,23,FALSE)+VLOOKUP($A14,A:AL,34,FALSE)-50),"-",(VLOOKUP($A14,'NonXtal_SegEnds_BW#'!$A:$Z,23,FALSE)+VLOOKUP($A14,A:AL,34,FALSE)-50))</f>
        <v>288</v>
      </c>
      <c r="AH14" s="3">
        <v>307</v>
      </c>
      <c r="AI14" s="3">
        <f>IF(ISERROR((VLOOKUP($A14,'NonXtal_SegEnds_BW#'!$A:$Z,24,FALSE)+VLOOKUP($A14,A:AL,34,FALSE)-50)),"-",(VLOOKUP($A14,'NonXtal_SegEnds_BW#'!$A:$Z,24,FALSE)+VLOOKUP($A14,A:AL,34,FALSE)-50))</f>
        <v>313</v>
      </c>
      <c r="AJ14" s="3">
        <f>IF(ISERROR(VLOOKUP($A14,'NonXtal_SegEnds_BW#'!$A:$Z,25,FALSE)+VLOOKUP($A14,A:AL,37,FALSE)-50),"-",(VLOOKUP($A14,'NonXtal_SegEnds_BW#'!$A:$Z,25,FALSE)+VLOOKUP($A14,A:AL,37,FALSE)-50))</f>
        <v>314</v>
      </c>
      <c r="AK14" s="3">
        <v>317</v>
      </c>
      <c r="AL14" s="3">
        <f>IF(ISERROR((VLOOKUP($A14,'NonXtal_SegEnds_BW#'!$A:$Z,26,FALSE)+VLOOKUP($A14,A:AL,37,FALSE)-50)),"-",(VLOOKUP($A14,'NonXtal_SegEnds_BW#'!$A:$Z,26,FALSE)+VLOOKUP($A14,A:AL,37,FALSE)-50))</f>
        <v>325</v>
      </c>
      <c r="AM14" s="71" t="str">
        <f>VLOOKUP(A14,Classification!A:B,2,FALSE)</f>
        <v>A</v>
      </c>
      <c r="AN14" s="71" t="b">
        <f t="shared" si="2"/>
        <v>1</v>
      </c>
      <c r="AO14" s="3">
        <f t="shared" si="3"/>
        <v>1</v>
      </c>
      <c r="AP14" s="3">
        <f t="shared" si="4"/>
        <v>1</v>
      </c>
      <c r="AQ14" s="3">
        <f t="shared" si="5"/>
        <v>2</v>
      </c>
      <c r="AR14" s="3">
        <f t="shared" si="6"/>
        <v>1</v>
      </c>
      <c r="AS14" s="3">
        <f t="shared" si="7"/>
        <v>1</v>
      </c>
      <c r="AT14" s="3">
        <f t="shared" si="8"/>
        <v>2</v>
      </c>
      <c r="AU14" s="3">
        <f t="shared" si="9"/>
        <v>20</v>
      </c>
      <c r="AV14" s="3">
        <f t="shared" si="10"/>
        <v>2</v>
      </c>
      <c r="AW14" s="3">
        <f t="shared" si="11"/>
        <v>11</v>
      </c>
      <c r="AX14" s="3">
        <f t="shared" si="12"/>
        <v>5</v>
      </c>
      <c r="AY14" s="3">
        <f t="shared" si="13"/>
        <v>1</v>
      </c>
      <c r="AZ14" s="3">
        <f>IF(ISERROR(LEN(VLOOKUP(A14,Seqs!A:E,2,FALSE))-AL14),"-",LEN(VLOOKUP(A14,Seqs!A:E,2,FALSE))-AL14)</f>
        <v>17</v>
      </c>
      <c r="BA14" s="35">
        <f t="shared" si="14"/>
        <v>28</v>
      </c>
      <c r="BB14" s="3">
        <f t="shared" si="15"/>
        <v>20</v>
      </c>
      <c r="BC14" s="3">
        <f t="shared" si="16"/>
        <v>28</v>
      </c>
      <c r="BD14" s="3">
        <f t="shared" si="17"/>
        <v>64</v>
      </c>
      <c r="BE14" s="3">
        <f t="shared" si="22"/>
        <v>35</v>
      </c>
    </row>
    <row r="15" spans="1:58" s="3" customFormat="1" x14ac:dyDescent="0.2">
      <c r="A15" s="3" t="s">
        <v>323</v>
      </c>
      <c r="B15" s="3" t="str">
        <f>LOWER(VLOOKUP(A15,Xtal_Templ!A:B,2,FALSE))</f>
        <v>5ht1b_human</v>
      </c>
      <c r="C15" s="3">
        <f>VLOOKUP($A15,'NonXtal_SegEnds_BW#'!$A:$Z,3,FALSE)+D15-50</f>
        <v>35</v>
      </c>
      <c r="D15" s="3">
        <v>56</v>
      </c>
      <c r="E15" s="3">
        <f>IF(ISERROR(VLOOKUP($A15,'NonXtal_SegEnds_BW#'!$A:$Z,4,FALSE)+VLOOKUP($A15,A:AL,4,FALSE)-50),"-",(VLOOKUP($A15,'NonXtal_SegEnds_BW#'!$A:$Z,4,FALSE)+VLOOKUP($A15,A:AL,4,FALSE)-50))</f>
        <v>66</v>
      </c>
      <c r="F15" s="3">
        <f t="shared" si="0"/>
        <v>67</v>
      </c>
      <c r="G15" s="3">
        <v>69</v>
      </c>
      <c r="H15" s="3">
        <f t="shared" si="1"/>
        <v>70</v>
      </c>
      <c r="I15" s="3">
        <f t="shared" si="1"/>
        <v>71</v>
      </c>
      <c r="J15" s="3">
        <v>84</v>
      </c>
      <c r="K15" s="3">
        <f>VLOOKUP($A15,'NonXtal_SegEnds_BW#'!$A:$Z,8,FALSE)+VLOOKUP($A15,A:AL,10,FALSE)-50</f>
        <v>101</v>
      </c>
      <c r="L15" s="3">
        <f t="shared" si="18"/>
        <v>103</v>
      </c>
      <c r="M15" s="3">
        <v>104</v>
      </c>
      <c r="N15" s="3">
        <f t="shared" si="19"/>
        <v>106</v>
      </c>
      <c r="O15" s="3">
        <f t="shared" si="20"/>
        <v>107</v>
      </c>
      <c r="P15" s="3">
        <v>136</v>
      </c>
      <c r="Q15" s="3">
        <f>VLOOKUP($A15,'NonXtal_SegEnds_BW#'!$A:$Z,12,FALSE)+VLOOKUP($A15,A:AL,16,FALSE)-50</f>
        <v>142</v>
      </c>
      <c r="R15" s="3">
        <f>IF(ISERROR(VLOOKUP($A15,'NonXtal_SegEnds_BW#'!$A:$Z,13,FALSE)+VLOOKUP($A15,A:AL,19,FALSE)-50),"-",VLOOKUP($A15,'NonXtal_SegEnds_BW#'!$A:$Z,13,FALSE)+VLOOKUP($A15,A:AL,19,FALSE)-50)</f>
        <v>143</v>
      </c>
      <c r="S15" s="3">
        <v>143</v>
      </c>
      <c r="T15" s="3">
        <f>IF(ISERROR(VLOOKUP($A15,'NonXtal_SegEnds_BW#'!$A:$Z,14,FALSE)+VLOOKUP($A15,A:AL,19,FALSE)-50),"-",(VLOOKUP($A15,'NonXtal_SegEnds_BW#'!$A:$Z,14,FALSE)+VLOOKUP($A15,A:AL,19,FALSE)-50))</f>
        <v>150</v>
      </c>
      <c r="U15" s="3">
        <f>IF(ISERROR(VLOOKUP($A15,'NonXtal_SegEnds_BW#'!$A:$Z,15,FALSE)+VLOOKUP($A15,A:AL,22,FALSE)-50),"-",VLOOKUP($A15,'NonXtal_SegEnds_BW#'!$A:$Z,15,FALSE)+VLOOKUP($A15,A:AL,22,FALSE)-50)</f>
        <v>152</v>
      </c>
      <c r="V15" s="3">
        <v>163</v>
      </c>
      <c r="W15" s="3">
        <f>IF(ISERROR(VLOOKUP($A15,'NonXtal_SegEnds_BW#'!$A:$Z,16,FALSE)+VLOOKUP($A15,A:AL,22,FALSE)-50),"-",(VLOOKUP($A15,'NonXtal_SegEnds_BW#'!$A:$Z,16,FALSE)+VLOOKUP($A15,A:AL,22,FALSE)-50))</f>
        <v>176</v>
      </c>
      <c r="X15" s="3">
        <f>IF(ISERROR(VLOOKUP($A15,'NonXtal_SegEnds_BW#'!$A:$Z,17,FALSE)+VLOOKUP($A15,A:AL,25,FALSE)-50),"-",(VLOOKUP($A15,'NonXtal_SegEnds_BW#'!$A:$Z,17,FALSE)+VLOOKUP($A15,A:AL,25,FALSE)-50))</f>
        <v>188</v>
      </c>
      <c r="Y15" s="3">
        <v>188</v>
      </c>
      <c r="Z15" s="3">
        <f t="shared" si="21"/>
        <v>190</v>
      </c>
      <c r="AA15" s="3">
        <f>IF(ISERROR(VLOOKUP($A15,'NonXtal_SegEnds_BW#'!$A:$Z,19,FALSE)+VLOOKUP($A15,A:AL,28,FALSE)-50),"-",(VLOOKUP($A15,'NonXtal_SegEnds_BW#'!$A:$Z,19,FALSE)+VLOOKUP($A15,A:AL,28,FALSE)-50))</f>
        <v>194</v>
      </c>
      <c r="AB15" s="3">
        <v>209</v>
      </c>
      <c r="AC15" s="3">
        <f>IF(ISERROR((VLOOKUP($A15,'NonXtal_SegEnds_BW#'!$A:$Z,20,FALSE)+VLOOKUP($A15,A:AL,28,FALSE)-50)),"-",(VLOOKUP($A15,'NonXtal_SegEnds_BW#'!$A:$Z,20,FALSE)+VLOOKUP($A15,A:AL,28,FALSE)-50))</f>
        <v>233</v>
      </c>
      <c r="AD15" s="3">
        <f>IF(ISERROR(VLOOKUP($A15,'NonXtal_SegEnds_BW#'!$A:$Z,21,FALSE)+VLOOKUP($A15,A:AL,31,FALSE)-50),"-",(VLOOKUP($A15,'NonXtal_SegEnds_BW#'!$A:$Z,21,FALSE)+VLOOKUP($A15,A:AL,31,FALSE)-50))</f>
        <v>290</v>
      </c>
      <c r="AE15" s="3">
        <v>316</v>
      </c>
      <c r="AF15" s="3">
        <f>IF(ISERROR((VLOOKUP($A15,'NonXtal_SegEnds_BW#'!$A:$Z,22,FALSE)+VLOOKUP($A15,A:AL,31,FALSE)-50)),"-",(VLOOKUP($A15,'NonXtal_SegEnds_BW#'!$A:$Z,22,FALSE)+VLOOKUP($A15,A:AL,31,FALSE)-50))</f>
        <v>326</v>
      </c>
      <c r="AG15" s="3">
        <f>IF(ISERROR(VLOOKUP($A15,'NonXtal_SegEnds_BW#'!$A:$Z,23,FALSE)+VLOOKUP($A15,A:AL,34,FALSE)-50),"-",(VLOOKUP($A15,'NonXtal_SegEnds_BW#'!$A:$Z,23,FALSE)+VLOOKUP($A15,A:AL,34,FALSE)-50))</f>
        <v>334</v>
      </c>
      <c r="AH15" s="3">
        <v>353</v>
      </c>
      <c r="AI15" s="3">
        <f>IF(ISERROR((VLOOKUP($A15,'NonXtal_SegEnds_BW#'!$A:$Z,24,FALSE)+VLOOKUP($A15,A:AL,34,FALSE)-50)),"-",(VLOOKUP($A15,'NonXtal_SegEnds_BW#'!$A:$Z,24,FALSE)+VLOOKUP($A15,A:AL,34,FALSE)-50))</f>
        <v>359</v>
      </c>
      <c r="AJ15" s="3">
        <f>IF(ISERROR(VLOOKUP($A15,'NonXtal_SegEnds_BW#'!$A:$Z,25,FALSE)+VLOOKUP($A15,A:AL,37,FALSE)-50),"-",(VLOOKUP($A15,'NonXtal_SegEnds_BW#'!$A:$Z,25,FALSE)+VLOOKUP($A15,A:AL,37,FALSE)-50))</f>
        <v>360</v>
      </c>
      <c r="AK15" s="3">
        <v>363</v>
      </c>
      <c r="AL15" s="3">
        <f>IF(ISERROR((VLOOKUP($A15,'NonXtal_SegEnds_BW#'!$A:$Z,26,FALSE)+VLOOKUP($A15,A:AL,37,FALSE)-50)),"-",(VLOOKUP($A15,'NonXtal_SegEnds_BW#'!$A:$Z,26,FALSE)+VLOOKUP($A15,A:AL,37,FALSE)-50))</f>
        <v>371</v>
      </c>
      <c r="AM15" s="71" t="str">
        <f>VLOOKUP(A15,Classification!A:B,2,FALSE)</f>
        <v>A</v>
      </c>
      <c r="AN15" s="71" t="b">
        <f t="shared" si="2"/>
        <v>1</v>
      </c>
      <c r="AO15" s="3">
        <f t="shared" si="3"/>
        <v>1</v>
      </c>
      <c r="AP15" s="3">
        <f t="shared" si="4"/>
        <v>1</v>
      </c>
      <c r="AQ15" s="3">
        <f t="shared" si="5"/>
        <v>2</v>
      </c>
      <c r="AR15" s="3">
        <f t="shared" si="6"/>
        <v>1</v>
      </c>
      <c r="AS15" s="3">
        <f t="shared" si="7"/>
        <v>1</v>
      </c>
      <c r="AT15" s="3">
        <f t="shared" si="8"/>
        <v>2</v>
      </c>
      <c r="AU15" s="3">
        <f t="shared" si="9"/>
        <v>12</v>
      </c>
      <c r="AV15" s="3">
        <f t="shared" si="10"/>
        <v>4</v>
      </c>
      <c r="AW15" s="3">
        <f t="shared" si="11"/>
        <v>57</v>
      </c>
      <c r="AX15" s="3">
        <f t="shared" si="12"/>
        <v>8</v>
      </c>
      <c r="AY15" s="3">
        <f t="shared" si="13"/>
        <v>1</v>
      </c>
      <c r="AZ15" s="3">
        <f>IF(ISERROR(LEN(VLOOKUP(A15,Seqs!A:E,2,FALSE))-AL15),"-",LEN(VLOOKUP(A15,Seqs!A:E,2,FALSE))-AL15)</f>
        <v>6</v>
      </c>
      <c r="BA15" s="35">
        <f t="shared" si="14"/>
        <v>28</v>
      </c>
      <c r="BB15" s="3">
        <f t="shared" si="15"/>
        <v>20</v>
      </c>
      <c r="BC15" s="3">
        <f t="shared" si="16"/>
        <v>28</v>
      </c>
      <c r="BD15" s="3">
        <f t="shared" si="17"/>
        <v>107</v>
      </c>
      <c r="BE15" s="3">
        <f t="shared" si="22"/>
        <v>37</v>
      </c>
    </row>
    <row r="16" spans="1:58" s="3" customFormat="1" x14ac:dyDescent="0.2">
      <c r="A16" s="3" t="s">
        <v>349</v>
      </c>
      <c r="B16" s="3" t="str">
        <f>LOWER(VLOOKUP(A16,Xtal_Templ!A:B,2,FALSE))</f>
        <v>5ht1b_human</v>
      </c>
      <c r="C16" s="3">
        <f>VLOOKUP($A16,'NonXtal_SegEnds_BW#'!$A:$Z,3,FALSE)+D16-50</f>
        <v>30</v>
      </c>
      <c r="D16" s="3">
        <v>51</v>
      </c>
      <c r="E16" s="3">
        <f>IF(ISERROR(VLOOKUP($A16,'NonXtal_SegEnds_BW#'!$A:$Z,4,FALSE)+VLOOKUP($A16,A:AL,4,FALSE)-50),"-",(VLOOKUP($A16,'NonXtal_SegEnds_BW#'!$A:$Z,4,FALSE)+VLOOKUP($A16,A:AL,4,FALSE)-50))</f>
        <v>61</v>
      </c>
      <c r="F16" s="3">
        <f t="shared" si="0"/>
        <v>62</v>
      </c>
      <c r="G16" s="3">
        <v>64</v>
      </c>
      <c r="H16" s="3">
        <f t="shared" si="1"/>
        <v>65</v>
      </c>
      <c r="I16" s="3">
        <f t="shared" si="1"/>
        <v>66</v>
      </c>
      <c r="J16" s="3">
        <v>79</v>
      </c>
      <c r="K16" s="3">
        <f>VLOOKUP($A16,'NonXtal_SegEnds_BW#'!$A:$Z,8,FALSE)+VLOOKUP($A16,A:AL,10,FALSE)-50</f>
        <v>96</v>
      </c>
      <c r="L16" s="3">
        <f t="shared" si="18"/>
        <v>98</v>
      </c>
      <c r="M16" s="3">
        <v>99</v>
      </c>
      <c r="N16" s="3">
        <f t="shared" si="19"/>
        <v>101</v>
      </c>
      <c r="O16" s="3">
        <f t="shared" si="20"/>
        <v>102</v>
      </c>
      <c r="P16" s="3">
        <v>131</v>
      </c>
      <c r="Q16" s="3">
        <f>VLOOKUP($A16,'NonXtal_SegEnds_BW#'!$A:$Z,12,FALSE)+VLOOKUP($A16,A:AL,16,FALSE)-50</f>
        <v>137</v>
      </c>
      <c r="R16" s="3">
        <f>IF(ISERROR(VLOOKUP($A16,'NonXtal_SegEnds_BW#'!$A:$Z,13,FALSE)+VLOOKUP($A16,A:AL,19,FALSE)-50),"-",VLOOKUP($A16,'NonXtal_SegEnds_BW#'!$A:$Z,13,FALSE)+VLOOKUP($A16,A:AL,19,FALSE)-50)</f>
        <v>138</v>
      </c>
      <c r="S16" s="3">
        <v>138</v>
      </c>
      <c r="T16" s="3">
        <f>IF(ISERROR(VLOOKUP($A16,'NonXtal_SegEnds_BW#'!$A:$Z,14,FALSE)+VLOOKUP($A16,A:AL,19,FALSE)-50),"-",(VLOOKUP($A16,'NonXtal_SegEnds_BW#'!$A:$Z,14,FALSE)+VLOOKUP($A16,A:AL,19,FALSE)-50))</f>
        <v>145</v>
      </c>
      <c r="U16" s="3">
        <f>IF(ISERROR(VLOOKUP($A16,'NonXtal_SegEnds_BW#'!$A:$Z,15,FALSE)+VLOOKUP($A16,A:AL,22,FALSE)-50),"-",VLOOKUP($A16,'NonXtal_SegEnds_BW#'!$A:$Z,15,FALSE)+VLOOKUP($A16,A:AL,22,FALSE)-50)</f>
        <v>147</v>
      </c>
      <c r="V16" s="3">
        <v>158</v>
      </c>
      <c r="W16" s="3">
        <f>IF(ISERROR(VLOOKUP($A16,'NonXtal_SegEnds_BW#'!$A:$Z,16,FALSE)+VLOOKUP($A16,A:AL,22,FALSE)-50),"-",(VLOOKUP($A16,'NonXtal_SegEnds_BW#'!$A:$Z,16,FALSE)+VLOOKUP($A16,A:AL,22,FALSE)-50))</f>
        <v>171</v>
      </c>
      <c r="X16" s="3">
        <f>IF(ISERROR(VLOOKUP($A16,'NonXtal_SegEnds_BW#'!$A:$Z,17,FALSE)+VLOOKUP($A16,A:AL,25,FALSE)-50),"-",(VLOOKUP($A16,'NonXtal_SegEnds_BW#'!$A:$Z,17,FALSE)+VLOOKUP($A16,A:AL,25,FALSE)-50))</f>
        <v>188</v>
      </c>
      <c r="Y16" s="3">
        <v>188</v>
      </c>
      <c r="Z16" s="3">
        <f t="shared" si="21"/>
        <v>190</v>
      </c>
      <c r="AA16" s="3">
        <f>IF(ISERROR(VLOOKUP($A16,'NonXtal_SegEnds_BW#'!$A:$Z,19,FALSE)+VLOOKUP($A16,A:AL,28,FALSE)-50),"-",(VLOOKUP($A16,'NonXtal_SegEnds_BW#'!$A:$Z,19,FALSE)+VLOOKUP($A16,A:AL,28,FALSE)-50))</f>
        <v>193</v>
      </c>
      <c r="AB16" s="3">
        <v>208</v>
      </c>
      <c r="AC16" s="3">
        <f>IF(ISERROR((VLOOKUP($A16,'NonXtal_SegEnds_BW#'!$A:$Z,20,FALSE)+VLOOKUP($A16,A:AL,28,FALSE)-50)),"-",(VLOOKUP($A16,'NonXtal_SegEnds_BW#'!$A:$Z,20,FALSE)+VLOOKUP($A16,A:AL,28,FALSE)-50))</f>
        <v>233</v>
      </c>
      <c r="AD16" s="3">
        <f>IF(ISERROR(VLOOKUP($A16,'NonXtal_SegEnds_BW#'!$A:$Z,21,FALSE)+VLOOKUP($A16,A:AL,31,FALSE)-50),"-",(VLOOKUP($A16,'NonXtal_SegEnds_BW#'!$A:$Z,21,FALSE)+VLOOKUP($A16,A:AL,31,FALSE)-50))</f>
        <v>363</v>
      </c>
      <c r="AE16" s="3">
        <v>389</v>
      </c>
      <c r="AF16" s="3">
        <f>IF(ISERROR((VLOOKUP($A16,'NonXtal_SegEnds_BW#'!$A:$Z,22,FALSE)+VLOOKUP($A16,A:AL,31,FALSE)-50)),"-",(VLOOKUP($A16,'NonXtal_SegEnds_BW#'!$A:$Z,22,FALSE)+VLOOKUP($A16,A:AL,31,FALSE)-50))</f>
        <v>400</v>
      </c>
      <c r="AG16" s="3">
        <f>IF(ISERROR(VLOOKUP($A16,'NonXtal_SegEnds_BW#'!$A:$Z,23,FALSE)+VLOOKUP($A16,A:AL,34,FALSE)-50),"-",(VLOOKUP($A16,'NonXtal_SegEnds_BW#'!$A:$Z,23,FALSE)+VLOOKUP($A16,A:AL,34,FALSE)-50))</f>
        <v>405</v>
      </c>
      <c r="AH16" s="3">
        <v>423</v>
      </c>
      <c r="AI16" s="3">
        <f>IF(ISERROR((VLOOKUP($A16,'NonXtal_SegEnds_BW#'!$A:$Z,24,FALSE)+VLOOKUP($A16,A:AL,34,FALSE)-50)),"-",(VLOOKUP($A16,'NonXtal_SegEnds_BW#'!$A:$Z,24,FALSE)+VLOOKUP($A16,A:AL,34,FALSE)-50))</f>
        <v>429</v>
      </c>
      <c r="AJ16" s="3">
        <f>IF(ISERROR(VLOOKUP($A16,'NonXtal_SegEnds_BW#'!$A:$Z,25,FALSE)+VLOOKUP($A16,A:AL,37,FALSE)-50),"-",(VLOOKUP($A16,'NonXtal_SegEnds_BW#'!$A:$Z,25,FALSE)+VLOOKUP($A16,A:AL,37,FALSE)-50))</f>
        <v>430</v>
      </c>
      <c r="AK16" s="3">
        <v>433</v>
      </c>
      <c r="AL16" s="3">
        <f>IF(ISERROR((VLOOKUP($A16,'NonXtal_SegEnds_BW#'!$A:$Z,26,FALSE)+VLOOKUP($A16,A:AL,37,FALSE)-50)),"-",(VLOOKUP($A16,'NonXtal_SegEnds_BW#'!$A:$Z,26,FALSE)+VLOOKUP($A16,A:AL,37,FALSE)-50))</f>
        <v>441</v>
      </c>
      <c r="AM16" s="71" t="str">
        <f>VLOOKUP(A16,Classification!A:B,2,FALSE)</f>
        <v>A</v>
      </c>
      <c r="AN16" s="71" t="b">
        <f t="shared" si="2"/>
        <v>1</v>
      </c>
      <c r="AO16" s="3">
        <f t="shared" si="3"/>
        <v>1</v>
      </c>
      <c r="AP16" s="3">
        <f t="shared" si="4"/>
        <v>1</v>
      </c>
      <c r="AQ16" s="3">
        <f t="shared" si="5"/>
        <v>2</v>
      </c>
      <c r="AR16" s="3">
        <f t="shared" si="6"/>
        <v>1</v>
      </c>
      <c r="AS16" s="3">
        <f t="shared" si="7"/>
        <v>1</v>
      </c>
      <c r="AT16" s="3">
        <f t="shared" si="8"/>
        <v>2</v>
      </c>
      <c r="AU16" s="3">
        <f t="shared" si="9"/>
        <v>17</v>
      </c>
      <c r="AV16" s="3">
        <f t="shared" si="10"/>
        <v>3</v>
      </c>
      <c r="AW16" s="3">
        <f t="shared" si="11"/>
        <v>130</v>
      </c>
      <c r="AX16" s="3">
        <f t="shared" si="12"/>
        <v>5</v>
      </c>
      <c r="AY16" s="3">
        <f t="shared" si="13"/>
        <v>1</v>
      </c>
      <c r="AZ16" s="3">
        <f>IF(ISERROR(LEN(VLOOKUP(A16,Seqs!A:E,2,FALSE))-AL16),"-",LEN(VLOOKUP(A16,Seqs!A:E,2,FALSE))-AL16)</f>
        <v>9</v>
      </c>
      <c r="BA16" s="35">
        <f t="shared" si="14"/>
        <v>28</v>
      </c>
      <c r="BB16" s="3">
        <f t="shared" si="15"/>
        <v>20</v>
      </c>
      <c r="BC16" s="3">
        <f t="shared" si="16"/>
        <v>28</v>
      </c>
      <c r="BD16" s="3">
        <f t="shared" si="17"/>
        <v>181</v>
      </c>
      <c r="BE16" s="3">
        <f t="shared" si="22"/>
        <v>34</v>
      </c>
    </row>
    <row r="17" spans="1:57" s="3" customFormat="1" x14ac:dyDescent="0.2">
      <c r="A17" s="3" t="s">
        <v>322</v>
      </c>
      <c r="B17" s="3" t="str">
        <f>LOWER(VLOOKUP(A17,Xtal_Templ!A:B,2,FALSE))</f>
        <v>5ht1b_human</v>
      </c>
      <c r="C17" s="3">
        <f>VLOOKUP($A17,'NonXtal_SegEnds_BW#'!$A:$Z,3,FALSE)+D17-50</f>
        <v>33</v>
      </c>
      <c r="D17" s="3">
        <v>54</v>
      </c>
      <c r="E17" s="3">
        <f>IF(ISERROR(VLOOKUP($A17,'NonXtal_SegEnds_BW#'!$A:$Z,4,FALSE)+VLOOKUP($A17,A:AL,4,FALSE)-50),"-",(VLOOKUP($A17,'NonXtal_SegEnds_BW#'!$A:$Z,4,FALSE)+VLOOKUP($A17,A:AL,4,FALSE)-50))</f>
        <v>64</v>
      </c>
      <c r="F17" s="3">
        <f t="shared" si="0"/>
        <v>65</v>
      </c>
      <c r="G17" s="3">
        <v>67</v>
      </c>
      <c r="H17" s="3">
        <f t="shared" si="1"/>
        <v>68</v>
      </c>
      <c r="I17" s="3">
        <f t="shared" si="1"/>
        <v>69</v>
      </c>
      <c r="J17" s="3">
        <v>82</v>
      </c>
      <c r="K17" s="3">
        <f>VLOOKUP($A17,'NonXtal_SegEnds_BW#'!$A:$Z,8,FALSE)+VLOOKUP($A17,A:AL,10,FALSE)-50</f>
        <v>99</v>
      </c>
      <c r="L17" s="3">
        <f t="shared" si="18"/>
        <v>101</v>
      </c>
      <c r="M17" s="3">
        <v>102</v>
      </c>
      <c r="N17" s="3">
        <f t="shared" si="19"/>
        <v>104</v>
      </c>
      <c r="O17" s="3">
        <f t="shared" si="20"/>
        <v>105</v>
      </c>
      <c r="P17" s="3">
        <v>134</v>
      </c>
      <c r="Q17" s="3">
        <f>VLOOKUP($A17,'NonXtal_SegEnds_BW#'!$A:$Z,12,FALSE)+VLOOKUP($A17,A:AL,16,FALSE)-50</f>
        <v>140</v>
      </c>
      <c r="R17" s="3">
        <f>IF(ISERROR(VLOOKUP($A17,'NonXtal_SegEnds_BW#'!$A:$Z,13,FALSE)+VLOOKUP($A17,A:AL,19,FALSE)-50),"-",VLOOKUP($A17,'NonXtal_SegEnds_BW#'!$A:$Z,13,FALSE)+VLOOKUP($A17,A:AL,19,FALSE)-50)</f>
        <v>141</v>
      </c>
      <c r="S17" s="3">
        <v>141</v>
      </c>
      <c r="T17" s="3">
        <f>IF(ISERROR(VLOOKUP($A17,'NonXtal_SegEnds_BW#'!$A:$Z,14,FALSE)+VLOOKUP($A17,A:AL,19,FALSE)-50),"-",(VLOOKUP($A17,'NonXtal_SegEnds_BW#'!$A:$Z,14,FALSE)+VLOOKUP($A17,A:AL,19,FALSE)-50))</f>
        <v>148</v>
      </c>
      <c r="U17" s="3">
        <f>IF(ISERROR(VLOOKUP($A17,'NonXtal_SegEnds_BW#'!$A:$Z,15,FALSE)+VLOOKUP($A17,A:AL,22,FALSE)-50),"-",VLOOKUP($A17,'NonXtal_SegEnds_BW#'!$A:$Z,15,FALSE)+VLOOKUP($A17,A:AL,22,FALSE)-50)</f>
        <v>150</v>
      </c>
      <c r="V17" s="3">
        <v>161</v>
      </c>
      <c r="W17" s="3">
        <f>IF(ISERROR(VLOOKUP($A17,'NonXtal_SegEnds_BW#'!$A:$Z,16,FALSE)+VLOOKUP($A17,A:AL,22,FALSE)-50),"-",(VLOOKUP($A17,'NonXtal_SegEnds_BW#'!$A:$Z,16,FALSE)+VLOOKUP($A17,A:AL,22,FALSE)-50))</f>
        <v>174</v>
      </c>
      <c r="X17" s="3">
        <f>IF(ISERROR(VLOOKUP($A17,'NonXtal_SegEnds_BW#'!$A:$Z,17,FALSE)+VLOOKUP($A17,A:AL,25,FALSE)-50),"-",(VLOOKUP($A17,'NonXtal_SegEnds_BW#'!$A:$Z,17,FALSE)+VLOOKUP($A17,A:AL,25,FALSE)-50))</f>
        <v>187</v>
      </c>
      <c r="Y17" s="3">
        <v>187</v>
      </c>
      <c r="Z17" s="3">
        <f t="shared" si="21"/>
        <v>189</v>
      </c>
      <c r="AA17" s="3">
        <f>IF(ISERROR(VLOOKUP($A17,'NonXtal_SegEnds_BW#'!$A:$Z,19,FALSE)+VLOOKUP($A17,A:AL,28,FALSE)-50),"-",(VLOOKUP($A17,'NonXtal_SegEnds_BW#'!$A:$Z,19,FALSE)+VLOOKUP($A17,A:AL,28,FALSE)-50))</f>
        <v>192</v>
      </c>
      <c r="AB17" s="3">
        <v>207</v>
      </c>
      <c r="AC17" s="3">
        <f>IF(ISERROR((VLOOKUP($A17,'NonXtal_SegEnds_BW#'!$A:$Z,20,FALSE)+VLOOKUP($A17,A:AL,28,FALSE)-50)),"-",(VLOOKUP($A17,'NonXtal_SegEnds_BW#'!$A:$Z,20,FALSE)+VLOOKUP($A17,A:AL,28,FALSE)-50))</f>
        <v>233</v>
      </c>
      <c r="AD17" s="3">
        <f>IF(ISERROR(VLOOKUP($A17,'NonXtal_SegEnds_BW#'!$A:$Z,21,FALSE)+VLOOKUP($A17,A:AL,31,FALSE)-50),"-",(VLOOKUP($A17,'NonXtal_SegEnds_BW#'!$A:$Z,21,FALSE)+VLOOKUP($A17,A:AL,31,FALSE)-50))</f>
        <v>334</v>
      </c>
      <c r="AE17" s="3">
        <v>360</v>
      </c>
      <c r="AF17" s="3">
        <f>IF(ISERROR((VLOOKUP($A17,'NonXtal_SegEnds_BW#'!$A:$Z,22,FALSE)+VLOOKUP($A17,A:AL,31,FALSE)-50)),"-",(VLOOKUP($A17,'NonXtal_SegEnds_BW#'!$A:$Z,22,FALSE)+VLOOKUP($A17,A:AL,31,FALSE)-50))</f>
        <v>370</v>
      </c>
      <c r="AG17" s="3">
        <f>IF(ISERROR(VLOOKUP($A17,'NonXtal_SegEnds_BW#'!$A:$Z,23,FALSE)+VLOOKUP($A17,A:AL,34,FALSE)-50),"-",(VLOOKUP($A17,'NonXtal_SegEnds_BW#'!$A:$Z,23,FALSE)+VLOOKUP($A17,A:AL,34,FALSE)-50))</f>
        <v>378</v>
      </c>
      <c r="AH17" s="3">
        <v>397</v>
      </c>
      <c r="AI17" s="3">
        <f>IF(ISERROR((VLOOKUP($A17,'NonXtal_SegEnds_BW#'!$A:$Z,24,FALSE)+VLOOKUP($A17,A:AL,34,FALSE)-50)),"-",(VLOOKUP($A17,'NonXtal_SegEnds_BW#'!$A:$Z,24,FALSE)+VLOOKUP($A17,A:AL,34,FALSE)-50))</f>
        <v>403</v>
      </c>
      <c r="AJ17" s="3">
        <f>IF(ISERROR(VLOOKUP($A17,'NonXtal_SegEnds_BW#'!$A:$Z,25,FALSE)+VLOOKUP($A17,A:AL,37,FALSE)-50),"-",(VLOOKUP($A17,'NonXtal_SegEnds_BW#'!$A:$Z,25,FALSE)+VLOOKUP($A17,A:AL,37,FALSE)-50))</f>
        <v>404</v>
      </c>
      <c r="AK17" s="3">
        <v>407</v>
      </c>
      <c r="AL17" s="3">
        <f>IF(ISERROR((VLOOKUP($A17,'NonXtal_SegEnds_BW#'!$A:$Z,26,FALSE)+VLOOKUP($A17,A:AL,37,FALSE)-50)),"-",(VLOOKUP($A17,'NonXtal_SegEnds_BW#'!$A:$Z,26,FALSE)+VLOOKUP($A17,A:AL,37,FALSE)-50))</f>
        <v>415</v>
      </c>
      <c r="AM17" s="71" t="str">
        <f>VLOOKUP(A17,Classification!A:B,2,FALSE)</f>
        <v>A</v>
      </c>
      <c r="AN17" s="71" t="b">
        <f t="shared" si="2"/>
        <v>1</v>
      </c>
      <c r="AO17" s="3">
        <f t="shared" si="3"/>
        <v>1</v>
      </c>
      <c r="AP17" s="3">
        <f t="shared" si="4"/>
        <v>1</v>
      </c>
      <c r="AQ17" s="3">
        <f t="shared" si="5"/>
        <v>2</v>
      </c>
      <c r="AR17" s="3">
        <f t="shared" si="6"/>
        <v>1</v>
      </c>
      <c r="AS17" s="3">
        <f t="shared" si="7"/>
        <v>1</v>
      </c>
      <c r="AT17" s="3">
        <f t="shared" si="8"/>
        <v>2</v>
      </c>
      <c r="AU17" s="3">
        <f t="shared" si="9"/>
        <v>13</v>
      </c>
      <c r="AV17" s="3">
        <f t="shared" si="10"/>
        <v>3</v>
      </c>
      <c r="AW17" s="3">
        <f t="shared" si="11"/>
        <v>101</v>
      </c>
      <c r="AX17" s="3">
        <f t="shared" si="12"/>
        <v>8</v>
      </c>
      <c r="AY17" s="3">
        <f t="shared" si="13"/>
        <v>1</v>
      </c>
      <c r="AZ17" s="3">
        <f>IF(ISERROR(LEN(VLOOKUP(A17,Seqs!A:E,2,FALSE))-AL17),"-",LEN(VLOOKUP(A17,Seqs!A:E,2,FALSE))-AL17)</f>
        <v>7</v>
      </c>
      <c r="BA17" s="35">
        <f t="shared" si="14"/>
        <v>28</v>
      </c>
      <c r="BB17" s="3">
        <f t="shared" si="15"/>
        <v>20</v>
      </c>
      <c r="BC17" s="3">
        <f t="shared" si="16"/>
        <v>28</v>
      </c>
      <c r="BD17" s="3">
        <f t="shared" si="17"/>
        <v>153</v>
      </c>
      <c r="BE17" s="3">
        <f t="shared" si="22"/>
        <v>37</v>
      </c>
    </row>
    <row r="18" spans="1:57" s="3" customFormat="1" x14ac:dyDescent="0.2">
      <c r="A18" s="3" t="s">
        <v>421</v>
      </c>
      <c r="B18" s="3" t="str">
        <f>LOWER(VLOOKUP(A18,Xtal_Templ!A:B,2,FALSE))</f>
        <v>5ht1b_human</v>
      </c>
      <c r="C18" s="3">
        <f>VLOOKUP($A18,'NonXtal_SegEnds_BW#'!$A:$Z,3,FALSE)+D18-50</f>
        <v>24</v>
      </c>
      <c r="D18" s="3">
        <v>45</v>
      </c>
      <c r="E18" s="3">
        <f>IF(ISERROR(VLOOKUP($A18,'NonXtal_SegEnds_BW#'!$A:$Z,4,FALSE)+VLOOKUP($A18,A:AL,4,FALSE)-50),"-",(VLOOKUP($A18,'NonXtal_SegEnds_BW#'!$A:$Z,4,FALSE)+VLOOKUP($A18,A:AL,4,FALSE)-50))</f>
        <v>55</v>
      </c>
      <c r="F18" s="3">
        <f t="shared" si="0"/>
        <v>56</v>
      </c>
      <c r="G18" s="3">
        <v>58</v>
      </c>
      <c r="H18" s="3">
        <f t="shared" si="1"/>
        <v>59</v>
      </c>
      <c r="I18" s="3">
        <f t="shared" si="1"/>
        <v>60</v>
      </c>
      <c r="J18" s="3">
        <v>73</v>
      </c>
      <c r="K18" s="3">
        <f>VLOOKUP($A18,'NonXtal_SegEnds_BW#'!$A:$Z,8,FALSE)+VLOOKUP($A18,A:AL,10,FALSE)-50</f>
        <v>90</v>
      </c>
      <c r="L18" s="3">
        <f t="shared" si="18"/>
        <v>92</v>
      </c>
      <c r="M18" s="3">
        <v>93</v>
      </c>
      <c r="N18" s="3">
        <f t="shared" si="19"/>
        <v>95</v>
      </c>
      <c r="O18" s="3">
        <f t="shared" si="20"/>
        <v>96</v>
      </c>
      <c r="P18" s="3">
        <v>125</v>
      </c>
      <c r="Q18" s="3">
        <f>VLOOKUP($A18,'NonXtal_SegEnds_BW#'!$A:$Z,12,FALSE)+VLOOKUP($A18,A:AL,16,FALSE)-50</f>
        <v>131</v>
      </c>
      <c r="R18" s="3">
        <f>IF(ISERROR(VLOOKUP($A18,'NonXtal_SegEnds_BW#'!$A:$Z,13,FALSE)+VLOOKUP($A18,A:AL,19,FALSE)-50),"-",VLOOKUP($A18,'NonXtal_SegEnds_BW#'!$A:$Z,13,FALSE)+VLOOKUP($A18,A:AL,19,FALSE)-50)</f>
        <v>132</v>
      </c>
      <c r="S18" s="3">
        <v>132</v>
      </c>
      <c r="T18" s="3">
        <f>IF(ISERROR(VLOOKUP($A18,'NonXtal_SegEnds_BW#'!$A:$Z,14,FALSE)+VLOOKUP($A18,A:AL,19,FALSE)-50),"-",(VLOOKUP($A18,'NonXtal_SegEnds_BW#'!$A:$Z,14,FALSE)+VLOOKUP($A18,A:AL,19,FALSE)-50))</f>
        <v>139</v>
      </c>
      <c r="U18" s="3">
        <f>IF(ISERROR(VLOOKUP($A18,'NonXtal_SegEnds_BW#'!$A:$Z,15,FALSE)+VLOOKUP($A18,A:AL,22,FALSE)-50),"-",VLOOKUP($A18,'NonXtal_SegEnds_BW#'!$A:$Z,15,FALSE)+VLOOKUP($A18,A:AL,22,FALSE)-50)</f>
        <v>141</v>
      </c>
      <c r="V18" s="3">
        <v>152</v>
      </c>
      <c r="W18" s="3">
        <f>IF(ISERROR(VLOOKUP($A18,'NonXtal_SegEnds_BW#'!$A:$Z,16,FALSE)+VLOOKUP($A18,A:AL,22,FALSE)-50),"-",(VLOOKUP($A18,'NonXtal_SegEnds_BW#'!$A:$Z,16,FALSE)+VLOOKUP($A18,A:AL,22,FALSE)-50))</f>
        <v>165</v>
      </c>
      <c r="X18" s="3">
        <f>IF(ISERROR(VLOOKUP($A18,'NonXtal_SegEnds_BW#'!$A:$Z,17,FALSE)+VLOOKUP($A18,A:AL,25,FALSE)-50),"-",(VLOOKUP($A18,'NonXtal_SegEnds_BW#'!$A:$Z,17,FALSE)+VLOOKUP($A18,A:AL,25,FALSE)-50))</f>
        <v>178</v>
      </c>
      <c r="Y18" s="3">
        <v>178</v>
      </c>
      <c r="Z18" s="3">
        <f t="shared" si="21"/>
        <v>180</v>
      </c>
      <c r="AA18" s="3">
        <f>IF(ISERROR(VLOOKUP($A18,'NonXtal_SegEnds_BW#'!$A:$Z,19,FALSE)+VLOOKUP($A18,A:AL,28,FALSE)-50),"-",(VLOOKUP($A18,'NonXtal_SegEnds_BW#'!$A:$Z,19,FALSE)+VLOOKUP($A18,A:AL,28,FALSE)-50))</f>
        <v>185</v>
      </c>
      <c r="AB18" s="3">
        <v>200</v>
      </c>
      <c r="AC18" s="3">
        <f>IF(ISERROR((VLOOKUP($A18,'NonXtal_SegEnds_BW#'!$A:$Z,20,FALSE)+VLOOKUP($A18,A:AL,28,FALSE)-50)),"-",(VLOOKUP($A18,'NonXtal_SegEnds_BW#'!$A:$Z,20,FALSE)+VLOOKUP($A18,A:AL,28,FALSE)-50))</f>
        <v>226</v>
      </c>
      <c r="AD18" s="3">
        <f>IF(ISERROR(VLOOKUP($A18,'NonXtal_SegEnds_BW#'!$A:$Z,21,FALSE)+VLOOKUP($A18,A:AL,31,FALSE)-50),"-",(VLOOKUP($A18,'NonXtal_SegEnds_BW#'!$A:$Z,21,FALSE)+VLOOKUP($A18,A:AL,31,FALSE)-50))</f>
        <v>259</v>
      </c>
      <c r="AE18" s="3">
        <v>285</v>
      </c>
      <c r="AF18" s="3">
        <f>IF(ISERROR((VLOOKUP($A18,'NonXtal_SegEnds_BW#'!$A:$Z,22,FALSE)+VLOOKUP($A18,A:AL,31,FALSE)-50)),"-",(VLOOKUP($A18,'NonXtal_SegEnds_BW#'!$A:$Z,22,FALSE)+VLOOKUP($A18,A:AL,31,FALSE)-50))</f>
        <v>296</v>
      </c>
      <c r="AG18" s="3">
        <f>IF(ISERROR(VLOOKUP($A18,'NonXtal_SegEnds_BW#'!$A:$Z,23,FALSE)+VLOOKUP($A18,A:AL,34,FALSE)-50),"-",(VLOOKUP($A18,'NonXtal_SegEnds_BW#'!$A:$Z,23,FALSE)+VLOOKUP($A18,A:AL,34,FALSE)-50))</f>
        <v>302</v>
      </c>
      <c r="AH18" s="3">
        <v>321</v>
      </c>
      <c r="AI18" s="3">
        <f>IF(ISERROR((VLOOKUP($A18,'NonXtal_SegEnds_BW#'!$A:$Z,24,FALSE)+VLOOKUP($A18,A:AL,34,FALSE)-50)),"-",(VLOOKUP($A18,'NonXtal_SegEnds_BW#'!$A:$Z,24,FALSE)+VLOOKUP($A18,A:AL,34,FALSE)-50))</f>
        <v>327</v>
      </c>
      <c r="AJ18" s="3">
        <f>IF(ISERROR(VLOOKUP($A18,'NonXtal_SegEnds_BW#'!$A:$Z,25,FALSE)+VLOOKUP($A18,A:AL,37,FALSE)-50),"-",(VLOOKUP($A18,'NonXtal_SegEnds_BW#'!$A:$Z,25,FALSE)+VLOOKUP($A18,A:AL,37,FALSE)-50))</f>
        <v>328</v>
      </c>
      <c r="AK18" s="3">
        <v>331</v>
      </c>
      <c r="AL18" s="3">
        <f>IF(ISERROR((VLOOKUP($A18,'NonXtal_SegEnds_BW#'!$A:$Z,26,FALSE)+VLOOKUP($A18,A:AL,37,FALSE)-50)),"-",(VLOOKUP($A18,'NonXtal_SegEnds_BW#'!$A:$Z,26,FALSE)+VLOOKUP($A18,A:AL,37,FALSE)-50))</f>
        <v>339</v>
      </c>
      <c r="AM18" s="71" t="str">
        <f>VLOOKUP(A18,Classification!A:B,2,FALSE)</f>
        <v>A</v>
      </c>
      <c r="AN18" s="71" t="b">
        <f t="shared" si="2"/>
        <v>1</v>
      </c>
      <c r="AO18" s="3">
        <f t="shared" si="3"/>
        <v>1</v>
      </c>
      <c r="AP18" s="3">
        <f t="shared" si="4"/>
        <v>1</v>
      </c>
      <c r="AQ18" s="3">
        <f t="shared" si="5"/>
        <v>2</v>
      </c>
      <c r="AR18" s="3">
        <f t="shared" si="6"/>
        <v>1</v>
      </c>
      <c r="AS18" s="3">
        <f t="shared" si="7"/>
        <v>1</v>
      </c>
      <c r="AT18" s="3">
        <f t="shared" si="8"/>
        <v>2</v>
      </c>
      <c r="AU18" s="3">
        <f t="shared" si="9"/>
        <v>13</v>
      </c>
      <c r="AV18" s="3">
        <f t="shared" si="10"/>
        <v>5</v>
      </c>
      <c r="AW18" s="3">
        <f t="shared" si="11"/>
        <v>33</v>
      </c>
      <c r="AX18" s="3">
        <f t="shared" si="12"/>
        <v>6</v>
      </c>
      <c r="AY18" s="3">
        <f t="shared" si="13"/>
        <v>1</v>
      </c>
      <c r="AZ18" s="3">
        <f>IF(ISERROR(LEN(VLOOKUP(A18,Seqs!A:E,2,FALSE))-AL18),"-",LEN(VLOOKUP(A18,Seqs!A:E,2,FALSE))-AL18)</f>
        <v>190</v>
      </c>
      <c r="BA18" s="35">
        <f t="shared" si="14"/>
        <v>28</v>
      </c>
      <c r="BB18" s="3">
        <f t="shared" si="15"/>
        <v>20</v>
      </c>
      <c r="BC18" s="3">
        <f t="shared" si="16"/>
        <v>28</v>
      </c>
      <c r="BD18" s="3">
        <f t="shared" si="17"/>
        <v>85</v>
      </c>
    </row>
    <row r="19" spans="1:57" s="3" customFormat="1" x14ac:dyDescent="0.2">
      <c r="A19" s="3" t="s">
        <v>346</v>
      </c>
      <c r="B19" s="3" t="str">
        <f>LOWER(VLOOKUP(A19,Xtal_Templ!A:B,2,FALSE))</f>
        <v>5ht1b_human</v>
      </c>
      <c r="C19" s="3">
        <f>VLOOKUP($A19,'NonXtal_SegEnds_BW#'!$A:$Z,3,FALSE)+D19-50</f>
        <v>23</v>
      </c>
      <c r="D19" s="3">
        <v>44</v>
      </c>
      <c r="E19" s="3">
        <f>IF(ISERROR(VLOOKUP($A19,'NonXtal_SegEnds_BW#'!$A:$Z,4,FALSE)+VLOOKUP($A19,A:AL,4,FALSE)-50),"-",(VLOOKUP($A19,'NonXtal_SegEnds_BW#'!$A:$Z,4,FALSE)+VLOOKUP($A19,A:AL,4,FALSE)-50))</f>
        <v>54</v>
      </c>
      <c r="F19" s="3">
        <f t="shared" si="0"/>
        <v>55</v>
      </c>
      <c r="G19" s="3">
        <v>57</v>
      </c>
      <c r="H19" s="3">
        <f t="shared" si="1"/>
        <v>58</v>
      </c>
      <c r="I19" s="3">
        <f t="shared" si="1"/>
        <v>59</v>
      </c>
      <c r="J19" s="3">
        <v>72</v>
      </c>
      <c r="K19" s="3">
        <f>VLOOKUP($A19,'NonXtal_SegEnds_BW#'!$A:$Z,8,FALSE)+VLOOKUP($A19,A:AL,10,FALSE)-50</f>
        <v>89</v>
      </c>
      <c r="L19" s="3">
        <f t="shared" si="18"/>
        <v>91</v>
      </c>
      <c r="M19" s="3">
        <v>92</v>
      </c>
      <c r="N19" s="3">
        <f t="shared" si="19"/>
        <v>94</v>
      </c>
      <c r="O19" s="3">
        <f t="shared" si="20"/>
        <v>95</v>
      </c>
      <c r="P19" s="3">
        <v>124</v>
      </c>
      <c r="Q19" s="3">
        <f>VLOOKUP($A19,'NonXtal_SegEnds_BW#'!$A:$Z,12,FALSE)+VLOOKUP($A19,A:AL,16,FALSE)-50</f>
        <v>130</v>
      </c>
      <c r="R19" s="3">
        <f>IF(ISERROR(VLOOKUP($A19,'NonXtal_SegEnds_BW#'!$A:$Z,13,FALSE)+VLOOKUP($A19,A:AL,19,FALSE)-50),"-",VLOOKUP($A19,'NonXtal_SegEnds_BW#'!$A:$Z,13,FALSE)+VLOOKUP($A19,A:AL,19,FALSE)-50)</f>
        <v>131</v>
      </c>
      <c r="S19" s="3">
        <v>131</v>
      </c>
      <c r="T19" s="3">
        <f>IF(ISERROR(VLOOKUP($A19,'NonXtal_SegEnds_BW#'!$A:$Z,14,FALSE)+VLOOKUP($A19,A:AL,19,FALSE)-50),"-",(VLOOKUP($A19,'NonXtal_SegEnds_BW#'!$A:$Z,14,FALSE)+VLOOKUP($A19,A:AL,19,FALSE)-50))</f>
        <v>138</v>
      </c>
      <c r="U19" s="3">
        <f>IF(ISERROR(VLOOKUP($A19,'NonXtal_SegEnds_BW#'!$A:$Z,15,FALSE)+VLOOKUP($A19,A:AL,22,FALSE)-50),"-",VLOOKUP($A19,'NonXtal_SegEnds_BW#'!$A:$Z,15,FALSE)+VLOOKUP($A19,A:AL,22,FALSE)-50)</f>
        <v>140</v>
      </c>
      <c r="V19" s="3">
        <v>151</v>
      </c>
      <c r="W19" s="3">
        <f>IF(ISERROR(VLOOKUP($A19,'NonXtal_SegEnds_BW#'!$A:$Z,16,FALSE)+VLOOKUP($A19,A:AL,22,FALSE)-50),"-",(VLOOKUP($A19,'NonXtal_SegEnds_BW#'!$A:$Z,16,FALSE)+VLOOKUP($A19,A:AL,22,FALSE)-50))</f>
        <v>164</v>
      </c>
      <c r="X19" s="3">
        <f>IF(ISERROR(VLOOKUP($A19,'NonXtal_SegEnds_BW#'!$A:$Z,17,FALSE)+VLOOKUP($A19,A:AL,25,FALSE)-50),"-",(VLOOKUP($A19,'NonXtal_SegEnds_BW#'!$A:$Z,17,FALSE)+VLOOKUP($A19,A:AL,25,FALSE)-50))</f>
        <v>176</v>
      </c>
      <c r="Y19" s="3">
        <v>176</v>
      </c>
      <c r="Z19" s="3">
        <f t="shared" si="21"/>
        <v>178</v>
      </c>
      <c r="AA19" s="3">
        <f>IF(ISERROR(VLOOKUP($A19,'NonXtal_SegEnds_BW#'!$A:$Z,19,FALSE)+VLOOKUP($A19,A:AL,28,FALSE)-50),"-",(VLOOKUP($A19,'NonXtal_SegEnds_BW#'!$A:$Z,19,FALSE)+VLOOKUP($A19,A:AL,28,FALSE)-50))</f>
        <v>181</v>
      </c>
      <c r="AB19" s="3">
        <v>196</v>
      </c>
      <c r="AC19" s="3">
        <f>IF(ISERROR((VLOOKUP($A19,'NonXtal_SegEnds_BW#'!$A:$Z,20,FALSE)+VLOOKUP($A19,A:AL,28,FALSE)-50)),"-",(VLOOKUP($A19,'NonXtal_SegEnds_BW#'!$A:$Z,20,FALSE)+VLOOKUP($A19,A:AL,28,FALSE)-50))</f>
        <v>222</v>
      </c>
      <c r="AD19" s="3">
        <f>IF(ISERROR(VLOOKUP($A19,'NonXtal_SegEnds_BW#'!$A:$Z,21,FALSE)+VLOOKUP($A19,A:AL,31,FALSE)-50),"-",(VLOOKUP($A19,'NonXtal_SegEnds_BW#'!$A:$Z,21,FALSE)+VLOOKUP($A19,A:AL,31,FALSE)-50))</f>
        <v>261</v>
      </c>
      <c r="AE19" s="3">
        <v>287</v>
      </c>
      <c r="AF19" s="3">
        <f>IF(ISERROR((VLOOKUP($A19,'NonXtal_SegEnds_BW#'!$A:$Z,22,FALSE)+VLOOKUP($A19,A:AL,31,FALSE)-50)),"-",(VLOOKUP($A19,'NonXtal_SegEnds_BW#'!$A:$Z,22,FALSE)+VLOOKUP($A19,A:AL,31,FALSE)-50))</f>
        <v>298</v>
      </c>
      <c r="AG19" s="3">
        <f>IF(ISERROR(VLOOKUP($A19,'NonXtal_SegEnds_BW#'!$A:$Z,23,FALSE)+VLOOKUP($A19,A:AL,34,FALSE)-50),"-",(VLOOKUP($A19,'NonXtal_SegEnds_BW#'!$A:$Z,23,FALSE)+VLOOKUP($A19,A:AL,34,FALSE)-50))</f>
        <v>304</v>
      </c>
      <c r="AH19" s="3">
        <v>323</v>
      </c>
      <c r="AI19" s="3">
        <f>IF(ISERROR((VLOOKUP($A19,'NonXtal_SegEnds_BW#'!$A:$Z,24,FALSE)+VLOOKUP($A19,A:AL,34,FALSE)-50)),"-",(VLOOKUP($A19,'NonXtal_SegEnds_BW#'!$A:$Z,24,FALSE)+VLOOKUP($A19,A:AL,34,FALSE)-50))</f>
        <v>329</v>
      </c>
      <c r="AJ19" s="3">
        <f>IF(ISERROR(VLOOKUP($A19,'NonXtal_SegEnds_BW#'!$A:$Z,25,FALSE)+VLOOKUP($A19,A:AL,37,FALSE)-50),"-",(VLOOKUP($A19,'NonXtal_SegEnds_BW#'!$A:$Z,25,FALSE)+VLOOKUP($A19,A:AL,37,FALSE)-50))</f>
        <v>330</v>
      </c>
      <c r="AK19" s="3">
        <v>333</v>
      </c>
      <c r="AL19" s="3">
        <f>IF(ISERROR((VLOOKUP($A19,'NonXtal_SegEnds_BW#'!$A:$Z,26,FALSE)+VLOOKUP($A19,A:AL,37,FALSE)-50)),"-",(VLOOKUP($A19,'NonXtal_SegEnds_BW#'!$A:$Z,26,FALSE)+VLOOKUP($A19,A:AL,37,FALSE)-50))</f>
        <v>341</v>
      </c>
      <c r="AM19" s="71" t="str">
        <f>VLOOKUP(A19,Classification!A:B,2,FALSE)</f>
        <v>A</v>
      </c>
      <c r="AN19" s="71" t="b">
        <f t="shared" si="2"/>
        <v>1</v>
      </c>
      <c r="AO19" s="3">
        <f t="shared" si="3"/>
        <v>1</v>
      </c>
      <c r="AP19" s="3">
        <f t="shared" si="4"/>
        <v>1</v>
      </c>
      <c r="AQ19" s="3">
        <f t="shared" si="5"/>
        <v>2</v>
      </c>
      <c r="AR19" s="3">
        <f t="shared" si="6"/>
        <v>1</v>
      </c>
      <c r="AS19" s="3">
        <f t="shared" si="7"/>
        <v>1</v>
      </c>
      <c r="AT19" s="3">
        <f t="shared" si="8"/>
        <v>2</v>
      </c>
      <c r="AU19" s="3">
        <f t="shared" si="9"/>
        <v>12</v>
      </c>
      <c r="AV19" s="3">
        <f t="shared" si="10"/>
        <v>3</v>
      </c>
      <c r="AW19" s="3">
        <f t="shared" si="11"/>
        <v>39</v>
      </c>
      <c r="AX19" s="3">
        <f t="shared" si="12"/>
        <v>6</v>
      </c>
      <c r="AY19" s="3">
        <f t="shared" si="13"/>
        <v>1</v>
      </c>
      <c r="AZ19" s="3">
        <f>IF(ISERROR(LEN(VLOOKUP(A19,Seqs!A:E,2,FALSE))-AL19),"-",LEN(VLOOKUP(A19,Seqs!A:E,2,FALSE))-AL19)</f>
        <v>125</v>
      </c>
      <c r="BA19" s="35">
        <f t="shared" si="14"/>
        <v>28</v>
      </c>
      <c r="BB19" s="3">
        <f t="shared" si="15"/>
        <v>20</v>
      </c>
      <c r="BC19" s="3">
        <f t="shared" si="16"/>
        <v>28</v>
      </c>
      <c r="BD19" s="3">
        <f t="shared" si="17"/>
        <v>91</v>
      </c>
    </row>
    <row r="20" spans="1:57" s="3" customFormat="1" x14ac:dyDescent="0.2">
      <c r="A20" s="3" t="s">
        <v>324</v>
      </c>
      <c r="B20" s="3" t="str">
        <f>LOWER(VLOOKUP(A20,Xtal_Templ!A:B,2,FALSE))</f>
        <v>5ht1b_human</v>
      </c>
      <c r="C20" s="3">
        <f>VLOOKUP($A20,'NonXtal_SegEnds_BW#'!$A:$Z,3,FALSE)+D20-50</f>
        <v>19</v>
      </c>
      <c r="D20" s="3">
        <v>40</v>
      </c>
      <c r="E20" s="3">
        <f>IF(ISERROR(VLOOKUP($A20,'NonXtal_SegEnds_BW#'!$A:$Z,4,FALSE)+VLOOKUP($A20,A:AL,4,FALSE)-50),"-",(VLOOKUP($A20,'NonXtal_SegEnds_BW#'!$A:$Z,4,FALSE)+VLOOKUP($A20,A:AL,4,FALSE)-50))</f>
        <v>50</v>
      </c>
      <c r="F20" s="3">
        <f t="shared" si="0"/>
        <v>51</v>
      </c>
      <c r="G20" s="3">
        <v>53</v>
      </c>
      <c r="H20" s="3">
        <f t="shared" si="1"/>
        <v>54</v>
      </c>
      <c r="I20" s="3">
        <f t="shared" si="1"/>
        <v>55</v>
      </c>
      <c r="J20" s="3">
        <v>68</v>
      </c>
      <c r="K20" s="3">
        <f>VLOOKUP($A20,'NonXtal_SegEnds_BW#'!$A:$Z,8,FALSE)+VLOOKUP($A20,A:AL,10,FALSE)-50</f>
        <v>85</v>
      </c>
      <c r="L20" s="3">
        <f t="shared" si="18"/>
        <v>87</v>
      </c>
      <c r="M20" s="3">
        <v>88</v>
      </c>
      <c r="N20" s="3">
        <f t="shared" si="19"/>
        <v>90</v>
      </c>
      <c r="O20" s="3">
        <f t="shared" si="20"/>
        <v>91</v>
      </c>
      <c r="P20" s="3">
        <v>120</v>
      </c>
      <c r="Q20" s="3">
        <f>VLOOKUP($A20,'NonXtal_SegEnds_BW#'!$A:$Z,12,FALSE)+VLOOKUP($A20,A:AL,16,FALSE)-50</f>
        <v>126</v>
      </c>
      <c r="R20" s="3">
        <f>IF(ISERROR(VLOOKUP($A20,'NonXtal_SegEnds_BW#'!$A:$Z,13,FALSE)+VLOOKUP($A20,A:AL,19,FALSE)-50),"-",VLOOKUP($A20,'NonXtal_SegEnds_BW#'!$A:$Z,13,FALSE)+VLOOKUP($A20,A:AL,19,FALSE)-50)</f>
        <v>127</v>
      </c>
      <c r="S20" s="3">
        <v>127</v>
      </c>
      <c r="T20" s="3">
        <f>IF(ISERROR(VLOOKUP($A20,'NonXtal_SegEnds_BW#'!$A:$Z,14,FALSE)+VLOOKUP($A20,A:AL,19,FALSE)-50),"-",(VLOOKUP($A20,'NonXtal_SegEnds_BW#'!$A:$Z,14,FALSE)+VLOOKUP($A20,A:AL,19,FALSE)-50))</f>
        <v>134</v>
      </c>
      <c r="U20" s="3">
        <f>IF(ISERROR(VLOOKUP($A20,'NonXtal_SegEnds_BW#'!$A:$Z,15,FALSE)+VLOOKUP($A20,A:AL,22,FALSE)-50),"-",VLOOKUP($A20,'NonXtal_SegEnds_BW#'!$A:$Z,15,FALSE)+VLOOKUP($A20,A:AL,22,FALSE)-50)</f>
        <v>136</v>
      </c>
      <c r="V20" s="3">
        <v>147</v>
      </c>
      <c r="W20" s="3">
        <f>IF(ISERROR(VLOOKUP($A20,'NonXtal_SegEnds_BW#'!$A:$Z,16,FALSE)+VLOOKUP($A20,A:AL,22,FALSE)-50),"-",(VLOOKUP($A20,'NonXtal_SegEnds_BW#'!$A:$Z,16,FALSE)+VLOOKUP($A20,A:AL,22,FALSE)-50))</f>
        <v>160</v>
      </c>
      <c r="X20" s="3">
        <f>IF(ISERROR(VLOOKUP($A20,'NonXtal_SegEnds_BW#'!$A:$Z,17,FALSE)+VLOOKUP($A20,A:AL,25,FALSE)-50),"-",(VLOOKUP($A20,'NonXtal_SegEnds_BW#'!$A:$Z,17,FALSE)+VLOOKUP($A20,A:AL,25,FALSE)-50))</f>
        <v>173</v>
      </c>
      <c r="Y20" s="3">
        <v>173</v>
      </c>
      <c r="Z20" s="3">
        <f t="shared" si="21"/>
        <v>175</v>
      </c>
      <c r="AA20" s="3">
        <f>IF(ISERROR(VLOOKUP($A20,'NonXtal_SegEnds_BW#'!$A:$Z,19,FALSE)+VLOOKUP($A20,A:AL,28,FALSE)-50),"-",(VLOOKUP($A20,'NonXtal_SegEnds_BW#'!$A:$Z,19,FALSE)+VLOOKUP($A20,A:AL,28,FALSE)-50))</f>
        <v>179</v>
      </c>
      <c r="AB20" s="3">
        <v>194</v>
      </c>
      <c r="AC20" s="3">
        <f>IF(ISERROR((VLOOKUP($A20,'NonXtal_SegEnds_BW#'!$A:$Z,20,FALSE)+VLOOKUP($A20,A:AL,28,FALSE)-50)),"-",(VLOOKUP($A20,'NonXtal_SegEnds_BW#'!$A:$Z,20,FALSE)+VLOOKUP($A20,A:AL,28,FALSE)-50))</f>
        <v>220</v>
      </c>
      <c r="AD20" s="3">
        <f>IF(ISERROR(VLOOKUP($A20,'NonXtal_SegEnds_BW#'!$A:$Z,21,FALSE)+VLOOKUP($A20,A:AL,31,FALSE)-50),"-",(VLOOKUP($A20,'NonXtal_SegEnds_BW#'!$A:$Z,21,FALSE)+VLOOKUP($A20,A:AL,31,FALSE)-50))</f>
        <v>280</v>
      </c>
      <c r="AE20" s="3">
        <v>306</v>
      </c>
      <c r="AF20" s="3">
        <f>IF(ISERROR((VLOOKUP($A20,'NonXtal_SegEnds_BW#'!$A:$Z,22,FALSE)+VLOOKUP($A20,A:AL,31,FALSE)-50)),"-",(VLOOKUP($A20,'NonXtal_SegEnds_BW#'!$A:$Z,22,FALSE)+VLOOKUP($A20,A:AL,31,FALSE)-50))</f>
        <v>317</v>
      </c>
      <c r="AG20" s="3">
        <f>IF(ISERROR(VLOOKUP($A20,'NonXtal_SegEnds_BW#'!$A:$Z,23,FALSE)+VLOOKUP($A20,A:AL,34,FALSE)-50),"-",(VLOOKUP($A20,'NonXtal_SegEnds_BW#'!$A:$Z,23,FALSE)+VLOOKUP($A20,A:AL,34,FALSE)-50))</f>
        <v>322</v>
      </c>
      <c r="AH20" s="3">
        <v>341</v>
      </c>
      <c r="AI20" s="3">
        <f>IF(ISERROR((VLOOKUP($A20,'NonXtal_SegEnds_BW#'!$A:$Z,24,FALSE)+VLOOKUP($A20,A:AL,34,FALSE)-50)),"-",(VLOOKUP($A20,'NonXtal_SegEnds_BW#'!$A:$Z,24,FALSE)+VLOOKUP($A20,A:AL,34,FALSE)-50))</f>
        <v>347</v>
      </c>
      <c r="AJ20" s="3">
        <f>IF(ISERROR(VLOOKUP($A20,'NonXtal_SegEnds_BW#'!$A:$Z,25,FALSE)+VLOOKUP($A20,A:AL,37,FALSE)-50),"-",(VLOOKUP($A20,'NonXtal_SegEnds_BW#'!$A:$Z,25,FALSE)+VLOOKUP($A20,A:AL,37,FALSE)-50))</f>
        <v>348</v>
      </c>
      <c r="AK20" s="3">
        <v>351</v>
      </c>
      <c r="AL20" s="3">
        <f>IF(ISERROR((VLOOKUP($A20,'NonXtal_SegEnds_BW#'!$A:$Z,26,FALSE)+VLOOKUP($A20,A:AL,37,FALSE)-50)),"-",(VLOOKUP($A20,'NonXtal_SegEnds_BW#'!$A:$Z,26,FALSE)+VLOOKUP($A20,A:AL,37,FALSE)-50))</f>
        <v>359</v>
      </c>
      <c r="AM20" s="71" t="str">
        <f>VLOOKUP(A20,Classification!A:B,2,FALSE)</f>
        <v>A</v>
      </c>
      <c r="AN20" s="71" t="b">
        <f t="shared" si="2"/>
        <v>1</v>
      </c>
      <c r="AO20" s="3">
        <f t="shared" si="3"/>
        <v>1</v>
      </c>
      <c r="AP20" s="3">
        <f t="shared" si="4"/>
        <v>1</v>
      </c>
      <c r="AQ20" s="3">
        <f t="shared" si="5"/>
        <v>2</v>
      </c>
      <c r="AR20" s="3">
        <f t="shared" si="6"/>
        <v>1</v>
      </c>
      <c r="AS20" s="3">
        <f t="shared" si="7"/>
        <v>1</v>
      </c>
      <c r="AT20" s="3">
        <f t="shared" si="8"/>
        <v>2</v>
      </c>
      <c r="AU20" s="3">
        <f t="shared" si="9"/>
        <v>13</v>
      </c>
      <c r="AV20" s="3">
        <f t="shared" si="10"/>
        <v>4</v>
      </c>
      <c r="AW20" s="3">
        <f t="shared" si="11"/>
        <v>60</v>
      </c>
      <c r="AX20" s="3">
        <f t="shared" si="12"/>
        <v>5</v>
      </c>
      <c r="AY20" s="3">
        <f t="shared" si="13"/>
        <v>1</v>
      </c>
      <c r="AZ20" s="3">
        <f>IF(ISERROR(LEN(VLOOKUP(A20,Seqs!A:E,2,FALSE))-AL20),"-",LEN(VLOOKUP(A20,Seqs!A:E,2,FALSE))-AL20)</f>
        <v>6</v>
      </c>
      <c r="BA20" s="35">
        <f t="shared" si="14"/>
        <v>28</v>
      </c>
      <c r="BB20" s="3">
        <f t="shared" si="15"/>
        <v>20</v>
      </c>
      <c r="BC20" s="3">
        <f t="shared" si="16"/>
        <v>28</v>
      </c>
      <c r="BD20" s="3">
        <f t="shared" si="17"/>
        <v>112</v>
      </c>
      <c r="BE20" s="3">
        <f>AH20-AE20</f>
        <v>35</v>
      </c>
    </row>
    <row r="21" spans="1:57" s="3" customFormat="1" x14ac:dyDescent="0.2">
      <c r="A21" s="3" t="s">
        <v>325</v>
      </c>
      <c r="B21" s="3" t="str">
        <f>LOWER(VLOOKUP(A21,Xtal_Templ!A:B,2,FALSE))</f>
        <v>5ht1b_human</v>
      </c>
      <c r="C21" s="3">
        <f>VLOOKUP($A21,'NonXtal_SegEnds_BW#'!$A:$Z,3,FALSE)+D21-50</f>
        <v>20</v>
      </c>
      <c r="D21" s="3">
        <v>41</v>
      </c>
      <c r="E21" s="3">
        <f>IF(ISERROR(VLOOKUP($A21,'NonXtal_SegEnds_BW#'!$A:$Z,4,FALSE)+VLOOKUP($A21,A:AL,4,FALSE)-50),"-",(VLOOKUP($A21,'NonXtal_SegEnds_BW#'!$A:$Z,4,FALSE)+VLOOKUP($A21,A:AL,4,FALSE)-50))</f>
        <v>51</v>
      </c>
      <c r="F21" s="3">
        <f t="shared" si="0"/>
        <v>52</v>
      </c>
      <c r="G21" s="3">
        <v>54</v>
      </c>
      <c r="H21" s="3">
        <f t="shared" si="1"/>
        <v>55</v>
      </c>
      <c r="I21" s="3">
        <f t="shared" si="1"/>
        <v>56</v>
      </c>
      <c r="J21" s="3">
        <v>69</v>
      </c>
      <c r="K21" s="3">
        <f>VLOOKUP($A21,'NonXtal_SegEnds_BW#'!$A:$Z,8,FALSE)+VLOOKUP($A21,A:AL,10,FALSE)-50</f>
        <v>86</v>
      </c>
      <c r="L21" s="3">
        <f t="shared" si="18"/>
        <v>88</v>
      </c>
      <c r="M21" s="3">
        <v>89</v>
      </c>
      <c r="N21" s="3">
        <f t="shared" si="19"/>
        <v>91</v>
      </c>
      <c r="O21" s="3">
        <f t="shared" si="20"/>
        <v>92</v>
      </c>
      <c r="P21" s="3">
        <v>121</v>
      </c>
      <c r="Q21" s="3">
        <f>VLOOKUP($A21,'NonXtal_SegEnds_BW#'!$A:$Z,12,FALSE)+VLOOKUP($A21,A:AL,16,FALSE)-50</f>
        <v>127</v>
      </c>
      <c r="R21" s="3">
        <f>IF(ISERROR(VLOOKUP($A21,'NonXtal_SegEnds_BW#'!$A:$Z,13,FALSE)+VLOOKUP($A21,A:AL,19,FALSE)-50),"-",VLOOKUP($A21,'NonXtal_SegEnds_BW#'!$A:$Z,13,FALSE)+VLOOKUP($A21,A:AL,19,FALSE)-50)</f>
        <v>128</v>
      </c>
      <c r="S21" s="3">
        <v>128</v>
      </c>
      <c r="T21" s="3">
        <f>IF(ISERROR(VLOOKUP($A21,'NonXtal_SegEnds_BW#'!$A:$Z,14,FALSE)+VLOOKUP($A21,A:AL,19,FALSE)-50),"-",(VLOOKUP($A21,'NonXtal_SegEnds_BW#'!$A:$Z,14,FALSE)+VLOOKUP($A21,A:AL,19,FALSE)-50))</f>
        <v>135</v>
      </c>
      <c r="U21" s="3">
        <f>IF(ISERROR(VLOOKUP($A21,'NonXtal_SegEnds_BW#'!$A:$Z,15,FALSE)+VLOOKUP($A21,A:AL,22,FALSE)-50),"-",VLOOKUP($A21,'NonXtal_SegEnds_BW#'!$A:$Z,15,FALSE)+VLOOKUP($A21,A:AL,22,FALSE)-50)</f>
        <v>137</v>
      </c>
      <c r="V21" s="3">
        <v>148</v>
      </c>
      <c r="W21" s="3">
        <f>IF(ISERROR(VLOOKUP($A21,'NonXtal_SegEnds_BW#'!$A:$Z,16,FALSE)+VLOOKUP($A21,A:AL,22,FALSE)-50),"-",(VLOOKUP($A21,'NonXtal_SegEnds_BW#'!$A:$Z,16,FALSE)+VLOOKUP($A21,A:AL,22,FALSE)-50))</f>
        <v>161</v>
      </c>
      <c r="X21" s="3">
        <f>IF(ISERROR(VLOOKUP($A21,'NonXtal_SegEnds_BW#'!$A:$Z,17,FALSE)+VLOOKUP($A21,A:AL,25,FALSE)-50),"-",(VLOOKUP($A21,'NonXtal_SegEnds_BW#'!$A:$Z,17,FALSE)+VLOOKUP($A21,A:AL,25,FALSE)-50))</f>
        <v>172</v>
      </c>
      <c r="Y21" s="3">
        <v>172</v>
      </c>
      <c r="Z21" s="3">
        <f t="shared" si="21"/>
        <v>174</v>
      </c>
      <c r="AA21" s="3">
        <f>IF(ISERROR(VLOOKUP($A21,'NonXtal_SegEnds_BW#'!$A:$Z,19,FALSE)+VLOOKUP($A21,A:AL,28,FALSE)-50),"-",(VLOOKUP($A21,'NonXtal_SegEnds_BW#'!$A:$Z,19,FALSE)+VLOOKUP($A21,A:AL,28,FALSE)-50))</f>
        <v>178</v>
      </c>
      <c r="AB21" s="3">
        <v>193</v>
      </c>
      <c r="AC21" s="3">
        <f>IF(ISERROR((VLOOKUP($A21,'NonXtal_SegEnds_BW#'!$A:$Z,20,FALSE)+VLOOKUP($A21,A:AL,28,FALSE)-50)),"-",(VLOOKUP($A21,'NonXtal_SegEnds_BW#'!$A:$Z,20,FALSE)+VLOOKUP($A21,A:AL,28,FALSE)-50))</f>
        <v>219</v>
      </c>
      <c r="AD21" s="3">
        <f>IF(ISERROR(VLOOKUP($A21,'NonXtal_SegEnds_BW#'!$A:$Z,21,FALSE)+VLOOKUP($A21,A:AL,31,FALSE)-50),"-",(VLOOKUP($A21,'NonXtal_SegEnds_BW#'!$A:$Z,21,FALSE)+VLOOKUP($A21,A:AL,31,FALSE)-50))</f>
        <v>282</v>
      </c>
      <c r="AE21" s="3">
        <v>308</v>
      </c>
      <c r="AF21" s="3">
        <f>IF(ISERROR((VLOOKUP($A21,'NonXtal_SegEnds_BW#'!$A:$Z,22,FALSE)+VLOOKUP($A21,A:AL,31,FALSE)-50)),"-",(VLOOKUP($A21,'NonXtal_SegEnds_BW#'!$A:$Z,22,FALSE)+VLOOKUP($A21,A:AL,31,FALSE)-50))</f>
        <v>319</v>
      </c>
      <c r="AG21" s="3">
        <f>IF(ISERROR(VLOOKUP($A21,'NonXtal_SegEnds_BW#'!$A:$Z,23,FALSE)+VLOOKUP($A21,A:AL,34,FALSE)-50),"-",(VLOOKUP($A21,'NonXtal_SegEnds_BW#'!$A:$Z,23,FALSE)+VLOOKUP($A21,A:AL,34,FALSE)-50))</f>
        <v>325</v>
      </c>
      <c r="AH21" s="3">
        <v>344</v>
      </c>
      <c r="AI21" s="3">
        <f>IF(ISERROR((VLOOKUP($A21,'NonXtal_SegEnds_BW#'!$A:$Z,24,FALSE)+VLOOKUP($A21,A:AL,34,FALSE)-50)),"-",(VLOOKUP($A21,'NonXtal_SegEnds_BW#'!$A:$Z,24,FALSE)+VLOOKUP($A21,A:AL,34,FALSE)-50))</f>
        <v>350</v>
      </c>
      <c r="AJ21" s="3">
        <f>IF(ISERROR(VLOOKUP($A21,'NonXtal_SegEnds_BW#'!$A:$Z,25,FALSE)+VLOOKUP($A21,A:AL,37,FALSE)-50),"-",(VLOOKUP($A21,'NonXtal_SegEnds_BW#'!$A:$Z,25,FALSE)+VLOOKUP($A21,A:AL,37,FALSE)-50))</f>
        <v>351</v>
      </c>
      <c r="AK21" s="3">
        <v>354</v>
      </c>
      <c r="AL21" s="3">
        <f>IF(ISERROR((VLOOKUP($A21,'NonXtal_SegEnds_BW#'!$A:$Z,26,FALSE)+VLOOKUP($A21,A:AL,37,FALSE)-50)),"-",(VLOOKUP($A21,'NonXtal_SegEnds_BW#'!$A:$Z,26,FALSE)+VLOOKUP($A21,A:AL,37,FALSE)-50))</f>
        <v>362</v>
      </c>
      <c r="AM21" s="71" t="str">
        <f>VLOOKUP(A21,Classification!A:B,2,FALSE)</f>
        <v>A</v>
      </c>
      <c r="AN21" s="71" t="b">
        <f t="shared" si="2"/>
        <v>1</v>
      </c>
      <c r="AO21" s="3">
        <f t="shared" si="3"/>
        <v>1</v>
      </c>
      <c r="AP21" s="3">
        <f t="shared" si="4"/>
        <v>1</v>
      </c>
      <c r="AQ21" s="3">
        <f t="shared" si="5"/>
        <v>2</v>
      </c>
      <c r="AR21" s="3">
        <f t="shared" si="6"/>
        <v>1</v>
      </c>
      <c r="AS21" s="3">
        <f t="shared" si="7"/>
        <v>1</v>
      </c>
      <c r="AT21" s="3">
        <f t="shared" si="8"/>
        <v>2</v>
      </c>
      <c r="AU21" s="3">
        <f t="shared" si="9"/>
        <v>11</v>
      </c>
      <c r="AV21" s="3">
        <f t="shared" si="10"/>
        <v>4</v>
      </c>
      <c r="AW21" s="3">
        <f t="shared" si="11"/>
        <v>63</v>
      </c>
      <c r="AX21" s="3">
        <f t="shared" si="12"/>
        <v>6</v>
      </c>
      <c r="AY21" s="3">
        <f t="shared" si="13"/>
        <v>1</v>
      </c>
      <c r="AZ21" s="3">
        <f>IF(ISERROR(LEN(VLOOKUP(A21,Seqs!A:E,2,FALSE))-AL21),"-",LEN(VLOOKUP(A21,Seqs!A:E,2,FALSE))-AL21)</f>
        <v>4</v>
      </c>
      <c r="BA21" s="35">
        <f t="shared" si="14"/>
        <v>28</v>
      </c>
      <c r="BB21" s="3">
        <f t="shared" si="15"/>
        <v>20</v>
      </c>
      <c r="BC21" s="3">
        <f t="shared" si="16"/>
        <v>28</v>
      </c>
      <c r="BD21" s="3">
        <f t="shared" si="17"/>
        <v>115</v>
      </c>
      <c r="BE21" s="3">
        <f>AH21-AE21</f>
        <v>36</v>
      </c>
    </row>
    <row r="22" spans="1:57" s="3" customFormat="1" x14ac:dyDescent="0.2">
      <c r="A22" s="3" t="s">
        <v>652</v>
      </c>
      <c r="B22" s="3" t="str">
        <f>LOWER(VLOOKUP(A22,Xtal_Templ!A:B,2,FALSE))</f>
        <v>5ht2b_human</v>
      </c>
      <c r="C22" s="3">
        <f>VLOOKUP($A22,'NonXtal_SegEnds_BW#'!$A:$Z,3,FALSE)+D22-50</f>
        <v>6</v>
      </c>
      <c r="D22" s="3">
        <v>24</v>
      </c>
      <c r="E22" s="3">
        <f>F22-1</f>
        <v>36</v>
      </c>
      <c r="F22" s="3">
        <f t="shared" si="0"/>
        <v>37</v>
      </c>
      <c r="G22" s="3">
        <v>39</v>
      </c>
      <c r="H22" s="3">
        <f t="shared" si="1"/>
        <v>40</v>
      </c>
      <c r="I22" s="3">
        <f t="shared" si="1"/>
        <v>41</v>
      </c>
      <c r="J22" s="3">
        <v>55</v>
      </c>
      <c r="K22" s="3">
        <f>VLOOKUP($A22,'NonXtal_SegEnds_BW#'!$A:$Z,8,FALSE)+VLOOKUP($A22,A:AL,10,FALSE)-50</f>
        <v>72</v>
      </c>
      <c r="L22" s="3" t="str">
        <f>IF(ISERROR(VLOOKUP($A22,'NonXtal_SegEnds_BW#'!$A:$Z,9,FALSE)+VLOOKUP($A22,A:AL,13,FALSE)-50),"-",(VLOOKUP($A22,'NonXtal_SegEnds_BW#'!$A:$Z,9,FALSE)+VLOOKUP($A22,A:AL,13,FALSE)-50))</f>
        <v>-</v>
      </c>
      <c r="M22" s="3" t="s">
        <v>129</v>
      </c>
      <c r="N22" s="3" t="str">
        <f>IF(ISERROR(VLOOKUP($A22,'NonXtal_SegEnds_BW#'!$A:$Z,10,FALSE)+VLOOKUP($A22,A:AL,13,FALSE)-50),"-",(VLOOKUP($A22,'NonXtal_SegEnds_BW#'!$A:$Z,10,FALSE)+VLOOKUP($A22,A:AL,13,FALSE)-50))</f>
        <v>-</v>
      </c>
      <c r="O22" s="3">
        <f>VLOOKUP($A22,'NonXtal_SegEnds_BW#'!$A:$Z,11,FALSE)+VLOOKUP($A22,A:AL,16,FALSE)-50</f>
        <v>75</v>
      </c>
      <c r="P22" s="3">
        <v>107</v>
      </c>
      <c r="Q22" s="3">
        <f>VLOOKUP($A22,'NonXtal_SegEnds_BW#'!$A:$Z,12,FALSE)+VLOOKUP($A22,A:AL,16,FALSE)-50</f>
        <v>113</v>
      </c>
      <c r="R22" s="3">
        <f>S22</f>
        <v>116</v>
      </c>
      <c r="S22" s="3">
        <v>116</v>
      </c>
      <c r="T22" s="3">
        <f>S22+7</f>
        <v>123</v>
      </c>
      <c r="U22" s="3">
        <f>IF(ISERROR(VLOOKUP($A22,'NonXtal_SegEnds_BW#'!$A:$Z,15,FALSE)+VLOOKUP($A22,A:AL,22,FALSE)-50),"-",VLOOKUP($A22,'NonXtal_SegEnds_BW#'!$A:$Z,15,FALSE)+VLOOKUP($A22,A:AL,22,FALSE)-50)</f>
        <v>125</v>
      </c>
      <c r="V22" s="3">
        <v>136</v>
      </c>
      <c r="W22" s="3">
        <f>IF(ISERROR(VLOOKUP($A22,'NonXtal_SegEnds_BW#'!$A:$Z,16,FALSE)+VLOOKUP($A22,A:AL,22,FALSE)-50),"-",(VLOOKUP($A22,'NonXtal_SegEnds_BW#'!$A:$Z,16,FALSE)+VLOOKUP($A22,A:AL,22,FALSE)-50))</f>
        <v>150</v>
      </c>
      <c r="X22" s="3" t="str">
        <f>IF(ISERROR(VLOOKUP($A22,'NonXtal_SegEnds_BW#'!$A:$Z,17,FALSE)+VLOOKUP($A22,A:AL,25,FALSE)-50),"-",(VLOOKUP($A22,'NonXtal_SegEnds_BW#'!$A:$Z,17,FALSE)+VLOOKUP($A22,A:AL,25,FALSE)-50))</f>
        <v>-</v>
      </c>
      <c r="Y22" s="3" t="s">
        <v>129</v>
      </c>
      <c r="Z22" s="3" t="str">
        <f>IF(ISERROR(VLOOKUP($A22,'NonXtal_SegEnds_BW#'!$A:$Z,18,FALSE)+VLOOKUP($A22,A:AL,25,FALSE)-50),"-",(VLOOKUP($A22,'NonXtal_SegEnds_BW#'!$A:$Z,18,FALSE)+VLOOKUP($A22,A:AL,25,FALSE)-50))</f>
        <v>-</v>
      </c>
      <c r="AA22" s="3">
        <f>IF(ISERROR(VLOOKUP($A22,'NonXtal_SegEnds_BW#'!$A:$Z,19,FALSE)+VLOOKUP($A22,A:AL,28,FALSE)-50),"-",(VLOOKUP($A22,'NonXtal_SegEnds_BW#'!$A:$Z,19,FALSE)+VLOOKUP($A22,A:AL,28,FALSE)-50))</f>
        <v>172</v>
      </c>
      <c r="AB22" s="3">
        <v>190</v>
      </c>
      <c r="AC22" s="3">
        <f>IF(ISERROR((VLOOKUP($A22,'NonXtal_SegEnds_BW#'!$A:$Z,20,FALSE)+VLOOKUP($A22,A:AL,28,FALSE)-50)),"-",(VLOOKUP($A22,'NonXtal_SegEnds_BW#'!$A:$Z,20,FALSE)+VLOOKUP($A22,A:AL,28,FALSE)-50))</f>
        <v>212</v>
      </c>
      <c r="AD22" s="3">
        <f>IF(ISERROR(VLOOKUP($A22,'NonXtal_SegEnds_BW#'!$A:$Z,21,FALSE)+VLOOKUP($A22,A:AL,31,FALSE)-50),"-",(VLOOKUP($A22,'NonXtal_SegEnds_BW#'!$A:$Z,21,FALSE)+VLOOKUP($A22,A:AL,31,FALSE)-50))</f>
        <v>222</v>
      </c>
      <c r="AE22" s="3">
        <v>243</v>
      </c>
      <c r="AF22" s="3">
        <f>IF(ISERROR((VLOOKUP($A22,'NonXtal_SegEnds_BW#'!$A:$Z,22,FALSE)+VLOOKUP($A22,A:AL,31,FALSE)-50)),"-",(VLOOKUP($A22,'NonXtal_SegEnds_BW#'!$A:$Z,22,FALSE)+VLOOKUP($A22,A:AL,31,FALSE)-50))</f>
        <v>254</v>
      </c>
      <c r="AG22" s="3">
        <f>IF(ISERROR(VLOOKUP($A22,'NonXtal_SegEnds_BW#'!$A:$Z,23,FALSE)+VLOOKUP($A22,A:AL,34,FALSE)-50),"-",(VLOOKUP($A22,'NonXtal_SegEnds_BW#'!$A:$Z,23,FALSE)+VLOOKUP($A22,A:AL,34,FALSE)-50))</f>
        <v>259</v>
      </c>
      <c r="AH22" s="3">
        <v>278</v>
      </c>
      <c r="AI22" s="3">
        <f>IF(ISERROR((VLOOKUP($A22,'NonXtal_SegEnds_BW#'!$A:$Z,24,FALSE)+VLOOKUP($A22,A:AL,34,FALSE)-50)),"-",(VLOOKUP($A22,'NonXtal_SegEnds_BW#'!$A:$Z,24,FALSE)+VLOOKUP($A22,A:AL,34,FALSE)-50))</f>
        <v>284</v>
      </c>
      <c r="AJ22" s="3">
        <f>IF(ISERROR(VLOOKUP($A22,'NonXtal_SegEnds_BW#'!$A:$Z,25,FALSE)+VLOOKUP($A22,A:AL,37,FALSE)-50),"-",(VLOOKUP($A22,'NonXtal_SegEnds_BW#'!$A:$Z,25,FALSE)+VLOOKUP($A22,A:AL,37,FALSE)-50))</f>
        <v>285</v>
      </c>
      <c r="AK22" s="3">
        <v>288</v>
      </c>
      <c r="AL22" s="3">
        <f>IF(ISERROR((VLOOKUP($A22,'NonXtal_SegEnds_BW#'!$A:$Z,26,FALSE)+VLOOKUP($A22,A:AL,37,FALSE)-50)),"-",(VLOOKUP($A22,'NonXtal_SegEnds_BW#'!$A:$Z,26,FALSE)+VLOOKUP($A22,A:AL,37,FALSE)-50))</f>
        <v>298</v>
      </c>
      <c r="AM22" s="71" t="str">
        <f>VLOOKUP(A22,Classification!A:B,2,FALSE)</f>
        <v>T</v>
      </c>
      <c r="AN22" s="71" t="b">
        <f t="shared" si="2"/>
        <v>1</v>
      </c>
      <c r="AO22" s="3">
        <f t="shared" si="3"/>
        <v>1</v>
      </c>
      <c r="AP22" s="3">
        <f t="shared" si="4"/>
        <v>1</v>
      </c>
      <c r="AQ22" s="3" t="str">
        <f t="shared" si="5"/>
        <v>-</v>
      </c>
      <c r="AR22" s="3" t="str">
        <f t="shared" si="6"/>
        <v>-</v>
      </c>
      <c r="AS22" s="3">
        <f t="shared" si="7"/>
        <v>3</v>
      </c>
      <c r="AT22" s="3">
        <f t="shared" si="8"/>
        <v>2</v>
      </c>
      <c r="AU22" s="3" t="str">
        <f t="shared" si="9"/>
        <v>-</v>
      </c>
      <c r="AV22" s="3" t="str">
        <f t="shared" si="10"/>
        <v>-</v>
      </c>
      <c r="AW22" s="3">
        <f t="shared" si="11"/>
        <v>10</v>
      </c>
      <c r="AX22" s="3">
        <f t="shared" si="12"/>
        <v>5</v>
      </c>
      <c r="AY22" s="3">
        <f t="shared" si="13"/>
        <v>1</v>
      </c>
      <c r="AZ22" s="3">
        <f>IF(ISERROR(LEN(VLOOKUP(A22,Seqs!A:E,2,FALSE))-AL22),"-",LEN(VLOOKUP(A22,Seqs!A:E,2,FALSE))-AL22)</f>
        <v>5</v>
      </c>
      <c r="BA22" s="35">
        <f t="shared" si="14"/>
        <v>31</v>
      </c>
      <c r="BB22" s="3">
        <f t="shared" si="15"/>
        <v>20</v>
      </c>
      <c r="BC22" s="3">
        <f t="shared" si="16"/>
        <v>31</v>
      </c>
      <c r="BD22" s="3">
        <f t="shared" si="17"/>
        <v>53</v>
      </c>
      <c r="BE22" s="3">
        <f>AH22-AE22</f>
        <v>35</v>
      </c>
    </row>
    <row r="23" spans="1:57" s="3" customFormat="1" x14ac:dyDescent="0.2">
      <c r="A23" s="3" t="s">
        <v>326</v>
      </c>
      <c r="B23" s="3" t="str">
        <f>LOWER(VLOOKUP(A23,Xtal_Templ!A:B,2,FALSE))</f>
        <v>5ht2b_human</v>
      </c>
      <c r="C23" s="3">
        <f>VLOOKUP($A23,'NonXtal_SegEnds_BW#'!$A:$Z,3,FALSE)+D23-50</f>
        <v>74</v>
      </c>
      <c r="D23" s="3">
        <v>92</v>
      </c>
      <c r="E23" s="3">
        <f>IF(ISERROR(VLOOKUP($A23,'NonXtal_SegEnds_BW#'!$A:$Z,4,FALSE)+VLOOKUP($A23,A:AL,4,FALSE)-50),"-",(VLOOKUP($A23,'NonXtal_SegEnds_BW#'!$A:$Z,4,FALSE)+VLOOKUP($A23,A:AL,4,FALSE)-50))</f>
        <v>102</v>
      </c>
      <c r="F23" s="3">
        <f t="shared" si="0"/>
        <v>103</v>
      </c>
      <c r="G23" s="3">
        <v>105</v>
      </c>
      <c r="H23" s="3">
        <f t="shared" si="1"/>
        <v>106</v>
      </c>
      <c r="I23" s="3">
        <f t="shared" si="1"/>
        <v>107</v>
      </c>
      <c r="J23" s="3">
        <v>120</v>
      </c>
      <c r="K23" s="3">
        <f>VLOOKUP($A23,'NonXtal_SegEnds_BW#'!$A:$Z,8,FALSE)+VLOOKUP($A23,A:AL,10,FALSE)-50</f>
        <v>137</v>
      </c>
      <c r="L23" s="3">
        <f>M23-1</f>
        <v>140</v>
      </c>
      <c r="M23" s="3">
        <v>141</v>
      </c>
      <c r="N23" s="3">
        <f>M23+2</f>
        <v>143</v>
      </c>
      <c r="O23" s="3">
        <f>N23+1</f>
        <v>144</v>
      </c>
      <c r="P23" s="3">
        <v>173</v>
      </c>
      <c r="Q23" s="3">
        <f>VLOOKUP($A23,'NonXtal_SegEnds_BW#'!$A:$Z,12,FALSE)+VLOOKUP($A23,A:AL,16,FALSE)-50</f>
        <v>179</v>
      </c>
      <c r="R23" s="3">
        <f>IF(ISERROR(VLOOKUP($A23,'NonXtal_SegEnds_BW#'!$A:$Z,13,FALSE)+VLOOKUP($A23,A:AL,19,FALSE)-50),"-",VLOOKUP($A23,'NonXtal_SegEnds_BW#'!$A:$Z,13,FALSE)+VLOOKUP($A23,A:AL,19,FALSE)-50)</f>
        <v>180</v>
      </c>
      <c r="S23" s="3">
        <v>180</v>
      </c>
      <c r="T23" s="3">
        <f>IF(ISERROR(VLOOKUP($A23,'NonXtal_SegEnds_BW#'!$A:$Z,14,FALSE)+VLOOKUP($A23,A:AL,19,FALSE)-50),"-",(VLOOKUP($A23,'NonXtal_SegEnds_BW#'!$A:$Z,14,FALSE)+VLOOKUP($A23,A:AL,19,FALSE)-50))</f>
        <v>187</v>
      </c>
      <c r="U23" s="3">
        <f>IF(ISERROR(VLOOKUP($A23,'NonXtal_SegEnds_BW#'!$A:$Z,15,FALSE)+VLOOKUP($A23,A:AL,22,FALSE)-50),"-",VLOOKUP($A23,'NonXtal_SegEnds_BW#'!$A:$Z,15,FALSE)+VLOOKUP($A23,A:AL,22,FALSE)-50)</f>
        <v>189</v>
      </c>
      <c r="V23" s="3">
        <v>200</v>
      </c>
      <c r="W23" s="3">
        <f>IF(ISERROR(VLOOKUP($A23,'NonXtal_SegEnds_BW#'!$A:$Z,16,FALSE)+VLOOKUP($A23,A:AL,22,FALSE)-50),"-",(VLOOKUP($A23,'NonXtal_SegEnds_BW#'!$A:$Z,16,FALSE)+VLOOKUP($A23,A:AL,22,FALSE)-50))</f>
        <v>214</v>
      </c>
      <c r="X23" s="3">
        <f>IF(ISERROR(VLOOKUP($A23,'NonXtal_SegEnds_BW#'!$A:$Z,17,FALSE)+VLOOKUP($A23,A:AL,25,FALSE)-50),"-",(VLOOKUP($A23,'NonXtal_SegEnds_BW#'!$A:$Z,17,FALSE)+VLOOKUP($A23,A:AL,25,FALSE)-50))</f>
        <v>227</v>
      </c>
      <c r="Y23" s="3">
        <v>227</v>
      </c>
      <c r="Z23" s="3">
        <f t="shared" ref="Z23:Z28" si="23">Y23+2</f>
        <v>229</v>
      </c>
      <c r="AA23" s="3">
        <f>IF(ISERROR(VLOOKUP($A23,'NonXtal_SegEnds_BW#'!$A:$Z,19,FALSE)+VLOOKUP($A23,A:AL,28,FALSE)-50),"-",(VLOOKUP($A23,'NonXtal_SegEnds_BW#'!$A:$Z,19,FALSE)+VLOOKUP($A23,A:AL,28,FALSE)-50))</f>
        <v>231</v>
      </c>
      <c r="AB23" s="3">
        <v>246</v>
      </c>
      <c r="AC23" s="3">
        <f>IF(ISERROR((VLOOKUP($A23,'NonXtal_SegEnds_BW#'!$A:$Z,20,FALSE)+VLOOKUP($A23,A:AL,28,FALSE)-50)),"-",(VLOOKUP($A23,'NonXtal_SegEnds_BW#'!$A:$Z,20,FALSE)+VLOOKUP($A23,A:AL,28,FALSE)-50))</f>
        <v>272</v>
      </c>
      <c r="AD23" s="3">
        <f>IF(ISERROR(VLOOKUP($A23,'NonXtal_SegEnds_BW#'!$A:$Z,21,FALSE)+VLOOKUP($A23,A:AL,31,FALSE)-50),"-",(VLOOKUP($A23,'NonXtal_SegEnds_BW#'!$A:$Z,21,FALSE)+VLOOKUP($A23,A:AL,31,FALSE)-50))</f>
        <v>312</v>
      </c>
      <c r="AE23" s="3">
        <v>338</v>
      </c>
      <c r="AF23" s="3">
        <f>IF(ISERROR((VLOOKUP($A23,'NonXtal_SegEnds_BW#'!$A:$Z,22,FALSE)+VLOOKUP($A23,A:AL,31,FALSE)-50)),"-",(VLOOKUP($A23,'NonXtal_SegEnds_BW#'!$A:$Z,22,FALSE)+VLOOKUP($A23,A:AL,31,FALSE)-50))</f>
        <v>349</v>
      </c>
      <c r="AG23" s="3">
        <f>IF(ISERROR(VLOOKUP($A23,'NonXtal_SegEnds_BW#'!$A:$Z,23,FALSE)+VLOOKUP($A23,A:AL,34,FALSE)-50),"-",(VLOOKUP($A23,'NonXtal_SegEnds_BW#'!$A:$Z,23,FALSE)+VLOOKUP($A23,A:AL,34,FALSE)-50))</f>
        <v>355</v>
      </c>
      <c r="AH23" s="3">
        <v>377</v>
      </c>
      <c r="AI23" s="3">
        <f>IF(ISERROR((VLOOKUP($A23,'NonXtal_SegEnds_BW#'!$A:$Z,24,FALSE)+VLOOKUP($A23,A:AL,34,FALSE)-50)),"-",(VLOOKUP($A23,'NonXtal_SegEnds_BW#'!$A:$Z,24,FALSE)+VLOOKUP($A23,A:AL,34,FALSE)-50))</f>
        <v>383</v>
      </c>
      <c r="AJ23" s="3">
        <f>IF(ISERROR(VLOOKUP($A23,'NonXtal_SegEnds_BW#'!$A:$Z,25,FALSE)+VLOOKUP($A23,A:AL,37,FALSE)-50),"-",(VLOOKUP($A23,'NonXtal_SegEnds_BW#'!$A:$Z,25,FALSE)+VLOOKUP($A23,A:AL,37,FALSE)-50))</f>
        <v>384</v>
      </c>
      <c r="AK23" s="3">
        <v>387</v>
      </c>
      <c r="AL23" s="3">
        <f>IF(ISERROR((VLOOKUP($A23,'NonXtal_SegEnds_BW#'!$A:$Z,26,FALSE)+VLOOKUP($A23,A:AL,37,FALSE)-50)),"-",(VLOOKUP($A23,'NonXtal_SegEnds_BW#'!$A:$Z,26,FALSE)+VLOOKUP($A23,A:AL,37,FALSE)-50))</f>
        <v>395</v>
      </c>
      <c r="AM23" s="71" t="str">
        <f>VLOOKUP(A23,Classification!A:B,2,FALSE)</f>
        <v>A</v>
      </c>
      <c r="AN23" s="71" t="b">
        <f t="shared" si="2"/>
        <v>1</v>
      </c>
      <c r="AO23" s="3">
        <f t="shared" si="3"/>
        <v>1</v>
      </c>
      <c r="AP23" s="3">
        <f t="shared" si="4"/>
        <v>1</v>
      </c>
      <c r="AQ23" s="3">
        <f t="shared" si="5"/>
        <v>3</v>
      </c>
      <c r="AR23" s="3">
        <f t="shared" si="6"/>
        <v>1</v>
      </c>
      <c r="AS23" s="3">
        <f t="shared" si="7"/>
        <v>1</v>
      </c>
      <c r="AT23" s="3">
        <f t="shared" si="8"/>
        <v>2</v>
      </c>
      <c r="AU23" s="3">
        <f t="shared" si="9"/>
        <v>13</v>
      </c>
      <c r="AV23" s="3">
        <f t="shared" si="10"/>
        <v>2</v>
      </c>
      <c r="AW23" s="3">
        <f t="shared" si="11"/>
        <v>40</v>
      </c>
      <c r="AX23" s="3">
        <f t="shared" si="12"/>
        <v>6</v>
      </c>
      <c r="AY23" s="3">
        <f t="shared" si="13"/>
        <v>1</v>
      </c>
      <c r="AZ23" s="3">
        <f>IF(ISERROR(LEN(VLOOKUP(A23,Seqs!A:E,2,FALSE))-AL23),"-",LEN(VLOOKUP(A23,Seqs!A:E,2,FALSE))-AL23)</f>
        <v>76</v>
      </c>
      <c r="BA23" s="35">
        <f t="shared" si="14"/>
        <v>28</v>
      </c>
      <c r="BB23" s="3">
        <f t="shared" si="15"/>
        <v>20</v>
      </c>
      <c r="BC23" s="3">
        <f t="shared" si="16"/>
        <v>28</v>
      </c>
      <c r="BD23" s="3">
        <f t="shared" si="17"/>
        <v>92</v>
      </c>
    </row>
    <row r="24" spans="1:57" s="3" customFormat="1" x14ac:dyDescent="0.2">
      <c r="A24" s="3" t="s">
        <v>209</v>
      </c>
      <c r="B24" s="3" t="str">
        <f>LOWER(VLOOKUP(A24,Xtal_Templ!A:B,2,FALSE))</f>
        <v>5ht2b_human</v>
      </c>
      <c r="C24" s="3">
        <f>VLOOKUP($A24,'NonXtal_SegEnds_BW#'!$A:$Z,3,FALSE)+D24-50</f>
        <v>54</v>
      </c>
      <c r="D24" s="3">
        <v>72</v>
      </c>
      <c r="E24" s="3">
        <f>IF(ISERROR(VLOOKUP($A24,'NonXtal_SegEnds_BW#'!$A:$Z,4,FALSE)+VLOOKUP($A24,A:AL,4,FALSE)-50),"-",(VLOOKUP($A24,'NonXtal_SegEnds_BW#'!$A:$Z,4,FALSE)+VLOOKUP($A24,A:AL,4,FALSE)-50))</f>
        <v>82</v>
      </c>
      <c r="F24" s="3">
        <f t="shared" si="0"/>
        <v>83</v>
      </c>
      <c r="G24" s="3">
        <v>85</v>
      </c>
      <c r="H24" s="3">
        <f t="shared" si="1"/>
        <v>86</v>
      </c>
      <c r="I24" s="3">
        <f t="shared" si="1"/>
        <v>87</v>
      </c>
      <c r="J24" s="3">
        <v>100</v>
      </c>
      <c r="K24" s="3">
        <f>VLOOKUP($A24,'NonXtal_SegEnds_BW#'!$A:$Z,8,FALSE)+VLOOKUP($A24,A:AL,10,FALSE)-50</f>
        <v>117</v>
      </c>
      <c r="L24" s="3">
        <f>M24-1</f>
        <v>120</v>
      </c>
      <c r="M24" s="3">
        <v>121</v>
      </c>
      <c r="N24" s="3">
        <f>M24+2</f>
        <v>123</v>
      </c>
      <c r="O24" s="3">
        <f>N24+1</f>
        <v>124</v>
      </c>
      <c r="P24" s="3">
        <v>153</v>
      </c>
      <c r="Q24" s="3">
        <f>VLOOKUP($A24,'NonXtal_SegEnds_BW#'!$A:$Z,12,FALSE)+VLOOKUP($A24,A:AL,16,FALSE)-50</f>
        <v>159</v>
      </c>
      <c r="R24" s="3">
        <f>IF(ISERROR(VLOOKUP($A24,'NonXtal_SegEnds_BW#'!$A:$Z,13,FALSE)+VLOOKUP($A24,A:AL,19,FALSE)-50),"-",VLOOKUP($A24,'NonXtal_SegEnds_BW#'!$A:$Z,13,FALSE)+VLOOKUP($A24,A:AL,19,FALSE)-50)</f>
        <v>160</v>
      </c>
      <c r="S24" s="3">
        <v>160</v>
      </c>
      <c r="T24" s="3">
        <f>IF(ISERROR(VLOOKUP($A24,'NonXtal_SegEnds_BW#'!$A:$Z,14,FALSE)+VLOOKUP($A24,A:AL,19,FALSE)-50),"-",(VLOOKUP($A24,'NonXtal_SegEnds_BW#'!$A:$Z,14,FALSE)+VLOOKUP($A24,A:AL,19,FALSE)-50))</f>
        <v>167</v>
      </c>
      <c r="U24" s="3">
        <f>IF(ISERROR(VLOOKUP($A24,'NonXtal_SegEnds_BW#'!$A:$Z,15,FALSE)+VLOOKUP($A24,A:AL,22,FALSE)-50),"-",VLOOKUP($A24,'NonXtal_SegEnds_BW#'!$A:$Z,15,FALSE)+VLOOKUP($A24,A:AL,22,FALSE)-50)</f>
        <v>169</v>
      </c>
      <c r="V24" s="3">
        <v>180</v>
      </c>
      <c r="W24" s="3">
        <f>IF(ISERROR(VLOOKUP($A24,'NonXtal_SegEnds_BW#'!$A:$Z,16,FALSE)+VLOOKUP($A24,A:AL,22,FALSE)-50),"-",(VLOOKUP($A24,'NonXtal_SegEnds_BW#'!$A:$Z,16,FALSE)+VLOOKUP($A24,A:AL,22,FALSE)-50))</f>
        <v>194</v>
      </c>
      <c r="X24" s="3">
        <f>IF(ISERROR(VLOOKUP($A24,'NonXtal_SegEnds_BW#'!$A:$Z,17,FALSE)+VLOOKUP($A24,A:AL,25,FALSE)-50),"-",(VLOOKUP($A24,'NonXtal_SegEnds_BW#'!$A:$Z,17,FALSE)+VLOOKUP($A24,A:AL,25,FALSE)-50))</f>
        <v>207</v>
      </c>
      <c r="Y24" s="3">
        <v>207</v>
      </c>
      <c r="Z24" s="3">
        <f t="shared" si="23"/>
        <v>209</v>
      </c>
      <c r="AA24" s="3">
        <f>IF(ISERROR(VLOOKUP($A24,'NonXtal_SegEnds_BW#'!$A:$Z,19,FALSE)+VLOOKUP($A24,A:AL,28,FALSE)-50),"-",(VLOOKUP($A24,'NonXtal_SegEnds_BW#'!$A:$Z,19,FALSE)+VLOOKUP($A24,A:AL,28,FALSE)-50))</f>
        <v>214</v>
      </c>
      <c r="AB24" s="3">
        <v>229</v>
      </c>
      <c r="AC24" s="3">
        <f>IF(ISERROR((VLOOKUP($A24,'NonXtal_SegEnds_BW#'!$A:$Z,20,FALSE)+VLOOKUP($A24,A:AL,28,FALSE)-50)),"-",(VLOOKUP($A24,'NonXtal_SegEnds_BW#'!$A:$Z,20,FALSE)+VLOOKUP($A24,A:AL,28,FALSE)-50))</f>
        <v>255</v>
      </c>
      <c r="AD24" s="3">
        <f>IF(ISERROR(VLOOKUP($A24,'NonXtal_SegEnds_BW#'!$A:$Z,21,FALSE)+VLOOKUP($A24,A:AL,31,FALSE)-50),"-",(VLOOKUP($A24,'NonXtal_SegEnds_BW#'!$A:$Z,21,FALSE)+VLOOKUP($A24,A:AL,31,FALSE)-50))</f>
        <v>313</v>
      </c>
      <c r="AE24" s="3">
        <v>339</v>
      </c>
      <c r="AF24" s="3">
        <f>IF(ISERROR((VLOOKUP($A24,'NonXtal_SegEnds_BW#'!$A:$Z,22,FALSE)+VLOOKUP($A24,A:AL,31,FALSE)-50)),"-",(VLOOKUP($A24,'NonXtal_SegEnds_BW#'!$A:$Z,22,FALSE)+VLOOKUP($A24,A:AL,31,FALSE)-50))</f>
        <v>350</v>
      </c>
      <c r="AG24" s="3">
        <f>IF(ISERROR(VLOOKUP($A24,'NonXtal_SegEnds_BW#'!$A:$Z,23,FALSE)+VLOOKUP($A24,A:AL,34,FALSE)-50),"-",(VLOOKUP($A24,'NonXtal_SegEnds_BW#'!$A:$Z,23,FALSE)+VLOOKUP($A24,A:AL,34,FALSE)-50))</f>
        <v>355</v>
      </c>
      <c r="AH24" s="3">
        <v>377</v>
      </c>
      <c r="AI24" s="3">
        <f>IF(ISERROR((VLOOKUP($A24,'NonXtal_SegEnds_BW#'!$A:$Z,24,FALSE)+VLOOKUP($A24,A:AL,34,FALSE)-50)),"-",(VLOOKUP($A24,'NonXtal_SegEnds_BW#'!$A:$Z,24,FALSE)+VLOOKUP($A24,A:AL,34,FALSE)-50))</f>
        <v>383</v>
      </c>
      <c r="AJ24" s="3">
        <f>IF(ISERROR(VLOOKUP($A24,'NonXtal_SegEnds_BW#'!$A:$Z,25,FALSE)+VLOOKUP($A24,A:AL,37,FALSE)-50),"-",(VLOOKUP($A24,'NonXtal_SegEnds_BW#'!$A:$Z,25,FALSE)+VLOOKUP($A24,A:AL,37,FALSE)-50))</f>
        <v>384</v>
      </c>
      <c r="AK24" s="3">
        <v>387</v>
      </c>
      <c r="AL24" s="3">
        <f>IF(ISERROR((VLOOKUP($A24,'NonXtal_SegEnds_BW#'!$A:$Z,26,FALSE)+VLOOKUP($A24,A:AL,37,FALSE)-50)),"-",(VLOOKUP($A24,'NonXtal_SegEnds_BW#'!$A:$Z,26,FALSE)+VLOOKUP($A24,A:AL,37,FALSE)-50))</f>
        <v>395</v>
      </c>
      <c r="AM24" s="71" t="str">
        <f>VLOOKUP(A24,Classification!A:B,2,FALSE)</f>
        <v>A</v>
      </c>
      <c r="AN24" s="71" t="b">
        <f t="shared" si="2"/>
        <v>1</v>
      </c>
      <c r="AO24" s="3">
        <f t="shared" si="3"/>
        <v>1</v>
      </c>
      <c r="AP24" s="3">
        <f t="shared" si="4"/>
        <v>1</v>
      </c>
      <c r="AQ24" s="3">
        <f t="shared" si="5"/>
        <v>3</v>
      </c>
      <c r="AR24" s="3">
        <f t="shared" si="6"/>
        <v>1</v>
      </c>
      <c r="AS24" s="3">
        <f t="shared" si="7"/>
        <v>1</v>
      </c>
      <c r="AT24" s="3">
        <f t="shared" si="8"/>
        <v>2</v>
      </c>
      <c r="AU24" s="3">
        <f t="shared" si="9"/>
        <v>13</v>
      </c>
      <c r="AV24" s="3">
        <f t="shared" si="10"/>
        <v>5</v>
      </c>
      <c r="AW24" s="3">
        <f t="shared" si="11"/>
        <v>58</v>
      </c>
      <c r="AX24" s="3">
        <f t="shared" si="12"/>
        <v>5</v>
      </c>
      <c r="AY24" s="3">
        <f t="shared" si="13"/>
        <v>1</v>
      </c>
      <c r="AZ24" s="3">
        <f>IF(ISERROR(LEN(VLOOKUP(A24,Seqs!A:E,2,FALSE))-AL24),"-",LEN(VLOOKUP(A24,Seqs!A:E,2,FALSE))-AL24)</f>
        <v>86</v>
      </c>
      <c r="BA24" s="35">
        <f t="shared" si="14"/>
        <v>28</v>
      </c>
      <c r="BB24" s="3">
        <f t="shared" si="15"/>
        <v>20</v>
      </c>
      <c r="BC24" s="3">
        <f t="shared" si="16"/>
        <v>28</v>
      </c>
      <c r="BD24" s="3">
        <f t="shared" si="17"/>
        <v>110</v>
      </c>
    </row>
    <row r="25" spans="1:57" s="3" customFormat="1" x14ac:dyDescent="0.2">
      <c r="A25" s="3" t="s">
        <v>327</v>
      </c>
      <c r="B25" s="3" t="str">
        <f>LOWER(VLOOKUP(A25,Xtal_Templ!A:B,2,FALSE))</f>
        <v>5ht2b_human</v>
      </c>
      <c r="C25" s="3">
        <f>VLOOKUP($A25,'NonXtal_SegEnds_BW#'!$A:$Z,3,FALSE)+D25-50</f>
        <v>53</v>
      </c>
      <c r="D25" s="3">
        <v>71</v>
      </c>
      <c r="E25" s="3">
        <f>IF(ISERROR(VLOOKUP($A25,'NonXtal_SegEnds_BW#'!$A:$Z,4,FALSE)+VLOOKUP($A25,A:AL,4,FALSE)-50),"-",(VLOOKUP($A25,'NonXtal_SegEnds_BW#'!$A:$Z,4,FALSE)+VLOOKUP($A25,A:AL,4,FALSE)-50))</f>
        <v>81</v>
      </c>
      <c r="F25" s="3">
        <f t="shared" si="0"/>
        <v>82</v>
      </c>
      <c r="G25" s="3">
        <v>84</v>
      </c>
      <c r="H25" s="3">
        <f t="shared" si="1"/>
        <v>85</v>
      </c>
      <c r="I25" s="3">
        <f t="shared" si="1"/>
        <v>86</v>
      </c>
      <c r="J25" s="3">
        <v>99</v>
      </c>
      <c r="K25" s="3">
        <f>VLOOKUP($A25,'NonXtal_SegEnds_BW#'!$A:$Z,8,FALSE)+VLOOKUP($A25,A:AL,10,FALSE)-50</f>
        <v>116</v>
      </c>
      <c r="L25" s="3">
        <f>M25-1</f>
        <v>119</v>
      </c>
      <c r="M25" s="3">
        <v>120</v>
      </c>
      <c r="N25" s="3">
        <f>M25+2</f>
        <v>122</v>
      </c>
      <c r="O25" s="3">
        <f>N25+1</f>
        <v>123</v>
      </c>
      <c r="P25" s="3">
        <v>152</v>
      </c>
      <c r="Q25" s="3">
        <f>VLOOKUP($A25,'NonXtal_SegEnds_BW#'!$A:$Z,12,FALSE)+VLOOKUP($A25,A:AL,16,FALSE)-50</f>
        <v>158</v>
      </c>
      <c r="R25" s="3">
        <f>IF(ISERROR(VLOOKUP($A25,'NonXtal_SegEnds_BW#'!$A:$Z,13,FALSE)+VLOOKUP($A25,A:AL,19,FALSE)-50),"-",VLOOKUP($A25,'NonXtal_SegEnds_BW#'!$A:$Z,13,FALSE)+VLOOKUP($A25,A:AL,19,FALSE)-50)</f>
        <v>159</v>
      </c>
      <c r="S25" s="3">
        <v>159</v>
      </c>
      <c r="T25" s="3">
        <f>IF(ISERROR(VLOOKUP($A25,'NonXtal_SegEnds_BW#'!$A:$Z,14,FALSE)+VLOOKUP($A25,A:AL,19,FALSE)-50),"-",(VLOOKUP($A25,'NonXtal_SegEnds_BW#'!$A:$Z,14,FALSE)+VLOOKUP($A25,A:AL,19,FALSE)-50))</f>
        <v>166</v>
      </c>
      <c r="U25" s="3">
        <f>IF(ISERROR(VLOOKUP($A25,'NonXtal_SegEnds_BW#'!$A:$Z,15,FALSE)+VLOOKUP($A25,A:AL,22,FALSE)-50),"-",VLOOKUP($A25,'NonXtal_SegEnds_BW#'!$A:$Z,15,FALSE)+VLOOKUP($A25,A:AL,22,FALSE)-50)</f>
        <v>168</v>
      </c>
      <c r="V25" s="3">
        <v>179</v>
      </c>
      <c r="W25" s="3">
        <f>IF(ISERROR(VLOOKUP($A25,'NonXtal_SegEnds_BW#'!$A:$Z,16,FALSE)+VLOOKUP($A25,A:AL,22,FALSE)-50),"-",(VLOOKUP($A25,'NonXtal_SegEnds_BW#'!$A:$Z,16,FALSE)+VLOOKUP($A25,A:AL,22,FALSE)-50))</f>
        <v>193</v>
      </c>
      <c r="X25" s="3">
        <f>IF(ISERROR(VLOOKUP($A25,'NonXtal_SegEnds_BW#'!$A:$Z,17,FALSE)+VLOOKUP($A25,A:AL,25,FALSE)-50),"-",(VLOOKUP($A25,'NonXtal_SegEnds_BW#'!$A:$Z,17,FALSE)+VLOOKUP($A25,A:AL,25,FALSE)-50))</f>
        <v>207</v>
      </c>
      <c r="Y25" s="3">
        <v>207</v>
      </c>
      <c r="Z25" s="3">
        <f t="shared" si="23"/>
        <v>209</v>
      </c>
      <c r="AA25" s="3">
        <f>IF(ISERROR(VLOOKUP($A25,'NonXtal_SegEnds_BW#'!$A:$Z,19,FALSE)+VLOOKUP($A25,A:AL,28,FALSE)-50),"-",(VLOOKUP($A25,'NonXtal_SegEnds_BW#'!$A:$Z,19,FALSE)+VLOOKUP($A25,A:AL,28,FALSE)-50))</f>
        <v>211</v>
      </c>
      <c r="AB25" s="3">
        <v>226</v>
      </c>
      <c r="AC25" s="3">
        <f>IF(ISERROR((VLOOKUP($A25,'NonXtal_SegEnds_BW#'!$A:$Z,20,FALSE)+VLOOKUP($A25,A:AL,28,FALSE)-50)),"-",(VLOOKUP($A25,'NonXtal_SegEnds_BW#'!$A:$Z,20,FALSE)+VLOOKUP($A25,A:AL,28,FALSE)-50))</f>
        <v>250</v>
      </c>
      <c r="AD25" s="3">
        <f>IF(ISERROR(VLOOKUP($A25,'NonXtal_SegEnds_BW#'!$A:$Z,21,FALSE)+VLOOKUP($A25,A:AL,31,FALSE)-50),"-",(VLOOKUP($A25,'NonXtal_SegEnds_BW#'!$A:$Z,21,FALSE)+VLOOKUP($A25,A:AL,31,FALSE)-50))</f>
        <v>300</v>
      </c>
      <c r="AE25" s="3">
        <v>326</v>
      </c>
      <c r="AF25" s="3">
        <f>IF(ISERROR((VLOOKUP($A25,'NonXtal_SegEnds_BW#'!$A:$Z,22,FALSE)+VLOOKUP($A25,A:AL,31,FALSE)-50)),"-",(VLOOKUP($A25,'NonXtal_SegEnds_BW#'!$A:$Z,22,FALSE)+VLOOKUP($A25,A:AL,31,FALSE)-50))</f>
        <v>337</v>
      </c>
      <c r="AG25" s="3">
        <f>IF(ISERROR(VLOOKUP($A25,'NonXtal_SegEnds_BW#'!$A:$Z,23,FALSE)+VLOOKUP($A25,A:AL,34,FALSE)-50),"-",(VLOOKUP($A25,'NonXtal_SegEnds_BW#'!$A:$Z,23,FALSE)+VLOOKUP($A25,A:AL,34,FALSE)-50))</f>
        <v>343</v>
      </c>
      <c r="AH25" s="3">
        <v>365</v>
      </c>
      <c r="AI25" s="3">
        <f>IF(ISERROR((VLOOKUP($A25,'NonXtal_SegEnds_BW#'!$A:$Z,24,FALSE)+VLOOKUP($A25,A:AL,34,FALSE)-50)),"-",(VLOOKUP($A25,'NonXtal_SegEnds_BW#'!$A:$Z,24,FALSE)+VLOOKUP($A25,A:AL,34,FALSE)-50))</f>
        <v>371</v>
      </c>
      <c r="AJ25" s="3">
        <f>IF(ISERROR(VLOOKUP($A25,'NonXtal_SegEnds_BW#'!$A:$Z,25,FALSE)+VLOOKUP($A25,A:AL,37,FALSE)-50),"-",(VLOOKUP($A25,'NonXtal_SegEnds_BW#'!$A:$Z,25,FALSE)+VLOOKUP($A25,A:AL,37,FALSE)-50))</f>
        <v>372</v>
      </c>
      <c r="AK25" s="3">
        <v>375</v>
      </c>
      <c r="AL25" s="3">
        <f>IF(ISERROR((VLOOKUP($A25,'NonXtal_SegEnds_BW#'!$A:$Z,26,FALSE)+VLOOKUP($A25,A:AL,37,FALSE)-50)),"-",(VLOOKUP($A25,'NonXtal_SegEnds_BW#'!$A:$Z,26,FALSE)+VLOOKUP($A25,A:AL,37,FALSE)-50))</f>
        <v>383</v>
      </c>
      <c r="AM25" s="71" t="str">
        <f>VLOOKUP(A25,Classification!A:B,2,FALSE)</f>
        <v>A</v>
      </c>
      <c r="AN25" s="71" t="b">
        <f t="shared" si="2"/>
        <v>1</v>
      </c>
      <c r="AO25" s="3">
        <f t="shared" si="3"/>
        <v>1</v>
      </c>
      <c r="AP25" s="3">
        <f t="shared" si="4"/>
        <v>1</v>
      </c>
      <c r="AQ25" s="3">
        <f t="shared" si="5"/>
        <v>3</v>
      </c>
      <c r="AR25" s="3">
        <f t="shared" si="6"/>
        <v>1</v>
      </c>
      <c r="AS25" s="3">
        <f t="shared" si="7"/>
        <v>1</v>
      </c>
      <c r="AT25" s="3">
        <f t="shared" si="8"/>
        <v>2</v>
      </c>
      <c r="AU25" s="3">
        <f t="shared" si="9"/>
        <v>14</v>
      </c>
      <c r="AV25" s="3">
        <f t="shared" si="10"/>
        <v>2</v>
      </c>
      <c r="AW25" s="3">
        <f t="shared" si="11"/>
        <v>50</v>
      </c>
      <c r="AX25" s="3">
        <f t="shared" si="12"/>
        <v>6</v>
      </c>
      <c r="AY25" s="3">
        <f t="shared" si="13"/>
        <v>1</v>
      </c>
      <c r="AZ25" s="3">
        <f>IF(ISERROR(LEN(VLOOKUP(A25,Seqs!A:E,2,FALSE))-AL25),"-",LEN(VLOOKUP(A25,Seqs!A:E,2,FALSE))-AL25)</f>
        <v>75</v>
      </c>
      <c r="BA25" s="35">
        <f t="shared" si="14"/>
        <v>28</v>
      </c>
      <c r="BB25" s="3">
        <f t="shared" si="15"/>
        <v>20</v>
      </c>
      <c r="BC25" s="3">
        <f t="shared" si="16"/>
        <v>28</v>
      </c>
      <c r="BD25" s="3">
        <f t="shared" si="17"/>
        <v>100</v>
      </c>
    </row>
    <row r="26" spans="1:57" s="3" customFormat="1" x14ac:dyDescent="0.2">
      <c r="A26" s="3" t="s">
        <v>424</v>
      </c>
      <c r="B26" s="3" t="str">
        <f>LOWER(VLOOKUP(A26,Xtal_Templ!A:B,2,FALSE))</f>
        <v>5ht2b_human</v>
      </c>
      <c r="C26" s="3">
        <f>VLOOKUP($A26,'NonXtal_SegEnds_BW#'!$A:$Z,3,FALSE)+D26-50</f>
        <v>22</v>
      </c>
      <c r="D26" s="3">
        <v>40</v>
      </c>
      <c r="E26" s="3">
        <f>IF(ISERROR(VLOOKUP($A26,'NonXtal_SegEnds_BW#'!$A:$Z,4,FALSE)+VLOOKUP($A26,A:AL,4,FALSE)-50),"-",(VLOOKUP($A26,'NonXtal_SegEnds_BW#'!$A:$Z,4,FALSE)+VLOOKUP($A26,A:AL,4,FALSE)-50))</f>
        <v>50</v>
      </c>
      <c r="F26" s="3">
        <f t="shared" si="0"/>
        <v>51</v>
      </c>
      <c r="G26" s="3">
        <v>53</v>
      </c>
      <c r="H26" s="3">
        <f t="shared" si="1"/>
        <v>54</v>
      </c>
      <c r="I26" s="3">
        <f t="shared" si="1"/>
        <v>55</v>
      </c>
      <c r="J26" s="3">
        <v>68</v>
      </c>
      <c r="K26" s="3">
        <f>VLOOKUP($A26,'NonXtal_SegEnds_BW#'!$A:$Z,8,FALSE)+VLOOKUP($A26,A:AL,10,FALSE)-50</f>
        <v>85</v>
      </c>
      <c r="L26" s="3">
        <f>M26-1</f>
        <v>88</v>
      </c>
      <c r="M26" s="3">
        <v>89</v>
      </c>
      <c r="N26" s="3">
        <f>M26+2</f>
        <v>91</v>
      </c>
      <c r="O26" s="3">
        <f>N26+1</f>
        <v>92</v>
      </c>
      <c r="P26" s="3">
        <v>121</v>
      </c>
      <c r="Q26" s="3">
        <f>VLOOKUP($A26,'NonXtal_SegEnds_BW#'!$A:$Z,12,FALSE)+VLOOKUP($A26,A:AL,16,FALSE)-50</f>
        <v>127</v>
      </c>
      <c r="R26" s="3">
        <f>IF(ISERROR(VLOOKUP($A26,'NonXtal_SegEnds_BW#'!$A:$Z,13,FALSE)+VLOOKUP($A26,A:AL,19,FALSE)-50),"-",VLOOKUP($A26,'NonXtal_SegEnds_BW#'!$A:$Z,13,FALSE)+VLOOKUP($A26,A:AL,19,FALSE)-50)</f>
        <v>128</v>
      </c>
      <c r="S26" s="3">
        <v>128</v>
      </c>
      <c r="T26" s="3">
        <f>IF(ISERROR(VLOOKUP($A26,'NonXtal_SegEnds_BW#'!$A:$Z,14,FALSE)+VLOOKUP($A26,A:AL,19,FALSE)-50),"-",(VLOOKUP($A26,'NonXtal_SegEnds_BW#'!$A:$Z,14,FALSE)+VLOOKUP($A26,A:AL,19,FALSE)-50))</f>
        <v>135</v>
      </c>
      <c r="U26" s="3">
        <f>IF(ISERROR(VLOOKUP($A26,'NonXtal_SegEnds_BW#'!$A:$Z,15,FALSE)+VLOOKUP($A26,A:AL,22,FALSE)-50),"-",VLOOKUP($A26,'NonXtal_SegEnds_BW#'!$A:$Z,15,FALSE)+VLOOKUP($A26,A:AL,22,FALSE)-50)</f>
        <v>137</v>
      </c>
      <c r="V26" s="3">
        <v>148</v>
      </c>
      <c r="W26" s="3">
        <f>IF(ISERROR(VLOOKUP($A26,'NonXtal_SegEnds_BW#'!$A:$Z,16,FALSE)+VLOOKUP($A26,A:AL,22,FALSE)-50),"-",(VLOOKUP($A26,'NonXtal_SegEnds_BW#'!$A:$Z,16,FALSE)+VLOOKUP($A26,A:AL,22,FALSE)-50))</f>
        <v>162</v>
      </c>
      <c r="X26" s="3">
        <f>IF(ISERROR(VLOOKUP($A26,'NonXtal_SegEnds_BW#'!$A:$Z,17,FALSE)+VLOOKUP($A26,A:AL,25,FALSE)-50),"-",(VLOOKUP($A26,'NonXtal_SegEnds_BW#'!$A:$Z,17,FALSE)+VLOOKUP($A26,A:AL,25,FALSE)-50))</f>
        <v>174</v>
      </c>
      <c r="Y26" s="3">
        <v>174</v>
      </c>
      <c r="Z26" s="3">
        <f t="shared" si="23"/>
        <v>176</v>
      </c>
      <c r="AA26" s="3">
        <f>IF(ISERROR(VLOOKUP($A26,'NonXtal_SegEnds_BW#'!$A:$Z,19,FALSE)+VLOOKUP($A26,A:AL,28,FALSE)-50),"-",(VLOOKUP($A26,'NonXtal_SegEnds_BW#'!$A:$Z,19,FALSE)+VLOOKUP($A26,A:AL,28,FALSE)-50))</f>
        <v>220</v>
      </c>
      <c r="AB26" s="3">
        <v>235</v>
      </c>
      <c r="AC26" s="3">
        <f>IF(ISERROR((VLOOKUP($A26,'NonXtal_SegEnds_BW#'!$A:$Z,20,FALSE)+VLOOKUP($A26,A:AL,28,FALSE)-50)),"-",(VLOOKUP($A26,'NonXtal_SegEnds_BW#'!$A:$Z,20,FALSE)+VLOOKUP($A26,A:AL,28,FALSE)-50))</f>
        <v>259</v>
      </c>
      <c r="AD26" s="3">
        <f>IF(ISERROR(VLOOKUP($A26,'NonXtal_SegEnds_BW#'!$A:$Z,21,FALSE)+VLOOKUP($A26,A:AL,31,FALSE)-50),"-",(VLOOKUP($A26,'NonXtal_SegEnds_BW#'!$A:$Z,21,FALSE)+VLOOKUP($A26,A:AL,31,FALSE)-50))</f>
        <v>272</v>
      </c>
      <c r="AE26" s="3">
        <v>301</v>
      </c>
      <c r="AF26" s="3">
        <f>IF(ISERROR((VLOOKUP($A26,'NonXtal_SegEnds_BW#'!$A:$Z,22,FALSE)+VLOOKUP($A26,A:AL,31,FALSE)-50)),"-",(VLOOKUP($A26,'NonXtal_SegEnds_BW#'!$A:$Z,22,FALSE)+VLOOKUP($A26,A:AL,31,FALSE)-50))</f>
        <v>312</v>
      </c>
      <c r="AG26" s="3">
        <f>IF(ISERROR(VLOOKUP($A26,'NonXtal_SegEnds_BW#'!$A:$Z,23,FALSE)+VLOOKUP($A26,A:AL,34,FALSE)-50),"-",(VLOOKUP($A26,'NonXtal_SegEnds_BW#'!$A:$Z,23,FALSE)+VLOOKUP($A26,A:AL,34,FALSE)-50))</f>
        <v>318</v>
      </c>
      <c r="AH26" s="3">
        <v>337</v>
      </c>
      <c r="AI26" s="3">
        <f>IF(ISERROR((VLOOKUP($A26,'NonXtal_SegEnds_BW#'!$A:$Z,24,FALSE)+VLOOKUP($A26,A:AL,34,FALSE)-50)),"-",(VLOOKUP($A26,'NonXtal_SegEnds_BW#'!$A:$Z,24,FALSE)+VLOOKUP($A26,A:AL,34,FALSE)-50))</f>
        <v>343</v>
      </c>
      <c r="AJ26" s="3">
        <f>IF(ISERROR(VLOOKUP($A26,'NonXtal_SegEnds_BW#'!$A:$Z,25,FALSE)+VLOOKUP($A26,A:AL,37,FALSE)-50),"-",(VLOOKUP($A26,'NonXtal_SegEnds_BW#'!$A:$Z,25,FALSE)+VLOOKUP($A26,A:AL,37,FALSE)-50))</f>
        <v>344</v>
      </c>
      <c r="AK26" s="3">
        <v>347</v>
      </c>
      <c r="AL26" s="3">
        <f>IF(ISERROR((VLOOKUP($A26,'NonXtal_SegEnds_BW#'!$A:$Z,26,FALSE)+VLOOKUP($A26,A:AL,37,FALSE)-50)),"-",(VLOOKUP($A26,'NonXtal_SegEnds_BW#'!$A:$Z,26,FALSE)+VLOOKUP($A26,A:AL,37,FALSE)-50))</f>
        <v>355</v>
      </c>
      <c r="AM26" s="71" t="str">
        <f>VLOOKUP(A26,Classification!A:B,2,FALSE)</f>
        <v>A</v>
      </c>
      <c r="AN26" s="71" t="b">
        <f t="shared" si="2"/>
        <v>1</v>
      </c>
      <c r="AO26" s="3">
        <f t="shared" si="3"/>
        <v>1</v>
      </c>
      <c r="AP26" s="3">
        <f t="shared" si="4"/>
        <v>1</v>
      </c>
      <c r="AQ26" s="3">
        <f t="shared" si="5"/>
        <v>3</v>
      </c>
      <c r="AR26" s="3">
        <f t="shared" si="6"/>
        <v>1</v>
      </c>
      <c r="AS26" s="3">
        <f t="shared" si="7"/>
        <v>1</v>
      </c>
      <c r="AT26" s="3">
        <f t="shared" si="8"/>
        <v>2</v>
      </c>
      <c r="AU26" s="3">
        <f t="shared" si="9"/>
        <v>12</v>
      </c>
      <c r="AV26" s="3">
        <f t="shared" si="10"/>
        <v>44</v>
      </c>
      <c r="AW26" s="3">
        <f t="shared" si="11"/>
        <v>13</v>
      </c>
      <c r="AX26" s="3">
        <f t="shared" si="12"/>
        <v>6</v>
      </c>
      <c r="AY26" s="3">
        <f t="shared" si="13"/>
        <v>1</v>
      </c>
      <c r="AZ26" s="3">
        <f>IF(ISERROR(LEN(VLOOKUP(A26,Seqs!A:E,2,FALSE))-AL26),"-",LEN(VLOOKUP(A26,Seqs!A:E,2,FALSE))-AL26)</f>
        <v>18</v>
      </c>
      <c r="BA26" s="35">
        <f t="shared" si="14"/>
        <v>28</v>
      </c>
      <c r="BB26" s="3">
        <f t="shared" si="15"/>
        <v>20</v>
      </c>
      <c r="BC26" s="3">
        <f t="shared" si="16"/>
        <v>28</v>
      </c>
      <c r="BD26" s="3">
        <f t="shared" si="17"/>
        <v>66</v>
      </c>
      <c r="BE26" s="3">
        <f>AH26-AE26</f>
        <v>36</v>
      </c>
    </row>
    <row r="27" spans="1:57" s="3" customFormat="1" x14ac:dyDescent="0.2">
      <c r="A27" s="3" t="s">
        <v>465</v>
      </c>
      <c r="B27" s="3" t="str">
        <f>LOWER(VLOOKUP(A27,Xtal_Templ!A:B,2,FALSE))</f>
        <v>5ht2b_human</v>
      </c>
      <c r="C27" s="3">
        <f>VLOOKUP($A27,'NonXtal_SegEnds_BW#'!$A:$Z,3,FALSE)+D27-50</f>
        <v>20</v>
      </c>
      <c r="D27" s="3">
        <v>38</v>
      </c>
      <c r="E27" s="3">
        <f>IF(ISERROR(VLOOKUP($A27,'NonXtal_SegEnds_BW#'!$A:$Z,4,FALSE)+VLOOKUP($A27,A:AL,4,FALSE)-50),"-",(VLOOKUP($A27,'NonXtal_SegEnds_BW#'!$A:$Z,4,FALSE)+VLOOKUP($A27,A:AL,4,FALSE)-50))</f>
        <v>48</v>
      </c>
      <c r="F27" s="3">
        <f t="shared" si="0"/>
        <v>49</v>
      </c>
      <c r="G27" s="3">
        <v>51</v>
      </c>
      <c r="H27" s="3">
        <f t="shared" si="1"/>
        <v>52</v>
      </c>
      <c r="I27" s="3">
        <f t="shared" si="1"/>
        <v>53</v>
      </c>
      <c r="J27" s="3">
        <v>66</v>
      </c>
      <c r="K27" s="3">
        <f>VLOOKUP($A27,'NonXtal_SegEnds_BW#'!$A:$Z,8,FALSE)+VLOOKUP($A27,A:AL,10,FALSE)-50</f>
        <v>83</v>
      </c>
      <c r="L27" s="3">
        <f>M27-1</f>
        <v>86</v>
      </c>
      <c r="M27" s="3">
        <v>87</v>
      </c>
      <c r="N27" s="3">
        <f>M27+2</f>
        <v>89</v>
      </c>
      <c r="O27" s="3">
        <f>N27+1</f>
        <v>90</v>
      </c>
      <c r="P27" s="3">
        <v>119</v>
      </c>
      <c r="Q27" s="3">
        <f>VLOOKUP($A27,'NonXtal_SegEnds_BW#'!$A:$Z,12,FALSE)+VLOOKUP($A27,A:AL,16,FALSE)-50</f>
        <v>125</v>
      </c>
      <c r="R27" s="3">
        <f>IF(ISERROR(VLOOKUP($A27,'NonXtal_SegEnds_BW#'!$A:$Z,13,FALSE)+VLOOKUP($A27,A:AL,19,FALSE)-50),"-",VLOOKUP($A27,'NonXtal_SegEnds_BW#'!$A:$Z,13,FALSE)+VLOOKUP($A27,A:AL,19,FALSE)-50)</f>
        <v>126</v>
      </c>
      <c r="S27" s="3">
        <v>126</v>
      </c>
      <c r="T27" s="3">
        <f>IF(ISERROR(VLOOKUP($A27,'NonXtal_SegEnds_BW#'!$A:$Z,14,FALSE)+VLOOKUP($A27,A:AL,19,FALSE)-50),"-",(VLOOKUP($A27,'NonXtal_SegEnds_BW#'!$A:$Z,14,FALSE)+VLOOKUP($A27,A:AL,19,FALSE)-50))</f>
        <v>133</v>
      </c>
      <c r="U27" s="3">
        <f>IF(ISERROR(VLOOKUP($A27,'NonXtal_SegEnds_BW#'!$A:$Z,15,FALSE)+VLOOKUP($A27,A:AL,22,FALSE)-50),"-",VLOOKUP($A27,'NonXtal_SegEnds_BW#'!$A:$Z,15,FALSE)+VLOOKUP($A27,A:AL,22,FALSE)-50)</f>
        <v>135</v>
      </c>
      <c r="V27" s="3">
        <v>146</v>
      </c>
      <c r="W27" s="3">
        <f>IF(ISERROR(VLOOKUP($A27,'NonXtal_SegEnds_BW#'!$A:$Z,16,FALSE)+VLOOKUP($A27,A:AL,22,FALSE)-50),"-",(VLOOKUP($A27,'NonXtal_SegEnds_BW#'!$A:$Z,16,FALSE)+VLOOKUP($A27,A:AL,22,FALSE)-50))</f>
        <v>160</v>
      </c>
      <c r="X27" s="3">
        <f>IF(ISERROR(VLOOKUP($A27,'NonXtal_SegEnds_BW#'!$A:$Z,17,FALSE)+VLOOKUP($A27,A:AL,25,FALSE)-50),"-",(VLOOKUP($A27,'NonXtal_SegEnds_BW#'!$A:$Z,17,FALSE)+VLOOKUP($A27,A:AL,25,FALSE)-50))</f>
        <v>172</v>
      </c>
      <c r="Y27" s="3">
        <v>172</v>
      </c>
      <c r="Z27" s="3">
        <f t="shared" si="23"/>
        <v>174</v>
      </c>
      <c r="AA27" s="3">
        <f>IF(ISERROR(VLOOKUP($A27,'NonXtal_SegEnds_BW#'!$A:$Z,19,FALSE)+VLOOKUP($A27,A:AL,28,FALSE)-50),"-",(VLOOKUP($A27,'NonXtal_SegEnds_BW#'!$A:$Z,19,FALSE)+VLOOKUP($A27,A:AL,28,FALSE)-50))</f>
        <v>218</v>
      </c>
      <c r="AB27" s="3">
        <v>233</v>
      </c>
      <c r="AC27" s="3">
        <f>IF(ISERROR((VLOOKUP($A27,'NonXtal_SegEnds_BW#'!$A:$Z,20,FALSE)+VLOOKUP($A27,A:AL,28,FALSE)-50)),"-",(VLOOKUP($A27,'NonXtal_SegEnds_BW#'!$A:$Z,20,FALSE)+VLOOKUP($A27,A:AL,28,FALSE)-50))</f>
        <v>259</v>
      </c>
      <c r="AD27" s="3">
        <f>IF(ISERROR(VLOOKUP($A27,'NonXtal_SegEnds_BW#'!$A:$Z,21,FALSE)+VLOOKUP($A27,A:AL,31,FALSE)-50),"-",(VLOOKUP($A27,'NonXtal_SegEnds_BW#'!$A:$Z,21,FALSE)+VLOOKUP($A27,A:AL,31,FALSE)-50))</f>
        <v>274</v>
      </c>
      <c r="AE27" s="3">
        <v>300</v>
      </c>
      <c r="AF27" s="3">
        <f>IF(ISERROR((VLOOKUP($A27,'NonXtal_SegEnds_BW#'!$A:$Z,22,FALSE)+VLOOKUP($A27,A:AL,31,FALSE)-50)),"-",(VLOOKUP($A27,'NonXtal_SegEnds_BW#'!$A:$Z,22,FALSE)+VLOOKUP($A27,A:AL,31,FALSE)-50))</f>
        <v>311</v>
      </c>
      <c r="AG27" s="3">
        <f>IF(ISERROR(VLOOKUP($A27,'NonXtal_SegEnds_BW#'!$A:$Z,23,FALSE)+VLOOKUP($A27,A:AL,34,FALSE)-50),"-",(VLOOKUP($A27,'NonXtal_SegEnds_BW#'!$A:$Z,23,FALSE)+VLOOKUP($A27,A:AL,34,FALSE)-50))</f>
        <v>317</v>
      </c>
      <c r="AH27" s="3">
        <v>336</v>
      </c>
      <c r="AI27" s="3">
        <f>IF(ISERROR((VLOOKUP($A27,'NonXtal_SegEnds_BW#'!$A:$Z,24,FALSE)+VLOOKUP($A27,A:AL,34,FALSE)-50)),"-",(VLOOKUP($A27,'NonXtal_SegEnds_BW#'!$A:$Z,24,FALSE)+VLOOKUP($A27,A:AL,34,FALSE)-50))</f>
        <v>342</v>
      </c>
      <c r="AJ27" s="3">
        <f>IF(ISERROR(VLOOKUP($A27,'NonXtal_SegEnds_BW#'!$A:$Z,25,FALSE)+VLOOKUP($A27,A:AL,37,FALSE)-50),"-",(VLOOKUP($A27,'NonXtal_SegEnds_BW#'!$A:$Z,25,FALSE)+VLOOKUP($A27,A:AL,37,FALSE)-50))</f>
        <v>343</v>
      </c>
      <c r="AK27" s="3">
        <v>346</v>
      </c>
      <c r="AL27" s="3">
        <f>IF(ISERROR((VLOOKUP($A27,'NonXtal_SegEnds_BW#'!$A:$Z,26,FALSE)+VLOOKUP($A27,A:AL,37,FALSE)-50)),"-",(VLOOKUP($A27,'NonXtal_SegEnds_BW#'!$A:$Z,26,FALSE)+VLOOKUP($A27,A:AL,37,FALSE)-50))</f>
        <v>354</v>
      </c>
      <c r="AM27" s="71" t="str">
        <f>VLOOKUP(A27,Classification!A:B,2,FALSE)</f>
        <v>A</v>
      </c>
      <c r="AN27" s="71" t="b">
        <f t="shared" si="2"/>
        <v>1</v>
      </c>
      <c r="AO27" s="3">
        <f t="shared" si="3"/>
        <v>1</v>
      </c>
      <c r="AP27" s="3">
        <f t="shared" si="4"/>
        <v>1</v>
      </c>
      <c r="AQ27" s="3">
        <f t="shared" si="5"/>
        <v>3</v>
      </c>
      <c r="AR27" s="3">
        <f t="shared" si="6"/>
        <v>1</v>
      </c>
      <c r="AS27" s="3">
        <f t="shared" si="7"/>
        <v>1</v>
      </c>
      <c r="AT27" s="3">
        <f t="shared" si="8"/>
        <v>2</v>
      </c>
      <c r="AU27" s="3">
        <f t="shared" si="9"/>
        <v>12</v>
      </c>
      <c r="AV27" s="3">
        <f t="shared" si="10"/>
        <v>44</v>
      </c>
      <c r="AW27" s="3">
        <f t="shared" si="11"/>
        <v>15</v>
      </c>
      <c r="AX27" s="3">
        <f t="shared" si="12"/>
        <v>6</v>
      </c>
      <c r="AY27" s="3">
        <f t="shared" si="13"/>
        <v>1</v>
      </c>
      <c r="AZ27" s="3">
        <f>IF(ISERROR(LEN(VLOOKUP(A27,Seqs!A:E,2,FALSE))-AL27),"-",LEN(VLOOKUP(A27,Seqs!A:E,2,FALSE))-AL27)</f>
        <v>16</v>
      </c>
      <c r="BA27" s="35">
        <f t="shared" si="14"/>
        <v>28</v>
      </c>
      <c r="BB27" s="3">
        <f t="shared" si="15"/>
        <v>20</v>
      </c>
      <c r="BC27" s="3">
        <f t="shared" si="16"/>
        <v>28</v>
      </c>
      <c r="BD27" s="3">
        <f t="shared" si="17"/>
        <v>67</v>
      </c>
      <c r="BE27" s="3">
        <f>AH27-AE27</f>
        <v>36</v>
      </c>
    </row>
    <row r="28" spans="1:57" s="3" customFormat="1" x14ac:dyDescent="0.2">
      <c r="A28" s="3" t="s">
        <v>442</v>
      </c>
      <c r="B28" s="3" t="str">
        <f>LOWER(VLOOKUP(A28,Xtal_Templ!A:B,2,FALSE))</f>
        <v>5ht2b_human</v>
      </c>
      <c r="C28" s="3">
        <f>VLOOKUP($A28,'NonXtal_SegEnds_BW#'!$A:$Z,3,FALSE)+D28-50</f>
        <v>18</v>
      </c>
      <c r="D28" s="3">
        <v>36</v>
      </c>
      <c r="E28" s="3">
        <f>IF(ISERROR(VLOOKUP($A28,'NonXtal_SegEnds_BW#'!$A:$Z,4,FALSE)+VLOOKUP($A28,A:AL,4,FALSE)-50),"-",(VLOOKUP($A28,'NonXtal_SegEnds_BW#'!$A:$Z,4,FALSE)+VLOOKUP($A28,A:AL,4,FALSE)-50))</f>
        <v>46</v>
      </c>
      <c r="F28" s="3">
        <f t="shared" si="0"/>
        <v>47</v>
      </c>
      <c r="G28" s="3">
        <v>49</v>
      </c>
      <c r="H28" s="3">
        <f t="shared" si="1"/>
        <v>50</v>
      </c>
      <c r="I28" s="3">
        <f t="shared" si="1"/>
        <v>51</v>
      </c>
      <c r="J28" s="3">
        <v>64</v>
      </c>
      <c r="K28" s="3">
        <f>VLOOKUP($A28,'NonXtal_SegEnds_BW#'!$A:$Z,8,FALSE)+VLOOKUP($A28,A:AL,10,FALSE)-50</f>
        <v>81</v>
      </c>
      <c r="L28" s="3" t="str">
        <f>IF(ISERROR(VLOOKUP($A28,'NonXtal_SegEnds_BW#'!$A:$Z,9,FALSE)+VLOOKUP($A28,A:AL,13,FALSE)-50),"-",(VLOOKUP($A28,'NonXtal_SegEnds_BW#'!$A:$Z,9,FALSE)+VLOOKUP($A28,A:AL,13,FALSE)-50))</f>
        <v>-</v>
      </c>
      <c r="M28" s="3" t="s">
        <v>129</v>
      </c>
      <c r="N28" s="3" t="str">
        <f>IF(ISERROR(VLOOKUP($A28,'NonXtal_SegEnds_BW#'!$A:$Z,10,FALSE)+VLOOKUP($A28,A:AL,13,FALSE)-50),"-",(VLOOKUP($A28,'NonXtal_SegEnds_BW#'!$A:$Z,10,FALSE)+VLOOKUP($A28,A:AL,13,FALSE)-50))</f>
        <v>-</v>
      </c>
      <c r="O28" s="3">
        <f>VLOOKUP($A28,'NonXtal_SegEnds_BW#'!$A:$Z,11,FALSE)+VLOOKUP($A28,A:AL,16,FALSE)-50</f>
        <v>88</v>
      </c>
      <c r="P28" s="3">
        <v>120</v>
      </c>
      <c r="Q28" s="3">
        <f>VLOOKUP($A28,'NonXtal_SegEnds_BW#'!$A:$Z,12,FALSE)+VLOOKUP($A28,A:AL,16,FALSE)-50</f>
        <v>126</v>
      </c>
      <c r="R28" s="3">
        <f>IF(ISERROR(VLOOKUP($A28,'NonXtal_SegEnds_BW#'!$A:$Z,13,FALSE)+VLOOKUP($A28,A:AL,19,FALSE)-50),"-",VLOOKUP($A28,'NonXtal_SegEnds_BW#'!$A:$Z,13,FALSE)+VLOOKUP($A28,A:AL,19,FALSE)-50)</f>
        <v>127</v>
      </c>
      <c r="S28" s="3">
        <v>127</v>
      </c>
      <c r="T28" s="3">
        <f>IF(ISERROR(VLOOKUP($A28,'NonXtal_SegEnds_BW#'!$A:$Z,14,FALSE)+VLOOKUP($A28,A:AL,19,FALSE)-50),"-",(VLOOKUP($A28,'NonXtal_SegEnds_BW#'!$A:$Z,14,FALSE)+VLOOKUP($A28,A:AL,19,FALSE)-50))</f>
        <v>135</v>
      </c>
      <c r="U28" s="3">
        <f>IF(ISERROR(VLOOKUP($A28,'NonXtal_SegEnds_BW#'!$A:$Z,15,FALSE)+VLOOKUP($A28,A:AL,22,FALSE)-50),"-",VLOOKUP($A28,'NonXtal_SegEnds_BW#'!$A:$Z,15,FALSE)+VLOOKUP($A28,A:AL,22,FALSE)-50)</f>
        <v>137</v>
      </c>
      <c r="V28" s="3">
        <v>148</v>
      </c>
      <c r="W28" s="3">
        <f>IF(ISERROR(VLOOKUP($A28,'NonXtal_SegEnds_BW#'!$A:$Z,16,FALSE)+VLOOKUP($A28,A:AL,22,FALSE)-50),"-",(VLOOKUP($A28,'NonXtal_SegEnds_BW#'!$A:$Z,16,FALSE)+VLOOKUP($A28,A:AL,22,FALSE)-50))</f>
        <v>162</v>
      </c>
      <c r="X28" s="3">
        <f>IF(ISERROR(VLOOKUP($A28,'NonXtal_SegEnds_BW#'!$A:$Z,17,FALSE)+VLOOKUP($A28,A:AL,25,FALSE)-50),"-",(VLOOKUP($A28,'NonXtal_SegEnds_BW#'!$A:$Z,17,FALSE)+VLOOKUP($A28,A:AL,25,FALSE)-50))</f>
        <v>171</v>
      </c>
      <c r="Y28" s="3">
        <v>171</v>
      </c>
      <c r="Z28" s="3">
        <f t="shared" si="23"/>
        <v>173</v>
      </c>
      <c r="AA28" s="3">
        <f>IF(ISERROR(VLOOKUP($A28,'NonXtal_SegEnds_BW#'!$A:$Z,19,FALSE)+VLOOKUP($A28,A:AL,28,FALSE)-50),"-",(VLOOKUP($A28,'NonXtal_SegEnds_BW#'!$A:$Z,19,FALSE)+VLOOKUP($A28,A:AL,28,FALSE)-50))</f>
        <v>174</v>
      </c>
      <c r="AB28" s="3">
        <v>189</v>
      </c>
      <c r="AC28" s="3">
        <f>IF(ISERROR((VLOOKUP($A28,'NonXtal_SegEnds_BW#'!$A:$Z,20,FALSE)+VLOOKUP($A28,A:AL,28,FALSE)-50)),"-",(VLOOKUP($A28,'NonXtal_SegEnds_BW#'!$A:$Z,20,FALSE)+VLOOKUP($A28,A:AL,28,FALSE)-50))</f>
        <v>215</v>
      </c>
      <c r="AD28" s="3">
        <f>IF(ISERROR(VLOOKUP($A28,'NonXtal_SegEnds_BW#'!$A:$Z,21,FALSE)+VLOOKUP($A28,A:AL,31,FALSE)-50),"-",(VLOOKUP($A28,'NonXtal_SegEnds_BW#'!$A:$Z,21,FALSE)+VLOOKUP($A28,A:AL,31,FALSE)-50))</f>
        <v>273</v>
      </c>
      <c r="AE28" s="3">
        <v>299</v>
      </c>
      <c r="AF28" s="3">
        <f>IF(ISERROR((VLOOKUP($A28,'NonXtal_SegEnds_BW#'!$A:$Z,22,FALSE)+VLOOKUP($A28,A:AL,31,FALSE)-50)),"-",(VLOOKUP($A28,'NonXtal_SegEnds_BW#'!$A:$Z,22,FALSE)+VLOOKUP($A28,A:AL,31,FALSE)-50))</f>
        <v>310</v>
      </c>
      <c r="AG28" s="3">
        <f>IF(ISERROR(VLOOKUP($A28,'NonXtal_SegEnds_BW#'!$A:$Z,23,FALSE)+VLOOKUP($A28,A:AL,34,FALSE)-50),"-",(VLOOKUP($A28,'NonXtal_SegEnds_BW#'!$A:$Z,23,FALSE)+VLOOKUP($A28,A:AL,34,FALSE)-50))</f>
        <v>316</v>
      </c>
      <c r="AH28" s="3">
        <v>335</v>
      </c>
      <c r="AI28" s="3">
        <f>IF(ISERROR((VLOOKUP($A28,'NonXtal_SegEnds_BW#'!$A:$Z,24,FALSE)+VLOOKUP($A28,A:AL,34,FALSE)-50)),"-",(VLOOKUP($A28,'NonXtal_SegEnds_BW#'!$A:$Z,24,FALSE)+VLOOKUP($A28,A:AL,34,FALSE)-50))</f>
        <v>341</v>
      </c>
      <c r="AJ28" s="3">
        <f>IF(ISERROR(VLOOKUP($A28,'NonXtal_SegEnds_BW#'!$A:$Z,25,FALSE)+VLOOKUP($A28,A:AL,37,FALSE)-50),"-",(VLOOKUP($A28,'NonXtal_SegEnds_BW#'!$A:$Z,25,FALSE)+VLOOKUP($A28,A:AL,37,FALSE)-50))</f>
        <v>342</v>
      </c>
      <c r="AK28" s="3">
        <v>345</v>
      </c>
      <c r="AL28" s="3">
        <f>IF(ISERROR((VLOOKUP($A28,'NonXtal_SegEnds_BW#'!$A:$Z,26,FALSE)+VLOOKUP($A28,A:AL,37,FALSE)-50)),"-",(VLOOKUP($A28,'NonXtal_SegEnds_BW#'!$A:$Z,26,FALSE)+VLOOKUP($A28,A:AL,37,FALSE)-50))</f>
        <v>353</v>
      </c>
      <c r="AM28" s="71" t="str">
        <f>VLOOKUP(A28,Classification!A:B,2,FALSE)</f>
        <v>A</v>
      </c>
      <c r="AN28" s="71" t="b">
        <f t="shared" si="2"/>
        <v>1</v>
      </c>
      <c r="AO28" s="3">
        <f t="shared" si="3"/>
        <v>1</v>
      </c>
      <c r="AP28" s="3">
        <f t="shared" si="4"/>
        <v>1</v>
      </c>
      <c r="AQ28" s="3" t="str">
        <f t="shared" si="5"/>
        <v>-</v>
      </c>
      <c r="AR28" s="3" t="str">
        <f t="shared" si="6"/>
        <v>-</v>
      </c>
      <c r="AS28" s="3">
        <f t="shared" si="7"/>
        <v>1</v>
      </c>
      <c r="AT28" s="3">
        <f t="shared" si="8"/>
        <v>2</v>
      </c>
      <c r="AU28" s="3">
        <f t="shared" si="9"/>
        <v>9</v>
      </c>
      <c r="AV28" s="3">
        <f t="shared" si="10"/>
        <v>1</v>
      </c>
      <c r="AW28" s="3">
        <f t="shared" si="11"/>
        <v>58</v>
      </c>
      <c r="AX28" s="3">
        <f t="shared" si="12"/>
        <v>6</v>
      </c>
      <c r="AY28" s="3">
        <f t="shared" si="13"/>
        <v>1</v>
      </c>
      <c r="AZ28" s="3">
        <f>IF(ISERROR(LEN(VLOOKUP(A28,Seqs!A:E,2,FALSE))-AL28),"-",LEN(VLOOKUP(A28,Seqs!A:E,2,FALSE))-AL28)</f>
        <v>22</v>
      </c>
      <c r="BA28" s="35">
        <f t="shared" si="14"/>
        <v>28</v>
      </c>
      <c r="BB28" s="3">
        <f t="shared" si="15"/>
        <v>21</v>
      </c>
      <c r="BC28" s="3">
        <f t="shared" si="16"/>
        <v>28</v>
      </c>
      <c r="BD28" s="3">
        <f t="shared" si="17"/>
        <v>110</v>
      </c>
      <c r="BE28" s="3">
        <f>AH28-AE28</f>
        <v>36</v>
      </c>
    </row>
    <row r="29" spans="1:57" s="3" customFormat="1" x14ac:dyDescent="0.2">
      <c r="A29" s="3" t="s">
        <v>492</v>
      </c>
      <c r="B29" s="3" t="str">
        <f>LOWER(VLOOKUP(A29,Xtal_Templ!A:B,2,FALSE))</f>
        <v>aa2ar_human</v>
      </c>
      <c r="C29" s="3">
        <f>VLOOKUP($A29,'NonXtal_SegEnds_BW#'!$A:$Z,3,FALSE)+D29-50</f>
        <v>32</v>
      </c>
      <c r="D29" s="3">
        <v>54</v>
      </c>
      <c r="E29" s="3">
        <f>IF(ISERROR(VLOOKUP($A29,'NonXtal_SegEnds_BW#'!$A:$Z,4,FALSE)+VLOOKUP($A29,A:AL,4,FALSE)-50),"-",(VLOOKUP($A29,'NonXtal_SegEnds_BW#'!$A:$Z,4,FALSE)+VLOOKUP($A29,A:AL,4,FALSE)-50))</f>
        <v>64</v>
      </c>
      <c r="F29" s="3">
        <f t="shared" si="0"/>
        <v>65</v>
      </c>
      <c r="G29" s="3">
        <v>67</v>
      </c>
      <c r="H29" s="3">
        <f t="shared" si="1"/>
        <v>68</v>
      </c>
      <c r="I29" s="3">
        <f t="shared" si="1"/>
        <v>69</v>
      </c>
      <c r="J29" s="3">
        <v>82</v>
      </c>
      <c r="K29" s="3">
        <f>VLOOKUP($A29,'NonXtal_SegEnds_BW#'!$A:$Z,8,FALSE)+VLOOKUP($A29,A:AL,10,FALSE)-50</f>
        <v>99</v>
      </c>
      <c r="L29" s="3" t="str">
        <f>IF(ISERROR(VLOOKUP($A29,'NonXtal_SegEnds_BW#'!$A:$Z,9,FALSE)+VLOOKUP($A29,A:AL,13,FALSE)-50),"-",(VLOOKUP($A29,'NonXtal_SegEnds_BW#'!$A:$Z,9,FALSE)+VLOOKUP($A29,A:AL,13,FALSE)-50))</f>
        <v>-</v>
      </c>
      <c r="M29" s="3" t="s">
        <v>129</v>
      </c>
      <c r="N29" s="3" t="str">
        <f>IF(ISERROR(VLOOKUP($A29,'NonXtal_SegEnds_BW#'!$A:$Z,10,FALSE)+VLOOKUP($A29,A:AL,13,FALSE)-50),"-",(VLOOKUP($A29,'NonXtal_SegEnds_BW#'!$A:$Z,10,FALSE)+VLOOKUP($A29,A:AL,13,FALSE)-50))</f>
        <v>-</v>
      </c>
      <c r="O29" s="3">
        <f>VLOOKUP($A29,'NonXtal_SegEnds_BW#'!$A:$Z,11,FALSE)+VLOOKUP($A29,A:AL,16,FALSE)-50</f>
        <v>108</v>
      </c>
      <c r="P29" s="3">
        <v>140</v>
      </c>
      <c r="Q29" s="3">
        <f>VLOOKUP($A29,'NonXtal_SegEnds_BW#'!$A:$Z,12,FALSE)+VLOOKUP($A29,A:AL,16,FALSE)-50</f>
        <v>146</v>
      </c>
      <c r="R29" s="3">
        <f>IF(ISERROR(VLOOKUP($A29,'NonXtal_SegEnds_BW#'!$A:$Z,13,FALSE)+VLOOKUP($A29,A:AL,19,FALSE)-50),"-",VLOOKUP($A29,'NonXtal_SegEnds_BW#'!$A:$Z,13,FALSE)+VLOOKUP($A29,A:AL,19,FALSE)-50)</f>
        <v>147</v>
      </c>
      <c r="S29" s="3">
        <v>147</v>
      </c>
      <c r="T29" s="3">
        <f>IF(ISERROR(VLOOKUP($A29,'NonXtal_SegEnds_BW#'!$A:$Z,14,FALSE)+VLOOKUP($A29,A:AL,19,FALSE)-50),"-",(VLOOKUP($A29,'NonXtal_SegEnds_BW#'!$A:$Z,14,FALSE)+VLOOKUP($A29,A:AL,19,FALSE)-50))</f>
        <v>154</v>
      </c>
      <c r="U29" s="3">
        <f>IF(ISERROR(VLOOKUP($A29,'NonXtal_SegEnds_BW#'!$A:$Z,15,FALSE)+VLOOKUP($A29,A:AL,22,FALSE)-50),"-",VLOOKUP($A29,'NonXtal_SegEnds_BW#'!$A:$Z,15,FALSE)+VLOOKUP($A29,A:AL,22,FALSE)-50)</f>
        <v>156</v>
      </c>
      <c r="V29" s="3">
        <v>167</v>
      </c>
      <c r="W29" s="3">
        <f>IF(ISERROR(VLOOKUP($A29,'NonXtal_SegEnds_BW#'!$A:$Z,16,FALSE)+VLOOKUP($A29,A:AL,22,FALSE)-50),"-",(VLOOKUP($A29,'NonXtal_SegEnds_BW#'!$A:$Z,16,FALSE)+VLOOKUP($A29,A:AL,22,FALSE)-50))</f>
        <v>180</v>
      </c>
      <c r="X29" s="3" t="str">
        <f>IF(ISERROR(VLOOKUP($A29,'NonXtal_SegEnds_BW#'!$A:$Z,17,FALSE)+VLOOKUP($A29,A:AL,25,FALSE)-50),"-",(VLOOKUP($A29,'NonXtal_SegEnds_BW#'!$A:$Z,17,FALSE)+VLOOKUP($A29,A:AL,25,FALSE)-50))</f>
        <v>-</v>
      </c>
      <c r="Y29" s="3" t="s">
        <v>129</v>
      </c>
      <c r="Z29" s="3" t="str">
        <f>IF(ISERROR(VLOOKUP($A29,'NonXtal_SegEnds_BW#'!$A:$Z,18,FALSE)+VLOOKUP($A29,A:AL,25,FALSE)-50),"-",(VLOOKUP($A29,'NonXtal_SegEnds_BW#'!$A:$Z,18,FALSE)+VLOOKUP($A29,A:AL,25,FALSE)-50))</f>
        <v>-</v>
      </c>
      <c r="AA29" s="3">
        <f>IF(ISERROR(VLOOKUP($A29,'NonXtal_SegEnds_BW#'!$A:$Z,19,FALSE)+VLOOKUP($A29,A:AL,28,FALSE)-50),"-",(VLOOKUP($A29,'NonXtal_SegEnds_BW#'!$A:$Z,19,FALSE)+VLOOKUP($A29,A:AL,28,FALSE)-50))</f>
        <v>181</v>
      </c>
      <c r="AB29" s="3">
        <v>197</v>
      </c>
      <c r="AC29" s="3">
        <f>IF(ISERROR((VLOOKUP($A29,'NonXtal_SegEnds_BW#'!$A:$Z,20,FALSE)+VLOOKUP($A29,A:AL,28,FALSE)-50)),"-",(VLOOKUP($A29,'NonXtal_SegEnds_BW#'!$A:$Z,20,FALSE)+VLOOKUP($A29,A:AL,28,FALSE)-50))</f>
        <v>220</v>
      </c>
      <c r="AD29" s="3">
        <f>IF(ISERROR(VLOOKUP($A29,'NonXtal_SegEnds_BW#'!$A:$Z,21,FALSE)+VLOOKUP($A29,A:AL,31,FALSE)-50),"-",(VLOOKUP($A29,'NonXtal_SegEnds_BW#'!$A:$Z,21,FALSE)+VLOOKUP($A29,A:AL,31,FALSE)-50))</f>
        <v>225</v>
      </c>
      <c r="AE29" s="3">
        <v>253</v>
      </c>
      <c r="AF29" s="3">
        <f>IF(ISERROR((VLOOKUP($A29,'NonXtal_SegEnds_BW#'!$A:$Z,22,FALSE)+VLOOKUP($A29,A:AL,31,FALSE)-50)),"-",(VLOOKUP($A29,'NonXtal_SegEnds_BW#'!$A:$Z,22,FALSE)+VLOOKUP($A29,A:AL,31,FALSE)-50))</f>
        <v>264</v>
      </c>
      <c r="AG29" s="3">
        <f>IF(ISERROR(VLOOKUP($A29,'NonXtal_SegEnds_BW#'!$A:$Z,23,FALSE)+VLOOKUP($A29,A:AL,34,FALSE)-50),"-",(VLOOKUP($A29,'NonXtal_SegEnds_BW#'!$A:$Z,23,FALSE)+VLOOKUP($A29,A:AL,34,FALSE)-50))</f>
        <v>270</v>
      </c>
      <c r="AH29" s="3">
        <v>292</v>
      </c>
      <c r="AI29" s="3">
        <f>IF(ISERROR((VLOOKUP($A29,'NonXtal_SegEnds_BW#'!$A:$Z,24,FALSE)+VLOOKUP($A29,A:AL,34,FALSE)-50)),"-",(VLOOKUP($A29,'NonXtal_SegEnds_BW#'!$A:$Z,24,FALSE)+VLOOKUP($A29,A:AL,34,FALSE)-50))</f>
        <v>298</v>
      </c>
      <c r="AJ29" s="3">
        <f>IF(ISERROR(VLOOKUP($A29,'NonXtal_SegEnds_BW#'!$A:$Z,25,FALSE)+VLOOKUP($A29,A:AL,37,FALSE)-50),"-",(VLOOKUP($A29,'NonXtal_SegEnds_BW#'!$A:$Z,25,FALSE)+VLOOKUP($A29,A:AL,37,FALSE)-50))</f>
        <v>299</v>
      </c>
      <c r="AK29" s="3">
        <v>302</v>
      </c>
      <c r="AL29" s="3">
        <f>IF(ISERROR((VLOOKUP($A29,'NonXtal_SegEnds_BW#'!$A:$Z,26,FALSE)+VLOOKUP($A29,A:AL,37,FALSE)-50)),"-",(VLOOKUP($A29,'NonXtal_SegEnds_BW#'!$A:$Z,26,FALSE)+VLOOKUP($A29,A:AL,37,FALSE)-50))</f>
        <v>321</v>
      </c>
      <c r="AM29" s="71" t="str">
        <f>VLOOKUP(A29,Classification!A:B,2,FALSE)</f>
        <v>A</v>
      </c>
      <c r="AN29" s="71" t="b">
        <f t="shared" si="2"/>
        <v>1</v>
      </c>
      <c r="AO29" s="3">
        <f t="shared" si="3"/>
        <v>1</v>
      </c>
      <c r="AP29" s="3">
        <f t="shared" si="4"/>
        <v>1</v>
      </c>
      <c r="AQ29" s="3" t="str">
        <f t="shared" si="5"/>
        <v>-</v>
      </c>
      <c r="AR29" s="3" t="str">
        <f t="shared" si="6"/>
        <v>-</v>
      </c>
      <c r="AS29" s="3">
        <f t="shared" si="7"/>
        <v>1</v>
      </c>
      <c r="AT29" s="3">
        <f t="shared" si="8"/>
        <v>2</v>
      </c>
      <c r="AU29" s="3" t="str">
        <f t="shared" si="9"/>
        <v>-</v>
      </c>
      <c r="AV29" s="3" t="str">
        <f t="shared" si="10"/>
        <v>-</v>
      </c>
      <c r="AW29" s="3">
        <f t="shared" si="11"/>
        <v>5</v>
      </c>
      <c r="AX29" s="3">
        <f t="shared" si="12"/>
        <v>6</v>
      </c>
      <c r="AY29" s="3">
        <f t="shared" si="13"/>
        <v>1</v>
      </c>
      <c r="AZ29" s="3">
        <f>IF(ISERROR(LEN(VLOOKUP(A29,Seqs!A:E,2,FALSE))-AL29),"-",LEN(VLOOKUP(A29,Seqs!A:E,2,FALSE))-AL29)</f>
        <v>4</v>
      </c>
      <c r="BA29" s="35">
        <f t="shared" si="14"/>
        <v>28</v>
      </c>
      <c r="BB29" s="3">
        <f t="shared" si="15"/>
        <v>20</v>
      </c>
      <c r="BC29" s="3">
        <f t="shared" si="16"/>
        <v>28</v>
      </c>
      <c r="BD29" s="3">
        <f t="shared" si="17"/>
        <v>56</v>
      </c>
      <c r="BE29" s="3">
        <f>AH29-AE29</f>
        <v>39</v>
      </c>
    </row>
    <row r="30" spans="1:57" s="3" customFormat="1" x14ac:dyDescent="0.2">
      <c r="A30" s="3" t="s">
        <v>478</v>
      </c>
      <c r="B30" s="3" t="str">
        <f>LOWER(VLOOKUP(A30,Xtal_Templ!A:B,2,FALSE))</f>
        <v>aa2ar_human</v>
      </c>
      <c r="C30" s="3">
        <f>VLOOKUP($A30,'NonXtal_SegEnds_BW#'!$A:$Z,3,FALSE)+D30-50</f>
        <v>553</v>
      </c>
      <c r="D30" s="3">
        <v>575</v>
      </c>
      <c r="E30" s="3">
        <f>IF(ISERROR(VLOOKUP($A30,'NonXtal_SegEnds_BW#'!$A:$Z,4,FALSE)+VLOOKUP($A30,A:AL,4,FALSE)-50),"-",(VLOOKUP($A30,'NonXtal_SegEnds_BW#'!$A:$Z,4,FALSE)+VLOOKUP($A30,A:AL,4,FALSE)-50))</f>
        <v>585</v>
      </c>
      <c r="F30" s="3" t="str">
        <f>IF(ISERROR(VLOOKUP($A30,'NonXtal_SegEnds_BW#'!$A:$Z,5,FALSE)+VLOOKUP($A30,A:AL,7,FALSE)-50),"-",(VLOOKUP($A30,'NonXtal_SegEnds_BW#'!$A:$Z,5,FALSE)+VLOOKUP($A30,A:AL,7,FALSE)-50))</f>
        <v>-</v>
      </c>
      <c r="G30" s="3" t="s">
        <v>129</v>
      </c>
      <c r="H30" s="3" t="str">
        <f>IF(ISERROR(VLOOKUP($A30,'NonXtal_SegEnds_BW#'!$A:$Z,6,FALSE)+VLOOKUP($A30,A:AL,7,FALSE)-50),"-",(VLOOKUP($A30,'NonXtal_SegEnds_BW#'!$A:$Z,6,FALSE)+VLOOKUP($A30,A:AL,7,FALSE)-50))</f>
        <v>-</v>
      </c>
      <c r="I30" s="3">
        <f>VLOOKUP($A30,'NonXtal_SegEnds_BW#'!$A:$Z,7,FALSE)+J30-50</f>
        <v>590</v>
      </c>
      <c r="J30" s="3">
        <v>603</v>
      </c>
      <c r="K30" s="3">
        <f>VLOOKUP($A30,'NonXtal_SegEnds_BW#'!$A:$Z,8,FALSE)+VLOOKUP($A30,A:AL,10,FALSE)-50</f>
        <v>620</v>
      </c>
      <c r="L30" s="3" t="str">
        <f>IF(ISERROR(VLOOKUP($A30,'NonXtal_SegEnds_BW#'!$A:$Z,9,FALSE)+VLOOKUP($A30,A:AL,13,FALSE)-50),"-",(VLOOKUP($A30,'NonXtal_SegEnds_BW#'!$A:$Z,9,FALSE)+VLOOKUP($A30,A:AL,13,FALSE)-50))</f>
        <v>-</v>
      </c>
      <c r="M30" s="3" t="s">
        <v>129</v>
      </c>
      <c r="N30" s="3" t="str">
        <f>IF(ISERROR(VLOOKUP($A30,'NonXtal_SegEnds_BW#'!$A:$Z,10,FALSE)+VLOOKUP($A30,A:AL,13,FALSE)-50),"-",(VLOOKUP($A30,'NonXtal_SegEnds_BW#'!$A:$Z,10,FALSE)+VLOOKUP($A30,A:AL,13,FALSE)-50))</f>
        <v>-</v>
      </c>
      <c r="O30" s="3">
        <f>VLOOKUP($A30,'NonXtal_SegEnds_BW#'!$A:$Z,11,FALSE)+VLOOKUP($A30,A:AL,16,FALSE)-50</f>
        <v>630</v>
      </c>
      <c r="P30" s="3">
        <v>662</v>
      </c>
      <c r="Q30" s="3">
        <f>VLOOKUP($A30,'NonXtal_SegEnds_BW#'!$A:$Z,12,FALSE)+VLOOKUP($A30,A:AL,16,FALSE)-50</f>
        <v>668</v>
      </c>
      <c r="R30" s="3">
        <f>IF(ISERROR(VLOOKUP($A30,'NonXtal_SegEnds_BW#'!$A:$Z,13,FALSE)+VLOOKUP($A30,A:AL,19,FALSE)-50),"-",VLOOKUP($A30,'NonXtal_SegEnds_BW#'!$A:$Z,13,FALSE)+VLOOKUP($A30,A:AL,19,FALSE)-50)</f>
        <v>669</v>
      </c>
      <c r="S30" s="3">
        <v>669</v>
      </c>
      <c r="T30" s="3">
        <f>IF(ISERROR(VLOOKUP($A30,'NonXtal_SegEnds_BW#'!$A:$Z,14,FALSE)+VLOOKUP($A30,A:AL,19,FALSE)-50),"-",(VLOOKUP($A30,'NonXtal_SegEnds_BW#'!$A:$Z,14,FALSE)+VLOOKUP($A30,A:AL,19,FALSE)-50))</f>
        <v>676</v>
      </c>
      <c r="U30" s="3">
        <f>IF(ISERROR(VLOOKUP($A30,'NonXtal_SegEnds_BW#'!$A:$Z,15,FALSE)+VLOOKUP($A30,A:AL,22,FALSE)-50),"-",VLOOKUP($A30,'NonXtal_SegEnds_BW#'!$A:$Z,15,FALSE)+VLOOKUP($A30,A:AL,22,FALSE)-50)</f>
        <v>678</v>
      </c>
      <c r="V30" s="3">
        <v>689</v>
      </c>
      <c r="W30" s="3">
        <f>IF(ISERROR(VLOOKUP($A30,'NonXtal_SegEnds_BW#'!$A:$Z,16,FALSE)+VLOOKUP($A30,A:AL,22,FALSE)-50),"-",(VLOOKUP($A30,'NonXtal_SegEnds_BW#'!$A:$Z,16,FALSE)+VLOOKUP($A30,A:AL,22,FALSE)-50))</f>
        <v>702</v>
      </c>
      <c r="X30" s="3">
        <f>IF(ISERROR(VLOOKUP($A30,'NonXtal_SegEnds_BW#'!$A:$Z,17,FALSE)+VLOOKUP($A30,A:AL,25,FALSE)-50),"-",(VLOOKUP($A30,'NonXtal_SegEnds_BW#'!$A:$Z,17,FALSE)+VLOOKUP($A30,A:AL,25,FALSE)-50))</f>
        <v>712</v>
      </c>
      <c r="Y30" s="3">
        <v>712</v>
      </c>
      <c r="Z30" s="3">
        <f t="shared" ref="Z30:Z41" si="24">Y30+2</f>
        <v>714</v>
      </c>
      <c r="AA30" s="3">
        <f>IF(ISERROR(VLOOKUP($A30,'NonXtal_SegEnds_BW#'!$A:$Z,19,FALSE)+VLOOKUP($A30,A:AL,28,FALSE)-50),"-",(VLOOKUP($A30,'NonXtal_SegEnds_BW#'!$A:$Z,19,FALSE)+VLOOKUP($A30,A:AL,28,FALSE)-50))</f>
        <v>720</v>
      </c>
      <c r="AB30" s="3">
        <v>736</v>
      </c>
      <c r="AC30" s="3">
        <f>IF(ISERROR((VLOOKUP($A30,'NonXtal_SegEnds_BW#'!$A:$Z,20,FALSE)+VLOOKUP($A30,A:AL,28,FALSE)-50)),"-",(VLOOKUP($A30,'NonXtal_SegEnds_BW#'!$A:$Z,20,FALSE)+VLOOKUP($A30,A:AL,28,FALSE)-50))</f>
        <v>753</v>
      </c>
      <c r="AD30" s="3">
        <f>IF(ISERROR(VLOOKUP($A30,'NonXtal_SegEnds_BW#'!$A:$Z,21,FALSE)+VLOOKUP($A30,A:AL,31,FALSE)-50),"-",(VLOOKUP($A30,'NonXtal_SegEnds_BW#'!$A:$Z,21,FALSE)+VLOOKUP($A30,A:AL,31,FALSE)-50))</f>
        <v>759</v>
      </c>
      <c r="AE30" s="3">
        <v>781</v>
      </c>
      <c r="AF30" s="3">
        <f>IF(ISERROR((VLOOKUP($A30,'NonXtal_SegEnds_BW#'!$A:$Z,22,FALSE)+VLOOKUP($A30,A:AL,31,FALSE)-50)),"-",(VLOOKUP($A30,'NonXtal_SegEnds_BW#'!$A:$Z,22,FALSE)+VLOOKUP($A30,A:AL,31,FALSE)-50))</f>
        <v>792</v>
      </c>
      <c r="AG30" s="3">
        <f>IF(ISERROR(VLOOKUP($A30,'NonXtal_SegEnds_BW#'!$A:$Z,23,FALSE)+VLOOKUP($A30,A:AL,34,FALSE)-50),"-",(VLOOKUP($A30,'NonXtal_SegEnds_BW#'!$A:$Z,23,FALSE)+VLOOKUP($A30,A:AL,34,FALSE)-50))</f>
        <v>798</v>
      </c>
      <c r="AH30" s="3">
        <v>817</v>
      </c>
      <c r="AI30" s="3">
        <f>IF(ISERROR((VLOOKUP($A30,'NonXtal_SegEnds_BW#'!$A:$Z,24,FALSE)+VLOOKUP($A30,A:AL,34,FALSE)-50)),"-",(VLOOKUP($A30,'NonXtal_SegEnds_BW#'!$A:$Z,24,FALSE)+VLOOKUP($A30,A:AL,34,FALSE)-50))</f>
        <v>823</v>
      </c>
      <c r="AJ30" s="3">
        <f>IF(ISERROR(VLOOKUP($A30,'NonXtal_SegEnds_BW#'!$A:$Z,25,FALSE)+VLOOKUP($A30,A:AL,37,FALSE)-50),"-",(VLOOKUP($A30,'NonXtal_SegEnds_BW#'!$A:$Z,25,FALSE)+VLOOKUP($A30,A:AL,37,FALSE)-50))</f>
        <v>824</v>
      </c>
      <c r="AK30" s="3">
        <v>827</v>
      </c>
      <c r="AL30" s="3">
        <f>IF(ISERROR((VLOOKUP($A30,'NonXtal_SegEnds_BW#'!$A:$Z,26,FALSE)+VLOOKUP($A30,A:AL,37,FALSE)-50)),"-",(VLOOKUP($A30,'NonXtal_SegEnds_BW#'!$A:$Z,26,FALSE)+VLOOKUP($A30,A:AL,37,FALSE)-50))</f>
        <v>846</v>
      </c>
      <c r="AM30" s="71" t="str">
        <f>VLOOKUP(A30,Classification!A:B,2,FALSE)</f>
        <v>A</v>
      </c>
      <c r="AN30" s="71" t="b">
        <f t="shared" si="2"/>
        <v>1</v>
      </c>
      <c r="AO30" s="3" t="str">
        <f t="shared" si="3"/>
        <v>-</v>
      </c>
      <c r="AP30" s="3" t="str">
        <f t="shared" si="4"/>
        <v>-</v>
      </c>
      <c r="AQ30" s="3" t="str">
        <f t="shared" si="5"/>
        <v>-</v>
      </c>
      <c r="AR30" s="3" t="str">
        <f t="shared" si="6"/>
        <v>-</v>
      </c>
      <c r="AS30" s="3">
        <f t="shared" si="7"/>
        <v>1</v>
      </c>
      <c r="AT30" s="3">
        <f t="shared" si="8"/>
        <v>2</v>
      </c>
      <c r="AU30" s="3">
        <f t="shared" si="9"/>
        <v>10</v>
      </c>
      <c r="AV30" s="3">
        <f t="shared" si="10"/>
        <v>6</v>
      </c>
      <c r="AW30" s="3">
        <f t="shared" si="11"/>
        <v>6</v>
      </c>
      <c r="AX30" s="3">
        <f t="shared" si="12"/>
        <v>6</v>
      </c>
      <c r="AY30" s="3">
        <f t="shared" si="13"/>
        <v>1</v>
      </c>
      <c r="AZ30" s="3">
        <f>IF(ISERROR(LEN(VLOOKUP(A30,Seqs!A:E,2,FALSE))-AL30),"-",LEN(VLOOKUP(A30,Seqs!A:E,2,FALSE))-AL30)</f>
        <v>61</v>
      </c>
      <c r="BA30" s="35">
        <f t="shared" si="14"/>
        <v>28</v>
      </c>
      <c r="BB30" s="3">
        <f t="shared" si="15"/>
        <v>20</v>
      </c>
      <c r="BC30" s="3">
        <f t="shared" si="16"/>
        <v>28</v>
      </c>
      <c r="BD30" s="3">
        <f t="shared" si="17"/>
        <v>45</v>
      </c>
    </row>
    <row r="31" spans="1:57" s="3" customFormat="1" x14ac:dyDescent="0.2">
      <c r="A31" s="3" t="s">
        <v>589</v>
      </c>
      <c r="B31" s="3" t="str">
        <f>LOWER(VLOOKUP(A31,Xtal_Templ!A:B,2,FALSE))</f>
        <v>aa2ar_human</v>
      </c>
      <c r="C31" s="3">
        <f>VLOOKUP($A31,'NonXtal_SegEnds_BW#'!$A:$Z,3,FALSE)+D31-50</f>
        <v>410</v>
      </c>
      <c r="D31" s="3">
        <v>432</v>
      </c>
      <c r="E31" s="3">
        <f>IF(ISERROR(VLOOKUP($A31,'NonXtal_SegEnds_BW#'!$A:$Z,4,FALSE)+VLOOKUP($A31,A:AL,4,FALSE)-50),"-",(VLOOKUP($A31,'NonXtal_SegEnds_BW#'!$A:$Z,4,FALSE)+VLOOKUP($A31,A:AL,4,FALSE)-50))</f>
        <v>442</v>
      </c>
      <c r="F31" s="3">
        <f t="shared" ref="F31:F67" si="25">G31-2</f>
        <v>444</v>
      </c>
      <c r="G31" s="3">
        <v>446</v>
      </c>
      <c r="H31" s="3">
        <f t="shared" ref="H31:I50" si="26">G31+1</f>
        <v>447</v>
      </c>
      <c r="I31" s="3">
        <f t="shared" si="26"/>
        <v>448</v>
      </c>
      <c r="J31" s="3">
        <v>460</v>
      </c>
      <c r="K31" s="3">
        <f>VLOOKUP($A31,'NonXtal_SegEnds_BW#'!$A:$Z,8,FALSE)+VLOOKUP($A31,A:AL,10,FALSE)-50</f>
        <v>477</v>
      </c>
      <c r="L31" s="3">
        <f>M31-1</f>
        <v>487</v>
      </c>
      <c r="M31" s="3">
        <v>488</v>
      </c>
      <c r="N31" s="3">
        <f t="shared" ref="N31:N40" si="27">M31+2</f>
        <v>490</v>
      </c>
      <c r="O31" s="3">
        <f t="shared" ref="O31:O40" si="28">N31+1</f>
        <v>491</v>
      </c>
      <c r="P31" s="3">
        <v>519</v>
      </c>
      <c r="Q31" s="3">
        <f>VLOOKUP($A31,'NonXtal_SegEnds_BW#'!$A:$Z,12,FALSE)+VLOOKUP($A31,A:AL,16,FALSE)-50</f>
        <v>525</v>
      </c>
      <c r="R31" s="3">
        <f>IF(ISERROR(VLOOKUP($A31,'NonXtal_SegEnds_BW#'!$A:$Z,13,FALSE)+VLOOKUP($A31,A:AL,19,FALSE)-50),"-",VLOOKUP($A31,'NonXtal_SegEnds_BW#'!$A:$Z,13,FALSE)+VLOOKUP($A31,A:AL,19,FALSE)-50)</f>
        <v>526</v>
      </c>
      <c r="S31" s="3">
        <v>526</v>
      </c>
      <c r="T31" s="3">
        <f>IF(ISERROR(VLOOKUP($A31,'NonXtal_SegEnds_BW#'!$A:$Z,14,FALSE)+VLOOKUP($A31,A:AL,19,FALSE)-50),"-",(VLOOKUP($A31,'NonXtal_SegEnds_BW#'!$A:$Z,14,FALSE)+VLOOKUP($A31,A:AL,19,FALSE)-50))</f>
        <v>533</v>
      </c>
      <c r="U31" s="3">
        <f>IF(ISERROR(VLOOKUP($A31,'NonXtal_SegEnds_BW#'!$A:$Z,15,FALSE)+VLOOKUP($A31,A:AL,22,FALSE)-50),"-",VLOOKUP($A31,'NonXtal_SegEnds_BW#'!$A:$Z,15,FALSE)+VLOOKUP($A31,A:AL,22,FALSE)-50)</f>
        <v>535</v>
      </c>
      <c r="V31" s="3">
        <v>546</v>
      </c>
      <c r="W31" s="3">
        <f>IF(ISERROR(VLOOKUP($A31,'NonXtal_SegEnds_BW#'!$A:$Z,16,FALSE)+VLOOKUP($A31,A:AL,22,FALSE)-50),"-",(VLOOKUP($A31,'NonXtal_SegEnds_BW#'!$A:$Z,16,FALSE)+VLOOKUP($A31,A:AL,22,FALSE)-50))</f>
        <v>559</v>
      </c>
      <c r="X31" s="3">
        <f>IF(ISERROR(VLOOKUP($A31,'NonXtal_SegEnds_BW#'!$A:$Z,17,FALSE)+VLOOKUP($A31,A:AL,25,FALSE)-50),"-",(VLOOKUP($A31,'NonXtal_SegEnds_BW#'!$A:$Z,17,FALSE)+VLOOKUP($A31,A:AL,25,FALSE)-50))</f>
        <v>569</v>
      </c>
      <c r="Y31" s="3">
        <v>569</v>
      </c>
      <c r="Z31" s="3">
        <f t="shared" si="24"/>
        <v>571</v>
      </c>
      <c r="AA31" s="3">
        <f>IF(ISERROR(VLOOKUP($A31,'NonXtal_SegEnds_BW#'!$A:$Z,19,FALSE)+VLOOKUP($A31,A:AL,28,FALSE)-50),"-",(VLOOKUP($A31,'NonXtal_SegEnds_BW#'!$A:$Z,19,FALSE)+VLOOKUP($A31,A:AL,28,FALSE)-50))</f>
        <v>577</v>
      </c>
      <c r="AB31" s="3">
        <v>593</v>
      </c>
      <c r="AC31" s="3">
        <f>IF(ISERROR((VLOOKUP($A31,'NonXtal_SegEnds_BW#'!$A:$Z,20,FALSE)+VLOOKUP($A31,A:AL,28,FALSE)-50)),"-",(VLOOKUP($A31,'NonXtal_SegEnds_BW#'!$A:$Z,20,FALSE)+VLOOKUP($A31,A:AL,28,FALSE)-50))</f>
        <v>610</v>
      </c>
      <c r="AD31" s="3">
        <f>IF(ISERROR(VLOOKUP($A31,'NonXtal_SegEnds_BW#'!$A:$Z,21,FALSE)+VLOOKUP($A31,A:AL,31,FALSE)-50),"-",(VLOOKUP($A31,'NonXtal_SegEnds_BW#'!$A:$Z,21,FALSE)+VLOOKUP($A31,A:AL,31,FALSE)-50))</f>
        <v>615</v>
      </c>
      <c r="AE31" s="3">
        <v>639</v>
      </c>
      <c r="AF31" s="3">
        <f>IF(ISERROR((VLOOKUP($A31,'NonXtal_SegEnds_BW#'!$A:$Z,22,FALSE)+VLOOKUP($A31,A:AL,31,FALSE)-50)),"-",(VLOOKUP($A31,'NonXtal_SegEnds_BW#'!$A:$Z,22,FALSE)+VLOOKUP($A31,A:AL,31,FALSE)-50))</f>
        <v>650</v>
      </c>
      <c r="AG31" s="3">
        <f>IF(ISERROR(VLOOKUP($A31,'NonXtal_SegEnds_BW#'!$A:$Z,23,FALSE)+VLOOKUP($A31,A:AL,34,FALSE)-50),"-",(VLOOKUP($A31,'NonXtal_SegEnds_BW#'!$A:$Z,23,FALSE)+VLOOKUP($A31,A:AL,34,FALSE)-50))</f>
        <v>656</v>
      </c>
      <c r="AH31" s="3">
        <v>675</v>
      </c>
      <c r="AI31" s="3">
        <f>IF(ISERROR((VLOOKUP($A31,'NonXtal_SegEnds_BW#'!$A:$Z,24,FALSE)+VLOOKUP($A31,A:AL,34,FALSE)-50)),"-",(VLOOKUP($A31,'NonXtal_SegEnds_BW#'!$A:$Z,24,FALSE)+VLOOKUP($A31,A:AL,34,FALSE)-50))</f>
        <v>681</v>
      </c>
      <c r="AJ31" s="3">
        <f>IF(ISERROR(VLOOKUP($A31,'NonXtal_SegEnds_BW#'!$A:$Z,25,FALSE)+VLOOKUP($A31,A:AL,37,FALSE)-50),"-",(VLOOKUP($A31,'NonXtal_SegEnds_BW#'!$A:$Z,25,FALSE)+VLOOKUP($A31,A:AL,37,FALSE)-50))</f>
        <v>682</v>
      </c>
      <c r="AK31" s="3">
        <v>685</v>
      </c>
      <c r="AL31" s="3">
        <f>IF(ISERROR((VLOOKUP($A31,'NonXtal_SegEnds_BW#'!$A:$Z,26,FALSE)+VLOOKUP($A31,A:AL,37,FALSE)-50)),"-",(VLOOKUP($A31,'NonXtal_SegEnds_BW#'!$A:$Z,26,FALSE)+VLOOKUP($A31,A:AL,37,FALSE)-50))</f>
        <v>704</v>
      </c>
      <c r="AM31" s="71" t="str">
        <f>VLOOKUP(A31,Classification!A:B,2,FALSE)</f>
        <v>A</v>
      </c>
      <c r="AN31" s="71" t="b">
        <f t="shared" si="2"/>
        <v>1</v>
      </c>
      <c r="AO31" s="3">
        <f t="shared" si="3"/>
        <v>2</v>
      </c>
      <c r="AP31" s="3">
        <f t="shared" si="4"/>
        <v>1</v>
      </c>
      <c r="AQ31" s="3">
        <f t="shared" si="5"/>
        <v>10</v>
      </c>
      <c r="AR31" s="3">
        <f t="shared" si="6"/>
        <v>1</v>
      </c>
      <c r="AS31" s="3">
        <f t="shared" si="7"/>
        <v>1</v>
      </c>
      <c r="AT31" s="3">
        <f t="shared" si="8"/>
        <v>2</v>
      </c>
      <c r="AU31" s="3">
        <f t="shared" si="9"/>
        <v>10</v>
      </c>
      <c r="AV31" s="3">
        <f t="shared" si="10"/>
        <v>6</v>
      </c>
      <c r="AW31" s="3">
        <f t="shared" si="11"/>
        <v>5</v>
      </c>
      <c r="AX31" s="3">
        <f t="shared" si="12"/>
        <v>6</v>
      </c>
      <c r="AY31" s="3">
        <f t="shared" si="13"/>
        <v>1</v>
      </c>
      <c r="AZ31" s="3">
        <f>IF(ISERROR(LEN(VLOOKUP(A31,Seqs!A:E,2,FALSE))-AL31),"-",LEN(VLOOKUP(A31,Seqs!A:E,2,FALSE))-AL31)</f>
        <v>60</v>
      </c>
      <c r="BA31" s="35">
        <f t="shared" si="14"/>
        <v>28</v>
      </c>
      <c r="BB31" s="3">
        <f t="shared" si="15"/>
        <v>20</v>
      </c>
      <c r="BC31" s="3">
        <f t="shared" si="16"/>
        <v>28</v>
      </c>
      <c r="BD31" s="3">
        <f t="shared" si="17"/>
        <v>46</v>
      </c>
    </row>
    <row r="32" spans="1:57" s="3" customFormat="1" x14ac:dyDescent="0.2">
      <c r="A32" s="3" t="s">
        <v>398</v>
      </c>
      <c r="B32" s="3" t="str">
        <f>LOWER(VLOOKUP(A32,Xtal_Templ!A:B,2,FALSE))</f>
        <v>aa2ar_human</v>
      </c>
      <c r="C32" s="3">
        <f>VLOOKUP($A32,'NonXtal_SegEnds_BW#'!$A:$Z,3,FALSE)+D32-50</f>
        <v>358</v>
      </c>
      <c r="D32" s="3">
        <v>380</v>
      </c>
      <c r="E32" s="3">
        <f>IF(ISERROR(VLOOKUP($A32,'NonXtal_SegEnds_BW#'!$A:$Z,4,FALSE)+VLOOKUP($A32,A:AL,4,FALSE)-50),"-",(VLOOKUP($A32,'NonXtal_SegEnds_BW#'!$A:$Z,4,FALSE)+VLOOKUP($A32,A:AL,4,FALSE)-50))</f>
        <v>390</v>
      </c>
      <c r="F32" s="3">
        <f t="shared" si="25"/>
        <v>392</v>
      </c>
      <c r="G32" s="3">
        <v>394</v>
      </c>
      <c r="H32" s="3">
        <f t="shared" si="26"/>
        <v>395</v>
      </c>
      <c r="I32" s="3">
        <f t="shared" si="26"/>
        <v>396</v>
      </c>
      <c r="J32" s="3">
        <v>408</v>
      </c>
      <c r="K32" s="3">
        <f>VLOOKUP($A32,'NonXtal_SegEnds_BW#'!$A:$Z,8,FALSE)+VLOOKUP($A32,A:AL,10,FALSE)-50</f>
        <v>425</v>
      </c>
      <c r="L32" s="3">
        <f>M32-1</f>
        <v>435</v>
      </c>
      <c r="M32" s="3">
        <v>436</v>
      </c>
      <c r="N32" s="3">
        <f t="shared" si="27"/>
        <v>438</v>
      </c>
      <c r="O32" s="3">
        <f t="shared" si="28"/>
        <v>439</v>
      </c>
      <c r="P32" s="3">
        <v>467</v>
      </c>
      <c r="Q32" s="3">
        <f>VLOOKUP($A32,'NonXtal_SegEnds_BW#'!$A:$Z,12,FALSE)+VLOOKUP($A32,A:AL,16,FALSE)-50</f>
        <v>473</v>
      </c>
      <c r="R32" s="3">
        <f>IF(ISERROR(VLOOKUP($A32,'NonXtal_SegEnds_BW#'!$A:$Z,13,FALSE)+VLOOKUP($A32,A:AL,19,FALSE)-50),"-",VLOOKUP($A32,'NonXtal_SegEnds_BW#'!$A:$Z,13,FALSE)+VLOOKUP($A32,A:AL,19,FALSE)-50)</f>
        <v>474</v>
      </c>
      <c r="S32" s="3">
        <v>474</v>
      </c>
      <c r="T32" s="3">
        <f>IF(ISERROR(VLOOKUP($A32,'NonXtal_SegEnds_BW#'!$A:$Z,14,FALSE)+VLOOKUP($A32,A:AL,19,FALSE)-50),"-",(VLOOKUP($A32,'NonXtal_SegEnds_BW#'!$A:$Z,14,FALSE)+VLOOKUP($A32,A:AL,19,FALSE)-50))</f>
        <v>481</v>
      </c>
      <c r="U32" s="3">
        <f>IF(ISERROR(VLOOKUP($A32,'NonXtal_SegEnds_BW#'!$A:$Z,15,FALSE)+VLOOKUP($A32,A:AL,22,FALSE)-50),"-",VLOOKUP($A32,'NonXtal_SegEnds_BW#'!$A:$Z,15,FALSE)+VLOOKUP($A32,A:AL,22,FALSE)-50)</f>
        <v>483</v>
      </c>
      <c r="V32" s="3">
        <v>494</v>
      </c>
      <c r="W32" s="3">
        <f>IF(ISERROR(VLOOKUP($A32,'NonXtal_SegEnds_BW#'!$A:$Z,16,FALSE)+VLOOKUP($A32,A:AL,22,FALSE)-50),"-",(VLOOKUP($A32,'NonXtal_SegEnds_BW#'!$A:$Z,16,FALSE)+VLOOKUP($A32,A:AL,22,FALSE)-50))</f>
        <v>507</v>
      </c>
      <c r="X32" s="3">
        <f>IF(ISERROR(VLOOKUP($A32,'NonXtal_SegEnds_BW#'!$A:$Z,17,FALSE)+VLOOKUP($A32,A:AL,25,FALSE)-50),"-",(VLOOKUP($A32,'NonXtal_SegEnds_BW#'!$A:$Z,17,FALSE)+VLOOKUP($A32,A:AL,25,FALSE)-50))</f>
        <v>517</v>
      </c>
      <c r="Y32" s="3">
        <v>517</v>
      </c>
      <c r="Z32" s="3">
        <f t="shared" si="24"/>
        <v>519</v>
      </c>
      <c r="AA32" s="3">
        <f>IF(ISERROR(VLOOKUP($A32,'NonXtal_SegEnds_BW#'!$A:$Z,19,FALSE)+VLOOKUP($A32,A:AL,28,FALSE)-50),"-",(VLOOKUP($A32,'NonXtal_SegEnds_BW#'!$A:$Z,19,FALSE)+VLOOKUP($A32,A:AL,28,FALSE)-50))</f>
        <v>525</v>
      </c>
      <c r="AB32" s="3">
        <v>541</v>
      </c>
      <c r="AC32" s="3">
        <f>IF(ISERROR((VLOOKUP($A32,'NonXtal_SegEnds_BW#'!$A:$Z,20,FALSE)+VLOOKUP($A32,A:AL,28,FALSE)-50)),"-",(VLOOKUP($A32,'NonXtal_SegEnds_BW#'!$A:$Z,20,FALSE)+VLOOKUP($A32,A:AL,28,FALSE)-50))</f>
        <v>558</v>
      </c>
      <c r="AD32" s="3">
        <f>IF(ISERROR(VLOOKUP($A32,'NonXtal_SegEnds_BW#'!$A:$Z,21,FALSE)+VLOOKUP($A32,A:AL,31,FALSE)-50),"-",(VLOOKUP($A32,'NonXtal_SegEnds_BW#'!$A:$Z,21,FALSE)+VLOOKUP($A32,A:AL,31,FALSE)-50))</f>
        <v>563</v>
      </c>
      <c r="AE32" s="3">
        <v>587</v>
      </c>
      <c r="AF32" s="3">
        <f>IF(ISERROR((VLOOKUP($A32,'NonXtal_SegEnds_BW#'!$A:$Z,22,FALSE)+VLOOKUP($A32,A:AL,31,FALSE)-50)),"-",(VLOOKUP($A32,'NonXtal_SegEnds_BW#'!$A:$Z,22,FALSE)+VLOOKUP($A32,A:AL,31,FALSE)-50))</f>
        <v>598</v>
      </c>
      <c r="AG32" s="3">
        <f>IF(ISERROR(VLOOKUP($A32,'NonXtal_SegEnds_BW#'!$A:$Z,23,FALSE)+VLOOKUP($A32,A:AL,34,FALSE)-50),"-",(VLOOKUP($A32,'NonXtal_SegEnds_BW#'!$A:$Z,23,FALSE)+VLOOKUP($A32,A:AL,34,FALSE)-50))</f>
        <v>604</v>
      </c>
      <c r="AH32" s="3">
        <v>623</v>
      </c>
      <c r="AI32" s="3">
        <f>IF(ISERROR((VLOOKUP($A32,'NonXtal_SegEnds_BW#'!$A:$Z,24,FALSE)+VLOOKUP($A32,A:AL,34,FALSE)-50)),"-",(VLOOKUP($A32,'NonXtal_SegEnds_BW#'!$A:$Z,24,FALSE)+VLOOKUP($A32,A:AL,34,FALSE)-50))</f>
        <v>629</v>
      </c>
      <c r="AJ32" s="3">
        <f>IF(ISERROR(VLOOKUP($A32,'NonXtal_SegEnds_BW#'!$A:$Z,25,FALSE)+VLOOKUP($A32,A:AL,37,FALSE)-50),"-",(VLOOKUP($A32,'NonXtal_SegEnds_BW#'!$A:$Z,25,FALSE)+VLOOKUP($A32,A:AL,37,FALSE)-50))</f>
        <v>630</v>
      </c>
      <c r="AK32" s="3">
        <v>633</v>
      </c>
      <c r="AL32" s="3">
        <f>IF(ISERROR((VLOOKUP($A32,'NonXtal_SegEnds_BW#'!$A:$Z,26,FALSE)+VLOOKUP($A32,A:AL,37,FALSE)-50)),"-",(VLOOKUP($A32,'NonXtal_SegEnds_BW#'!$A:$Z,26,FALSE)+VLOOKUP($A32,A:AL,37,FALSE)-50))</f>
        <v>652</v>
      </c>
      <c r="AM32" s="71" t="str">
        <f>VLOOKUP(A32,Classification!A:B,2,FALSE)</f>
        <v>A</v>
      </c>
      <c r="AN32" s="71" t="b">
        <f t="shared" si="2"/>
        <v>1</v>
      </c>
      <c r="AO32" s="3">
        <f t="shared" si="3"/>
        <v>2</v>
      </c>
      <c r="AP32" s="3">
        <f t="shared" si="4"/>
        <v>1</v>
      </c>
      <c r="AQ32" s="3">
        <f t="shared" si="5"/>
        <v>10</v>
      </c>
      <c r="AR32" s="3">
        <f t="shared" si="6"/>
        <v>1</v>
      </c>
      <c r="AS32" s="3">
        <f t="shared" si="7"/>
        <v>1</v>
      </c>
      <c r="AT32" s="3">
        <f t="shared" si="8"/>
        <v>2</v>
      </c>
      <c r="AU32" s="3">
        <f t="shared" si="9"/>
        <v>10</v>
      </c>
      <c r="AV32" s="3">
        <f t="shared" si="10"/>
        <v>6</v>
      </c>
      <c r="AW32" s="3">
        <f t="shared" si="11"/>
        <v>5</v>
      </c>
      <c r="AX32" s="3">
        <f t="shared" si="12"/>
        <v>6</v>
      </c>
      <c r="AY32" s="3">
        <f t="shared" si="13"/>
        <v>1</v>
      </c>
      <c r="AZ32" s="3">
        <f>IF(ISERROR(LEN(VLOOKUP(A32,Seqs!A:E,2,FALSE))-AL32),"-",LEN(VLOOKUP(A32,Seqs!A:E,2,FALSE))-AL32)</f>
        <v>43</v>
      </c>
      <c r="BA32" s="35">
        <f t="shared" si="14"/>
        <v>28</v>
      </c>
      <c r="BB32" s="3">
        <f t="shared" si="15"/>
        <v>20</v>
      </c>
      <c r="BC32" s="3">
        <f t="shared" si="16"/>
        <v>28</v>
      </c>
      <c r="BD32" s="3">
        <f t="shared" si="17"/>
        <v>46</v>
      </c>
    </row>
    <row r="33" spans="1:57" s="3" customFormat="1" x14ac:dyDescent="0.2">
      <c r="A33" s="3" t="s">
        <v>485</v>
      </c>
      <c r="B33" s="3" t="str">
        <f>LOWER(VLOOKUP(A33,Xtal_Templ!A:B,2,FALSE))</f>
        <v>aa2ar_human</v>
      </c>
      <c r="C33" s="3">
        <f>VLOOKUP($A33,'NonXtal_SegEnds_BW#'!$A:$Z,3,FALSE)+D33-50</f>
        <v>355</v>
      </c>
      <c r="D33" s="3">
        <v>377</v>
      </c>
      <c r="E33" s="3">
        <f>IF(ISERROR(VLOOKUP($A33,'NonXtal_SegEnds_BW#'!$A:$Z,4,FALSE)+VLOOKUP($A33,A:AL,4,FALSE)-50),"-",(VLOOKUP($A33,'NonXtal_SegEnds_BW#'!$A:$Z,4,FALSE)+VLOOKUP($A33,A:AL,4,FALSE)-50))</f>
        <v>387</v>
      </c>
      <c r="F33" s="3">
        <f t="shared" si="25"/>
        <v>389</v>
      </c>
      <c r="G33" s="3">
        <v>391</v>
      </c>
      <c r="H33" s="3">
        <f t="shared" si="26"/>
        <v>392</v>
      </c>
      <c r="I33" s="3">
        <f t="shared" si="26"/>
        <v>393</v>
      </c>
      <c r="J33" s="3">
        <v>405</v>
      </c>
      <c r="K33" s="3">
        <f>VLOOKUP($A33,'NonXtal_SegEnds_BW#'!$A:$Z,8,FALSE)+VLOOKUP($A33,A:AL,10,FALSE)-50</f>
        <v>422</v>
      </c>
      <c r="L33" s="3">
        <f>M33-1</f>
        <v>432</v>
      </c>
      <c r="M33" s="3">
        <v>433</v>
      </c>
      <c r="N33" s="3">
        <f t="shared" si="27"/>
        <v>435</v>
      </c>
      <c r="O33" s="3">
        <f t="shared" si="28"/>
        <v>436</v>
      </c>
      <c r="P33" s="3">
        <v>464</v>
      </c>
      <c r="Q33" s="3">
        <f>VLOOKUP($A33,'NonXtal_SegEnds_BW#'!$A:$Z,12,FALSE)+VLOOKUP($A33,A:AL,16,FALSE)-50</f>
        <v>470</v>
      </c>
      <c r="R33" s="3">
        <f>IF(ISERROR(VLOOKUP($A33,'NonXtal_SegEnds_BW#'!$A:$Z,13,FALSE)+VLOOKUP($A33,A:AL,19,FALSE)-50),"-",VLOOKUP($A33,'NonXtal_SegEnds_BW#'!$A:$Z,13,FALSE)+VLOOKUP($A33,A:AL,19,FALSE)-50)</f>
        <v>471</v>
      </c>
      <c r="S33" s="3">
        <v>471</v>
      </c>
      <c r="T33" s="3">
        <f>IF(ISERROR(VLOOKUP($A33,'NonXtal_SegEnds_BW#'!$A:$Z,14,FALSE)+VLOOKUP($A33,A:AL,19,FALSE)-50),"-",(VLOOKUP($A33,'NonXtal_SegEnds_BW#'!$A:$Z,14,FALSE)+VLOOKUP($A33,A:AL,19,FALSE)-50))</f>
        <v>478</v>
      </c>
      <c r="U33" s="3">
        <f>IF(ISERROR(VLOOKUP($A33,'NonXtal_SegEnds_BW#'!$A:$Z,15,FALSE)+VLOOKUP($A33,A:AL,22,FALSE)-50),"-",VLOOKUP($A33,'NonXtal_SegEnds_BW#'!$A:$Z,15,FALSE)+VLOOKUP($A33,A:AL,22,FALSE)-50)</f>
        <v>480</v>
      </c>
      <c r="V33" s="3">
        <v>491</v>
      </c>
      <c r="W33" s="3">
        <f>IF(ISERROR(VLOOKUP($A33,'NonXtal_SegEnds_BW#'!$A:$Z,16,FALSE)+VLOOKUP($A33,A:AL,22,FALSE)-50),"-",(VLOOKUP($A33,'NonXtal_SegEnds_BW#'!$A:$Z,16,FALSE)+VLOOKUP($A33,A:AL,22,FALSE)-50))</f>
        <v>504</v>
      </c>
      <c r="X33" s="3">
        <f>IF(ISERROR(VLOOKUP($A33,'NonXtal_SegEnds_BW#'!$A:$Z,17,FALSE)+VLOOKUP($A33,A:AL,25,FALSE)-50),"-",(VLOOKUP($A33,'NonXtal_SegEnds_BW#'!$A:$Z,17,FALSE)+VLOOKUP($A33,A:AL,25,FALSE)-50))</f>
        <v>514</v>
      </c>
      <c r="Y33" s="3">
        <v>514</v>
      </c>
      <c r="Z33" s="3">
        <f t="shared" si="24"/>
        <v>516</v>
      </c>
      <c r="AA33" s="3">
        <f>IF(ISERROR(VLOOKUP($A33,'NonXtal_SegEnds_BW#'!$A:$Z,19,FALSE)+VLOOKUP($A33,A:AL,28,FALSE)-50),"-",(VLOOKUP($A33,'NonXtal_SegEnds_BW#'!$A:$Z,19,FALSE)+VLOOKUP($A33,A:AL,28,FALSE)-50))</f>
        <v>522</v>
      </c>
      <c r="AB33" s="3">
        <v>538</v>
      </c>
      <c r="AC33" s="3">
        <f>IF(ISERROR((VLOOKUP($A33,'NonXtal_SegEnds_BW#'!$A:$Z,20,FALSE)+VLOOKUP($A33,A:AL,28,FALSE)-50)),"-",(VLOOKUP($A33,'NonXtal_SegEnds_BW#'!$A:$Z,20,FALSE)+VLOOKUP($A33,A:AL,28,FALSE)-50))</f>
        <v>555</v>
      </c>
      <c r="AD33" s="3">
        <f>IF(ISERROR(VLOOKUP($A33,'NonXtal_SegEnds_BW#'!$A:$Z,21,FALSE)+VLOOKUP($A33,A:AL,31,FALSE)-50),"-",(VLOOKUP($A33,'NonXtal_SegEnds_BW#'!$A:$Z,21,FALSE)+VLOOKUP($A33,A:AL,31,FALSE)-50))</f>
        <v>560</v>
      </c>
      <c r="AE33" s="3">
        <v>584</v>
      </c>
      <c r="AF33" s="3">
        <f>IF(ISERROR((VLOOKUP($A33,'NonXtal_SegEnds_BW#'!$A:$Z,22,FALSE)+VLOOKUP($A33,A:AL,31,FALSE)-50)),"-",(VLOOKUP($A33,'NonXtal_SegEnds_BW#'!$A:$Z,22,FALSE)+VLOOKUP($A33,A:AL,31,FALSE)-50))</f>
        <v>595</v>
      </c>
      <c r="AG33" s="3">
        <f>IF(ISERROR(VLOOKUP($A33,'NonXtal_SegEnds_BW#'!$A:$Z,23,FALSE)+VLOOKUP($A33,A:AL,34,FALSE)-50),"-",(VLOOKUP($A33,'NonXtal_SegEnds_BW#'!$A:$Z,23,FALSE)+VLOOKUP($A33,A:AL,34,FALSE)-50))</f>
        <v>601</v>
      </c>
      <c r="AH33" s="3">
        <v>620</v>
      </c>
      <c r="AI33" s="3">
        <f>IF(ISERROR((VLOOKUP($A33,'NonXtal_SegEnds_BW#'!$A:$Z,24,FALSE)+VLOOKUP($A33,A:AL,34,FALSE)-50)),"-",(VLOOKUP($A33,'NonXtal_SegEnds_BW#'!$A:$Z,24,FALSE)+VLOOKUP($A33,A:AL,34,FALSE)-50))</f>
        <v>626</v>
      </c>
      <c r="AJ33" s="3">
        <f>IF(ISERROR(VLOOKUP($A33,'NonXtal_SegEnds_BW#'!$A:$Z,25,FALSE)+VLOOKUP($A33,A:AL,37,FALSE)-50),"-",(VLOOKUP($A33,'NonXtal_SegEnds_BW#'!$A:$Z,25,FALSE)+VLOOKUP($A33,A:AL,37,FALSE)-50))</f>
        <v>627</v>
      </c>
      <c r="AK33" s="3">
        <v>630</v>
      </c>
      <c r="AL33" s="3">
        <f>IF(ISERROR((VLOOKUP($A33,'NonXtal_SegEnds_BW#'!$A:$Z,26,FALSE)+VLOOKUP($A33,A:AL,37,FALSE)-50)),"-",(VLOOKUP($A33,'NonXtal_SegEnds_BW#'!$A:$Z,26,FALSE)+VLOOKUP($A33,A:AL,37,FALSE)-50))</f>
        <v>649</v>
      </c>
      <c r="AM33" s="71" t="str">
        <f>VLOOKUP(A33,Classification!A:B,2,FALSE)</f>
        <v>A</v>
      </c>
      <c r="AN33" s="71" t="b">
        <f t="shared" si="2"/>
        <v>1</v>
      </c>
      <c r="AO33" s="3">
        <f t="shared" si="3"/>
        <v>2</v>
      </c>
      <c r="AP33" s="3">
        <f t="shared" si="4"/>
        <v>1</v>
      </c>
      <c r="AQ33" s="3">
        <f t="shared" si="5"/>
        <v>10</v>
      </c>
      <c r="AR33" s="3">
        <f t="shared" si="6"/>
        <v>1</v>
      </c>
      <c r="AS33" s="3">
        <f t="shared" si="7"/>
        <v>1</v>
      </c>
      <c r="AT33" s="3">
        <f t="shared" si="8"/>
        <v>2</v>
      </c>
      <c r="AU33" s="3">
        <f t="shared" si="9"/>
        <v>10</v>
      </c>
      <c r="AV33" s="3">
        <f t="shared" si="10"/>
        <v>6</v>
      </c>
      <c r="AW33" s="3">
        <f t="shared" si="11"/>
        <v>5</v>
      </c>
      <c r="AX33" s="3">
        <f t="shared" si="12"/>
        <v>6</v>
      </c>
      <c r="AY33" s="3">
        <f t="shared" si="13"/>
        <v>1</v>
      </c>
      <c r="AZ33" s="3">
        <f>IF(ISERROR(LEN(VLOOKUP(A33,Seqs!A:E,2,FALSE))-AL33),"-",LEN(VLOOKUP(A33,Seqs!A:E,2,FALSE))-AL33)</f>
        <v>50</v>
      </c>
      <c r="BA33" s="35">
        <f t="shared" si="14"/>
        <v>28</v>
      </c>
      <c r="BB33" s="3">
        <f t="shared" si="15"/>
        <v>20</v>
      </c>
      <c r="BC33" s="3">
        <f t="shared" si="16"/>
        <v>28</v>
      </c>
      <c r="BD33" s="3">
        <f t="shared" si="17"/>
        <v>46</v>
      </c>
    </row>
    <row r="34" spans="1:57" s="3" customFormat="1" x14ac:dyDescent="0.2">
      <c r="A34" s="3" t="s">
        <v>555</v>
      </c>
      <c r="B34" s="3" t="str">
        <f>LOWER(VLOOKUP(A34,Xtal_Templ!A:B,2,FALSE))</f>
        <v>aa2ar_human</v>
      </c>
      <c r="C34" s="3">
        <f>VLOOKUP($A34,'NonXtal_SegEnds_BW#'!$A:$Z,3,FALSE)+D34-50</f>
        <v>28</v>
      </c>
      <c r="D34" s="3">
        <v>50</v>
      </c>
      <c r="E34" s="3">
        <f>IF(ISERROR(VLOOKUP($A34,'NonXtal_SegEnds_BW#'!$A:$Z,4,FALSE)+VLOOKUP($A34,A:AL,4,FALSE)-50),"-",(VLOOKUP($A34,'NonXtal_SegEnds_BW#'!$A:$Z,4,FALSE)+VLOOKUP($A34,A:AL,4,FALSE)-50))</f>
        <v>60</v>
      </c>
      <c r="F34" s="3">
        <f t="shared" si="25"/>
        <v>62</v>
      </c>
      <c r="G34" s="3">
        <v>64</v>
      </c>
      <c r="H34" s="3">
        <f t="shared" si="26"/>
        <v>65</v>
      </c>
      <c r="I34" s="3">
        <f t="shared" si="26"/>
        <v>66</v>
      </c>
      <c r="J34" s="3">
        <v>84</v>
      </c>
      <c r="K34" s="3">
        <f>VLOOKUP($A34,'NonXtal_SegEnds_BW#'!$A:$Z,8,FALSE)+VLOOKUP($A34,A:AL,10,FALSE)-50</f>
        <v>100</v>
      </c>
      <c r="L34" s="3">
        <f>M34-1</f>
        <v>103</v>
      </c>
      <c r="M34" s="3">
        <v>104</v>
      </c>
      <c r="N34" s="3">
        <f t="shared" si="27"/>
        <v>106</v>
      </c>
      <c r="O34" s="3">
        <f t="shared" si="28"/>
        <v>107</v>
      </c>
      <c r="P34" s="3">
        <v>135</v>
      </c>
      <c r="Q34" s="3">
        <f>VLOOKUP($A34,'NonXtal_SegEnds_BW#'!$A:$Z,12,FALSE)+VLOOKUP($A34,A:AL,16,FALSE)-50</f>
        <v>141</v>
      </c>
      <c r="R34" s="3">
        <f>IF(ISERROR(VLOOKUP($A34,'NonXtal_SegEnds_BW#'!$A:$Z,13,FALSE)+VLOOKUP($A34,A:AL,19,FALSE)-50),"-",VLOOKUP($A34,'NonXtal_SegEnds_BW#'!$A:$Z,13,FALSE)+VLOOKUP($A34,A:AL,19,FALSE)-50)</f>
        <v>142</v>
      </c>
      <c r="S34" s="3">
        <v>142</v>
      </c>
      <c r="T34" s="3">
        <f>IF(ISERROR(VLOOKUP($A34,'NonXtal_SegEnds_BW#'!$A:$Z,14,FALSE)+VLOOKUP($A34,A:AL,19,FALSE)-50),"-",(VLOOKUP($A34,'NonXtal_SegEnds_BW#'!$A:$Z,14,FALSE)+VLOOKUP($A34,A:AL,19,FALSE)-50))</f>
        <v>149</v>
      </c>
      <c r="U34" s="3">
        <f>IF(ISERROR(VLOOKUP($A34,'NonXtal_SegEnds_BW#'!$A:$Z,15,FALSE)+VLOOKUP($A34,A:AL,22,FALSE)-50),"-",VLOOKUP($A34,'NonXtal_SegEnds_BW#'!$A:$Z,15,FALSE)+VLOOKUP($A34,A:AL,22,FALSE)-50)</f>
        <v>151</v>
      </c>
      <c r="V34" s="3">
        <v>162</v>
      </c>
      <c r="W34" s="3">
        <f>IF(ISERROR(VLOOKUP($A34,'NonXtal_SegEnds_BW#'!$A:$Z,16,FALSE)+VLOOKUP($A34,A:AL,22,FALSE)-50),"-",(VLOOKUP($A34,'NonXtal_SegEnds_BW#'!$A:$Z,16,FALSE)+VLOOKUP($A34,A:AL,22,FALSE)-50))</f>
        <v>175</v>
      </c>
      <c r="X34" s="3">
        <f>IF(ISERROR(VLOOKUP($A34,'NonXtal_SegEnds_BW#'!$A:$Z,17,FALSE)+VLOOKUP($A34,A:AL,25,FALSE)-50),"-",(VLOOKUP($A34,'NonXtal_SegEnds_BW#'!$A:$Z,17,FALSE)+VLOOKUP($A34,A:AL,25,FALSE)-50))</f>
        <v>188</v>
      </c>
      <c r="Y34" s="3">
        <v>188</v>
      </c>
      <c r="Z34" s="3">
        <f t="shared" si="24"/>
        <v>190</v>
      </c>
      <c r="AA34" s="3">
        <f>IF(ISERROR(VLOOKUP($A34,'NonXtal_SegEnds_BW#'!$A:$Z,19,FALSE)+VLOOKUP($A34,A:AL,28,FALSE)-50),"-",(VLOOKUP($A34,'NonXtal_SegEnds_BW#'!$A:$Z,19,FALSE)+VLOOKUP($A34,A:AL,28,FALSE)-50))</f>
        <v>200</v>
      </c>
      <c r="AB34" s="3">
        <v>216</v>
      </c>
      <c r="AC34" s="3">
        <f>IF(ISERROR((VLOOKUP($A34,'NonXtal_SegEnds_BW#'!$A:$Z,20,FALSE)+VLOOKUP($A34,A:AL,28,FALSE)-50)),"-",(VLOOKUP($A34,'NonXtal_SegEnds_BW#'!$A:$Z,20,FALSE)+VLOOKUP($A34,A:AL,28,FALSE)-50))</f>
        <v>240</v>
      </c>
      <c r="AD34" s="3">
        <f>IF(ISERROR(VLOOKUP($A34,'NonXtal_SegEnds_BW#'!$A:$Z,21,FALSE)+VLOOKUP($A34,A:AL,31,FALSE)-50),"-",(VLOOKUP($A34,'NonXtal_SegEnds_BW#'!$A:$Z,21,FALSE)+VLOOKUP($A34,A:AL,31,FALSE)-50))</f>
        <v>286</v>
      </c>
      <c r="AE34" s="3">
        <v>312</v>
      </c>
      <c r="AF34" s="3">
        <f>IF(ISERROR((VLOOKUP($A34,'NonXtal_SegEnds_BW#'!$A:$Z,22,FALSE)+VLOOKUP($A34,A:AL,31,FALSE)-50)),"-",(VLOOKUP($A34,'NonXtal_SegEnds_BW#'!$A:$Z,22,FALSE)+VLOOKUP($A34,A:AL,31,FALSE)-50))</f>
        <v>323</v>
      </c>
      <c r="AG34" s="3">
        <f>IF(ISERROR(VLOOKUP($A34,'NonXtal_SegEnds_BW#'!$A:$Z,23,FALSE)+VLOOKUP($A34,A:AL,34,FALSE)-50),"-",(VLOOKUP($A34,'NonXtal_SegEnds_BW#'!$A:$Z,23,FALSE)+VLOOKUP($A34,A:AL,34,FALSE)-50))</f>
        <v>329</v>
      </c>
      <c r="AH34" s="3">
        <v>348</v>
      </c>
      <c r="AI34" s="3">
        <f>IF(ISERROR((VLOOKUP($A34,'NonXtal_SegEnds_BW#'!$A:$Z,24,FALSE)+VLOOKUP($A34,A:AL,34,FALSE)-50)),"-",(VLOOKUP($A34,'NonXtal_SegEnds_BW#'!$A:$Z,24,FALSE)+VLOOKUP($A34,A:AL,34,FALSE)-50))</f>
        <v>354</v>
      </c>
      <c r="AJ34" s="3">
        <f>IF(ISERROR(VLOOKUP($A34,'NonXtal_SegEnds_BW#'!$A:$Z,25,FALSE)+VLOOKUP($A34,A:AL,37,FALSE)-50),"-",(VLOOKUP($A34,'NonXtal_SegEnds_BW#'!$A:$Z,25,FALSE)+VLOOKUP($A34,A:AL,37,FALSE)-50))</f>
        <v>355</v>
      </c>
      <c r="AK34" s="3">
        <v>358</v>
      </c>
      <c r="AL34" s="3">
        <f>IF(ISERROR((VLOOKUP($A34,'NonXtal_SegEnds_BW#'!$A:$Z,26,FALSE)+VLOOKUP($A34,A:AL,37,FALSE)-50)),"-",(VLOOKUP($A34,'NonXtal_SegEnds_BW#'!$A:$Z,26,FALSE)+VLOOKUP($A34,A:AL,37,FALSE)-50))</f>
        <v>377</v>
      </c>
      <c r="AM34" s="71" t="str">
        <f>VLOOKUP(A34,Classification!A:B,2,FALSE)</f>
        <v>A</v>
      </c>
      <c r="AN34" s="71" t="b">
        <f t="shared" si="2"/>
        <v>1</v>
      </c>
      <c r="AO34" s="3">
        <f t="shared" si="3"/>
        <v>2</v>
      </c>
      <c r="AP34" s="3">
        <f t="shared" si="4"/>
        <v>1</v>
      </c>
      <c r="AQ34" s="3">
        <f t="shared" si="5"/>
        <v>3</v>
      </c>
      <c r="AR34" s="3">
        <f t="shared" si="6"/>
        <v>1</v>
      </c>
      <c r="AS34" s="3">
        <f t="shared" si="7"/>
        <v>1</v>
      </c>
      <c r="AT34" s="3">
        <f t="shared" si="8"/>
        <v>2</v>
      </c>
      <c r="AU34" s="3">
        <f t="shared" si="9"/>
        <v>13</v>
      </c>
      <c r="AV34" s="3">
        <f t="shared" si="10"/>
        <v>10</v>
      </c>
      <c r="AW34" s="3">
        <f t="shared" si="11"/>
        <v>46</v>
      </c>
      <c r="AX34" s="3">
        <f t="shared" si="12"/>
        <v>6</v>
      </c>
      <c r="AY34" s="3">
        <f t="shared" si="13"/>
        <v>1</v>
      </c>
      <c r="AZ34" s="3">
        <f>IF(ISERROR(LEN(VLOOKUP(A34,Seqs!A:E,2,FALSE))-AL34),"-",LEN(VLOOKUP(A34,Seqs!A:E,2,FALSE))-AL34)</f>
        <v>25</v>
      </c>
      <c r="BA34" s="35">
        <f t="shared" si="14"/>
        <v>34</v>
      </c>
      <c r="BB34" s="3">
        <f t="shared" si="15"/>
        <v>20</v>
      </c>
      <c r="BC34" s="3">
        <f t="shared" si="16"/>
        <v>34</v>
      </c>
      <c r="BD34" s="3">
        <f t="shared" si="17"/>
        <v>96</v>
      </c>
    </row>
    <row r="35" spans="1:57" s="3" customFormat="1" x14ac:dyDescent="0.2">
      <c r="A35" s="3" t="s">
        <v>334</v>
      </c>
      <c r="B35" s="3" t="str">
        <f>LOWER(VLOOKUP(A35,Xtal_Templ!A:B,2,FALSE))</f>
        <v>aa2ar_human</v>
      </c>
      <c r="C35" s="3">
        <f>VLOOKUP($A35,'NonXtal_SegEnds_BW#'!$A:$Z,3,FALSE)+D35-50</f>
        <v>3</v>
      </c>
      <c r="D35" s="3">
        <v>25</v>
      </c>
      <c r="E35" s="3">
        <f>IF(ISERROR(VLOOKUP($A35,'NonXtal_SegEnds_BW#'!$A:$Z,4,FALSE)+VLOOKUP($A35,A:AL,4,FALSE)-50),"-",(VLOOKUP($A35,'NonXtal_SegEnds_BW#'!$A:$Z,4,FALSE)+VLOOKUP($A35,A:AL,4,FALSE)-50))</f>
        <v>35</v>
      </c>
      <c r="F35" s="3">
        <f t="shared" si="25"/>
        <v>36</v>
      </c>
      <c r="G35" s="3">
        <v>38</v>
      </c>
      <c r="H35" s="3">
        <f t="shared" si="26"/>
        <v>39</v>
      </c>
      <c r="I35" s="3">
        <f t="shared" si="26"/>
        <v>40</v>
      </c>
      <c r="J35" s="3">
        <v>53</v>
      </c>
      <c r="K35" s="3">
        <v>70</v>
      </c>
      <c r="L35" s="3">
        <f>M35</f>
        <v>71</v>
      </c>
      <c r="M35" s="3">
        <v>71</v>
      </c>
      <c r="N35" s="3">
        <f t="shared" si="27"/>
        <v>73</v>
      </c>
      <c r="O35" s="3">
        <f t="shared" si="28"/>
        <v>74</v>
      </c>
      <c r="P35" s="3">
        <v>103</v>
      </c>
      <c r="Q35" s="3">
        <f>VLOOKUP($A35,'NonXtal_SegEnds_BW#'!$A:$Z,12,FALSE)+VLOOKUP($A35,A:AL,16,FALSE)-50</f>
        <v>109</v>
      </c>
      <c r="R35" s="3">
        <f>IF(ISERROR(VLOOKUP($A35,'NonXtal_SegEnds_BW#'!$A:$Z,13,FALSE)+VLOOKUP($A35,A:AL,19,FALSE)-50),"-",VLOOKUP($A35,'NonXtal_SegEnds_BW#'!$A:$Z,13,FALSE)+VLOOKUP($A35,A:AL,19,FALSE)-50)</f>
        <v>110</v>
      </c>
      <c r="S35" s="3">
        <v>110</v>
      </c>
      <c r="T35" s="3">
        <f>IF(ISERROR(VLOOKUP($A35,'NonXtal_SegEnds_BW#'!$A:$Z,14,FALSE)+VLOOKUP($A35,A:AL,19,FALSE)-50),"-",(VLOOKUP($A35,'NonXtal_SegEnds_BW#'!$A:$Z,14,FALSE)+VLOOKUP($A35,A:AL,19,FALSE)-50))</f>
        <v>117</v>
      </c>
      <c r="U35" s="3">
        <f>IF(ISERROR(VLOOKUP($A35,'NonXtal_SegEnds_BW#'!$A:$Z,15,FALSE)+VLOOKUP($A35,A:AL,22,FALSE)-50),"-",VLOOKUP($A35,'NonXtal_SegEnds_BW#'!$A:$Z,15,FALSE)+VLOOKUP($A35,A:AL,22,FALSE)-50)</f>
        <v>119</v>
      </c>
      <c r="V35" s="3">
        <v>130</v>
      </c>
      <c r="W35" s="3">
        <f>IF(ISERROR(VLOOKUP($A35,'NonXtal_SegEnds_BW#'!$A:$Z,16,FALSE)+VLOOKUP($A35,A:AL,22,FALSE)-50),"-",(VLOOKUP($A35,'NonXtal_SegEnds_BW#'!$A:$Z,16,FALSE)+VLOOKUP($A35,A:AL,22,FALSE)-50))</f>
        <v>143</v>
      </c>
      <c r="X35" s="3">
        <f>IF(ISERROR(VLOOKUP($A35,'NonXtal_SegEnds_BW#'!$A:$Z,17,FALSE)+VLOOKUP($A35,A:AL,25,FALSE)-50),"-",(VLOOKUP($A35,'NonXtal_SegEnds_BW#'!$A:$Z,17,FALSE)+VLOOKUP($A35,A:AL,25,FALSE)-50))</f>
        <v>171</v>
      </c>
      <c r="Y35" s="3">
        <v>171</v>
      </c>
      <c r="Z35" s="3">
        <f t="shared" si="24"/>
        <v>173</v>
      </c>
      <c r="AA35" s="3">
        <f>IF(ISERROR(VLOOKUP($A35,'NonXtal_SegEnds_BW#'!$A:$Z,19,FALSE)+VLOOKUP($A35,A:AL,28,FALSE)-50),"-",(VLOOKUP($A35,'NonXtal_SegEnds_BW#'!$A:$Z,19,FALSE)+VLOOKUP($A35,A:AL,28,FALSE)-50))</f>
        <v>178</v>
      </c>
      <c r="AB35" s="3">
        <v>194</v>
      </c>
      <c r="AC35" s="3">
        <f>IF(ISERROR((VLOOKUP($A35,'NonXtal_SegEnds_BW#'!$A:$Z,20,FALSE)+VLOOKUP($A35,A:AL,28,FALSE)-50)),"-",(VLOOKUP($A35,'NonXtal_SegEnds_BW#'!$A:$Z,20,FALSE)+VLOOKUP($A35,A:AL,28,FALSE)-50))</f>
        <v>217</v>
      </c>
      <c r="AD35" s="3">
        <f>IF(ISERROR(VLOOKUP($A35,'NonXtal_SegEnds_BW#'!$A:$Z,21,FALSE)+VLOOKUP($A35,A:AL,31,FALSE)-50),"-",(VLOOKUP($A35,'NonXtal_SegEnds_BW#'!$A:$Z,21,FALSE)+VLOOKUP($A35,A:AL,31,FALSE)-50))</f>
        <v>221</v>
      </c>
      <c r="AE35" s="3">
        <v>249</v>
      </c>
      <c r="AF35" s="3">
        <f>IF(ISERROR((VLOOKUP($A35,'NonXtal_SegEnds_BW#'!$A:$Z,22,FALSE)+VLOOKUP($A35,A:AL,31,FALSE)-50)),"-",(VLOOKUP($A35,'NonXtal_SegEnds_BW#'!$A:$Z,22,FALSE)+VLOOKUP($A35,A:AL,31,FALSE)-50))</f>
        <v>260</v>
      </c>
      <c r="AG35" s="3">
        <f>IF(ISERROR(VLOOKUP($A35,'NonXtal_SegEnds_BW#'!$A:$Z,23,FALSE)+VLOOKUP($A35,A:AL,34,FALSE)-50),"-",(VLOOKUP($A35,'NonXtal_SegEnds_BW#'!$A:$Z,23,FALSE)+VLOOKUP($A35,A:AL,34,FALSE)-50))</f>
        <v>265</v>
      </c>
      <c r="AH35" s="3">
        <v>287</v>
      </c>
      <c r="AI35" s="3">
        <f>IF(ISERROR((VLOOKUP($A35,'NonXtal_SegEnds_BW#'!$A:$Z,24,FALSE)+VLOOKUP($A35,A:AL,34,FALSE)-50)),"-",(VLOOKUP($A35,'NonXtal_SegEnds_BW#'!$A:$Z,24,FALSE)+VLOOKUP($A35,A:AL,34,FALSE)-50))</f>
        <v>293</v>
      </c>
      <c r="AJ35" s="3">
        <f>IF(ISERROR(VLOOKUP($A35,'NonXtal_SegEnds_BW#'!$A:$Z,25,FALSE)+VLOOKUP($A35,A:AL,37,FALSE)-50),"-",(VLOOKUP($A35,'NonXtal_SegEnds_BW#'!$A:$Z,25,FALSE)+VLOOKUP($A35,A:AL,37,FALSE)-50))</f>
        <v>294</v>
      </c>
      <c r="AK35" s="3">
        <v>297</v>
      </c>
      <c r="AL35" s="3">
        <f>IF(ISERROR((VLOOKUP($A35,'NonXtal_SegEnds_BW#'!$A:$Z,26,FALSE)+VLOOKUP($A35,A:AL,37,FALSE)-50)),"-",(VLOOKUP($A35,'NonXtal_SegEnds_BW#'!$A:$Z,26,FALSE)+VLOOKUP($A35,A:AL,37,FALSE)-50))</f>
        <v>316</v>
      </c>
      <c r="AM35" s="71" t="str">
        <f>VLOOKUP(A35,Classification!A:B,2,FALSE)</f>
        <v>A</v>
      </c>
      <c r="AN35" s="71" t="b">
        <f t="shared" si="2"/>
        <v>1</v>
      </c>
      <c r="AO35" s="3">
        <f t="shared" si="3"/>
        <v>1</v>
      </c>
      <c r="AP35" s="3">
        <f t="shared" si="4"/>
        <v>1</v>
      </c>
      <c r="AQ35" s="3">
        <f t="shared" si="5"/>
        <v>1</v>
      </c>
      <c r="AR35" s="3">
        <f t="shared" si="6"/>
        <v>1</v>
      </c>
      <c r="AS35" s="3">
        <f t="shared" si="7"/>
        <v>1</v>
      </c>
      <c r="AT35" s="3">
        <f t="shared" si="8"/>
        <v>2</v>
      </c>
      <c r="AU35" s="3">
        <f t="shared" si="9"/>
        <v>28</v>
      </c>
      <c r="AV35" s="3">
        <f t="shared" si="10"/>
        <v>5</v>
      </c>
      <c r="AW35" s="3">
        <f t="shared" si="11"/>
        <v>4</v>
      </c>
      <c r="AX35" s="3">
        <f t="shared" si="12"/>
        <v>5</v>
      </c>
      <c r="AY35" s="3">
        <f t="shared" si="13"/>
        <v>1</v>
      </c>
      <c r="AZ35" s="3">
        <f>IF(ISERROR(LEN(VLOOKUP(A35,Seqs!A:E,2,FALSE))-AL35),"-",LEN(VLOOKUP(A35,Seqs!A:E,2,FALSE))-AL35)</f>
        <v>16</v>
      </c>
      <c r="BA35" s="35">
        <f t="shared" si="14"/>
        <v>28</v>
      </c>
      <c r="BB35" s="3">
        <f t="shared" si="15"/>
        <v>20</v>
      </c>
      <c r="BC35" s="3">
        <f t="shared" si="16"/>
        <v>28</v>
      </c>
      <c r="BD35" s="3">
        <f t="shared" si="17"/>
        <v>55</v>
      </c>
      <c r="BE35" s="3">
        <f>AH35-AE35</f>
        <v>38</v>
      </c>
    </row>
    <row r="36" spans="1:57" s="3" customFormat="1" x14ac:dyDescent="0.2">
      <c r="A36" s="3" t="s">
        <v>332</v>
      </c>
      <c r="B36" s="3" t="str">
        <f>LOWER(VLOOKUP(A36,Xtal_Templ!A:B,2,FALSE))</f>
        <v>aa2ar_human</v>
      </c>
      <c r="C36" s="3">
        <f>VLOOKUP($A36,'NonXtal_SegEnds_BW#'!$A:$Z,3,FALSE)+D36-50</f>
        <v>5</v>
      </c>
      <c r="D36" s="3">
        <v>27</v>
      </c>
      <c r="E36" s="3">
        <f>IF(ISERROR(VLOOKUP($A36,'NonXtal_SegEnds_BW#'!$A:$Z,4,FALSE)+VLOOKUP($A36,A:AL,4,FALSE)-50),"-",(VLOOKUP($A36,'NonXtal_SegEnds_BW#'!$A:$Z,4,FALSE)+VLOOKUP($A36,A:AL,4,FALSE)-50))</f>
        <v>37</v>
      </c>
      <c r="F36" s="3">
        <f t="shared" si="25"/>
        <v>38</v>
      </c>
      <c r="G36" s="3">
        <v>40</v>
      </c>
      <c r="H36" s="3">
        <f t="shared" si="26"/>
        <v>41</v>
      </c>
      <c r="I36" s="3">
        <f t="shared" si="26"/>
        <v>42</v>
      </c>
      <c r="J36" s="3">
        <v>55</v>
      </c>
      <c r="K36" s="3">
        <v>72</v>
      </c>
      <c r="L36" s="3">
        <f>M36</f>
        <v>73</v>
      </c>
      <c r="M36" s="3">
        <v>73</v>
      </c>
      <c r="N36" s="3">
        <f t="shared" si="27"/>
        <v>75</v>
      </c>
      <c r="O36" s="3">
        <f t="shared" si="28"/>
        <v>76</v>
      </c>
      <c r="P36" s="3">
        <v>105</v>
      </c>
      <c r="Q36" s="3">
        <f>VLOOKUP($A36,'NonXtal_SegEnds_BW#'!$A:$Z,12,FALSE)+VLOOKUP($A36,A:AL,16,FALSE)-50</f>
        <v>111</v>
      </c>
      <c r="R36" s="3">
        <f>IF(ISERROR(VLOOKUP($A36,'NonXtal_SegEnds_BW#'!$A:$Z,13,FALSE)+VLOOKUP($A36,A:AL,19,FALSE)-50),"-",VLOOKUP($A36,'NonXtal_SegEnds_BW#'!$A:$Z,13,FALSE)+VLOOKUP($A36,A:AL,19,FALSE)-50)</f>
        <v>112</v>
      </c>
      <c r="S36" s="3">
        <v>112</v>
      </c>
      <c r="T36" s="3">
        <f>IF(ISERROR(VLOOKUP($A36,'NonXtal_SegEnds_BW#'!$A:$Z,14,FALSE)+VLOOKUP($A36,A:AL,19,FALSE)-50),"-",(VLOOKUP($A36,'NonXtal_SegEnds_BW#'!$A:$Z,14,FALSE)+VLOOKUP($A36,A:AL,19,FALSE)-50))</f>
        <v>119</v>
      </c>
      <c r="U36" s="3">
        <f>IF(ISERROR(VLOOKUP($A36,'NonXtal_SegEnds_BW#'!$A:$Z,15,FALSE)+VLOOKUP($A36,A:AL,22,FALSE)-50),"-",VLOOKUP($A36,'NonXtal_SegEnds_BW#'!$A:$Z,15,FALSE)+VLOOKUP($A36,A:AL,22,FALSE)-50)</f>
        <v>121</v>
      </c>
      <c r="V36" s="3">
        <v>132</v>
      </c>
      <c r="W36" s="3">
        <f>IF(ISERROR(VLOOKUP($A36,'NonXtal_SegEnds_BW#'!$A:$Z,16,FALSE)+VLOOKUP($A36,A:AL,22,FALSE)-50),"-",(VLOOKUP($A36,'NonXtal_SegEnds_BW#'!$A:$Z,16,FALSE)+VLOOKUP($A36,A:AL,22,FALSE)-50))</f>
        <v>145</v>
      </c>
      <c r="X36" s="3">
        <f>IF(ISERROR(VLOOKUP($A36,'NonXtal_SegEnds_BW#'!$A:$Z,17,FALSE)+VLOOKUP($A36,A:AL,25,FALSE)-50),"-",(VLOOKUP($A36,'NonXtal_SegEnds_BW#'!$A:$Z,17,FALSE)+VLOOKUP($A36,A:AL,25,FALSE)-50))</f>
        <v>169</v>
      </c>
      <c r="Y36" s="3">
        <v>169</v>
      </c>
      <c r="Z36" s="3">
        <f t="shared" si="24"/>
        <v>171</v>
      </c>
      <c r="AA36" s="3">
        <f>IF(ISERROR(VLOOKUP($A36,'NonXtal_SegEnds_BW#'!$A:$Z,19,FALSE)+VLOOKUP($A36,A:AL,28,FALSE)-50),"-",(VLOOKUP($A36,'NonXtal_SegEnds_BW#'!$A:$Z,19,FALSE)+VLOOKUP($A36,A:AL,28,FALSE)-50))</f>
        <v>176</v>
      </c>
      <c r="AB36" s="3">
        <v>192</v>
      </c>
      <c r="AC36" s="3">
        <f>IF(ISERROR((VLOOKUP($A36,'NonXtal_SegEnds_BW#'!$A:$Z,20,FALSE)+VLOOKUP($A36,A:AL,28,FALSE)-50)),"-",(VLOOKUP($A36,'NonXtal_SegEnds_BW#'!$A:$Z,20,FALSE)+VLOOKUP($A36,A:AL,28,FALSE)-50))</f>
        <v>215</v>
      </c>
      <c r="AD36" s="3">
        <f>IF(ISERROR(VLOOKUP($A36,'NonXtal_SegEnds_BW#'!$A:$Z,21,FALSE)+VLOOKUP($A36,A:AL,31,FALSE)-50),"-",(VLOOKUP($A36,'NonXtal_SegEnds_BW#'!$A:$Z,21,FALSE)+VLOOKUP($A36,A:AL,31,FALSE)-50))</f>
        <v>221</v>
      </c>
      <c r="AE36" s="3">
        <v>249</v>
      </c>
      <c r="AF36" s="3">
        <f>IF(ISERROR((VLOOKUP($A36,'NonXtal_SegEnds_BW#'!$A:$Z,22,FALSE)+VLOOKUP($A36,A:AL,31,FALSE)-50)),"-",(VLOOKUP($A36,'NonXtal_SegEnds_BW#'!$A:$Z,22,FALSE)+VLOOKUP($A36,A:AL,31,FALSE)-50))</f>
        <v>260</v>
      </c>
      <c r="AG36" s="3">
        <f>IF(ISERROR(VLOOKUP($A36,'NonXtal_SegEnds_BW#'!$A:$Z,23,FALSE)+VLOOKUP($A36,A:AL,34,FALSE)-50),"-",(VLOOKUP($A36,'NonXtal_SegEnds_BW#'!$A:$Z,23,FALSE)+VLOOKUP($A36,A:AL,34,FALSE)-50))</f>
        <v>266</v>
      </c>
      <c r="AH36" s="3">
        <v>285</v>
      </c>
      <c r="AI36" s="3">
        <f>IF(ISERROR((VLOOKUP($A36,'NonXtal_SegEnds_BW#'!$A:$Z,24,FALSE)+VLOOKUP($A36,A:AL,34,FALSE)-50)),"-",(VLOOKUP($A36,'NonXtal_SegEnds_BW#'!$A:$Z,24,FALSE)+VLOOKUP($A36,A:AL,34,FALSE)-50))</f>
        <v>291</v>
      </c>
      <c r="AJ36" s="3">
        <f>IF(ISERROR(VLOOKUP($A36,'NonXtal_SegEnds_BW#'!$A:$Z,25,FALSE)+VLOOKUP($A36,A:AL,37,FALSE)-50),"-",(VLOOKUP($A36,'NonXtal_SegEnds_BW#'!$A:$Z,25,FALSE)+VLOOKUP($A36,A:AL,37,FALSE)-50))</f>
        <v>292</v>
      </c>
      <c r="AK36" s="3">
        <v>295</v>
      </c>
      <c r="AL36" s="3">
        <f>IF(ISERROR((VLOOKUP($A36,'NonXtal_SegEnds_BW#'!$A:$Z,26,FALSE)+VLOOKUP($A36,A:AL,37,FALSE)-50)),"-",(VLOOKUP($A36,'NonXtal_SegEnds_BW#'!$A:$Z,26,FALSE)+VLOOKUP($A36,A:AL,37,FALSE)-50))</f>
        <v>314</v>
      </c>
      <c r="AM36" s="71" t="str">
        <f>VLOOKUP(A36,Classification!A:B,2,FALSE)</f>
        <v>A</v>
      </c>
      <c r="AN36" s="71" t="b">
        <f t="shared" si="2"/>
        <v>1</v>
      </c>
      <c r="AO36" s="3">
        <f t="shared" si="3"/>
        <v>1</v>
      </c>
      <c r="AP36" s="3">
        <f t="shared" si="4"/>
        <v>1</v>
      </c>
      <c r="AQ36" s="3">
        <f t="shared" si="5"/>
        <v>1</v>
      </c>
      <c r="AR36" s="3">
        <f t="shared" si="6"/>
        <v>1</v>
      </c>
      <c r="AS36" s="3">
        <f t="shared" si="7"/>
        <v>1</v>
      </c>
      <c r="AT36" s="3">
        <f t="shared" si="8"/>
        <v>2</v>
      </c>
      <c r="AU36" s="3">
        <f t="shared" si="9"/>
        <v>24</v>
      </c>
      <c r="AV36" s="3">
        <f t="shared" si="10"/>
        <v>5</v>
      </c>
      <c r="AW36" s="3">
        <f t="shared" si="11"/>
        <v>6</v>
      </c>
      <c r="AX36" s="3">
        <f t="shared" si="12"/>
        <v>6</v>
      </c>
      <c r="AY36" s="3">
        <f t="shared" si="13"/>
        <v>1</v>
      </c>
      <c r="AZ36" s="3">
        <f>IF(ISERROR(LEN(VLOOKUP(A36,Seqs!A:E,2,FALSE))-AL36),"-",LEN(VLOOKUP(A36,Seqs!A:E,2,FALSE))-AL36)</f>
        <v>12</v>
      </c>
      <c r="BA36" s="35">
        <f t="shared" si="14"/>
        <v>28</v>
      </c>
      <c r="BB36" s="3">
        <f t="shared" si="15"/>
        <v>20</v>
      </c>
      <c r="BC36" s="3">
        <f t="shared" si="16"/>
        <v>28</v>
      </c>
      <c r="BD36" s="3">
        <f t="shared" si="17"/>
        <v>57</v>
      </c>
      <c r="BE36" s="3">
        <f>AH36-AE36</f>
        <v>36</v>
      </c>
    </row>
    <row r="37" spans="1:57" s="3" customFormat="1" x14ac:dyDescent="0.2">
      <c r="A37" s="3" t="s">
        <v>333</v>
      </c>
      <c r="B37" s="3" t="str">
        <f>LOWER(VLOOKUP(A37,Xtal_Templ!A:B,2,FALSE))</f>
        <v>aa2ar_human</v>
      </c>
      <c r="C37" s="3">
        <f>VLOOKUP($A37,'NonXtal_SegEnds_BW#'!$A:$Z,3,FALSE)+D37-50</f>
        <v>2</v>
      </c>
      <c r="D37" s="3">
        <v>24</v>
      </c>
      <c r="E37" s="3">
        <f>IF(ISERROR(VLOOKUP($A37,'NonXtal_SegEnds_BW#'!$A:$Z,4,FALSE)+VLOOKUP($A37,A:AL,4,FALSE)-50),"-",(VLOOKUP($A37,'NonXtal_SegEnds_BW#'!$A:$Z,4,FALSE)+VLOOKUP($A37,A:AL,4,FALSE)-50))</f>
        <v>34</v>
      </c>
      <c r="F37" s="3">
        <f t="shared" si="25"/>
        <v>35</v>
      </c>
      <c r="G37" s="3">
        <v>37</v>
      </c>
      <c r="H37" s="3">
        <f t="shared" si="26"/>
        <v>38</v>
      </c>
      <c r="I37" s="3">
        <f t="shared" si="26"/>
        <v>39</v>
      </c>
      <c r="J37" s="3">
        <v>52</v>
      </c>
      <c r="K37" s="3">
        <v>69</v>
      </c>
      <c r="L37" s="3">
        <f>M37</f>
        <v>70</v>
      </c>
      <c r="M37" s="3">
        <v>70</v>
      </c>
      <c r="N37" s="3">
        <f t="shared" si="27"/>
        <v>72</v>
      </c>
      <c r="O37" s="3">
        <f t="shared" si="28"/>
        <v>73</v>
      </c>
      <c r="P37" s="3">
        <v>102</v>
      </c>
      <c r="Q37" s="3">
        <f>VLOOKUP($A37,'NonXtal_SegEnds_BW#'!$A:$Z,12,FALSE)+VLOOKUP($A37,A:AL,16,FALSE)-50</f>
        <v>108</v>
      </c>
      <c r="R37" s="3">
        <f>IF(ISERROR(VLOOKUP($A37,'NonXtal_SegEnds_BW#'!$A:$Z,13,FALSE)+VLOOKUP($A37,A:AL,19,FALSE)-50),"-",VLOOKUP($A37,'NonXtal_SegEnds_BW#'!$A:$Z,13,FALSE)+VLOOKUP($A37,A:AL,19,FALSE)-50)</f>
        <v>109</v>
      </c>
      <c r="S37" s="3">
        <v>109</v>
      </c>
      <c r="T37" s="3">
        <f>IF(ISERROR(VLOOKUP($A37,'NonXtal_SegEnds_BW#'!$A:$Z,14,FALSE)+VLOOKUP($A37,A:AL,19,FALSE)-50),"-",(VLOOKUP($A37,'NonXtal_SegEnds_BW#'!$A:$Z,14,FALSE)+VLOOKUP($A37,A:AL,19,FALSE)-50))</f>
        <v>116</v>
      </c>
      <c r="U37" s="3">
        <f>IF(ISERROR(VLOOKUP($A37,'NonXtal_SegEnds_BW#'!$A:$Z,15,FALSE)+VLOOKUP($A37,A:AL,22,FALSE)-50),"-",VLOOKUP($A37,'NonXtal_SegEnds_BW#'!$A:$Z,15,FALSE)+VLOOKUP($A37,A:AL,22,FALSE)-50)</f>
        <v>118</v>
      </c>
      <c r="V37" s="3">
        <v>129</v>
      </c>
      <c r="W37" s="3">
        <f>IF(ISERROR(VLOOKUP($A37,'NonXtal_SegEnds_BW#'!$A:$Z,16,FALSE)+VLOOKUP($A37,A:AL,22,FALSE)-50),"-",(VLOOKUP($A37,'NonXtal_SegEnds_BW#'!$A:$Z,16,FALSE)+VLOOKUP($A37,A:AL,22,FALSE)-50))</f>
        <v>142</v>
      </c>
      <c r="X37" s="3">
        <f>IF(ISERROR(VLOOKUP($A37,'NonXtal_SegEnds_BW#'!$A:$Z,17,FALSE)+VLOOKUP($A37,A:AL,25,FALSE)-50),"-",(VLOOKUP($A37,'NonXtal_SegEnds_BW#'!$A:$Z,17,FALSE)+VLOOKUP($A37,A:AL,25,FALSE)-50))</f>
        <v>166</v>
      </c>
      <c r="Y37" s="3">
        <v>166</v>
      </c>
      <c r="Z37" s="3">
        <f t="shared" si="24"/>
        <v>168</v>
      </c>
      <c r="AA37" s="3">
        <f>IF(ISERROR(VLOOKUP($A37,'NonXtal_SegEnds_BW#'!$A:$Z,19,FALSE)+VLOOKUP($A37,A:AL,28,FALSE)-50),"-",(VLOOKUP($A37,'NonXtal_SegEnds_BW#'!$A:$Z,19,FALSE)+VLOOKUP($A37,A:AL,28,FALSE)-50))</f>
        <v>173</v>
      </c>
      <c r="AB37" s="3">
        <v>189</v>
      </c>
      <c r="AC37" s="3">
        <f>IF(ISERROR((VLOOKUP($A37,'NonXtal_SegEnds_BW#'!$A:$Z,20,FALSE)+VLOOKUP($A37,A:AL,28,FALSE)-50)),"-",(VLOOKUP($A37,'NonXtal_SegEnds_BW#'!$A:$Z,20,FALSE)+VLOOKUP($A37,A:AL,28,FALSE)-50))</f>
        <v>213</v>
      </c>
      <c r="AD37" s="3">
        <f>IF(ISERROR(VLOOKUP($A37,'NonXtal_SegEnds_BW#'!$A:$Z,21,FALSE)+VLOOKUP($A37,A:AL,31,FALSE)-50),"-",(VLOOKUP($A37,'NonXtal_SegEnds_BW#'!$A:$Z,21,FALSE)+VLOOKUP($A37,A:AL,31,FALSE)-50))</f>
        <v>219</v>
      </c>
      <c r="AE37" s="3">
        <v>248</v>
      </c>
      <c r="AF37" s="3">
        <f>IF(ISERROR((VLOOKUP($A37,'NonXtal_SegEnds_BW#'!$A:$Z,22,FALSE)+VLOOKUP($A37,A:AL,31,FALSE)-50)),"-",(VLOOKUP($A37,'NonXtal_SegEnds_BW#'!$A:$Z,22,FALSE)+VLOOKUP($A37,A:AL,31,FALSE)-50))</f>
        <v>259</v>
      </c>
      <c r="AG37" s="3">
        <f>IF(ISERROR(VLOOKUP($A37,'NonXtal_SegEnds_BW#'!$A:$Z,23,FALSE)+VLOOKUP($A37,A:AL,34,FALSE)-50),"-",(VLOOKUP($A37,'NonXtal_SegEnds_BW#'!$A:$Z,23,FALSE)+VLOOKUP($A37,A:AL,34,FALSE)-50))</f>
        <v>266</v>
      </c>
      <c r="AH37" s="3">
        <v>285</v>
      </c>
      <c r="AI37" s="3">
        <f>IF(ISERROR((VLOOKUP($A37,'NonXtal_SegEnds_BW#'!$A:$Z,24,FALSE)+VLOOKUP($A37,A:AL,34,FALSE)-50)),"-",(VLOOKUP($A37,'NonXtal_SegEnds_BW#'!$A:$Z,24,FALSE)+VLOOKUP($A37,A:AL,34,FALSE)-50))</f>
        <v>291</v>
      </c>
      <c r="AJ37" s="3">
        <f>IF(ISERROR(VLOOKUP($A37,'NonXtal_SegEnds_BW#'!$A:$Z,25,FALSE)+VLOOKUP($A37,A:AL,37,FALSE)-50),"-",(VLOOKUP($A37,'NonXtal_SegEnds_BW#'!$A:$Z,25,FALSE)+VLOOKUP($A37,A:AL,37,FALSE)-50))</f>
        <v>292</v>
      </c>
      <c r="AK37" s="3">
        <v>295</v>
      </c>
      <c r="AL37" s="3">
        <f>IF(ISERROR((VLOOKUP($A37,'NonXtal_SegEnds_BW#'!$A:$Z,26,FALSE)+VLOOKUP($A37,A:AL,37,FALSE)-50)),"-",(VLOOKUP($A37,'NonXtal_SegEnds_BW#'!$A:$Z,26,FALSE)+VLOOKUP($A37,A:AL,37,FALSE)-50))</f>
        <v>314</v>
      </c>
      <c r="AM37" s="71" t="str">
        <f>VLOOKUP(A37,Classification!A:B,2,FALSE)</f>
        <v>A</v>
      </c>
      <c r="AN37" s="71" t="b">
        <f t="shared" si="2"/>
        <v>1</v>
      </c>
      <c r="AO37" s="3">
        <f t="shared" si="3"/>
        <v>1</v>
      </c>
      <c r="AP37" s="3">
        <f t="shared" si="4"/>
        <v>1</v>
      </c>
      <c r="AQ37" s="3">
        <f t="shared" si="5"/>
        <v>1</v>
      </c>
      <c r="AR37" s="3">
        <f t="shared" si="6"/>
        <v>1</v>
      </c>
      <c r="AS37" s="3">
        <f t="shared" si="7"/>
        <v>1</v>
      </c>
      <c r="AT37" s="3">
        <f t="shared" si="8"/>
        <v>2</v>
      </c>
      <c r="AU37" s="3">
        <f t="shared" si="9"/>
        <v>24</v>
      </c>
      <c r="AV37" s="3">
        <f t="shared" si="10"/>
        <v>5</v>
      </c>
      <c r="AW37" s="3">
        <f t="shared" si="11"/>
        <v>6</v>
      </c>
      <c r="AX37" s="3">
        <f t="shared" si="12"/>
        <v>7</v>
      </c>
      <c r="AY37" s="3">
        <f t="shared" si="13"/>
        <v>1</v>
      </c>
      <c r="AZ37" s="3">
        <f>IF(ISERROR(LEN(VLOOKUP(A37,Seqs!A:E,2,FALSE))-AL37),"-",LEN(VLOOKUP(A37,Seqs!A:E,2,FALSE))-AL37)</f>
        <v>98</v>
      </c>
      <c r="BA37" s="35">
        <f t="shared" si="14"/>
        <v>28</v>
      </c>
      <c r="BB37" s="3">
        <f t="shared" si="15"/>
        <v>20</v>
      </c>
      <c r="BC37" s="3">
        <f t="shared" si="16"/>
        <v>28</v>
      </c>
      <c r="BD37" s="3">
        <f t="shared" si="17"/>
        <v>59</v>
      </c>
    </row>
    <row r="38" spans="1:57" s="3" customFormat="1" x14ac:dyDescent="0.2">
      <c r="A38" s="3" t="s">
        <v>335</v>
      </c>
      <c r="B38" s="3" t="str">
        <f>LOWER(VLOOKUP(A38,Xtal_Templ!A:B,2,FALSE))</f>
        <v>aa2ar_human</v>
      </c>
      <c r="C38" s="3">
        <f>VLOOKUP($A38,'NonXtal_SegEnds_BW#'!$A:$Z,3,FALSE)+D38-50</f>
        <v>8</v>
      </c>
      <c r="D38" s="3">
        <v>30</v>
      </c>
      <c r="E38" s="3">
        <f>IF(ISERROR(VLOOKUP($A38,'NonXtal_SegEnds_BW#'!$A:$Z,4,FALSE)+VLOOKUP($A38,A:AL,4,FALSE)-50),"-",(VLOOKUP($A38,'NonXtal_SegEnds_BW#'!$A:$Z,4,FALSE)+VLOOKUP($A38,A:AL,4,FALSE)-50))</f>
        <v>40</v>
      </c>
      <c r="F38" s="3">
        <f t="shared" si="25"/>
        <v>41</v>
      </c>
      <c r="G38" s="3">
        <v>43</v>
      </c>
      <c r="H38" s="3">
        <f t="shared" si="26"/>
        <v>44</v>
      </c>
      <c r="I38" s="3">
        <f t="shared" si="26"/>
        <v>45</v>
      </c>
      <c r="J38" s="3">
        <v>58</v>
      </c>
      <c r="K38" s="3">
        <v>75</v>
      </c>
      <c r="L38" s="3">
        <f>M38</f>
        <v>76</v>
      </c>
      <c r="M38" s="3">
        <v>76</v>
      </c>
      <c r="N38" s="3">
        <f t="shared" si="27"/>
        <v>78</v>
      </c>
      <c r="O38" s="3">
        <f t="shared" si="28"/>
        <v>79</v>
      </c>
      <c r="P38" s="3">
        <v>108</v>
      </c>
      <c r="Q38" s="3">
        <f>VLOOKUP($A38,'NonXtal_SegEnds_BW#'!$A:$Z,12,FALSE)+VLOOKUP($A38,A:AL,16,FALSE)-50</f>
        <v>114</v>
      </c>
      <c r="R38" s="3">
        <f>IF(ISERROR(VLOOKUP($A38,'NonXtal_SegEnds_BW#'!$A:$Z,13,FALSE)+VLOOKUP($A38,A:AL,19,FALSE)-50),"-",VLOOKUP($A38,'NonXtal_SegEnds_BW#'!$A:$Z,13,FALSE)+VLOOKUP($A38,A:AL,19,FALSE)-50)</f>
        <v>115</v>
      </c>
      <c r="S38" s="3">
        <v>115</v>
      </c>
      <c r="T38" s="3">
        <f>IF(ISERROR(VLOOKUP($A38,'NonXtal_SegEnds_BW#'!$A:$Z,14,FALSE)+VLOOKUP($A38,A:AL,19,FALSE)-50),"-",(VLOOKUP($A38,'NonXtal_SegEnds_BW#'!$A:$Z,14,FALSE)+VLOOKUP($A38,A:AL,19,FALSE)-50))</f>
        <v>122</v>
      </c>
      <c r="U38" s="3">
        <f>IF(ISERROR(VLOOKUP($A38,'NonXtal_SegEnds_BW#'!$A:$Z,15,FALSE)+VLOOKUP($A38,A:AL,22,FALSE)-50),"-",VLOOKUP($A38,'NonXtal_SegEnds_BW#'!$A:$Z,15,FALSE)+VLOOKUP($A38,A:AL,22,FALSE)-50)</f>
        <v>124</v>
      </c>
      <c r="V38" s="3">
        <v>135</v>
      </c>
      <c r="W38" s="3">
        <f>IF(ISERROR(VLOOKUP($A38,'NonXtal_SegEnds_BW#'!$A:$Z,16,FALSE)+VLOOKUP($A38,A:AL,22,FALSE)-50),"-",(VLOOKUP($A38,'NonXtal_SegEnds_BW#'!$A:$Z,16,FALSE)+VLOOKUP($A38,A:AL,22,FALSE)-50))</f>
        <v>148</v>
      </c>
      <c r="X38" s="3">
        <f>IF(ISERROR(VLOOKUP($A38,'NonXtal_SegEnds_BW#'!$A:$Z,17,FALSE)+VLOOKUP($A38,A:AL,25,FALSE)-50),"-",(VLOOKUP($A38,'NonXtal_SegEnds_BW#'!$A:$Z,17,FALSE)+VLOOKUP($A38,A:AL,25,FALSE)-50))</f>
        <v>166</v>
      </c>
      <c r="Y38" s="3">
        <v>166</v>
      </c>
      <c r="Z38" s="3">
        <f t="shared" si="24"/>
        <v>168</v>
      </c>
      <c r="AA38" s="3">
        <f>IF(ISERROR(VLOOKUP($A38,'NonXtal_SegEnds_BW#'!$A:$Z,19,FALSE)+VLOOKUP($A38,A:AL,28,FALSE)-50),"-",(VLOOKUP($A38,'NonXtal_SegEnds_BW#'!$A:$Z,19,FALSE)+VLOOKUP($A38,A:AL,28,FALSE)-50))</f>
        <v>173</v>
      </c>
      <c r="AB38" s="3">
        <v>189</v>
      </c>
      <c r="AC38" s="3">
        <f>IF(ISERROR((VLOOKUP($A38,'NonXtal_SegEnds_BW#'!$A:$Z,20,FALSE)+VLOOKUP($A38,A:AL,28,FALSE)-50)),"-",(VLOOKUP($A38,'NonXtal_SegEnds_BW#'!$A:$Z,20,FALSE)+VLOOKUP($A38,A:AL,28,FALSE)-50))</f>
        <v>212</v>
      </c>
      <c r="AD38" s="3">
        <f>IF(ISERROR(VLOOKUP($A38,'NonXtal_SegEnds_BW#'!$A:$Z,21,FALSE)+VLOOKUP($A38,A:AL,31,FALSE)-50),"-",(VLOOKUP($A38,'NonXtal_SegEnds_BW#'!$A:$Z,21,FALSE)+VLOOKUP($A38,A:AL,31,FALSE)-50))</f>
        <v>217</v>
      </c>
      <c r="AE38" s="3">
        <v>245</v>
      </c>
      <c r="AF38" s="3">
        <f>IF(ISERROR((VLOOKUP($A38,'NonXtal_SegEnds_BW#'!$A:$Z,22,FALSE)+VLOOKUP($A38,A:AL,31,FALSE)-50)),"-",(VLOOKUP($A38,'NonXtal_SegEnds_BW#'!$A:$Z,22,FALSE)+VLOOKUP($A38,A:AL,31,FALSE)-50))</f>
        <v>256</v>
      </c>
      <c r="AG38" s="3">
        <f>IF(ISERROR(VLOOKUP($A38,'NonXtal_SegEnds_BW#'!$A:$Z,23,FALSE)+VLOOKUP($A38,A:AL,34,FALSE)-50),"-",(VLOOKUP($A38,'NonXtal_SegEnds_BW#'!$A:$Z,23,FALSE)+VLOOKUP($A38,A:AL,34,FALSE)-50))</f>
        <v>261</v>
      </c>
      <c r="AH38" s="3">
        <v>279</v>
      </c>
      <c r="AI38" s="3">
        <f>IF(ISERROR((VLOOKUP($A38,'NonXtal_SegEnds_BW#'!$A:$Z,24,FALSE)+VLOOKUP($A38,A:AL,34,FALSE)-50)),"-",(VLOOKUP($A38,'NonXtal_SegEnds_BW#'!$A:$Z,24,FALSE)+VLOOKUP($A38,A:AL,34,FALSE)-50))</f>
        <v>285</v>
      </c>
      <c r="AJ38" s="3">
        <f>IF(ISERROR(VLOOKUP($A38,'NonXtal_SegEnds_BW#'!$A:$Z,25,FALSE)+VLOOKUP($A38,A:AL,37,FALSE)-50),"-",(VLOOKUP($A38,'NonXtal_SegEnds_BW#'!$A:$Z,25,FALSE)+VLOOKUP($A38,A:AL,37,FALSE)-50))</f>
        <v>286</v>
      </c>
      <c r="AK38" s="3">
        <v>289</v>
      </c>
      <c r="AL38" s="3">
        <f>IF(ISERROR((VLOOKUP($A38,'NonXtal_SegEnds_BW#'!$A:$Z,26,FALSE)+VLOOKUP($A38,A:AL,37,FALSE)-50)),"-",(VLOOKUP($A38,'NonXtal_SegEnds_BW#'!$A:$Z,26,FALSE)+VLOOKUP($A38,A:AL,37,FALSE)-50))</f>
        <v>308</v>
      </c>
      <c r="AM38" s="71" t="str">
        <f>VLOOKUP(A38,Classification!A:B,2,FALSE)</f>
        <v>A</v>
      </c>
      <c r="AN38" s="71" t="b">
        <f t="shared" si="2"/>
        <v>1</v>
      </c>
      <c r="AO38" s="3">
        <f t="shared" si="3"/>
        <v>1</v>
      </c>
      <c r="AP38" s="3">
        <f t="shared" si="4"/>
        <v>1</v>
      </c>
      <c r="AQ38" s="3">
        <f t="shared" si="5"/>
        <v>1</v>
      </c>
      <c r="AR38" s="3">
        <f t="shared" si="6"/>
        <v>1</v>
      </c>
      <c r="AS38" s="3">
        <f t="shared" si="7"/>
        <v>1</v>
      </c>
      <c r="AT38" s="3">
        <f t="shared" si="8"/>
        <v>2</v>
      </c>
      <c r="AU38" s="3">
        <f t="shared" si="9"/>
        <v>18</v>
      </c>
      <c r="AV38" s="3">
        <f t="shared" si="10"/>
        <v>5</v>
      </c>
      <c r="AW38" s="3">
        <f t="shared" si="11"/>
        <v>5</v>
      </c>
      <c r="AX38" s="3">
        <f t="shared" si="12"/>
        <v>5</v>
      </c>
      <c r="AY38" s="3">
        <f t="shared" si="13"/>
        <v>1</v>
      </c>
      <c r="AZ38" s="3">
        <f>IF(ISERROR(LEN(VLOOKUP(A38,Seqs!A:E,2,FALSE))-AL38),"-",LEN(VLOOKUP(A38,Seqs!A:E,2,FALSE))-AL38)</f>
        <v>10</v>
      </c>
      <c r="BA38" s="35">
        <f t="shared" si="14"/>
        <v>28</v>
      </c>
      <c r="BB38" s="3">
        <f t="shared" si="15"/>
        <v>20</v>
      </c>
      <c r="BC38" s="3">
        <f t="shared" si="16"/>
        <v>28</v>
      </c>
      <c r="BD38" s="3">
        <f t="shared" si="17"/>
        <v>56</v>
      </c>
      <c r="BE38" s="3">
        <f>AH38-AE38</f>
        <v>34</v>
      </c>
    </row>
    <row r="39" spans="1:57" s="3" customFormat="1" x14ac:dyDescent="0.2">
      <c r="A39" s="3" t="s">
        <v>474</v>
      </c>
      <c r="B39" s="3" t="str">
        <f>LOWER(VLOOKUP(A39,Xtal_Templ!A:B,2,FALSE))</f>
        <v>acm1_human</v>
      </c>
      <c r="C39" s="3">
        <f>VLOOKUP($A39,'NonXtal_SegEnds_BW#'!$A:$Z,3,FALSE)+D39-50</f>
        <v>31</v>
      </c>
      <c r="D39" s="3">
        <v>52</v>
      </c>
      <c r="E39" s="3">
        <f>IF(ISERROR(VLOOKUP($A39,'NonXtal_SegEnds_BW#'!$A:$Z,4,FALSE)+VLOOKUP($A39,A:AL,4,FALSE)-50),"-",(VLOOKUP($A39,'NonXtal_SegEnds_BW#'!$A:$Z,4,FALSE)+VLOOKUP($A39,A:AL,4,FALSE)-50))</f>
        <v>62</v>
      </c>
      <c r="F39" s="3">
        <f t="shared" si="25"/>
        <v>63</v>
      </c>
      <c r="G39" s="3">
        <v>65</v>
      </c>
      <c r="H39" s="3">
        <f t="shared" si="26"/>
        <v>66</v>
      </c>
      <c r="I39" s="3">
        <f t="shared" si="26"/>
        <v>67</v>
      </c>
      <c r="J39" s="3">
        <v>80</v>
      </c>
      <c r="K39" s="3">
        <f>VLOOKUP($A39,'NonXtal_SegEnds_BW#'!$A:$Z,8,FALSE)+VLOOKUP($A39,A:AL,10,FALSE)-50</f>
        <v>97</v>
      </c>
      <c r="L39" s="3">
        <f>M39-1</f>
        <v>99</v>
      </c>
      <c r="M39" s="3">
        <v>100</v>
      </c>
      <c r="N39" s="3">
        <f t="shared" si="27"/>
        <v>102</v>
      </c>
      <c r="O39" s="3">
        <f t="shared" si="28"/>
        <v>103</v>
      </c>
      <c r="P39" s="3">
        <v>132</v>
      </c>
      <c r="Q39" s="3">
        <f>VLOOKUP($A39,'NonXtal_SegEnds_BW#'!$A:$Z,12,FALSE)+VLOOKUP($A39,A:AL,16,FALSE)-50</f>
        <v>138</v>
      </c>
      <c r="R39" s="3">
        <f>IF(ISERROR(VLOOKUP($A39,'NonXtal_SegEnds_BW#'!$A:$Z,13,FALSE)+VLOOKUP($A39,A:AL,19,FALSE)-50),"-",VLOOKUP($A39,'NonXtal_SegEnds_BW#'!$A:$Z,13,FALSE)+VLOOKUP($A39,A:AL,19,FALSE)-50)</f>
        <v>139</v>
      </c>
      <c r="S39" s="3">
        <v>139</v>
      </c>
      <c r="T39" s="3">
        <f>IF(ISERROR(VLOOKUP($A39,'NonXtal_SegEnds_BW#'!$A:$Z,14,FALSE)+VLOOKUP($A39,A:AL,19,FALSE)-50),"-",(VLOOKUP($A39,'NonXtal_SegEnds_BW#'!$A:$Z,14,FALSE)+VLOOKUP($A39,A:AL,19,FALSE)-50))</f>
        <v>147</v>
      </c>
      <c r="U39" s="3">
        <f>IF(ISERROR(VLOOKUP($A39,'NonXtal_SegEnds_BW#'!$A:$Z,15,FALSE)+VLOOKUP($A39,A:AL,22,FALSE)-50),"-",VLOOKUP($A39,'NonXtal_SegEnds_BW#'!$A:$Z,15,FALSE)+VLOOKUP($A39,A:AL,22,FALSE)-50)</f>
        <v>149</v>
      </c>
      <c r="V39" s="3">
        <v>160</v>
      </c>
      <c r="W39" s="3">
        <f>IF(ISERROR(VLOOKUP($A39,'NonXtal_SegEnds_BW#'!$A:$Z,16,FALSE)+VLOOKUP($A39,A:AL,22,FALSE)-50),"-",(VLOOKUP($A39,'NonXtal_SegEnds_BW#'!$A:$Z,16,FALSE)+VLOOKUP($A39,A:AL,22,FALSE)-50))</f>
        <v>173</v>
      </c>
      <c r="X39" s="3">
        <f>IF(ISERROR(VLOOKUP($A39,'NonXtal_SegEnds_BW#'!$A:$Z,17,FALSE)+VLOOKUP($A39,A:AL,25,FALSE)-50),"-",(VLOOKUP($A39,'NonXtal_SegEnds_BW#'!$A:$Z,17,FALSE)+VLOOKUP($A39,A:AL,25,FALSE)-50))</f>
        <v>188</v>
      </c>
      <c r="Y39" s="3">
        <v>188</v>
      </c>
      <c r="Z39" s="3">
        <f t="shared" si="24"/>
        <v>190</v>
      </c>
      <c r="AA39" s="3">
        <f>IF(ISERROR(VLOOKUP($A39,'NonXtal_SegEnds_BW#'!$A:$Z,19,FALSE)+VLOOKUP($A39,A:AL,28,FALSE)-50),"-",(VLOOKUP($A39,'NonXtal_SegEnds_BW#'!$A:$Z,19,FALSE)+VLOOKUP($A39,A:AL,28,FALSE)-50))</f>
        <v>195</v>
      </c>
      <c r="AB39" s="3">
        <v>210</v>
      </c>
      <c r="AC39" s="3">
        <f>IF(ISERROR((VLOOKUP($A39,'NonXtal_SegEnds_BW#'!$A:$Z,20,FALSE)+VLOOKUP($A39,A:AL,28,FALSE)-50)),"-",(VLOOKUP($A39,'NonXtal_SegEnds_BW#'!$A:$Z,20,FALSE)+VLOOKUP($A39,A:AL,28,FALSE)-50))</f>
        <v>235</v>
      </c>
      <c r="AD39" s="3">
        <f>IF(ISERROR(VLOOKUP($A39,'NonXtal_SegEnds_BW#'!$A:$Z,21,FALSE)+VLOOKUP($A39,A:AL,31,FALSE)-50),"-",(VLOOKUP($A39,'NonXtal_SegEnds_BW#'!$A:$Z,21,FALSE)+VLOOKUP($A39,A:AL,31,FALSE)-50))</f>
        <v>347</v>
      </c>
      <c r="AE39" s="3">
        <v>373</v>
      </c>
      <c r="AF39" s="3">
        <f>IF(ISERROR((VLOOKUP($A39,'NonXtal_SegEnds_BW#'!$A:$Z,22,FALSE)+VLOOKUP($A39,A:AL,31,FALSE)-50)),"-",(VLOOKUP($A39,'NonXtal_SegEnds_BW#'!$A:$Z,22,FALSE)+VLOOKUP($A39,A:AL,31,FALSE)-50))</f>
        <v>384</v>
      </c>
      <c r="AG39" s="3">
        <f>IF(ISERROR(VLOOKUP($A39,'NonXtal_SegEnds_BW#'!$A:$Z,23,FALSE)+VLOOKUP($A39,A:AL,34,FALSE)-50),"-",(VLOOKUP($A39,'NonXtal_SegEnds_BW#'!$A:$Z,23,FALSE)+VLOOKUP($A39,A:AL,34,FALSE)-50))</f>
        <v>390</v>
      </c>
      <c r="AH39" s="3">
        <v>409</v>
      </c>
      <c r="AI39" s="3">
        <f>IF(ISERROR((VLOOKUP($A39,'NonXtal_SegEnds_BW#'!$A:$Z,24,FALSE)+VLOOKUP($A39,A:AL,34,FALSE)-50)),"-",(VLOOKUP($A39,'NonXtal_SegEnds_BW#'!$A:$Z,24,FALSE)+VLOOKUP($A39,A:AL,34,FALSE)-50))</f>
        <v>415</v>
      </c>
      <c r="AJ39" s="3">
        <f>IF(ISERROR(VLOOKUP($A39,'NonXtal_SegEnds_BW#'!$A:$Z,25,FALSE)+VLOOKUP($A39,A:AL,37,FALSE)-50),"-",(VLOOKUP($A39,'NonXtal_SegEnds_BW#'!$A:$Z,25,FALSE)+VLOOKUP($A39,A:AL,37,FALSE)-50))</f>
        <v>416</v>
      </c>
      <c r="AK39" s="3">
        <v>419</v>
      </c>
      <c r="AL39" s="3">
        <f>IF(ISERROR((VLOOKUP($A39,'NonXtal_SegEnds_BW#'!$A:$Z,26,FALSE)+VLOOKUP($A39,A:AL,37,FALSE)-50)),"-",(VLOOKUP($A39,'NonXtal_SegEnds_BW#'!$A:$Z,26,FALSE)+VLOOKUP($A39,A:AL,37,FALSE)-50))</f>
        <v>428</v>
      </c>
      <c r="AM39" s="71" t="str">
        <f>VLOOKUP(A39,Classification!A:B,2,FALSE)</f>
        <v>A</v>
      </c>
      <c r="AN39" s="71" t="b">
        <f t="shared" si="2"/>
        <v>1</v>
      </c>
      <c r="AO39" s="3">
        <f t="shared" si="3"/>
        <v>1</v>
      </c>
      <c r="AP39" s="3">
        <f t="shared" si="4"/>
        <v>1</v>
      </c>
      <c r="AQ39" s="3">
        <f t="shared" si="5"/>
        <v>2</v>
      </c>
      <c r="AR39" s="3">
        <f t="shared" si="6"/>
        <v>1</v>
      </c>
      <c r="AS39" s="3">
        <f t="shared" si="7"/>
        <v>1</v>
      </c>
      <c r="AT39" s="3">
        <f t="shared" si="8"/>
        <v>2</v>
      </c>
      <c r="AU39" s="3">
        <f t="shared" si="9"/>
        <v>15</v>
      </c>
      <c r="AV39" s="3">
        <f t="shared" si="10"/>
        <v>5</v>
      </c>
      <c r="AW39" s="3">
        <f t="shared" si="11"/>
        <v>112</v>
      </c>
      <c r="AX39" s="3">
        <f t="shared" si="12"/>
        <v>6</v>
      </c>
      <c r="AY39" s="3">
        <f t="shared" si="13"/>
        <v>1</v>
      </c>
      <c r="AZ39" s="3">
        <f>IF(ISERROR(LEN(VLOOKUP(A39,Seqs!A:E,2,FALSE))-AL39),"-",LEN(VLOOKUP(A39,Seqs!A:E,2,FALSE))-AL39)</f>
        <v>17</v>
      </c>
      <c r="BA39" s="35">
        <f t="shared" si="14"/>
        <v>28</v>
      </c>
      <c r="BB39" s="3">
        <f t="shared" si="15"/>
        <v>21</v>
      </c>
      <c r="BC39" s="3">
        <f t="shared" si="16"/>
        <v>28</v>
      </c>
      <c r="BD39" s="3">
        <f t="shared" si="17"/>
        <v>163</v>
      </c>
      <c r="BE39" s="3">
        <f>AH39-AE39</f>
        <v>36</v>
      </c>
    </row>
    <row r="40" spans="1:57" s="3" customFormat="1" x14ac:dyDescent="0.2">
      <c r="A40" s="3" t="s">
        <v>340</v>
      </c>
      <c r="B40" s="3" t="str">
        <f>LOWER(VLOOKUP(A40,Xtal_Templ!A:B,2,FALSE))</f>
        <v>acm1_human</v>
      </c>
      <c r="C40" s="3">
        <f>VLOOKUP($A40,'NonXtal_SegEnds_BW#'!$A:$Z,3,FALSE)+D40-50</f>
        <v>22</v>
      </c>
      <c r="D40" s="3">
        <v>43</v>
      </c>
      <c r="E40" s="3">
        <f>IF(ISERROR(VLOOKUP($A40,'NonXtal_SegEnds_BW#'!$A:$Z,4,FALSE)+VLOOKUP($A40,A:AL,4,FALSE)-50),"-",(VLOOKUP($A40,'NonXtal_SegEnds_BW#'!$A:$Z,4,FALSE)+VLOOKUP($A40,A:AL,4,FALSE)-50))</f>
        <v>53</v>
      </c>
      <c r="F40" s="3">
        <f t="shared" si="25"/>
        <v>54</v>
      </c>
      <c r="G40" s="3">
        <v>56</v>
      </c>
      <c r="H40" s="3">
        <f t="shared" si="26"/>
        <v>57</v>
      </c>
      <c r="I40" s="3">
        <f t="shared" si="26"/>
        <v>58</v>
      </c>
      <c r="J40" s="3">
        <v>71</v>
      </c>
      <c r="K40" s="3">
        <f>VLOOKUP($A40,'NonXtal_SegEnds_BW#'!$A:$Z,8,FALSE)+VLOOKUP($A40,A:AL,10,FALSE)-50</f>
        <v>88</v>
      </c>
      <c r="L40" s="3">
        <f>M40-1</f>
        <v>90</v>
      </c>
      <c r="M40" s="3">
        <v>91</v>
      </c>
      <c r="N40" s="3">
        <f t="shared" si="27"/>
        <v>93</v>
      </c>
      <c r="O40" s="3">
        <f t="shared" si="28"/>
        <v>94</v>
      </c>
      <c r="P40" s="3">
        <v>123</v>
      </c>
      <c r="Q40" s="3">
        <f>VLOOKUP($A40,'NonXtal_SegEnds_BW#'!$A:$Z,12,FALSE)+VLOOKUP($A40,A:AL,16,FALSE)-50</f>
        <v>129</v>
      </c>
      <c r="R40" s="3">
        <f>IF(ISERROR(VLOOKUP($A40,'NonXtal_SegEnds_BW#'!$A:$Z,13,FALSE)+VLOOKUP($A40,A:AL,19,FALSE)-50),"-",VLOOKUP($A40,'NonXtal_SegEnds_BW#'!$A:$Z,13,FALSE)+VLOOKUP($A40,A:AL,19,FALSE)-50)</f>
        <v>130</v>
      </c>
      <c r="S40" s="3">
        <v>130</v>
      </c>
      <c r="T40" s="3">
        <f>IF(ISERROR(VLOOKUP($A40,'NonXtal_SegEnds_BW#'!$A:$Z,14,FALSE)+VLOOKUP($A40,A:AL,19,FALSE)-50),"-",(VLOOKUP($A40,'NonXtal_SegEnds_BW#'!$A:$Z,14,FALSE)+VLOOKUP($A40,A:AL,19,FALSE)-50))</f>
        <v>137</v>
      </c>
      <c r="U40" s="3">
        <f>IF(ISERROR(VLOOKUP($A40,'NonXtal_SegEnds_BW#'!$A:$Z,15,FALSE)+VLOOKUP($A40,A:AL,22,FALSE)-50),"-",VLOOKUP($A40,'NonXtal_SegEnds_BW#'!$A:$Z,15,FALSE)+VLOOKUP($A40,A:AL,22,FALSE)-50)</f>
        <v>139</v>
      </c>
      <c r="V40" s="3">
        <v>150</v>
      </c>
      <c r="W40" s="3">
        <f>IF(ISERROR(VLOOKUP($A40,'NonXtal_SegEnds_BW#'!$A:$Z,16,FALSE)+VLOOKUP($A40,A:AL,22,FALSE)-50),"-",(VLOOKUP($A40,'NonXtal_SegEnds_BW#'!$A:$Z,16,FALSE)+VLOOKUP($A40,A:AL,22,FALSE)-50))</f>
        <v>169</v>
      </c>
      <c r="X40" s="3">
        <f>IF(ISERROR(VLOOKUP($A40,'NonXtal_SegEnds_BW#'!$A:$Z,17,FALSE)+VLOOKUP($A40,A:AL,25,FALSE)-50),"-",(VLOOKUP($A40,'NonXtal_SegEnds_BW#'!$A:$Z,17,FALSE)+VLOOKUP($A40,A:AL,25,FALSE)-50))</f>
        <v>178</v>
      </c>
      <c r="Y40" s="3">
        <v>178</v>
      </c>
      <c r="Z40" s="3">
        <f t="shared" si="24"/>
        <v>180</v>
      </c>
      <c r="AA40" s="3">
        <f>IF(ISERROR(VLOOKUP($A40,'NonXtal_SegEnds_BW#'!$A:$Z,19,FALSE)+VLOOKUP($A40,A:AL,28,FALSE)-50),"-",(VLOOKUP($A40,'NonXtal_SegEnds_BW#'!$A:$Z,19,FALSE)+VLOOKUP($A40,A:AL,28,FALSE)-50))</f>
        <v>185</v>
      </c>
      <c r="AB40" s="3">
        <v>200</v>
      </c>
      <c r="AC40" s="3">
        <f>IF(ISERROR((VLOOKUP($A40,'NonXtal_SegEnds_BW#'!$A:$Z,20,FALSE)+VLOOKUP($A40,A:AL,28,FALSE)-50)),"-",(VLOOKUP($A40,'NonXtal_SegEnds_BW#'!$A:$Z,20,FALSE)+VLOOKUP($A40,A:AL,28,FALSE)-50))</f>
        <v>225</v>
      </c>
      <c r="AD40" s="3">
        <f>IF(ISERROR(VLOOKUP($A40,'NonXtal_SegEnds_BW#'!$A:$Z,21,FALSE)+VLOOKUP($A40,A:AL,31,FALSE)-50),"-",(VLOOKUP($A40,'NonXtal_SegEnds_BW#'!$A:$Z,21,FALSE)+VLOOKUP($A40,A:AL,31,FALSE)-50))</f>
        <v>354</v>
      </c>
      <c r="AE40" s="3">
        <v>380</v>
      </c>
      <c r="AF40" s="3">
        <f>IF(ISERROR((VLOOKUP($A40,'NonXtal_SegEnds_BW#'!$A:$Z,22,FALSE)+VLOOKUP($A40,A:AL,31,FALSE)-50)),"-",(VLOOKUP($A40,'NonXtal_SegEnds_BW#'!$A:$Z,22,FALSE)+VLOOKUP($A40,A:AL,31,FALSE)-50))</f>
        <v>391</v>
      </c>
      <c r="AG40" s="3">
        <f>IF(ISERROR(VLOOKUP($A40,'NonXtal_SegEnds_BW#'!$A:$Z,23,FALSE)+VLOOKUP($A40,A:AL,34,FALSE)-50),"-",(VLOOKUP($A40,'NonXtal_SegEnds_BW#'!$A:$Z,23,FALSE)+VLOOKUP($A40,A:AL,34,FALSE)-50))</f>
        <v>396</v>
      </c>
      <c r="AH40" s="3">
        <v>415</v>
      </c>
      <c r="AI40" s="3">
        <f>IF(ISERROR((VLOOKUP($A40,'NonXtal_SegEnds_BW#'!$A:$Z,24,FALSE)+VLOOKUP($A40,A:AL,34,FALSE)-50)),"-",(VLOOKUP($A40,'NonXtal_SegEnds_BW#'!$A:$Z,24,FALSE)+VLOOKUP($A40,A:AL,34,FALSE)-50))</f>
        <v>421</v>
      </c>
      <c r="AJ40" s="3">
        <f>IF(ISERROR(VLOOKUP($A40,'NonXtal_SegEnds_BW#'!$A:$Z,25,FALSE)+VLOOKUP($A40,A:AL,37,FALSE)-50),"-",(VLOOKUP($A40,'NonXtal_SegEnds_BW#'!$A:$Z,25,FALSE)+VLOOKUP($A40,A:AL,37,FALSE)-50))</f>
        <v>422</v>
      </c>
      <c r="AK40" s="3">
        <v>425</v>
      </c>
      <c r="AL40" s="3">
        <f>IF(ISERROR((VLOOKUP($A40,'NonXtal_SegEnds_BW#'!$A:$Z,26,FALSE)+VLOOKUP($A40,A:AL,37,FALSE)-50)),"-",(VLOOKUP($A40,'NonXtal_SegEnds_BW#'!$A:$Z,26,FALSE)+VLOOKUP($A40,A:AL,37,FALSE)-50))</f>
        <v>434</v>
      </c>
      <c r="AM40" s="71" t="str">
        <f>VLOOKUP(A40,Classification!A:B,2,FALSE)</f>
        <v>A</v>
      </c>
      <c r="AN40" s="71" t="b">
        <f t="shared" si="2"/>
        <v>1</v>
      </c>
      <c r="AO40" s="3">
        <f t="shared" si="3"/>
        <v>1</v>
      </c>
      <c r="AP40" s="3">
        <f t="shared" si="4"/>
        <v>1</v>
      </c>
      <c r="AQ40" s="3">
        <f t="shared" si="5"/>
        <v>2</v>
      </c>
      <c r="AR40" s="3">
        <f t="shared" si="6"/>
        <v>1</v>
      </c>
      <c r="AS40" s="3">
        <f t="shared" si="7"/>
        <v>1</v>
      </c>
      <c r="AT40" s="3">
        <f t="shared" si="8"/>
        <v>2</v>
      </c>
      <c r="AU40" s="3">
        <f t="shared" si="9"/>
        <v>9</v>
      </c>
      <c r="AV40" s="3">
        <f t="shared" si="10"/>
        <v>5</v>
      </c>
      <c r="AW40" s="3">
        <f t="shared" si="11"/>
        <v>129</v>
      </c>
      <c r="AX40" s="3">
        <f t="shared" si="12"/>
        <v>5</v>
      </c>
      <c r="AY40" s="3">
        <f t="shared" si="13"/>
        <v>1</v>
      </c>
      <c r="AZ40" s="3">
        <f>IF(ISERROR(LEN(VLOOKUP(A40,Seqs!A:E,2,FALSE))-AL40),"-",LEN(VLOOKUP(A40,Seqs!A:E,2,FALSE))-AL40)</f>
        <v>26</v>
      </c>
      <c r="BA40" s="35">
        <f t="shared" si="14"/>
        <v>28</v>
      </c>
      <c r="BB40" s="3">
        <f t="shared" si="15"/>
        <v>20</v>
      </c>
      <c r="BC40" s="3">
        <f t="shared" si="16"/>
        <v>28</v>
      </c>
      <c r="BD40" s="3">
        <f t="shared" si="17"/>
        <v>180</v>
      </c>
      <c r="BE40" s="3">
        <f>AH40-AE40</f>
        <v>35</v>
      </c>
    </row>
    <row r="41" spans="1:57" s="3" customFormat="1" x14ac:dyDescent="0.2">
      <c r="A41" s="3" t="s">
        <v>429</v>
      </c>
      <c r="B41" s="3" t="str">
        <f>LOWER(VLOOKUP(A41,Xtal_Templ!A:B,2,FALSE))</f>
        <v>acm1_human</v>
      </c>
      <c r="C41" s="3">
        <f>VLOOKUP($A41,'NonXtal_SegEnds_BW#'!$A:$Z,3,FALSE)+D41-50</f>
        <v>11</v>
      </c>
      <c r="D41" s="3">
        <v>32</v>
      </c>
      <c r="E41" s="3">
        <f>IF(ISERROR(VLOOKUP($A41,'NonXtal_SegEnds_BW#'!$A:$Z,4,FALSE)+VLOOKUP($A41,A:AL,4,FALSE)-50),"-",(VLOOKUP($A41,'NonXtal_SegEnds_BW#'!$A:$Z,4,FALSE)+VLOOKUP($A41,A:AL,4,FALSE)-50))</f>
        <v>42</v>
      </c>
      <c r="F41" s="3">
        <f t="shared" si="25"/>
        <v>43</v>
      </c>
      <c r="G41" s="3">
        <v>45</v>
      </c>
      <c r="H41" s="3">
        <f t="shared" si="26"/>
        <v>46</v>
      </c>
      <c r="I41" s="3">
        <f t="shared" si="26"/>
        <v>47</v>
      </c>
      <c r="J41" s="3">
        <v>61</v>
      </c>
      <c r="K41" s="3">
        <f>VLOOKUP($A41,'NonXtal_SegEnds_BW#'!$A:$Z,8,FALSE)+VLOOKUP($A41,A:AL,10,FALSE)-50</f>
        <v>77</v>
      </c>
      <c r="L41" s="3" t="str">
        <f>IF(ISERROR(VLOOKUP($A41,'NonXtal_SegEnds_BW#'!$A:$Z,9,FALSE)+VLOOKUP($A41,A:AL,13,FALSE)-50),"-",(VLOOKUP($A41,'NonXtal_SegEnds_BW#'!$A:$Z,9,FALSE)+VLOOKUP($A41,A:AL,13,FALSE)-50))</f>
        <v>-</v>
      </c>
      <c r="M41" s="3" t="s">
        <v>129</v>
      </c>
      <c r="N41" s="3" t="str">
        <f>IF(ISERROR(VLOOKUP($A41,'NonXtal_SegEnds_BW#'!$A:$Z,10,FALSE)+VLOOKUP($A41,A:AL,13,FALSE)-50),"-",(VLOOKUP($A41,'NonXtal_SegEnds_BW#'!$A:$Z,10,FALSE)+VLOOKUP($A41,A:AL,13,FALSE)-50))</f>
        <v>-</v>
      </c>
      <c r="O41" s="3">
        <f>VLOOKUP($A41,'NonXtal_SegEnds_BW#'!$A:$Z,11,FALSE)+VLOOKUP($A41,A:AL,16,FALSE)-50</f>
        <v>84</v>
      </c>
      <c r="P41" s="3">
        <v>110</v>
      </c>
      <c r="Q41" s="3">
        <f>VLOOKUP($A41,'NonXtal_SegEnds_BW#'!$A:$Z,12,FALSE)+VLOOKUP($A41,A:AL,16,FALSE)-50</f>
        <v>116</v>
      </c>
      <c r="R41" s="3" t="str">
        <f>IF(ISERROR(VLOOKUP($A41,'NonXtal_SegEnds_BW#'!$A:$Z,13,FALSE)+VLOOKUP($A41,A:AL,19,FALSE)-50),"-",VLOOKUP($A41,'NonXtal_SegEnds_BW#'!$A:$Z,13,FALSE)+VLOOKUP($A41,A:AL,19,FALSE)-50)</f>
        <v>-</v>
      </c>
      <c r="S41" s="3" t="s">
        <v>129</v>
      </c>
      <c r="T41" s="3" t="str">
        <f>IF(ISERROR(VLOOKUP($A41,'NonXtal_SegEnds_BW#'!$A:$Z,14,FALSE)+VLOOKUP($A41,A:AL,19,FALSE)-50),"-",(VLOOKUP($A41,'NonXtal_SegEnds_BW#'!$A:$Z,14,FALSE)+VLOOKUP($A41,A:AL,19,FALSE)-50))</f>
        <v>-</v>
      </c>
      <c r="U41" s="3">
        <f>IF(ISERROR(VLOOKUP($A41,'NonXtal_SegEnds_BW#'!$A:$Z,15,FALSE)+VLOOKUP($A41,A:AL,22,FALSE)-50),"-",VLOOKUP($A41,'NonXtal_SegEnds_BW#'!$A:$Z,15,FALSE)+VLOOKUP($A41,A:AL,22,FALSE)-50)</f>
        <v>121</v>
      </c>
      <c r="V41" s="3">
        <v>132</v>
      </c>
      <c r="W41" s="3">
        <f>IF(ISERROR(VLOOKUP($A41,'NonXtal_SegEnds_BW#'!$A:$Z,16,FALSE)+VLOOKUP($A41,A:AL,22,FALSE)-50),"-",(VLOOKUP($A41,'NonXtal_SegEnds_BW#'!$A:$Z,16,FALSE)+VLOOKUP($A41,A:AL,22,FALSE)-50))</f>
        <v>151</v>
      </c>
      <c r="X41" s="3">
        <f>IF(ISERROR(VLOOKUP($A41,'NonXtal_SegEnds_BW#'!$A:$Z,17,FALSE)+VLOOKUP($A41,A:AL,25,FALSE)-50),"-",(VLOOKUP($A41,'NonXtal_SegEnds_BW#'!$A:$Z,17,FALSE)+VLOOKUP($A41,A:AL,25,FALSE)-50))</f>
        <v>155</v>
      </c>
      <c r="Y41" s="3">
        <v>155</v>
      </c>
      <c r="Z41" s="3">
        <f t="shared" si="24"/>
        <v>157</v>
      </c>
      <c r="AA41" s="3">
        <f>IF(ISERROR(VLOOKUP($A41,'NonXtal_SegEnds_BW#'!$A:$Z,19,FALSE)+VLOOKUP($A41,A:AL,28,FALSE)-50),"-",(VLOOKUP($A41,'NonXtal_SegEnds_BW#'!$A:$Z,19,FALSE)+VLOOKUP($A41,A:AL,28,FALSE)-50))</f>
        <v>161</v>
      </c>
      <c r="AB41" s="3">
        <v>176</v>
      </c>
      <c r="AC41" s="3">
        <f>IF(ISERROR((VLOOKUP($A41,'NonXtal_SegEnds_BW#'!$A:$Z,20,FALSE)+VLOOKUP($A41,A:AL,28,FALSE)-50)),"-",(VLOOKUP($A41,'NonXtal_SegEnds_BW#'!$A:$Z,20,FALSE)+VLOOKUP($A41,A:AL,28,FALSE)-50))</f>
        <v>200</v>
      </c>
      <c r="AD41" s="3">
        <f>IF(ISERROR(VLOOKUP($A41,'NonXtal_SegEnds_BW#'!$A:$Z,21,FALSE)+VLOOKUP($A41,A:AL,31,FALSE)-50),"-",(VLOOKUP($A41,'NonXtal_SegEnds_BW#'!$A:$Z,21,FALSE)+VLOOKUP($A41,A:AL,31,FALSE)-50))</f>
        <v>210</v>
      </c>
      <c r="AE41" s="3">
        <v>239</v>
      </c>
      <c r="AF41" s="3">
        <f>IF(ISERROR((VLOOKUP($A41,'NonXtal_SegEnds_BW#'!$A:$Z,22,FALSE)+VLOOKUP($A41,A:AL,31,FALSE)-50)),"-",(VLOOKUP($A41,'NonXtal_SegEnds_BW#'!$A:$Z,22,FALSE)+VLOOKUP($A41,A:AL,31,FALSE)-50))</f>
        <v>250</v>
      </c>
      <c r="AG41" s="3">
        <f>IF(ISERROR(VLOOKUP($A41,'NonXtal_SegEnds_BW#'!$A:$Z,23,FALSE)+VLOOKUP($A41,A:AL,34,FALSE)-50),"-",(VLOOKUP($A41,'NonXtal_SegEnds_BW#'!$A:$Z,23,FALSE)+VLOOKUP($A41,A:AL,34,FALSE)-50))</f>
        <v>255</v>
      </c>
      <c r="AH41" s="3">
        <v>277</v>
      </c>
      <c r="AI41" s="3">
        <f>IF(ISERROR((VLOOKUP($A41,'NonXtal_SegEnds_BW#'!$A:$Z,24,FALSE)+VLOOKUP($A41,A:AL,34,FALSE)-50)),"-",(VLOOKUP($A41,'NonXtal_SegEnds_BW#'!$A:$Z,24,FALSE)+VLOOKUP($A41,A:AL,34,FALSE)-50))</f>
        <v>283</v>
      </c>
      <c r="AJ41" s="3">
        <f>IF(ISERROR(VLOOKUP($A41,'NonXtal_SegEnds_BW#'!$A:$Z,25,FALSE)+VLOOKUP($A41,A:AL,37,FALSE)-50),"-",(VLOOKUP($A41,'NonXtal_SegEnds_BW#'!$A:$Z,25,FALSE)+VLOOKUP($A41,A:AL,37,FALSE)-50))</f>
        <v>284</v>
      </c>
      <c r="AK41" s="3">
        <v>287</v>
      </c>
      <c r="AL41" s="3">
        <f>IF(ISERROR((VLOOKUP($A41,'NonXtal_SegEnds_BW#'!$A:$Z,26,FALSE)+VLOOKUP($A41,A:AL,37,FALSE)-50)),"-",(VLOOKUP($A41,'NonXtal_SegEnds_BW#'!$A:$Z,26,FALSE)+VLOOKUP($A41,A:AL,37,FALSE)-50))</f>
        <v>296</v>
      </c>
      <c r="AM41" s="71" t="str">
        <f>VLOOKUP(A41,Classification!A:B,2,FALSE)</f>
        <v>A</v>
      </c>
      <c r="AN41" s="71" t="b">
        <f t="shared" si="2"/>
        <v>1</v>
      </c>
      <c r="AO41" s="3">
        <f t="shared" si="3"/>
        <v>1</v>
      </c>
      <c r="AP41" s="3">
        <f t="shared" si="4"/>
        <v>1</v>
      </c>
      <c r="AQ41" s="3" t="str">
        <f t="shared" si="5"/>
        <v>-</v>
      </c>
      <c r="AR41" s="3" t="str">
        <f t="shared" si="6"/>
        <v>-</v>
      </c>
      <c r="AS41" s="3" t="str">
        <f t="shared" si="7"/>
        <v>-</v>
      </c>
      <c r="AT41" s="3" t="str">
        <f t="shared" si="8"/>
        <v>-</v>
      </c>
      <c r="AU41" s="3">
        <f t="shared" si="9"/>
        <v>4</v>
      </c>
      <c r="AV41" s="3">
        <f t="shared" si="10"/>
        <v>4</v>
      </c>
      <c r="AW41" s="3">
        <f t="shared" si="11"/>
        <v>10</v>
      </c>
      <c r="AX41" s="3">
        <f t="shared" si="12"/>
        <v>5</v>
      </c>
      <c r="AY41" s="3">
        <f t="shared" si="13"/>
        <v>1</v>
      </c>
      <c r="AZ41" s="3">
        <f>IF(ISERROR(LEN(VLOOKUP(A41,Seqs!A:E,2,FALSE))-AL41),"-",LEN(VLOOKUP(A41,Seqs!A:E,2,FALSE))-AL41)</f>
        <v>34</v>
      </c>
      <c r="BA41" s="35">
        <f t="shared" si="14"/>
        <v>29</v>
      </c>
      <c r="BB41" s="3" t="str">
        <f t="shared" si="15"/>
        <v>-</v>
      </c>
      <c r="BC41" s="3">
        <f t="shared" si="16"/>
        <v>29</v>
      </c>
      <c r="BD41" s="3">
        <f t="shared" si="17"/>
        <v>63</v>
      </c>
    </row>
    <row r="42" spans="1:57" s="3" customFormat="1" x14ac:dyDescent="0.2">
      <c r="A42" s="3" t="s">
        <v>671</v>
      </c>
      <c r="B42" s="3" t="str">
        <f>LOWER(VLOOKUP(A42,Xtal_Templ!A:B,2,FALSE))</f>
        <v>acm2_human</v>
      </c>
      <c r="C42" s="3">
        <f>VLOOKUP($A42,'NonXtal_SegEnds_BW#'!$A:$Z,3,FALSE)+D42-50</f>
        <v>6</v>
      </c>
      <c r="D42" s="3">
        <v>24</v>
      </c>
      <c r="E42" s="3">
        <f>F42-1</f>
        <v>36</v>
      </c>
      <c r="F42" s="3">
        <f t="shared" si="25"/>
        <v>37</v>
      </c>
      <c r="G42" s="3">
        <v>39</v>
      </c>
      <c r="H42" s="3">
        <f t="shared" si="26"/>
        <v>40</v>
      </c>
      <c r="I42" s="3">
        <f t="shared" si="26"/>
        <v>41</v>
      </c>
      <c r="J42" s="3">
        <v>55</v>
      </c>
      <c r="K42" s="3">
        <f>VLOOKUP($A42,'NonXtal_SegEnds_BW#'!$A:$Z,8,FALSE)+VLOOKUP($A42,A:AL,10,FALSE)-50</f>
        <v>71</v>
      </c>
      <c r="L42" s="3" t="str">
        <f>IF(ISERROR(VLOOKUP($A42,'NonXtal_SegEnds_BW#'!$A:$Z,9,FALSE)+VLOOKUP($A42,A:AL,13,FALSE)-50),"-",(VLOOKUP($A42,'NonXtal_SegEnds_BW#'!$A:$Z,9,FALSE)+VLOOKUP($A42,A:AL,13,FALSE)-50))</f>
        <v>-</v>
      </c>
      <c r="M42" s="3" t="s">
        <v>129</v>
      </c>
      <c r="N42" s="3" t="str">
        <f>IF(ISERROR(VLOOKUP($A42,'NonXtal_SegEnds_BW#'!$A:$Z,10,FALSE)+VLOOKUP($A42,A:AL,13,FALSE)-50),"-",(VLOOKUP($A42,'NonXtal_SegEnds_BW#'!$A:$Z,10,FALSE)+VLOOKUP($A42,A:AL,13,FALSE)-50))</f>
        <v>-</v>
      </c>
      <c r="O42" s="3">
        <f>VLOOKUP($A42,'NonXtal_SegEnds_BW#'!$A:$Z,11,FALSE)+VLOOKUP($A42,A:AL,16,FALSE)-50</f>
        <v>74</v>
      </c>
      <c r="P42" s="3">
        <v>106</v>
      </c>
      <c r="Q42" s="3">
        <f>VLOOKUP($A42,'NonXtal_SegEnds_BW#'!$A:$Z,12,FALSE)+VLOOKUP($A42,A:AL,16,FALSE)-50</f>
        <v>112</v>
      </c>
      <c r="R42" s="3">
        <f>S42</f>
        <v>115</v>
      </c>
      <c r="S42" s="3">
        <v>115</v>
      </c>
      <c r="T42" s="3">
        <f>S42+7</f>
        <v>122</v>
      </c>
      <c r="U42" s="3">
        <f>IF(ISERROR(VLOOKUP($A42,'NonXtal_SegEnds_BW#'!$A:$Z,15,FALSE)+VLOOKUP($A42,A:AL,22,FALSE)-50),"-",VLOOKUP($A42,'NonXtal_SegEnds_BW#'!$A:$Z,15,FALSE)+VLOOKUP($A42,A:AL,22,FALSE)-50)</f>
        <v>124</v>
      </c>
      <c r="V42" s="3">
        <v>135</v>
      </c>
      <c r="W42" s="3">
        <f>IF(ISERROR(VLOOKUP($A42,'NonXtal_SegEnds_BW#'!$A:$Z,16,FALSE)+VLOOKUP($A42,A:AL,22,FALSE)-50),"-",(VLOOKUP($A42,'NonXtal_SegEnds_BW#'!$A:$Z,16,FALSE)+VLOOKUP($A42,A:AL,22,FALSE)-50))</f>
        <v>154</v>
      </c>
      <c r="X42" s="3" t="str">
        <f>IF(ISERROR(VLOOKUP($A42,'NonXtal_SegEnds_BW#'!$A:$Z,17,FALSE)+VLOOKUP($A42,A:AL,25,FALSE)-50),"-",(VLOOKUP($A42,'NonXtal_SegEnds_BW#'!$A:$Z,17,FALSE)+VLOOKUP($A42,A:AL,25,FALSE)-50))</f>
        <v>-</v>
      </c>
      <c r="Y42" s="3" t="s">
        <v>129</v>
      </c>
      <c r="Z42" s="3" t="str">
        <f>IF(ISERROR(VLOOKUP($A42,'NonXtal_SegEnds_BW#'!$A:$Z,18,FALSE)+VLOOKUP($A42,A:AL,25,FALSE)-50),"-",(VLOOKUP($A42,'NonXtal_SegEnds_BW#'!$A:$Z,18,FALSE)+VLOOKUP($A42,A:AL,25,FALSE)-50))</f>
        <v>-</v>
      </c>
      <c r="AA42" s="3">
        <f>IF(ISERROR(VLOOKUP($A42,'NonXtal_SegEnds_BW#'!$A:$Z,19,FALSE)+VLOOKUP($A42,A:AL,28,FALSE)-50),"-",(VLOOKUP($A42,'NonXtal_SegEnds_BW#'!$A:$Z,19,FALSE)+VLOOKUP($A42,A:AL,28,FALSE)-50))</f>
        <v>170</v>
      </c>
      <c r="AB42" s="3">
        <v>188</v>
      </c>
      <c r="AC42" s="3">
        <f>IF(ISERROR((VLOOKUP($A42,'NonXtal_SegEnds_BW#'!$A:$Z,20,FALSE)+VLOOKUP($A42,A:AL,28,FALSE)-50)),"-",(VLOOKUP($A42,'NonXtal_SegEnds_BW#'!$A:$Z,20,FALSE)+VLOOKUP($A42,A:AL,28,FALSE)-50))</f>
        <v>210</v>
      </c>
      <c r="AD42" s="3">
        <f>IF(ISERROR(VLOOKUP($A42,'NonXtal_SegEnds_BW#'!$A:$Z,21,FALSE)+VLOOKUP($A42,A:AL,31,FALSE)-50),"-",(VLOOKUP($A42,'NonXtal_SegEnds_BW#'!$A:$Z,21,FALSE)+VLOOKUP($A42,A:AL,31,FALSE)-50))</f>
        <v>220</v>
      </c>
      <c r="AE42" s="3">
        <v>241</v>
      </c>
      <c r="AF42" s="3">
        <f>IF(ISERROR((VLOOKUP($A42,'NonXtal_SegEnds_BW#'!$A:$Z,22,FALSE)+VLOOKUP($A42,A:AL,31,FALSE)-50)),"-",(VLOOKUP($A42,'NonXtal_SegEnds_BW#'!$A:$Z,22,FALSE)+VLOOKUP($A42,A:AL,31,FALSE)-50))</f>
        <v>252</v>
      </c>
      <c r="AG42" s="3">
        <f>IF(ISERROR(VLOOKUP($A42,'NonXtal_SegEnds_BW#'!$A:$Z,23,FALSE)+VLOOKUP($A42,A:AL,34,FALSE)-50),"-",(VLOOKUP($A42,'NonXtal_SegEnds_BW#'!$A:$Z,23,FALSE)+VLOOKUP($A42,A:AL,34,FALSE)-50))</f>
        <v>258</v>
      </c>
      <c r="AH42" s="3">
        <v>277</v>
      </c>
      <c r="AI42" s="3">
        <f>IF(ISERROR((VLOOKUP($A42,'NonXtal_SegEnds_BW#'!$A:$Z,24,FALSE)+VLOOKUP($A42,A:AL,34,FALSE)-50)),"-",(VLOOKUP($A42,'NonXtal_SegEnds_BW#'!$A:$Z,24,FALSE)+VLOOKUP($A42,A:AL,34,FALSE)-50))</f>
        <v>283</v>
      </c>
      <c r="AJ42" s="3">
        <f>IF(ISERROR(VLOOKUP($A42,'NonXtal_SegEnds_BW#'!$A:$Z,25,FALSE)+VLOOKUP($A42,A:AL,37,FALSE)-50),"-",(VLOOKUP($A42,'NonXtal_SegEnds_BW#'!$A:$Z,25,FALSE)+VLOOKUP($A42,A:AL,37,FALSE)-50))</f>
        <v>284</v>
      </c>
      <c r="AK42" s="3">
        <v>287</v>
      </c>
      <c r="AL42" s="3">
        <f>IF(ISERROR((VLOOKUP($A42,'NonXtal_SegEnds_BW#'!$A:$Z,26,FALSE)+VLOOKUP($A42,A:AL,37,FALSE)-50)),"-",(VLOOKUP($A42,'NonXtal_SegEnds_BW#'!$A:$Z,26,FALSE)+VLOOKUP($A42,A:AL,37,FALSE)-50))</f>
        <v>297</v>
      </c>
      <c r="AM42" s="71" t="str">
        <f>VLOOKUP(A42,Classification!A:B,2,FALSE)</f>
        <v>T</v>
      </c>
      <c r="AN42" s="71" t="b">
        <f t="shared" si="2"/>
        <v>1</v>
      </c>
      <c r="AO42" s="3">
        <f t="shared" si="3"/>
        <v>1</v>
      </c>
      <c r="AP42" s="3">
        <f t="shared" si="4"/>
        <v>1</v>
      </c>
      <c r="AQ42" s="3" t="str">
        <f t="shared" si="5"/>
        <v>-</v>
      </c>
      <c r="AR42" s="3" t="str">
        <f t="shared" si="6"/>
        <v>-</v>
      </c>
      <c r="AS42" s="3">
        <f t="shared" si="7"/>
        <v>3</v>
      </c>
      <c r="AT42" s="3">
        <f t="shared" si="8"/>
        <v>2</v>
      </c>
      <c r="AU42" s="3" t="str">
        <f t="shared" si="9"/>
        <v>-</v>
      </c>
      <c r="AV42" s="3" t="str">
        <f t="shared" si="10"/>
        <v>-</v>
      </c>
      <c r="AW42" s="3">
        <f t="shared" si="11"/>
        <v>10</v>
      </c>
      <c r="AX42" s="3">
        <f t="shared" si="12"/>
        <v>6</v>
      </c>
      <c r="AY42" s="3">
        <f t="shared" si="13"/>
        <v>1</v>
      </c>
      <c r="AZ42" s="3">
        <f>IF(ISERROR(LEN(VLOOKUP(A42,Seqs!A:E,2,FALSE))-AL42),"-",LEN(VLOOKUP(A42,Seqs!A:E,2,FALSE))-AL42)</f>
        <v>2</v>
      </c>
      <c r="BA42" s="35">
        <f t="shared" si="14"/>
        <v>31</v>
      </c>
      <c r="BB42" s="3">
        <f t="shared" si="15"/>
        <v>20</v>
      </c>
      <c r="BC42" s="3">
        <f t="shared" si="16"/>
        <v>31</v>
      </c>
      <c r="BD42" s="3">
        <f t="shared" si="17"/>
        <v>53</v>
      </c>
      <c r="BE42" s="3">
        <f>AH42-AE42</f>
        <v>36</v>
      </c>
    </row>
    <row r="43" spans="1:57" s="3" customFormat="1" x14ac:dyDescent="0.2">
      <c r="A43" s="3" t="s">
        <v>341</v>
      </c>
      <c r="B43" s="3" t="str">
        <f>LOWER(VLOOKUP(A43,Xtal_Templ!A:B,2,FALSE))</f>
        <v>acm2_human</v>
      </c>
      <c r="C43" s="3">
        <f>VLOOKUP($A43,'NonXtal_SegEnds_BW#'!$A:$Z,3,FALSE)+D43-50</f>
        <v>19</v>
      </c>
      <c r="D43" s="3">
        <v>41</v>
      </c>
      <c r="E43" s="3">
        <f>IF(ISERROR(VLOOKUP($A43,'NonXtal_SegEnds_BW#'!$A:$Z,4,FALSE)+VLOOKUP($A43,A:AL,4,FALSE)-50),"-",(VLOOKUP($A43,'NonXtal_SegEnds_BW#'!$A:$Z,4,FALSE)+VLOOKUP($A43,A:AL,4,FALSE)-50))</f>
        <v>51</v>
      </c>
      <c r="F43" s="3">
        <f t="shared" si="25"/>
        <v>52</v>
      </c>
      <c r="G43" s="3">
        <v>54</v>
      </c>
      <c r="H43" s="3">
        <f t="shared" si="26"/>
        <v>55</v>
      </c>
      <c r="I43" s="3">
        <f t="shared" si="26"/>
        <v>56</v>
      </c>
      <c r="J43" s="3">
        <v>69</v>
      </c>
      <c r="K43" s="3">
        <f>VLOOKUP($A43,'NonXtal_SegEnds_BW#'!$A:$Z,8,FALSE)+VLOOKUP($A43,A:AL,10,FALSE)-50</f>
        <v>86</v>
      </c>
      <c r="L43" s="3">
        <f>M43-1</f>
        <v>88</v>
      </c>
      <c r="M43" s="3">
        <v>89</v>
      </c>
      <c r="N43" s="3">
        <f>M43+2</f>
        <v>91</v>
      </c>
      <c r="O43" s="3">
        <f>N43+1</f>
        <v>92</v>
      </c>
      <c r="P43" s="3">
        <v>121</v>
      </c>
      <c r="Q43" s="3">
        <f>VLOOKUP($A43,'NonXtal_SegEnds_BW#'!$A:$Z,12,FALSE)+VLOOKUP($A43,A:AL,16,FALSE)-50</f>
        <v>127</v>
      </c>
      <c r="R43" s="3">
        <f>IF(ISERROR(VLOOKUP($A43,'NonXtal_SegEnds_BW#'!$A:$Z,13,FALSE)+VLOOKUP($A43,A:AL,19,FALSE)-50),"-",VLOOKUP($A43,'NonXtal_SegEnds_BW#'!$A:$Z,13,FALSE)+VLOOKUP($A43,A:AL,19,FALSE)-50)</f>
        <v>128</v>
      </c>
      <c r="S43" s="3">
        <v>128</v>
      </c>
      <c r="T43" s="3">
        <f>IF(ISERROR(VLOOKUP($A43,'NonXtal_SegEnds_BW#'!$A:$Z,14,FALSE)+VLOOKUP($A43,A:AL,19,FALSE)-50),"-",(VLOOKUP($A43,'NonXtal_SegEnds_BW#'!$A:$Z,14,FALSE)+VLOOKUP($A43,A:AL,19,FALSE)-50))</f>
        <v>135</v>
      </c>
      <c r="U43" s="3">
        <f>IF(ISERROR(VLOOKUP($A43,'NonXtal_SegEnds_BW#'!$A:$Z,15,FALSE)+VLOOKUP($A43,A:AL,22,FALSE)-50),"-",VLOOKUP($A43,'NonXtal_SegEnds_BW#'!$A:$Z,15,FALSE)+VLOOKUP($A43,A:AL,22,FALSE)-50)</f>
        <v>137</v>
      </c>
      <c r="V43" s="3">
        <v>148</v>
      </c>
      <c r="W43" s="3">
        <f>IF(ISERROR(VLOOKUP($A43,'NonXtal_SegEnds_BW#'!$A:$Z,16,FALSE)+VLOOKUP($A43,A:AL,22,FALSE)-50),"-",(VLOOKUP($A43,'NonXtal_SegEnds_BW#'!$A:$Z,16,FALSE)+VLOOKUP($A43,A:AL,22,FALSE)-50))</f>
        <v>167</v>
      </c>
      <c r="X43" s="3">
        <f>IF(ISERROR(VLOOKUP($A43,'NonXtal_SegEnds_BW#'!$A:$Z,17,FALSE)+VLOOKUP($A43,A:AL,25,FALSE)-50),"-",(VLOOKUP($A43,'NonXtal_SegEnds_BW#'!$A:$Z,17,FALSE)+VLOOKUP($A43,A:AL,25,FALSE)-50))</f>
        <v>176</v>
      </c>
      <c r="Y43" s="3">
        <v>176</v>
      </c>
      <c r="Z43" s="3">
        <f>Y43+2</f>
        <v>178</v>
      </c>
      <c r="AA43" s="3">
        <f>IF(ISERROR(VLOOKUP($A43,'NonXtal_SegEnds_BW#'!$A:$Z,19,FALSE)+VLOOKUP($A43,A:AL,28,FALSE)-50),"-",(VLOOKUP($A43,'NonXtal_SegEnds_BW#'!$A:$Z,19,FALSE)+VLOOKUP($A43,A:AL,28,FALSE)-50))</f>
        <v>183</v>
      </c>
      <c r="AB43" s="3">
        <v>198</v>
      </c>
      <c r="AC43" s="3">
        <f>IF(ISERROR((VLOOKUP($A43,'NonXtal_SegEnds_BW#'!$A:$Z,20,FALSE)+VLOOKUP($A43,A:AL,28,FALSE)-50)),"-",(VLOOKUP($A43,'NonXtal_SegEnds_BW#'!$A:$Z,20,FALSE)+VLOOKUP($A43,A:AL,28,FALSE)-50))</f>
        <v>223</v>
      </c>
      <c r="AD43" s="3">
        <f>IF(ISERROR(VLOOKUP($A43,'NonXtal_SegEnds_BW#'!$A:$Z,21,FALSE)+VLOOKUP($A43,A:AL,31,FALSE)-50),"-",(VLOOKUP($A43,'NonXtal_SegEnds_BW#'!$A:$Z,21,FALSE)+VLOOKUP($A43,A:AL,31,FALSE)-50))</f>
        <v>376</v>
      </c>
      <c r="AE43" s="3">
        <v>402</v>
      </c>
      <c r="AF43" s="3">
        <f>IF(ISERROR((VLOOKUP($A43,'NonXtal_SegEnds_BW#'!$A:$Z,22,FALSE)+VLOOKUP($A43,A:AL,31,FALSE)-50)),"-",(VLOOKUP($A43,'NonXtal_SegEnds_BW#'!$A:$Z,22,FALSE)+VLOOKUP($A43,A:AL,31,FALSE)-50))</f>
        <v>413</v>
      </c>
      <c r="AG43" s="3">
        <f>IF(ISERROR(VLOOKUP($A43,'NonXtal_SegEnds_BW#'!$A:$Z,23,FALSE)+VLOOKUP($A43,A:AL,34,FALSE)-50),"-",(VLOOKUP($A43,'NonXtal_SegEnds_BW#'!$A:$Z,23,FALSE)+VLOOKUP($A43,A:AL,34,FALSE)-50))</f>
        <v>418</v>
      </c>
      <c r="AH43" s="3">
        <v>437</v>
      </c>
      <c r="AI43" s="3">
        <f>IF(ISERROR((VLOOKUP($A43,'NonXtal_SegEnds_BW#'!$A:$Z,24,FALSE)+VLOOKUP($A43,A:AL,34,FALSE)-50)),"-",(VLOOKUP($A43,'NonXtal_SegEnds_BW#'!$A:$Z,24,FALSE)+VLOOKUP($A43,A:AL,34,FALSE)-50))</f>
        <v>443</v>
      </c>
      <c r="AJ43" s="3">
        <f>IF(ISERROR(VLOOKUP($A43,'NonXtal_SegEnds_BW#'!$A:$Z,25,FALSE)+VLOOKUP($A43,A:AL,37,FALSE)-50),"-",(VLOOKUP($A43,'NonXtal_SegEnds_BW#'!$A:$Z,25,FALSE)+VLOOKUP($A43,A:AL,37,FALSE)-50))</f>
        <v>444</v>
      </c>
      <c r="AK43" s="3">
        <v>447</v>
      </c>
      <c r="AL43" s="3">
        <f>IF(ISERROR((VLOOKUP($A43,'NonXtal_SegEnds_BW#'!$A:$Z,26,FALSE)+VLOOKUP($A43,A:AL,37,FALSE)-50)),"-",(VLOOKUP($A43,'NonXtal_SegEnds_BW#'!$A:$Z,26,FALSE)+VLOOKUP($A43,A:AL,37,FALSE)-50))</f>
        <v>456</v>
      </c>
      <c r="AM43" s="71" t="str">
        <f>VLOOKUP(A43,Classification!A:B,2,FALSE)</f>
        <v>A</v>
      </c>
      <c r="AN43" s="71" t="b">
        <f t="shared" si="2"/>
        <v>1</v>
      </c>
      <c r="AO43" s="3">
        <f t="shared" si="3"/>
        <v>1</v>
      </c>
      <c r="AP43" s="3">
        <f t="shared" si="4"/>
        <v>1</v>
      </c>
      <c r="AQ43" s="3">
        <f t="shared" si="5"/>
        <v>2</v>
      </c>
      <c r="AR43" s="3">
        <f t="shared" si="6"/>
        <v>1</v>
      </c>
      <c r="AS43" s="3">
        <f t="shared" si="7"/>
        <v>1</v>
      </c>
      <c r="AT43" s="3">
        <f t="shared" si="8"/>
        <v>2</v>
      </c>
      <c r="AU43" s="3">
        <f t="shared" si="9"/>
        <v>9</v>
      </c>
      <c r="AV43" s="3">
        <f t="shared" si="10"/>
        <v>5</v>
      </c>
      <c r="AW43" s="3">
        <f t="shared" si="11"/>
        <v>153</v>
      </c>
      <c r="AX43" s="3">
        <f t="shared" si="12"/>
        <v>5</v>
      </c>
      <c r="AY43" s="3">
        <f t="shared" si="13"/>
        <v>1</v>
      </c>
      <c r="AZ43" s="3">
        <f>IF(ISERROR(LEN(VLOOKUP(A43,Seqs!A:E,2,FALSE))-AL43),"-",LEN(VLOOKUP(A43,Seqs!A:E,2,FALSE))-AL43)</f>
        <v>10</v>
      </c>
      <c r="BA43" s="35">
        <f t="shared" si="14"/>
        <v>28</v>
      </c>
      <c r="BB43" s="3">
        <f t="shared" si="15"/>
        <v>20</v>
      </c>
      <c r="BC43" s="3">
        <f t="shared" si="16"/>
        <v>28</v>
      </c>
      <c r="BD43" s="3">
        <f t="shared" si="17"/>
        <v>204</v>
      </c>
      <c r="BE43" s="3">
        <f>AH43-AE43</f>
        <v>35</v>
      </c>
    </row>
    <row r="44" spans="1:57" s="3" customFormat="1" ht="17" customHeight="1" x14ac:dyDescent="0.2">
      <c r="A44" s="3" t="s">
        <v>660</v>
      </c>
      <c r="B44" s="3" t="str">
        <f>LOWER(VLOOKUP(A44,Xtal_Templ!A:B,2,FALSE))</f>
        <v>acm3_rat</v>
      </c>
      <c r="C44" s="3">
        <f>VLOOKUP($A44,'NonXtal_SegEnds_BW#'!$A:$Z,3,FALSE)+D44-50</f>
        <v>34</v>
      </c>
      <c r="D44" s="3">
        <v>52</v>
      </c>
      <c r="E44" s="3">
        <f>F44-1</f>
        <v>64</v>
      </c>
      <c r="F44" s="3">
        <f t="shared" si="25"/>
        <v>65</v>
      </c>
      <c r="G44" s="3">
        <v>67</v>
      </c>
      <c r="H44" s="3">
        <f t="shared" si="26"/>
        <v>68</v>
      </c>
      <c r="I44" s="3">
        <f t="shared" si="26"/>
        <v>69</v>
      </c>
      <c r="J44" s="3">
        <v>83</v>
      </c>
      <c r="K44" s="3">
        <f>VLOOKUP($A44,'NonXtal_SegEnds_BW#'!$A:$Z,8,FALSE)+VLOOKUP($A44,A:AL,10,FALSE)-50</f>
        <v>100</v>
      </c>
      <c r="L44" s="3" t="str">
        <f>IF(ISERROR(VLOOKUP($A44,'NonXtal_SegEnds_BW#'!$A:$Z,9,FALSE)+VLOOKUP($A44,A:AL,13,FALSE)-50),"-",(VLOOKUP($A44,'NonXtal_SegEnds_BW#'!$A:$Z,9,FALSE)+VLOOKUP($A44,A:AL,13,FALSE)-50))</f>
        <v>-</v>
      </c>
      <c r="M44" s="3" t="s">
        <v>129</v>
      </c>
      <c r="N44" s="3" t="str">
        <f>IF(ISERROR(VLOOKUP($A44,'NonXtal_SegEnds_BW#'!$A:$Z,10,FALSE)+VLOOKUP($A44,A:AL,13,FALSE)-50),"-",(VLOOKUP($A44,'NonXtal_SegEnds_BW#'!$A:$Z,10,FALSE)+VLOOKUP($A44,A:AL,13,FALSE)-50))</f>
        <v>-</v>
      </c>
      <c r="O44" s="3">
        <f>VLOOKUP($A44,'NonXtal_SegEnds_BW#'!$A:$Z,11,FALSE)+VLOOKUP($A44,A:AL,16,FALSE)-50</f>
        <v>103</v>
      </c>
      <c r="P44" s="3">
        <v>135</v>
      </c>
      <c r="Q44" s="3">
        <f>VLOOKUP($A44,'NonXtal_SegEnds_BW#'!$A:$Z,12,FALSE)+VLOOKUP($A44,A:AL,16,FALSE)-50</f>
        <v>141</v>
      </c>
      <c r="R44" s="3">
        <f>S44</f>
        <v>144</v>
      </c>
      <c r="S44" s="3">
        <v>144</v>
      </c>
      <c r="T44" s="3">
        <f>S44+7</f>
        <v>151</v>
      </c>
      <c r="U44" s="3">
        <f>IF(ISERROR(VLOOKUP($A44,'NonXtal_SegEnds_BW#'!$A:$Z,15,FALSE)+VLOOKUP($A44,A:AL,22,FALSE)-50),"-",VLOOKUP($A44,'NonXtal_SegEnds_BW#'!$A:$Z,15,FALSE)+VLOOKUP($A44,A:AL,22,FALSE)-50)</f>
        <v>153</v>
      </c>
      <c r="V44" s="3">
        <v>164</v>
      </c>
      <c r="W44" s="3">
        <f>IF(ISERROR(VLOOKUP($A44,'NonXtal_SegEnds_BW#'!$A:$Z,16,FALSE)+VLOOKUP($A44,A:AL,22,FALSE)-50),"-",(VLOOKUP($A44,'NonXtal_SegEnds_BW#'!$A:$Z,16,FALSE)+VLOOKUP($A44,A:AL,22,FALSE)-50))</f>
        <v>183</v>
      </c>
      <c r="X44" s="3" t="str">
        <f>IF(ISERROR(VLOOKUP($A44,'NonXtal_SegEnds_BW#'!$A:$Z,17,FALSE)+VLOOKUP($A44,A:AL,25,FALSE)-50),"-",(VLOOKUP($A44,'NonXtal_SegEnds_BW#'!$A:$Z,17,FALSE)+VLOOKUP($A44,A:AL,25,FALSE)-50))</f>
        <v>-</v>
      </c>
      <c r="Y44" s="3" t="s">
        <v>129</v>
      </c>
      <c r="Z44" s="3" t="str">
        <f>IF(ISERROR(VLOOKUP($A44,'NonXtal_SegEnds_BW#'!$A:$Z,18,FALSE)+VLOOKUP($A44,A:AL,25,FALSE)-50),"-",(VLOOKUP($A44,'NonXtal_SegEnds_BW#'!$A:$Z,18,FALSE)+VLOOKUP($A44,A:AL,25,FALSE)-50))</f>
        <v>-</v>
      </c>
      <c r="AA44" s="3">
        <f>IF(ISERROR(VLOOKUP($A44,'NonXtal_SegEnds_BW#'!$A:$Z,19,FALSE)+VLOOKUP($A44,A:AL,28,FALSE)-50),"-",(VLOOKUP($A44,'NonXtal_SegEnds_BW#'!$A:$Z,19,FALSE)+VLOOKUP($A44,A:AL,28,FALSE)-50))</f>
        <v>202</v>
      </c>
      <c r="AB44" s="3">
        <v>220</v>
      </c>
      <c r="AC44" s="3">
        <f>IF(ISERROR((VLOOKUP($A44,'NonXtal_SegEnds_BW#'!$A:$Z,20,FALSE)+VLOOKUP($A44,A:AL,28,FALSE)-50)),"-",(VLOOKUP($A44,'NonXtal_SegEnds_BW#'!$A:$Z,20,FALSE)+VLOOKUP($A44,A:AL,28,FALSE)-50))</f>
        <v>242</v>
      </c>
      <c r="AD44" s="3">
        <f>IF(ISERROR(VLOOKUP($A44,'NonXtal_SegEnds_BW#'!$A:$Z,21,FALSE)+VLOOKUP($A44,A:AL,31,FALSE)-50),"-",(VLOOKUP($A44,'NonXtal_SegEnds_BW#'!$A:$Z,21,FALSE)+VLOOKUP($A44,A:AL,31,FALSE)-50))</f>
        <v>252</v>
      </c>
      <c r="AE44" s="3">
        <v>273</v>
      </c>
      <c r="AF44" s="3">
        <f>IF(ISERROR((VLOOKUP($A44,'NonXtal_SegEnds_BW#'!$A:$Z,22,FALSE)+VLOOKUP($A44,A:AL,31,FALSE)-50)),"-",(VLOOKUP($A44,'NonXtal_SegEnds_BW#'!$A:$Z,22,FALSE)+VLOOKUP($A44,A:AL,31,FALSE)-50))</f>
        <v>284</v>
      </c>
      <c r="AG44" s="3">
        <f>IF(ISERROR(VLOOKUP($A44,'NonXtal_SegEnds_BW#'!$A:$Z,23,FALSE)+VLOOKUP($A44,A:AL,34,FALSE)-50),"-",(VLOOKUP($A44,'NonXtal_SegEnds_BW#'!$A:$Z,23,FALSE)+VLOOKUP($A44,A:AL,34,FALSE)-50))</f>
        <v>289</v>
      </c>
      <c r="AH44" s="3">
        <v>308</v>
      </c>
      <c r="AI44" s="3">
        <f>IF(ISERROR((VLOOKUP($A44,'NonXtal_SegEnds_BW#'!$A:$Z,24,FALSE)+VLOOKUP($A44,A:AL,34,FALSE)-50)),"-",(VLOOKUP($A44,'NonXtal_SegEnds_BW#'!$A:$Z,24,FALSE)+VLOOKUP($A44,A:AL,34,FALSE)-50))</f>
        <v>314</v>
      </c>
      <c r="AJ44" s="3">
        <f>IF(ISERROR(VLOOKUP($A44,'NonXtal_SegEnds_BW#'!$A:$Z,25,FALSE)+VLOOKUP($A44,A:AL,37,FALSE)-50),"-",(VLOOKUP($A44,'NonXtal_SegEnds_BW#'!$A:$Z,25,FALSE)+VLOOKUP($A44,A:AL,37,FALSE)-50))</f>
        <v>315</v>
      </c>
      <c r="AK44" s="3">
        <v>318</v>
      </c>
      <c r="AL44" s="3">
        <f>IF(ISERROR((VLOOKUP($A44,'NonXtal_SegEnds_BW#'!$A:$Z,26,FALSE)+VLOOKUP($A44,A:AL,37,FALSE)-50)),"-",(VLOOKUP($A44,'NonXtal_SegEnds_BW#'!$A:$Z,26,FALSE)+VLOOKUP($A44,A:AL,37,FALSE)-50))</f>
        <v>328</v>
      </c>
      <c r="AM44" s="71" t="str">
        <f>VLOOKUP(A44,Classification!A:B,2,FALSE)</f>
        <v>T</v>
      </c>
      <c r="AN44" s="71" t="b">
        <f t="shared" si="2"/>
        <v>1</v>
      </c>
      <c r="AO44" s="3">
        <f t="shared" si="3"/>
        <v>1</v>
      </c>
      <c r="AP44" s="3">
        <f t="shared" si="4"/>
        <v>1</v>
      </c>
      <c r="AQ44" s="3" t="str">
        <f t="shared" si="5"/>
        <v>-</v>
      </c>
      <c r="AR44" s="3" t="str">
        <f t="shared" si="6"/>
        <v>-</v>
      </c>
      <c r="AS44" s="3">
        <f t="shared" si="7"/>
        <v>3</v>
      </c>
      <c r="AT44" s="3">
        <f t="shared" si="8"/>
        <v>2</v>
      </c>
      <c r="AU44" s="3" t="str">
        <f t="shared" si="9"/>
        <v>-</v>
      </c>
      <c r="AV44" s="3" t="str">
        <f t="shared" si="10"/>
        <v>-</v>
      </c>
      <c r="AW44" s="3">
        <f t="shared" si="11"/>
        <v>10</v>
      </c>
      <c r="AX44" s="3">
        <f t="shared" si="12"/>
        <v>5</v>
      </c>
      <c r="AY44" s="3">
        <f t="shared" si="13"/>
        <v>1</v>
      </c>
      <c r="AZ44" s="3">
        <f>IF(ISERROR(LEN(VLOOKUP(A44,Seqs!A:E,2,FALSE))-AL44),"-",LEN(VLOOKUP(A44,Seqs!A:E,2,FALSE))-AL44)</f>
        <v>10</v>
      </c>
      <c r="BA44" s="35">
        <f t="shared" si="14"/>
        <v>31</v>
      </c>
      <c r="BB44" s="3">
        <f t="shared" si="15"/>
        <v>20</v>
      </c>
      <c r="BC44" s="3">
        <f t="shared" si="16"/>
        <v>31</v>
      </c>
      <c r="BD44" s="3">
        <f t="shared" si="17"/>
        <v>53</v>
      </c>
      <c r="BE44" s="3">
        <f>AH44-AE44</f>
        <v>35</v>
      </c>
    </row>
    <row r="45" spans="1:57" s="3" customFormat="1" x14ac:dyDescent="0.2">
      <c r="A45" s="3" t="s">
        <v>342</v>
      </c>
      <c r="B45" s="3" t="str">
        <f>LOWER(VLOOKUP(A45,Xtal_Templ!A:B,2,FALSE))</f>
        <v>acm3_rat</v>
      </c>
      <c r="C45" s="3">
        <f>VLOOKUP($A45,'NonXtal_SegEnds_BW#'!$A:$Z,3,FALSE)+D45-50</f>
        <v>65</v>
      </c>
      <c r="D45" s="3">
        <v>86</v>
      </c>
      <c r="E45" s="3">
        <f>IF(ISERROR(VLOOKUP($A45,'NonXtal_SegEnds_BW#'!$A:$Z,4,FALSE)+VLOOKUP($A45,A:AL,4,FALSE)-50),"-",(VLOOKUP($A45,'NonXtal_SegEnds_BW#'!$A:$Z,4,FALSE)+VLOOKUP($A45,A:AL,4,FALSE)-50))</f>
        <v>96</v>
      </c>
      <c r="F45" s="3">
        <f t="shared" si="25"/>
        <v>97</v>
      </c>
      <c r="G45" s="3">
        <v>99</v>
      </c>
      <c r="H45" s="3">
        <f t="shared" si="26"/>
        <v>100</v>
      </c>
      <c r="I45" s="3">
        <f t="shared" si="26"/>
        <v>101</v>
      </c>
      <c r="J45" s="3">
        <v>114</v>
      </c>
      <c r="K45" s="3">
        <f>VLOOKUP($A45,'NonXtal_SegEnds_BW#'!$A:$Z,8,FALSE)+VLOOKUP($A45,A:AL,10,FALSE)-50</f>
        <v>131</v>
      </c>
      <c r="L45" s="3">
        <f>M45-1</f>
        <v>133</v>
      </c>
      <c r="M45" s="3">
        <v>134</v>
      </c>
      <c r="N45" s="3">
        <f>M45+2</f>
        <v>136</v>
      </c>
      <c r="O45" s="3">
        <f t="shared" ref="O45:O65" si="29">N45+1</f>
        <v>137</v>
      </c>
      <c r="P45" s="3">
        <v>166</v>
      </c>
      <c r="Q45" s="3">
        <f>VLOOKUP($A45,'NonXtal_SegEnds_BW#'!$A:$Z,12,FALSE)+VLOOKUP($A45,A:AL,16,FALSE)-50</f>
        <v>172</v>
      </c>
      <c r="R45" s="3">
        <f>IF(ISERROR(VLOOKUP($A45,'NonXtal_SegEnds_BW#'!$A:$Z,13,FALSE)+VLOOKUP($A45,A:AL,19,FALSE)-50),"-",VLOOKUP($A45,'NonXtal_SegEnds_BW#'!$A:$Z,13,FALSE)+VLOOKUP($A45,A:AL,19,FALSE)-50)</f>
        <v>173</v>
      </c>
      <c r="S45" s="3">
        <v>173</v>
      </c>
      <c r="T45" s="3">
        <f>IF(ISERROR(VLOOKUP($A45,'NonXtal_SegEnds_BW#'!$A:$Z,14,FALSE)+VLOOKUP($A45,A:AL,19,FALSE)-50),"-",(VLOOKUP($A45,'NonXtal_SegEnds_BW#'!$A:$Z,14,FALSE)+VLOOKUP($A45,A:AL,19,FALSE)-50))</f>
        <v>180</v>
      </c>
      <c r="U45" s="3">
        <f>IF(ISERROR(VLOOKUP($A45,'NonXtal_SegEnds_BW#'!$A:$Z,15,FALSE)+VLOOKUP($A45,A:AL,22,FALSE)-50),"-",VLOOKUP($A45,'NonXtal_SegEnds_BW#'!$A:$Z,15,FALSE)+VLOOKUP($A45,A:AL,22,FALSE)-50)</f>
        <v>182</v>
      </c>
      <c r="V45" s="3">
        <v>193</v>
      </c>
      <c r="W45" s="3">
        <f>IF(ISERROR(VLOOKUP($A45,'NonXtal_SegEnds_BW#'!$A:$Z,16,FALSE)+VLOOKUP($A45,A:AL,22,FALSE)-50),"-",(VLOOKUP($A45,'NonXtal_SegEnds_BW#'!$A:$Z,16,FALSE)+VLOOKUP($A45,A:AL,22,FALSE)-50))</f>
        <v>212</v>
      </c>
      <c r="X45" s="3">
        <f>IF(ISERROR(VLOOKUP($A45,'NonXtal_SegEnds_BW#'!$A:$Z,17,FALSE)+VLOOKUP($A45,A:AL,25,FALSE)-50),"-",(VLOOKUP($A45,'NonXtal_SegEnds_BW#'!$A:$Z,17,FALSE)+VLOOKUP($A45,A:AL,25,FALSE)-50))</f>
        <v>221</v>
      </c>
      <c r="Y45" s="3">
        <v>221</v>
      </c>
      <c r="Z45" s="3">
        <f t="shared" ref="Z45:Z67" si="30">Y45+2</f>
        <v>223</v>
      </c>
      <c r="AA45" s="3">
        <f>IF(ISERROR(VLOOKUP($A45,'NonXtal_SegEnds_BW#'!$A:$Z,19,FALSE)+VLOOKUP($A45,A:AL,28,FALSE)-50),"-",(VLOOKUP($A45,'NonXtal_SegEnds_BW#'!$A:$Z,19,FALSE)+VLOOKUP($A45,A:AL,28,FALSE)-50))</f>
        <v>228</v>
      </c>
      <c r="AB45" s="3">
        <v>243</v>
      </c>
      <c r="AC45" s="3">
        <f>IF(ISERROR((VLOOKUP($A45,'NonXtal_SegEnds_BW#'!$A:$Z,20,FALSE)+VLOOKUP($A45,A:AL,28,FALSE)-50)),"-",(VLOOKUP($A45,'NonXtal_SegEnds_BW#'!$A:$Z,20,FALSE)+VLOOKUP($A45,A:AL,28,FALSE)-50))</f>
        <v>268</v>
      </c>
      <c r="AD45" s="3">
        <f>IF(ISERROR(VLOOKUP($A45,'NonXtal_SegEnds_BW#'!$A:$Z,21,FALSE)+VLOOKUP($A45,A:AL,31,FALSE)-50),"-",(VLOOKUP($A45,'NonXtal_SegEnds_BW#'!$A:$Z,21,FALSE)+VLOOKUP($A45,A:AL,31,FALSE)-50))</f>
        <v>480</v>
      </c>
      <c r="AE45" s="3">
        <v>506</v>
      </c>
      <c r="AF45" s="3">
        <f>IF(ISERROR((VLOOKUP($A45,'NonXtal_SegEnds_BW#'!$A:$Z,22,FALSE)+VLOOKUP($A45,A:AL,31,FALSE)-50)),"-",(VLOOKUP($A45,'NonXtal_SegEnds_BW#'!$A:$Z,22,FALSE)+VLOOKUP($A45,A:AL,31,FALSE)-50))</f>
        <v>517</v>
      </c>
      <c r="AG45" s="3">
        <f>IF(ISERROR(VLOOKUP($A45,'NonXtal_SegEnds_BW#'!$A:$Z,23,FALSE)+VLOOKUP($A45,A:AL,34,FALSE)-50),"-",(VLOOKUP($A45,'NonXtal_SegEnds_BW#'!$A:$Z,23,FALSE)+VLOOKUP($A45,A:AL,34,FALSE)-50))</f>
        <v>522</v>
      </c>
      <c r="AH45" s="3">
        <v>541</v>
      </c>
      <c r="AI45" s="3">
        <f>IF(ISERROR((VLOOKUP($A45,'NonXtal_SegEnds_BW#'!$A:$Z,24,FALSE)+VLOOKUP($A45,A:AL,34,FALSE)-50)),"-",(VLOOKUP($A45,'NonXtal_SegEnds_BW#'!$A:$Z,24,FALSE)+VLOOKUP($A45,A:AL,34,FALSE)-50))</f>
        <v>547</v>
      </c>
      <c r="AJ45" s="3">
        <f>IF(ISERROR(VLOOKUP($A45,'NonXtal_SegEnds_BW#'!$A:$Z,25,FALSE)+VLOOKUP($A45,A:AL,37,FALSE)-50),"-",(VLOOKUP($A45,'NonXtal_SegEnds_BW#'!$A:$Z,25,FALSE)+VLOOKUP($A45,A:AL,37,FALSE)-50))</f>
        <v>548</v>
      </c>
      <c r="AK45" s="3">
        <v>551</v>
      </c>
      <c r="AL45" s="3">
        <f>IF(ISERROR((VLOOKUP($A45,'NonXtal_SegEnds_BW#'!$A:$Z,26,FALSE)+VLOOKUP($A45,A:AL,37,FALSE)-50)),"-",(VLOOKUP($A45,'NonXtal_SegEnds_BW#'!$A:$Z,26,FALSE)+VLOOKUP($A45,A:AL,37,FALSE)-50))</f>
        <v>559</v>
      </c>
      <c r="AM45" s="71" t="str">
        <f>VLOOKUP(A45,Classification!A:B,2,FALSE)</f>
        <v>A</v>
      </c>
      <c r="AN45" s="71" t="b">
        <f t="shared" si="2"/>
        <v>1</v>
      </c>
      <c r="AO45" s="3">
        <f t="shared" si="3"/>
        <v>1</v>
      </c>
      <c r="AP45" s="3">
        <f t="shared" si="4"/>
        <v>1</v>
      </c>
      <c r="AQ45" s="3">
        <f t="shared" si="5"/>
        <v>2</v>
      </c>
      <c r="AR45" s="3">
        <f t="shared" si="6"/>
        <v>1</v>
      </c>
      <c r="AS45" s="3">
        <f t="shared" si="7"/>
        <v>1</v>
      </c>
      <c r="AT45" s="3">
        <f t="shared" si="8"/>
        <v>2</v>
      </c>
      <c r="AU45" s="3">
        <f t="shared" si="9"/>
        <v>9</v>
      </c>
      <c r="AV45" s="3">
        <f t="shared" si="10"/>
        <v>5</v>
      </c>
      <c r="AW45" s="3">
        <f t="shared" si="11"/>
        <v>212</v>
      </c>
      <c r="AX45" s="3">
        <f t="shared" si="12"/>
        <v>5</v>
      </c>
      <c r="AY45" s="3">
        <f t="shared" si="13"/>
        <v>1</v>
      </c>
      <c r="AZ45" s="3">
        <f>IF(ISERROR(LEN(VLOOKUP(A45,Seqs!A:E,2,FALSE))-AL45),"-",LEN(VLOOKUP(A45,Seqs!A:E,2,FALSE))-AL45)</f>
        <v>31</v>
      </c>
      <c r="BA45" s="35">
        <f t="shared" si="14"/>
        <v>28</v>
      </c>
      <c r="BB45" s="3">
        <f t="shared" si="15"/>
        <v>20</v>
      </c>
      <c r="BC45" s="3">
        <f t="shared" si="16"/>
        <v>28</v>
      </c>
      <c r="BD45" s="3">
        <f t="shared" si="17"/>
        <v>263</v>
      </c>
    </row>
    <row r="46" spans="1:57" s="3" customFormat="1" x14ac:dyDescent="0.2">
      <c r="A46" s="3" t="s">
        <v>1106</v>
      </c>
      <c r="B46" s="3" t="str">
        <f>LOWER(VLOOKUP(A46,Xtal_Templ!A:B,2,FALSE))</f>
        <v>acm3_rat</v>
      </c>
      <c r="C46" s="3">
        <f>VLOOKUP($A46,'NonXtal_SegEnds_BW#'!$A:$Z,3,FALSE)+D46-50</f>
        <v>64</v>
      </c>
      <c r="D46" s="3">
        <v>85</v>
      </c>
      <c r="E46" s="3">
        <f>IF(ISERROR(VLOOKUP($A46,'NonXtal_SegEnds_BW#'!$A:$Z,4,FALSE)+VLOOKUP($A46,A:AL,4,FALSE)-50),"-",(VLOOKUP($A46,'NonXtal_SegEnds_BW#'!$A:$Z,4,FALSE)+VLOOKUP($A46,A:AL,4,FALSE)-50))</f>
        <v>95</v>
      </c>
      <c r="F46" s="3">
        <f t="shared" si="25"/>
        <v>96</v>
      </c>
      <c r="G46" s="3">
        <v>98</v>
      </c>
      <c r="H46" s="3">
        <f t="shared" si="26"/>
        <v>99</v>
      </c>
      <c r="I46" s="3">
        <f t="shared" si="26"/>
        <v>100</v>
      </c>
      <c r="J46" s="3">
        <v>113</v>
      </c>
      <c r="K46" s="3">
        <f>VLOOKUP($A46,'NonXtal_SegEnds_BW#'!$A:$Z,8,FALSE)+VLOOKUP($A46,A:AL,10,FALSE)-50</f>
        <v>130</v>
      </c>
      <c r="L46" s="3">
        <f>IF(ISERROR(VLOOKUP($A46,'NonXtal_SegEnds_BW#'!$A:$Z,9,FALSE)+VLOOKUP($A46,A:AL,13,FALSE)-50),"-",(VLOOKUP($A46,'NonXtal_SegEnds_BW#'!$A:$Z,9,FALSE)+VLOOKUP($A46,A:AL,13,FALSE)-50))</f>
        <v>132</v>
      </c>
      <c r="M46" s="3">
        <v>133</v>
      </c>
      <c r="N46" s="3">
        <f>IF(ISERROR(VLOOKUP($A46,'NonXtal_SegEnds_BW#'!$A:$Z,10,FALSE)+VLOOKUP($A46,A:AL,13,FALSE)-50),"-",(VLOOKUP($A46,'NonXtal_SegEnds_BW#'!$A:$Z,10,FALSE)+VLOOKUP($A46,A:AL,13,FALSE)-50))</f>
        <v>135</v>
      </c>
      <c r="O46" s="3">
        <f t="shared" si="29"/>
        <v>136</v>
      </c>
      <c r="P46" s="3">
        <v>165</v>
      </c>
      <c r="Q46" s="3">
        <f>VLOOKUP($A46,'NonXtal_SegEnds_BW#'!$A:$Z,12,FALSE)+VLOOKUP($A46,A:AL,16,FALSE)-50</f>
        <v>171</v>
      </c>
      <c r="R46" s="3">
        <f>IF(ISERROR(VLOOKUP($A46,'NonXtal_SegEnds_BW#'!$A:$Z,13,FALSE)+VLOOKUP($A46,A:AL,19,FALSE)-50),"-",VLOOKUP($A46,'NonXtal_SegEnds_BW#'!$A:$Z,13,FALSE)+VLOOKUP($A46,A:AL,19,FALSE)-50)</f>
        <v>172</v>
      </c>
      <c r="S46" s="3">
        <v>172</v>
      </c>
      <c r="T46" s="3">
        <f>IF(ISERROR(VLOOKUP($A46,'NonXtal_SegEnds_BW#'!$A:$Z,14,FALSE)+VLOOKUP($A46,A:AL,19,FALSE)-50),"-",(VLOOKUP($A46,'NonXtal_SegEnds_BW#'!$A:$Z,14,FALSE)+VLOOKUP($A46,A:AL,19,FALSE)-50))</f>
        <v>179</v>
      </c>
      <c r="U46" s="3">
        <f>IF(ISERROR(VLOOKUP($A46,'NonXtal_SegEnds_BW#'!$A:$Z,15,FALSE)+VLOOKUP($A46,A:AL,22,FALSE)-50),"-",VLOOKUP($A46,'NonXtal_SegEnds_BW#'!$A:$Z,15,FALSE)+VLOOKUP($A46,A:AL,22,FALSE)-50)</f>
        <v>181</v>
      </c>
      <c r="V46" s="3">
        <v>192</v>
      </c>
      <c r="W46" s="3">
        <f>IF(ISERROR(VLOOKUP($A46,'NonXtal_SegEnds_BW#'!$A:$Z,16,FALSE)+VLOOKUP($A46,A:AL,22,FALSE)-50),"-",(VLOOKUP($A46,'NonXtal_SegEnds_BW#'!$A:$Z,16,FALSE)+VLOOKUP($A46,A:AL,22,FALSE)-50))</f>
        <v>211</v>
      </c>
      <c r="X46" s="3">
        <f>IF(ISERROR(VLOOKUP($A46,'NonXtal_SegEnds_BW#'!$A:$Z,17,FALSE)+VLOOKUP($A46,A:AL,25,FALSE)-50),"-",(VLOOKUP($A46,'NonXtal_SegEnds_BW#'!$A:$Z,17,FALSE)+VLOOKUP($A46,A:AL,25,FALSE)-50))</f>
        <v>220</v>
      </c>
      <c r="Y46" s="3">
        <v>220</v>
      </c>
      <c r="Z46" s="3">
        <f t="shared" si="30"/>
        <v>222</v>
      </c>
      <c r="AA46" s="3">
        <f>IF(ISERROR(VLOOKUP($A46,'NonXtal_SegEnds_BW#'!$A:$Z,19,FALSE)+VLOOKUP($A46,A:AL,28,FALSE)-50),"-",(VLOOKUP($A46,'NonXtal_SegEnds_BW#'!$A:$Z,19,FALSE)+VLOOKUP($A46,A:AL,28,FALSE)-50))</f>
        <v>227</v>
      </c>
      <c r="AB46" s="3">
        <v>242</v>
      </c>
      <c r="AC46" s="3">
        <f>IF(ISERROR((VLOOKUP($A46,'NonXtal_SegEnds_BW#'!$A:$Z,20,FALSE)+VLOOKUP($A46,A:AL,28,FALSE)-50)),"-",(VLOOKUP($A46,'NonXtal_SegEnds_BW#'!$A:$Z,20,FALSE)+VLOOKUP($A46,A:AL,28,FALSE)-50))</f>
        <v>267</v>
      </c>
      <c r="AD46" s="3">
        <f>IF(ISERROR(VLOOKUP($A46,'NonXtal_SegEnds_BW#'!$A:$Z,21,FALSE)+VLOOKUP($A46,A:AL,31,FALSE)-50),"-",(VLOOKUP($A46,'NonXtal_SegEnds_BW#'!$A:$Z,21,FALSE)+VLOOKUP($A46,A:AL,31,FALSE)-50))</f>
        <v>479</v>
      </c>
      <c r="AE46" s="3">
        <v>505</v>
      </c>
      <c r="AF46" s="3">
        <f>IF(ISERROR((VLOOKUP($A46,'NonXtal_SegEnds_BW#'!$A:$Z,22,FALSE)+VLOOKUP($A46,A:AL,31,FALSE)-50)),"-",(VLOOKUP($A46,'NonXtal_SegEnds_BW#'!$A:$Z,22,FALSE)+VLOOKUP($A46,A:AL,31,FALSE)-50))</f>
        <v>516</v>
      </c>
      <c r="AG46" s="3">
        <f>IF(ISERROR(VLOOKUP($A46,'NonXtal_SegEnds_BW#'!$A:$Z,23,FALSE)+VLOOKUP($A46,A:AL,34,FALSE)-50),"-",(VLOOKUP($A46,'NonXtal_SegEnds_BW#'!$A:$Z,23,FALSE)+VLOOKUP($A46,A:AL,34,FALSE)-50))</f>
        <v>521</v>
      </c>
      <c r="AH46" s="3">
        <v>540</v>
      </c>
      <c r="AI46" s="3">
        <f>IF(ISERROR((VLOOKUP($A46,'NonXtal_SegEnds_BW#'!$A:$Z,24,FALSE)+VLOOKUP($A46,A:AL,34,FALSE)-50)),"-",(VLOOKUP($A46,'NonXtal_SegEnds_BW#'!$A:$Z,24,FALSE)+VLOOKUP($A46,A:AL,34,FALSE)-50))</f>
        <v>546</v>
      </c>
      <c r="AJ46" s="3">
        <f>IF(ISERROR(VLOOKUP($A46,'NonXtal_SegEnds_BW#'!$A:$Z,25,FALSE)+VLOOKUP($A46,A:AL,37,FALSE)-50),"-",(VLOOKUP($A46,'NonXtal_SegEnds_BW#'!$A:$Z,25,FALSE)+VLOOKUP($A46,A:AL,37,FALSE)-50))</f>
        <v>547</v>
      </c>
      <c r="AK46" s="3">
        <v>550</v>
      </c>
      <c r="AL46" s="3">
        <f>IF(ISERROR((VLOOKUP($A46,'NonXtal_SegEnds_BW#'!$A:$Z,26,FALSE)+VLOOKUP($A46,A:AL,37,FALSE)-50)),"-",(VLOOKUP($A46,'NonXtal_SegEnds_BW#'!$A:$Z,26,FALSE)+VLOOKUP($A46,A:AL,37,FALSE)-50))</f>
        <v>558</v>
      </c>
      <c r="AM46" s="71" t="str">
        <f>VLOOKUP(A46,Classification!A:B,2,FALSE)</f>
        <v>A</v>
      </c>
      <c r="AN46" s="71" t="b">
        <f t="shared" si="2"/>
        <v>1</v>
      </c>
      <c r="AO46" s="3">
        <f t="shared" si="3"/>
        <v>1</v>
      </c>
      <c r="AP46" s="3">
        <f t="shared" si="4"/>
        <v>1</v>
      </c>
      <c r="AQ46" s="3">
        <f t="shared" si="5"/>
        <v>2</v>
      </c>
      <c r="AR46" s="3">
        <f t="shared" si="6"/>
        <v>1</v>
      </c>
      <c r="AS46" s="3">
        <f t="shared" si="7"/>
        <v>1</v>
      </c>
      <c r="AT46" s="3">
        <f t="shared" si="8"/>
        <v>2</v>
      </c>
      <c r="AU46" s="3">
        <f t="shared" si="9"/>
        <v>9</v>
      </c>
      <c r="AV46" s="3">
        <f t="shared" si="10"/>
        <v>5</v>
      </c>
      <c r="AW46" s="3">
        <f t="shared" si="11"/>
        <v>212</v>
      </c>
      <c r="AX46" s="3">
        <f t="shared" si="12"/>
        <v>5</v>
      </c>
      <c r="AY46" s="3">
        <f t="shared" si="13"/>
        <v>1</v>
      </c>
      <c r="AZ46" s="3">
        <f>IF(ISERROR(LEN(VLOOKUP(A46,Seqs!A:E,2,FALSE))-AL46),"-",LEN(VLOOKUP(A46,Seqs!A:E,2,FALSE))-AL46)</f>
        <v>31</v>
      </c>
      <c r="BA46" s="35">
        <f t="shared" si="14"/>
        <v>28</v>
      </c>
      <c r="BB46" s="3">
        <f t="shared" si="15"/>
        <v>20</v>
      </c>
      <c r="BC46" s="3">
        <f t="shared" si="16"/>
        <v>28</v>
      </c>
      <c r="BD46" s="3">
        <f t="shared" si="17"/>
        <v>263</v>
      </c>
    </row>
    <row r="47" spans="1:57" s="3" customFormat="1" x14ac:dyDescent="0.2">
      <c r="A47" s="3" t="s">
        <v>344</v>
      </c>
      <c r="B47" s="3" t="str">
        <f>LOWER(VLOOKUP(A47,Xtal_Templ!A:B,2,FALSE))</f>
        <v>acm3_rat</v>
      </c>
      <c r="C47" s="3">
        <f>VLOOKUP($A47,'NonXtal_SegEnds_BW#'!$A:$Z,3,FALSE)+D47-50</f>
        <v>27</v>
      </c>
      <c r="D47" s="3">
        <v>48</v>
      </c>
      <c r="E47" s="3">
        <f>IF(ISERROR(VLOOKUP($A47,'NonXtal_SegEnds_BW#'!$A:$Z,4,FALSE)+VLOOKUP($A47,A:AL,4,FALSE)-50),"-",(VLOOKUP($A47,'NonXtal_SegEnds_BW#'!$A:$Z,4,FALSE)+VLOOKUP($A47,A:AL,4,FALSE)-50))</f>
        <v>58</v>
      </c>
      <c r="F47" s="3">
        <f t="shared" si="25"/>
        <v>59</v>
      </c>
      <c r="G47" s="3">
        <v>61</v>
      </c>
      <c r="H47" s="3">
        <f t="shared" si="26"/>
        <v>62</v>
      </c>
      <c r="I47" s="3">
        <f t="shared" si="26"/>
        <v>63</v>
      </c>
      <c r="J47" s="3">
        <v>76</v>
      </c>
      <c r="K47" s="3">
        <f>VLOOKUP($A47,'NonXtal_SegEnds_BW#'!$A:$Z,8,FALSE)+VLOOKUP($A47,A:AL,10,FALSE)-50</f>
        <v>93</v>
      </c>
      <c r="L47" s="3">
        <f t="shared" ref="L47:L54" si="31">M47-1</f>
        <v>95</v>
      </c>
      <c r="M47" s="3">
        <v>96</v>
      </c>
      <c r="N47" s="3">
        <f t="shared" ref="N47:N54" si="32">M47+2</f>
        <v>98</v>
      </c>
      <c r="O47" s="3">
        <f t="shared" si="29"/>
        <v>99</v>
      </c>
      <c r="P47" s="3">
        <v>128</v>
      </c>
      <c r="Q47" s="3">
        <f>VLOOKUP($A47,'NonXtal_SegEnds_BW#'!$A:$Z,12,FALSE)+VLOOKUP($A47,A:AL,16,FALSE)-50</f>
        <v>134</v>
      </c>
      <c r="R47" s="3">
        <f>IF(ISERROR(VLOOKUP($A47,'NonXtal_SegEnds_BW#'!$A:$Z,13,FALSE)+VLOOKUP($A47,A:AL,19,FALSE)-50),"-",VLOOKUP($A47,'NonXtal_SegEnds_BW#'!$A:$Z,13,FALSE)+VLOOKUP($A47,A:AL,19,FALSE)-50)</f>
        <v>135</v>
      </c>
      <c r="S47" s="3">
        <v>135</v>
      </c>
      <c r="T47" s="3">
        <f>IF(ISERROR(VLOOKUP($A47,'NonXtal_SegEnds_BW#'!$A:$Z,14,FALSE)+VLOOKUP($A47,A:AL,19,FALSE)-50),"-",(VLOOKUP($A47,'NonXtal_SegEnds_BW#'!$A:$Z,14,FALSE)+VLOOKUP($A47,A:AL,19,FALSE)-50))</f>
        <v>142</v>
      </c>
      <c r="U47" s="3">
        <f>IF(ISERROR(VLOOKUP($A47,'NonXtal_SegEnds_BW#'!$A:$Z,15,FALSE)+VLOOKUP($A47,A:AL,22,FALSE)-50),"-",VLOOKUP($A47,'NonXtal_SegEnds_BW#'!$A:$Z,15,FALSE)+VLOOKUP($A47,A:AL,22,FALSE)-50)</f>
        <v>144</v>
      </c>
      <c r="V47" s="3">
        <v>155</v>
      </c>
      <c r="W47" s="3">
        <f>IF(ISERROR(VLOOKUP($A47,'NonXtal_SegEnds_BW#'!$A:$Z,16,FALSE)+VLOOKUP($A47,A:AL,22,FALSE)-50),"-",(VLOOKUP($A47,'NonXtal_SegEnds_BW#'!$A:$Z,16,FALSE)+VLOOKUP($A47,A:AL,22,FALSE)-50))</f>
        <v>174</v>
      </c>
      <c r="X47" s="3">
        <f>IF(ISERROR(VLOOKUP($A47,'NonXtal_SegEnds_BW#'!$A:$Z,17,FALSE)+VLOOKUP($A47,A:AL,25,FALSE)-50),"-",(VLOOKUP($A47,'NonXtal_SegEnds_BW#'!$A:$Z,17,FALSE)+VLOOKUP($A47,A:AL,25,FALSE)-50))</f>
        <v>183</v>
      </c>
      <c r="Y47" s="3">
        <v>183</v>
      </c>
      <c r="Z47" s="3">
        <f t="shared" si="30"/>
        <v>185</v>
      </c>
      <c r="AA47" s="3">
        <f>IF(ISERROR(VLOOKUP($A47,'NonXtal_SegEnds_BW#'!$A:$Z,19,FALSE)+VLOOKUP($A47,A:AL,28,FALSE)-50),"-",(VLOOKUP($A47,'NonXtal_SegEnds_BW#'!$A:$Z,19,FALSE)+VLOOKUP($A47,A:AL,28,FALSE)-50))</f>
        <v>190</v>
      </c>
      <c r="AB47" s="3">
        <v>205</v>
      </c>
      <c r="AC47" s="3">
        <f>IF(ISERROR((VLOOKUP($A47,'NonXtal_SegEnds_BW#'!$A:$Z,20,FALSE)+VLOOKUP($A47,A:AL,28,FALSE)-50)),"-",(VLOOKUP($A47,'NonXtal_SegEnds_BW#'!$A:$Z,20,FALSE)+VLOOKUP($A47,A:AL,28,FALSE)-50))</f>
        <v>230</v>
      </c>
      <c r="AD47" s="3">
        <f>IF(ISERROR(VLOOKUP($A47,'NonXtal_SegEnds_BW#'!$A:$Z,21,FALSE)+VLOOKUP($A47,A:AL,31,FALSE)-50),"-",(VLOOKUP($A47,'NonXtal_SegEnds_BW#'!$A:$Z,21,FALSE)+VLOOKUP($A47,A:AL,31,FALSE)-50))</f>
        <v>431</v>
      </c>
      <c r="AE47" s="3">
        <v>457</v>
      </c>
      <c r="AF47" s="3">
        <f>IF(ISERROR((VLOOKUP($A47,'NonXtal_SegEnds_BW#'!$A:$Z,22,FALSE)+VLOOKUP($A47,A:AL,31,FALSE)-50)),"-",(VLOOKUP($A47,'NonXtal_SegEnds_BW#'!$A:$Z,22,FALSE)+VLOOKUP($A47,A:AL,31,FALSE)-50))</f>
        <v>468</v>
      </c>
      <c r="AG47" s="3">
        <f>IF(ISERROR(VLOOKUP($A47,'NonXtal_SegEnds_BW#'!$A:$Z,23,FALSE)+VLOOKUP($A47,A:AL,34,FALSE)-50),"-",(VLOOKUP($A47,'NonXtal_SegEnds_BW#'!$A:$Z,23,FALSE)+VLOOKUP($A47,A:AL,34,FALSE)-50))</f>
        <v>473</v>
      </c>
      <c r="AH47" s="3">
        <v>492</v>
      </c>
      <c r="AI47" s="3">
        <f>IF(ISERROR((VLOOKUP($A47,'NonXtal_SegEnds_BW#'!$A:$Z,24,FALSE)+VLOOKUP($A47,A:AL,34,FALSE)-50)),"-",(VLOOKUP($A47,'NonXtal_SegEnds_BW#'!$A:$Z,24,FALSE)+VLOOKUP($A47,A:AL,34,FALSE)-50))</f>
        <v>498</v>
      </c>
      <c r="AJ47" s="3">
        <f>IF(ISERROR(VLOOKUP($A47,'NonXtal_SegEnds_BW#'!$A:$Z,25,FALSE)+VLOOKUP($A47,A:AL,37,FALSE)-50),"-",(VLOOKUP($A47,'NonXtal_SegEnds_BW#'!$A:$Z,25,FALSE)+VLOOKUP($A47,A:AL,37,FALSE)-50))</f>
        <v>499</v>
      </c>
      <c r="AK47" s="3">
        <v>502</v>
      </c>
      <c r="AL47" s="3">
        <f>IF(ISERROR((VLOOKUP($A47,'NonXtal_SegEnds_BW#'!$A:$Z,26,FALSE)+VLOOKUP($A47,A:AL,37,FALSE)-50)),"-",(VLOOKUP($A47,'NonXtal_SegEnds_BW#'!$A:$Z,26,FALSE)+VLOOKUP($A47,A:AL,37,FALSE)-50))</f>
        <v>510</v>
      </c>
      <c r="AM47" s="71" t="str">
        <f>VLOOKUP(A47,Classification!A:B,2,FALSE)</f>
        <v>A</v>
      </c>
      <c r="AN47" s="71" t="b">
        <f t="shared" si="2"/>
        <v>1</v>
      </c>
      <c r="AO47" s="3">
        <f t="shared" si="3"/>
        <v>1</v>
      </c>
      <c r="AP47" s="3">
        <f t="shared" si="4"/>
        <v>1</v>
      </c>
      <c r="AQ47" s="3">
        <f t="shared" si="5"/>
        <v>2</v>
      </c>
      <c r="AR47" s="3">
        <f t="shared" si="6"/>
        <v>1</v>
      </c>
      <c r="AS47" s="3">
        <f t="shared" si="7"/>
        <v>1</v>
      </c>
      <c r="AT47" s="3">
        <f t="shared" si="8"/>
        <v>2</v>
      </c>
      <c r="AU47" s="3">
        <f t="shared" si="9"/>
        <v>9</v>
      </c>
      <c r="AV47" s="3">
        <f t="shared" si="10"/>
        <v>5</v>
      </c>
      <c r="AW47" s="3">
        <f t="shared" si="11"/>
        <v>201</v>
      </c>
      <c r="AX47" s="3">
        <f t="shared" si="12"/>
        <v>5</v>
      </c>
      <c r="AY47" s="3">
        <f t="shared" si="13"/>
        <v>1</v>
      </c>
      <c r="AZ47" s="3">
        <f>IF(ISERROR(LEN(VLOOKUP(A47,Seqs!A:E,2,FALSE))-AL47),"-",LEN(VLOOKUP(A47,Seqs!A:E,2,FALSE))-AL47)</f>
        <v>22</v>
      </c>
      <c r="BA47" s="35">
        <f t="shared" si="14"/>
        <v>28</v>
      </c>
      <c r="BB47" s="3">
        <f t="shared" si="15"/>
        <v>20</v>
      </c>
      <c r="BC47" s="3">
        <f t="shared" si="16"/>
        <v>28</v>
      </c>
      <c r="BD47" s="3">
        <f t="shared" si="17"/>
        <v>252</v>
      </c>
      <c r="BE47" s="3">
        <f>AH47-AE47</f>
        <v>35</v>
      </c>
    </row>
    <row r="48" spans="1:57" s="3" customFormat="1" x14ac:dyDescent="0.2">
      <c r="A48" s="3" t="s">
        <v>475</v>
      </c>
      <c r="B48" s="3" t="str">
        <f>LOWER(VLOOKUP(A48,Xtal_Templ!A:B,2,FALSE))</f>
        <v>acm3_rat</v>
      </c>
      <c r="C48" s="3">
        <f>VLOOKUP($A48,'NonXtal_SegEnds_BW#'!$A:$Z,3,FALSE)+D48-50</f>
        <v>12</v>
      </c>
      <c r="D48" s="3">
        <v>33</v>
      </c>
      <c r="E48" s="3">
        <f>IF(ISERROR(VLOOKUP($A48,'NonXtal_SegEnds_BW#'!$A:$Z,4,FALSE)+VLOOKUP($A48,A:AL,4,FALSE)-50),"-",(VLOOKUP($A48,'NonXtal_SegEnds_BW#'!$A:$Z,4,FALSE)+VLOOKUP($A48,A:AL,4,FALSE)-50))</f>
        <v>43</v>
      </c>
      <c r="F48" s="3">
        <f t="shared" si="25"/>
        <v>44</v>
      </c>
      <c r="G48" s="3">
        <v>46</v>
      </c>
      <c r="H48" s="3">
        <f t="shared" si="26"/>
        <v>47</v>
      </c>
      <c r="I48" s="3">
        <f t="shared" si="26"/>
        <v>48</v>
      </c>
      <c r="J48" s="3">
        <v>61</v>
      </c>
      <c r="K48" s="3">
        <f>VLOOKUP($A48,'NonXtal_SegEnds_BW#'!$A:$Z,8,FALSE)+VLOOKUP($A48,A:AL,10,FALSE)-50</f>
        <v>77</v>
      </c>
      <c r="L48" s="3">
        <f t="shared" si="31"/>
        <v>79</v>
      </c>
      <c r="M48" s="3">
        <v>80</v>
      </c>
      <c r="N48" s="3">
        <f t="shared" si="32"/>
        <v>82</v>
      </c>
      <c r="O48" s="3">
        <f t="shared" si="29"/>
        <v>83</v>
      </c>
      <c r="P48" s="3">
        <v>112</v>
      </c>
      <c r="Q48" s="3">
        <f>VLOOKUP($A48,'NonXtal_SegEnds_BW#'!$A:$Z,12,FALSE)+VLOOKUP($A48,A:AL,16,FALSE)-50</f>
        <v>118</v>
      </c>
      <c r="R48" s="3">
        <f>IF(ISERROR(VLOOKUP($A48,'NonXtal_SegEnds_BW#'!$A:$Z,13,FALSE)+VLOOKUP($A48,A:AL,19,FALSE)-50),"-",VLOOKUP($A48,'NonXtal_SegEnds_BW#'!$A:$Z,13,FALSE)+VLOOKUP($A48,A:AL,19,FALSE)-50)</f>
        <v>119</v>
      </c>
      <c r="S48" s="3">
        <v>119</v>
      </c>
      <c r="T48" s="3">
        <f>IF(ISERROR(VLOOKUP($A48,'NonXtal_SegEnds_BW#'!$A:$Z,14,FALSE)+VLOOKUP($A48,A:AL,19,FALSE)-50),"-",(VLOOKUP($A48,'NonXtal_SegEnds_BW#'!$A:$Z,14,FALSE)+VLOOKUP($A48,A:AL,19,FALSE)-50))</f>
        <v>127</v>
      </c>
      <c r="U48" s="3">
        <f>IF(ISERROR(VLOOKUP($A48,'NonXtal_SegEnds_BW#'!$A:$Z,15,FALSE)+VLOOKUP($A48,A:AL,22,FALSE)-50),"-",VLOOKUP($A48,'NonXtal_SegEnds_BW#'!$A:$Z,15,FALSE)+VLOOKUP($A48,A:AL,22,FALSE)-50)</f>
        <v>129</v>
      </c>
      <c r="V48" s="3">
        <v>140</v>
      </c>
      <c r="W48" s="3">
        <f>IF(ISERROR(VLOOKUP($A48,'NonXtal_SegEnds_BW#'!$A:$Z,16,FALSE)+VLOOKUP($A48,A:AL,22,FALSE)-50),"-",(VLOOKUP($A48,'NonXtal_SegEnds_BW#'!$A:$Z,16,FALSE)+VLOOKUP($A48,A:AL,22,FALSE)-50))</f>
        <v>153</v>
      </c>
      <c r="X48" s="3">
        <f>IF(ISERROR(VLOOKUP($A48,'NonXtal_SegEnds_BW#'!$A:$Z,17,FALSE)+VLOOKUP($A48,A:AL,25,FALSE)-50),"-",(VLOOKUP($A48,'NonXtal_SegEnds_BW#'!$A:$Z,17,FALSE)+VLOOKUP($A48,A:AL,25,FALSE)-50))</f>
        <v>164</v>
      </c>
      <c r="Y48" s="3">
        <v>164</v>
      </c>
      <c r="Z48" s="3">
        <f t="shared" si="30"/>
        <v>166</v>
      </c>
      <c r="AA48" s="3">
        <f>IF(ISERROR(VLOOKUP($A48,'NonXtal_SegEnds_BW#'!$A:$Z,19,FALSE)+VLOOKUP($A48,A:AL,28,FALSE)-50),"-",(VLOOKUP($A48,'NonXtal_SegEnds_BW#'!$A:$Z,19,FALSE)+VLOOKUP($A48,A:AL,28,FALSE)-50))</f>
        <v>171</v>
      </c>
      <c r="AB48" s="3">
        <v>186</v>
      </c>
      <c r="AC48" s="3">
        <f>IF(ISERROR((VLOOKUP($A48,'NonXtal_SegEnds_BW#'!$A:$Z,20,FALSE)+VLOOKUP($A48,A:AL,28,FALSE)-50)),"-",(VLOOKUP($A48,'NonXtal_SegEnds_BW#'!$A:$Z,20,FALSE)+VLOOKUP($A48,A:AL,28,FALSE)-50))</f>
        <v>212</v>
      </c>
      <c r="AD48" s="3">
        <f>IF(ISERROR(VLOOKUP($A48,'NonXtal_SegEnds_BW#'!$A:$Z,21,FALSE)+VLOOKUP($A48,A:AL,31,FALSE)-50),"-",(VLOOKUP($A48,'NonXtal_SegEnds_BW#'!$A:$Z,21,FALSE)+VLOOKUP($A48,A:AL,31,FALSE)-50))</f>
        <v>292</v>
      </c>
      <c r="AE48" s="3">
        <v>318</v>
      </c>
      <c r="AF48" s="3">
        <f>IF(ISERROR((VLOOKUP($A48,'NonXtal_SegEnds_BW#'!$A:$Z,22,FALSE)+VLOOKUP($A48,A:AL,31,FALSE)-50)),"-",(VLOOKUP($A48,'NonXtal_SegEnds_BW#'!$A:$Z,22,FALSE)+VLOOKUP($A48,A:AL,31,FALSE)-50))</f>
        <v>329</v>
      </c>
      <c r="AG48" s="3">
        <f>IF(ISERROR(VLOOKUP($A48,'NonXtal_SegEnds_BW#'!$A:$Z,23,FALSE)+VLOOKUP($A48,A:AL,34,FALSE)-50),"-",(VLOOKUP($A48,'NonXtal_SegEnds_BW#'!$A:$Z,23,FALSE)+VLOOKUP($A48,A:AL,34,FALSE)-50))</f>
        <v>336</v>
      </c>
      <c r="AH48" s="3">
        <v>355</v>
      </c>
      <c r="AI48" s="3">
        <f>IF(ISERROR((VLOOKUP($A48,'NonXtal_SegEnds_BW#'!$A:$Z,24,FALSE)+VLOOKUP($A48,A:AL,34,FALSE)-50)),"-",(VLOOKUP($A48,'NonXtal_SegEnds_BW#'!$A:$Z,24,FALSE)+VLOOKUP($A48,A:AL,34,FALSE)-50))</f>
        <v>361</v>
      </c>
      <c r="AJ48" s="3">
        <f>IF(ISERROR(VLOOKUP($A48,'NonXtal_SegEnds_BW#'!$A:$Z,25,FALSE)+VLOOKUP($A48,A:AL,37,FALSE)-50),"-",(VLOOKUP($A48,'NonXtal_SegEnds_BW#'!$A:$Z,25,FALSE)+VLOOKUP($A48,A:AL,37,FALSE)-50))</f>
        <v>362</v>
      </c>
      <c r="AK48" s="3">
        <v>365</v>
      </c>
      <c r="AL48" s="3">
        <f>IF(ISERROR((VLOOKUP($A48,'NonXtal_SegEnds_BW#'!$A:$Z,26,FALSE)+VLOOKUP($A48,A:AL,37,FALSE)-50)),"-",(VLOOKUP($A48,'NonXtal_SegEnds_BW#'!$A:$Z,26,FALSE)+VLOOKUP($A48,A:AL,37,FALSE)-50))</f>
        <v>373</v>
      </c>
      <c r="AM48" s="71" t="str">
        <f>VLOOKUP(A48,Classification!A:B,2,FALSE)</f>
        <v>A</v>
      </c>
      <c r="AN48" s="71" t="b">
        <f t="shared" si="2"/>
        <v>1</v>
      </c>
      <c r="AO48" s="3">
        <f t="shared" si="3"/>
        <v>1</v>
      </c>
      <c r="AP48" s="3">
        <f t="shared" si="4"/>
        <v>1</v>
      </c>
      <c r="AQ48" s="3">
        <f t="shared" si="5"/>
        <v>2</v>
      </c>
      <c r="AR48" s="3">
        <f t="shared" si="6"/>
        <v>1</v>
      </c>
      <c r="AS48" s="3">
        <f t="shared" si="7"/>
        <v>1</v>
      </c>
      <c r="AT48" s="3">
        <f t="shared" si="8"/>
        <v>2</v>
      </c>
      <c r="AU48" s="3">
        <f t="shared" si="9"/>
        <v>11</v>
      </c>
      <c r="AV48" s="3">
        <f t="shared" si="10"/>
        <v>5</v>
      </c>
      <c r="AW48" s="3">
        <f t="shared" si="11"/>
        <v>80</v>
      </c>
      <c r="AX48" s="3">
        <f t="shared" si="12"/>
        <v>7</v>
      </c>
      <c r="AY48" s="3">
        <f t="shared" si="13"/>
        <v>1</v>
      </c>
      <c r="AZ48" s="3">
        <f>IF(ISERROR(LEN(VLOOKUP(A48,Seqs!A:E,2,FALSE))-AL48),"-",LEN(VLOOKUP(A48,Seqs!A:E,2,FALSE))-AL48)</f>
        <v>17</v>
      </c>
      <c r="BA48" s="35">
        <f t="shared" si="14"/>
        <v>28</v>
      </c>
      <c r="BB48" s="3">
        <f t="shared" si="15"/>
        <v>21</v>
      </c>
      <c r="BC48" s="3">
        <f t="shared" si="16"/>
        <v>28</v>
      </c>
      <c r="BD48" s="3">
        <f t="shared" si="17"/>
        <v>132</v>
      </c>
      <c r="BE48" s="3">
        <f>AH48-AE48</f>
        <v>37</v>
      </c>
    </row>
    <row r="49" spans="1:57" s="3" customFormat="1" x14ac:dyDescent="0.2">
      <c r="A49" s="3" t="s">
        <v>343</v>
      </c>
      <c r="B49" s="3" t="str">
        <f>LOWER(VLOOKUP(A49,Xtal_Templ!A:B,2,FALSE))</f>
        <v>acm4_human</v>
      </c>
      <c r="C49" s="3">
        <f>VLOOKUP($A49,'NonXtal_SegEnds_BW#'!$A:$Z,3,FALSE)+D49-50</f>
        <v>26</v>
      </c>
      <c r="D49" s="3">
        <v>50</v>
      </c>
      <c r="E49" s="3">
        <f>IF(ISERROR(VLOOKUP($A49,'NonXtal_SegEnds_BW#'!$A:$Z,4,FALSE)+VLOOKUP($A49,A:AL,4,FALSE)-50),"-",(VLOOKUP($A49,'NonXtal_SegEnds_BW#'!$A:$Z,4,FALSE)+VLOOKUP($A49,A:AL,4,FALSE)-50))</f>
        <v>60</v>
      </c>
      <c r="F49" s="3">
        <f t="shared" si="25"/>
        <v>61</v>
      </c>
      <c r="G49" s="3">
        <v>63</v>
      </c>
      <c r="H49" s="3">
        <f t="shared" si="26"/>
        <v>64</v>
      </c>
      <c r="I49" s="3">
        <f t="shared" si="26"/>
        <v>65</v>
      </c>
      <c r="J49" s="3">
        <v>78</v>
      </c>
      <c r="K49" s="3">
        <f>VLOOKUP($A49,'NonXtal_SegEnds_BW#'!$A:$Z,8,FALSE)+VLOOKUP($A49,A:AL,10,FALSE)-50</f>
        <v>95</v>
      </c>
      <c r="L49" s="3">
        <f t="shared" si="31"/>
        <v>97</v>
      </c>
      <c r="M49" s="3">
        <v>98</v>
      </c>
      <c r="N49" s="3">
        <f t="shared" si="32"/>
        <v>100</v>
      </c>
      <c r="O49" s="3">
        <f t="shared" si="29"/>
        <v>101</v>
      </c>
      <c r="P49" s="3">
        <v>130</v>
      </c>
      <c r="Q49" s="3">
        <f>VLOOKUP($A49,'NonXtal_SegEnds_BW#'!$A:$Z,12,FALSE)+VLOOKUP($A49,A:AL,16,FALSE)-50</f>
        <v>136</v>
      </c>
      <c r="R49" s="3">
        <f>IF(ISERROR(VLOOKUP($A49,'NonXtal_SegEnds_BW#'!$A:$Z,13,FALSE)+VLOOKUP($A49,A:AL,19,FALSE)-50),"-",VLOOKUP($A49,'NonXtal_SegEnds_BW#'!$A:$Z,13,FALSE)+VLOOKUP($A49,A:AL,19,FALSE)-50)</f>
        <v>137</v>
      </c>
      <c r="S49" s="3">
        <v>137</v>
      </c>
      <c r="T49" s="3">
        <f>IF(ISERROR(VLOOKUP($A49,'NonXtal_SegEnds_BW#'!$A:$Z,14,FALSE)+VLOOKUP($A49,A:AL,19,FALSE)-50),"-",(VLOOKUP($A49,'NonXtal_SegEnds_BW#'!$A:$Z,14,FALSE)+VLOOKUP($A49,A:AL,19,FALSE)-50))</f>
        <v>144</v>
      </c>
      <c r="U49" s="3">
        <f>IF(ISERROR(VLOOKUP($A49,'NonXtal_SegEnds_BW#'!$A:$Z,15,FALSE)+VLOOKUP($A49,A:AL,22,FALSE)-50),"-",VLOOKUP($A49,'NonXtal_SegEnds_BW#'!$A:$Z,15,FALSE)+VLOOKUP($A49,A:AL,22,FALSE)-50)</f>
        <v>146</v>
      </c>
      <c r="V49" s="3">
        <v>157</v>
      </c>
      <c r="W49" s="3">
        <f>IF(ISERROR(VLOOKUP($A49,'NonXtal_SegEnds_BW#'!$A:$Z,16,FALSE)+VLOOKUP($A49,A:AL,22,FALSE)-50),"-",(VLOOKUP($A49,'NonXtal_SegEnds_BW#'!$A:$Z,16,FALSE)+VLOOKUP($A49,A:AL,22,FALSE)-50))</f>
        <v>176</v>
      </c>
      <c r="X49" s="3">
        <f>IF(ISERROR(VLOOKUP($A49,'NonXtal_SegEnds_BW#'!$A:$Z,17,FALSE)+VLOOKUP($A49,A:AL,25,FALSE)-50),"-",(VLOOKUP($A49,'NonXtal_SegEnds_BW#'!$A:$Z,17,FALSE)+VLOOKUP($A49,A:AL,25,FALSE)-50))</f>
        <v>185</v>
      </c>
      <c r="Y49" s="3">
        <v>185</v>
      </c>
      <c r="Z49" s="3">
        <f t="shared" si="30"/>
        <v>187</v>
      </c>
      <c r="AA49" s="3">
        <f>IF(ISERROR(VLOOKUP($A49,'NonXtal_SegEnds_BW#'!$A:$Z,19,FALSE)+VLOOKUP($A49,A:AL,28,FALSE)-50),"-",(VLOOKUP($A49,'NonXtal_SegEnds_BW#'!$A:$Z,19,FALSE)+VLOOKUP($A49,A:AL,28,FALSE)-50))</f>
        <v>192</v>
      </c>
      <c r="AB49" s="3">
        <v>207</v>
      </c>
      <c r="AC49" s="3">
        <f>IF(ISERROR((VLOOKUP($A49,'NonXtal_SegEnds_BW#'!$A:$Z,20,FALSE)+VLOOKUP($A49,A:AL,28,FALSE)-50)),"-",(VLOOKUP($A49,'NonXtal_SegEnds_BW#'!$A:$Z,20,FALSE)+VLOOKUP($A49,A:AL,28,FALSE)-50))</f>
        <v>232</v>
      </c>
      <c r="AD49" s="3">
        <f>IF(ISERROR(VLOOKUP($A49,'NonXtal_SegEnds_BW#'!$A:$Z,21,FALSE)+VLOOKUP($A49,A:AL,31,FALSE)-50),"-",(VLOOKUP($A49,'NonXtal_SegEnds_BW#'!$A:$Z,21,FALSE)+VLOOKUP($A49,A:AL,31,FALSE)-50))</f>
        <v>389</v>
      </c>
      <c r="AE49" s="3">
        <v>415</v>
      </c>
      <c r="AF49" s="3">
        <f>IF(ISERROR((VLOOKUP($A49,'NonXtal_SegEnds_BW#'!$A:$Z,22,FALSE)+VLOOKUP($A49,A:AL,31,FALSE)-50)),"-",(VLOOKUP($A49,'NonXtal_SegEnds_BW#'!$A:$Z,22,FALSE)+VLOOKUP($A49,A:AL,31,FALSE)-50))</f>
        <v>426</v>
      </c>
      <c r="AG49" s="3">
        <f>IF(ISERROR(VLOOKUP($A49,'NonXtal_SegEnds_BW#'!$A:$Z,23,FALSE)+VLOOKUP($A49,A:AL,34,FALSE)-50),"-",(VLOOKUP($A49,'NonXtal_SegEnds_BW#'!$A:$Z,23,FALSE)+VLOOKUP($A49,A:AL,34,FALSE)-50))</f>
        <v>431</v>
      </c>
      <c r="AH49" s="3">
        <v>450</v>
      </c>
      <c r="AI49" s="3">
        <f>IF(ISERROR((VLOOKUP($A49,'NonXtal_SegEnds_BW#'!$A:$Z,24,FALSE)+VLOOKUP($A49,A:AL,34,FALSE)-50)),"-",(VLOOKUP($A49,'NonXtal_SegEnds_BW#'!$A:$Z,24,FALSE)+VLOOKUP($A49,A:AL,34,FALSE)-50))</f>
        <v>456</v>
      </c>
      <c r="AJ49" s="3">
        <f>IF(ISERROR(VLOOKUP($A49,'NonXtal_SegEnds_BW#'!$A:$Z,25,FALSE)+VLOOKUP($A49,A:AL,37,FALSE)-50),"-",(VLOOKUP($A49,'NonXtal_SegEnds_BW#'!$A:$Z,25,FALSE)+VLOOKUP($A49,A:AL,37,FALSE)-50))</f>
        <v>457</v>
      </c>
      <c r="AK49" s="3">
        <v>460</v>
      </c>
      <c r="AL49" s="3">
        <f>IF(ISERROR((VLOOKUP($A49,'NonXtal_SegEnds_BW#'!$A:$Z,26,FALSE)+VLOOKUP($A49,A:AL,37,FALSE)-50)),"-",(VLOOKUP($A49,'NonXtal_SegEnds_BW#'!$A:$Z,26,FALSE)+VLOOKUP($A49,A:AL,37,FALSE)-50))</f>
        <v>469</v>
      </c>
      <c r="AM49" s="71" t="str">
        <f>VLOOKUP(A49,Classification!A:B,2,FALSE)</f>
        <v>A</v>
      </c>
      <c r="AN49" s="71" t="b">
        <f t="shared" si="2"/>
        <v>1</v>
      </c>
      <c r="AO49" s="3">
        <f t="shared" si="3"/>
        <v>1</v>
      </c>
      <c r="AP49" s="3">
        <f t="shared" si="4"/>
        <v>1</v>
      </c>
      <c r="AQ49" s="3">
        <f t="shared" si="5"/>
        <v>2</v>
      </c>
      <c r="AR49" s="3">
        <f t="shared" si="6"/>
        <v>1</v>
      </c>
      <c r="AS49" s="3">
        <f t="shared" si="7"/>
        <v>1</v>
      </c>
      <c r="AT49" s="3">
        <f t="shared" si="8"/>
        <v>2</v>
      </c>
      <c r="AU49" s="3">
        <f t="shared" si="9"/>
        <v>9</v>
      </c>
      <c r="AV49" s="3">
        <f t="shared" si="10"/>
        <v>5</v>
      </c>
      <c r="AW49" s="3">
        <f t="shared" si="11"/>
        <v>157</v>
      </c>
      <c r="AX49" s="3">
        <f t="shared" si="12"/>
        <v>5</v>
      </c>
      <c r="AY49" s="3">
        <f t="shared" si="13"/>
        <v>1</v>
      </c>
      <c r="AZ49" s="3">
        <f>IF(ISERROR(LEN(VLOOKUP(A49,Seqs!A:E,2,FALSE))-AL49),"-",LEN(VLOOKUP(A49,Seqs!A:E,2,FALSE))-AL49)</f>
        <v>10</v>
      </c>
      <c r="BA49" s="35">
        <f t="shared" si="14"/>
        <v>28</v>
      </c>
      <c r="BB49" s="3">
        <f t="shared" si="15"/>
        <v>20</v>
      </c>
      <c r="BC49" s="3">
        <f t="shared" si="16"/>
        <v>28</v>
      </c>
      <c r="BD49" s="3">
        <f t="shared" si="17"/>
        <v>208</v>
      </c>
      <c r="BE49" s="3">
        <f>AH49-AE49</f>
        <v>35</v>
      </c>
    </row>
    <row r="50" spans="1:57" s="3" customFormat="1" x14ac:dyDescent="0.2">
      <c r="A50" s="3" t="s">
        <v>422</v>
      </c>
      <c r="B50" s="3" t="str">
        <f>LOWER(VLOOKUP(A50,Xtal_Templ!A:B,2,FALSE))</f>
        <v>acm4_human</v>
      </c>
      <c r="C50" s="3">
        <f>VLOOKUP($A50,'NonXtal_SegEnds_BW#'!$A:$Z,3,FALSE)+D50-50</f>
        <v>7</v>
      </c>
      <c r="D50" s="3">
        <v>31</v>
      </c>
      <c r="E50" s="3">
        <f>IF(ISERROR(VLOOKUP($A50,'NonXtal_SegEnds_BW#'!$A:$Z,4,FALSE)+VLOOKUP($A50,A:AL,4,FALSE)-50),"-",(VLOOKUP($A50,'NonXtal_SegEnds_BW#'!$A:$Z,4,FALSE)+VLOOKUP($A50,A:AL,4,FALSE)-50))</f>
        <v>41</v>
      </c>
      <c r="F50" s="3">
        <f t="shared" si="25"/>
        <v>42</v>
      </c>
      <c r="G50" s="3">
        <v>44</v>
      </c>
      <c r="H50" s="3">
        <f t="shared" si="26"/>
        <v>45</v>
      </c>
      <c r="I50" s="3">
        <f t="shared" si="26"/>
        <v>46</v>
      </c>
      <c r="J50" s="3">
        <v>59</v>
      </c>
      <c r="K50" s="3">
        <f>VLOOKUP($A50,'NonXtal_SegEnds_BW#'!$A:$Z,8,FALSE)+VLOOKUP($A50,A:AL,10,FALSE)-50</f>
        <v>76</v>
      </c>
      <c r="L50" s="3">
        <f t="shared" si="31"/>
        <v>82</v>
      </c>
      <c r="M50" s="3">
        <v>83</v>
      </c>
      <c r="N50" s="3">
        <f t="shared" si="32"/>
        <v>85</v>
      </c>
      <c r="O50" s="3">
        <f t="shared" si="29"/>
        <v>86</v>
      </c>
      <c r="P50" s="3">
        <v>115</v>
      </c>
      <c r="Q50" s="3">
        <f>VLOOKUP($A50,'NonXtal_SegEnds_BW#'!$A:$Z,12,FALSE)+VLOOKUP($A50,A:AL,16,FALSE)-50</f>
        <v>121</v>
      </c>
      <c r="R50" s="3">
        <f>IF(ISERROR(VLOOKUP($A50,'NonXtal_SegEnds_BW#'!$A:$Z,13,FALSE)+VLOOKUP($A50,A:AL,19,FALSE)-50),"-",VLOOKUP($A50,'NonXtal_SegEnds_BW#'!$A:$Z,13,FALSE)+VLOOKUP($A50,A:AL,19,FALSE)-50)</f>
        <v>122</v>
      </c>
      <c r="S50" s="3">
        <v>122</v>
      </c>
      <c r="T50" s="3">
        <f>IF(ISERROR(VLOOKUP($A50,'NonXtal_SegEnds_BW#'!$A:$Z,14,FALSE)+VLOOKUP($A50,A:AL,19,FALSE)-50),"-",(VLOOKUP($A50,'NonXtal_SegEnds_BW#'!$A:$Z,14,FALSE)+VLOOKUP($A50,A:AL,19,FALSE)-50))</f>
        <v>129</v>
      </c>
      <c r="U50" s="3">
        <f>IF(ISERROR(VLOOKUP($A50,'NonXtal_SegEnds_BW#'!$A:$Z,15,FALSE)+VLOOKUP($A50,A:AL,22,FALSE)-50),"-",VLOOKUP($A50,'NonXtal_SegEnds_BW#'!$A:$Z,15,FALSE)+VLOOKUP($A50,A:AL,22,FALSE)-50)</f>
        <v>131</v>
      </c>
      <c r="V50" s="3">
        <v>142</v>
      </c>
      <c r="W50" s="3">
        <f>IF(ISERROR(VLOOKUP($A50,'NonXtal_SegEnds_BW#'!$A:$Z,16,FALSE)+VLOOKUP($A50,A:AL,22,FALSE)-50),"-",(VLOOKUP($A50,'NonXtal_SegEnds_BW#'!$A:$Z,16,FALSE)+VLOOKUP($A50,A:AL,22,FALSE)-50))</f>
        <v>161</v>
      </c>
      <c r="X50" s="3">
        <f>IF(ISERROR(VLOOKUP($A50,'NonXtal_SegEnds_BW#'!$A:$Z,17,FALSE)+VLOOKUP($A50,A:AL,25,FALSE)-50),"-",(VLOOKUP($A50,'NonXtal_SegEnds_BW#'!$A:$Z,17,FALSE)+VLOOKUP($A50,A:AL,25,FALSE)-50))</f>
        <v>168</v>
      </c>
      <c r="Y50" s="3">
        <v>168</v>
      </c>
      <c r="Z50" s="3">
        <f t="shared" si="30"/>
        <v>170</v>
      </c>
      <c r="AA50" s="3">
        <f>IF(ISERROR(VLOOKUP($A50,'NonXtal_SegEnds_BW#'!$A:$Z,19,FALSE)+VLOOKUP($A50,A:AL,28,FALSE)-50),"-",(VLOOKUP($A50,'NonXtal_SegEnds_BW#'!$A:$Z,19,FALSE)+VLOOKUP($A50,A:AL,28,FALSE)-50))</f>
        <v>176</v>
      </c>
      <c r="AB50" s="3">
        <v>191</v>
      </c>
      <c r="AC50" s="3">
        <f>IF(ISERROR((VLOOKUP($A50,'NonXtal_SegEnds_BW#'!$A:$Z,20,FALSE)+VLOOKUP($A50,A:AL,28,FALSE)-50)),"-",(VLOOKUP($A50,'NonXtal_SegEnds_BW#'!$A:$Z,20,FALSE)+VLOOKUP($A50,A:AL,28,FALSE)-50))</f>
        <v>215</v>
      </c>
      <c r="AD50" s="3">
        <f>IF(ISERROR(VLOOKUP($A50,'NonXtal_SegEnds_BW#'!$A:$Z,21,FALSE)+VLOOKUP($A50,A:AL,31,FALSE)-50),"-",(VLOOKUP($A50,'NonXtal_SegEnds_BW#'!$A:$Z,21,FALSE)+VLOOKUP($A50,A:AL,31,FALSE)-50))</f>
        <v>261</v>
      </c>
      <c r="AE50" s="3">
        <v>287</v>
      </c>
      <c r="AF50" s="3">
        <f>IF(ISERROR((VLOOKUP($A50,'NonXtal_SegEnds_BW#'!$A:$Z,22,FALSE)+VLOOKUP($A50,A:AL,31,FALSE)-50)),"-",(VLOOKUP($A50,'NonXtal_SegEnds_BW#'!$A:$Z,22,FALSE)+VLOOKUP($A50,A:AL,31,FALSE)-50))</f>
        <v>298</v>
      </c>
      <c r="AG50" s="3">
        <f>IF(ISERROR(VLOOKUP($A50,'NonXtal_SegEnds_BW#'!$A:$Z,23,FALSE)+VLOOKUP($A50,A:AL,34,FALSE)-50),"-",(VLOOKUP($A50,'NonXtal_SegEnds_BW#'!$A:$Z,23,FALSE)+VLOOKUP($A50,A:AL,34,FALSE)-50))</f>
        <v>303</v>
      </c>
      <c r="AH50" s="3">
        <v>321</v>
      </c>
      <c r="AI50" s="3">
        <v>326</v>
      </c>
      <c r="AJ50" s="3">
        <f>IF(ISERROR(VLOOKUP($A50,'NonXtal_SegEnds_BW#'!$A:$Z,25,FALSE)+VLOOKUP($A50,A:AL,37,FALSE)-50),"-",(VLOOKUP($A50,'NonXtal_SegEnds_BW#'!$A:$Z,25,FALSE)+VLOOKUP($A50,A:AL,37,FALSE)-50))</f>
        <v>327</v>
      </c>
      <c r="AK50" s="3">
        <v>330</v>
      </c>
      <c r="AL50" s="3">
        <f>IF(ISERROR((VLOOKUP($A50,'NonXtal_SegEnds_BW#'!$A:$Z,26,FALSE)+VLOOKUP($A50,A:AL,37,FALSE)-50)),"-",(VLOOKUP($A50,'NonXtal_SegEnds_BW#'!$A:$Z,26,FALSE)+VLOOKUP($A50,A:AL,37,FALSE)-50))</f>
        <v>339</v>
      </c>
      <c r="AM50" s="71" t="str">
        <f>VLOOKUP(A50,Classification!A:B,2,FALSE)</f>
        <v>A</v>
      </c>
      <c r="AN50" s="71" t="b">
        <f t="shared" si="2"/>
        <v>1</v>
      </c>
      <c r="AO50" s="3">
        <f t="shared" si="3"/>
        <v>1</v>
      </c>
      <c r="AP50" s="3">
        <f t="shared" si="4"/>
        <v>1</v>
      </c>
      <c r="AQ50" s="3">
        <f t="shared" si="5"/>
        <v>6</v>
      </c>
      <c r="AR50" s="3">
        <f t="shared" si="6"/>
        <v>1</v>
      </c>
      <c r="AS50" s="3">
        <f t="shared" si="7"/>
        <v>1</v>
      </c>
      <c r="AT50" s="3">
        <f t="shared" si="8"/>
        <v>2</v>
      </c>
      <c r="AU50" s="3">
        <f t="shared" si="9"/>
        <v>7</v>
      </c>
      <c r="AV50" s="3">
        <f t="shared" si="10"/>
        <v>6</v>
      </c>
      <c r="AW50" s="3">
        <f t="shared" si="11"/>
        <v>46</v>
      </c>
      <c r="AX50" s="3">
        <f t="shared" si="12"/>
        <v>5</v>
      </c>
      <c r="AY50" s="3">
        <f t="shared" si="13"/>
        <v>1</v>
      </c>
      <c r="AZ50" s="3">
        <f>IF(ISERROR(LEN(VLOOKUP(A50,Seqs!A:E,2,FALSE))-AL50),"-",LEN(VLOOKUP(A50,Seqs!A:E,2,FALSE))-AL50)</f>
        <v>249</v>
      </c>
      <c r="BA50" s="35">
        <f t="shared" si="14"/>
        <v>28</v>
      </c>
      <c r="BB50" s="3">
        <f t="shared" si="15"/>
        <v>20</v>
      </c>
      <c r="BC50" s="3">
        <f t="shared" si="16"/>
        <v>28</v>
      </c>
      <c r="BD50" s="3">
        <f t="shared" si="17"/>
        <v>96</v>
      </c>
    </row>
    <row r="51" spans="1:57" s="3" customFormat="1" x14ac:dyDescent="0.2">
      <c r="A51" s="3" t="s">
        <v>570</v>
      </c>
      <c r="B51" s="3" t="str">
        <f>LOWER(VLOOKUP(A51,Xtal_Templ!A:B,2,FALSE))</f>
        <v>adrb1_melga</v>
      </c>
      <c r="C51" s="3">
        <f>VLOOKUP($A51,'NonXtal_SegEnds_BW#'!$A:$Z,3,FALSE)+D51-50</f>
        <v>407</v>
      </c>
      <c r="D51" s="3">
        <v>433</v>
      </c>
      <c r="E51" s="3">
        <f>IF(ISERROR(VLOOKUP($A51,'NonXtal_SegEnds_BW#'!$A:$Z,4,FALSE)+VLOOKUP($A51,A:AL,4,FALSE)-50),"-",(VLOOKUP($A51,'NonXtal_SegEnds_BW#'!$A:$Z,4,FALSE)+VLOOKUP($A51,A:AL,4,FALSE)-50))</f>
        <v>443</v>
      </c>
      <c r="F51" s="3">
        <f t="shared" si="25"/>
        <v>444</v>
      </c>
      <c r="G51" s="3">
        <v>446</v>
      </c>
      <c r="H51" s="3">
        <f t="shared" ref="H51:I67" si="33">G51+1</f>
        <v>447</v>
      </c>
      <c r="I51" s="3">
        <f t="shared" si="33"/>
        <v>448</v>
      </c>
      <c r="J51" s="3">
        <v>461</v>
      </c>
      <c r="K51" s="3">
        <f>VLOOKUP($A51,'NonXtal_SegEnds_BW#'!$A:$Z,8,FALSE)+VLOOKUP($A51,A:AL,10,FALSE)-50</f>
        <v>478</v>
      </c>
      <c r="L51" s="3">
        <f t="shared" si="31"/>
        <v>484</v>
      </c>
      <c r="M51" s="3">
        <v>485</v>
      </c>
      <c r="N51" s="3">
        <f t="shared" si="32"/>
        <v>487</v>
      </c>
      <c r="O51" s="3">
        <f t="shared" si="29"/>
        <v>488</v>
      </c>
      <c r="P51" s="3">
        <v>520</v>
      </c>
      <c r="Q51" s="3">
        <f>VLOOKUP($A51,'NonXtal_SegEnds_BW#'!$A:$Z,12,FALSE)+VLOOKUP($A51,A:AL,16,FALSE)-50</f>
        <v>526</v>
      </c>
      <c r="R51" s="3">
        <f>IF(ISERROR(VLOOKUP($A51,'NonXtal_SegEnds_BW#'!$A:$Z,13,FALSE)+VLOOKUP($A51,A:AL,19,FALSE)-50),"-",VLOOKUP($A51,'NonXtal_SegEnds_BW#'!$A:$Z,13,FALSE)+VLOOKUP($A51,A:AL,19,FALSE)-50)</f>
        <v>527</v>
      </c>
      <c r="S51" s="3">
        <v>527</v>
      </c>
      <c r="T51" s="3">
        <f>IF(ISERROR(VLOOKUP($A51,'NonXtal_SegEnds_BW#'!$A:$Z,14,FALSE)+VLOOKUP($A51,A:AL,19,FALSE)-50),"-",(VLOOKUP($A51,'NonXtal_SegEnds_BW#'!$A:$Z,14,FALSE)+VLOOKUP($A51,A:AL,19,FALSE)-50))</f>
        <v>534</v>
      </c>
      <c r="U51" s="3">
        <f>IF(ISERROR(VLOOKUP($A51,'NonXtal_SegEnds_BW#'!$A:$Z,15,FALSE)+VLOOKUP($A51,A:AL,22,FALSE)-50),"-",VLOOKUP($A51,'NonXtal_SegEnds_BW#'!$A:$Z,15,FALSE)+VLOOKUP($A51,A:AL,22,FALSE)-50)</f>
        <v>535</v>
      </c>
      <c r="V51" s="3">
        <v>546</v>
      </c>
      <c r="W51" s="3">
        <f>IF(ISERROR(VLOOKUP($A51,'NonXtal_SegEnds_BW#'!$A:$Z,16,FALSE)+VLOOKUP($A51,A:AL,22,FALSE)-50),"-",(VLOOKUP($A51,'NonXtal_SegEnds_BW#'!$A:$Z,16,FALSE)+VLOOKUP($A51,A:AL,22,FALSE)-50))</f>
        <v>560</v>
      </c>
      <c r="X51" s="3">
        <f>IF(ISERROR(VLOOKUP($A51,'NonXtal_SegEnds_BW#'!$A:$Z,17,FALSE)+VLOOKUP($A51,A:AL,25,FALSE)-50),"-",(VLOOKUP($A51,'NonXtal_SegEnds_BW#'!$A:$Z,17,FALSE)+VLOOKUP($A51,A:AL,25,FALSE)-50))</f>
        <v>573</v>
      </c>
      <c r="Y51" s="3">
        <v>573</v>
      </c>
      <c r="Z51" s="3">
        <f t="shared" si="30"/>
        <v>575</v>
      </c>
      <c r="AA51" s="3">
        <f>IF(ISERROR(VLOOKUP($A51,'NonXtal_SegEnds_BW#'!$A:$Z,19,FALSE)+VLOOKUP($A51,A:AL,28,FALSE)-50),"-",(VLOOKUP($A51,'NonXtal_SegEnds_BW#'!$A:$Z,19,FALSE)+VLOOKUP($A51,A:AL,28,FALSE)-50))</f>
        <v>586</v>
      </c>
      <c r="AB51" s="3">
        <v>601</v>
      </c>
      <c r="AC51" s="3">
        <f>IF(ISERROR((VLOOKUP($A51,'NonXtal_SegEnds_BW#'!$A:$Z,20,FALSE)+VLOOKUP($A51,A:AL,28,FALSE)-50)),"-",(VLOOKUP($A51,'NonXtal_SegEnds_BW#'!$A:$Z,20,FALSE)+VLOOKUP($A51,A:AL,28,FALSE)-50))</f>
        <v>623</v>
      </c>
      <c r="AD51" s="3">
        <f>IF(ISERROR(VLOOKUP($A51,'NonXtal_SegEnds_BW#'!$A:$Z,21,FALSE)+VLOOKUP($A51,A:AL,31,FALSE)-50),"-",(VLOOKUP($A51,'NonXtal_SegEnds_BW#'!$A:$Z,21,FALSE)+VLOOKUP($A51,A:AL,31,FALSE)-50))</f>
        <v>627</v>
      </c>
      <c r="AE51" s="3">
        <v>653</v>
      </c>
      <c r="AF51" s="3">
        <f>IF(ISERROR((VLOOKUP($A51,'NonXtal_SegEnds_BW#'!$A:$Z,22,FALSE)+VLOOKUP($A51,A:AL,31,FALSE)-50)),"-",(VLOOKUP($A51,'NonXtal_SegEnds_BW#'!$A:$Z,22,FALSE)+VLOOKUP($A51,A:AL,31,FALSE)-50))</f>
        <v>664</v>
      </c>
      <c r="AG51" s="3">
        <f>IF(ISERROR(VLOOKUP($A51,'NonXtal_SegEnds_BW#'!$A:$Z,23,FALSE)+VLOOKUP($A51,A:AL,34,FALSE)-50),"-",(VLOOKUP($A51,'NonXtal_SegEnds_BW#'!$A:$Z,23,FALSE)+VLOOKUP($A51,A:AL,34,FALSE)-50))</f>
        <v>669</v>
      </c>
      <c r="AH51" s="3">
        <v>688</v>
      </c>
      <c r="AI51" s="3">
        <v>694</v>
      </c>
      <c r="AJ51" s="3">
        <f>IF(ISERROR(VLOOKUP($A51,'NonXtal_SegEnds_BW#'!$A:$Z,25,FALSE)+VLOOKUP($A51,A:AL,37,FALSE)-50),"-",(VLOOKUP($A51,'NonXtal_SegEnds_BW#'!$A:$Z,25,FALSE)+VLOOKUP($A51,A:AL,37,FALSE)-50))</f>
        <v>695</v>
      </c>
      <c r="AK51" s="3">
        <v>698</v>
      </c>
      <c r="AL51" s="3">
        <f>IF(ISERROR((VLOOKUP($A51,'NonXtal_SegEnds_BW#'!$A:$Z,26,FALSE)+VLOOKUP($A51,A:AL,37,FALSE)-50)),"-",(VLOOKUP($A51,'NonXtal_SegEnds_BW#'!$A:$Z,26,FALSE)+VLOOKUP($A51,A:AL,37,FALSE)-50))</f>
        <v>707</v>
      </c>
      <c r="AM51" s="71" t="str">
        <f>VLOOKUP(A51,Classification!A:B,2,FALSE)</f>
        <v>A</v>
      </c>
      <c r="AN51" s="71" t="b">
        <f t="shared" si="2"/>
        <v>1</v>
      </c>
      <c r="AO51" s="3">
        <f t="shared" si="3"/>
        <v>1</v>
      </c>
      <c r="AP51" s="3">
        <f t="shared" si="4"/>
        <v>1</v>
      </c>
      <c r="AQ51" s="3">
        <f t="shared" si="5"/>
        <v>6</v>
      </c>
      <c r="AR51" s="3">
        <f t="shared" si="6"/>
        <v>1</v>
      </c>
      <c r="AS51" s="3">
        <f t="shared" si="7"/>
        <v>1</v>
      </c>
      <c r="AT51" s="3">
        <f t="shared" si="8"/>
        <v>1</v>
      </c>
      <c r="AU51" s="3">
        <f t="shared" si="9"/>
        <v>13</v>
      </c>
      <c r="AV51" s="3">
        <f t="shared" si="10"/>
        <v>11</v>
      </c>
      <c r="AW51" s="3">
        <f t="shared" si="11"/>
        <v>4</v>
      </c>
      <c r="AX51" s="3">
        <f t="shared" si="12"/>
        <v>5</v>
      </c>
      <c r="AY51" s="3">
        <f t="shared" si="13"/>
        <v>1</v>
      </c>
      <c r="AZ51" s="3">
        <f>IF(ISERROR(LEN(VLOOKUP(A51,Seqs!A:E,2,FALSE))-AL51),"-",LEN(VLOOKUP(A51,Seqs!A:E,2,FALSE))-AL51)</f>
        <v>47</v>
      </c>
      <c r="BA51" s="35">
        <f t="shared" si="14"/>
        <v>28</v>
      </c>
      <c r="BB51" s="3">
        <f t="shared" si="15"/>
        <v>19</v>
      </c>
      <c r="BC51" s="3">
        <f t="shared" si="16"/>
        <v>28</v>
      </c>
      <c r="BD51" s="3">
        <f t="shared" si="17"/>
        <v>52</v>
      </c>
    </row>
    <row r="52" spans="1:57" s="3" customFormat="1" x14ac:dyDescent="0.2">
      <c r="A52" s="3" t="s">
        <v>348</v>
      </c>
      <c r="B52" s="3" t="str">
        <f>LOWER(VLOOKUP(A52,Xtal_Templ!A:B,2,FALSE))</f>
        <v>adrb1_melga</v>
      </c>
      <c r="C52" s="3">
        <f>VLOOKUP($A52,'NonXtal_SegEnds_BW#'!$A:$Z,3,FALSE)+D52-50</f>
        <v>88</v>
      </c>
      <c r="D52" s="3">
        <v>114</v>
      </c>
      <c r="E52" s="3">
        <f>IF(ISERROR(VLOOKUP($A52,'NonXtal_SegEnds_BW#'!$A:$Z,4,FALSE)+VLOOKUP($A52,A:AL,4,FALSE)-50),"-",(VLOOKUP($A52,'NonXtal_SegEnds_BW#'!$A:$Z,4,FALSE)+VLOOKUP($A52,A:AL,4,FALSE)-50))</f>
        <v>124</v>
      </c>
      <c r="F52" s="3">
        <f t="shared" si="25"/>
        <v>125</v>
      </c>
      <c r="G52" s="3">
        <v>127</v>
      </c>
      <c r="H52" s="3">
        <f t="shared" si="33"/>
        <v>128</v>
      </c>
      <c r="I52" s="3">
        <f t="shared" si="33"/>
        <v>129</v>
      </c>
      <c r="J52" s="3">
        <v>142</v>
      </c>
      <c r="K52" s="3">
        <f>VLOOKUP($A52,'NonXtal_SegEnds_BW#'!$A:$Z,8,FALSE)+VLOOKUP($A52,A:AL,10,FALSE)-50</f>
        <v>159</v>
      </c>
      <c r="L52" s="3">
        <f t="shared" si="31"/>
        <v>161</v>
      </c>
      <c r="M52" s="3">
        <v>162</v>
      </c>
      <c r="N52" s="3">
        <f t="shared" si="32"/>
        <v>164</v>
      </c>
      <c r="O52" s="3">
        <f t="shared" si="29"/>
        <v>165</v>
      </c>
      <c r="P52" s="3">
        <v>194</v>
      </c>
      <c r="Q52" s="3">
        <f>VLOOKUP($A52,'NonXtal_SegEnds_BW#'!$A:$Z,12,FALSE)+VLOOKUP($A52,A:AL,16,FALSE)-50</f>
        <v>200</v>
      </c>
      <c r="R52" s="3">
        <f>IF(ISERROR(VLOOKUP($A52,'NonXtal_SegEnds_BW#'!$A:$Z,13,FALSE)+VLOOKUP($A52,A:AL,19,FALSE)-50),"-",VLOOKUP($A52,'NonXtal_SegEnds_BW#'!$A:$Z,13,FALSE)+VLOOKUP($A52,A:AL,19,FALSE)-50)</f>
        <v>201</v>
      </c>
      <c r="S52" s="3">
        <v>201</v>
      </c>
      <c r="T52" s="3">
        <f>IF(ISERROR(VLOOKUP($A52,'NonXtal_SegEnds_BW#'!$A:$Z,14,FALSE)+VLOOKUP($A52,A:AL,19,FALSE)-50),"-",(VLOOKUP($A52,'NonXtal_SegEnds_BW#'!$A:$Z,14,FALSE)+VLOOKUP($A52,A:AL,19,FALSE)-50))</f>
        <v>208</v>
      </c>
      <c r="U52" s="3">
        <f>IF(ISERROR(VLOOKUP($A52,'NonXtal_SegEnds_BW#'!$A:$Z,15,FALSE)+VLOOKUP($A52,A:AL,22,FALSE)-50),"-",VLOOKUP($A52,'NonXtal_SegEnds_BW#'!$A:$Z,15,FALSE)+VLOOKUP($A52,A:AL,22,FALSE)-50)</f>
        <v>210</v>
      </c>
      <c r="V52" s="3">
        <v>221</v>
      </c>
      <c r="W52" s="3">
        <f>IF(ISERROR(VLOOKUP($A52,'NonXtal_SegEnds_BW#'!$A:$Z,16,FALSE)+VLOOKUP($A52,A:AL,22,FALSE)-50),"-",(VLOOKUP($A52,'NonXtal_SegEnds_BW#'!$A:$Z,16,FALSE)+VLOOKUP($A52,A:AL,22,FALSE)-50))</f>
        <v>235</v>
      </c>
      <c r="X52" s="3">
        <f>IF(ISERROR(VLOOKUP($A52,'NonXtal_SegEnds_BW#'!$A:$Z,17,FALSE)+VLOOKUP($A52,A:AL,25,FALSE)-50),"-",(VLOOKUP($A52,'NonXtal_SegEnds_BW#'!$A:$Z,17,FALSE)+VLOOKUP($A52,A:AL,25,FALSE)-50))</f>
        <v>246</v>
      </c>
      <c r="Y52" s="3">
        <v>246</v>
      </c>
      <c r="Z52" s="3">
        <f t="shared" si="30"/>
        <v>248</v>
      </c>
      <c r="AA52" s="3">
        <f>IF(ISERROR(VLOOKUP($A52,'NonXtal_SegEnds_BW#'!$A:$Z,19,FALSE)+VLOOKUP($A52,A:AL,28,FALSE)-50),"-",(VLOOKUP($A52,'NonXtal_SegEnds_BW#'!$A:$Z,19,FALSE)+VLOOKUP($A52,A:AL,28,FALSE)-50))</f>
        <v>251</v>
      </c>
      <c r="AB52" s="3">
        <v>266</v>
      </c>
      <c r="AC52" s="3">
        <f>IF(ISERROR((VLOOKUP($A52,'NonXtal_SegEnds_BW#'!$A:$Z,20,FALSE)+VLOOKUP($A52,A:AL,28,FALSE)-50)),"-",(VLOOKUP($A52,'NonXtal_SegEnds_BW#'!$A:$Z,20,FALSE)+VLOOKUP($A52,A:AL,28,FALSE)-50))</f>
        <v>290</v>
      </c>
      <c r="AD52" s="3">
        <f>IF(ISERROR(VLOOKUP($A52,'NonXtal_SegEnds_BW#'!$A:$Z,21,FALSE)+VLOOKUP($A52,A:AL,31,FALSE)-50),"-",(VLOOKUP($A52,'NonXtal_SegEnds_BW#'!$A:$Z,21,FALSE)+VLOOKUP($A52,A:AL,31,FALSE)-50))</f>
        <v>337</v>
      </c>
      <c r="AE52" s="3">
        <v>363</v>
      </c>
      <c r="AF52" s="3">
        <f>IF(ISERROR((VLOOKUP($A52,'NonXtal_SegEnds_BW#'!$A:$Z,22,FALSE)+VLOOKUP($A52,A:AL,31,FALSE)-50)),"-",(VLOOKUP($A52,'NonXtal_SegEnds_BW#'!$A:$Z,22,FALSE)+VLOOKUP($A52,A:AL,31,FALSE)-50))</f>
        <v>374</v>
      </c>
      <c r="AG52" s="3">
        <f>IF(ISERROR(VLOOKUP($A52,'NonXtal_SegEnds_BW#'!$A:$Z,23,FALSE)+VLOOKUP($A52,A:AL,34,FALSE)-50),"-",(VLOOKUP($A52,'NonXtal_SegEnds_BW#'!$A:$Z,23,FALSE)+VLOOKUP($A52,A:AL,34,FALSE)-50))</f>
        <v>380</v>
      </c>
      <c r="AH52" s="3">
        <v>399</v>
      </c>
      <c r="AI52" s="3">
        <v>405</v>
      </c>
      <c r="AJ52" s="3">
        <f>IF(ISERROR(VLOOKUP($A52,'NonXtal_SegEnds_BW#'!$A:$Z,25,FALSE)+VLOOKUP($A52,A:AL,37,FALSE)-50),"-",(VLOOKUP($A52,'NonXtal_SegEnds_BW#'!$A:$Z,25,FALSE)+VLOOKUP($A52,A:AL,37,FALSE)-50))</f>
        <v>406</v>
      </c>
      <c r="AK52" s="3">
        <v>409</v>
      </c>
      <c r="AL52" s="3">
        <f>IF(ISERROR((VLOOKUP($A52,'NonXtal_SegEnds_BW#'!$A:$Z,26,FALSE)+VLOOKUP($A52,A:AL,37,FALSE)-50)),"-",(VLOOKUP($A52,'NonXtal_SegEnds_BW#'!$A:$Z,26,FALSE)+VLOOKUP($A52,A:AL,37,FALSE)-50))</f>
        <v>418</v>
      </c>
      <c r="AM52" s="71" t="str">
        <f>VLOOKUP(A52,Classification!A:B,2,FALSE)</f>
        <v>A</v>
      </c>
      <c r="AN52" s="71" t="b">
        <f t="shared" si="2"/>
        <v>1</v>
      </c>
      <c r="AO52" s="3">
        <f t="shared" si="3"/>
        <v>1</v>
      </c>
      <c r="AP52" s="3">
        <f t="shared" si="4"/>
        <v>1</v>
      </c>
      <c r="AQ52" s="3">
        <f t="shared" si="5"/>
        <v>2</v>
      </c>
      <c r="AR52" s="3">
        <f t="shared" si="6"/>
        <v>1</v>
      </c>
      <c r="AS52" s="3">
        <f t="shared" si="7"/>
        <v>1</v>
      </c>
      <c r="AT52" s="3">
        <f t="shared" si="8"/>
        <v>2</v>
      </c>
      <c r="AU52" s="3">
        <f t="shared" si="9"/>
        <v>11</v>
      </c>
      <c r="AV52" s="3">
        <f t="shared" si="10"/>
        <v>3</v>
      </c>
      <c r="AW52" s="3">
        <f t="shared" si="11"/>
        <v>47</v>
      </c>
      <c r="AX52" s="3">
        <f t="shared" si="12"/>
        <v>6</v>
      </c>
      <c r="AY52" s="3">
        <f t="shared" si="13"/>
        <v>1</v>
      </c>
      <c r="AZ52" s="3">
        <f>IF(ISERROR(LEN(VLOOKUP(A52,Seqs!A:E,2,FALSE))-AL52),"-",LEN(VLOOKUP(A52,Seqs!A:E,2,FALSE))-AL52)</f>
        <v>154</v>
      </c>
      <c r="BA52" s="35">
        <f t="shared" si="14"/>
        <v>28</v>
      </c>
      <c r="BB52" s="3">
        <f t="shared" si="15"/>
        <v>20</v>
      </c>
      <c r="BC52" s="3">
        <f t="shared" si="16"/>
        <v>28</v>
      </c>
      <c r="BD52" s="3">
        <f t="shared" si="17"/>
        <v>97</v>
      </c>
    </row>
    <row r="53" spans="1:57" s="3" customFormat="1" x14ac:dyDescent="0.2">
      <c r="A53" s="3" t="s">
        <v>388</v>
      </c>
      <c r="B53" s="3" t="str">
        <f>LOWER(VLOOKUP(A53,Xtal_Templ!A:B,2,FALSE))</f>
        <v>adrb1_melga</v>
      </c>
      <c r="C53" s="3">
        <f>VLOOKUP($A53,'NonXtal_SegEnds_BW#'!$A:$Z,3,FALSE)+D53-50</f>
        <v>32</v>
      </c>
      <c r="D53" s="3">
        <v>58</v>
      </c>
      <c r="E53" s="3">
        <f>IF(ISERROR(VLOOKUP($A53,'NonXtal_SegEnds_BW#'!$A:$Z,4,FALSE)+VLOOKUP($A53,A:AL,4,FALSE)-50),"-",(VLOOKUP($A53,'NonXtal_SegEnds_BW#'!$A:$Z,4,FALSE)+VLOOKUP($A53,A:AL,4,FALSE)-50))</f>
        <v>68</v>
      </c>
      <c r="F53" s="3">
        <f t="shared" si="25"/>
        <v>69</v>
      </c>
      <c r="G53" s="3">
        <v>71</v>
      </c>
      <c r="H53" s="3">
        <f t="shared" si="33"/>
        <v>72</v>
      </c>
      <c r="I53" s="3">
        <f t="shared" si="33"/>
        <v>73</v>
      </c>
      <c r="J53" s="3">
        <v>87</v>
      </c>
      <c r="K53" s="3">
        <f>VLOOKUP($A53,'NonXtal_SegEnds_BW#'!$A:$Z,8,FALSE)+VLOOKUP($A53,A:AL,10,FALSE)-50</f>
        <v>103</v>
      </c>
      <c r="L53" s="3">
        <f t="shared" si="31"/>
        <v>106</v>
      </c>
      <c r="M53" s="3">
        <v>107</v>
      </c>
      <c r="N53" s="3">
        <f t="shared" si="32"/>
        <v>109</v>
      </c>
      <c r="O53" s="3">
        <f t="shared" si="29"/>
        <v>110</v>
      </c>
      <c r="P53" s="3">
        <v>138</v>
      </c>
      <c r="Q53" s="3">
        <f>VLOOKUP($A53,'NonXtal_SegEnds_BW#'!$A:$Z,12,FALSE)+VLOOKUP($A53,A:AL,16,FALSE)-50</f>
        <v>144</v>
      </c>
      <c r="R53" s="3">
        <f>IF(ISERROR(VLOOKUP($A53,'NonXtal_SegEnds_BW#'!$A:$Z,13,FALSE)+VLOOKUP($A53,A:AL,19,FALSE)-50),"-",VLOOKUP($A53,'NonXtal_SegEnds_BW#'!$A:$Z,13,FALSE)+VLOOKUP($A53,A:AL,19,FALSE)-50)</f>
        <v>145</v>
      </c>
      <c r="S53" s="3">
        <v>145</v>
      </c>
      <c r="T53" s="3">
        <f>IF(ISERROR(VLOOKUP($A53,'NonXtal_SegEnds_BW#'!$A:$Z,14,FALSE)+VLOOKUP($A53,A:AL,19,FALSE)-50),"-",(VLOOKUP($A53,'NonXtal_SegEnds_BW#'!$A:$Z,14,FALSE)+VLOOKUP($A53,A:AL,19,FALSE)-50))</f>
        <v>152</v>
      </c>
      <c r="U53" s="3">
        <f>IF(ISERROR(VLOOKUP($A53,'NonXtal_SegEnds_BW#'!$A:$Z,15,FALSE)+VLOOKUP($A53,A:AL,22,FALSE)-50),"-",VLOOKUP($A53,'NonXtal_SegEnds_BW#'!$A:$Z,15,FALSE)+VLOOKUP($A53,A:AL,22,FALSE)-50)</f>
        <v>154</v>
      </c>
      <c r="V53" s="3">
        <v>165</v>
      </c>
      <c r="W53" s="3">
        <f>IF(ISERROR(VLOOKUP($A53,'NonXtal_SegEnds_BW#'!$A:$Z,16,FALSE)+VLOOKUP($A53,A:AL,22,FALSE)-50),"-",(VLOOKUP($A53,'NonXtal_SegEnds_BW#'!$A:$Z,16,FALSE)+VLOOKUP($A53,A:AL,22,FALSE)-50))</f>
        <v>179</v>
      </c>
      <c r="X53" s="3">
        <f>IF(ISERROR(VLOOKUP($A53,'NonXtal_SegEnds_BW#'!$A:$Z,17,FALSE)+VLOOKUP($A53,A:AL,25,FALSE)-50),"-",(VLOOKUP($A53,'NonXtal_SegEnds_BW#'!$A:$Z,17,FALSE)+VLOOKUP($A53,A:AL,25,FALSE)-50))</f>
        <v>217</v>
      </c>
      <c r="Y53" s="3">
        <v>217</v>
      </c>
      <c r="Z53" s="3">
        <f t="shared" si="30"/>
        <v>219</v>
      </c>
      <c r="AA53" s="3">
        <f>IF(ISERROR(VLOOKUP($A53,'NonXtal_SegEnds_BW#'!$A:$Z,19,FALSE)+VLOOKUP($A53,A:AL,28,FALSE)-50),"-",(VLOOKUP($A53,'NonXtal_SegEnds_BW#'!$A:$Z,19,FALSE)+VLOOKUP($A53,A:AL,28,FALSE)-50))</f>
        <v>222</v>
      </c>
      <c r="AB53" s="3">
        <v>237</v>
      </c>
      <c r="AC53" s="3">
        <f>IF(ISERROR((VLOOKUP($A53,'NonXtal_SegEnds_BW#'!$A:$Z,20,FALSE)+VLOOKUP($A53,A:AL,28,FALSE)-50)),"-",(VLOOKUP($A53,'NonXtal_SegEnds_BW#'!$A:$Z,20,FALSE)+VLOOKUP($A53,A:AL,28,FALSE)-50))</f>
        <v>263</v>
      </c>
      <c r="AD53" s="3">
        <f>IF(ISERROR(VLOOKUP($A53,'NonXtal_SegEnds_BW#'!$A:$Z,21,FALSE)+VLOOKUP($A53,A:AL,31,FALSE)-50),"-",(VLOOKUP($A53,'NonXtal_SegEnds_BW#'!$A:$Z,21,FALSE)+VLOOKUP($A53,A:AL,31,FALSE)-50))</f>
        <v>285</v>
      </c>
      <c r="AE53" s="3">
        <v>311</v>
      </c>
      <c r="AF53" s="3">
        <f>IF(ISERROR((VLOOKUP($A53,'NonXtal_SegEnds_BW#'!$A:$Z,22,FALSE)+VLOOKUP($A53,A:AL,31,FALSE)-50)),"-",(VLOOKUP($A53,'NonXtal_SegEnds_BW#'!$A:$Z,22,FALSE)+VLOOKUP($A53,A:AL,31,FALSE)-50))</f>
        <v>325</v>
      </c>
      <c r="AG53" s="3">
        <f>IF(ISERROR(VLOOKUP($A53,'NonXtal_SegEnds_BW#'!$A:$Z,23,FALSE)+VLOOKUP($A53,A:AL,34,FALSE)-50),"-",(VLOOKUP($A53,'NonXtal_SegEnds_BW#'!$A:$Z,23,FALSE)+VLOOKUP($A53,A:AL,34,FALSE)-50))</f>
        <v>330</v>
      </c>
      <c r="AH53" s="3">
        <v>356</v>
      </c>
      <c r="AI53" s="3">
        <v>362</v>
      </c>
      <c r="AJ53" s="3">
        <f>IF(ISERROR(VLOOKUP($A53,'NonXtal_SegEnds_BW#'!$A:$Z,25,FALSE)+VLOOKUP($A53,A:AL,37,FALSE)-50),"-",(VLOOKUP($A53,'NonXtal_SegEnds_BW#'!$A:$Z,25,FALSE)+VLOOKUP($A53,A:AL,37,FALSE)-50))</f>
        <v>363</v>
      </c>
      <c r="AK53" s="3">
        <v>366</v>
      </c>
      <c r="AL53" s="3">
        <f>IF(ISERROR((VLOOKUP($A53,'NonXtal_SegEnds_BW#'!$A:$Z,26,FALSE)+VLOOKUP($A53,A:AL,37,FALSE)-50)),"-",(VLOOKUP($A53,'NonXtal_SegEnds_BW#'!$A:$Z,26,FALSE)+VLOOKUP($A53,A:AL,37,FALSE)-50))</f>
        <v>375</v>
      </c>
      <c r="AM53" s="71" t="str">
        <f>VLOOKUP(A53,Classification!A:B,2,FALSE)</f>
        <v>A</v>
      </c>
      <c r="AN53" s="71" t="b">
        <f t="shared" si="2"/>
        <v>1</v>
      </c>
      <c r="AO53" s="3">
        <f t="shared" si="3"/>
        <v>1</v>
      </c>
      <c r="AP53" s="3">
        <f t="shared" si="4"/>
        <v>1</v>
      </c>
      <c r="AQ53" s="3">
        <f t="shared" si="5"/>
        <v>3</v>
      </c>
      <c r="AR53" s="3">
        <f t="shared" si="6"/>
        <v>1</v>
      </c>
      <c r="AS53" s="3">
        <f t="shared" si="7"/>
        <v>1</v>
      </c>
      <c r="AT53" s="3">
        <f t="shared" si="8"/>
        <v>2</v>
      </c>
      <c r="AU53" s="3">
        <f t="shared" si="9"/>
        <v>38</v>
      </c>
      <c r="AV53" s="3">
        <f t="shared" si="10"/>
        <v>3</v>
      </c>
      <c r="AW53" s="3">
        <f t="shared" si="11"/>
        <v>22</v>
      </c>
      <c r="AX53" s="3">
        <f t="shared" si="12"/>
        <v>5</v>
      </c>
      <c r="AY53" s="3">
        <f t="shared" si="13"/>
        <v>1</v>
      </c>
      <c r="AZ53" s="3">
        <f>IF(ISERROR(LEN(VLOOKUP(A53,Seqs!A:E,2,FALSE))-AL53),"-",LEN(VLOOKUP(A53,Seqs!A:E,2,FALSE))-AL53)</f>
        <v>102</v>
      </c>
      <c r="BA53" s="35">
        <f t="shared" si="14"/>
        <v>29</v>
      </c>
      <c r="BB53" s="3">
        <f t="shared" si="15"/>
        <v>20</v>
      </c>
      <c r="BC53" s="3">
        <f t="shared" si="16"/>
        <v>29</v>
      </c>
      <c r="BD53" s="3">
        <f t="shared" si="17"/>
        <v>74</v>
      </c>
    </row>
    <row r="54" spans="1:57" s="3" customFormat="1" x14ac:dyDescent="0.2">
      <c r="A54" s="3" t="s">
        <v>319</v>
      </c>
      <c r="B54" s="3" t="str">
        <f>LOWER(VLOOKUP(A54,Xtal_Templ!A:B,2,FALSE))</f>
        <v>adrb1_melga</v>
      </c>
      <c r="C54" s="3">
        <f>VLOOKUP($A54,'NonXtal_SegEnds_BW#'!$A:$Z,3,FALSE)+D54-50</f>
        <v>50</v>
      </c>
      <c r="D54" s="3">
        <v>76</v>
      </c>
      <c r="E54" s="3">
        <f>IF(ISERROR(VLOOKUP($A54,'NonXtal_SegEnds_BW#'!$A:$Z,4,FALSE)+VLOOKUP($A54,A:AL,4,FALSE)-50),"-",(VLOOKUP($A54,'NonXtal_SegEnds_BW#'!$A:$Z,4,FALSE)+VLOOKUP($A54,A:AL,4,FALSE)-50))</f>
        <v>86</v>
      </c>
      <c r="F54" s="3">
        <f t="shared" si="25"/>
        <v>87</v>
      </c>
      <c r="G54" s="3">
        <v>89</v>
      </c>
      <c r="H54" s="3">
        <f t="shared" si="33"/>
        <v>90</v>
      </c>
      <c r="I54" s="3">
        <f t="shared" si="33"/>
        <v>91</v>
      </c>
      <c r="J54" s="3">
        <v>104</v>
      </c>
      <c r="K54" s="3">
        <f>VLOOKUP($A54,'NonXtal_SegEnds_BW#'!$A:$Z,8,FALSE)+VLOOKUP($A54,A:AL,10,FALSE)-50</f>
        <v>121</v>
      </c>
      <c r="L54" s="3">
        <f t="shared" si="31"/>
        <v>123</v>
      </c>
      <c r="M54" s="3">
        <v>124</v>
      </c>
      <c r="N54" s="3">
        <f t="shared" si="32"/>
        <v>126</v>
      </c>
      <c r="O54" s="3">
        <f t="shared" si="29"/>
        <v>127</v>
      </c>
      <c r="P54" s="3">
        <v>156</v>
      </c>
      <c r="Q54" s="3">
        <f>VLOOKUP($A54,'NonXtal_SegEnds_BW#'!$A:$Z,12,FALSE)+VLOOKUP($A54,A:AL,16,FALSE)-50</f>
        <v>162</v>
      </c>
      <c r="R54" s="3">
        <f>IF(ISERROR(VLOOKUP($A54,'NonXtal_SegEnds_BW#'!$A:$Z,13,FALSE)+VLOOKUP($A54,A:AL,19,FALSE)-50),"-",VLOOKUP($A54,'NonXtal_SegEnds_BW#'!$A:$Z,13,FALSE)+VLOOKUP($A54,A:AL,19,FALSE)-50)</f>
        <v>163</v>
      </c>
      <c r="S54" s="3">
        <v>163</v>
      </c>
      <c r="T54" s="3">
        <f>IF(ISERROR(VLOOKUP($A54,'NonXtal_SegEnds_BW#'!$A:$Z,14,FALSE)+VLOOKUP($A54,A:AL,19,FALSE)-50),"-",(VLOOKUP($A54,'NonXtal_SegEnds_BW#'!$A:$Z,14,FALSE)+VLOOKUP($A54,A:AL,19,FALSE)-50))</f>
        <v>170</v>
      </c>
      <c r="U54" s="3">
        <f>IF(ISERROR(VLOOKUP($A54,'NonXtal_SegEnds_BW#'!$A:$Z,15,FALSE)+VLOOKUP($A54,A:AL,22,FALSE)-50),"-",VLOOKUP($A54,'NonXtal_SegEnds_BW#'!$A:$Z,15,FALSE)+VLOOKUP($A54,A:AL,22,FALSE)-50)</f>
        <v>172</v>
      </c>
      <c r="V54" s="3">
        <v>183</v>
      </c>
      <c r="W54" s="3">
        <f>IF(ISERROR(VLOOKUP($A54,'NonXtal_SegEnds_BW#'!$A:$Z,16,FALSE)+VLOOKUP($A54,A:AL,22,FALSE)-50),"-",(VLOOKUP($A54,'NonXtal_SegEnds_BW#'!$A:$Z,16,FALSE)+VLOOKUP($A54,A:AL,22,FALSE)-50))</f>
        <v>197</v>
      </c>
      <c r="X54" s="3">
        <f>IF(ISERROR(VLOOKUP($A54,'NonXtal_SegEnds_BW#'!$A:$Z,17,FALSE)+VLOOKUP($A54,A:AL,25,FALSE)-50),"-",(VLOOKUP($A54,'NonXtal_SegEnds_BW#'!$A:$Z,17,FALSE)+VLOOKUP($A54,A:AL,25,FALSE)-50))</f>
        <v>216</v>
      </c>
      <c r="Y54" s="3">
        <v>216</v>
      </c>
      <c r="Z54" s="3">
        <f t="shared" si="30"/>
        <v>218</v>
      </c>
      <c r="AA54" s="3">
        <f>IF(ISERROR(VLOOKUP($A54,'NonXtal_SegEnds_BW#'!$A:$Z,19,FALSE)+VLOOKUP($A54,A:AL,28,FALSE)-50),"-",(VLOOKUP($A54,'NonXtal_SegEnds_BW#'!$A:$Z,19,FALSE)+VLOOKUP($A54,A:AL,28,FALSE)-50))</f>
        <v>221</v>
      </c>
      <c r="AB54" s="3">
        <v>236</v>
      </c>
      <c r="AC54" s="3">
        <f>IF(ISERROR((VLOOKUP($A54,'NonXtal_SegEnds_BW#'!$A:$Z,20,FALSE)+VLOOKUP($A54,A:AL,28,FALSE)-50)),"-",(VLOOKUP($A54,'NonXtal_SegEnds_BW#'!$A:$Z,20,FALSE)+VLOOKUP($A54,A:AL,28,FALSE)-50))</f>
        <v>260</v>
      </c>
      <c r="AD54" s="3">
        <f>IF(ISERROR(VLOOKUP($A54,'NonXtal_SegEnds_BW#'!$A:$Z,21,FALSE)+VLOOKUP($A54,A:AL,31,FALSE)-50),"-",(VLOOKUP($A54,'NonXtal_SegEnds_BW#'!$A:$Z,21,FALSE)+VLOOKUP($A54,A:AL,31,FALSE)-50))</f>
        <v>313</v>
      </c>
      <c r="AE54" s="3">
        <v>339</v>
      </c>
      <c r="AF54" s="3">
        <f>IF(ISERROR((VLOOKUP($A54,'NonXtal_SegEnds_BW#'!$A:$Z,22,FALSE)+VLOOKUP($A54,A:AL,31,FALSE)-50)),"-",(VLOOKUP($A54,'NonXtal_SegEnds_BW#'!$A:$Z,22,FALSE)+VLOOKUP($A54,A:AL,31,FALSE)-50))</f>
        <v>350</v>
      </c>
      <c r="AG54" s="3">
        <f>IF(ISERROR(VLOOKUP($A54,'NonXtal_SegEnds_BW#'!$A:$Z,23,FALSE)+VLOOKUP($A54,A:AL,34,FALSE)-50),"-",(VLOOKUP($A54,'NonXtal_SegEnds_BW#'!$A:$Z,23,FALSE)+VLOOKUP($A54,A:AL,34,FALSE)-50))</f>
        <v>355</v>
      </c>
      <c r="AH54" s="3">
        <v>374</v>
      </c>
      <c r="AI54" s="3">
        <v>379</v>
      </c>
      <c r="AJ54" s="3">
        <f>IF(ISERROR(VLOOKUP($A54,'NonXtal_SegEnds_BW#'!$A:$Z,25,FALSE)+VLOOKUP($A54,A:AL,37,FALSE)-50),"-",(VLOOKUP($A54,'NonXtal_SegEnds_BW#'!$A:$Z,25,FALSE)+VLOOKUP($A54,A:AL,37,FALSE)-50))</f>
        <v>380</v>
      </c>
      <c r="AK54" s="3">
        <v>383</v>
      </c>
      <c r="AL54" s="3">
        <f>IF(ISERROR((VLOOKUP($A54,'NonXtal_SegEnds_BW#'!$A:$Z,26,FALSE)+VLOOKUP($A54,A:AL,37,FALSE)-50)),"-",(VLOOKUP($A54,'NonXtal_SegEnds_BW#'!$A:$Z,26,FALSE)+VLOOKUP($A54,A:AL,37,FALSE)-50))</f>
        <v>392</v>
      </c>
      <c r="AM54" s="71" t="str">
        <f>VLOOKUP(A54,Classification!A:B,2,FALSE)</f>
        <v>A</v>
      </c>
      <c r="AN54" s="71" t="b">
        <f t="shared" si="2"/>
        <v>1</v>
      </c>
      <c r="AO54" s="3">
        <f t="shared" si="3"/>
        <v>1</v>
      </c>
      <c r="AP54" s="3">
        <f t="shared" si="4"/>
        <v>1</v>
      </c>
      <c r="AQ54" s="3">
        <f t="shared" si="5"/>
        <v>2</v>
      </c>
      <c r="AR54" s="3">
        <f t="shared" si="6"/>
        <v>1</v>
      </c>
      <c r="AS54" s="3">
        <f t="shared" si="7"/>
        <v>1</v>
      </c>
      <c r="AT54" s="3">
        <f t="shared" si="8"/>
        <v>2</v>
      </c>
      <c r="AU54" s="3">
        <f t="shared" si="9"/>
        <v>19</v>
      </c>
      <c r="AV54" s="3">
        <f t="shared" si="10"/>
        <v>3</v>
      </c>
      <c r="AW54" s="3">
        <f t="shared" si="11"/>
        <v>53</v>
      </c>
      <c r="AX54" s="3">
        <f t="shared" si="12"/>
        <v>5</v>
      </c>
      <c r="AY54" s="3">
        <f t="shared" si="13"/>
        <v>1</v>
      </c>
      <c r="AZ54" s="3">
        <f>IF(ISERROR(LEN(VLOOKUP(A54,Seqs!A:E,2,FALSE))-AL54),"-",LEN(VLOOKUP(A54,Seqs!A:E,2,FALSE))-AL54)</f>
        <v>85</v>
      </c>
      <c r="BA54" s="35">
        <f t="shared" si="14"/>
        <v>28</v>
      </c>
      <c r="BB54" s="3">
        <f t="shared" si="15"/>
        <v>20</v>
      </c>
      <c r="BC54" s="3">
        <f t="shared" si="16"/>
        <v>28</v>
      </c>
      <c r="BD54" s="3">
        <f t="shared" si="17"/>
        <v>103</v>
      </c>
    </row>
    <row r="55" spans="1:57" s="3" customFormat="1" x14ac:dyDescent="0.2">
      <c r="A55" s="3" t="s">
        <v>1108</v>
      </c>
      <c r="B55" s="3" t="str">
        <f>LOWER(VLOOKUP(A55,Xtal_Templ!A:B,2,FALSE))</f>
        <v>adrb1_melga</v>
      </c>
      <c r="C55" s="3">
        <f>VLOOKUP($A55,'NonXtal_SegEnds_BW#'!$A:$Z,3,FALSE)+D55-50</f>
        <v>33</v>
      </c>
      <c r="D55" s="3">
        <v>59</v>
      </c>
      <c r="E55" s="3">
        <f>IF(ISERROR(VLOOKUP($A55,'NonXtal_SegEnds_BW#'!$A:$Z,4,FALSE)+VLOOKUP($A55,A:AL,4,FALSE)-50),"-",(VLOOKUP($A55,'NonXtal_SegEnds_BW#'!$A:$Z,4,FALSE)+VLOOKUP($A55,A:AL,4,FALSE)-50))</f>
        <v>69</v>
      </c>
      <c r="F55" s="3">
        <f t="shared" si="25"/>
        <v>70</v>
      </c>
      <c r="G55" s="3">
        <v>72</v>
      </c>
      <c r="H55" s="3">
        <f t="shared" si="33"/>
        <v>73</v>
      </c>
      <c r="I55" s="3">
        <f t="shared" si="33"/>
        <v>74</v>
      </c>
      <c r="J55" s="3">
        <v>87</v>
      </c>
      <c r="K55" s="3">
        <f>VLOOKUP($A55,'NonXtal_SegEnds_BW#'!$A:$Z,8,FALSE)+VLOOKUP($A55,A:AL,10,FALSE)-50</f>
        <v>104</v>
      </c>
      <c r="L55" s="3">
        <f>IF(ISERROR(VLOOKUP($A55,'NonXtal_SegEnds_BW#'!$A:$Z,9,FALSE)+VLOOKUP($A55,A:AL,13,FALSE)-50),"-",(VLOOKUP($A55,'NonXtal_SegEnds_BW#'!$A:$Z,9,FALSE)+VLOOKUP($A55,A:AL,13,FALSE)-50))</f>
        <v>106</v>
      </c>
      <c r="M55" s="3">
        <v>107</v>
      </c>
      <c r="N55" s="3">
        <f>IF(ISERROR(VLOOKUP($A55,'NonXtal_SegEnds_BW#'!$A:$Z,10,FALSE)+VLOOKUP($A55,A:AL,13,FALSE)-50),"-",(VLOOKUP($A55,'NonXtal_SegEnds_BW#'!$A:$Z,10,FALSE)+VLOOKUP($A55,A:AL,13,FALSE)-50))</f>
        <v>109</v>
      </c>
      <c r="O55" s="3">
        <f t="shared" si="29"/>
        <v>110</v>
      </c>
      <c r="P55" s="3">
        <v>139</v>
      </c>
      <c r="Q55" s="3">
        <f>VLOOKUP($A55,'NonXtal_SegEnds_BW#'!$A:$Z,12,FALSE)+VLOOKUP($A55,A:AL,16,FALSE)-50</f>
        <v>145</v>
      </c>
      <c r="R55" s="3">
        <f>IF(ISERROR(VLOOKUP($A55,'NonXtal_SegEnds_BW#'!$A:$Z,13,FALSE)+VLOOKUP($A55,A:AL,19,FALSE)-50),"-",VLOOKUP($A55,'NonXtal_SegEnds_BW#'!$A:$Z,13,FALSE)+VLOOKUP($A55,A:AL,19,FALSE)-50)</f>
        <v>146</v>
      </c>
      <c r="S55" s="3">
        <v>146</v>
      </c>
      <c r="T55" s="3">
        <f>IF(ISERROR(VLOOKUP($A55,'NonXtal_SegEnds_BW#'!$A:$Z,14,FALSE)+VLOOKUP($A55,A:AL,19,FALSE)-50),"-",(VLOOKUP($A55,'NonXtal_SegEnds_BW#'!$A:$Z,14,FALSE)+VLOOKUP($A55,A:AL,19,FALSE)-50))</f>
        <v>153</v>
      </c>
      <c r="U55" s="3">
        <f>IF(ISERROR(VLOOKUP($A55,'NonXtal_SegEnds_BW#'!$A:$Z,15,FALSE)+VLOOKUP($A55,A:AL,22,FALSE)-50),"-",VLOOKUP($A55,'NonXtal_SegEnds_BW#'!$A:$Z,15,FALSE)+VLOOKUP($A55,A:AL,22,FALSE)-50)</f>
        <v>155</v>
      </c>
      <c r="V55" s="3">
        <v>166</v>
      </c>
      <c r="W55" s="3">
        <f>IF(ISERROR(VLOOKUP($A55,'NonXtal_SegEnds_BW#'!$A:$Z,16,FALSE)+VLOOKUP($A55,A:AL,22,FALSE)-50),"-",(VLOOKUP($A55,'NonXtal_SegEnds_BW#'!$A:$Z,16,FALSE)+VLOOKUP($A55,A:AL,22,FALSE)-50))</f>
        <v>180</v>
      </c>
      <c r="X55" s="3">
        <f>IF(ISERROR(VLOOKUP($A55,'NonXtal_SegEnds_BW#'!$A:$Z,17,FALSE)+VLOOKUP($A55,A:AL,25,FALSE)-50),"-",(VLOOKUP($A55,'NonXtal_SegEnds_BW#'!$A:$Z,17,FALSE)+VLOOKUP($A55,A:AL,25,FALSE)-50))</f>
        <v>199</v>
      </c>
      <c r="Y55" s="3">
        <v>199</v>
      </c>
      <c r="Z55" s="3">
        <f t="shared" si="30"/>
        <v>201</v>
      </c>
      <c r="AA55" s="3">
        <f>IF(ISERROR(VLOOKUP($A55,'NonXtal_SegEnds_BW#'!$A:$Z,19,FALSE)+VLOOKUP($A55,A:AL,28,FALSE)-50),"-",(VLOOKUP($A55,'NonXtal_SegEnds_BW#'!$A:$Z,19,FALSE)+VLOOKUP($A55,A:AL,28,FALSE)-50))</f>
        <v>204</v>
      </c>
      <c r="AB55" s="3">
        <v>219</v>
      </c>
      <c r="AC55" s="3">
        <f>IF(ISERROR((VLOOKUP($A55,'NonXtal_SegEnds_BW#'!$A:$Z,20,FALSE)+VLOOKUP($A55,A:AL,28,FALSE)-50)),"-",(VLOOKUP($A55,'NonXtal_SegEnds_BW#'!$A:$Z,20,FALSE)+VLOOKUP($A55,A:AL,28,FALSE)-50))</f>
        <v>245</v>
      </c>
      <c r="AD55" s="3">
        <f>IF(ISERROR(VLOOKUP($A55,'NonXtal_SegEnds_BW#'!$A:$Z,21,FALSE)+VLOOKUP($A55,A:AL,31,FALSE)-50),"-",(VLOOKUP($A55,'NonXtal_SegEnds_BW#'!$A:$Z,21,FALSE)+VLOOKUP($A55,A:AL,31,FALSE)-50))</f>
        <v>275</v>
      </c>
      <c r="AE55" s="3">
        <v>305</v>
      </c>
      <c r="AF55" s="3">
        <f>IF(ISERROR((VLOOKUP($A55,'NonXtal_SegEnds_BW#'!$A:$Z,22,FALSE)+VLOOKUP($A55,A:AL,31,FALSE)-50)),"-",(VLOOKUP($A55,'NonXtal_SegEnds_BW#'!$A:$Z,22,FALSE)+VLOOKUP($A55,A:AL,31,FALSE)-50))</f>
        <v>316</v>
      </c>
      <c r="AG55" s="3">
        <f>IF(ISERROR(VLOOKUP($A55,'NonXtal_SegEnds_BW#'!$A:$Z,23,FALSE)+VLOOKUP($A55,A:AL,34,FALSE)-50),"-",(VLOOKUP($A55,'NonXtal_SegEnds_BW#'!$A:$Z,23,FALSE)+VLOOKUP($A55,A:AL,34,FALSE)-50))</f>
        <v>321</v>
      </c>
      <c r="AH55" s="3">
        <v>340</v>
      </c>
      <c r="AI55" s="3">
        <f>IF(ISERROR((VLOOKUP($A55,'NonXtal_SegEnds_BW#'!$A:$Z,24,FALSE)+VLOOKUP($A55,A:AL,34,FALSE)-50)),"-",(VLOOKUP($A55,'NonXtal_SegEnds_BW#'!$A:$Z,24,FALSE)+VLOOKUP($A55,A:AL,34,FALSE)-50))</f>
        <v>345</v>
      </c>
      <c r="AJ55" s="3">
        <f>IF(ISERROR(VLOOKUP($A55,'NonXtal_SegEnds_BW#'!$A:$Z,25,FALSE)+VLOOKUP($A55,A:AL,37,FALSE)-50),"-",(VLOOKUP($A55,'NonXtal_SegEnds_BW#'!$A:$Z,25,FALSE)+VLOOKUP($A55,A:AL,37,FALSE)-50))</f>
        <v>346</v>
      </c>
      <c r="AK55" s="3">
        <v>349</v>
      </c>
      <c r="AL55" s="3">
        <f>IF(ISERROR((VLOOKUP($A55,'NonXtal_SegEnds_BW#'!$A:$Z,26,FALSE)+VLOOKUP($A55,A:AL,37,FALSE)-50)),"-",(VLOOKUP($A55,'NonXtal_SegEnds_BW#'!$A:$Z,26,FALSE)+VLOOKUP($A55,A:AL,37,FALSE)-50))</f>
        <v>358</v>
      </c>
      <c r="AM55" s="71" t="str">
        <f>VLOOKUP(A55,Classification!A:B,2,FALSE)</f>
        <v>A</v>
      </c>
      <c r="AN55" s="71" t="b">
        <f t="shared" si="2"/>
        <v>1</v>
      </c>
      <c r="AO55" s="3">
        <f t="shared" si="3"/>
        <v>1</v>
      </c>
      <c r="AP55" s="3">
        <f t="shared" si="4"/>
        <v>1</v>
      </c>
      <c r="AQ55" s="3">
        <f t="shared" si="5"/>
        <v>2</v>
      </c>
      <c r="AR55" s="3">
        <f t="shared" si="6"/>
        <v>1</v>
      </c>
      <c r="AS55" s="3">
        <f t="shared" si="7"/>
        <v>1</v>
      </c>
      <c r="AT55" s="3">
        <f t="shared" si="8"/>
        <v>2</v>
      </c>
      <c r="AU55" s="3">
        <f t="shared" si="9"/>
        <v>19</v>
      </c>
      <c r="AV55" s="3">
        <f t="shared" si="10"/>
        <v>3</v>
      </c>
      <c r="AW55" s="3">
        <f t="shared" si="11"/>
        <v>30</v>
      </c>
      <c r="AX55" s="3">
        <f t="shared" si="12"/>
        <v>5</v>
      </c>
      <c r="AY55" s="3">
        <f t="shared" si="13"/>
        <v>1</v>
      </c>
      <c r="AZ55" s="3">
        <f>IF(ISERROR(LEN(VLOOKUP(A55,Seqs!A:E,2,FALSE))-AL55),"-",LEN(VLOOKUP(A55,Seqs!A:E,2,FALSE))-AL55)</f>
        <v>125</v>
      </c>
      <c r="BA55" s="35">
        <f t="shared" si="14"/>
        <v>28</v>
      </c>
      <c r="BB55" s="3">
        <f t="shared" si="15"/>
        <v>20</v>
      </c>
      <c r="BC55" s="3">
        <f t="shared" si="16"/>
        <v>28</v>
      </c>
      <c r="BD55" s="3">
        <f t="shared" si="17"/>
        <v>86</v>
      </c>
    </row>
    <row r="56" spans="1:57" s="3" customFormat="1" x14ac:dyDescent="0.2">
      <c r="A56" s="3" t="s">
        <v>296</v>
      </c>
      <c r="B56" s="3" t="str">
        <f>LOWER(VLOOKUP(A56,Xtal_Templ!A:B,2,FALSE))</f>
        <v>adrb1_melga</v>
      </c>
      <c r="C56" s="3">
        <f>VLOOKUP($A56,'NonXtal_SegEnds_BW#'!$A:$Z,3,FALSE)+D56-50</f>
        <v>29</v>
      </c>
      <c r="D56" s="3">
        <v>55</v>
      </c>
      <c r="E56" s="3">
        <f>IF(ISERROR(VLOOKUP($A56,'NonXtal_SegEnds_BW#'!$A:$Z,4,FALSE)+VLOOKUP($A56,A:AL,4,FALSE)-50),"-",(VLOOKUP($A56,'NonXtal_SegEnds_BW#'!$A:$Z,4,FALSE)+VLOOKUP($A56,A:AL,4,FALSE)-50))</f>
        <v>65</v>
      </c>
      <c r="F56" s="3">
        <f t="shared" si="25"/>
        <v>66</v>
      </c>
      <c r="G56" s="3">
        <v>68</v>
      </c>
      <c r="H56" s="3">
        <f t="shared" si="33"/>
        <v>69</v>
      </c>
      <c r="I56" s="3">
        <f t="shared" si="33"/>
        <v>70</v>
      </c>
      <c r="J56" s="3">
        <v>83</v>
      </c>
      <c r="K56" s="3">
        <f>VLOOKUP($A56,'NonXtal_SegEnds_BW#'!$A:$Z,8,FALSE)+VLOOKUP($A56,A:AL,10,FALSE)-50</f>
        <v>100</v>
      </c>
      <c r="L56" s="3">
        <f t="shared" ref="L56:L65" si="34">M56-1</f>
        <v>102</v>
      </c>
      <c r="M56" s="3">
        <v>103</v>
      </c>
      <c r="N56" s="3">
        <f t="shared" ref="N56:N65" si="35">M56+2</f>
        <v>105</v>
      </c>
      <c r="O56" s="3">
        <f t="shared" si="29"/>
        <v>106</v>
      </c>
      <c r="P56" s="3">
        <v>135</v>
      </c>
      <c r="Q56" s="3">
        <f>VLOOKUP($A56,'NonXtal_SegEnds_BW#'!$A:$Z,12,FALSE)+VLOOKUP($A56,A:AL,16,FALSE)-50</f>
        <v>141</v>
      </c>
      <c r="R56" s="3">
        <f>IF(ISERROR(VLOOKUP($A56,'NonXtal_SegEnds_BW#'!$A:$Z,13,FALSE)+VLOOKUP($A56,A:AL,19,FALSE)-50),"-",VLOOKUP($A56,'NonXtal_SegEnds_BW#'!$A:$Z,13,FALSE)+VLOOKUP($A56,A:AL,19,FALSE)-50)</f>
        <v>142</v>
      </c>
      <c r="S56" s="3">
        <v>142</v>
      </c>
      <c r="T56" s="3">
        <f>IF(ISERROR(VLOOKUP($A56,'NonXtal_SegEnds_BW#'!$A:$Z,14,FALSE)+VLOOKUP($A56,A:AL,19,FALSE)-50),"-",(VLOOKUP($A56,'NonXtal_SegEnds_BW#'!$A:$Z,14,FALSE)+VLOOKUP($A56,A:AL,19,FALSE)-50))</f>
        <v>149</v>
      </c>
      <c r="U56" s="3">
        <f>IF(ISERROR(VLOOKUP($A56,'NonXtal_SegEnds_BW#'!$A:$Z,15,FALSE)+VLOOKUP($A56,A:AL,22,FALSE)-50),"-",VLOOKUP($A56,'NonXtal_SegEnds_BW#'!$A:$Z,15,FALSE)+VLOOKUP($A56,A:AL,22,FALSE)-50)</f>
        <v>151</v>
      </c>
      <c r="V56" s="3">
        <v>162</v>
      </c>
      <c r="W56" s="3">
        <f>IF(ISERROR(VLOOKUP($A56,'NonXtal_SegEnds_BW#'!$A:$Z,16,FALSE)+VLOOKUP($A56,A:AL,22,FALSE)-50),"-",(VLOOKUP($A56,'NonXtal_SegEnds_BW#'!$A:$Z,16,FALSE)+VLOOKUP($A56,A:AL,22,FALSE)-50))</f>
        <v>176</v>
      </c>
      <c r="X56" s="3">
        <f>IF(ISERROR(VLOOKUP($A56,'NonXtal_SegEnds_BW#'!$A:$Z,17,FALSE)+VLOOKUP($A56,A:AL,25,FALSE)-50),"-",(VLOOKUP($A56,'NonXtal_SegEnds_BW#'!$A:$Z,17,FALSE)+VLOOKUP($A56,A:AL,25,FALSE)-50))</f>
        <v>196</v>
      </c>
      <c r="Y56" s="3">
        <v>196</v>
      </c>
      <c r="Z56" s="3">
        <f t="shared" si="30"/>
        <v>198</v>
      </c>
      <c r="AA56" s="3">
        <f>IF(ISERROR(VLOOKUP($A56,'NonXtal_SegEnds_BW#'!$A:$Z,19,FALSE)+VLOOKUP($A56,A:AL,28,FALSE)-50),"-",(VLOOKUP($A56,'NonXtal_SegEnds_BW#'!$A:$Z,19,FALSE)+VLOOKUP($A56,A:AL,28,FALSE)-50))</f>
        <v>201</v>
      </c>
      <c r="AB56" s="3">
        <v>216</v>
      </c>
      <c r="AC56" s="3">
        <f>IF(ISERROR((VLOOKUP($A56,'NonXtal_SegEnds_BW#'!$A:$Z,20,FALSE)+VLOOKUP($A56,A:AL,28,FALSE)-50)),"-",(VLOOKUP($A56,'NonXtal_SegEnds_BW#'!$A:$Z,20,FALSE)+VLOOKUP($A56,A:AL,28,FALSE)-50))</f>
        <v>242</v>
      </c>
      <c r="AD56" s="3">
        <f>IF(ISERROR(VLOOKUP($A56,'NonXtal_SegEnds_BW#'!$A:$Z,21,FALSE)+VLOOKUP($A56,A:AL,31,FALSE)-50),"-",(VLOOKUP($A56,'NonXtal_SegEnds_BW#'!$A:$Z,21,FALSE)+VLOOKUP($A56,A:AL,31,FALSE)-50))</f>
        <v>281</v>
      </c>
      <c r="AE56" s="3">
        <v>307</v>
      </c>
      <c r="AF56" s="3">
        <f>IF(ISERROR((VLOOKUP($A56,'NonXtal_SegEnds_BW#'!$A:$Z,22,FALSE)+VLOOKUP($A56,A:AL,31,FALSE)-50)),"-",(VLOOKUP($A56,'NonXtal_SegEnds_BW#'!$A:$Z,22,FALSE)+VLOOKUP($A56,A:AL,31,FALSE)-50))</f>
        <v>318</v>
      </c>
      <c r="AG56" s="3">
        <f>IF(ISERROR(VLOOKUP($A56,'NonXtal_SegEnds_BW#'!$A:$Z,23,FALSE)+VLOOKUP($A56,A:AL,34,FALSE)-50),"-",(VLOOKUP($A56,'NonXtal_SegEnds_BW#'!$A:$Z,23,FALSE)+VLOOKUP($A56,A:AL,34,FALSE)-50))</f>
        <v>324</v>
      </c>
      <c r="AH56" s="3">
        <v>343</v>
      </c>
      <c r="AI56" s="3">
        <v>348</v>
      </c>
      <c r="AJ56" s="3">
        <f>IF(ISERROR(VLOOKUP($A56,'NonXtal_SegEnds_BW#'!$A:$Z,25,FALSE)+VLOOKUP($A56,A:AL,37,FALSE)-50),"-",(VLOOKUP($A56,'NonXtal_SegEnds_BW#'!$A:$Z,25,FALSE)+VLOOKUP($A56,A:AL,37,FALSE)-50))</f>
        <v>349</v>
      </c>
      <c r="AK56" s="3">
        <v>352</v>
      </c>
      <c r="AL56" s="3">
        <f>IF(ISERROR((VLOOKUP($A56,'NonXtal_SegEnds_BW#'!$A:$Z,26,FALSE)+VLOOKUP($A56,A:AL,37,FALSE)-50)),"-",(VLOOKUP($A56,'NonXtal_SegEnds_BW#'!$A:$Z,26,FALSE)+VLOOKUP($A56,A:AL,37,FALSE)-50))</f>
        <v>361</v>
      </c>
      <c r="AM56" s="71" t="str">
        <f>VLOOKUP(A56,Classification!A:B,2,FALSE)</f>
        <v>A</v>
      </c>
      <c r="AN56" s="71" t="b">
        <f t="shared" si="2"/>
        <v>1</v>
      </c>
      <c r="AO56" s="3">
        <f t="shared" si="3"/>
        <v>1</v>
      </c>
      <c r="AP56" s="3">
        <f t="shared" si="4"/>
        <v>1</v>
      </c>
      <c r="AQ56" s="3">
        <f t="shared" si="5"/>
        <v>2</v>
      </c>
      <c r="AR56" s="3">
        <f t="shared" si="6"/>
        <v>1</v>
      </c>
      <c r="AS56" s="3">
        <f t="shared" si="7"/>
        <v>1</v>
      </c>
      <c r="AT56" s="3">
        <f t="shared" si="8"/>
        <v>2</v>
      </c>
      <c r="AU56" s="3">
        <f t="shared" si="9"/>
        <v>20</v>
      </c>
      <c r="AV56" s="3">
        <f t="shared" si="10"/>
        <v>3</v>
      </c>
      <c r="AW56" s="3">
        <f t="shared" si="11"/>
        <v>39</v>
      </c>
      <c r="AX56" s="3">
        <f t="shared" si="12"/>
        <v>6</v>
      </c>
      <c r="AY56" s="3">
        <f t="shared" si="13"/>
        <v>1</v>
      </c>
      <c r="AZ56" s="3">
        <f>IF(ISERROR(LEN(VLOOKUP(A56,Seqs!A:E,2,FALSE))-AL56),"-",LEN(VLOOKUP(A56,Seqs!A:E,2,FALSE))-AL56)</f>
        <v>47</v>
      </c>
      <c r="BA56" s="35">
        <f t="shared" si="14"/>
        <v>28</v>
      </c>
      <c r="BB56" s="3">
        <f t="shared" si="15"/>
        <v>20</v>
      </c>
      <c r="BC56" s="3">
        <f t="shared" si="16"/>
        <v>28</v>
      </c>
      <c r="BD56" s="3">
        <f t="shared" si="17"/>
        <v>91</v>
      </c>
    </row>
    <row r="57" spans="1:57" s="3" customFormat="1" x14ac:dyDescent="0.2">
      <c r="A57" s="3" t="s">
        <v>347</v>
      </c>
      <c r="B57" s="3" t="str">
        <f>LOWER(VLOOKUP(A57,Xtal_Templ!A:B,2,FALSE))</f>
        <v>adrb1_melga</v>
      </c>
      <c r="C57" s="3">
        <f>VLOOKUP($A57,'NonXtal_SegEnds_BW#'!$A:$Z,3,FALSE)+D57-50</f>
        <v>37</v>
      </c>
      <c r="D57" s="3">
        <v>63</v>
      </c>
      <c r="E57" s="3">
        <f>IF(ISERROR(VLOOKUP($A57,'NonXtal_SegEnds_BW#'!$A:$Z,4,FALSE)+VLOOKUP($A57,A:AL,4,FALSE)-50),"-",(VLOOKUP($A57,'NonXtal_SegEnds_BW#'!$A:$Z,4,FALSE)+VLOOKUP($A57,A:AL,4,FALSE)-50))</f>
        <v>73</v>
      </c>
      <c r="F57" s="3">
        <f t="shared" si="25"/>
        <v>74</v>
      </c>
      <c r="G57" s="3">
        <v>76</v>
      </c>
      <c r="H57" s="3">
        <f t="shared" si="33"/>
        <v>77</v>
      </c>
      <c r="I57" s="3">
        <f t="shared" si="33"/>
        <v>78</v>
      </c>
      <c r="J57" s="3">
        <v>91</v>
      </c>
      <c r="K57" s="3">
        <f>VLOOKUP($A57,'NonXtal_SegEnds_BW#'!$A:$Z,8,FALSE)+VLOOKUP($A57,A:AL,10,FALSE)-50</f>
        <v>108</v>
      </c>
      <c r="L57" s="3">
        <f t="shared" si="34"/>
        <v>110</v>
      </c>
      <c r="M57" s="3">
        <v>111</v>
      </c>
      <c r="N57" s="3">
        <f t="shared" si="35"/>
        <v>113</v>
      </c>
      <c r="O57" s="3">
        <f t="shared" si="29"/>
        <v>114</v>
      </c>
      <c r="P57" s="3">
        <v>143</v>
      </c>
      <c r="Q57" s="3">
        <f>VLOOKUP($A57,'NonXtal_SegEnds_BW#'!$A:$Z,12,FALSE)+VLOOKUP($A57,A:AL,16,FALSE)-50</f>
        <v>149</v>
      </c>
      <c r="R57" s="3">
        <f>IF(ISERROR(VLOOKUP($A57,'NonXtal_SegEnds_BW#'!$A:$Z,13,FALSE)+VLOOKUP($A57,A:AL,19,FALSE)-50),"-",VLOOKUP($A57,'NonXtal_SegEnds_BW#'!$A:$Z,13,FALSE)+VLOOKUP($A57,A:AL,19,FALSE)-50)</f>
        <v>150</v>
      </c>
      <c r="S57" s="3">
        <v>150</v>
      </c>
      <c r="T57" s="3">
        <f>IF(ISERROR(VLOOKUP($A57,'NonXtal_SegEnds_BW#'!$A:$Z,14,FALSE)+VLOOKUP($A57,A:AL,19,FALSE)-50),"-",(VLOOKUP($A57,'NonXtal_SegEnds_BW#'!$A:$Z,14,FALSE)+VLOOKUP($A57,A:AL,19,FALSE)-50))</f>
        <v>157</v>
      </c>
      <c r="U57" s="3">
        <f>IF(ISERROR(VLOOKUP($A57,'NonXtal_SegEnds_BW#'!$A:$Z,15,FALSE)+VLOOKUP($A57,A:AL,22,FALSE)-50),"-",VLOOKUP($A57,'NonXtal_SegEnds_BW#'!$A:$Z,15,FALSE)+VLOOKUP($A57,A:AL,22,FALSE)-50)</f>
        <v>159</v>
      </c>
      <c r="V57" s="3">
        <v>170</v>
      </c>
      <c r="W57" s="3">
        <f>IF(ISERROR(VLOOKUP($A57,'NonXtal_SegEnds_BW#'!$A:$Z,16,FALSE)+VLOOKUP($A57,A:AL,22,FALSE)-50),"-",(VLOOKUP($A57,'NonXtal_SegEnds_BW#'!$A:$Z,16,FALSE)+VLOOKUP($A57,A:AL,22,FALSE)-50))</f>
        <v>184</v>
      </c>
      <c r="X57" s="3">
        <f>IF(ISERROR(VLOOKUP($A57,'NonXtal_SegEnds_BW#'!$A:$Z,17,FALSE)+VLOOKUP($A57,A:AL,25,FALSE)-50),"-",(VLOOKUP($A57,'NonXtal_SegEnds_BW#'!$A:$Z,17,FALSE)+VLOOKUP($A57,A:AL,25,FALSE)-50))</f>
        <v>195</v>
      </c>
      <c r="Y57" s="3">
        <v>195</v>
      </c>
      <c r="Z57" s="3">
        <f t="shared" si="30"/>
        <v>197</v>
      </c>
      <c r="AA57" s="3">
        <f>IF(ISERROR(VLOOKUP($A57,'NonXtal_SegEnds_BW#'!$A:$Z,19,FALSE)+VLOOKUP($A57,A:AL,28,FALSE)-50),"-",(VLOOKUP($A57,'NonXtal_SegEnds_BW#'!$A:$Z,19,FALSE)+VLOOKUP($A57,A:AL,28,FALSE)-50))</f>
        <v>200</v>
      </c>
      <c r="AB57" s="3">
        <v>215</v>
      </c>
      <c r="AC57" s="3">
        <f>IF(ISERROR((VLOOKUP($A57,'NonXtal_SegEnds_BW#'!$A:$Z,20,FALSE)+VLOOKUP($A57,A:AL,28,FALSE)-50)),"-",(VLOOKUP($A57,'NonXtal_SegEnds_BW#'!$A:$Z,20,FALSE)+VLOOKUP($A57,A:AL,28,FALSE)-50))</f>
        <v>239</v>
      </c>
      <c r="AD57" s="3">
        <f>IF(ISERROR(VLOOKUP($A57,'NonXtal_SegEnds_BW#'!$A:$Z,21,FALSE)+VLOOKUP($A57,A:AL,31,FALSE)-50),"-",(VLOOKUP($A57,'NonXtal_SegEnds_BW#'!$A:$Z,21,FALSE)+VLOOKUP($A57,A:AL,31,FALSE)-50))</f>
        <v>283</v>
      </c>
      <c r="AE57" s="3">
        <v>309</v>
      </c>
      <c r="AF57" s="3">
        <f>IF(ISERROR((VLOOKUP($A57,'NonXtal_SegEnds_BW#'!$A:$Z,22,FALSE)+VLOOKUP($A57,A:AL,31,FALSE)-50)),"-",(VLOOKUP($A57,'NonXtal_SegEnds_BW#'!$A:$Z,22,FALSE)+VLOOKUP($A57,A:AL,31,FALSE)-50))</f>
        <v>320</v>
      </c>
      <c r="AG57" s="3">
        <f>IF(ISERROR(VLOOKUP($A57,'NonXtal_SegEnds_BW#'!$A:$Z,23,FALSE)+VLOOKUP($A57,A:AL,34,FALSE)-50),"-",(VLOOKUP($A57,'NonXtal_SegEnds_BW#'!$A:$Z,23,FALSE)+VLOOKUP($A57,A:AL,34,FALSE)-50))</f>
        <v>326</v>
      </c>
      <c r="AH57" s="3">
        <v>345</v>
      </c>
      <c r="AI57" s="3">
        <v>351</v>
      </c>
      <c r="AJ57" s="3">
        <f>IF(ISERROR(VLOOKUP($A57,'NonXtal_SegEnds_BW#'!$A:$Z,25,FALSE)+VLOOKUP($A57,A:AL,37,FALSE)-50),"-",(VLOOKUP($A57,'NonXtal_SegEnds_BW#'!$A:$Z,25,FALSE)+VLOOKUP($A57,A:AL,37,FALSE)-50))</f>
        <v>352</v>
      </c>
      <c r="AK57" s="3">
        <v>355</v>
      </c>
      <c r="AL57" s="3">
        <f>IF(ISERROR((VLOOKUP($A57,'NonXtal_SegEnds_BW#'!$A:$Z,26,FALSE)+VLOOKUP($A57,A:AL,37,FALSE)-50)),"-",(VLOOKUP($A57,'NonXtal_SegEnds_BW#'!$A:$Z,26,FALSE)+VLOOKUP($A57,A:AL,37,FALSE)-50))</f>
        <v>364</v>
      </c>
      <c r="AM57" s="71" t="str">
        <f>VLOOKUP(A57,Classification!A:B,2,FALSE)</f>
        <v>A</v>
      </c>
      <c r="AN57" s="71" t="b">
        <f t="shared" si="2"/>
        <v>1</v>
      </c>
      <c r="AO57" s="3">
        <f t="shared" si="3"/>
        <v>1</v>
      </c>
      <c r="AP57" s="3">
        <f t="shared" si="4"/>
        <v>1</v>
      </c>
      <c r="AQ57" s="3">
        <f t="shared" si="5"/>
        <v>2</v>
      </c>
      <c r="AR57" s="3">
        <f t="shared" si="6"/>
        <v>1</v>
      </c>
      <c r="AS57" s="3">
        <f t="shared" si="7"/>
        <v>1</v>
      </c>
      <c r="AT57" s="3">
        <f t="shared" si="8"/>
        <v>2</v>
      </c>
      <c r="AU57" s="3">
        <f t="shared" si="9"/>
        <v>11</v>
      </c>
      <c r="AV57" s="3">
        <f t="shared" si="10"/>
        <v>3</v>
      </c>
      <c r="AW57" s="3">
        <f t="shared" si="11"/>
        <v>44</v>
      </c>
      <c r="AX57" s="3">
        <f t="shared" si="12"/>
        <v>6</v>
      </c>
      <c r="AY57" s="3">
        <f t="shared" si="13"/>
        <v>1</v>
      </c>
      <c r="AZ57" s="3">
        <f>IF(ISERROR(LEN(VLOOKUP(A57,Seqs!A:E,2,FALSE))-AL57),"-",LEN(VLOOKUP(A57,Seqs!A:E,2,FALSE))-AL57)</f>
        <v>156</v>
      </c>
      <c r="BA57" s="35">
        <f t="shared" si="14"/>
        <v>28</v>
      </c>
      <c r="BB57" s="3">
        <f t="shared" si="15"/>
        <v>20</v>
      </c>
      <c r="BC57" s="3">
        <f t="shared" si="16"/>
        <v>28</v>
      </c>
      <c r="BD57" s="3">
        <f t="shared" si="17"/>
        <v>94</v>
      </c>
    </row>
    <row r="58" spans="1:57" s="3" customFormat="1" x14ac:dyDescent="0.2">
      <c r="A58" s="3" t="s">
        <v>384</v>
      </c>
      <c r="B58" s="3" t="str">
        <f>LOWER(VLOOKUP(A58,Xtal_Templ!A:B,2,FALSE))</f>
        <v>adrb1_melga</v>
      </c>
      <c r="C58" s="3">
        <f>VLOOKUP($A58,'NonXtal_SegEnds_BW#'!$A:$Z,3,FALSE)+D58-50</f>
        <v>15</v>
      </c>
      <c r="D58" s="3">
        <v>41</v>
      </c>
      <c r="E58" s="3">
        <f>IF(ISERROR(VLOOKUP($A58,'NonXtal_SegEnds_BW#'!$A:$Z,4,FALSE)+VLOOKUP($A58,A:AL,4,FALSE)-50),"-",(VLOOKUP($A58,'NonXtal_SegEnds_BW#'!$A:$Z,4,FALSE)+VLOOKUP($A58,A:AL,4,FALSE)-50))</f>
        <v>51</v>
      </c>
      <c r="F58" s="3">
        <f t="shared" si="25"/>
        <v>52</v>
      </c>
      <c r="G58" s="3">
        <v>54</v>
      </c>
      <c r="H58" s="3">
        <f t="shared" si="33"/>
        <v>55</v>
      </c>
      <c r="I58" s="3">
        <f t="shared" si="33"/>
        <v>56</v>
      </c>
      <c r="J58" s="3">
        <v>70</v>
      </c>
      <c r="K58" s="3">
        <f>VLOOKUP($A58,'NonXtal_SegEnds_BW#'!$A:$Z,8,FALSE)+VLOOKUP($A58,A:AL,10,FALSE)-50</f>
        <v>86</v>
      </c>
      <c r="L58" s="3">
        <f t="shared" si="34"/>
        <v>89</v>
      </c>
      <c r="M58" s="3">
        <v>90</v>
      </c>
      <c r="N58" s="3">
        <f t="shared" si="35"/>
        <v>92</v>
      </c>
      <c r="O58" s="3">
        <f t="shared" si="29"/>
        <v>93</v>
      </c>
      <c r="P58" s="3">
        <v>121</v>
      </c>
      <c r="Q58" s="3">
        <f>VLOOKUP($A58,'NonXtal_SegEnds_BW#'!$A:$Z,12,FALSE)+VLOOKUP($A58,A:AL,16,FALSE)-50</f>
        <v>127</v>
      </c>
      <c r="R58" s="3">
        <f>IF(ISERROR(VLOOKUP($A58,'NonXtal_SegEnds_BW#'!$A:$Z,13,FALSE)+VLOOKUP($A58,A:AL,19,FALSE)-50),"-",VLOOKUP($A58,'NonXtal_SegEnds_BW#'!$A:$Z,13,FALSE)+VLOOKUP($A58,A:AL,19,FALSE)-50)</f>
        <v>128</v>
      </c>
      <c r="S58" s="3">
        <v>128</v>
      </c>
      <c r="T58" s="3">
        <f>IF(ISERROR(VLOOKUP($A58,'NonXtal_SegEnds_BW#'!$A:$Z,14,FALSE)+VLOOKUP($A58,A:AL,19,FALSE)-50),"-",(VLOOKUP($A58,'NonXtal_SegEnds_BW#'!$A:$Z,14,FALSE)+VLOOKUP($A58,A:AL,19,FALSE)-50))</f>
        <v>135</v>
      </c>
      <c r="U58" s="3">
        <f>IF(ISERROR(VLOOKUP($A58,'NonXtal_SegEnds_BW#'!$A:$Z,15,FALSE)+VLOOKUP($A58,A:AL,22,FALSE)-50),"-",VLOOKUP($A58,'NonXtal_SegEnds_BW#'!$A:$Z,15,FALSE)+VLOOKUP($A58,A:AL,22,FALSE)-50)</f>
        <v>137</v>
      </c>
      <c r="V58" s="3">
        <v>148</v>
      </c>
      <c r="W58" s="3">
        <f>IF(ISERROR(VLOOKUP($A58,'NonXtal_SegEnds_BW#'!$A:$Z,16,FALSE)+VLOOKUP($A58,A:AL,22,FALSE)-50),"-",(VLOOKUP($A58,'NonXtal_SegEnds_BW#'!$A:$Z,16,FALSE)+VLOOKUP($A58,A:AL,22,FALSE)-50))</f>
        <v>162</v>
      </c>
      <c r="X58" s="3">
        <f>IF(ISERROR(VLOOKUP($A58,'NonXtal_SegEnds_BW#'!$A:$Z,17,FALSE)+VLOOKUP($A58,A:AL,25,FALSE)-50),"-",(VLOOKUP($A58,'NonXtal_SegEnds_BW#'!$A:$Z,17,FALSE)+VLOOKUP($A58,A:AL,25,FALSE)-50))</f>
        <v>186</v>
      </c>
      <c r="Y58" s="3">
        <v>186</v>
      </c>
      <c r="Z58" s="3">
        <f t="shared" si="30"/>
        <v>188</v>
      </c>
      <c r="AA58" s="3">
        <f>IF(ISERROR(VLOOKUP($A58,'NonXtal_SegEnds_BW#'!$A:$Z,19,FALSE)+VLOOKUP($A58,A:AL,28,FALSE)-50),"-",(VLOOKUP($A58,'NonXtal_SegEnds_BW#'!$A:$Z,19,FALSE)+VLOOKUP($A58,A:AL,28,FALSE)-50))</f>
        <v>191</v>
      </c>
      <c r="AB58" s="3">
        <v>206</v>
      </c>
      <c r="AC58" s="3">
        <f>IF(ISERROR((VLOOKUP($A58,'NonXtal_SegEnds_BW#'!$A:$Z,20,FALSE)+VLOOKUP($A58,A:AL,28,FALSE)-50)),"-",(VLOOKUP($A58,'NonXtal_SegEnds_BW#'!$A:$Z,20,FALSE)+VLOOKUP($A58,A:AL,28,FALSE)-50))</f>
        <v>232</v>
      </c>
      <c r="AD58" s="3">
        <f>IF(ISERROR(VLOOKUP($A58,'NonXtal_SegEnds_BW#'!$A:$Z,21,FALSE)+VLOOKUP($A58,A:AL,31,FALSE)-50),"-",(VLOOKUP($A58,'NonXtal_SegEnds_BW#'!$A:$Z,21,FALSE)+VLOOKUP($A58,A:AL,31,FALSE)-50))</f>
        <v>261</v>
      </c>
      <c r="AE58" s="3">
        <v>287</v>
      </c>
      <c r="AF58" s="3">
        <f>IF(ISERROR((VLOOKUP($A58,'NonXtal_SegEnds_BW#'!$A:$Z,22,FALSE)+VLOOKUP($A58,A:AL,31,FALSE)-50)),"-",(VLOOKUP($A58,'NonXtal_SegEnds_BW#'!$A:$Z,22,FALSE)+VLOOKUP($A58,A:AL,31,FALSE)-50))</f>
        <v>298</v>
      </c>
      <c r="AG58" s="3">
        <f>IF(ISERROR(VLOOKUP($A58,'NonXtal_SegEnds_BW#'!$A:$Z,23,FALSE)+VLOOKUP($A58,A:AL,34,FALSE)-50),"-",(VLOOKUP($A58,'NonXtal_SegEnds_BW#'!$A:$Z,23,FALSE)+VLOOKUP($A58,A:AL,34,FALSE)-50))</f>
        <v>306</v>
      </c>
      <c r="AH58" s="3">
        <v>328</v>
      </c>
      <c r="AI58" s="3">
        <v>334</v>
      </c>
      <c r="AJ58" s="3">
        <f>IF(ISERROR(VLOOKUP($A58,'NonXtal_SegEnds_BW#'!$A:$Z,25,FALSE)+VLOOKUP($A58,A:AL,37,FALSE)-50),"-",(VLOOKUP($A58,'NonXtal_SegEnds_BW#'!$A:$Z,25,FALSE)+VLOOKUP($A58,A:AL,37,FALSE)-50))</f>
        <v>335</v>
      </c>
      <c r="AK58" s="3">
        <v>338</v>
      </c>
      <c r="AL58" s="3">
        <f>IF(ISERROR((VLOOKUP($A58,'NonXtal_SegEnds_BW#'!$A:$Z,26,FALSE)+VLOOKUP($A58,A:AL,37,FALSE)-50)),"-",(VLOOKUP($A58,'NonXtal_SegEnds_BW#'!$A:$Z,26,FALSE)+VLOOKUP($A58,A:AL,37,FALSE)-50))</f>
        <v>347</v>
      </c>
      <c r="AM58" s="71" t="str">
        <f>VLOOKUP(A58,Classification!A:B,2,FALSE)</f>
        <v>A</v>
      </c>
      <c r="AN58" s="71" t="b">
        <f t="shared" si="2"/>
        <v>1</v>
      </c>
      <c r="AO58" s="3">
        <f t="shared" si="3"/>
        <v>1</v>
      </c>
      <c r="AP58" s="3">
        <f t="shared" si="4"/>
        <v>1</v>
      </c>
      <c r="AQ58" s="3">
        <f t="shared" si="5"/>
        <v>3</v>
      </c>
      <c r="AR58" s="3">
        <f t="shared" si="6"/>
        <v>1</v>
      </c>
      <c r="AS58" s="3">
        <f t="shared" si="7"/>
        <v>1</v>
      </c>
      <c r="AT58" s="3">
        <f t="shared" si="8"/>
        <v>2</v>
      </c>
      <c r="AU58" s="3">
        <f t="shared" si="9"/>
        <v>24</v>
      </c>
      <c r="AV58" s="3">
        <f t="shared" si="10"/>
        <v>3</v>
      </c>
      <c r="AW58" s="3">
        <f t="shared" si="11"/>
        <v>29</v>
      </c>
      <c r="AX58" s="3">
        <f t="shared" si="12"/>
        <v>8</v>
      </c>
      <c r="AY58" s="3">
        <f t="shared" si="13"/>
        <v>1</v>
      </c>
      <c r="AZ58" s="3">
        <f>IF(ISERROR(LEN(VLOOKUP(A58,Seqs!A:E,2,FALSE))-AL58),"-",LEN(VLOOKUP(A58,Seqs!A:E,2,FALSE))-AL58)</f>
        <v>99</v>
      </c>
      <c r="BA58" s="35">
        <f t="shared" si="14"/>
        <v>29</v>
      </c>
      <c r="BB58" s="3">
        <f t="shared" si="15"/>
        <v>20</v>
      </c>
      <c r="BC58" s="3">
        <f t="shared" si="16"/>
        <v>29</v>
      </c>
      <c r="BD58" s="3">
        <f t="shared" si="17"/>
        <v>81</v>
      </c>
    </row>
    <row r="59" spans="1:57" s="3" customFormat="1" x14ac:dyDescent="0.2">
      <c r="A59" s="3" t="s">
        <v>328</v>
      </c>
      <c r="B59" s="3" t="str">
        <f>LOWER(VLOOKUP(A59,Xtal_Templ!A:B,2,FALSE))</f>
        <v>adrb1_melga</v>
      </c>
      <c r="C59" s="3">
        <f>VLOOKUP($A59,'NonXtal_SegEnds_BW#'!$A:$Z,3,FALSE)+D59-50</f>
        <v>11</v>
      </c>
      <c r="D59" s="3">
        <v>37</v>
      </c>
      <c r="E59" s="3">
        <f>IF(ISERROR(VLOOKUP($A59,'NonXtal_SegEnds_BW#'!$A:$Z,4,FALSE)+VLOOKUP($A59,A:AL,4,FALSE)-50),"-",(VLOOKUP($A59,'NonXtal_SegEnds_BW#'!$A:$Z,4,FALSE)+VLOOKUP($A59,A:AL,4,FALSE)-50))</f>
        <v>47</v>
      </c>
      <c r="F59" s="3">
        <f t="shared" si="25"/>
        <v>48</v>
      </c>
      <c r="G59" s="3">
        <v>50</v>
      </c>
      <c r="H59" s="3">
        <f t="shared" si="33"/>
        <v>51</v>
      </c>
      <c r="I59" s="3">
        <f t="shared" si="33"/>
        <v>52</v>
      </c>
      <c r="J59" s="3">
        <v>66</v>
      </c>
      <c r="K59" s="3">
        <f>VLOOKUP($A59,'NonXtal_SegEnds_BW#'!$A:$Z,8,FALSE)+VLOOKUP($A59,A:AL,10,FALSE)-50</f>
        <v>83</v>
      </c>
      <c r="L59" s="3">
        <f t="shared" si="34"/>
        <v>85</v>
      </c>
      <c r="M59" s="3">
        <v>86</v>
      </c>
      <c r="N59" s="3">
        <f t="shared" si="35"/>
        <v>88</v>
      </c>
      <c r="O59" s="3">
        <f t="shared" si="29"/>
        <v>89</v>
      </c>
      <c r="P59" s="3">
        <v>118</v>
      </c>
      <c r="Q59" s="3">
        <f>VLOOKUP($A59,'NonXtal_SegEnds_BW#'!$A:$Z,12,FALSE)+VLOOKUP($A59,A:AL,16,FALSE)-50</f>
        <v>124</v>
      </c>
      <c r="R59" s="3">
        <f>IF(ISERROR(VLOOKUP($A59,'NonXtal_SegEnds_BW#'!$A:$Z,13,FALSE)+VLOOKUP($A59,A:AL,19,FALSE)-50),"-",VLOOKUP($A59,'NonXtal_SegEnds_BW#'!$A:$Z,13,FALSE)+VLOOKUP($A59,A:AL,19,FALSE)-50)</f>
        <v>126</v>
      </c>
      <c r="S59" s="3">
        <v>126</v>
      </c>
      <c r="T59" s="3">
        <f>IF(ISERROR(VLOOKUP($A59,'NonXtal_SegEnds_BW#'!$A:$Z,14,FALSE)+VLOOKUP($A59,A:AL,19,FALSE)-50),"-",(VLOOKUP($A59,'NonXtal_SegEnds_BW#'!$A:$Z,14,FALSE)+VLOOKUP($A59,A:AL,19,FALSE)-50))</f>
        <v>133</v>
      </c>
      <c r="U59" s="3">
        <f>IF(ISERROR(VLOOKUP($A59,'NonXtal_SegEnds_BW#'!$A:$Z,15,FALSE)+VLOOKUP($A59,A:AL,22,FALSE)-50),"-",VLOOKUP($A59,'NonXtal_SegEnds_BW#'!$A:$Z,15,FALSE)+VLOOKUP($A59,A:AL,22,FALSE)-50)</f>
        <v>135</v>
      </c>
      <c r="V59" s="3">
        <v>146</v>
      </c>
      <c r="W59" s="3">
        <f>IF(ISERROR(VLOOKUP($A59,'NonXtal_SegEnds_BW#'!$A:$Z,16,FALSE)+VLOOKUP($A59,A:AL,22,FALSE)-50),"-",(VLOOKUP($A59,'NonXtal_SegEnds_BW#'!$A:$Z,16,FALSE)+VLOOKUP($A59,A:AL,22,FALSE)-50))</f>
        <v>160</v>
      </c>
      <c r="X59" s="3">
        <f>IF(ISERROR(VLOOKUP($A59,'NonXtal_SegEnds_BW#'!$A:$Z,17,FALSE)+VLOOKUP($A59,A:AL,25,FALSE)-50),"-",(VLOOKUP($A59,'NonXtal_SegEnds_BW#'!$A:$Z,17,FALSE)+VLOOKUP($A59,A:AL,25,FALSE)-50))</f>
        <v>184</v>
      </c>
      <c r="Y59" s="3">
        <v>184</v>
      </c>
      <c r="Z59" s="3">
        <f t="shared" si="30"/>
        <v>186</v>
      </c>
      <c r="AA59" s="3">
        <f>IF(ISERROR(VLOOKUP($A59,'NonXtal_SegEnds_BW#'!$A:$Z,19,FALSE)+VLOOKUP($A59,A:AL,28,FALSE)-50),"-",(VLOOKUP($A59,'NonXtal_SegEnds_BW#'!$A:$Z,19,FALSE)+VLOOKUP($A59,A:AL,28,FALSE)-50))</f>
        <v>189</v>
      </c>
      <c r="AB59" s="3">
        <v>204</v>
      </c>
      <c r="AC59" s="3">
        <f>IF(ISERROR((VLOOKUP($A59,'NonXtal_SegEnds_BW#'!$A:$Z,20,FALSE)+VLOOKUP($A59,A:AL,28,FALSE)-50)),"-",(VLOOKUP($A59,'NonXtal_SegEnds_BW#'!$A:$Z,20,FALSE)+VLOOKUP($A59,A:AL,28,FALSE)-50))</f>
        <v>230</v>
      </c>
      <c r="AD59" s="3">
        <f>IF(ISERROR(VLOOKUP($A59,'NonXtal_SegEnds_BW#'!$A:$Z,21,FALSE)+VLOOKUP($A59,A:AL,31,FALSE)-50),"-",(VLOOKUP($A59,'NonXtal_SegEnds_BW#'!$A:$Z,21,FALSE)+VLOOKUP($A59,A:AL,31,FALSE)-50))</f>
        <v>248</v>
      </c>
      <c r="AE59" s="3">
        <v>274</v>
      </c>
      <c r="AF59" s="3">
        <f>IF(ISERROR((VLOOKUP($A59,'NonXtal_SegEnds_BW#'!$A:$Z,22,FALSE)+VLOOKUP($A59,A:AL,31,FALSE)-50)),"-",(VLOOKUP($A59,'NonXtal_SegEnds_BW#'!$A:$Z,22,FALSE)+VLOOKUP($A59,A:AL,31,FALSE)-50))</f>
        <v>285</v>
      </c>
      <c r="AG59" s="3">
        <f>IF(ISERROR(VLOOKUP($A59,'NonXtal_SegEnds_BW#'!$A:$Z,23,FALSE)+VLOOKUP($A59,A:AL,34,FALSE)-50),"-",(VLOOKUP($A59,'NonXtal_SegEnds_BW#'!$A:$Z,23,FALSE)+VLOOKUP($A59,A:AL,34,FALSE)-50))</f>
        <v>290</v>
      </c>
      <c r="AH59" s="3">
        <v>309</v>
      </c>
      <c r="AI59" s="3">
        <v>315</v>
      </c>
      <c r="AJ59" s="3">
        <f>IF(ISERROR(VLOOKUP($A59,'NonXtal_SegEnds_BW#'!$A:$Z,25,FALSE)+VLOOKUP($A59,A:AL,37,FALSE)-50),"-",(VLOOKUP($A59,'NonXtal_SegEnds_BW#'!$A:$Z,25,FALSE)+VLOOKUP($A59,A:AL,37,FALSE)-50))</f>
        <v>316</v>
      </c>
      <c r="AK59" s="3">
        <v>319</v>
      </c>
      <c r="AL59" s="3">
        <f>IF(ISERROR((VLOOKUP($A59,'NonXtal_SegEnds_BW#'!$A:$Z,26,FALSE)+VLOOKUP($A59,A:AL,37,FALSE)-50)),"-",(VLOOKUP($A59,'NonXtal_SegEnds_BW#'!$A:$Z,26,FALSE)+VLOOKUP($A59,A:AL,37,FALSE)-50))</f>
        <v>328</v>
      </c>
      <c r="AM59" s="71" t="str">
        <f>VLOOKUP(A59,Classification!A:B,2,FALSE)</f>
        <v>A</v>
      </c>
      <c r="AN59" s="71" t="b">
        <f t="shared" si="2"/>
        <v>1</v>
      </c>
      <c r="AO59" s="3">
        <f t="shared" si="3"/>
        <v>1</v>
      </c>
      <c r="AP59" s="3">
        <f t="shared" si="4"/>
        <v>1</v>
      </c>
      <c r="AQ59" s="3">
        <f t="shared" si="5"/>
        <v>2</v>
      </c>
      <c r="AR59" s="3">
        <f t="shared" si="6"/>
        <v>1</v>
      </c>
      <c r="AS59" s="3">
        <f t="shared" si="7"/>
        <v>2</v>
      </c>
      <c r="AT59" s="3">
        <f t="shared" si="8"/>
        <v>2</v>
      </c>
      <c r="AU59" s="3">
        <f t="shared" si="9"/>
        <v>24</v>
      </c>
      <c r="AV59" s="3">
        <f t="shared" si="10"/>
        <v>3</v>
      </c>
      <c r="AW59" s="3">
        <f t="shared" si="11"/>
        <v>18</v>
      </c>
      <c r="AX59" s="3">
        <f t="shared" si="12"/>
        <v>5</v>
      </c>
      <c r="AY59" s="3">
        <f t="shared" si="13"/>
        <v>1</v>
      </c>
      <c r="AZ59" s="3">
        <f>IF(ISERROR(LEN(VLOOKUP(A59,Seqs!A:E,2,FALSE))-AL59),"-",LEN(VLOOKUP(A59,Seqs!A:E,2,FALSE))-AL59)</f>
        <v>60</v>
      </c>
      <c r="BA59" s="35">
        <f t="shared" si="14"/>
        <v>29</v>
      </c>
      <c r="BB59" s="3">
        <f t="shared" si="15"/>
        <v>20</v>
      </c>
      <c r="BC59" s="3">
        <f t="shared" si="16"/>
        <v>29</v>
      </c>
      <c r="BD59" s="3">
        <f t="shared" si="17"/>
        <v>70</v>
      </c>
    </row>
    <row r="60" spans="1:57" s="3" customFormat="1" x14ac:dyDescent="0.2">
      <c r="A60" s="3" t="s">
        <v>406</v>
      </c>
      <c r="B60" s="3" t="str">
        <f>LOWER(VLOOKUP(A60,Xtal_Templ!A:B,2,FALSE))</f>
        <v>adrb1_melga</v>
      </c>
      <c r="C60" s="3">
        <f>VLOOKUP($A60,'NonXtal_SegEnds_BW#'!$A:$Z,3,FALSE)+D60-50</f>
        <v>23</v>
      </c>
      <c r="D60" s="3">
        <v>49</v>
      </c>
      <c r="E60" s="3">
        <f>IF(ISERROR(VLOOKUP($A60,'NonXtal_SegEnds_BW#'!$A:$Z,4,FALSE)+VLOOKUP($A60,A:AL,4,FALSE)-50),"-",(VLOOKUP($A60,'NonXtal_SegEnds_BW#'!$A:$Z,4,FALSE)+VLOOKUP($A60,A:AL,4,FALSE)-50))</f>
        <v>59</v>
      </c>
      <c r="F60" s="3">
        <f t="shared" si="25"/>
        <v>60</v>
      </c>
      <c r="G60" s="3">
        <v>62</v>
      </c>
      <c r="H60" s="3">
        <f t="shared" si="33"/>
        <v>63</v>
      </c>
      <c r="I60" s="3">
        <f t="shared" si="33"/>
        <v>64</v>
      </c>
      <c r="J60" s="3">
        <v>77</v>
      </c>
      <c r="K60" s="3">
        <f>VLOOKUP($A60,'NonXtal_SegEnds_BW#'!$A:$Z,8,FALSE)+VLOOKUP($A60,A:AL,10,FALSE)-50</f>
        <v>94</v>
      </c>
      <c r="L60" s="3">
        <f t="shared" si="34"/>
        <v>96</v>
      </c>
      <c r="M60" s="3">
        <v>97</v>
      </c>
      <c r="N60" s="3">
        <f t="shared" si="35"/>
        <v>99</v>
      </c>
      <c r="O60" s="3">
        <f t="shared" si="29"/>
        <v>100</v>
      </c>
      <c r="P60" s="3">
        <v>129</v>
      </c>
      <c r="Q60" s="3">
        <f>VLOOKUP($A60,'NonXtal_SegEnds_BW#'!$A:$Z,12,FALSE)+VLOOKUP($A60,A:AL,16,FALSE)-50</f>
        <v>135</v>
      </c>
      <c r="R60" s="3">
        <f>IF(ISERROR(VLOOKUP($A60,'NonXtal_SegEnds_BW#'!$A:$Z,13,FALSE)+VLOOKUP($A60,A:AL,19,FALSE)-50),"-",VLOOKUP($A60,'NonXtal_SegEnds_BW#'!$A:$Z,13,FALSE)+VLOOKUP($A60,A:AL,19,FALSE)-50)</f>
        <v>136</v>
      </c>
      <c r="S60" s="3">
        <v>136</v>
      </c>
      <c r="T60" s="3">
        <f>IF(ISERROR(VLOOKUP($A60,'NonXtal_SegEnds_BW#'!$A:$Z,14,FALSE)+VLOOKUP($A60,A:AL,19,FALSE)-50),"-",(VLOOKUP($A60,'NonXtal_SegEnds_BW#'!$A:$Z,14,FALSE)+VLOOKUP($A60,A:AL,19,FALSE)-50))</f>
        <v>143</v>
      </c>
      <c r="U60" s="3">
        <f>IF(ISERROR(VLOOKUP($A60,'NonXtal_SegEnds_BW#'!$A:$Z,15,FALSE)+VLOOKUP($A60,A:AL,22,FALSE)-50),"-",VLOOKUP($A60,'NonXtal_SegEnds_BW#'!$A:$Z,15,FALSE)+VLOOKUP($A60,A:AL,22,FALSE)-50)</f>
        <v>145</v>
      </c>
      <c r="V60" s="3">
        <v>156</v>
      </c>
      <c r="W60" s="3">
        <f>IF(ISERROR(VLOOKUP($A60,'NonXtal_SegEnds_BW#'!$A:$Z,16,FALSE)+VLOOKUP($A60,A:AL,22,FALSE)-50),"-",(VLOOKUP($A60,'NonXtal_SegEnds_BW#'!$A:$Z,16,FALSE)+VLOOKUP($A60,A:AL,22,FALSE)-50))</f>
        <v>170</v>
      </c>
      <c r="X60" s="3">
        <f>IF(ISERROR(VLOOKUP($A60,'NonXtal_SegEnds_BW#'!$A:$Z,17,FALSE)+VLOOKUP($A60,A:AL,25,FALSE)-50),"-",(VLOOKUP($A60,'NonXtal_SegEnds_BW#'!$A:$Z,17,FALSE)+VLOOKUP($A60,A:AL,25,FALSE)-50))</f>
        <v>182</v>
      </c>
      <c r="Y60" s="3">
        <v>182</v>
      </c>
      <c r="Z60" s="3">
        <f t="shared" si="30"/>
        <v>184</v>
      </c>
      <c r="AA60" s="3">
        <f>IF(ISERROR(VLOOKUP($A60,'NonXtal_SegEnds_BW#'!$A:$Z,19,FALSE)+VLOOKUP($A60,A:AL,28,FALSE)-50),"-",(VLOOKUP($A60,'NonXtal_SegEnds_BW#'!$A:$Z,19,FALSE)+VLOOKUP($A60,A:AL,28,FALSE)-50))</f>
        <v>189</v>
      </c>
      <c r="AB60" s="3">
        <v>204</v>
      </c>
      <c r="AC60" s="3">
        <f>IF(ISERROR((VLOOKUP($A60,'NonXtal_SegEnds_BW#'!$A:$Z,20,FALSE)+VLOOKUP($A60,A:AL,28,FALSE)-50)),"-",(VLOOKUP($A60,'NonXtal_SegEnds_BW#'!$A:$Z,20,FALSE)+VLOOKUP($A60,A:AL,28,FALSE)-50))</f>
        <v>229</v>
      </c>
      <c r="AD60" s="3">
        <f>IF(ISERROR(VLOOKUP($A60,'NonXtal_SegEnds_BW#'!$A:$Z,21,FALSE)+VLOOKUP($A60,A:AL,31,FALSE)-50),"-",(VLOOKUP($A60,'NonXtal_SegEnds_BW#'!$A:$Z,21,FALSE)+VLOOKUP($A60,A:AL,31,FALSE)-50))</f>
        <v>388</v>
      </c>
      <c r="AE60" s="3">
        <v>414</v>
      </c>
      <c r="AF60" s="3">
        <f>IF(ISERROR((VLOOKUP($A60,'NonXtal_SegEnds_BW#'!$A:$Z,22,FALSE)+VLOOKUP($A60,A:AL,31,FALSE)-50)),"-",(VLOOKUP($A60,'NonXtal_SegEnds_BW#'!$A:$Z,22,FALSE)+VLOOKUP($A60,A:AL,31,FALSE)-50))</f>
        <v>425</v>
      </c>
      <c r="AG60" s="3">
        <f>IF(ISERROR(VLOOKUP($A60,'NonXtal_SegEnds_BW#'!$A:$Z,23,FALSE)+VLOOKUP($A60,A:AL,34,FALSE)-50),"-",(VLOOKUP($A60,'NonXtal_SegEnds_BW#'!$A:$Z,23,FALSE)+VLOOKUP($A60,A:AL,34,FALSE)-50))</f>
        <v>432</v>
      </c>
      <c r="AH60" s="3">
        <v>451</v>
      </c>
      <c r="AI60" s="3">
        <f>IF(ISERROR((VLOOKUP($A60,'NonXtal_SegEnds_BW#'!$A:$Z,24,FALSE)+VLOOKUP($A60,A:AL,34,FALSE)-50)),"-",(VLOOKUP($A60,'NonXtal_SegEnds_BW#'!$A:$Z,24,FALSE)+VLOOKUP($A60,A:AL,34,FALSE)-50))</f>
        <v>456</v>
      </c>
      <c r="AJ60" s="3">
        <f>IF(ISERROR(VLOOKUP($A60,'NonXtal_SegEnds_BW#'!$A:$Z,25,FALSE)+VLOOKUP($A60,A:AL,37,FALSE)-50),"-",(VLOOKUP($A60,'NonXtal_SegEnds_BW#'!$A:$Z,25,FALSE)+VLOOKUP($A60,A:AL,37,FALSE)-50))</f>
        <v>458</v>
      </c>
      <c r="AK60" s="3">
        <v>461</v>
      </c>
      <c r="AL60" s="3">
        <f>IF(ISERROR((VLOOKUP($A60,'NonXtal_SegEnds_BW#'!$A:$Z,26,FALSE)+VLOOKUP($A60,A:AL,37,FALSE)-50)),"-",(VLOOKUP($A60,'NonXtal_SegEnds_BW#'!$A:$Z,26,FALSE)+VLOOKUP($A60,A:AL,37,FALSE)-50))</f>
        <v>470</v>
      </c>
      <c r="AM60" s="71" t="str">
        <f>VLOOKUP(A60,Classification!A:B,2,FALSE)</f>
        <v>A</v>
      </c>
      <c r="AN60" s="71" t="b">
        <f t="shared" si="2"/>
        <v>1</v>
      </c>
      <c r="AO60" s="3">
        <f t="shared" si="3"/>
        <v>1</v>
      </c>
      <c r="AP60" s="3">
        <f t="shared" si="4"/>
        <v>1</v>
      </c>
      <c r="AQ60" s="3">
        <f t="shared" si="5"/>
        <v>2</v>
      </c>
      <c r="AR60" s="3">
        <f t="shared" si="6"/>
        <v>1</v>
      </c>
      <c r="AS60" s="3">
        <f t="shared" si="7"/>
        <v>1</v>
      </c>
      <c r="AT60" s="3">
        <f t="shared" si="8"/>
        <v>2</v>
      </c>
      <c r="AU60" s="3">
        <f t="shared" si="9"/>
        <v>12</v>
      </c>
      <c r="AV60" s="3">
        <f t="shared" si="10"/>
        <v>5</v>
      </c>
      <c r="AW60" s="3">
        <f t="shared" si="11"/>
        <v>159</v>
      </c>
      <c r="AX60" s="3">
        <f t="shared" si="12"/>
        <v>7</v>
      </c>
      <c r="AY60" s="3">
        <f t="shared" si="13"/>
        <v>2</v>
      </c>
      <c r="AZ60" s="3">
        <f>IF(ISERROR(LEN(VLOOKUP(A60,Seqs!A:E,2,FALSE))-AL60),"-",LEN(VLOOKUP(A60,Seqs!A:E,2,FALSE))-AL60)</f>
        <v>38</v>
      </c>
      <c r="BA60" s="35">
        <f t="shared" si="14"/>
        <v>28</v>
      </c>
      <c r="BB60" s="3">
        <f t="shared" si="15"/>
        <v>20</v>
      </c>
      <c r="BC60" s="3">
        <f t="shared" si="16"/>
        <v>28</v>
      </c>
      <c r="BD60" s="3">
        <f t="shared" si="17"/>
        <v>210</v>
      </c>
    </row>
    <row r="61" spans="1:57" s="3" customFormat="1" x14ac:dyDescent="0.2">
      <c r="A61" s="3" t="s">
        <v>453</v>
      </c>
      <c r="B61" s="3" t="str">
        <f>LOWER(VLOOKUP(A61,Xtal_Templ!A:B,2,FALSE))</f>
        <v>adrb1_melga</v>
      </c>
      <c r="C61" s="3">
        <f>VLOOKUP($A61,'NonXtal_SegEnds_BW#'!$A:$Z,3,FALSE)+D61-50</f>
        <v>26</v>
      </c>
      <c r="D61" s="3">
        <v>52</v>
      </c>
      <c r="E61" s="3">
        <f>IF(ISERROR(VLOOKUP($A61,'NonXtal_SegEnds_BW#'!$A:$Z,4,FALSE)+VLOOKUP($A61,A:AL,4,FALSE)-50),"-",(VLOOKUP($A61,'NonXtal_SegEnds_BW#'!$A:$Z,4,FALSE)+VLOOKUP($A61,A:AL,4,FALSE)-50))</f>
        <v>62</v>
      </c>
      <c r="F61" s="3">
        <f t="shared" si="25"/>
        <v>63</v>
      </c>
      <c r="G61" s="3">
        <v>65</v>
      </c>
      <c r="H61" s="3">
        <f t="shared" si="33"/>
        <v>66</v>
      </c>
      <c r="I61" s="3">
        <f t="shared" si="33"/>
        <v>67</v>
      </c>
      <c r="J61" s="3">
        <v>80</v>
      </c>
      <c r="K61" s="3">
        <f>VLOOKUP($A61,'NonXtal_SegEnds_BW#'!$A:$Z,8,FALSE)+VLOOKUP($A61,A:AL,10,FALSE)-50</f>
        <v>97</v>
      </c>
      <c r="L61" s="3">
        <f t="shared" si="34"/>
        <v>99</v>
      </c>
      <c r="M61" s="3">
        <v>100</v>
      </c>
      <c r="N61" s="3">
        <f t="shared" si="35"/>
        <v>102</v>
      </c>
      <c r="O61" s="3">
        <f t="shared" si="29"/>
        <v>103</v>
      </c>
      <c r="P61" s="3">
        <v>132</v>
      </c>
      <c r="Q61" s="3">
        <f>VLOOKUP($A61,'NonXtal_SegEnds_BW#'!$A:$Z,12,FALSE)+VLOOKUP($A61,A:AL,16,FALSE)-50</f>
        <v>138</v>
      </c>
      <c r="R61" s="3" t="str">
        <f>IF(ISERROR(VLOOKUP($A61,'NonXtal_SegEnds_BW#'!$A:$Z,13,FALSE)+VLOOKUP($A61,A:AL,19,FALSE)-50),"-",VLOOKUP($A61,'NonXtal_SegEnds_BW#'!$A:$Z,13,FALSE)+VLOOKUP($A61,A:AL,19,FALSE)-50)</f>
        <v>-</v>
      </c>
      <c r="S61" s="3" t="s">
        <v>129</v>
      </c>
      <c r="T61" s="3" t="str">
        <f>IF(ISERROR(VLOOKUP($A61,'NonXtal_SegEnds_BW#'!$A:$Z,14,FALSE)+VLOOKUP($A61,A:AL,19,FALSE)-50),"-",(VLOOKUP($A61,'NonXtal_SegEnds_BW#'!$A:$Z,14,FALSE)+VLOOKUP($A61,A:AL,19,FALSE)-50))</f>
        <v>-</v>
      </c>
      <c r="U61" s="3">
        <f>IF(ISERROR(VLOOKUP($A61,'NonXtal_SegEnds_BW#'!$A:$Z,15,FALSE)+VLOOKUP($A61,A:AL,22,FALSE)-50),"-",VLOOKUP($A61,'NonXtal_SegEnds_BW#'!$A:$Z,15,FALSE)+VLOOKUP($A61,A:AL,22,FALSE)-50)</f>
        <v>145</v>
      </c>
      <c r="V61" s="3">
        <v>156</v>
      </c>
      <c r="W61" s="3">
        <f>IF(ISERROR(VLOOKUP($A61,'NonXtal_SegEnds_BW#'!$A:$Z,16,FALSE)+VLOOKUP($A61,A:AL,22,FALSE)-50),"-",(VLOOKUP($A61,'NonXtal_SegEnds_BW#'!$A:$Z,16,FALSE)+VLOOKUP($A61,A:AL,22,FALSE)-50))</f>
        <v>170</v>
      </c>
      <c r="X61" s="3">
        <f>IF(ISERROR(VLOOKUP($A61,'NonXtal_SegEnds_BW#'!$A:$Z,17,FALSE)+VLOOKUP($A61,A:AL,25,FALSE)-50),"-",(VLOOKUP($A61,'NonXtal_SegEnds_BW#'!$A:$Z,17,FALSE)+VLOOKUP($A61,A:AL,25,FALSE)-50))</f>
        <v>182</v>
      </c>
      <c r="Y61" s="3">
        <v>182</v>
      </c>
      <c r="Z61" s="3">
        <f t="shared" si="30"/>
        <v>184</v>
      </c>
      <c r="AA61" s="3">
        <f>IF(ISERROR(VLOOKUP($A61,'NonXtal_SegEnds_BW#'!$A:$Z,19,FALSE)+VLOOKUP($A61,A:AL,28,FALSE)-50),"-",(VLOOKUP($A61,'NonXtal_SegEnds_BW#'!$A:$Z,19,FALSE)+VLOOKUP($A61,A:AL,28,FALSE)-50))</f>
        <v>192</v>
      </c>
      <c r="AB61" s="3">
        <v>207</v>
      </c>
      <c r="AC61" s="3">
        <f>IF(ISERROR((VLOOKUP($A61,'NonXtal_SegEnds_BW#'!$A:$Z,20,FALSE)+VLOOKUP($A61,A:AL,28,FALSE)-50)),"-",(VLOOKUP($A61,'NonXtal_SegEnds_BW#'!$A:$Z,20,FALSE)+VLOOKUP($A61,A:AL,28,FALSE)-50))</f>
        <v>233</v>
      </c>
      <c r="AD61" s="3">
        <f>IF(ISERROR(VLOOKUP($A61,'NonXtal_SegEnds_BW#'!$A:$Z,21,FALSE)+VLOOKUP($A61,A:AL,31,FALSE)-50),"-",(VLOOKUP($A61,'NonXtal_SegEnds_BW#'!$A:$Z,21,FALSE)+VLOOKUP($A61,A:AL,31,FALSE)-50))</f>
        <v>256</v>
      </c>
      <c r="AE61" s="3">
        <v>282</v>
      </c>
      <c r="AF61" s="3">
        <f>IF(ISERROR((VLOOKUP($A61,'NonXtal_SegEnds_BW#'!$A:$Z,22,FALSE)+VLOOKUP($A61,A:AL,31,FALSE)-50)),"-",(VLOOKUP($A61,'NonXtal_SegEnds_BW#'!$A:$Z,22,FALSE)+VLOOKUP($A61,A:AL,31,FALSE)-50))</f>
        <v>293</v>
      </c>
      <c r="AG61" s="3">
        <f>IF(ISERROR(VLOOKUP($A61,'NonXtal_SegEnds_BW#'!$A:$Z,23,FALSE)+VLOOKUP($A61,A:AL,34,FALSE)-50),"-",(VLOOKUP($A61,'NonXtal_SegEnds_BW#'!$A:$Z,23,FALSE)+VLOOKUP($A61,A:AL,34,FALSE)-50))</f>
        <v>299</v>
      </c>
      <c r="AH61" s="3">
        <v>321</v>
      </c>
      <c r="AI61" s="3">
        <v>327</v>
      </c>
      <c r="AJ61" s="3">
        <f>IF(ISERROR(VLOOKUP($A61,'NonXtal_SegEnds_BW#'!$A:$Z,25,FALSE)+VLOOKUP($A61,A:AL,37,FALSE)-50),"-",(VLOOKUP($A61,'NonXtal_SegEnds_BW#'!$A:$Z,25,FALSE)+VLOOKUP($A61,A:AL,37,FALSE)-50))</f>
        <v>328</v>
      </c>
      <c r="AK61" s="3">
        <v>331</v>
      </c>
      <c r="AL61" s="3">
        <f>IF(ISERROR((VLOOKUP($A61,'NonXtal_SegEnds_BW#'!$A:$Z,26,FALSE)+VLOOKUP($A61,A:AL,37,FALSE)-50)),"-",(VLOOKUP($A61,'NonXtal_SegEnds_BW#'!$A:$Z,26,FALSE)+VLOOKUP($A61,A:AL,37,FALSE)-50))</f>
        <v>340</v>
      </c>
      <c r="AM61" s="71" t="str">
        <f>VLOOKUP(A61,Classification!A:B,2,FALSE)</f>
        <v>A</v>
      </c>
      <c r="AN61" s="71" t="b">
        <f t="shared" si="2"/>
        <v>1</v>
      </c>
      <c r="AO61" s="3">
        <f t="shared" si="3"/>
        <v>1</v>
      </c>
      <c r="AP61" s="3">
        <f t="shared" si="4"/>
        <v>1</v>
      </c>
      <c r="AQ61" s="3">
        <f t="shared" si="5"/>
        <v>2</v>
      </c>
      <c r="AR61" s="3">
        <f t="shared" si="6"/>
        <v>1</v>
      </c>
      <c r="AS61" s="3" t="str">
        <f t="shared" si="7"/>
        <v>-</v>
      </c>
      <c r="AT61" s="3" t="str">
        <f t="shared" si="8"/>
        <v>-</v>
      </c>
      <c r="AU61" s="3">
        <f t="shared" si="9"/>
        <v>12</v>
      </c>
      <c r="AV61" s="3">
        <f t="shared" si="10"/>
        <v>8</v>
      </c>
      <c r="AW61" s="3">
        <f t="shared" si="11"/>
        <v>23</v>
      </c>
      <c r="AX61" s="3">
        <f t="shared" si="12"/>
        <v>6</v>
      </c>
      <c r="AY61" s="3">
        <f t="shared" si="13"/>
        <v>1</v>
      </c>
      <c r="AZ61" s="3">
        <f>IF(ISERROR(LEN(VLOOKUP(A61,Seqs!A:E,2,FALSE))-AL61),"-",LEN(VLOOKUP(A61,Seqs!A:E,2,FALSE))-AL61)</f>
        <v>32</v>
      </c>
      <c r="BA61" s="35">
        <f t="shared" si="14"/>
        <v>28</v>
      </c>
      <c r="BB61" s="3" t="str">
        <f t="shared" si="15"/>
        <v>-</v>
      </c>
      <c r="BC61" s="3">
        <f t="shared" si="16"/>
        <v>28</v>
      </c>
      <c r="BD61" s="3">
        <f t="shared" si="17"/>
        <v>75</v>
      </c>
    </row>
    <row r="62" spans="1:57" s="3" customFormat="1" x14ac:dyDescent="0.2">
      <c r="A62" s="3" t="s">
        <v>581</v>
      </c>
      <c r="B62" s="3" t="str">
        <f>LOWER(VLOOKUP(A62,Xtal_Templ!A:B,2,FALSE))</f>
        <v>adrb1_melga</v>
      </c>
      <c r="C62" s="3">
        <f>VLOOKUP($A62,'NonXtal_SegEnds_BW#'!$A:$Z,3,FALSE)+D62-50</f>
        <v>15</v>
      </c>
      <c r="D62" s="3">
        <v>41</v>
      </c>
      <c r="E62" s="3">
        <f>IF(ISERROR(VLOOKUP($A62,'NonXtal_SegEnds_BW#'!$A:$Z,4,FALSE)+VLOOKUP($A62,A:AL,4,FALSE)-50),"-",(VLOOKUP($A62,'NonXtal_SegEnds_BW#'!$A:$Z,4,FALSE)+VLOOKUP($A62,A:AL,4,FALSE)-50))</f>
        <v>51</v>
      </c>
      <c r="F62" s="3">
        <f t="shared" si="25"/>
        <v>52</v>
      </c>
      <c r="G62" s="3">
        <v>54</v>
      </c>
      <c r="H62" s="3">
        <f t="shared" si="33"/>
        <v>55</v>
      </c>
      <c r="I62" s="3">
        <f t="shared" si="33"/>
        <v>56</v>
      </c>
      <c r="J62" s="3">
        <v>69</v>
      </c>
      <c r="K62" s="3">
        <f>VLOOKUP($A62,'NonXtal_SegEnds_BW#'!$A:$Z,8,FALSE)+VLOOKUP($A62,A:AL,10,FALSE)-50</f>
        <v>86</v>
      </c>
      <c r="L62" s="3">
        <f t="shared" si="34"/>
        <v>88</v>
      </c>
      <c r="M62" s="3">
        <v>89</v>
      </c>
      <c r="N62" s="3">
        <f t="shared" si="35"/>
        <v>91</v>
      </c>
      <c r="O62" s="3">
        <f t="shared" si="29"/>
        <v>92</v>
      </c>
      <c r="P62" s="3">
        <v>121</v>
      </c>
      <c r="Q62" s="3">
        <f>VLOOKUP($A62,'NonXtal_SegEnds_BW#'!$A:$Z,12,FALSE)+VLOOKUP($A62,A:AL,16,FALSE)-50</f>
        <v>127</v>
      </c>
      <c r="R62" s="3">
        <f>IF(ISERROR(VLOOKUP($A62,'NonXtal_SegEnds_BW#'!$A:$Z,13,FALSE)+VLOOKUP($A62,A:AL,19,FALSE)-50),"-",VLOOKUP($A62,'NonXtal_SegEnds_BW#'!$A:$Z,13,FALSE)+VLOOKUP($A62,A:AL,19,FALSE)-50)</f>
        <v>128</v>
      </c>
      <c r="S62" s="3">
        <v>128</v>
      </c>
      <c r="T62" s="3">
        <f>IF(ISERROR(VLOOKUP($A62,'NonXtal_SegEnds_BW#'!$A:$Z,14,FALSE)+VLOOKUP($A62,A:AL,19,FALSE)-50),"-",(VLOOKUP($A62,'NonXtal_SegEnds_BW#'!$A:$Z,14,FALSE)+VLOOKUP($A62,A:AL,19,FALSE)-50))</f>
        <v>135</v>
      </c>
      <c r="U62" s="3">
        <f>IF(ISERROR(VLOOKUP($A62,'NonXtal_SegEnds_BW#'!$A:$Z,15,FALSE)+VLOOKUP($A62,A:AL,22,FALSE)-50),"-",VLOOKUP($A62,'NonXtal_SegEnds_BW#'!$A:$Z,15,FALSE)+VLOOKUP($A62,A:AL,22,FALSE)-50)</f>
        <v>137</v>
      </c>
      <c r="V62" s="3">
        <v>148</v>
      </c>
      <c r="W62" s="3">
        <f>IF(ISERROR(VLOOKUP($A62,'NonXtal_SegEnds_BW#'!$A:$Z,16,FALSE)+VLOOKUP($A62,A:AL,22,FALSE)-50),"-",(VLOOKUP($A62,'NonXtal_SegEnds_BW#'!$A:$Z,16,FALSE)+VLOOKUP($A62,A:AL,22,FALSE)-50))</f>
        <v>162</v>
      </c>
      <c r="X62" s="3">
        <f>IF(ISERROR(VLOOKUP($A62,'NonXtal_SegEnds_BW#'!$A:$Z,17,FALSE)+VLOOKUP($A62,A:AL,25,FALSE)-50),"-",(VLOOKUP($A62,'NonXtal_SegEnds_BW#'!$A:$Z,17,FALSE)+VLOOKUP($A62,A:AL,25,FALSE)-50))</f>
        <v>182</v>
      </c>
      <c r="Y62" s="3">
        <v>182</v>
      </c>
      <c r="Z62" s="3">
        <f t="shared" si="30"/>
        <v>184</v>
      </c>
      <c r="AA62" s="3">
        <f>IF(ISERROR(VLOOKUP($A62,'NonXtal_SegEnds_BW#'!$A:$Z,19,FALSE)+VLOOKUP($A62,A:AL,28,FALSE)-50),"-",(VLOOKUP($A62,'NonXtal_SegEnds_BW#'!$A:$Z,19,FALSE)+VLOOKUP($A62,A:AL,28,FALSE)-50))</f>
        <v>187</v>
      </c>
      <c r="AB62" s="3">
        <v>202</v>
      </c>
      <c r="AC62" s="3">
        <f>IF(ISERROR((VLOOKUP($A62,'NonXtal_SegEnds_BW#'!$A:$Z,20,FALSE)+VLOOKUP($A62,A:AL,28,FALSE)-50)),"-",(VLOOKUP($A62,'NonXtal_SegEnds_BW#'!$A:$Z,20,FALSE)+VLOOKUP($A62,A:AL,28,FALSE)-50))</f>
        <v>226</v>
      </c>
      <c r="AD62" s="3">
        <f>IF(ISERROR(VLOOKUP($A62,'NonXtal_SegEnds_BW#'!$A:$Z,21,FALSE)+VLOOKUP($A62,A:AL,31,FALSE)-50),"-",(VLOOKUP($A62,'NonXtal_SegEnds_BW#'!$A:$Z,21,FALSE)+VLOOKUP($A62,A:AL,31,FALSE)-50))</f>
        <v>237</v>
      </c>
      <c r="AE62" s="3">
        <v>266</v>
      </c>
      <c r="AF62" s="3">
        <f>IF(ISERROR((VLOOKUP($A62,'NonXtal_SegEnds_BW#'!$A:$Z,22,FALSE)+VLOOKUP($A62,A:AL,31,FALSE)-50)),"-",(VLOOKUP($A62,'NonXtal_SegEnds_BW#'!$A:$Z,22,FALSE)+VLOOKUP($A62,A:AL,31,FALSE)-50))</f>
        <v>277</v>
      </c>
      <c r="AG62" s="3">
        <f>IF(ISERROR(VLOOKUP($A62,'NonXtal_SegEnds_BW#'!$A:$Z,23,FALSE)+VLOOKUP($A62,A:AL,34,FALSE)-50),"-",(VLOOKUP($A62,'NonXtal_SegEnds_BW#'!$A:$Z,23,FALSE)+VLOOKUP($A62,A:AL,34,FALSE)-50))</f>
        <v>282</v>
      </c>
      <c r="AH62" s="3">
        <v>301</v>
      </c>
      <c r="AI62" s="3">
        <v>307</v>
      </c>
      <c r="AJ62" s="3">
        <f>IF(ISERROR(VLOOKUP($A62,'NonXtal_SegEnds_BW#'!$A:$Z,25,FALSE)+VLOOKUP($A62,A:AL,37,FALSE)-50),"-",(VLOOKUP($A62,'NonXtal_SegEnds_BW#'!$A:$Z,25,FALSE)+VLOOKUP($A62,A:AL,37,FALSE)-50))</f>
        <v>308</v>
      </c>
      <c r="AK62" s="3">
        <v>311</v>
      </c>
      <c r="AL62" s="3">
        <f>IF(ISERROR((VLOOKUP($A62,'NonXtal_SegEnds_BW#'!$A:$Z,26,FALSE)+VLOOKUP($A62,A:AL,37,FALSE)-50)),"-",(VLOOKUP($A62,'NonXtal_SegEnds_BW#'!$A:$Z,26,FALSE)+VLOOKUP($A62,A:AL,37,FALSE)-50))</f>
        <v>320</v>
      </c>
      <c r="AM62" s="71" t="str">
        <f>VLOOKUP(A62,Classification!A:B,2,FALSE)</f>
        <v>A</v>
      </c>
      <c r="AN62" s="71" t="b">
        <f t="shared" si="2"/>
        <v>1</v>
      </c>
      <c r="AO62" s="3">
        <f t="shared" si="3"/>
        <v>1</v>
      </c>
      <c r="AP62" s="3">
        <f t="shared" si="4"/>
        <v>1</v>
      </c>
      <c r="AQ62" s="3">
        <f t="shared" si="5"/>
        <v>2</v>
      </c>
      <c r="AR62" s="3">
        <f t="shared" si="6"/>
        <v>1</v>
      </c>
      <c r="AS62" s="3">
        <f t="shared" si="7"/>
        <v>1</v>
      </c>
      <c r="AT62" s="3">
        <f t="shared" si="8"/>
        <v>2</v>
      </c>
      <c r="AU62" s="3">
        <f t="shared" si="9"/>
        <v>20</v>
      </c>
      <c r="AV62" s="3">
        <f t="shared" si="10"/>
        <v>3</v>
      </c>
      <c r="AW62" s="3">
        <f t="shared" si="11"/>
        <v>11</v>
      </c>
      <c r="AX62" s="3">
        <f t="shared" si="12"/>
        <v>5</v>
      </c>
      <c r="AY62" s="3">
        <f t="shared" si="13"/>
        <v>1</v>
      </c>
      <c r="AZ62" s="3">
        <f>IF(ISERROR(LEN(VLOOKUP(A62,Seqs!A:E,2,FALSE))-AL62),"-",LEN(VLOOKUP(A62,Seqs!A:E,2,FALSE))-AL62)</f>
        <v>19</v>
      </c>
      <c r="BA62" s="35">
        <f t="shared" si="14"/>
        <v>28</v>
      </c>
      <c r="BB62" s="3">
        <f t="shared" si="15"/>
        <v>20</v>
      </c>
      <c r="BC62" s="3">
        <f t="shared" si="16"/>
        <v>28</v>
      </c>
      <c r="BD62" s="3">
        <f t="shared" si="17"/>
        <v>64</v>
      </c>
      <c r="BE62" s="3">
        <f>AH62-AE62</f>
        <v>35</v>
      </c>
    </row>
    <row r="63" spans="1:57" s="3" customFormat="1" x14ac:dyDescent="0.2">
      <c r="A63" s="3" t="s">
        <v>330</v>
      </c>
      <c r="B63" s="3" t="str">
        <f>LOWER(VLOOKUP(A63,Xtal_Templ!A:B,2,FALSE))</f>
        <v>adrb1_melga</v>
      </c>
      <c r="C63" s="3">
        <f>VLOOKUP($A63,'NonXtal_SegEnds_BW#'!$A:$Z,3,FALSE)+D63-50</f>
        <v>18</v>
      </c>
      <c r="D63" s="3">
        <v>44</v>
      </c>
      <c r="E63" s="3">
        <f>IF(ISERROR(VLOOKUP($A63,'NonXtal_SegEnds_BW#'!$A:$Z,4,FALSE)+VLOOKUP($A63,A:AL,4,FALSE)-50),"-",(VLOOKUP($A63,'NonXtal_SegEnds_BW#'!$A:$Z,4,FALSE)+VLOOKUP($A63,A:AL,4,FALSE)-50))</f>
        <v>54</v>
      </c>
      <c r="F63" s="3">
        <f t="shared" si="25"/>
        <v>55</v>
      </c>
      <c r="G63" s="3">
        <v>57</v>
      </c>
      <c r="H63" s="3">
        <f t="shared" si="33"/>
        <v>58</v>
      </c>
      <c r="I63" s="3">
        <f t="shared" si="33"/>
        <v>59</v>
      </c>
      <c r="J63" s="3">
        <v>72</v>
      </c>
      <c r="K63" s="3">
        <f>VLOOKUP($A63,'NonXtal_SegEnds_BW#'!$A:$Z,8,FALSE)+VLOOKUP($A63,A:AL,10,FALSE)-50</f>
        <v>89</v>
      </c>
      <c r="L63" s="3">
        <f t="shared" si="34"/>
        <v>91</v>
      </c>
      <c r="M63" s="3">
        <v>92</v>
      </c>
      <c r="N63" s="3">
        <f t="shared" si="35"/>
        <v>94</v>
      </c>
      <c r="O63" s="3">
        <f t="shared" si="29"/>
        <v>95</v>
      </c>
      <c r="P63" s="3">
        <v>124</v>
      </c>
      <c r="Q63" s="3">
        <f>VLOOKUP($A63,'NonXtal_SegEnds_BW#'!$A:$Z,12,FALSE)+VLOOKUP($A63,A:AL,16,FALSE)-50</f>
        <v>130</v>
      </c>
      <c r="R63" s="3">
        <f>IF(ISERROR(VLOOKUP($A63,'NonXtal_SegEnds_BW#'!$A:$Z,13,FALSE)+VLOOKUP($A63,A:AL,19,FALSE)-50),"-",VLOOKUP($A63,'NonXtal_SegEnds_BW#'!$A:$Z,13,FALSE)+VLOOKUP($A63,A:AL,19,FALSE)-50)</f>
        <v>131</v>
      </c>
      <c r="S63" s="3">
        <v>131</v>
      </c>
      <c r="T63" s="3">
        <f>IF(ISERROR(VLOOKUP($A63,'NonXtal_SegEnds_BW#'!$A:$Z,14,FALSE)+VLOOKUP($A63,A:AL,19,FALSE)-50),"-",(VLOOKUP($A63,'NonXtal_SegEnds_BW#'!$A:$Z,14,FALSE)+VLOOKUP($A63,A:AL,19,FALSE)-50))</f>
        <v>138</v>
      </c>
      <c r="U63" s="3">
        <f>IF(ISERROR(VLOOKUP($A63,'NonXtal_SegEnds_BW#'!$A:$Z,15,FALSE)+VLOOKUP($A63,A:AL,22,FALSE)-50),"-",VLOOKUP($A63,'NonXtal_SegEnds_BW#'!$A:$Z,15,FALSE)+VLOOKUP($A63,A:AL,22,FALSE)-50)</f>
        <v>140</v>
      </c>
      <c r="V63" s="3">
        <v>151</v>
      </c>
      <c r="W63" s="3">
        <f>IF(ISERROR(VLOOKUP($A63,'NonXtal_SegEnds_BW#'!$A:$Z,16,FALSE)+VLOOKUP($A63,A:AL,22,FALSE)-50),"-",(VLOOKUP($A63,'NonXtal_SegEnds_BW#'!$A:$Z,16,FALSE)+VLOOKUP($A63,A:AL,22,FALSE)-50))</f>
        <v>165</v>
      </c>
      <c r="X63" s="3">
        <f>IF(ISERROR(VLOOKUP($A63,'NonXtal_SegEnds_BW#'!$A:$Z,17,FALSE)+VLOOKUP($A63,A:AL,25,FALSE)-50),"-",(VLOOKUP($A63,'NonXtal_SegEnds_BW#'!$A:$Z,17,FALSE)+VLOOKUP($A63,A:AL,25,FALSE)-50))</f>
        <v>180</v>
      </c>
      <c r="Y63" s="3">
        <v>180</v>
      </c>
      <c r="Z63" s="3">
        <f t="shared" si="30"/>
        <v>182</v>
      </c>
      <c r="AA63" s="3">
        <f>IF(ISERROR(VLOOKUP($A63,'NonXtal_SegEnds_BW#'!$A:$Z,19,FALSE)+VLOOKUP($A63,A:AL,28,FALSE)-50),"-",(VLOOKUP($A63,'NonXtal_SegEnds_BW#'!$A:$Z,19,FALSE)+VLOOKUP($A63,A:AL,28,FALSE)-50))</f>
        <v>185</v>
      </c>
      <c r="AB63" s="3">
        <v>200</v>
      </c>
      <c r="AC63" s="3">
        <f>IF(ISERROR((VLOOKUP($A63,'NonXtal_SegEnds_BW#'!$A:$Z,20,FALSE)+VLOOKUP($A63,A:AL,28,FALSE)-50)),"-",(VLOOKUP($A63,'NonXtal_SegEnds_BW#'!$A:$Z,20,FALSE)+VLOOKUP($A63,A:AL,28,FALSE)-50))</f>
        <v>226</v>
      </c>
      <c r="AD63" s="3">
        <f>IF(ISERROR(VLOOKUP($A63,'NonXtal_SegEnds_BW#'!$A:$Z,21,FALSE)+VLOOKUP($A63,A:AL,31,FALSE)-50),"-",(VLOOKUP($A63,'NonXtal_SegEnds_BW#'!$A:$Z,21,FALSE)+VLOOKUP($A63,A:AL,31,FALSE)-50))</f>
        <v>257</v>
      </c>
      <c r="AE63" s="3">
        <v>283</v>
      </c>
      <c r="AF63" s="3">
        <f>IF(ISERROR((VLOOKUP($A63,'NonXtal_SegEnds_BW#'!$A:$Z,22,FALSE)+VLOOKUP($A63,A:AL,31,FALSE)-50)),"-",(VLOOKUP($A63,'NonXtal_SegEnds_BW#'!$A:$Z,22,FALSE)+VLOOKUP($A63,A:AL,31,FALSE)-50))</f>
        <v>294</v>
      </c>
      <c r="AG63" s="3">
        <f>IF(ISERROR(VLOOKUP($A63,'NonXtal_SegEnds_BW#'!$A:$Z,23,FALSE)+VLOOKUP($A63,A:AL,34,FALSE)-50),"-",(VLOOKUP($A63,'NonXtal_SegEnds_BW#'!$A:$Z,23,FALSE)+VLOOKUP($A63,A:AL,34,FALSE)-50))</f>
        <v>299</v>
      </c>
      <c r="AH63" s="3">
        <v>317</v>
      </c>
      <c r="AI63" s="3">
        <f>IF(ISERROR((VLOOKUP($A63,'NonXtal_SegEnds_BW#'!$A:$Z,24,FALSE)+VLOOKUP($A63,A:AL,34,FALSE)-50)),"-",(VLOOKUP($A63,'NonXtal_SegEnds_BW#'!$A:$Z,24,FALSE)+VLOOKUP($A63,A:AL,34,FALSE)-50))</f>
        <v>322</v>
      </c>
      <c r="AJ63" s="3">
        <f>IF(ISERROR(VLOOKUP($A63,'NonXtal_SegEnds_BW#'!$A:$Z,25,FALSE)+VLOOKUP($A63,A:AL,37,FALSE)-50),"-",(VLOOKUP($A63,'NonXtal_SegEnds_BW#'!$A:$Z,25,FALSE)+VLOOKUP($A63,A:AL,37,FALSE)-50))</f>
        <v>324</v>
      </c>
      <c r="AK63" s="3">
        <v>327</v>
      </c>
      <c r="AL63" s="3">
        <f>IF(ISERROR((VLOOKUP($A63,'NonXtal_SegEnds_BW#'!$A:$Z,26,FALSE)+VLOOKUP($A63,A:AL,37,FALSE)-50)),"-",(VLOOKUP($A63,'NonXtal_SegEnds_BW#'!$A:$Z,26,FALSE)+VLOOKUP($A63,A:AL,37,FALSE)-50))</f>
        <v>336</v>
      </c>
      <c r="AM63" s="71" t="str">
        <f>VLOOKUP(A63,Classification!A:B,2,FALSE)</f>
        <v>A</v>
      </c>
      <c r="AN63" s="71" t="b">
        <f t="shared" si="2"/>
        <v>1</v>
      </c>
      <c r="AO63" s="3">
        <f t="shared" si="3"/>
        <v>1</v>
      </c>
      <c r="AP63" s="3">
        <f t="shared" si="4"/>
        <v>1</v>
      </c>
      <c r="AQ63" s="3">
        <f t="shared" si="5"/>
        <v>2</v>
      </c>
      <c r="AR63" s="3">
        <f t="shared" si="6"/>
        <v>1</v>
      </c>
      <c r="AS63" s="3">
        <f t="shared" si="7"/>
        <v>1</v>
      </c>
      <c r="AT63" s="3">
        <f t="shared" si="8"/>
        <v>2</v>
      </c>
      <c r="AU63" s="3">
        <f t="shared" si="9"/>
        <v>15</v>
      </c>
      <c r="AV63" s="3">
        <f t="shared" si="10"/>
        <v>3</v>
      </c>
      <c r="AW63" s="3">
        <f t="shared" si="11"/>
        <v>31</v>
      </c>
      <c r="AX63" s="3">
        <f t="shared" si="12"/>
        <v>5</v>
      </c>
      <c r="AY63" s="3">
        <f t="shared" si="13"/>
        <v>2</v>
      </c>
      <c r="AZ63" s="3">
        <f>IF(ISERROR(LEN(VLOOKUP(A63,Seqs!A:E,2,FALSE))-AL63),"-",LEN(VLOOKUP(A63,Seqs!A:E,2,FALSE))-AL63)</f>
        <v>104</v>
      </c>
      <c r="BA63" s="35">
        <f t="shared" si="14"/>
        <v>28</v>
      </c>
      <c r="BB63" s="3">
        <f t="shared" si="15"/>
        <v>20</v>
      </c>
      <c r="BC63" s="3">
        <f t="shared" si="16"/>
        <v>28</v>
      </c>
      <c r="BD63" s="3">
        <f t="shared" si="17"/>
        <v>83</v>
      </c>
    </row>
    <row r="64" spans="1:57" s="3" customFormat="1" x14ac:dyDescent="0.2">
      <c r="A64" s="3" t="s">
        <v>505</v>
      </c>
      <c r="B64" s="3" t="str">
        <f>LOWER(VLOOKUP(A64,Xtal_Templ!A:B,2,FALSE))</f>
        <v>adrb1_melga</v>
      </c>
      <c r="C64" s="3">
        <f>VLOOKUP($A64,'NonXtal_SegEnds_BW#'!$A:$Z,3,FALSE)+D64-50</f>
        <v>19</v>
      </c>
      <c r="D64" s="3">
        <v>45</v>
      </c>
      <c r="E64" s="3">
        <f>IF(ISERROR(VLOOKUP($A64,'NonXtal_SegEnds_BW#'!$A:$Z,4,FALSE)+VLOOKUP($A64,A:AL,4,FALSE)-50),"-",(VLOOKUP($A64,'NonXtal_SegEnds_BW#'!$A:$Z,4,FALSE)+VLOOKUP($A64,A:AL,4,FALSE)-50))</f>
        <v>55</v>
      </c>
      <c r="F64" s="3">
        <f t="shared" si="25"/>
        <v>56</v>
      </c>
      <c r="G64" s="3">
        <v>58</v>
      </c>
      <c r="H64" s="3">
        <f t="shared" si="33"/>
        <v>59</v>
      </c>
      <c r="I64" s="3">
        <f t="shared" si="33"/>
        <v>60</v>
      </c>
      <c r="J64" s="3">
        <v>73</v>
      </c>
      <c r="K64" s="3">
        <f>VLOOKUP($A64,'NonXtal_SegEnds_BW#'!$A:$Z,8,FALSE)+VLOOKUP($A64,A:AL,10,FALSE)-50</f>
        <v>90</v>
      </c>
      <c r="L64" s="3">
        <f t="shared" si="34"/>
        <v>92</v>
      </c>
      <c r="M64" s="3">
        <v>93</v>
      </c>
      <c r="N64" s="3">
        <f t="shared" si="35"/>
        <v>95</v>
      </c>
      <c r="O64" s="3">
        <f t="shared" si="29"/>
        <v>96</v>
      </c>
      <c r="P64" s="3">
        <v>125</v>
      </c>
      <c r="Q64" s="3">
        <f>VLOOKUP($A64,'NonXtal_SegEnds_BW#'!$A:$Z,12,FALSE)+VLOOKUP($A64,A:AL,16,FALSE)-50</f>
        <v>131</v>
      </c>
      <c r="R64" s="3">
        <f>IF(ISERROR(VLOOKUP($A64,'NonXtal_SegEnds_BW#'!$A:$Z,13,FALSE)+VLOOKUP($A64,A:AL,19,FALSE)-50),"-",VLOOKUP($A64,'NonXtal_SegEnds_BW#'!$A:$Z,13,FALSE)+VLOOKUP($A64,A:AL,19,FALSE)-50)</f>
        <v>132</v>
      </c>
      <c r="S64" s="3">
        <v>132</v>
      </c>
      <c r="T64" s="3">
        <f>IF(ISERROR(VLOOKUP($A64,'NonXtal_SegEnds_BW#'!$A:$Z,14,FALSE)+VLOOKUP($A64,A:AL,19,FALSE)-50),"-",(VLOOKUP($A64,'NonXtal_SegEnds_BW#'!$A:$Z,14,FALSE)+VLOOKUP($A64,A:AL,19,FALSE)-50))</f>
        <v>139</v>
      </c>
      <c r="U64" s="3">
        <f>IF(ISERROR(VLOOKUP($A64,'NonXtal_SegEnds_BW#'!$A:$Z,15,FALSE)+VLOOKUP($A64,A:AL,22,FALSE)-50),"-",VLOOKUP($A64,'NonXtal_SegEnds_BW#'!$A:$Z,15,FALSE)+VLOOKUP($A64,A:AL,22,FALSE)-50)</f>
        <v>141</v>
      </c>
      <c r="V64" s="3">
        <v>152</v>
      </c>
      <c r="W64" s="3">
        <f>IF(ISERROR(VLOOKUP($A64,'NonXtal_SegEnds_BW#'!$A:$Z,16,FALSE)+VLOOKUP($A64,A:AL,22,FALSE)-50),"-",(VLOOKUP($A64,'NonXtal_SegEnds_BW#'!$A:$Z,16,FALSE)+VLOOKUP($A64,A:AL,22,FALSE)-50))</f>
        <v>166</v>
      </c>
      <c r="X64" s="3">
        <f>IF(ISERROR(VLOOKUP($A64,'NonXtal_SegEnds_BW#'!$A:$Z,17,FALSE)+VLOOKUP($A64,A:AL,25,FALSE)-50),"-",(VLOOKUP($A64,'NonXtal_SegEnds_BW#'!$A:$Z,17,FALSE)+VLOOKUP($A64,A:AL,25,FALSE)-50))</f>
        <v>177</v>
      </c>
      <c r="Y64" s="3">
        <v>177</v>
      </c>
      <c r="Z64" s="3">
        <f t="shared" si="30"/>
        <v>179</v>
      </c>
      <c r="AA64" s="3">
        <f>IF(ISERROR(VLOOKUP($A64,'NonXtal_SegEnds_BW#'!$A:$Z,19,FALSE)+VLOOKUP($A64,A:AL,28,FALSE)-50),"-",(VLOOKUP($A64,'NonXtal_SegEnds_BW#'!$A:$Z,19,FALSE)+VLOOKUP($A64,A:AL,28,FALSE)-50))</f>
        <v>184</v>
      </c>
      <c r="AB64" s="3">
        <v>199</v>
      </c>
      <c r="AC64" s="3">
        <f>IF(ISERROR((VLOOKUP($A64,'NonXtal_SegEnds_BW#'!$A:$Z,20,FALSE)+VLOOKUP($A64,A:AL,28,FALSE)-50)),"-",(VLOOKUP($A64,'NonXtal_SegEnds_BW#'!$A:$Z,20,FALSE)+VLOOKUP($A64,A:AL,28,FALSE)-50))</f>
        <v>221</v>
      </c>
      <c r="AD64" s="3">
        <f>IF(ISERROR(VLOOKUP($A64,'NonXtal_SegEnds_BW#'!$A:$Z,21,FALSE)+VLOOKUP($A64,A:AL,31,FALSE)-50),"-",(VLOOKUP($A64,'NonXtal_SegEnds_BW#'!$A:$Z,21,FALSE)+VLOOKUP($A64,A:AL,31,FALSE)-50))</f>
        <v>227</v>
      </c>
      <c r="AE64" s="3">
        <v>253</v>
      </c>
      <c r="AF64" s="3">
        <f>IF(ISERROR((VLOOKUP($A64,'NonXtal_SegEnds_BW#'!$A:$Z,22,FALSE)+VLOOKUP($A64,A:AL,31,FALSE)-50)),"-",(VLOOKUP($A64,'NonXtal_SegEnds_BW#'!$A:$Z,22,FALSE)+VLOOKUP($A64,A:AL,31,FALSE)-50))</f>
        <v>264</v>
      </c>
      <c r="AG64" s="3">
        <f>IF(ISERROR(VLOOKUP($A64,'NonXtal_SegEnds_BW#'!$A:$Z,23,FALSE)+VLOOKUP($A64,A:AL,34,FALSE)-50),"-",(VLOOKUP($A64,'NonXtal_SegEnds_BW#'!$A:$Z,23,FALSE)+VLOOKUP($A64,A:AL,34,FALSE)-50))</f>
        <v>270</v>
      </c>
      <c r="AH64" s="3">
        <v>292</v>
      </c>
      <c r="AI64" s="3">
        <f>IF(ISERROR((VLOOKUP($A64,'NonXtal_SegEnds_BW#'!$A:$Z,24,FALSE)+VLOOKUP($A64,A:AL,34,FALSE)-50)),"-",(VLOOKUP($A64,'NonXtal_SegEnds_BW#'!$A:$Z,24,FALSE)+VLOOKUP($A64,A:AL,34,FALSE)-50))</f>
        <v>297</v>
      </c>
      <c r="AJ64" s="3">
        <f>IF(ISERROR(VLOOKUP($A64,'NonXtal_SegEnds_BW#'!$A:$Z,25,FALSE)+VLOOKUP($A64,A:AL,37,FALSE)-50),"-",(VLOOKUP($A64,'NonXtal_SegEnds_BW#'!$A:$Z,25,FALSE)+VLOOKUP($A64,A:AL,37,FALSE)-50))</f>
        <v>299</v>
      </c>
      <c r="AK64" s="3">
        <v>302</v>
      </c>
      <c r="AL64" s="3">
        <f>IF(ISERROR((VLOOKUP($A64,'NonXtal_SegEnds_BW#'!$A:$Z,26,FALSE)+VLOOKUP($A64,A:AL,37,FALSE)-50)),"-",(VLOOKUP($A64,'NonXtal_SegEnds_BW#'!$A:$Z,26,FALSE)+VLOOKUP($A64,A:AL,37,FALSE)-50))</f>
        <v>311</v>
      </c>
      <c r="AM64" s="71" t="str">
        <f>VLOOKUP(A64,Classification!A:B,2,FALSE)</f>
        <v>A</v>
      </c>
      <c r="AN64" s="71" t="b">
        <f t="shared" si="2"/>
        <v>1</v>
      </c>
      <c r="AO64" s="3">
        <f t="shared" si="3"/>
        <v>1</v>
      </c>
      <c r="AP64" s="3">
        <f t="shared" si="4"/>
        <v>1</v>
      </c>
      <c r="AQ64" s="3">
        <f t="shared" si="5"/>
        <v>2</v>
      </c>
      <c r="AR64" s="3">
        <f t="shared" si="6"/>
        <v>1</v>
      </c>
      <c r="AS64" s="3">
        <f t="shared" si="7"/>
        <v>1</v>
      </c>
      <c r="AT64" s="3">
        <f t="shared" si="8"/>
        <v>2</v>
      </c>
      <c r="AU64" s="3">
        <f t="shared" si="9"/>
        <v>11</v>
      </c>
      <c r="AV64" s="3">
        <f t="shared" si="10"/>
        <v>5</v>
      </c>
      <c r="AW64" s="3">
        <f t="shared" si="11"/>
        <v>6</v>
      </c>
      <c r="AX64" s="3">
        <f t="shared" si="12"/>
        <v>6</v>
      </c>
      <c r="AY64" s="3">
        <f t="shared" si="13"/>
        <v>2</v>
      </c>
      <c r="AZ64" s="3">
        <f>IF(ISERROR(LEN(VLOOKUP(A64,Seqs!A:E,2,FALSE))-AL64),"-",LEN(VLOOKUP(A64,Seqs!A:E,2,FALSE))-AL64)</f>
        <v>39</v>
      </c>
      <c r="BA64" s="35">
        <f t="shared" si="14"/>
        <v>28</v>
      </c>
      <c r="BB64" s="3">
        <f t="shared" si="15"/>
        <v>20</v>
      </c>
      <c r="BC64" s="3">
        <f t="shared" si="16"/>
        <v>28</v>
      </c>
      <c r="BD64" s="3">
        <f t="shared" si="17"/>
        <v>54</v>
      </c>
    </row>
    <row r="65" spans="1:57" s="3" customFormat="1" x14ac:dyDescent="0.2">
      <c r="A65" s="3" t="s">
        <v>473</v>
      </c>
      <c r="B65" s="3" t="str">
        <f>LOWER(VLOOKUP(A65,Xtal_Templ!A:B,2,FALSE))</f>
        <v>adrb1_melga</v>
      </c>
      <c r="C65" s="3">
        <f>VLOOKUP($A65,'NonXtal_SegEnds_BW#'!$A:$Z,3,FALSE)+D65-50</f>
        <v>10</v>
      </c>
      <c r="D65" s="3">
        <v>36</v>
      </c>
      <c r="E65" s="3">
        <f>IF(ISERROR(VLOOKUP($A65,'NonXtal_SegEnds_BW#'!$A:$Z,4,FALSE)+VLOOKUP($A65,A:AL,4,FALSE)-50),"-",(VLOOKUP($A65,'NonXtal_SegEnds_BW#'!$A:$Z,4,FALSE)+VLOOKUP($A65,A:AL,4,FALSE)-50))</f>
        <v>46</v>
      </c>
      <c r="F65" s="3">
        <f t="shared" si="25"/>
        <v>47</v>
      </c>
      <c r="G65" s="3">
        <v>49</v>
      </c>
      <c r="H65" s="3">
        <f t="shared" si="33"/>
        <v>50</v>
      </c>
      <c r="I65" s="3">
        <f t="shared" si="33"/>
        <v>51</v>
      </c>
      <c r="J65" s="3">
        <v>64</v>
      </c>
      <c r="K65" s="3">
        <f>VLOOKUP($A65,'NonXtal_SegEnds_BW#'!$A:$Z,8,FALSE)+VLOOKUP($A65,A:AL,10,FALSE)-50</f>
        <v>81</v>
      </c>
      <c r="L65" s="3">
        <f t="shared" si="34"/>
        <v>83</v>
      </c>
      <c r="M65" s="3">
        <v>84</v>
      </c>
      <c r="N65" s="3">
        <f t="shared" si="35"/>
        <v>86</v>
      </c>
      <c r="O65" s="3">
        <f t="shared" si="29"/>
        <v>87</v>
      </c>
      <c r="P65" s="3">
        <v>116</v>
      </c>
      <c r="Q65" s="3">
        <f>VLOOKUP($A65,'NonXtal_SegEnds_BW#'!$A:$Z,12,FALSE)+VLOOKUP($A65,A:AL,16,FALSE)-50</f>
        <v>122</v>
      </c>
      <c r="R65" s="3">
        <f>IF(ISERROR(VLOOKUP($A65,'NonXtal_SegEnds_BW#'!$A:$Z,13,FALSE)+VLOOKUP($A65,A:AL,19,FALSE)-50),"-",VLOOKUP($A65,'NonXtal_SegEnds_BW#'!$A:$Z,13,FALSE)+VLOOKUP($A65,A:AL,19,FALSE)-50)</f>
        <v>123</v>
      </c>
      <c r="S65" s="3">
        <v>123</v>
      </c>
      <c r="T65" s="3">
        <f>IF(ISERROR(VLOOKUP($A65,'NonXtal_SegEnds_BW#'!$A:$Z,14,FALSE)+VLOOKUP($A65,A:AL,19,FALSE)-50),"-",(VLOOKUP($A65,'NonXtal_SegEnds_BW#'!$A:$Z,14,FALSE)+VLOOKUP($A65,A:AL,19,FALSE)-50))</f>
        <v>130</v>
      </c>
      <c r="U65" s="3">
        <f>IF(ISERROR(VLOOKUP($A65,'NonXtal_SegEnds_BW#'!$A:$Z,15,FALSE)+VLOOKUP($A65,A:AL,22,FALSE)-50),"-",VLOOKUP($A65,'NonXtal_SegEnds_BW#'!$A:$Z,15,FALSE)+VLOOKUP($A65,A:AL,22,FALSE)-50)</f>
        <v>132</v>
      </c>
      <c r="V65" s="3">
        <v>143</v>
      </c>
      <c r="W65" s="3">
        <f>IF(ISERROR(VLOOKUP($A65,'NonXtal_SegEnds_BW#'!$A:$Z,16,FALSE)+VLOOKUP($A65,A:AL,22,FALSE)-50),"-",(VLOOKUP($A65,'NonXtal_SegEnds_BW#'!$A:$Z,16,FALSE)+VLOOKUP($A65,A:AL,22,FALSE)-50))</f>
        <v>157</v>
      </c>
      <c r="X65" s="3">
        <f>IF(ISERROR(VLOOKUP($A65,'NonXtal_SegEnds_BW#'!$A:$Z,17,FALSE)+VLOOKUP($A65,A:AL,25,FALSE)-50),"-",(VLOOKUP($A65,'NonXtal_SegEnds_BW#'!$A:$Z,17,FALSE)+VLOOKUP($A65,A:AL,25,FALSE)-50))</f>
        <v>174</v>
      </c>
      <c r="Y65" s="3">
        <v>174</v>
      </c>
      <c r="Z65" s="3">
        <f t="shared" si="30"/>
        <v>176</v>
      </c>
      <c r="AA65" s="3">
        <f>IF(ISERROR(VLOOKUP($A65,'NonXtal_SegEnds_BW#'!$A:$Z,19,FALSE)+VLOOKUP($A65,A:AL,28,FALSE)-50),"-",(VLOOKUP($A65,'NonXtal_SegEnds_BW#'!$A:$Z,19,FALSE)+VLOOKUP($A65,A:AL,28,FALSE)-50))</f>
        <v>179</v>
      </c>
      <c r="AB65" s="3">
        <v>194</v>
      </c>
      <c r="AC65" s="3">
        <f>IF(ISERROR((VLOOKUP($A65,'NonXtal_SegEnds_BW#'!$A:$Z,20,FALSE)+VLOOKUP($A65,A:AL,28,FALSE)-50)),"-",(VLOOKUP($A65,'NonXtal_SegEnds_BW#'!$A:$Z,20,FALSE)+VLOOKUP($A65,A:AL,28,FALSE)-50))</f>
        <v>217</v>
      </c>
      <c r="AD65" s="3">
        <f>IF(ISERROR(VLOOKUP($A65,'NonXtal_SegEnds_BW#'!$A:$Z,21,FALSE)+VLOOKUP($A65,A:AL,31,FALSE)-50),"-",(VLOOKUP($A65,'NonXtal_SegEnds_BW#'!$A:$Z,21,FALSE)+VLOOKUP($A65,A:AL,31,FALSE)-50))</f>
        <v>221</v>
      </c>
      <c r="AE65" s="3">
        <v>249</v>
      </c>
      <c r="AF65" s="3">
        <f>IF(ISERROR((VLOOKUP($A65,'NonXtal_SegEnds_BW#'!$A:$Z,22,FALSE)+VLOOKUP($A65,A:AL,31,FALSE)-50)),"-",(VLOOKUP($A65,'NonXtal_SegEnds_BW#'!$A:$Z,22,FALSE)+VLOOKUP($A65,A:AL,31,FALSE)-50))</f>
        <v>260</v>
      </c>
      <c r="AG65" s="3">
        <f>IF(ISERROR(VLOOKUP($A65,'NonXtal_SegEnds_BW#'!$A:$Z,23,FALSE)+VLOOKUP($A65,A:AL,34,FALSE)-50),"-",(VLOOKUP($A65,'NonXtal_SegEnds_BW#'!$A:$Z,23,FALSE)+VLOOKUP($A65,A:AL,34,FALSE)-50))</f>
        <v>266</v>
      </c>
      <c r="AH65" s="3">
        <v>285</v>
      </c>
      <c r="AI65" s="3">
        <v>291</v>
      </c>
      <c r="AJ65" s="3">
        <f>IF(ISERROR(VLOOKUP($A65,'NonXtal_SegEnds_BW#'!$A:$Z,25,FALSE)+VLOOKUP($A65,A:AL,37,FALSE)-50),"-",(VLOOKUP($A65,'NonXtal_SegEnds_BW#'!$A:$Z,25,FALSE)+VLOOKUP($A65,A:AL,37,FALSE)-50))</f>
        <v>292</v>
      </c>
      <c r="AK65" s="3">
        <v>295</v>
      </c>
      <c r="AL65" s="3">
        <f>IF(ISERROR((VLOOKUP($A65,'NonXtal_SegEnds_BW#'!$A:$Z,26,FALSE)+VLOOKUP($A65,A:AL,37,FALSE)-50)),"-",(VLOOKUP($A65,'NonXtal_SegEnds_BW#'!$A:$Z,26,FALSE)+VLOOKUP($A65,A:AL,37,FALSE)-50))</f>
        <v>304</v>
      </c>
      <c r="AM65" s="71" t="str">
        <f>VLOOKUP(A65,Classification!A:B,2,FALSE)</f>
        <v>A</v>
      </c>
      <c r="AN65" s="71" t="b">
        <f t="shared" si="2"/>
        <v>1</v>
      </c>
      <c r="AO65" s="3">
        <f t="shared" si="3"/>
        <v>1</v>
      </c>
      <c r="AP65" s="3">
        <f t="shared" si="4"/>
        <v>1</v>
      </c>
      <c r="AQ65" s="3">
        <f t="shared" si="5"/>
        <v>2</v>
      </c>
      <c r="AR65" s="3">
        <f t="shared" si="6"/>
        <v>1</v>
      </c>
      <c r="AS65" s="3">
        <f t="shared" si="7"/>
        <v>1</v>
      </c>
      <c r="AT65" s="3">
        <f t="shared" si="8"/>
        <v>2</v>
      </c>
      <c r="AU65" s="3">
        <f t="shared" si="9"/>
        <v>17</v>
      </c>
      <c r="AV65" s="3">
        <f t="shared" si="10"/>
        <v>3</v>
      </c>
      <c r="AW65" s="3">
        <f t="shared" si="11"/>
        <v>4</v>
      </c>
      <c r="AX65" s="3">
        <f t="shared" si="12"/>
        <v>6</v>
      </c>
      <c r="AY65" s="3">
        <f t="shared" si="13"/>
        <v>1</v>
      </c>
      <c r="AZ65" s="3">
        <f>IF(ISERROR(LEN(VLOOKUP(A65,Seqs!A:E,2,FALSE))-AL65),"-",LEN(VLOOKUP(A65,Seqs!A:E,2,FALSE))-AL65)</f>
        <v>55</v>
      </c>
      <c r="BA65" s="35">
        <f t="shared" si="14"/>
        <v>28</v>
      </c>
      <c r="BB65" s="3">
        <f t="shared" si="15"/>
        <v>20</v>
      </c>
      <c r="BC65" s="3">
        <f t="shared" si="16"/>
        <v>28</v>
      </c>
      <c r="BD65" s="3">
        <f t="shared" si="17"/>
        <v>55</v>
      </c>
    </row>
    <row r="66" spans="1:57" s="3" customFormat="1" x14ac:dyDescent="0.2">
      <c r="A66" s="3" t="s">
        <v>569</v>
      </c>
      <c r="B66" s="3" t="str">
        <f>LOWER(VLOOKUP(A66,Xtal_Templ!A:B,2,FALSE))</f>
        <v>adrb2_human</v>
      </c>
      <c r="C66" s="3">
        <f>VLOOKUP($A66,'NonXtal_SegEnds_BW#'!$A:$Z,3,FALSE)+D66-50</f>
        <v>398</v>
      </c>
      <c r="D66" s="3">
        <v>423</v>
      </c>
      <c r="E66" s="3">
        <f>IF(ISERROR(VLOOKUP($A66,'NonXtal_SegEnds_BW#'!$A:$Z,4,FALSE)+VLOOKUP($A66,A:AL,4,FALSE)-50),"-",(VLOOKUP($A66,'NonXtal_SegEnds_BW#'!$A:$Z,4,FALSE)+VLOOKUP($A66,A:AL,4,FALSE)-50))</f>
        <v>433</v>
      </c>
      <c r="F66" s="3">
        <f t="shared" si="25"/>
        <v>434</v>
      </c>
      <c r="G66" s="3">
        <v>436</v>
      </c>
      <c r="H66" s="3">
        <f t="shared" si="33"/>
        <v>437</v>
      </c>
      <c r="I66" s="3">
        <f t="shared" si="33"/>
        <v>438</v>
      </c>
      <c r="J66" s="3">
        <v>451</v>
      </c>
      <c r="K66" s="3">
        <f>VLOOKUP($A66,'NonXtal_SegEnds_BW#'!$A:$Z,8,FALSE)+VLOOKUP($A66,A:AL,10,FALSE)-50</f>
        <v>468</v>
      </c>
      <c r="L66" s="3" t="str">
        <f>IF(ISERROR(VLOOKUP($A66,'NonXtal_SegEnds_BW#'!$A:$Z,9,FALSE)+VLOOKUP($A66,A:AL,13,FALSE)-50),"-",(VLOOKUP($A66,'NonXtal_SegEnds_BW#'!$A:$Z,9,FALSE)+VLOOKUP($A66,A:AL,13,FALSE)-50))</f>
        <v>-</v>
      </c>
      <c r="M66" s="3" t="s">
        <v>129</v>
      </c>
      <c r="N66" s="3" t="str">
        <f>IF(ISERROR(VLOOKUP($A66,'NonXtal_SegEnds_BW#'!$A:$Z,10,FALSE)+VLOOKUP($A66,A:AL,13,FALSE)-50),"-",(VLOOKUP($A66,'NonXtal_SegEnds_BW#'!$A:$Z,10,FALSE)+VLOOKUP($A66,A:AL,13,FALSE)-50))</f>
        <v>-</v>
      </c>
      <c r="O66" s="3">
        <f>VLOOKUP($A66,'NonXtal_SegEnds_BW#'!$A:$Z,11,FALSE)+VLOOKUP($A66,A:AL,16,FALSE)-50</f>
        <v>478</v>
      </c>
      <c r="P66" s="3">
        <v>510</v>
      </c>
      <c r="Q66" s="3">
        <f>VLOOKUP($A66,'NonXtal_SegEnds_BW#'!$A:$Z,12,FALSE)+VLOOKUP($A66,A:AL,16,FALSE)-50</f>
        <v>516</v>
      </c>
      <c r="R66" s="3">
        <f>IF(ISERROR(VLOOKUP($A66,'NonXtal_SegEnds_BW#'!$A:$Z,13,FALSE)+VLOOKUP($A66,A:AL,19,FALSE)-50),"-",VLOOKUP($A66,'NonXtal_SegEnds_BW#'!$A:$Z,13,FALSE)+VLOOKUP($A66,A:AL,19,FALSE)-50)</f>
        <v>517</v>
      </c>
      <c r="S66" s="3">
        <v>517</v>
      </c>
      <c r="T66" s="3">
        <f>IF(ISERROR(VLOOKUP($A66,'NonXtal_SegEnds_BW#'!$A:$Z,14,FALSE)+VLOOKUP($A66,A:AL,19,FALSE)-50),"-",(VLOOKUP($A66,'NonXtal_SegEnds_BW#'!$A:$Z,14,FALSE)+VLOOKUP($A66,A:AL,19,FALSE)-50))</f>
        <v>524</v>
      </c>
      <c r="U66" s="3">
        <f>IF(ISERROR(VLOOKUP($A66,'NonXtal_SegEnds_BW#'!$A:$Z,15,FALSE)+VLOOKUP($A66,A:AL,22,FALSE)-50),"-",VLOOKUP($A66,'NonXtal_SegEnds_BW#'!$A:$Z,15,FALSE)+VLOOKUP($A66,A:AL,22,FALSE)-50)</f>
        <v>525</v>
      </c>
      <c r="V66" s="3">
        <v>536</v>
      </c>
      <c r="W66" s="3">
        <f>IF(ISERROR(VLOOKUP($A66,'NonXtal_SegEnds_BW#'!$A:$Z,16,FALSE)+VLOOKUP($A66,A:AL,22,FALSE)-50),"-",(VLOOKUP($A66,'NonXtal_SegEnds_BW#'!$A:$Z,16,FALSE)+VLOOKUP($A66,A:AL,22,FALSE)-50))</f>
        <v>550</v>
      </c>
      <c r="X66" s="3">
        <f>IF(ISERROR(VLOOKUP($A66,'NonXtal_SegEnds_BW#'!$A:$Z,17,FALSE)+VLOOKUP($A66,A:AL,25,FALSE)-50),"-",(VLOOKUP($A66,'NonXtal_SegEnds_BW#'!$A:$Z,17,FALSE)+VLOOKUP($A66,A:AL,25,FALSE)-50))</f>
        <v>563</v>
      </c>
      <c r="Y66" s="3">
        <v>563</v>
      </c>
      <c r="Z66" s="3">
        <f t="shared" si="30"/>
        <v>565</v>
      </c>
      <c r="AA66" s="3">
        <f>IF(ISERROR(VLOOKUP($A66,'NonXtal_SegEnds_BW#'!$A:$Z,19,FALSE)+VLOOKUP($A66,A:AL,28,FALSE)-50),"-",(VLOOKUP($A66,'NonXtal_SegEnds_BW#'!$A:$Z,19,FALSE)+VLOOKUP($A66,A:AL,28,FALSE)-50))</f>
        <v>576</v>
      </c>
      <c r="AB66" s="3">
        <v>591</v>
      </c>
      <c r="AC66" s="3">
        <f>IF(ISERROR((VLOOKUP($A66,'NonXtal_SegEnds_BW#'!$A:$Z,20,FALSE)+VLOOKUP($A66,A:AL,28,FALSE)-50)),"-",(VLOOKUP($A66,'NonXtal_SegEnds_BW#'!$A:$Z,20,FALSE)+VLOOKUP($A66,A:AL,28,FALSE)-50))</f>
        <v>613</v>
      </c>
      <c r="AD66" s="3">
        <f>IF(ISERROR(VLOOKUP($A66,'NonXtal_SegEnds_BW#'!$A:$Z,21,FALSE)+VLOOKUP($A66,A:AL,31,FALSE)-50),"-",(VLOOKUP($A66,'NonXtal_SegEnds_BW#'!$A:$Z,21,FALSE)+VLOOKUP($A66,A:AL,31,FALSE)-50))</f>
        <v>617</v>
      </c>
      <c r="AE66" s="3">
        <v>643</v>
      </c>
      <c r="AF66" s="3">
        <f>IF(ISERROR((VLOOKUP($A66,'NonXtal_SegEnds_BW#'!$A:$Z,22,FALSE)+VLOOKUP($A66,A:AL,31,FALSE)-50)),"-",(VLOOKUP($A66,'NonXtal_SegEnds_BW#'!$A:$Z,22,FALSE)+VLOOKUP($A66,A:AL,31,FALSE)-50))</f>
        <v>654</v>
      </c>
      <c r="AG66" s="3">
        <f>IF(ISERROR(VLOOKUP($A66,'NonXtal_SegEnds_BW#'!$A:$Z,23,FALSE)+VLOOKUP($A66,A:AL,34,FALSE)-50),"-",(VLOOKUP($A66,'NonXtal_SegEnds_BW#'!$A:$Z,23,FALSE)+VLOOKUP($A66,A:AL,34,FALSE)-50))</f>
        <v>659</v>
      </c>
      <c r="AH66" s="3">
        <v>678</v>
      </c>
      <c r="AI66" s="3">
        <v>684</v>
      </c>
      <c r="AJ66" s="3">
        <f>IF(ISERROR(VLOOKUP($A66,'NonXtal_SegEnds_BW#'!$A:$Z,25,FALSE)+VLOOKUP($A66,A:AL,37,FALSE)-50),"-",(VLOOKUP($A66,'NonXtal_SegEnds_BW#'!$A:$Z,25,FALSE)+VLOOKUP($A66,A:AL,37,FALSE)-50))</f>
        <v>685</v>
      </c>
      <c r="AK66" s="3">
        <v>688</v>
      </c>
      <c r="AL66" s="3">
        <f>IF(ISERROR((VLOOKUP($A66,'NonXtal_SegEnds_BW#'!$A:$Z,26,FALSE)+VLOOKUP($A66,A:AL,37,FALSE)-50)),"-",(VLOOKUP($A66,'NonXtal_SegEnds_BW#'!$A:$Z,26,FALSE)+VLOOKUP($A66,A:AL,37,FALSE)-50))</f>
        <v>697</v>
      </c>
      <c r="AM66" s="71" t="str">
        <f>VLOOKUP(A66,Classification!A:B,2,FALSE)</f>
        <v>A</v>
      </c>
      <c r="AN66" s="71" t="b">
        <f t="shared" ref="AN66:AN129" si="36">AND(C66&lt;E66,OR(E66&lt;F66,F66="-"),OR(F66&lt;H66,F66="-"),OR(H66&lt;I66,H66="-"),I66&lt;K66,OR(K66&lt;L66,L66="-"),OR(L66&lt;N66,L66="-"),OR(N66&lt;O66,N66="-"),O66&lt;Q66,OR(Q66&lt;R66,R66="-"),OR(R66&lt;T66,R66="-"),OR(T66&lt;U66,T66="-"),U66&lt;W66,OR(W66&lt;X66,X66="-"),OR(X66&lt;Z66,X66="-"),OR(Z66&lt;AA66,Z66="-"),AA66&lt;AC66,AC66&lt;AD66,AD66&lt;AF66,AF66&lt;AG66,AG66&lt;AI66,OR(AI66&lt;AJ66,AJ66="-"),OR(AJ66&lt;AL66,AJ66="-"))</f>
        <v>1</v>
      </c>
      <c r="AO66" s="3">
        <f t="shared" ref="AO66:AO129" si="37">IF(ISERROR(F66-E66),"-",F66-E66)</f>
        <v>1</v>
      </c>
      <c r="AP66" s="3">
        <f t="shared" ref="AP66:AP129" si="38">IF(ISERROR(I66-H66),"-",I66-H66)</f>
        <v>1</v>
      </c>
      <c r="AQ66" s="3" t="str">
        <f t="shared" ref="AQ66:AQ129" si="39">IF(ISERROR(L66-K66),"-",L66-K66)</f>
        <v>-</v>
      </c>
      <c r="AR66" s="3" t="str">
        <f t="shared" ref="AR66:AR129" si="40">IF(ISERROR(O66-N66),"-",O66-N66)</f>
        <v>-</v>
      </c>
      <c r="AS66" s="3">
        <f t="shared" ref="AS66:AS129" si="41">IF(ISERROR(R66-Q66),"-",R66-Q66)</f>
        <v>1</v>
      </c>
      <c r="AT66" s="3">
        <f t="shared" ref="AT66:AT129" si="42">IF(ISERROR(U66-T66),"-",U66-T66)</f>
        <v>1</v>
      </c>
      <c r="AU66" s="3">
        <f t="shared" ref="AU66:AU129" si="43">IF(ISERROR(X66-W66),"-",X66-W66)</f>
        <v>13</v>
      </c>
      <c r="AV66" s="3">
        <f t="shared" ref="AV66:AV129" si="44">IF(ISERROR(AA66-Z66),"-",AA66-Z66)</f>
        <v>11</v>
      </c>
      <c r="AW66" s="3">
        <f t="shared" ref="AW66:AW129" si="45">IF(ISERROR(AD66-AC66),"-",AD66-AC66)</f>
        <v>4</v>
      </c>
      <c r="AX66" s="3">
        <f t="shared" ref="AX66:AX129" si="46">IF(ISERROR(AG66-AF66),"-",AG66-AF66)</f>
        <v>5</v>
      </c>
      <c r="AY66" s="3">
        <f t="shared" ref="AY66:AY129" si="47">IF(ISERROR(AJ66-AI66),"-",AJ66-AI66)</f>
        <v>1</v>
      </c>
      <c r="AZ66" s="3">
        <f>IF(ISERROR(LEN(VLOOKUP(A66,Seqs!A:E,2,FALSE))-AL66),"-",LEN(VLOOKUP(A66,Seqs!A:E,2,FALSE))-AL66)</f>
        <v>60</v>
      </c>
      <c r="BA66" s="35">
        <f t="shared" ref="BA66:BA129" si="48">J66-D66</f>
        <v>28</v>
      </c>
      <c r="BB66" s="3">
        <f t="shared" ref="BB66:BB129" si="49">IF(ISERROR(V66-S66),"-",V66-S66)</f>
        <v>19</v>
      </c>
      <c r="BC66" s="3">
        <f t="shared" ref="BC66:BC129" si="50">J66-D66</f>
        <v>28</v>
      </c>
      <c r="BD66" s="3">
        <f t="shared" ref="BD66:BD129" si="51">AE66-AB66</f>
        <v>52</v>
      </c>
    </row>
    <row r="67" spans="1:57" s="3" customFormat="1" ht="17" customHeight="1" x14ac:dyDescent="0.2">
      <c r="A67" s="3" t="s">
        <v>320</v>
      </c>
      <c r="B67" s="3" t="str">
        <f>LOWER(VLOOKUP(A67,Xtal_Templ!A:B,2,FALSE))</f>
        <v>adrb2_human</v>
      </c>
      <c r="C67" s="3">
        <f>VLOOKUP($A67,'NonXtal_SegEnds_BW#'!$A:$Z,3,FALSE)+D67-50</f>
        <v>26</v>
      </c>
      <c r="D67" s="3">
        <v>51</v>
      </c>
      <c r="E67" s="3">
        <f>IF(ISERROR(VLOOKUP($A67,'NonXtal_SegEnds_BW#'!$A:$Z,4,FALSE)+VLOOKUP($A67,A:AL,4,FALSE)-50),"-",(VLOOKUP($A67,'NonXtal_SegEnds_BW#'!$A:$Z,4,FALSE)+VLOOKUP($A67,A:AL,4,FALSE)-50))</f>
        <v>61</v>
      </c>
      <c r="F67" s="3">
        <f t="shared" si="25"/>
        <v>62</v>
      </c>
      <c r="G67" s="3">
        <v>64</v>
      </c>
      <c r="H67" s="3">
        <f t="shared" si="33"/>
        <v>65</v>
      </c>
      <c r="I67" s="3">
        <f t="shared" si="33"/>
        <v>66</v>
      </c>
      <c r="J67" s="3">
        <v>79</v>
      </c>
      <c r="K67" s="3">
        <f>VLOOKUP($A67,'NonXtal_SegEnds_BW#'!$A:$Z,8,FALSE)+VLOOKUP($A67,A:AL,10,FALSE)-50</f>
        <v>96</v>
      </c>
      <c r="L67" s="3">
        <f>M67-1</f>
        <v>98</v>
      </c>
      <c r="M67" s="3">
        <v>99</v>
      </c>
      <c r="N67" s="3">
        <f>M67+2</f>
        <v>101</v>
      </c>
      <c r="O67" s="3">
        <f>N67+1</f>
        <v>102</v>
      </c>
      <c r="P67" s="3">
        <v>131</v>
      </c>
      <c r="Q67" s="3">
        <f>VLOOKUP($A67,'NonXtal_SegEnds_BW#'!$A:$Z,12,FALSE)+VLOOKUP($A67,A:AL,16,FALSE)-50</f>
        <v>137</v>
      </c>
      <c r="R67" s="3">
        <f>IF(ISERROR(VLOOKUP($A67,'NonXtal_SegEnds_BW#'!$A:$Z,13,FALSE)+VLOOKUP($A67,A:AL,19,FALSE)-50),"-",VLOOKUP($A67,'NonXtal_SegEnds_BW#'!$A:$Z,13,FALSE)+VLOOKUP($A67,A:AL,19,FALSE)-50)</f>
        <v>138</v>
      </c>
      <c r="S67" s="3">
        <v>138</v>
      </c>
      <c r="T67" s="3">
        <f>IF(ISERROR(VLOOKUP($A67,'NonXtal_SegEnds_BW#'!$A:$Z,14,FALSE)+VLOOKUP($A67,A:AL,19,FALSE)-50),"-",(VLOOKUP($A67,'NonXtal_SegEnds_BW#'!$A:$Z,14,FALSE)+VLOOKUP($A67,A:AL,19,FALSE)-50))</f>
        <v>145</v>
      </c>
      <c r="U67" s="3">
        <f>IF(ISERROR(VLOOKUP($A67,'NonXtal_SegEnds_BW#'!$A:$Z,15,FALSE)+VLOOKUP($A67,A:AL,22,FALSE)-50),"-",VLOOKUP($A67,'NonXtal_SegEnds_BW#'!$A:$Z,15,FALSE)+VLOOKUP($A67,A:AL,22,FALSE)-50)</f>
        <v>147</v>
      </c>
      <c r="V67" s="3">
        <v>158</v>
      </c>
      <c r="W67" s="3">
        <f>IF(ISERROR(VLOOKUP($A67,'NonXtal_SegEnds_BW#'!$A:$Z,16,FALSE)+VLOOKUP($A67,A:AL,22,FALSE)-50),"-",(VLOOKUP($A67,'NonXtal_SegEnds_BW#'!$A:$Z,16,FALSE)+VLOOKUP($A67,A:AL,22,FALSE)-50))</f>
        <v>172</v>
      </c>
      <c r="X67" s="3">
        <f>IF(ISERROR(VLOOKUP($A67,'NonXtal_SegEnds_BW#'!$A:$Z,17,FALSE)+VLOOKUP($A67,A:AL,25,FALSE)-50),"-",(VLOOKUP($A67,'NonXtal_SegEnds_BW#'!$A:$Z,17,FALSE)+VLOOKUP($A67,A:AL,25,FALSE)-50))</f>
        <v>191</v>
      </c>
      <c r="Y67" s="3">
        <v>191</v>
      </c>
      <c r="Z67" s="3">
        <f t="shared" si="30"/>
        <v>193</v>
      </c>
      <c r="AA67" s="3">
        <f>IF(ISERROR(VLOOKUP($A67,'NonXtal_SegEnds_BW#'!$A:$Z,19,FALSE)+VLOOKUP($A67,A:AL,28,FALSE)-50),"-",(VLOOKUP($A67,'NonXtal_SegEnds_BW#'!$A:$Z,19,FALSE)+VLOOKUP($A67,A:AL,28,FALSE)-50))</f>
        <v>196</v>
      </c>
      <c r="AB67" s="3">
        <v>211</v>
      </c>
      <c r="AC67" s="3">
        <f>IF(ISERROR((VLOOKUP($A67,'NonXtal_SegEnds_BW#'!$A:$Z,20,FALSE)+VLOOKUP($A67,A:AL,28,FALSE)-50)),"-",(VLOOKUP($A67,'NonXtal_SegEnds_BW#'!$A:$Z,20,FALSE)+VLOOKUP($A67,A:AL,28,FALSE)-50))</f>
        <v>237</v>
      </c>
      <c r="AD67" s="3">
        <f>IF(ISERROR(VLOOKUP($A67,'NonXtal_SegEnds_BW#'!$A:$Z,21,FALSE)+VLOOKUP($A67,A:AL,31,FALSE)-50),"-",(VLOOKUP($A67,'NonXtal_SegEnds_BW#'!$A:$Z,21,FALSE)+VLOOKUP($A67,A:AL,31,FALSE)-50))</f>
        <v>262</v>
      </c>
      <c r="AE67" s="3">
        <v>288</v>
      </c>
      <c r="AF67" s="3">
        <f>IF(ISERROR((VLOOKUP($A67,'NonXtal_SegEnds_BW#'!$A:$Z,22,FALSE)+VLOOKUP($A67,A:AL,31,FALSE)-50)),"-",(VLOOKUP($A67,'NonXtal_SegEnds_BW#'!$A:$Z,22,FALSE)+VLOOKUP($A67,A:AL,31,FALSE)-50))</f>
        <v>299</v>
      </c>
      <c r="AG67" s="3">
        <f>IF(ISERROR(VLOOKUP($A67,'NonXtal_SegEnds_BW#'!$A:$Z,23,FALSE)+VLOOKUP($A67,A:AL,34,FALSE)-50),"-",(VLOOKUP($A67,'NonXtal_SegEnds_BW#'!$A:$Z,23,FALSE)+VLOOKUP($A67,A:AL,34,FALSE)-50))</f>
        <v>304</v>
      </c>
      <c r="AH67" s="3">
        <v>323</v>
      </c>
      <c r="AI67" s="3">
        <v>328</v>
      </c>
      <c r="AJ67" s="3">
        <f>IF(ISERROR(VLOOKUP($A67,'NonXtal_SegEnds_BW#'!$A:$Z,25,FALSE)+VLOOKUP($A67,A:AL,37,FALSE)-50),"-",(VLOOKUP($A67,'NonXtal_SegEnds_BW#'!$A:$Z,25,FALSE)+VLOOKUP($A67,A:AL,37,FALSE)-50))</f>
        <v>329</v>
      </c>
      <c r="AK67" s="3">
        <v>332</v>
      </c>
      <c r="AL67" s="3">
        <f>IF(ISERROR((VLOOKUP($A67,'NonXtal_SegEnds_BW#'!$A:$Z,26,FALSE)+VLOOKUP($A67,A:AL,37,FALSE)-50)),"-",(VLOOKUP($A67,'NonXtal_SegEnds_BW#'!$A:$Z,26,FALSE)+VLOOKUP($A67,A:AL,37,FALSE)-50))</f>
        <v>341</v>
      </c>
      <c r="AM67" s="71" t="str">
        <f>VLOOKUP(A67,Classification!A:B,2,FALSE)</f>
        <v>A</v>
      </c>
      <c r="AN67" s="71" t="b">
        <f t="shared" si="36"/>
        <v>1</v>
      </c>
      <c r="AO67" s="3">
        <f t="shared" si="37"/>
        <v>1</v>
      </c>
      <c r="AP67" s="3">
        <f t="shared" si="38"/>
        <v>1</v>
      </c>
      <c r="AQ67" s="3">
        <f t="shared" si="39"/>
        <v>2</v>
      </c>
      <c r="AR67" s="3">
        <f t="shared" si="40"/>
        <v>1</v>
      </c>
      <c r="AS67" s="3">
        <f t="shared" si="41"/>
        <v>1</v>
      </c>
      <c r="AT67" s="3">
        <f t="shared" si="42"/>
        <v>2</v>
      </c>
      <c r="AU67" s="3">
        <f t="shared" si="43"/>
        <v>19</v>
      </c>
      <c r="AV67" s="3">
        <f t="shared" si="44"/>
        <v>3</v>
      </c>
      <c r="AW67" s="3">
        <f t="shared" si="45"/>
        <v>25</v>
      </c>
      <c r="AX67" s="3">
        <f t="shared" si="46"/>
        <v>5</v>
      </c>
      <c r="AY67" s="3">
        <f t="shared" si="47"/>
        <v>1</v>
      </c>
      <c r="AZ67" s="3">
        <f>IF(ISERROR(LEN(VLOOKUP(A67,Seqs!A:E,2,FALSE))-AL67),"-",LEN(VLOOKUP(A67,Seqs!A:E,2,FALSE))-AL67)</f>
        <v>72</v>
      </c>
      <c r="BA67" s="35">
        <f t="shared" si="48"/>
        <v>28</v>
      </c>
      <c r="BB67" s="3">
        <f t="shared" si="49"/>
        <v>20</v>
      </c>
      <c r="BC67" s="3">
        <f t="shared" si="50"/>
        <v>28</v>
      </c>
      <c r="BD67" s="3">
        <f t="shared" si="51"/>
        <v>77</v>
      </c>
    </row>
    <row r="68" spans="1:57" s="3" customFormat="1" x14ac:dyDescent="0.2">
      <c r="A68" s="3" t="s">
        <v>498</v>
      </c>
      <c r="B68" s="3" t="str">
        <f>LOWER(VLOOKUP(A68,Xtal_Templ!A:B,2,FALSE))</f>
        <v>agtr1_human</v>
      </c>
      <c r="C68" s="3">
        <f>VLOOKUP($A68,'NonXtal_SegEnds_BW#'!$A:$Z,3,FALSE)+D68-50</f>
        <v>10</v>
      </c>
      <c r="D68" s="3">
        <v>30</v>
      </c>
      <c r="E68" s="3">
        <f>IF(ISERROR(VLOOKUP($A68,'NonXtal_SegEnds_BW#'!$A:$Z,4,FALSE)+VLOOKUP($A68,A:AL,4,FALSE)-50),"-",(VLOOKUP($A68,'NonXtal_SegEnds_BW#'!$A:$Z,4,FALSE)+VLOOKUP($A68,A:AL,4,FALSE)-50))</f>
        <v>40</v>
      </c>
      <c r="F68" s="3" t="str">
        <f>IF(ISERROR(VLOOKUP($A68,'NonXtal_SegEnds_BW#'!$A:$Z,5,FALSE)+VLOOKUP($A68,A:AL,7,FALSE)-50),"-",(VLOOKUP($A68,'NonXtal_SegEnds_BW#'!$A:$Z,5,FALSE)+VLOOKUP($A68,A:AL,7,FALSE)-50))</f>
        <v>-</v>
      </c>
      <c r="G68" s="3" t="s">
        <v>129</v>
      </c>
      <c r="H68" s="3" t="str">
        <f>IF(ISERROR(VLOOKUP($A68,'NonXtal_SegEnds_BW#'!$A:$Z,6,FALSE)+VLOOKUP($A68,A:AL,7,FALSE)-50),"-",(VLOOKUP($A68,'NonXtal_SegEnds_BW#'!$A:$Z,6,FALSE)+VLOOKUP($A68,A:AL,7,FALSE)-50))</f>
        <v>-</v>
      </c>
      <c r="I68" s="3">
        <f>VLOOKUP($A68,'NonXtal_SegEnds_BW#'!$A:$Z,7,FALSE)+J68-50</f>
        <v>44</v>
      </c>
      <c r="J68" s="3">
        <v>57</v>
      </c>
      <c r="K68" s="3">
        <f>VLOOKUP($A68,'NonXtal_SegEnds_BW#'!$A:$Z,8,FALSE)+VLOOKUP($A68,A:AL,10,FALSE)-50</f>
        <v>70</v>
      </c>
      <c r="L68" s="3" t="str">
        <f>IF(ISERROR(VLOOKUP($A68,'NonXtal_SegEnds_BW#'!$A:$Z,9,FALSE)+VLOOKUP($A68,A:AL,13,FALSE)-50),"-",(VLOOKUP($A68,'NonXtal_SegEnds_BW#'!$A:$Z,9,FALSE)+VLOOKUP($A68,A:AL,13,FALSE)-50))</f>
        <v>-</v>
      </c>
      <c r="M68" s="3" t="s">
        <v>129</v>
      </c>
      <c r="N68" s="3" t="str">
        <f>IF(ISERROR(VLOOKUP($A68,'NonXtal_SegEnds_BW#'!$A:$Z,10,FALSE)+VLOOKUP($A68,A:AL,13,FALSE)-50),"-",(VLOOKUP($A68,'NonXtal_SegEnds_BW#'!$A:$Z,10,FALSE)+VLOOKUP($A68,A:AL,13,FALSE)-50))</f>
        <v>-</v>
      </c>
      <c r="O68" s="3">
        <f>VLOOKUP($A68,'NonXtal_SegEnds_BW#'!$A:$Z,11,FALSE)+VLOOKUP($A68,A:AL,16,FALSE)-50</f>
        <v>79</v>
      </c>
      <c r="P68" s="3">
        <v>103</v>
      </c>
      <c r="Q68" s="3">
        <f>VLOOKUP($A68,'NonXtal_SegEnds_BW#'!$A:$Z,12,FALSE)+VLOOKUP($A68,A:AL,16,FALSE)-50</f>
        <v>109</v>
      </c>
      <c r="R68" s="3">
        <f>IF(ISERROR(VLOOKUP($A68,'NonXtal_SegEnds_BW#'!$A:$Z,13,FALSE)+VLOOKUP($A68,A:AL,19,FALSE)-50),"-",VLOOKUP($A68,'NonXtal_SegEnds_BW#'!$A:$Z,13,FALSE)+VLOOKUP($A68,A:AL,19,FALSE)-50)</f>
        <v>110</v>
      </c>
      <c r="S68" s="3">
        <v>110</v>
      </c>
      <c r="T68" s="3">
        <f>IF(ISERROR(VLOOKUP($A68,'NonXtal_SegEnds_BW#'!$A:$Z,14,FALSE)+VLOOKUP($A68,A:AL,19,FALSE)-50),"-",(VLOOKUP($A68,'NonXtal_SegEnds_BW#'!$A:$Z,14,FALSE)+VLOOKUP($A68,A:AL,19,FALSE)-50))</f>
        <v>117</v>
      </c>
      <c r="U68" s="3">
        <f>IF(ISERROR(VLOOKUP($A68,'NonXtal_SegEnds_BW#'!$A:$Z,15,FALSE)+VLOOKUP($A68,A:AL,22,FALSE)-50),"-",VLOOKUP($A68,'NonXtal_SegEnds_BW#'!$A:$Z,15,FALSE)+VLOOKUP($A68,A:AL,22,FALSE)-50)</f>
        <v>119</v>
      </c>
      <c r="V68" s="3">
        <v>130</v>
      </c>
      <c r="W68" s="3">
        <f>IF(ISERROR(VLOOKUP($A68,'NonXtal_SegEnds_BW#'!$A:$Z,16,FALSE)+VLOOKUP($A68,A:AL,22,FALSE)-50),"-",(VLOOKUP($A68,'NonXtal_SegEnds_BW#'!$A:$Z,16,FALSE)+VLOOKUP($A68,A:AL,22,FALSE)-50))</f>
        <v>144</v>
      </c>
      <c r="X68" s="3" t="str">
        <f>IF(ISERROR(VLOOKUP($A68,'NonXtal_SegEnds_BW#'!$A:$Z,17,FALSE)+VLOOKUP($A68,A:AL,25,FALSE)-50),"-",(VLOOKUP($A68,'NonXtal_SegEnds_BW#'!$A:$Z,17,FALSE)+VLOOKUP($A68,A:AL,25,FALSE)-50))</f>
        <v>-</v>
      </c>
      <c r="Y68" s="3" t="s">
        <v>129</v>
      </c>
      <c r="Z68" s="3" t="str">
        <f>IF(ISERROR(VLOOKUP($A68,'NonXtal_SegEnds_BW#'!$A:$Z,18,FALSE)+VLOOKUP($A68,A:AL,25,FALSE)-50),"-",(VLOOKUP($A68,'NonXtal_SegEnds_BW#'!$A:$Z,18,FALSE)+VLOOKUP($A68,A:AL,25,FALSE)-50))</f>
        <v>-</v>
      </c>
      <c r="AA68" s="3">
        <f>IF(ISERROR(VLOOKUP($A68,'NonXtal_SegEnds_BW#'!$A:$Z,19,FALSE)+VLOOKUP($A68,A:AL,28,FALSE)-50),"-",(VLOOKUP($A68,'NonXtal_SegEnds_BW#'!$A:$Z,19,FALSE)+VLOOKUP($A68,A:AL,28,FALSE)-50))</f>
        <v>156</v>
      </c>
      <c r="AB68" s="3">
        <v>172</v>
      </c>
      <c r="AC68" s="3">
        <f>IF(ISERROR((VLOOKUP($A68,'NonXtal_SegEnds_BW#'!$A:$Z,20,FALSE)+VLOOKUP($A68,A:AL,28,FALSE)-50)),"-",(VLOOKUP($A68,'NonXtal_SegEnds_BW#'!$A:$Z,20,FALSE)+VLOOKUP($A68,A:AL,28,FALSE)-50))</f>
        <v>190</v>
      </c>
      <c r="AD68" s="3">
        <f>IF(ISERROR(VLOOKUP($A68,'NonXtal_SegEnds_BW#'!$A:$Z,21,FALSE)+VLOOKUP($A68,A:AL,31,FALSE)-50),"-",(VLOOKUP($A68,'NonXtal_SegEnds_BW#'!$A:$Z,21,FALSE)+VLOOKUP($A68,A:AL,31,FALSE)-50))</f>
        <v>193</v>
      </c>
      <c r="AE68" s="3">
        <v>213</v>
      </c>
      <c r="AF68" s="3">
        <f>IF(ISERROR((VLOOKUP($A68,'NonXtal_SegEnds_BW#'!$A:$Z,22,FALSE)+VLOOKUP($A68,A:AL,31,FALSE)-50)),"-",(VLOOKUP($A68,'NonXtal_SegEnds_BW#'!$A:$Z,22,FALSE)+VLOOKUP($A68,A:AL,31,FALSE)-50))</f>
        <v>224</v>
      </c>
      <c r="AG68" s="3">
        <f>IF(ISERROR(VLOOKUP($A68,'NonXtal_SegEnds_BW#'!$A:$Z,23,FALSE)+VLOOKUP($A68,A:AL,34,FALSE)-50),"-",(VLOOKUP($A68,'NonXtal_SegEnds_BW#'!$A:$Z,23,FALSE)+VLOOKUP($A68,A:AL,34,FALSE)-50))</f>
        <v>229</v>
      </c>
      <c r="AH68" s="3">
        <v>247</v>
      </c>
      <c r="AI68" s="3">
        <f>IF(ISERROR((VLOOKUP($A68,'NonXtal_SegEnds_BW#'!$A:$Z,24,FALSE)+VLOOKUP($A68,A:AL,34,FALSE)-50)),"-",(VLOOKUP($A68,'NonXtal_SegEnds_BW#'!$A:$Z,24,FALSE)+VLOOKUP($A68,A:AL,34,FALSE)-50))</f>
        <v>253</v>
      </c>
      <c r="AJ68" s="3">
        <f>IF(ISERROR(VLOOKUP($A68,'NonXtal_SegEnds_BW#'!$A:$Z,25,FALSE)+VLOOKUP($A68,A:AL,37,FALSE)-50),"-",(VLOOKUP($A68,'NonXtal_SegEnds_BW#'!$A:$Z,25,FALSE)+VLOOKUP($A68,A:AL,37,FALSE)-50))</f>
        <v>254</v>
      </c>
      <c r="AK68" s="3">
        <v>257</v>
      </c>
      <c r="AL68" s="3">
        <f>IF(ISERROR((VLOOKUP($A68,'NonXtal_SegEnds_BW#'!$A:$Z,26,FALSE)+VLOOKUP($A68,A:AL,37,FALSE)-50)),"-",(VLOOKUP($A68,'NonXtal_SegEnds_BW#'!$A:$Z,26,FALSE)+VLOOKUP($A68,A:AL,37,FALSE)-50))</f>
        <v>268</v>
      </c>
      <c r="AM68" s="71" t="str">
        <f>VLOOKUP(A68,Classification!A:B,2,FALSE)</f>
        <v>A</v>
      </c>
      <c r="AN68" s="71" t="b">
        <f t="shared" si="36"/>
        <v>1</v>
      </c>
      <c r="AO68" s="3" t="str">
        <f t="shared" si="37"/>
        <v>-</v>
      </c>
      <c r="AP68" s="3" t="str">
        <f t="shared" si="38"/>
        <v>-</v>
      </c>
      <c r="AQ68" s="3" t="str">
        <f t="shared" si="39"/>
        <v>-</v>
      </c>
      <c r="AR68" s="3" t="str">
        <f t="shared" si="40"/>
        <v>-</v>
      </c>
      <c r="AS68" s="3">
        <f t="shared" si="41"/>
        <v>1</v>
      </c>
      <c r="AT68" s="3">
        <f t="shared" si="42"/>
        <v>2</v>
      </c>
      <c r="AU68" s="3" t="str">
        <f t="shared" si="43"/>
        <v>-</v>
      </c>
      <c r="AV68" s="3" t="str">
        <f t="shared" si="44"/>
        <v>-</v>
      </c>
      <c r="AW68" s="3">
        <f t="shared" si="45"/>
        <v>3</v>
      </c>
      <c r="AX68" s="3">
        <f t="shared" si="46"/>
        <v>5</v>
      </c>
      <c r="AY68" s="3">
        <f t="shared" si="47"/>
        <v>1</v>
      </c>
      <c r="AZ68" s="3">
        <f>IF(ISERROR(LEN(VLOOKUP(A68,Seqs!A:E,2,FALSE))-AL68),"-",LEN(VLOOKUP(A68,Seqs!A:E,2,FALSE))-AL68)</f>
        <v>21</v>
      </c>
      <c r="BA68" s="35">
        <f t="shared" si="48"/>
        <v>27</v>
      </c>
      <c r="BB68" s="3">
        <f t="shared" si="49"/>
        <v>20</v>
      </c>
      <c r="BC68" s="3">
        <f t="shared" si="50"/>
        <v>27</v>
      </c>
      <c r="BD68" s="3">
        <f t="shared" si="51"/>
        <v>41</v>
      </c>
      <c r="BE68" s="3">
        <f>AH68-AE68</f>
        <v>34</v>
      </c>
    </row>
    <row r="69" spans="1:57" s="3" customFormat="1" x14ac:dyDescent="0.2">
      <c r="A69" s="3" t="s">
        <v>500</v>
      </c>
      <c r="B69" s="3" t="str">
        <f>LOWER(VLOOKUP(A69,Xtal_Templ!A:B,2,FALSE))</f>
        <v>agtr1_human</v>
      </c>
      <c r="C69" s="3">
        <f>VLOOKUP($A69,'NonXtal_SegEnds_BW#'!$A:$Z,3,FALSE)+D69-50</f>
        <v>28</v>
      </c>
      <c r="D69" s="3">
        <v>48</v>
      </c>
      <c r="E69" s="3">
        <f>IF(ISERROR(VLOOKUP($A69,'NonXtal_SegEnds_BW#'!$A:$Z,4,FALSE)+VLOOKUP($A69,A:AL,4,FALSE)-50),"-",(VLOOKUP($A69,'NonXtal_SegEnds_BW#'!$A:$Z,4,FALSE)+VLOOKUP($A69,A:AL,4,FALSE)-50))</f>
        <v>58</v>
      </c>
      <c r="F69" s="3" t="str">
        <f>IF(ISERROR(VLOOKUP($A69,'NonXtal_SegEnds_BW#'!$A:$Z,5,FALSE)+VLOOKUP($A69,A:AL,7,FALSE)-50),"-",(VLOOKUP($A69,'NonXtal_SegEnds_BW#'!$A:$Z,5,FALSE)+VLOOKUP($A69,A:AL,7,FALSE)-50))</f>
        <v>-</v>
      </c>
      <c r="G69" s="3" t="s">
        <v>129</v>
      </c>
      <c r="H69" s="3" t="str">
        <f>IF(ISERROR(VLOOKUP($A69,'NonXtal_SegEnds_BW#'!$A:$Z,6,FALSE)+VLOOKUP($A69,A:AL,7,FALSE)-50),"-",(VLOOKUP($A69,'NonXtal_SegEnds_BW#'!$A:$Z,6,FALSE)+VLOOKUP($A69,A:AL,7,FALSE)-50))</f>
        <v>-</v>
      </c>
      <c r="I69" s="3">
        <f>VLOOKUP($A69,'NonXtal_SegEnds_BW#'!$A:$Z,7,FALSE)+J69-50</f>
        <v>62</v>
      </c>
      <c r="J69" s="3">
        <v>75</v>
      </c>
      <c r="K69" s="3">
        <f>VLOOKUP($A69,'NonXtal_SegEnds_BW#'!$A:$Z,8,FALSE)+VLOOKUP($A69,A:AL,10,FALSE)-50</f>
        <v>91</v>
      </c>
      <c r="L69" s="3" t="str">
        <f>IF(ISERROR(VLOOKUP($A69,'NonXtal_SegEnds_BW#'!$A:$Z,9,FALSE)+VLOOKUP($A69,A:AL,13,FALSE)-50),"-",(VLOOKUP($A69,'NonXtal_SegEnds_BW#'!$A:$Z,9,FALSE)+VLOOKUP($A69,A:AL,13,FALSE)-50))</f>
        <v>-</v>
      </c>
      <c r="M69" s="3" t="s">
        <v>129</v>
      </c>
      <c r="N69" s="3" t="str">
        <f>IF(ISERROR(VLOOKUP($A69,'NonXtal_SegEnds_BW#'!$A:$Z,10,FALSE)+VLOOKUP($A69,A:AL,13,FALSE)-50),"-",(VLOOKUP($A69,'NonXtal_SegEnds_BW#'!$A:$Z,10,FALSE)+VLOOKUP($A69,A:AL,13,FALSE)-50))</f>
        <v>-</v>
      </c>
      <c r="O69" s="3">
        <f>VLOOKUP($A69,'NonXtal_SegEnds_BW#'!$A:$Z,11,FALSE)+VLOOKUP($A69,A:AL,16,FALSE)-50</f>
        <v>95</v>
      </c>
      <c r="P69" s="3">
        <v>127</v>
      </c>
      <c r="Q69" s="3">
        <f>VLOOKUP($A69,'NonXtal_SegEnds_BW#'!$A:$Z,12,FALSE)+VLOOKUP($A69,A:AL,16,FALSE)-50</f>
        <v>133</v>
      </c>
      <c r="R69" s="3">
        <f>IF(ISERROR(VLOOKUP($A69,'NonXtal_SegEnds_BW#'!$A:$Z,13,FALSE)+VLOOKUP($A69,A:AL,19,FALSE)-50),"-",VLOOKUP($A69,'NonXtal_SegEnds_BW#'!$A:$Z,13,FALSE)+VLOOKUP($A69,A:AL,19,FALSE)-50)</f>
        <v>134</v>
      </c>
      <c r="S69" s="3">
        <v>134</v>
      </c>
      <c r="T69" s="3">
        <f>IF(ISERROR(VLOOKUP($A69,'NonXtal_SegEnds_BW#'!$A:$Z,14,FALSE)+VLOOKUP($A69,A:AL,19,FALSE)-50),"-",(VLOOKUP($A69,'NonXtal_SegEnds_BW#'!$A:$Z,14,FALSE)+VLOOKUP($A69,A:AL,19,FALSE)-50))</f>
        <v>141</v>
      </c>
      <c r="U69" s="3">
        <f>IF(ISERROR(VLOOKUP($A69,'NonXtal_SegEnds_BW#'!$A:$Z,15,FALSE)+VLOOKUP($A69,A:AL,22,FALSE)-50),"-",VLOOKUP($A69,'NonXtal_SegEnds_BW#'!$A:$Z,15,FALSE)+VLOOKUP($A69,A:AL,22,FALSE)-50)</f>
        <v>143</v>
      </c>
      <c r="V69" s="3">
        <v>154</v>
      </c>
      <c r="W69" s="3">
        <f>IF(ISERROR(VLOOKUP($A69,'NonXtal_SegEnds_BW#'!$A:$Z,16,FALSE)+VLOOKUP($A69,A:AL,22,FALSE)-50),"-",(VLOOKUP($A69,'NonXtal_SegEnds_BW#'!$A:$Z,16,FALSE)+VLOOKUP($A69,A:AL,22,FALSE)-50))</f>
        <v>168</v>
      </c>
      <c r="X69" s="3" t="str">
        <f>IF(ISERROR(VLOOKUP($A69,'NonXtal_SegEnds_BW#'!$A:$Z,17,FALSE)+VLOOKUP($A69,A:AL,25,FALSE)-50),"-",(VLOOKUP($A69,'NonXtal_SegEnds_BW#'!$A:$Z,17,FALSE)+VLOOKUP($A69,A:AL,25,FALSE)-50))</f>
        <v>-</v>
      </c>
      <c r="Y69" s="3" t="s">
        <v>129</v>
      </c>
      <c r="Z69" s="3" t="str">
        <f>IF(ISERROR(VLOOKUP($A69,'NonXtal_SegEnds_BW#'!$A:$Z,18,FALSE)+VLOOKUP($A69,A:AL,25,FALSE)-50),"-",(VLOOKUP($A69,'NonXtal_SegEnds_BW#'!$A:$Z,18,FALSE)+VLOOKUP($A69,A:AL,25,FALSE)-50))</f>
        <v>-</v>
      </c>
      <c r="AA69" s="3">
        <f>IF(ISERROR(VLOOKUP($A69,'NonXtal_SegEnds_BW#'!$A:$Z,19,FALSE)+VLOOKUP($A69,A:AL,28,FALSE)-50),"-",(VLOOKUP($A69,'NonXtal_SegEnds_BW#'!$A:$Z,19,FALSE)+VLOOKUP($A69,A:AL,28,FALSE)-50))</f>
        <v>180</v>
      </c>
      <c r="AB69" s="3">
        <v>196</v>
      </c>
      <c r="AC69" s="3">
        <f>IF(ISERROR((VLOOKUP($A69,'NonXtal_SegEnds_BW#'!$A:$Z,20,FALSE)+VLOOKUP($A69,A:AL,28,FALSE)-50)),"-",(VLOOKUP($A69,'NonXtal_SegEnds_BW#'!$A:$Z,20,FALSE)+VLOOKUP($A69,A:AL,28,FALSE)-50))</f>
        <v>214</v>
      </c>
      <c r="AD69" s="3">
        <f>IF(ISERROR(VLOOKUP($A69,'NonXtal_SegEnds_BW#'!$A:$Z,21,FALSE)+VLOOKUP($A69,A:AL,31,FALSE)-50),"-",(VLOOKUP($A69,'NonXtal_SegEnds_BW#'!$A:$Z,21,FALSE)+VLOOKUP($A69,A:AL,31,FALSE)-50))</f>
        <v>218</v>
      </c>
      <c r="AE69" s="3">
        <v>238</v>
      </c>
      <c r="AF69" s="3">
        <f>IF(ISERROR((VLOOKUP($A69,'NonXtal_SegEnds_BW#'!$A:$Z,22,FALSE)+VLOOKUP($A69,A:AL,31,FALSE)-50)),"-",(VLOOKUP($A69,'NonXtal_SegEnds_BW#'!$A:$Z,22,FALSE)+VLOOKUP($A69,A:AL,31,FALSE)-50))</f>
        <v>249</v>
      </c>
      <c r="AG69" s="3">
        <f>IF(ISERROR(VLOOKUP($A69,'NonXtal_SegEnds_BW#'!$A:$Z,23,FALSE)+VLOOKUP($A69,A:AL,34,FALSE)-50),"-",(VLOOKUP($A69,'NonXtal_SegEnds_BW#'!$A:$Z,23,FALSE)+VLOOKUP($A69,A:AL,34,FALSE)-50))</f>
        <v>254</v>
      </c>
      <c r="AH69" s="3">
        <v>276</v>
      </c>
      <c r="AI69" s="3">
        <f>IF(ISERROR((VLOOKUP($A69,'NonXtal_SegEnds_BW#'!$A:$Z,24,FALSE)+VLOOKUP($A69,A:AL,34,FALSE)-50)),"-",(VLOOKUP($A69,'NonXtal_SegEnds_BW#'!$A:$Z,24,FALSE)+VLOOKUP($A69,A:AL,34,FALSE)-50))</f>
        <v>282</v>
      </c>
      <c r="AJ69" s="3">
        <f>IF(ISERROR(VLOOKUP($A69,'NonXtal_SegEnds_BW#'!$A:$Z,25,FALSE)+VLOOKUP($A69,A:AL,37,FALSE)-50),"-",(VLOOKUP($A69,'NonXtal_SegEnds_BW#'!$A:$Z,25,FALSE)+VLOOKUP($A69,A:AL,37,FALSE)-50))</f>
        <v>283</v>
      </c>
      <c r="AK69" s="3">
        <v>286</v>
      </c>
      <c r="AL69" s="3">
        <f>IF(ISERROR((VLOOKUP($A69,'NonXtal_SegEnds_BW#'!$A:$Z,26,FALSE)+VLOOKUP($A69,A:AL,37,FALSE)-50)),"-",(VLOOKUP($A69,'NonXtal_SegEnds_BW#'!$A:$Z,26,FALSE)+VLOOKUP($A69,A:AL,37,FALSE)-50))</f>
        <v>297</v>
      </c>
      <c r="AM69" s="71" t="str">
        <f>VLOOKUP(A69,Classification!A:B,2,FALSE)</f>
        <v>A</v>
      </c>
      <c r="AN69" s="71" t="b">
        <f t="shared" si="36"/>
        <v>1</v>
      </c>
      <c r="AO69" s="3" t="str">
        <f t="shared" si="37"/>
        <v>-</v>
      </c>
      <c r="AP69" s="3" t="str">
        <f t="shared" si="38"/>
        <v>-</v>
      </c>
      <c r="AQ69" s="3" t="str">
        <f t="shared" si="39"/>
        <v>-</v>
      </c>
      <c r="AR69" s="3" t="str">
        <f t="shared" si="40"/>
        <v>-</v>
      </c>
      <c r="AS69" s="3">
        <f t="shared" si="41"/>
        <v>1</v>
      </c>
      <c r="AT69" s="3">
        <f t="shared" si="42"/>
        <v>2</v>
      </c>
      <c r="AU69" s="3" t="str">
        <f t="shared" si="43"/>
        <v>-</v>
      </c>
      <c r="AV69" s="3" t="str">
        <f t="shared" si="44"/>
        <v>-</v>
      </c>
      <c r="AW69" s="3">
        <f t="shared" si="45"/>
        <v>4</v>
      </c>
      <c r="AX69" s="3">
        <f t="shared" si="46"/>
        <v>5</v>
      </c>
      <c r="AY69" s="3">
        <f t="shared" si="47"/>
        <v>1</v>
      </c>
      <c r="AZ69" s="3">
        <f>IF(ISERROR(LEN(VLOOKUP(A69,Seqs!A:E,2,FALSE))-AL69),"-",LEN(VLOOKUP(A69,Seqs!A:E,2,FALSE))-AL69)</f>
        <v>33</v>
      </c>
      <c r="BA69" s="35">
        <f t="shared" si="48"/>
        <v>27</v>
      </c>
      <c r="BB69" s="3">
        <f t="shared" si="49"/>
        <v>20</v>
      </c>
      <c r="BC69" s="3">
        <f t="shared" si="50"/>
        <v>27</v>
      </c>
      <c r="BD69" s="3">
        <f t="shared" si="51"/>
        <v>42</v>
      </c>
    </row>
    <row r="70" spans="1:57" s="3" customFormat="1" x14ac:dyDescent="0.2">
      <c r="A70" s="3" t="s">
        <v>680</v>
      </c>
      <c r="B70" s="3" t="str">
        <f>LOWER(VLOOKUP(A70,Xtal_Templ!A:B,2,FALSE))</f>
        <v>agtr1_human</v>
      </c>
      <c r="C70" s="3">
        <v>12</v>
      </c>
      <c r="D70" s="3">
        <v>42</v>
      </c>
      <c r="E70" s="3">
        <f>IF(ISERROR(VLOOKUP($A70,'NonXtal_SegEnds_BW#'!$A:$Z,4,FALSE)+VLOOKUP($A70,A:AL,4,FALSE)-50),"-",(VLOOKUP($A70,'NonXtal_SegEnds_BW#'!$A:$Z,4,FALSE)+VLOOKUP($A70,A:AL,4,FALSE)-50))</f>
        <v>52</v>
      </c>
      <c r="F70" s="3" t="str">
        <f>IF(ISERROR(VLOOKUP($A70,'NonXtal_SegEnds_BW#'!$A:$Z,5,FALSE)+VLOOKUP($A70,A:AL,7,FALSE)-50),"-",(VLOOKUP($A70,'NonXtal_SegEnds_BW#'!$A:$Z,5,FALSE)+VLOOKUP($A70,A:AL,7,FALSE)-50))</f>
        <v>-</v>
      </c>
      <c r="G70" s="3" t="s">
        <v>129</v>
      </c>
      <c r="H70" s="3" t="str">
        <f>IF(ISERROR(VLOOKUP($A70,'NonXtal_SegEnds_BW#'!$A:$Z,6,FALSE)+VLOOKUP($A70,A:AL,7,FALSE)-50),"-",(VLOOKUP($A70,'NonXtal_SegEnds_BW#'!$A:$Z,6,FALSE)+VLOOKUP($A70,A:AL,7,FALSE)-50))</f>
        <v>-</v>
      </c>
      <c r="I70" s="3">
        <f>VLOOKUP($A70,'NonXtal_SegEnds_BW#'!$A:$Z,7,FALSE)+J70-50</f>
        <v>67</v>
      </c>
      <c r="J70" s="3">
        <v>78</v>
      </c>
      <c r="K70" s="3">
        <f>VLOOKUP($A70,'NonXtal_SegEnds_BW#'!$A:$Z,8,FALSE)+VLOOKUP($A70,A:AL,10,FALSE)-50</f>
        <v>91</v>
      </c>
      <c r="L70" s="3" t="str">
        <f>IF(ISERROR(VLOOKUP($A70,'NonXtal_SegEnds_BW#'!$A:$Z,9,FALSE)+VLOOKUP($A70,A:AL,13,FALSE)-50),"-",(VLOOKUP($A70,'NonXtal_SegEnds_BW#'!$A:$Z,9,FALSE)+VLOOKUP($A70,A:AL,13,FALSE)-50))</f>
        <v>-</v>
      </c>
      <c r="M70" s="3" t="s">
        <v>129</v>
      </c>
      <c r="N70" s="3" t="str">
        <f>IF(ISERROR(VLOOKUP($A70,'NonXtal_SegEnds_BW#'!$A:$Z,10,FALSE)+VLOOKUP($A70,A:AL,13,FALSE)-50),"-",(VLOOKUP($A70,'NonXtal_SegEnds_BW#'!$A:$Z,10,FALSE)+VLOOKUP($A70,A:AL,13,FALSE)-50))</f>
        <v>-</v>
      </c>
      <c r="O70" s="3">
        <f>VLOOKUP($A70,'NonXtal_SegEnds_BW#'!$A:$Z,11,FALSE)+VLOOKUP($A70,A:AL,16,FALSE)-50</f>
        <v>114</v>
      </c>
      <c r="P70" s="3">
        <v>141</v>
      </c>
      <c r="Q70" s="3">
        <f>VLOOKUP($A70,'NonXtal_SegEnds_BW#'!$A:$Z,12,FALSE)+VLOOKUP($A70,A:AL,16,FALSE)-50</f>
        <v>147</v>
      </c>
      <c r="R70" s="3" t="str">
        <f>IF(ISERROR(VLOOKUP($A70,'NonXtal_SegEnds_BW#'!$A:$Z,13,FALSE)+VLOOKUP($A70,A:AL,19,FALSE)-50),"-",VLOOKUP($A70,'NonXtal_SegEnds_BW#'!$A:$Z,13,FALSE)+VLOOKUP($A70,A:AL,19,FALSE)-50)</f>
        <v>-</v>
      </c>
      <c r="S70" s="3" t="s">
        <v>129</v>
      </c>
      <c r="T70" s="3" t="str">
        <f>IF(ISERROR(VLOOKUP($A70,'NonXtal_SegEnds_BW#'!$A:$Z,14,FALSE)+VLOOKUP($A70,A:AL,19,FALSE)-50),"-",(VLOOKUP($A70,'NonXtal_SegEnds_BW#'!$A:$Z,14,FALSE)+VLOOKUP($A70,A:AL,19,FALSE)-50))</f>
        <v>-</v>
      </c>
      <c r="U70" s="3">
        <f>IF(ISERROR(VLOOKUP($A70,'NonXtal_SegEnds_BW#'!$A:$Z,15,FALSE)+VLOOKUP($A70,A:AL,22,FALSE)-50),"-",VLOOKUP($A70,'NonXtal_SegEnds_BW#'!$A:$Z,15,FALSE)+VLOOKUP($A70,A:AL,22,FALSE)-50)</f>
        <v>152</v>
      </c>
      <c r="V70" s="3">
        <v>162</v>
      </c>
      <c r="W70" s="3">
        <f>IF(ISERROR(VLOOKUP($A70,'NonXtal_SegEnds_BW#'!$A:$Z,16,FALSE)+VLOOKUP($A70,A:AL,22,FALSE)-50),"-",(VLOOKUP($A70,'NonXtal_SegEnds_BW#'!$A:$Z,16,FALSE)+VLOOKUP($A70,A:AL,22,FALSE)-50))</f>
        <v>176</v>
      </c>
      <c r="X70" s="3" t="str">
        <f>IF(ISERROR(VLOOKUP($A70,'NonXtal_SegEnds_BW#'!$A:$Z,17,FALSE)+VLOOKUP($A70,A:AL,25,FALSE)-50),"-",(VLOOKUP($A70,'NonXtal_SegEnds_BW#'!$A:$Z,17,FALSE)+VLOOKUP($A70,A:AL,25,FALSE)-50))</f>
        <v>-</v>
      </c>
      <c r="Y70" s="3" t="s">
        <v>129</v>
      </c>
      <c r="Z70" s="3" t="str">
        <f>IF(ISERROR(VLOOKUP($A70,'NonXtal_SegEnds_BW#'!$A:$Z,18,FALSE)+VLOOKUP($A70,A:AL,25,FALSE)-50),"-",(VLOOKUP($A70,'NonXtal_SegEnds_BW#'!$A:$Z,18,FALSE)+VLOOKUP($A70,A:AL,25,FALSE)-50))</f>
        <v>-</v>
      </c>
      <c r="AA70" s="3">
        <f>IF(ISERROR(VLOOKUP($A70,'NonXtal_SegEnds_BW#'!$A:$Z,19,FALSE)+VLOOKUP($A70,A:AL,28,FALSE)-50),"-",(VLOOKUP($A70,'NonXtal_SegEnds_BW#'!$A:$Z,19,FALSE)+VLOOKUP($A70,A:AL,28,FALSE)-50))</f>
        <v>190</v>
      </c>
      <c r="AB70" s="3">
        <v>201</v>
      </c>
      <c r="AC70" s="3">
        <f>IF(ISERROR((VLOOKUP($A70,'NonXtal_SegEnds_BW#'!$A:$Z,20,FALSE)+VLOOKUP($A70,A:AL,28,FALSE)-50)),"-",(VLOOKUP($A70,'NonXtal_SegEnds_BW#'!$A:$Z,20,FALSE)+VLOOKUP($A70,A:AL,28,FALSE)-50))</f>
        <v>212</v>
      </c>
      <c r="AD70" s="3">
        <f>IF(ISERROR(VLOOKUP($A70,'NonXtal_SegEnds_BW#'!$A:$Z,21,FALSE)+VLOOKUP($A70,A:AL,31,FALSE)-50),"-",(VLOOKUP($A70,'NonXtal_SegEnds_BW#'!$A:$Z,21,FALSE)+VLOOKUP($A70,A:AL,31,FALSE)-50))</f>
        <v>238</v>
      </c>
      <c r="AE70" s="3">
        <v>259</v>
      </c>
      <c r="AF70" s="3">
        <f>IF(ISERROR((VLOOKUP($A70,'NonXtal_SegEnds_BW#'!$A:$Z,22,FALSE)+VLOOKUP($A70,A:AL,31,FALSE)-50)),"-",(VLOOKUP($A70,'NonXtal_SegEnds_BW#'!$A:$Z,22,FALSE)+VLOOKUP($A70,A:AL,31,FALSE)-50))</f>
        <v>262</v>
      </c>
      <c r="AG70" s="3">
        <f>IF(ISERROR(VLOOKUP($A70,'NonXtal_SegEnds_BW#'!$A:$Z,23,FALSE)+VLOOKUP($A70,A:AL,34,FALSE)-50),"-",(VLOOKUP($A70,'NonXtal_SegEnds_BW#'!$A:$Z,23,FALSE)+VLOOKUP($A70,A:AL,34,FALSE)-50))</f>
        <v>293</v>
      </c>
      <c r="AH70" s="3">
        <v>308</v>
      </c>
      <c r="AI70" s="3">
        <f>IF(ISERROR((VLOOKUP($A70,'NonXtal_SegEnds_BW#'!$A:$Z,24,FALSE)+VLOOKUP($A70,A:AL,34,FALSE)-50)),"-",(VLOOKUP($A70,'NonXtal_SegEnds_BW#'!$A:$Z,24,FALSE)+VLOOKUP($A70,A:AL,34,FALSE)-50))</f>
        <v>314</v>
      </c>
      <c r="AJ70" s="3">
        <f>IF(ISERROR(VLOOKUP($A70,'NonXtal_SegEnds_BW#'!$A:$Z,25,FALSE)+VLOOKUP($A70,A:AL,37,FALSE)-50),"-",(VLOOKUP($A70,'NonXtal_SegEnds_BW#'!$A:$Z,25,FALSE)+VLOOKUP($A70,A:AL,37,FALSE)-50))</f>
        <v>315</v>
      </c>
      <c r="AK70" s="3">
        <v>318</v>
      </c>
      <c r="AL70" s="3">
        <f>IF(ISERROR((VLOOKUP($A70,'NonXtal_SegEnds_BW#'!$A:$Z,26,FALSE)+VLOOKUP($A70,A:AL,37,FALSE)-50)),"-",(VLOOKUP($A70,'NonXtal_SegEnds_BW#'!$A:$Z,26,FALSE)+VLOOKUP($A70,A:AL,37,FALSE)-50))</f>
        <v>325</v>
      </c>
      <c r="AM70" s="71" t="str">
        <f>VLOOKUP(A70,Classification!A:B,2,FALSE)</f>
        <v>O</v>
      </c>
      <c r="AN70" s="71" t="b">
        <f t="shared" si="36"/>
        <v>1</v>
      </c>
      <c r="AO70" s="3" t="str">
        <f t="shared" si="37"/>
        <v>-</v>
      </c>
      <c r="AP70" s="3" t="str">
        <f t="shared" si="38"/>
        <v>-</v>
      </c>
      <c r="AQ70" s="3" t="str">
        <f t="shared" si="39"/>
        <v>-</v>
      </c>
      <c r="AR70" s="3" t="str">
        <f t="shared" si="40"/>
        <v>-</v>
      </c>
      <c r="AS70" s="3" t="str">
        <f t="shared" si="41"/>
        <v>-</v>
      </c>
      <c r="AT70" s="3" t="str">
        <f t="shared" si="42"/>
        <v>-</v>
      </c>
      <c r="AU70" s="3" t="str">
        <f t="shared" si="43"/>
        <v>-</v>
      </c>
      <c r="AV70" s="3" t="str">
        <f t="shared" si="44"/>
        <v>-</v>
      </c>
      <c r="AW70" s="3">
        <f t="shared" si="45"/>
        <v>26</v>
      </c>
      <c r="AX70" s="3">
        <f t="shared" si="46"/>
        <v>31</v>
      </c>
      <c r="AY70" s="3">
        <f t="shared" si="47"/>
        <v>1</v>
      </c>
      <c r="AZ70" s="3">
        <f>IF(ISERROR(LEN(VLOOKUP(A70,Seqs!A:E,2,FALSE))-AL70),"-",LEN(VLOOKUP(A70,Seqs!A:E,2,FALSE))-AL70)</f>
        <v>79</v>
      </c>
      <c r="BA70" s="35">
        <f t="shared" si="48"/>
        <v>36</v>
      </c>
      <c r="BB70" s="3" t="str">
        <f t="shared" si="49"/>
        <v>-</v>
      </c>
      <c r="BC70" s="3">
        <f t="shared" si="50"/>
        <v>36</v>
      </c>
      <c r="BD70" s="3">
        <f t="shared" si="51"/>
        <v>58</v>
      </c>
    </row>
    <row r="71" spans="1:57" s="3" customFormat="1" x14ac:dyDescent="0.2">
      <c r="A71" s="3" t="s">
        <v>655</v>
      </c>
      <c r="B71" s="3" t="str">
        <f>LOWER(VLOOKUP(A71,Xtal_Templ!A:B,2,FALSE))</f>
        <v>agtr1_human</v>
      </c>
      <c r="C71" s="3">
        <f>VLOOKUP($A71,'NonXtal_SegEnds_BW#'!$A:$Z,3,FALSE)+D71-50</f>
        <v>6</v>
      </c>
      <c r="D71" s="3">
        <v>24</v>
      </c>
      <c r="E71" s="3">
        <f t="shared" ref="E71:E85" si="52">F71-1</f>
        <v>36</v>
      </c>
      <c r="F71" s="3">
        <f t="shared" ref="F71:F85" si="53">G71-2</f>
        <v>37</v>
      </c>
      <c r="G71" s="3">
        <v>39</v>
      </c>
      <c r="H71" s="3">
        <f t="shared" ref="H71:I85" si="54">G71+1</f>
        <v>40</v>
      </c>
      <c r="I71" s="3">
        <f t="shared" si="54"/>
        <v>41</v>
      </c>
      <c r="J71" s="3">
        <v>55</v>
      </c>
      <c r="K71" s="3">
        <f>VLOOKUP($A71,'NonXtal_SegEnds_BW#'!$A:$Z,8,FALSE)+VLOOKUP($A71,A:AL,10,FALSE)-50</f>
        <v>71</v>
      </c>
      <c r="L71" s="3" t="str">
        <f>IF(ISERROR(VLOOKUP($A71,'NonXtal_SegEnds_BW#'!$A:$Z,9,FALSE)+VLOOKUP($A71,A:AL,13,FALSE)-50),"-",(VLOOKUP($A71,'NonXtal_SegEnds_BW#'!$A:$Z,9,FALSE)+VLOOKUP($A71,A:AL,13,FALSE)-50))</f>
        <v>-</v>
      </c>
      <c r="M71" s="3" t="s">
        <v>129</v>
      </c>
      <c r="N71" s="3" t="str">
        <f>IF(ISERROR(VLOOKUP($A71,'NonXtal_SegEnds_BW#'!$A:$Z,10,FALSE)+VLOOKUP($A71,A:AL,13,FALSE)-50),"-",(VLOOKUP($A71,'NonXtal_SegEnds_BW#'!$A:$Z,10,FALSE)+VLOOKUP($A71,A:AL,13,FALSE)-50))</f>
        <v>-</v>
      </c>
      <c r="O71" s="3">
        <f>VLOOKUP($A71,'NonXtal_SegEnds_BW#'!$A:$Z,11,FALSE)+VLOOKUP($A71,A:AL,16,FALSE)-50</f>
        <v>74</v>
      </c>
      <c r="P71" s="3">
        <v>106</v>
      </c>
      <c r="Q71" s="3">
        <f>VLOOKUP($A71,'NonXtal_SegEnds_BW#'!$A:$Z,12,FALSE)+VLOOKUP($A71,A:AL,16,FALSE)-50</f>
        <v>112</v>
      </c>
      <c r="R71" s="3">
        <f t="shared" ref="R71:R85" si="55">S71</f>
        <v>115</v>
      </c>
      <c r="S71" s="3">
        <v>115</v>
      </c>
      <c r="T71" s="3">
        <f t="shared" ref="T71:T85" si="56">S71+7</f>
        <v>122</v>
      </c>
      <c r="U71" s="3">
        <f>IF(ISERROR(VLOOKUP($A71,'NonXtal_SegEnds_BW#'!$A:$Z,15,FALSE)+VLOOKUP($A71,A:AL,22,FALSE)-50),"-",VLOOKUP($A71,'NonXtal_SegEnds_BW#'!$A:$Z,15,FALSE)+VLOOKUP($A71,A:AL,22,FALSE)-50)</f>
        <v>124</v>
      </c>
      <c r="V71" s="3">
        <v>135</v>
      </c>
      <c r="W71" s="3">
        <f>IF(ISERROR(VLOOKUP($A71,'NonXtal_SegEnds_BW#'!$A:$Z,16,FALSE)+VLOOKUP($A71,A:AL,22,FALSE)-50),"-",(VLOOKUP($A71,'NonXtal_SegEnds_BW#'!$A:$Z,16,FALSE)+VLOOKUP($A71,A:AL,22,FALSE)-50))</f>
        <v>149</v>
      </c>
      <c r="X71" s="3" t="str">
        <f>IF(ISERROR(VLOOKUP($A71,'NonXtal_SegEnds_BW#'!$A:$Z,17,FALSE)+VLOOKUP($A71,A:AL,25,FALSE)-50),"-",(VLOOKUP($A71,'NonXtal_SegEnds_BW#'!$A:$Z,17,FALSE)+VLOOKUP($A71,A:AL,25,FALSE)-50))</f>
        <v>-</v>
      </c>
      <c r="Y71" s="3" t="s">
        <v>129</v>
      </c>
      <c r="Z71" s="3" t="str">
        <f>IF(ISERROR(VLOOKUP($A71,'NonXtal_SegEnds_BW#'!$A:$Z,18,FALSE)+VLOOKUP($A71,A:AL,25,FALSE)-50),"-",(VLOOKUP($A71,'NonXtal_SegEnds_BW#'!$A:$Z,18,FALSE)+VLOOKUP($A71,A:AL,25,FALSE)-50))</f>
        <v>-</v>
      </c>
      <c r="AA71" s="3">
        <f>IF(ISERROR(VLOOKUP($A71,'NonXtal_SegEnds_BW#'!$A:$Z,19,FALSE)+VLOOKUP($A71,A:AL,28,FALSE)-50),"-",(VLOOKUP($A71,'NonXtal_SegEnds_BW#'!$A:$Z,19,FALSE)+VLOOKUP($A71,A:AL,28,FALSE)-50))</f>
        <v>169</v>
      </c>
      <c r="AB71" s="3">
        <v>187</v>
      </c>
      <c r="AC71" s="3">
        <f>IF(ISERROR((VLOOKUP($A71,'NonXtal_SegEnds_BW#'!$A:$Z,20,FALSE)+VLOOKUP($A71,A:AL,28,FALSE)-50)),"-",(VLOOKUP($A71,'NonXtal_SegEnds_BW#'!$A:$Z,20,FALSE)+VLOOKUP($A71,A:AL,28,FALSE)-50))</f>
        <v>209</v>
      </c>
      <c r="AD71" s="3">
        <f>IF(ISERROR(VLOOKUP($A71,'NonXtal_SegEnds_BW#'!$A:$Z,21,FALSE)+VLOOKUP($A71,A:AL,31,FALSE)-50),"-",(VLOOKUP($A71,'NonXtal_SegEnds_BW#'!$A:$Z,21,FALSE)+VLOOKUP($A71,A:AL,31,FALSE)-50))</f>
        <v>219</v>
      </c>
      <c r="AE71" s="3">
        <v>240</v>
      </c>
      <c r="AF71" s="3">
        <f>IF(ISERROR((VLOOKUP($A71,'NonXtal_SegEnds_BW#'!$A:$Z,22,FALSE)+VLOOKUP($A71,A:AL,31,FALSE)-50)),"-",(VLOOKUP($A71,'NonXtal_SegEnds_BW#'!$A:$Z,22,FALSE)+VLOOKUP($A71,A:AL,31,FALSE)-50))</f>
        <v>251</v>
      </c>
      <c r="AG71" s="3">
        <f>IF(ISERROR(VLOOKUP($A71,'NonXtal_SegEnds_BW#'!$A:$Z,23,FALSE)+VLOOKUP($A71,A:AL,34,FALSE)-50),"-",(VLOOKUP($A71,'NonXtal_SegEnds_BW#'!$A:$Z,23,FALSE)+VLOOKUP($A71,A:AL,34,FALSE)-50))</f>
        <v>257</v>
      </c>
      <c r="AH71" s="3">
        <v>276</v>
      </c>
      <c r="AI71" s="3">
        <f>IF(ISERROR((VLOOKUP($A71,'NonXtal_SegEnds_BW#'!$A:$Z,24,FALSE)+VLOOKUP($A71,A:AL,34,FALSE)-50)),"-",(VLOOKUP($A71,'NonXtal_SegEnds_BW#'!$A:$Z,24,FALSE)+VLOOKUP($A71,A:AL,34,FALSE)-50))</f>
        <v>282</v>
      </c>
      <c r="AJ71" s="3">
        <f>IF(ISERROR(VLOOKUP($A71,'NonXtal_SegEnds_BW#'!$A:$Z,25,FALSE)+VLOOKUP($A71,A:AL,37,FALSE)-50),"-",(VLOOKUP($A71,'NonXtal_SegEnds_BW#'!$A:$Z,25,FALSE)+VLOOKUP($A71,A:AL,37,FALSE)-50))</f>
        <v>283</v>
      </c>
      <c r="AK71" s="3">
        <v>286</v>
      </c>
      <c r="AL71" s="3">
        <f>IF(ISERROR((VLOOKUP($A71,'NonXtal_SegEnds_BW#'!$A:$Z,26,FALSE)+VLOOKUP($A71,A:AL,37,FALSE)-50)),"-",(VLOOKUP($A71,'NonXtal_SegEnds_BW#'!$A:$Z,26,FALSE)+VLOOKUP($A71,A:AL,37,FALSE)-50))</f>
        <v>296</v>
      </c>
      <c r="AM71" s="71" t="str">
        <f>VLOOKUP(A71,Classification!A:B,2,FALSE)</f>
        <v>T</v>
      </c>
      <c r="AN71" s="71" t="b">
        <f t="shared" si="36"/>
        <v>1</v>
      </c>
      <c r="AO71" s="3">
        <f t="shared" si="37"/>
        <v>1</v>
      </c>
      <c r="AP71" s="3">
        <f t="shared" si="38"/>
        <v>1</v>
      </c>
      <c r="AQ71" s="3" t="str">
        <f t="shared" si="39"/>
        <v>-</v>
      </c>
      <c r="AR71" s="3" t="str">
        <f t="shared" si="40"/>
        <v>-</v>
      </c>
      <c r="AS71" s="3">
        <f t="shared" si="41"/>
        <v>3</v>
      </c>
      <c r="AT71" s="3">
        <f t="shared" si="42"/>
        <v>2</v>
      </c>
      <c r="AU71" s="3" t="str">
        <f t="shared" si="43"/>
        <v>-</v>
      </c>
      <c r="AV71" s="3" t="str">
        <f t="shared" si="44"/>
        <v>-</v>
      </c>
      <c r="AW71" s="3">
        <f t="shared" si="45"/>
        <v>10</v>
      </c>
      <c r="AX71" s="3">
        <f t="shared" si="46"/>
        <v>6</v>
      </c>
      <c r="AY71" s="3">
        <f t="shared" si="47"/>
        <v>1</v>
      </c>
      <c r="AZ71" s="3">
        <f>IF(ISERROR(LEN(VLOOKUP(A71,Seqs!A:E,2,FALSE))-AL71),"-",LEN(VLOOKUP(A71,Seqs!A:E,2,FALSE))-AL71)</f>
        <v>3</v>
      </c>
      <c r="BA71" s="35">
        <f t="shared" si="48"/>
        <v>31</v>
      </c>
      <c r="BB71" s="3">
        <f t="shared" si="49"/>
        <v>20</v>
      </c>
      <c r="BC71" s="3">
        <f t="shared" si="50"/>
        <v>31</v>
      </c>
      <c r="BD71" s="3">
        <f t="shared" si="51"/>
        <v>53</v>
      </c>
      <c r="BE71" s="3">
        <f t="shared" ref="BE71:BE85" si="57">AH71-AE71</f>
        <v>36</v>
      </c>
    </row>
    <row r="72" spans="1:57" s="3" customFormat="1" x14ac:dyDescent="0.2">
      <c r="A72" s="3" t="s">
        <v>656</v>
      </c>
      <c r="B72" s="3" t="str">
        <f>LOWER(VLOOKUP(A72,Xtal_Templ!A:B,2,FALSE))</f>
        <v>agtr1_human</v>
      </c>
      <c r="C72" s="3">
        <f>VLOOKUP($A72,'NonXtal_SegEnds_BW#'!$A:$Z,3,FALSE)+D72-50</f>
        <v>6</v>
      </c>
      <c r="D72" s="3">
        <v>24</v>
      </c>
      <c r="E72" s="3">
        <f t="shared" si="52"/>
        <v>36</v>
      </c>
      <c r="F72" s="3">
        <f t="shared" si="53"/>
        <v>37</v>
      </c>
      <c r="G72" s="3">
        <v>39</v>
      </c>
      <c r="H72" s="3">
        <f t="shared" si="54"/>
        <v>40</v>
      </c>
      <c r="I72" s="3">
        <f t="shared" si="54"/>
        <v>41</v>
      </c>
      <c r="J72" s="3">
        <v>55</v>
      </c>
      <c r="K72" s="3">
        <f>VLOOKUP($A72,'NonXtal_SegEnds_BW#'!$A:$Z,8,FALSE)+VLOOKUP($A72,A:AL,10,FALSE)-50</f>
        <v>71</v>
      </c>
      <c r="L72" s="3" t="str">
        <f>IF(ISERROR(VLOOKUP($A72,'NonXtal_SegEnds_BW#'!$A:$Z,9,FALSE)+VLOOKUP($A72,A:AL,13,FALSE)-50),"-",(VLOOKUP($A72,'NonXtal_SegEnds_BW#'!$A:$Z,9,FALSE)+VLOOKUP($A72,A:AL,13,FALSE)-50))</f>
        <v>-</v>
      </c>
      <c r="M72" s="3" t="s">
        <v>129</v>
      </c>
      <c r="N72" s="3" t="str">
        <f>IF(ISERROR(VLOOKUP($A72,'NonXtal_SegEnds_BW#'!$A:$Z,10,FALSE)+VLOOKUP($A72,A:AL,13,FALSE)-50),"-",(VLOOKUP($A72,'NonXtal_SegEnds_BW#'!$A:$Z,10,FALSE)+VLOOKUP($A72,A:AL,13,FALSE)-50))</f>
        <v>-</v>
      </c>
      <c r="O72" s="3">
        <f>VLOOKUP($A72,'NonXtal_SegEnds_BW#'!$A:$Z,11,FALSE)+VLOOKUP($A72,A:AL,16,FALSE)-50</f>
        <v>74</v>
      </c>
      <c r="P72" s="3">
        <v>106</v>
      </c>
      <c r="Q72" s="3">
        <f>VLOOKUP($A72,'NonXtal_SegEnds_BW#'!$A:$Z,12,FALSE)+VLOOKUP($A72,A:AL,16,FALSE)-50</f>
        <v>112</v>
      </c>
      <c r="R72" s="3">
        <f t="shared" si="55"/>
        <v>115</v>
      </c>
      <c r="S72" s="3">
        <v>115</v>
      </c>
      <c r="T72" s="3">
        <f t="shared" si="56"/>
        <v>122</v>
      </c>
      <c r="U72" s="3">
        <f>IF(ISERROR(VLOOKUP($A72,'NonXtal_SegEnds_BW#'!$A:$Z,15,FALSE)+VLOOKUP($A72,A:AL,22,FALSE)-50),"-",VLOOKUP($A72,'NonXtal_SegEnds_BW#'!$A:$Z,15,FALSE)+VLOOKUP($A72,A:AL,22,FALSE)-50)</f>
        <v>124</v>
      </c>
      <c r="V72" s="3">
        <v>135</v>
      </c>
      <c r="W72" s="3">
        <f>IF(ISERROR(VLOOKUP($A72,'NonXtal_SegEnds_BW#'!$A:$Z,16,FALSE)+VLOOKUP($A72,A:AL,22,FALSE)-50),"-",(VLOOKUP($A72,'NonXtal_SegEnds_BW#'!$A:$Z,16,FALSE)+VLOOKUP($A72,A:AL,22,FALSE)-50))</f>
        <v>149</v>
      </c>
      <c r="X72" s="3" t="str">
        <f>IF(ISERROR(VLOOKUP($A72,'NonXtal_SegEnds_BW#'!$A:$Z,17,FALSE)+VLOOKUP($A72,A:AL,25,FALSE)-50),"-",(VLOOKUP($A72,'NonXtal_SegEnds_BW#'!$A:$Z,17,FALSE)+VLOOKUP($A72,A:AL,25,FALSE)-50))</f>
        <v>-</v>
      </c>
      <c r="Y72" s="3" t="s">
        <v>129</v>
      </c>
      <c r="Z72" s="3" t="str">
        <f>IF(ISERROR(VLOOKUP($A72,'NonXtal_SegEnds_BW#'!$A:$Z,18,FALSE)+VLOOKUP($A72,A:AL,25,FALSE)-50),"-",(VLOOKUP($A72,'NonXtal_SegEnds_BW#'!$A:$Z,18,FALSE)+VLOOKUP($A72,A:AL,25,FALSE)-50))</f>
        <v>-</v>
      </c>
      <c r="AA72" s="3">
        <f>IF(ISERROR(VLOOKUP($A72,'NonXtal_SegEnds_BW#'!$A:$Z,19,FALSE)+VLOOKUP($A72,A:AL,28,FALSE)-50),"-",(VLOOKUP($A72,'NonXtal_SegEnds_BW#'!$A:$Z,19,FALSE)+VLOOKUP($A72,A:AL,28,FALSE)-50))</f>
        <v>169</v>
      </c>
      <c r="AB72" s="3">
        <v>187</v>
      </c>
      <c r="AC72" s="3">
        <f>IF(ISERROR((VLOOKUP($A72,'NonXtal_SegEnds_BW#'!$A:$Z,20,FALSE)+VLOOKUP($A72,A:AL,28,FALSE)-50)),"-",(VLOOKUP($A72,'NonXtal_SegEnds_BW#'!$A:$Z,20,FALSE)+VLOOKUP($A72,A:AL,28,FALSE)-50))</f>
        <v>209</v>
      </c>
      <c r="AD72" s="3">
        <f>IF(ISERROR(VLOOKUP($A72,'NonXtal_SegEnds_BW#'!$A:$Z,21,FALSE)+VLOOKUP($A72,A:AL,31,FALSE)-50),"-",(VLOOKUP($A72,'NonXtal_SegEnds_BW#'!$A:$Z,21,FALSE)+VLOOKUP($A72,A:AL,31,FALSE)-50))</f>
        <v>219</v>
      </c>
      <c r="AE72" s="3">
        <v>240</v>
      </c>
      <c r="AF72" s="3">
        <f>IF(ISERROR((VLOOKUP($A72,'NonXtal_SegEnds_BW#'!$A:$Z,22,FALSE)+VLOOKUP($A72,A:AL,31,FALSE)-50)),"-",(VLOOKUP($A72,'NonXtal_SegEnds_BW#'!$A:$Z,22,FALSE)+VLOOKUP($A72,A:AL,31,FALSE)-50))</f>
        <v>251</v>
      </c>
      <c r="AG72" s="3">
        <f>IF(ISERROR(VLOOKUP($A72,'NonXtal_SegEnds_BW#'!$A:$Z,23,FALSE)+VLOOKUP($A72,A:AL,34,FALSE)-50),"-",(VLOOKUP($A72,'NonXtal_SegEnds_BW#'!$A:$Z,23,FALSE)+VLOOKUP($A72,A:AL,34,FALSE)-50))</f>
        <v>257</v>
      </c>
      <c r="AH72" s="3">
        <v>276</v>
      </c>
      <c r="AI72" s="3">
        <f>IF(ISERROR((VLOOKUP($A72,'NonXtal_SegEnds_BW#'!$A:$Z,24,FALSE)+VLOOKUP($A72,A:AL,34,FALSE)-50)),"-",(VLOOKUP($A72,'NonXtal_SegEnds_BW#'!$A:$Z,24,FALSE)+VLOOKUP($A72,A:AL,34,FALSE)-50))</f>
        <v>282</v>
      </c>
      <c r="AJ72" s="3">
        <f>IF(ISERROR(VLOOKUP($A72,'NonXtal_SegEnds_BW#'!$A:$Z,25,FALSE)+VLOOKUP($A72,A:AL,37,FALSE)-50),"-",(VLOOKUP($A72,'NonXtal_SegEnds_BW#'!$A:$Z,25,FALSE)+VLOOKUP($A72,A:AL,37,FALSE)-50))</f>
        <v>283</v>
      </c>
      <c r="AK72" s="3">
        <v>286</v>
      </c>
      <c r="AL72" s="3">
        <f>IF(ISERROR((VLOOKUP($A72,'NonXtal_SegEnds_BW#'!$A:$Z,26,FALSE)+VLOOKUP($A72,A:AL,37,FALSE)-50)),"-",(VLOOKUP($A72,'NonXtal_SegEnds_BW#'!$A:$Z,26,FALSE)+VLOOKUP($A72,A:AL,37,FALSE)-50))</f>
        <v>296</v>
      </c>
      <c r="AM72" s="71" t="str">
        <f>VLOOKUP(A72,Classification!A:B,2,FALSE)</f>
        <v>T</v>
      </c>
      <c r="AN72" s="71" t="b">
        <f t="shared" si="36"/>
        <v>1</v>
      </c>
      <c r="AO72" s="3">
        <f t="shared" si="37"/>
        <v>1</v>
      </c>
      <c r="AP72" s="3">
        <f t="shared" si="38"/>
        <v>1</v>
      </c>
      <c r="AQ72" s="3" t="str">
        <f t="shared" si="39"/>
        <v>-</v>
      </c>
      <c r="AR72" s="3" t="str">
        <f t="shared" si="40"/>
        <v>-</v>
      </c>
      <c r="AS72" s="3">
        <f t="shared" si="41"/>
        <v>3</v>
      </c>
      <c r="AT72" s="3">
        <f t="shared" si="42"/>
        <v>2</v>
      </c>
      <c r="AU72" s="3" t="str">
        <f t="shared" si="43"/>
        <v>-</v>
      </c>
      <c r="AV72" s="3" t="str">
        <f t="shared" si="44"/>
        <v>-</v>
      </c>
      <c r="AW72" s="3">
        <f t="shared" si="45"/>
        <v>10</v>
      </c>
      <c r="AX72" s="3">
        <f t="shared" si="46"/>
        <v>6</v>
      </c>
      <c r="AY72" s="3">
        <f t="shared" si="47"/>
        <v>1</v>
      </c>
      <c r="AZ72" s="3">
        <f>IF(ISERROR(LEN(VLOOKUP(A72,Seqs!A:E,2,FALSE))-AL72),"-",LEN(VLOOKUP(A72,Seqs!A:E,2,FALSE))-AL72)</f>
        <v>13</v>
      </c>
      <c r="BA72" s="35">
        <f t="shared" si="48"/>
        <v>31</v>
      </c>
      <c r="BB72" s="3">
        <f t="shared" si="49"/>
        <v>20</v>
      </c>
      <c r="BC72" s="3">
        <f t="shared" si="50"/>
        <v>31</v>
      </c>
      <c r="BD72" s="3">
        <f t="shared" si="51"/>
        <v>53</v>
      </c>
      <c r="BE72" s="3">
        <f t="shared" si="57"/>
        <v>36</v>
      </c>
    </row>
    <row r="73" spans="1:57" s="3" customFormat="1" x14ac:dyDescent="0.2">
      <c r="A73" s="3" t="s">
        <v>657</v>
      </c>
      <c r="B73" s="3" t="str">
        <f>LOWER(VLOOKUP(A73,Xtal_Templ!A:B,2,FALSE))</f>
        <v>agtr1_human</v>
      </c>
      <c r="C73" s="3">
        <f>VLOOKUP($A73,'NonXtal_SegEnds_BW#'!$A:$Z,3,FALSE)+D73-50</f>
        <v>6</v>
      </c>
      <c r="D73" s="3">
        <v>24</v>
      </c>
      <c r="E73" s="3">
        <f t="shared" si="52"/>
        <v>36</v>
      </c>
      <c r="F73" s="3">
        <f t="shared" si="53"/>
        <v>37</v>
      </c>
      <c r="G73" s="3">
        <v>39</v>
      </c>
      <c r="H73" s="3">
        <f t="shared" si="54"/>
        <v>40</v>
      </c>
      <c r="I73" s="3">
        <f t="shared" si="54"/>
        <v>41</v>
      </c>
      <c r="J73" s="3">
        <v>55</v>
      </c>
      <c r="K73" s="3">
        <f>VLOOKUP($A73,'NonXtal_SegEnds_BW#'!$A:$Z,8,FALSE)+VLOOKUP($A73,A:AL,10,FALSE)-50</f>
        <v>71</v>
      </c>
      <c r="L73" s="3" t="str">
        <f>IF(ISERROR(VLOOKUP($A73,'NonXtal_SegEnds_BW#'!$A:$Z,9,FALSE)+VLOOKUP($A73,A:AL,13,FALSE)-50),"-",(VLOOKUP($A73,'NonXtal_SegEnds_BW#'!$A:$Z,9,FALSE)+VLOOKUP($A73,A:AL,13,FALSE)-50))</f>
        <v>-</v>
      </c>
      <c r="M73" s="3" t="s">
        <v>129</v>
      </c>
      <c r="N73" s="3" t="str">
        <f>IF(ISERROR(VLOOKUP($A73,'NonXtal_SegEnds_BW#'!$A:$Z,10,FALSE)+VLOOKUP($A73,A:AL,13,FALSE)-50),"-",(VLOOKUP($A73,'NonXtal_SegEnds_BW#'!$A:$Z,10,FALSE)+VLOOKUP($A73,A:AL,13,FALSE)-50))</f>
        <v>-</v>
      </c>
      <c r="O73" s="3">
        <f>VLOOKUP($A73,'NonXtal_SegEnds_BW#'!$A:$Z,11,FALSE)+VLOOKUP($A73,A:AL,16,FALSE)-50</f>
        <v>74</v>
      </c>
      <c r="P73" s="3">
        <v>106</v>
      </c>
      <c r="Q73" s="3">
        <f>VLOOKUP($A73,'NonXtal_SegEnds_BW#'!$A:$Z,12,FALSE)+VLOOKUP($A73,A:AL,16,FALSE)-50</f>
        <v>112</v>
      </c>
      <c r="R73" s="3">
        <f t="shared" si="55"/>
        <v>115</v>
      </c>
      <c r="S73" s="3">
        <v>115</v>
      </c>
      <c r="T73" s="3">
        <f t="shared" si="56"/>
        <v>122</v>
      </c>
      <c r="U73" s="3">
        <f>IF(ISERROR(VLOOKUP($A73,'NonXtal_SegEnds_BW#'!$A:$Z,15,FALSE)+VLOOKUP($A73,A:AL,22,FALSE)-50),"-",VLOOKUP($A73,'NonXtal_SegEnds_BW#'!$A:$Z,15,FALSE)+VLOOKUP($A73,A:AL,22,FALSE)-50)</f>
        <v>124</v>
      </c>
      <c r="V73" s="3">
        <v>135</v>
      </c>
      <c r="W73" s="3">
        <f>IF(ISERROR(VLOOKUP($A73,'NonXtal_SegEnds_BW#'!$A:$Z,16,FALSE)+VLOOKUP($A73,A:AL,22,FALSE)-50),"-",(VLOOKUP($A73,'NonXtal_SegEnds_BW#'!$A:$Z,16,FALSE)+VLOOKUP($A73,A:AL,22,FALSE)-50))</f>
        <v>149</v>
      </c>
      <c r="X73" s="3" t="str">
        <f>IF(ISERROR(VLOOKUP($A73,'NonXtal_SegEnds_BW#'!$A:$Z,17,FALSE)+VLOOKUP($A73,A:AL,25,FALSE)-50),"-",(VLOOKUP($A73,'NonXtal_SegEnds_BW#'!$A:$Z,17,FALSE)+VLOOKUP($A73,A:AL,25,FALSE)-50))</f>
        <v>-</v>
      </c>
      <c r="Y73" s="3" t="s">
        <v>129</v>
      </c>
      <c r="Z73" s="3" t="str">
        <f>IF(ISERROR(VLOOKUP($A73,'NonXtal_SegEnds_BW#'!$A:$Z,18,FALSE)+VLOOKUP($A73,A:AL,25,FALSE)-50),"-",(VLOOKUP($A73,'NonXtal_SegEnds_BW#'!$A:$Z,18,FALSE)+VLOOKUP($A73,A:AL,25,FALSE)-50))</f>
        <v>-</v>
      </c>
      <c r="AA73" s="3">
        <f>IF(ISERROR(VLOOKUP($A73,'NonXtal_SegEnds_BW#'!$A:$Z,19,FALSE)+VLOOKUP($A73,A:AL,28,FALSE)-50),"-",(VLOOKUP($A73,'NonXtal_SegEnds_BW#'!$A:$Z,19,FALSE)+VLOOKUP($A73,A:AL,28,FALSE)-50))</f>
        <v>169</v>
      </c>
      <c r="AB73" s="3">
        <v>187</v>
      </c>
      <c r="AC73" s="3">
        <f>IF(ISERROR((VLOOKUP($A73,'NonXtal_SegEnds_BW#'!$A:$Z,20,FALSE)+VLOOKUP($A73,A:AL,28,FALSE)-50)),"-",(VLOOKUP($A73,'NonXtal_SegEnds_BW#'!$A:$Z,20,FALSE)+VLOOKUP($A73,A:AL,28,FALSE)-50))</f>
        <v>209</v>
      </c>
      <c r="AD73" s="3">
        <f>IF(ISERROR(VLOOKUP($A73,'NonXtal_SegEnds_BW#'!$A:$Z,21,FALSE)+VLOOKUP($A73,A:AL,31,FALSE)-50),"-",(VLOOKUP($A73,'NonXtal_SegEnds_BW#'!$A:$Z,21,FALSE)+VLOOKUP($A73,A:AL,31,FALSE)-50))</f>
        <v>219</v>
      </c>
      <c r="AE73" s="3">
        <v>240</v>
      </c>
      <c r="AF73" s="3">
        <f>IF(ISERROR((VLOOKUP($A73,'NonXtal_SegEnds_BW#'!$A:$Z,22,FALSE)+VLOOKUP($A73,A:AL,31,FALSE)-50)),"-",(VLOOKUP($A73,'NonXtal_SegEnds_BW#'!$A:$Z,22,FALSE)+VLOOKUP($A73,A:AL,31,FALSE)-50))</f>
        <v>251</v>
      </c>
      <c r="AG73" s="3">
        <f>IF(ISERROR(VLOOKUP($A73,'NonXtal_SegEnds_BW#'!$A:$Z,23,FALSE)+VLOOKUP($A73,A:AL,34,FALSE)-50),"-",(VLOOKUP($A73,'NonXtal_SegEnds_BW#'!$A:$Z,23,FALSE)+VLOOKUP($A73,A:AL,34,FALSE)-50))</f>
        <v>257</v>
      </c>
      <c r="AH73" s="3">
        <v>276</v>
      </c>
      <c r="AI73" s="3">
        <f>IF(ISERROR((VLOOKUP($A73,'NonXtal_SegEnds_BW#'!$A:$Z,24,FALSE)+VLOOKUP($A73,A:AL,34,FALSE)-50)),"-",(VLOOKUP($A73,'NonXtal_SegEnds_BW#'!$A:$Z,24,FALSE)+VLOOKUP($A73,A:AL,34,FALSE)-50))</f>
        <v>282</v>
      </c>
      <c r="AJ73" s="3">
        <f>IF(ISERROR(VLOOKUP($A73,'NonXtal_SegEnds_BW#'!$A:$Z,25,FALSE)+VLOOKUP($A73,A:AL,37,FALSE)-50),"-",(VLOOKUP($A73,'NonXtal_SegEnds_BW#'!$A:$Z,25,FALSE)+VLOOKUP($A73,A:AL,37,FALSE)-50))</f>
        <v>283</v>
      </c>
      <c r="AK73" s="3">
        <v>286</v>
      </c>
      <c r="AL73" s="3">
        <f>IF(ISERROR((VLOOKUP($A73,'NonXtal_SegEnds_BW#'!$A:$Z,26,FALSE)+VLOOKUP($A73,A:AL,37,FALSE)-50)),"-",(VLOOKUP($A73,'NonXtal_SegEnds_BW#'!$A:$Z,26,FALSE)+VLOOKUP($A73,A:AL,37,FALSE)-50))</f>
        <v>296</v>
      </c>
      <c r="AM73" s="71" t="str">
        <f>VLOOKUP(A73,Classification!A:B,2,FALSE)</f>
        <v>T</v>
      </c>
      <c r="AN73" s="71" t="b">
        <f t="shared" si="36"/>
        <v>1</v>
      </c>
      <c r="AO73" s="3">
        <f t="shared" si="37"/>
        <v>1</v>
      </c>
      <c r="AP73" s="3">
        <f t="shared" si="38"/>
        <v>1</v>
      </c>
      <c r="AQ73" s="3" t="str">
        <f t="shared" si="39"/>
        <v>-</v>
      </c>
      <c r="AR73" s="3" t="str">
        <f t="shared" si="40"/>
        <v>-</v>
      </c>
      <c r="AS73" s="3">
        <f t="shared" si="41"/>
        <v>3</v>
      </c>
      <c r="AT73" s="3">
        <f t="shared" si="42"/>
        <v>2</v>
      </c>
      <c r="AU73" s="3" t="str">
        <f t="shared" si="43"/>
        <v>-</v>
      </c>
      <c r="AV73" s="3" t="str">
        <f t="shared" si="44"/>
        <v>-</v>
      </c>
      <c r="AW73" s="3">
        <f t="shared" si="45"/>
        <v>10</v>
      </c>
      <c r="AX73" s="3">
        <f t="shared" si="46"/>
        <v>6</v>
      </c>
      <c r="AY73" s="3">
        <f t="shared" si="47"/>
        <v>1</v>
      </c>
      <c r="AZ73" s="3">
        <f>IF(ISERROR(LEN(VLOOKUP(A73,Seqs!A:E,2,FALSE))-AL73),"-",LEN(VLOOKUP(A73,Seqs!A:E,2,FALSE))-AL73)</f>
        <v>23</v>
      </c>
      <c r="BA73" s="35">
        <f t="shared" si="48"/>
        <v>31</v>
      </c>
      <c r="BB73" s="3">
        <f t="shared" si="49"/>
        <v>20</v>
      </c>
      <c r="BC73" s="3">
        <f t="shared" si="50"/>
        <v>31</v>
      </c>
      <c r="BD73" s="3">
        <f t="shared" si="51"/>
        <v>53</v>
      </c>
      <c r="BE73" s="3">
        <f t="shared" si="57"/>
        <v>36</v>
      </c>
    </row>
    <row r="74" spans="1:57" s="3" customFormat="1" x14ac:dyDescent="0.2">
      <c r="A74" s="3" t="s">
        <v>658</v>
      </c>
      <c r="B74" s="3" t="str">
        <f>LOWER(VLOOKUP(A74,Xtal_Templ!A:B,2,FALSE))</f>
        <v>agtr1_human</v>
      </c>
      <c r="C74" s="3">
        <f>VLOOKUP($A74,'NonXtal_SegEnds_BW#'!$A:$Z,3,FALSE)+D74-50</f>
        <v>6</v>
      </c>
      <c r="D74" s="3">
        <v>24</v>
      </c>
      <c r="E74" s="3">
        <f t="shared" si="52"/>
        <v>36</v>
      </c>
      <c r="F74" s="3">
        <f t="shared" si="53"/>
        <v>37</v>
      </c>
      <c r="G74" s="3">
        <v>39</v>
      </c>
      <c r="H74" s="3">
        <f t="shared" si="54"/>
        <v>40</v>
      </c>
      <c r="I74" s="3">
        <f t="shared" si="54"/>
        <v>41</v>
      </c>
      <c r="J74" s="3">
        <v>55</v>
      </c>
      <c r="K74" s="3">
        <f>VLOOKUP($A74,'NonXtal_SegEnds_BW#'!$A:$Z,8,FALSE)+VLOOKUP($A74,A:AL,10,FALSE)-50</f>
        <v>71</v>
      </c>
      <c r="L74" s="3" t="str">
        <f>IF(ISERROR(VLOOKUP($A74,'NonXtal_SegEnds_BW#'!$A:$Z,9,FALSE)+VLOOKUP($A74,A:AL,13,FALSE)-50),"-",(VLOOKUP($A74,'NonXtal_SegEnds_BW#'!$A:$Z,9,FALSE)+VLOOKUP($A74,A:AL,13,FALSE)-50))</f>
        <v>-</v>
      </c>
      <c r="M74" s="3" t="s">
        <v>129</v>
      </c>
      <c r="N74" s="3" t="str">
        <f>IF(ISERROR(VLOOKUP($A74,'NonXtal_SegEnds_BW#'!$A:$Z,10,FALSE)+VLOOKUP($A74,A:AL,13,FALSE)-50),"-",(VLOOKUP($A74,'NonXtal_SegEnds_BW#'!$A:$Z,10,FALSE)+VLOOKUP($A74,A:AL,13,FALSE)-50))</f>
        <v>-</v>
      </c>
      <c r="O74" s="3">
        <f>VLOOKUP($A74,'NonXtal_SegEnds_BW#'!$A:$Z,11,FALSE)+VLOOKUP($A74,A:AL,16,FALSE)-50</f>
        <v>74</v>
      </c>
      <c r="P74" s="3">
        <v>106</v>
      </c>
      <c r="Q74" s="3">
        <f>VLOOKUP($A74,'NonXtal_SegEnds_BW#'!$A:$Z,12,FALSE)+VLOOKUP($A74,A:AL,16,FALSE)-50</f>
        <v>112</v>
      </c>
      <c r="R74" s="3">
        <f t="shared" si="55"/>
        <v>115</v>
      </c>
      <c r="S74" s="3">
        <v>115</v>
      </c>
      <c r="T74" s="3">
        <f t="shared" si="56"/>
        <v>122</v>
      </c>
      <c r="U74" s="3">
        <f>IF(ISERROR(VLOOKUP($A74,'NonXtal_SegEnds_BW#'!$A:$Z,15,FALSE)+VLOOKUP($A74,A:AL,22,FALSE)-50),"-",VLOOKUP($A74,'NonXtal_SegEnds_BW#'!$A:$Z,15,FALSE)+VLOOKUP($A74,A:AL,22,FALSE)-50)</f>
        <v>124</v>
      </c>
      <c r="V74" s="3">
        <v>135</v>
      </c>
      <c r="W74" s="3">
        <f>IF(ISERROR(VLOOKUP($A74,'NonXtal_SegEnds_BW#'!$A:$Z,16,FALSE)+VLOOKUP($A74,A:AL,22,FALSE)-50),"-",(VLOOKUP($A74,'NonXtal_SegEnds_BW#'!$A:$Z,16,FALSE)+VLOOKUP($A74,A:AL,22,FALSE)-50))</f>
        <v>149</v>
      </c>
      <c r="X74" s="3" t="str">
        <f>IF(ISERROR(VLOOKUP($A74,'NonXtal_SegEnds_BW#'!$A:$Z,17,FALSE)+VLOOKUP($A74,A:AL,25,FALSE)-50),"-",(VLOOKUP($A74,'NonXtal_SegEnds_BW#'!$A:$Z,17,FALSE)+VLOOKUP($A74,A:AL,25,FALSE)-50))</f>
        <v>-</v>
      </c>
      <c r="Y74" s="3" t="s">
        <v>129</v>
      </c>
      <c r="Z74" s="3" t="str">
        <f>IF(ISERROR(VLOOKUP($A74,'NonXtal_SegEnds_BW#'!$A:$Z,18,FALSE)+VLOOKUP($A74,A:AL,25,FALSE)-50),"-",(VLOOKUP($A74,'NonXtal_SegEnds_BW#'!$A:$Z,18,FALSE)+VLOOKUP($A74,A:AL,25,FALSE)-50))</f>
        <v>-</v>
      </c>
      <c r="AA74" s="3">
        <f>IF(ISERROR(VLOOKUP($A74,'NonXtal_SegEnds_BW#'!$A:$Z,19,FALSE)+VLOOKUP($A74,A:AL,28,FALSE)-50),"-",(VLOOKUP($A74,'NonXtal_SegEnds_BW#'!$A:$Z,19,FALSE)+VLOOKUP($A74,A:AL,28,FALSE)-50))</f>
        <v>169</v>
      </c>
      <c r="AB74" s="3">
        <v>187</v>
      </c>
      <c r="AC74" s="3">
        <f>IF(ISERROR((VLOOKUP($A74,'NonXtal_SegEnds_BW#'!$A:$Z,20,FALSE)+VLOOKUP($A74,A:AL,28,FALSE)-50)),"-",(VLOOKUP($A74,'NonXtal_SegEnds_BW#'!$A:$Z,20,FALSE)+VLOOKUP($A74,A:AL,28,FALSE)-50))</f>
        <v>209</v>
      </c>
      <c r="AD74" s="3">
        <f>IF(ISERROR(VLOOKUP($A74,'NonXtal_SegEnds_BW#'!$A:$Z,21,FALSE)+VLOOKUP($A74,A:AL,31,FALSE)-50),"-",(VLOOKUP($A74,'NonXtal_SegEnds_BW#'!$A:$Z,21,FALSE)+VLOOKUP($A74,A:AL,31,FALSE)-50))</f>
        <v>219</v>
      </c>
      <c r="AE74" s="3">
        <v>240</v>
      </c>
      <c r="AF74" s="3">
        <f>IF(ISERROR((VLOOKUP($A74,'NonXtal_SegEnds_BW#'!$A:$Z,22,FALSE)+VLOOKUP($A74,A:AL,31,FALSE)-50)),"-",(VLOOKUP($A74,'NonXtal_SegEnds_BW#'!$A:$Z,22,FALSE)+VLOOKUP($A74,A:AL,31,FALSE)-50))</f>
        <v>251</v>
      </c>
      <c r="AG74" s="3">
        <f>IF(ISERROR(VLOOKUP($A74,'NonXtal_SegEnds_BW#'!$A:$Z,23,FALSE)+VLOOKUP($A74,A:AL,34,FALSE)-50),"-",(VLOOKUP($A74,'NonXtal_SegEnds_BW#'!$A:$Z,23,FALSE)+VLOOKUP($A74,A:AL,34,FALSE)-50))</f>
        <v>257</v>
      </c>
      <c r="AH74" s="3">
        <v>276</v>
      </c>
      <c r="AI74" s="3">
        <f>IF(ISERROR((VLOOKUP($A74,'NonXtal_SegEnds_BW#'!$A:$Z,24,FALSE)+VLOOKUP($A74,A:AL,34,FALSE)-50)),"-",(VLOOKUP($A74,'NonXtal_SegEnds_BW#'!$A:$Z,24,FALSE)+VLOOKUP($A74,A:AL,34,FALSE)-50))</f>
        <v>282</v>
      </c>
      <c r="AJ74" s="3">
        <f>IF(ISERROR(VLOOKUP($A74,'NonXtal_SegEnds_BW#'!$A:$Z,25,FALSE)+VLOOKUP($A74,A:AL,37,FALSE)-50),"-",(VLOOKUP($A74,'NonXtal_SegEnds_BW#'!$A:$Z,25,FALSE)+VLOOKUP($A74,A:AL,37,FALSE)-50))</f>
        <v>283</v>
      </c>
      <c r="AK74" s="3">
        <v>286</v>
      </c>
      <c r="AL74" s="3">
        <f>IF(ISERROR((VLOOKUP($A74,'NonXtal_SegEnds_BW#'!$A:$Z,26,FALSE)+VLOOKUP($A74,A:AL,37,FALSE)-50)),"-",(VLOOKUP($A74,'NonXtal_SegEnds_BW#'!$A:$Z,26,FALSE)+VLOOKUP($A74,A:AL,37,FALSE)-50))</f>
        <v>296</v>
      </c>
      <c r="AM74" s="71" t="str">
        <f>VLOOKUP(A74,Classification!A:B,2,FALSE)</f>
        <v>T</v>
      </c>
      <c r="AN74" s="71" t="b">
        <f t="shared" si="36"/>
        <v>1</v>
      </c>
      <c r="AO74" s="3">
        <f t="shared" si="37"/>
        <v>1</v>
      </c>
      <c r="AP74" s="3">
        <f t="shared" si="38"/>
        <v>1</v>
      </c>
      <c r="AQ74" s="3" t="str">
        <f t="shared" si="39"/>
        <v>-</v>
      </c>
      <c r="AR74" s="3" t="str">
        <f t="shared" si="40"/>
        <v>-</v>
      </c>
      <c r="AS74" s="3">
        <f t="shared" si="41"/>
        <v>3</v>
      </c>
      <c r="AT74" s="3">
        <f t="shared" si="42"/>
        <v>2</v>
      </c>
      <c r="AU74" s="3" t="str">
        <f t="shared" si="43"/>
        <v>-</v>
      </c>
      <c r="AV74" s="3" t="str">
        <f t="shared" si="44"/>
        <v>-</v>
      </c>
      <c r="AW74" s="3">
        <f t="shared" si="45"/>
        <v>10</v>
      </c>
      <c r="AX74" s="3">
        <f t="shared" si="46"/>
        <v>6</v>
      </c>
      <c r="AY74" s="3">
        <f t="shared" si="47"/>
        <v>1</v>
      </c>
      <c r="AZ74" s="3">
        <f>IF(ISERROR(LEN(VLOOKUP(A74,Seqs!A:E,2,FALSE))-AL74),"-",LEN(VLOOKUP(A74,Seqs!A:E,2,FALSE))-AL74)</f>
        <v>13</v>
      </c>
      <c r="BA74" s="35">
        <f t="shared" si="48"/>
        <v>31</v>
      </c>
      <c r="BB74" s="3">
        <f t="shared" si="49"/>
        <v>20</v>
      </c>
      <c r="BC74" s="3">
        <f t="shared" si="50"/>
        <v>31</v>
      </c>
      <c r="BD74" s="3">
        <f t="shared" si="51"/>
        <v>53</v>
      </c>
      <c r="BE74" s="3">
        <f t="shared" si="57"/>
        <v>36</v>
      </c>
    </row>
    <row r="75" spans="1:57" s="3" customFormat="1" x14ac:dyDescent="0.2">
      <c r="A75" s="3" t="s">
        <v>659</v>
      </c>
      <c r="B75" s="3" t="str">
        <f>LOWER(VLOOKUP(A75,Xtal_Templ!A:B,2,FALSE))</f>
        <v>agtr1_human</v>
      </c>
      <c r="C75" s="3">
        <f>VLOOKUP($A75,'NonXtal_SegEnds_BW#'!$A:$Z,3,FALSE)+D75-50</f>
        <v>15</v>
      </c>
      <c r="D75" s="3">
        <v>33</v>
      </c>
      <c r="E75" s="3">
        <f t="shared" si="52"/>
        <v>45</v>
      </c>
      <c r="F75" s="3">
        <f t="shared" si="53"/>
        <v>46</v>
      </c>
      <c r="G75" s="3">
        <v>48</v>
      </c>
      <c r="H75" s="3">
        <f t="shared" si="54"/>
        <v>49</v>
      </c>
      <c r="I75" s="3">
        <f t="shared" si="54"/>
        <v>50</v>
      </c>
      <c r="J75" s="3">
        <v>64</v>
      </c>
      <c r="K75" s="3">
        <f>VLOOKUP($A75,'NonXtal_SegEnds_BW#'!$A:$Z,8,FALSE)+VLOOKUP($A75,A:AL,10,FALSE)-50</f>
        <v>81</v>
      </c>
      <c r="L75" s="3" t="str">
        <f>IF(ISERROR(VLOOKUP($A75,'NonXtal_SegEnds_BW#'!$A:$Z,9,FALSE)+VLOOKUP($A75,A:AL,13,FALSE)-50),"-",(VLOOKUP($A75,'NonXtal_SegEnds_BW#'!$A:$Z,9,FALSE)+VLOOKUP($A75,A:AL,13,FALSE)-50))</f>
        <v>-</v>
      </c>
      <c r="M75" s="3" t="s">
        <v>129</v>
      </c>
      <c r="N75" s="3" t="str">
        <f>IF(ISERROR(VLOOKUP($A75,'NonXtal_SegEnds_BW#'!$A:$Z,10,FALSE)+VLOOKUP($A75,A:AL,13,FALSE)-50),"-",(VLOOKUP($A75,'NonXtal_SegEnds_BW#'!$A:$Z,10,FALSE)+VLOOKUP($A75,A:AL,13,FALSE)-50))</f>
        <v>-</v>
      </c>
      <c r="O75" s="3">
        <f>VLOOKUP($A75,'NonXtal_SegEnds_BW#'!$A:$Z,11,FALSE)+VLOOKUP($A75,A:AL,16,FALSE)-50</f>
        <v>85</v>
      </c>
      <c r="P75" s="3">
        <v>117</v>
      </c>
      <c r="Q75" s="3">
        <f>VLOOKUP($A75,'NonXtal_SegEnds_BW#'!$A:$Z,12,FALSE)+VLOOKUP($A75,A:AL,16,FALSE)-50</f>
        <v>123</v>
      </c>
      <c r="R75" s="3">
        <f t="shared" si="55"/>
        <v>126</v>
      </c>
      <c r="S75" s="3">
        <v>126</v>
      </c>
      <c r="T75" s="3">
        <f t="shared" si="56"/>
        <v>133</v>
      </c>
      <c r="U75" s="3">
        <f>IF(ISERROR(VLOOKUP($A75,'NonXtal_SegEnds_BW#'!$A:$Z,15,FALSE)+VLOOKUP($A75,A:AL,22,FALSE)-50),"-",VLOOKUP($A75,'NonXtal_SegEnds_BW#'!$A:$Z,15,FALSE)+VLOOKUP($A75,A:AL,22,FALSE)-50)</f>
        <v>135</v>
      </c>
      <c r="V75" s="3">
        <v>146</v>
      </c>
      <c r="W75" s="3">
        <f>IF(ISERROR(VLOOKUP($A75,'NonXtal_SegEnds_BW#'!$A:$Z,16,FALSE)+VLOOKUP($A75,A:AL,22,FALSE)-50),"-",(VLOOKUP($A75,'NonXtal_SegEnds_BW#'!$A:$Z,16,FALSE)+VLOOKUP($A75,A:AL,22,FALSE)-50))</f>
        <v>160</v>
      </c>
      <c r="X75" s="3" t="str">
        <f>IF(ISERROR(VLOOKUP($A75,'NonXtal_SegEnds_BW#'!$A:$Z,17,FALSE)+VLOOKUP($A75,A:AL,25,FALSE)-50),"-",(VLOOKUP($A75,'NonXtal_SegEnds_BW#'!$A:$Z,17,FALSE)+VLOOKUP($A75,A:AL,25,FALSE)-50))</f>
        <v>-</v>
      </c>
      <c r="Y75" s="3" t="s">
        <v>129</v>
      </c>
      <c r="Z75" s="3" t="str">
        <f>IF(ISERROR(VLOOKUP($A75,'NonXtal_SegEnds_BW#'!$A:$Z,18,FALSE)+VLOOKUP($A75,A:AL,25,FALSE)-50),"-",(VLOOKUP($A75,'NonXtal_SegEnds_BW#'!$A:$Z,18,FALSE)+VLOOKUP($A75,A:AL,25,FALSE)-50))</f>
        <v>-</v>
      </c>
      <c r="AA75" s="3">
        <f>IF(ISERROR(VLOOKUP($A75,'NonXtal_SegEnds_BW#'!$A:$Z,19,FALSE)+VLOOKUP($A75,A:AL,28,FALSE)-50),"-",(VLOOKUP($A75,'NonXtal_SegEnds_BW#'!$A:$Z,19,FALSE)+VLOOKUP($A75,A:AL,28,FALSE)-50))</f>
        <v>187</v>
      </c>
      <c r="AB75" s="3">
        <v>205</v>
      </c>
      <c r="AC75" s="3">
        <f>IF(ISERROR((VLOOKUP($A75,'NonXtal_SegEnds_BW#'!$A:$Z,20,FALSE)+VLOOKUP($A75,A:AL,28,FALSE)-50)),"-",(VLOOKUP($A75,'NonXtal_SegEnds_BW#'!$A:$Z,20,FALSE)+VLOOKUP($A75,A:AL,28,FALSE)-50))</f>
        <v>227</v>
      </c>
      <c r="AD75" s="3">
        <f>IF(ISERROR(VLOOKUP($A75,'NonXtal_SegEnds_BW#'!$A:$Z,21,FALSE)+VLOOKUP($A75,A:AL,31,FALSE)-50),"-",(VLOOKUP($A75,'NonXtal_SegEnds_BW#'!$A:$Z,21,FALSE)+VLOOKUP($A75,A:AL,31,FALSE)-50))</f>
        <v>237</v>
      </c>
      <c r="AE75" s="3">
        <v>258</v>
      </c>
      <c r="AF75" s="3">
        <f>IF(ISERROR((VLOOKUP($A75,'NonXtal_SegEnds_BW#'!$A:$Z,22,FALSE)+VLOOKUP($A75,A:AL,31,FALSE)-50)),"-",(VLOOKUP($A75,'NonXtal_SegEnds_BW#'!$A:$Z,22,FALSE)+VLOOKUP($A75,A:AL,31,FALSE)-50))</f>
        <v>269</v>
      </c>
      <c r="AG75" s="3">
        <f>IF(ISERROR(VLOOKUP($A75,'NonXtal_SegEnds_BW#'!$A:$Z,23,FALSE)+VLOOKUP($A75,A:AL,34,FALSE)-50),"-",(VLOOKUP($A75,'NonXtal_SegEnds_BW#'!$A:$Z,23,FALSE)+VLOOKUP($A75,A:AL,34,FALSE)-50))</f>
        <v>275</v>
      </c>
      <c r="AH75" s="3">
        <v>294</v>
      </c>
      <c r="AI75" s="3">
        <f>IF(ISERROR((VLOOKUP($A75,'NonXtal_SegEnds_BW#'!$A:$Z,24,FALSE)+VLOOKUP($A75,A:AL,34,FALSE)-50)),"-",(VLOOKUP($A75,'NonXtal_SegEnds_BW#'!$A:$Z,24,FALSE)+VLOOKUP($A75,A:AL,34,FALSE)-50))</f>
        <v>300</v>
      </c>
      <c r="AJ75" s="3">
        <f>IF(ISERROR(VLOOKUP($A75,'NonXtal_SegEnds_BW#'!$A:$Z,25,FALSE)+VLOOKUP($A75,A:AL,37,FALSE)-50),"-",(VLOOKUP($A75,'NonXtal_SegEnds_BW#'!$A:$Z,25,FALSE)+VLOOKUP($A75,A:AL,37,FALSE)-50))</f>
        <v>301</v>
      </c>
      <c r="AK75" s="3">
        <v>304</v>
      </c>
      <c r="AL75" s="3">
        <f>IF(ISERROR((VLOOKUP($A75,'NonXtal_SegEnds_BW#'!$A:$Z,26,FALSE)+VLOOKUP($A75,A:AL,37,FALSE)-50)),"-",(VLOOKUP($A75,'NonXtal_SegEnds_BW#'!$A:$Z,26,FALSE)+VLOOKUP($A75,A:AL,37,FALSE)-50))</f>
        <v>314</v>
      </c>
      <c r="AM75" s="71" t="str">
        <f>VLOOKUP(A75,Classification!A:B,2,FALSE)</f>
        <v>T</v>
      </c>
      <c r="AN75" s="71" t="b">
        <f t="shared" si="36"/>
        <v>1</v>
      </c>
      <c r="AO75" s="3">
        <f t="shared" si="37"/>
        <v>1</v>
      </c>
      <c r="AP75" s="3">
        <f t="shared" si="38"/>
        <v>1</v>
      </c>
      <c r="AQ75" s="3" t="str">
        <f t="shared" si="39"/>
        <v>-</v>
      </c>
      <c r="AR75" s="3" t="str">
        <f t="shared" si="40"/>
        <v>-</v>
      </c>
      <c r="AS75" s="3">
        <f t="shared" si="41"/>
        <v>3</v>
      </c>
      <c r="AT75" s="3">
        <f t="shared" si="42"/>
        <v>2</v>
      </c>
      <c r="AU75" s="3" t="str">
        <f t="shared" si="43"/>
        <v>-</v>
      </c>
      <c r="AV75" s="3" t="str">
        <f t="shared" si="44"/>
        <v>-</v>
      </c>
      <c r="AW75" s="3">
        <f t="shared" si="45"/>
        <v>10</v>
      </c>
      <c r="AX75" s="3">
        <f t="shared" si="46"/>
        <v>6</v>
      </c>
      <c r="AY75" s="3">
        <f t="shared" si="47"/>
        <v>1</v>
      </c>
      <c r="AZ75" s="3">
        <f>IF(ISERROR(LEN(VLOOKUP(A75,Seqs!A:E,2,FALSE))-AL75),"-",LEN(VLOOKUP(A75,Seqs!A:E,2,FALSE))-AL75)</f>
        <v>19</v>
      </c>
      <c r="BA75" s="35">
        <f t="shared" si="48"/>
        <v>31</v>
      </c>
      <c r="BB75" s="3">
        <f t="shared" si="49"/>
        <v>20</v>
      </c>
      <c r="BC75" s="3">
        <f t="shared" si="50"/>
        <v>31</v>
      </c>
      <c r="BD75" s="3">
        <f t="shared" si="51"/>
        <v>53</v>
      </c>
      <c r="BE75" s="3">
        <f t="shared" si="57"/>
        <v>36</v>
      </c>
    </row>
    <row r="76" spans="1:57" s="3" customFormat="1" x14ac:dyDescent="0.2">
      <c r="A76" s="3" t="s">
        <v>662</v>
      </c>
      <c r="B76" s="3" t="str">
        <f>LOWER(VLOOKUP(A76,Xtal_Templ!A:B,2,FALSE))</f>
        <v>agtr1_human</v>
      </c>
      <c r="C76" s="3">
        <f>VLOOKUP($A76,'NonXtal_SegEnds_BW#'!$A:$Z,3,FALSE)+D76-50</f>
        <v>6</v>
      </c>
      <c r="D76" s="3">
        <v>24</v>
      </c>
      <c r="E76" s="3">
        <f t="shared" si="52"/>
        <v>36</v>
      </c>
      <c r="F76" s="3">
        <f t="shared" si="53"/>
        <v>37</v>
      </c>
      <c r="G76" s="3">
        <v>39</v>
      </c>
      <c r="H76" s="3">
        <f t="shared" si="54"/>
        <v>40</v>
      </c>
      <c r="I76" s="3">
        <f t="shared" si="54"/>
        <v>41</v>
      </c>
      <c r="J76" s="3">
        <v>55</v>
      </c>
      <c r="K76" s="3">
        <f>VLOOKUP($A76,'NonXtal_SegEnds_BW#'!$A:$Z,8,FALSE)+VLOOKUP($A76,A:AL,10,FALSE)-50</f>
        <v>72</v>
      </c>
      <c r="L76" s="3" t="str">
        <f>IF(ISERROR(VLOOKUP($A76,'NonXtal_SegEnds_BW#'!$A:$Z,9,FALSE)+VLOOKUP($A76,A:AL,13,FALSE)-50),"-",(VLOOKUP($A76,'NonXtal_SegEnds_BW#'!$A:$Z,9,FALSE)+VLOOKUP($A76,A:AL,13,FALSE)-50))</f>
        <v>-</v>
      </c>
      <c r="M76" s="3" t="s">
        <v>129</v>
      </c>
      <c r="N76" s="3" t="str">
        <f>IF(ISERROR(VLOOKUP($A76,'NonXtal_SegEnds_BW#'!$A:$Z,10,FALSE)+VLOOKUP($A76,A:AL,13,FALSE)-50),"-",(VLOOKUP($A76,'NonXtal_SegEnds_BW#'!$A:$Z,10,FALSE)+VLOOKUP($A76,A:AL,13,FALSE)-50))</f>
        <v>-</v>
      </c>
      <c r="O76" s="3">
        <f>VLOOKUP($A76,'NonXtal_SegEnds_BW#'!$A:$Z,11,FALSE)+VLOOKUP($A76,A:AL,16,FALSE)-50</f>
        <v>75</v>
      </c>
      <c r="P76" s="3">
        <v>107</v>
      </c>
      <c r="Q76" s="3">
        <f>VLOOKUP($A76,'NonXtal_SegEnds_BW#'!$A:$Z,12,FALSE)+VLOOKUP($A76,A:AL,16,FALSE)-50</f>
        <v>113</v>
      </c>
      <c r="R76" s="3">
        <f t="shared" si="55"/>
        <v>116</v>
      </c>
      <c r="S76" s="3">
        <v>116</v>
      </c>
      <c r="T76" s="3">
        <f t="shared" si="56"/>
        <v>123</v>
      </c>
      <c r="U76" s="3">
        <f>IF(ISERROR(VLOOKUP($A76,'NonXtal_SegEnds_BW#'!$A:$Z,15,FALSE)+VLOOKUP($A76,A:AL,22,FALSE)-50),"-",VLOOKUP($A76,'NonXtal_SegEnds_BW#'!$A:$Z,15,FALSE)+VLOOKUP($A76,A:AL,22,FALSE)-50)</f>
        <v>125</v>
      </c>
      <c r="V76" s="3">
        <v>136</v>
      </c>
      <c r="W76" s="3">
        <f>IF(ISERROR(VLOOKUP($A76,'NonXtal_SegEnds_BW#'!$A:$Z,16,FALSE)+VLOOKUP($A76,A:AL,22,FALSE)-50),"-",(VLOOKUP($A76,'NonXtal_SegEnds_BW#'!$A:$Z,16,FALSE)+VLOOKUP($A76,A:AL,22,FALSE)-50))</f>
        <v>150</v>
      </c>
      <c r="X76" s="3" t="str">
        <f>IF(ISERROR(VLOOKUP($A76,'NonXtal_SegEnds_BW#'!$A:$Z,17,FALSE)+VLOOKUP($A76,A:AL,25,FALSE)-50),"-",(VLOOKUP($A76,'NonXtal_SegEnds_BW#'!$A:$Z,17,FALSE)+VLOOKUP($A76,A:AL,25,FALSE)-50))</f>
        <v>-</v>
      </c>
      <c r="Y76" s="3" t="s">
        <v>129</v>
      </c>
      <c r="Z76" s="3" t="str">
        <f>IF(ISERROR(VLOOKUP($A76,'NonXtal_SegEnds_BW#'!$A:$Z,18,FALSE)+VLOOKUP($A76,A:AL,25,FALSE)-50),"-",(VLOOKUP($A76,'NonXtal_SegEnds_BW#'!$A:$Z,18,FALSE)+VLOOKUP($A76,A:AL,25,FALSE)-50))</f>
        <v>-</v>
      </c>
      <c r="AA76" s="3">
        <f>IF(ISERROR(VLOOKUP($A76,'NonXtal_SegEnds_BW#'!$A:$Z,19,FALSE)+VLOOKUP($A76,A:AL,28,FALSE)-50),"-",(VLOOKUP($A76,'NonXtal_SegEnds_BW#'!$A:$Z,19,FALSE)+VLOOKUP($A76,A:AL,28,FALSE)-50))</f>
        <v>174</v>
      </c>
      <c r="AB76" s="3">
        <v>192</v>
      </c>
      <c r="AC76" s="3">
        <f>IF(ISERROR((VLOOKUP($A76,'NonXtal_SegEnds_BW#'!$A:$Z,20,FALSE)+VLOOKUP($A76,A:AL,28,FALSE)-50)),"-",(VLOOKUP($A76,'NonXtal_SegEnds_BW#'!$A:$Z,20,FALSE)+VLOOKUP($A76,A:AL,28,FALSE)-50))</f>
        <v>214</v>
      </c>
      <c r="AD76" s="3">
        <f>IF(ISERROR(VLOOKUP($A76,'NonXtal_SegEnds_BW#'!$A:$Z,21,FALSE)+VLOOKUP($A76,A:AL,31,FALSE)-50),"-",(VLOOKUP($A76,'NonXtal_SegEnds_BW#'!$A:$Z,21,FALSE)+VLOOKUP($A76,A:AL,31,FALSE)-50))</f>
        <v>224</v>
      </c>
      <c r="AE76" s="3">
        <v>245</v>
      </c>
      <c r="AF76" s="3">
        <f>IF(ISERROR((VLOOKUP($A76,'NonXtal_SegEnds_BW#'!$A:$Z,22,FALSE)+VLOOKUP($A76,A:AL,31,FALSE)-50)),"-",(VLOOKUP($A76,'NonXtal_SegEnds_BW#'!$A:$Z,22,FALSE)+VLOOKUP($A76,A:AL,31,FALSE)-50))</f>
        <v>256</v>
      </c>
      <c r="AG76" s="3">
        <f>IF(ISERROR(VLOOKUP($A76,'NonXtal_SegEnds_BW#'!$A:$Z,23,FALSE)+VLOOKUP($A76,A:AL,34,FALSE)-50),"-",(VLOOKUP($A76,'NonXtal_SegEnds_BW#'!$A:$Z,23,FALSE)+VLOOKUP($A76,A:AL,34,FALSE)-50))</f>
        <v>261</v>
      </c>
      <c r="AH76" s="3">
        <v>280</v>
      </c>
      <c r="AI76" s="3">
        <f>IF(ISERROR((VLOOKUP($A76,'NonXtal_SegEnds_BW#'!$A:$Z,24,FALSE)+VLOOKUP($A76,A:AL,34,FALSE)-50)),"-",(VLOOKUP($A76,'NonXtal_SegEnds_BW#'!$A:$Z,24,FALSE)+VLOOKUP($A76,A:AL,34,FALSE)-50))</f>
        <v>286</v>
      </c>
      <c r="AJ76" s="3">
        <f>IF(ISERROR(VLOOKUP($A76,'NonXtal_SegEnds_BW#'!$A:$Z,25,FALSE)+VLOOKUP($A76,A:AL,37,FALSE)-50),"-",(VLOOKUP($A76,'NonXtal_SegEnds_BW#'!$A:$Z,25,FALSE)+VLOOKUP($A76,A:AL,37,FALSE)-50))</f>
        <v>287</v>
      </c>
      <c r="AK76" s="3">
        <v>290</v>
      </c>
      <c r="AL76" s="3">
        <f>IF(ISERROR((VLOOKUP($A76,'NonXtal_SegEnds_BW#'!$A:$Z,26,FALSE)+VLOOKUP($A76,A:AL,37,FALSE)-50)),"-",(VLOOKUP($A76,'NonXtal_SegEnds_BW#'!$A:$Z,26,FALSE)+VLOOKUP($A76,A:AL,37,FALSE)-50))</f>
        <v>300</v>
      </c>
      <c r="AM76" s="71" t="str">
        <f>VLOOKUP(A76,Classification!A:B,2,FALSE)</f>
        <v>T</v>
      </c>
      <c r="AN76" s="71" t="b">
        <f t="shared" si="36"/>
        <v>1</v>
      </c>
      <c r="AO76" s="3">
        <f t="shared" si="37"/>
        <v>1</v>
      </c>
      <c r="AP76" s="3">
        <f t="shared" si="38"/>
        <v>1</v>
      </c>
      <c r="AQ76" s="3" t="str">
        <f t="shared" si="39"/>
        <v>-</v>
      </c>
      <c r="AR76" s="3" t="str">
        <f t="shared" si="40"/>
        <v>-</v>
      </c>
      <c r="AS76" s="3">
        <f t="shared" si="41"/>
        <v>3</v>
      </c>
      <c r="AT76" s="3">
        <f t="shared" si="42"/>
        <v>2</v>
      </c>
      <c r="AU76" s="3" t="str">
        <f t="shared" si="43"/>
        <v>-</v>
      </c>
      <c r="AV76" s="3" t="str">
        <f t="shared" si="44"/>
        <v>-</v>
      </c>
      <c r="AW76" s="3">
        <f t="shared" si="45"/>
        <v>10</v>
      </c>
      <c r="AX76" s="3">
        <f t="shared" si="46"/>
        <v>5</v>
      </c>
      <c r="AY76" s="3">
        <f t="shared" si="47"/>
        <v>1</v>
      </c>
      <c r="AZ76" s="3">
        <f>IF(ISERROR(LEN(VLOOKUP(A76,Seqs!A:E,2,FALSE))-AL76),"-",LEN(VLOOKUP(A76,Seqs!A:E,2,FALSE))-AL76)</f>
        <v>7</v>
      </c>
      <c r="BA76" s="35">
        <f t="shared" si="48"/>
        <v>31</v>
      </c>
      <c r="BB76" s="3">
        <f t="shared" si="49"/>
        <v>20</v>
      </c>
      <c r="BC76" s="3">
        <f t="shared" si="50"/>
        <v>31</v>
      </c>
      <c r="BD76" s="3">
        <f t="shared" si="51"/>
        <v>53</v>
      </c>
      <c r="BE76" s="3">
        <f t="shared" si="57"/>
        <v>35</v>
      </c>
    </row>
    <row r="77" spans="1:57" s="3" customFormat="1" x14ac:dyDescent="0.2">
      <c r="A77" s="3" t="s">
        <v>663</v>
      </c>
      <c r="B77" s="3" t="str">
        <f>LOWER(VLOOKUP(A77,Xtal_Templ!A:B,2,FALSE))</f>
        <v>agtr1_human</v>
      </c>
      <c r="C77" s="3">
        <f>VLOOKUP($A77,'NonXtal_SegEnds_BW#'!$A:$Z,3,FALSE)+D77-50</f>
        <v>6</v>
      </c>
      <c r="D77" s="3">
        <v>24</v>
      </c>
      <c r="E77" s="3">
        <f t="shared" si="52"/>
        <v>36</v>
      </c>
      <c r="F77" s="3">
        <f t="shared" si="53"/>
        <v>37</v>
      </c>
      <c r="G77" s="3">
        <v>39</v>
      </c>
      <c r="H77" s="3">
        <f t="shared" si="54"/>
        <v>40</v>
      </c>
      <c r="I77" s="3">
        <f t="shared" si="54"/>
        <v>41</v>
      </c>
      <c r="J77" s="3">
        <v>55</v>
      </c>
      <c r="K77" s="3">
        <f>VLOOKUP($A77,'NonXtal_SegEnds_BW#'!$A:$Z,8,FALSE)+VLOOKUP($A77,A:AL,10,FALSE)-50</f>
        <v>72</v>
      </c>
      <c r="L77" s="3" t="str">
        <f>IF(ISERROR(VLOOKUP($A77,'NonXtal_SegEnds_BW#'!$A:$Z,9,FALSE)+VLOOKUP($A77,A:AL,13,FALSE)-50),"-",(VLOOKUP($A77,'NonXtal_SegEnds_BW#'!$A:$Z,9,FALSE)+VLOOKUP($A77,A:AL,13,FALSE)-50))</f>
        <v>-</v>
      </c>
      <c r="M77" s="3" t="s">
        <v>129</v>
      </c>
      <c r="N77" s="3" t="str">
        <f>IF(ISERROR(VLOOKUP($A77,'NonXtal_SegEnds_BW#'!$A:$Z,10,FALSE)+VLOOKUP($A77,A:AL,13,FALSE)-50),"-",(VLOOKUP($A77,'NonXtal_SegEnds_BW#'!$A:$Z,10,FALSE)+VLOOKUP($A77,A:AL,13,FALSE)-50))</f>
        <v>-</v>
      </c>
      <c r="O77" s="3">
        <f>VLOOKUP($A77,'NonXtal_SegEnds_BW#'!$A:$Z,11,FALSE)+VLOOKUP($A77,A:AL,16,FALSE)-50</f>
        <v>75</v>
      </c>
      <c r="P77" s="3">
        <v>107</v>
      </c>
      <c r="Q77" s="3">
        <f>VLOOKUP($A77,'NonXtal_SegEnds_BW#'!$A:$Z,12,FALSE)+VLOOKUP($A77,A:AL,16,FALSE)-50</f>
        <v>113</v>
      </c>
      <c r="R77" s="3">
        <f t="shared" si="55"/>
        <v>116</v>
      </c>
      <c r="S77" s="3">
        <v>116</v>
      </c>
      <c r="T77" s="3">
        <f t="shared" si="56"/>
        <v>123</v>
      </c>
      <c r="U77" s="3">
        <f>IF(ISERROR(VLOOKUP($A77,'NonXtal_SegEnds_BW#'!$A:$Z,15,FALSE)+VLOOKUP($A77,A:AL,22,FALSE)-50),"-",VLOOKUP($A77,'NonXtal_SegEnds_BW#'!$A:$Z,15,FALSE)+VLOOKUP($A77,A:AL,22,FALSE)-50)</f>
        <v>125</v>
      </c>
      <c r="V77" s="3">
        <v>136</v>
      </c>
      <c r="W77" s="3">
        <f>IF(ISERROR(VLOOKUP($A77,'NonXtal_SegEnds_BW#'!$A:$Z,16,FALSE)+VLOOKUP($A77,A:AL,22,FALSE)-50),"-",(VLOOKUP($A77,'NonXtal_SegEnds_BW#'!$A:$Z,16,FALSE)+VLOOKUP($A77,A:AL,22,FALSE)-50))</f>
        <v>150</v>
      </c>
      <c r="X77" s="3" t="str">
        <f>IF(ISERROR(VLOOKUP($A77,'NonXtal_SegEnds_BW#'!$A:$Z,17,FALSE)+VLOOKUP($A77,A:AL,25,FALSE)-50),"-",(VLOOKUP($A77,'NonXtal_SegEnds_BW#'!$A:$Z,17,FALSE)+VLOOKUP($A77,A:AL,25,FALSE)-50))</f>
        <v>-</v>
      </c>
      <c r="Y77" s="3" t="s">
        <v>129</v>
      </c>
      <c r="Z77" s="3" t="str">
        <f>IF(ISERROR(VLOOKUP($A77,'NonXtal_SegEnds_BW#'!$A:$Z,18,FALSE)+VLOOKUP($A77,A:AL,25,FALSE)-50),"-",(VLOOKUP($A77,'NonXtal_SegEnds_BW#'!$A:$Z,18,FALSE)+VLOOKUP($A77,A:AL,25,FALSE)-50))</f>
        <v>-</v>
      </c>
      <c r="AA77" s="3">
        <f>IF(ISERROR(VLOOKUP($A77,'NonXtal_SegEnds_BW#'!$A:$Z,19,FALSE)+VLOOKUP($A77,A:AL,28,FALSE)-50),"-",(VLOOKUP($A77,'NonXtal_SegEnds_BW#'!$A:$Z,19,FALSE)+VLOOKUP($A77,A:AL,28,FALSE)-50))</f>
        <v>174</v>
      </c>
      <c r="AB77" s="3">
        <v>192</v>
      </c>
      <c r="AC77" s="3">
        <f>IF(ISERROR((VLOOKUP($A77,'NonXtal_SegEnds_BW#'!$A:$Z,20,FALSE)+VLOOKUP($A77,A:AL,28,FALSE)-50)),"-",(VLOOKUP($A77,'NonXtal_SegEnds_BW#'!$A:$Z,20,FALSE)+VLOOKUP($A77,A:AL,28,FALSE)-50))</f>
        <v>214</v>
      </c>
      <c r="AD77" s="3">
        <f>IF(ISERROR(VLOOKUP($A77,'NonXtal_SegEnds_BW#'!$A:$Z,21,FALSE)+VLOOKUP($A77,A:AL,31,FALSE)-50),"-",(VLOOKUP($A77,'NonXtal_SegEnds_BW#'!$A:$Z,21,FALSE)+VLOOKUP($A77,A:AL,31,FALSE)-50))</f>
        <v>224</v>
      </c>
      <c r="AE77" s="3">
        <v>245</v>
      </c>
      <c r="AF77" s="3">
        <f>IF(ISERROR((VLOOKUP($A77,'NonXtal_SegEnds_BW#'!$A:$Z,22,FALSE)+VLOOKUP($A77,A:AL,31,FALSE)-50)),"-",(VLOOKUP($A77,'NonXtal_SegEnds_BW#'!$A:$Z,22,FALSE)+VLOOKUP($A77,A:AL,31,FALSE)-50))</f>
        <v>256</v>
      </c>
      <c r="AG77" s="3">
        <f>IF(ISERROR(VLOOKUP($A77,'NonXtal_SegEnds_BW#'!$A:$Z,23,FALSE)+VLOOKUP($A77,A:AL,34,FALSE)-50),"-",(VLOOKUP($A77,'NonXtal_SegEnds_BW#'!$A:$Z,23,FALSE)+VLOOKUP($A77,A:AL,34,FALSE)-50))</f>
        <v>262</v>
      </c>
      <c r="AH77" s="3">
        <v>281</v>
      </c>
      <c r="AI77" s="3">
        <f>IF(ISERROR((VLOOKUP($A77,'NonXtal_SegEnds_BW#'!$A:$Z,24,FALSE)+VLOOKUP($A77,A:AL,34,FALSE)-50)),"-",(VLOOKUP($A77,'NonXtal_SegEnds_BW#'!$A:$Z,24,FALSE)+VLOOKUP($A77,A:AL,34,FALSE)-50))</f>
        <v>287</v>
      </c>
      <c r="AJ77" s="3">
        <f>IF(ISERROR(VLOOKUP($A77,'NonXtal_SegEnds_BW#'!$A:$Z,25,FALSE)+VLOOKUP($A77,A:AL,37,FALSE)-50),"-",(VLOOKUP($A77,'NonXtal_SegEnds_BW#'!$A:$Z,25,FALSE)+VLOOKUP($A77,A:AL,37,FALSE)-50))</f>
        <v>288</v>
      </c>
      <c r="AK77" s="3">
        <v>291</v>
      </c>
      <c r="AL77" s="3">
        <f>IF(ISERROR((VLOOKUP($A77,'NonXtal_SegEnds_BW#'!$A:$Z,26,FALSE)+VLOOKUP($A77,A:AL,37,FALSE)-50)),"-",(VLOOKUP($A77,'NonXtal_SegEnds_BW#'!$A:$Z,26,FALSE)+VLOOKUP($A77,A:AL,37,FALSE)-50))</f>
        <v>301</v>
      </c>
      <c r="AM77" s="71" t="str">
        <f>VLOOKUP(A77,Classification!A:B,2,FALSE)</f>
        <v>T</v>
      </c>
      <c r="AN77" s="71" t="b">
        <f t="shared" si="36"/>
        <v>1</v>
      </c>
      <c r="AO77" s="3">
        <f t="shared" si="37"/>
        <v>1</v>
      </c>
      <c r="AP77" s="3">
        <f t="shared" si="38"/>
        <v>1</v>
      </c>
      <c r="AQ77" s="3" t="str">
        <f t="shared" si="39"/>
        <v>-</v>
      </c>
      <c r="AR77" s="3" t="str">
        <f t="shared" si="40"/>
        <v>-</v>
      </c>
      <c r="AS77" s="3">
        <f t="shared" si="41"/>
        <v>3</v>
      </c>
      <c r="AT77" s="3">
        <f t="shared" si="42"/>
        <v>2</v>
      </c>
      <c r="AU77" s="3" t="str">
        <f t="shared" si="43"/>
        <v>-</v>
      </c>
      <c r="AV77" s="3" t="str">
        <f t="shared" si="44"/>
        <v>-</v>
      </c>
      <c r="AW77" s="3">
        <f t="shared" si="45"/>
        <v>10</v>
      </c>
      <c r="AX77" s="3">
        <f t="shared" si="46"/>
        <v>6</v>
      </c>
      <c r="AY77" s="3">
        <f t="shared" si="47"/>
        <v>1</v>
      </c>
      <c r="AZ77" s="3">
        <f>IF(ISERROR(LEN(VLOOKUP(A77,Seqs!A:E,2,FALSE))-AL77),"-",LEN(VLOOKUP(A77,Seqs!A:E,2,FALSE))-AL77)</f>
        <v>13</v>
      </c>
      <c r="BA77" s="35">
        <f t="shared" si="48"/>
        <v>31</v>
      </c>
      <c r="BB77" s="3">
        <f t="shared" si="49"/>
        <v>20</v>
      </c>
      <c r="BC77" s="3">
        <f t="shared" si="50"/>
        <v>31</v>
      </c>
      <c r="BD77" s="3">
        <f t="shared" si="51"/>
        <v>53</v>
      </c>
      <c r="BE77" s="3">
        <f t="shared" si="57"/>
        <v>36</v>
      </c>
    </row>
    <row r="78" spans="1:57" s="3" customFormat="1" x14ac:dyDescent="0.2">
      <c r="A78" s="3" t="s">
        <v>664</v>
      </c>
      <c r="B78" s="3" t="str">
        <f>LOWER(VLOOKUP(A78,Xtal_Templ!A:B,2,FALSE))</f>
        <v>agtr1_human</v>
      </c>
      <c r="C78" s="3">
        <f>VLOOKUP($A78,'NonXtal_SegEnds_BW#'!$A:$Z,3,FALSE)+D78-50</f>
        <v>6</v>
      </c>
      <c r="D78" s="3">
        <v>24</v>
      </c>
      <c r="E78" s="3">
        <f t="shared" si="52"/>
        <v>36</v>
      </c>
      <c r="F78" s="3">
        <f t="shared" si="53"/>
        <v>37</v>
      </c>
      <c r="G78" s="3">
        <v>39</v>
      </c>
      <c r="H78" s="3">
        <f t="shared" si="54"/>
        <v>40</v>
      </c>
      <c r="I78" s="3">
        <f t="shared" si="54"/>
        <v>41</v>
      </c>
      <c r="J78" s="3">
        <v>55</v>
      </c>
      <c r="K78" s="3">
        <f>VLOOKUP($A78,'NonXtal_SegEnds_BW#'!$A:$Z,8,FALSE)+VLOOKUP($A78,A:AL,10,FALSE)-50</f>
        <v>71</v>
      </c>
      <c r="L78" s="3" t="str">
        <f>IF(ISERROR(VLOOKUP($A78,'NonXtal_SegEnds_BW#'!$A:$Z,9,FALSE)+VLOOKUP($A78,A:AL,13,FALSE)-50),"-",(VLOOKUP($A78,'NonXtal_SegEnds_BW#'!$A:$Z,9,FALSE)+VLOOKUP($A78,A:AL,13,FALSE)-50))</f>
        <v>-</v>
      </c>
      <c r="M78" s="3" t="s">
        <v>129</v>
      </c>
      <c r="N78" s="3" t="str">
        <f>IF(ISERROR(VLOOKUP($A78,'NonXtal_SegEnds_BW#'!$A:$Z,10,FALSE)+VLOOKUP($A78,A:AL,13,FALSE)-50),"-",(VLOOKUP($A78,'NonXtal_SegEnds_BW#'!$A:$Z,10,FALSE)+VLOOKUP($A78,A:AL,13,FALSE)-50))</f>
        <v>-</v>
      </c>
      <c r="O78" s="3">
        <f>VLOOKUP($A78,'NonXtal_SegEnds_BW#'!$A:$Z,11,FALSE)+VLOOKUP($A78,A:AL,16,FALSE)-50</f>
        <v>74</v>
      </c>
      <c r="P78" s="3">
        <v>106</v>
      </c>
      <c r="Q78" s="3">
        <f>VLOOKUP($A78,'NonXtal_SegEnds_BW#'!$A:$Z,12,FALSE)+VLOOKUP($A78,A:AL,16,FALSE)-50</f>
        <v>112</v>
      </c>
      <c r="R78" s="3">
        <f t="shared" si="55"/>
        <v>115</v>
      </c>
      <c r="S78" s="3">
        <v>115</v>
      </c>
      <c r="T78" s="3">
        <f t="shared" si="56"/>
        <v>122</v>
      </c>
      <c r="U78" s="3">
        <f>IF(ISERROR(VLOOKUP($A78,'NonXtal_SegEnds_BW#'!$A:$Z,15,FALSE)+VLOOKUP($A78,A:AL,22,FALSE)-50),"-",VLOOKUP($A78,'NonXtal_SegEnds_BW#'!$A:$Z,15,FALSE)+VLOOKUP($A78,A:AL,22,FALSE)-50)</f>
        <v>124</v>
      </c>
      <c r="V78" s="3">
        <v>135</v>
      </c>
      <c r="W78" s="3">
        <f>IF(ISERROR(VLOOKUP($A78,'NonXtal_SegEnds_BW#'!$A:$Z,16,FALSE)+VLOOKUP($A78,A:AL,22,FALSE)-50),"-",(VLOOKUP($A78,'NonXtal_SegEnds_BW#'!$A:$Z,16,FALSE)+VLOOKUP($A78,A:AL,22,FALSE)-50))</f>
        <v>149</v>
      </c>
      <c r="X78" s="3" t="str">
        <f>IF(ISERROR(VLOOKUP($A78,'NonXtal_SegEnds_BW#'!$A:$Z,17,FALSE)+VLOOKUP($A78,A:AL,25,FALSE)-50),"-",(VLOOKUP($A78,'NonXtal_SegEnds_BW#'!$A:$Z,17,FALSE)+VLOOKUP($A78,A:AL,25,FALSE)-50))</f>
        <v>-</v>
      </c>
      <c r="Y78" s="3" t="s">
        <v>129</v>
      </c>
      <c r="Z78" s="3" t="str">
        <f>IF(ISERROR(VLOOKUP($A78,'NonXtal_SegEnds_BW#'!$A:$Z,18,FALSE)+VLOOKUP($A78,A:AL,25,FALSE)-50),"-",(VLOOKUP($A78,'NonXtal_SegEnds_BW#'!$A:$Z,18,FALSE)+VLOOKUP($A78,A:AL,25,FALSE)-50))</f>
        <v>-</v>
      </c>
      <c r="AA78" s="3">
        <f>IF(ISERROR(VLOOKUP($A78,'NonXtal_SegEnds_BW#'!$A:$Z,19,FALSE)+VLOOKUP($A78,A:AL,28,FALSE)-50),"-",(VLOOKUP($A78,'NonXtal_SegEnds_BW#'!$A:$Z,19,FALSE)+VLOOKUP($A78,A:AL,28,FALSE)-50))</f>
        <v>169</v>
      </c>
      <c r="AB78" s="3">
        <v>187</v>
      </c>
      <c r="AC78" s="3">
        <f>IF(ISERROR((VLOOKUP($A78,'NonXtal_SegEnds_BW#'!$A:$Z,20,FALSE)+VLOOKUP($A78,A:AL,28,FALSE)-50)),"-",(VLOOKUP($A78,'NonXtal_SegEnds_BW#'!$A:$Z,20,FALSE)+VLOOKUP($A78,A:AL,28,FALSE)-50))</f>
        <v>209</v>
      </c>
      <c r="AD78" s="3">
        <f>IF(ISERROR(VLOOKUP($A78,'NonXtal_SegEnds_BW#'!$A:$Z,21,FALSE)+VLOOKUP($A78,A:AL,31,FALSE)-50),"-",(VLOOKUP($A78,'NonXtal_SegEnds_BW#'!$A:$Z,21,FALSE)+VLOOKUP($A78,A:AL,31,FALSE)-50))</f>
        <v>219</v>
      </c>
      <c r="AE78" s="3">
        <v>240</v>
      </c>
      <c r="AF78" s="3">
        <f>IF(ISERROR((VLOOKUP($A78,'NonXtal_SegEnds_BW#'!$A:$Z,22,FALSE)+VLOOKUP($A78,A:AL,31,FALSE)-50)),"-",(VLOOKUP($A78,'NonXtal_SegEnds_BW#'!$A:$Z,22,FALSE)+VLOOKUP($A78,A:AL,31,FALSE)-50))</f>
        <v>251</v>
      </c>
      <c r="AG78" s="3">
        <f>IF(ISERROR(VLOOKUP($A78,'NonXtal_SegEnds_BW#'!$A:$Z,23,FALSE)+VLOOKUP($A78,A:AL,34,FALSE)-50),"-",(VLOOKUP($A78,'NonXtal_SegEnds_BW#'!$A:$Z,23,FALSE)+VLOOKUP($A78,A:AL,34,FALSE)-50))</f>
        <v>257</v>
      </c>
      <c r="AH78" s="3">
        <v>276</v>
      </c>
      <c r="AI78" s="3">
        <f>IF(ISERROR((VLOOKUP($A78,'NonXtal_SegEnds_BW#'!$A:$Z,24,FALSE)+VLOOKUP($A78,A:AL,34,FALSE)-50)),"-",(VLOOKUP($A78,'NonXtal_SegEnds_BW#'!$A:$Z,24,FALSE)+VLOOKUP($A78,A:AL,34,FALSE)-50))</f>
        <v>282</v>
      </c>
      <c r="AJ78" s="3">
        <f>IF(ISERROR(VLOOKUP($A78,'NonXtal_SegEnds_BW#'!$A:$Z,25,FALSE)+VLOOKUP($A78,A:AL,37,FALSE)-50),"-",(VLOOKUP($A78,'NonXtal_SegEnds_BW#'!$A:$Z,25,FALSE)+VLOOKUP($A78,A:AL,37,FALSE)-50))</f>
        <v>283</v>
      </c>
      <c r="AK78" s="3">
        <v>286</v>
      </c>
      <c r="AL78" s="3">
        <f>IF(ISERROR((VLOOKUP($A78,'NonXtal_SegEnds_BW#'!$A:$Z,26,FALSE)+VLOOKUP($A78,A:AL,37,FALSE)-50)),"-",(VLOOKUP($A78,'NonXtal_SegEnds_BW#'!$A:$Z,26,FALSE)+VLOOKUP($A78,A:AL,37,FALSE)-50))</f>
        <v>296</v>
      </c>
      <c r="AM78" s="71" t="str">
        <f>VLOOKUP(A78,Classification!A:B,2,FALSE)</f>
        <v>T</v>
      </c>
      <c r="AN78" s="71" t="b">
        <f t="shared" si="36"/>
        <v>1</v>
      </c>
      <c r="AO78" s="3">
        <f t="shared" si="37"/>
        <v>1</v>
      </c>
      <c r="AP78" s="3">
        <f t="shared" si="38"/>
        <v>1</v>
      </c>
      <c r="AQ78" s="3" t="str">
        <f t="shared" si="39"/>
        <v>-</v>
      </c>
      <c r="AR78" s="3" t="str">
        <f t="shared" si="40"/>
        <v>-</v>
      </c>
      <c r="AS78" s="3">
        <f t="shared" si="41"/>
        <v>3</v>
      </c>
      <c r="AT78" s="3">
        <f t="shared" si="42"/>
        <v>2</v>
      </c>
      <c r="AU78" s="3" t="str">
        <f t="shared" si="43"/>
        <v>-</v>
      </c>
      <c r="AV78" s="3" t="str">
        <f t="shared" si="44"/>
        <v>-</v>
      </c>
      <c r="AW78" s="3">
        <f t="shared" si="45"/>
        <v>10</v>
      </c>
      <c r="AX78" s="3">
        <f t="shared" si="46"/>
        <v>6</v>
      </c>
      <c r="AY78" s="3">
        <f t="shared" si="47"/>
        <v>1</v>
      </c>
      <c r="AZ78" s="3">
        <f>IF(ISERROR(LEN(VLOOKUP(A78,Seqs!A:E,2,FALSE))-AL78),"-",LEN(VLOOKUP(A78,Seqs!A:E,2,FALSE))-AL78)</f>
        <v>13</v>
      </c>
      <c r="BA78" s="35">
        <f t="shared" si="48"/>
        <v>31</v>
      </c>
      <c r="BB78" s="3">
        <f t="shared" si="49"/>
        <v>20</v>
      </c>
      <c r="BC78" s="3">
        <f t="shared" si="50"/>
        <v>31</v>
      </c>
      <c r="BD78" s="3">
        <f t="shared" si="51"/>
        <v>53</v>
      </c>
      <c r="BE78" s="3">
        <f t="shared" si="57"/>
        <v>36</v>
      </c>
    </row>
    <row r="79" spans="1:57" s="3" customFormat="1" x14ac:dyDescent="0.2">
      <c r="A79" s="3" t="s">
        <v>1126</v>
      </c>
      <c r="B79" s="3" t="str">
        <f>LOWER(VLOOKUP(A79,Xtal_Templ!A:B,2,FALSE))</f>
        <v>agtr1_human</v>
      </c>
      <c r="C79" s="3">
        <f>VLOOKUP($A79,'NonXtal_SegEnds_BW#'!$A:$Z,3,FALSE)+D79-50</f>
        <v>6</v>
      </c>
      <c r="D79" s="3">
        <v>24</v>
      </c>
      <c r="E79" s="3">
        <f t="shared" si="52"/>
        <v>36</v>
      </c>
      <c r="F79" s="3">
        <f t="shared" si="53"/>
        <v>37</v>
      </c>
      <c r="G79" s="3">
        <v>39</v>
      </c>
      <c r="H79" s="3">
        <f t="shared" si="54"/>
        <v>40</v>
      </c>
      <c r="I79" s="3">
        <f t="shared" si="54"/>
        <v>41</v>
      </c>
      <c r="J79" s="3">
        <v>55</v>
      </c>
      <c r="K79" s="3">
        <f>VLOOKUP($A79,'NonXtal_SegEnds_BW#'!$A:$Z,8,FALSE)+VLOOKUP($A79,A:AL,10,FALSE)-50</f>
        <v>71</v>
      </c>
      <c r="L79" s="3" t="str">
        <f>IF(ISERROR(VLOOKUP($A79,'NonXtal_SegEnds_BW#'!$A:$Z,9,FALSE)+VLOOKUP($A79,A:AL,13,FALSE)-50),"-",(VLOOKUP($A79,'NonXtal_SegEnds_BW#'!$A:$Z,9,FALSE)+VLOOKUP($A79,A:AL,13,FALSE)-50))</f>
        <v>-</v>
      </c>
      <c r="M79" s="3" t="s">
        <v>129</v>
      </c>
      <c r="N79" s="3" t="str">
        <f>IF(ISERROR(VLOOKUP($A79,'NonXtal_SegEnds_BW#'!$A:$Z,10,FALSE)+VLOOKUP($A79,A:AL,13,FALSE)-50),"-",(VLOOKUP($A79,'NonXtal_SegEnds_BW#'!$A:$Z,10,FALSE)+VLOOKUP($A79,A:AL,13,FALSE)-50))</f>
        <v>-</v>
      </c>
      <c r="O79" s="3">
        <f>VLOOKUP($A79,'NonXtal_SegEnds_BW#'!$A:$Z,11,FALSE)+VLOOKUP($A79,A:AL,16,FALSE)-50</f>
        <v>74</v>
      </c>
      <c r="P79" s="3">
        <v>106</v>
      </c>
      <c r="Q79" s="3">
        <f>VLOOKUP($A79,'NonXtal_SegEnds_BW#'!$A:$Z,12,FALSE)+VLOOKUP($A79,A:AL,16,FALSE)-50</f>
        <v>112</v>
      </c>
      <c r="R79" s="3">
        <f t="shared" si="55"/>
        <v>115</v>
      </c>
      <c r="S79" s="3">
        <v>115</v>
      </c>
      <c r="T79" s="3">
        <f t="shared" si="56"/>
        <v>122</v>
      </c>
      <c r="U79" s="3">
        <f>IF(ISERROR(VLOOKUP($A79,'NonXtal_SegEnds_BW#'!$A:$Z,15,FALSE)+VLOOKUP($A79,A:AL,22,FALSE)-50),"-",VLOOKUP($A79,'NonXtal_SegEnds_BW#'!$A:$Z,15,FALSE)+VLOOKUP($A79,A:AL,22,FALSE)-50)</f>
        <v>124</v>
      </c>
      <c r="V79" s="3">
        <v>135</v>
      </c>
      <c r="W79" s="3">
        <f>IF(ISERROR(VLOOKUP($A79,'NonXtal_SegEnds_BW#'!$A:$Z,16,FALSE)+VLOOKUP($A79,A:AL,22,FALSE)-50),"-",(VLOOKUP($A79,'NonXtal_SegEnds_BW#'!$A:$Z,16,FALSE)+VLOOKUP($A79,A:AL,22,FALSE)-50))</f>
        <v>149</v>
      </c>
      <c r="X79" s="3" t="str">
        <f>IF(ISERROR(VLOOKUP($A79,'NonXtal_SegEnds_BW#'!$A:$Z,17,FALSE)+VLOOKUP($A79,A:AL,25,FALSE)-50),"-",(VLOOKUP($A79,'NonXtal_SegEnds_BW#'!$A:$Z,17,FALSE)+VLOOKUP($A79,A:AL,25,FALSE)-50))</f>
        <v>-</v>
      </c>
      <c r="Y79" s="3" t="s">
        <v>129</v>
      </c>
      <c r="Z79" s="3" t="str">
        <f>IF(ISERROR(VLOOKUP($A79,'NonXtal_SegEnds_BW#'!$A:$Z,18,FALSE)+VLOOKUP($A79,A:AL,25,FALSE)-50),"-",(VLOOKUP($A79,'NonXtal_SegEnds_BW#'!$A:$Z,18,FALSE)+VLOOKUP($A79,A:AL,25,FALSE)-50))</f>
        <v>-</v>
      </c>
      <c r="AA79" s="3">
        <f>IF(ISERROR(VLOOKUP($A79,'NonXtal_SegEnds_BW#'!$A:$Z,19,FALSE)+VLOOKUP($A79,A:AL,28,FALSE)-50),"-",(VLOOKUP($A79,'NonXtal_SegEnds_BW#'!$A:$Z,19,FALSE)+VLOOKUP($A79,A:AL,28,FALSE)-50))</f>
        <v>169</v>
      </c>
      <c r="AB79" s="3">
        <v>187</v>
      </c>
      <c r="AC79" s="3">
        <f>IF(ISERROR((VLOOKUP($A79,'NonXtal_SegEnds_BW#'!$A:$Z,20,FALSE)+VLOOKUP($A79,A:AL,28,FALSE)-50)),"-",(VLOOKUP($A79,'NonXtal_SegEnds_BW#'!$A:$Z,20,FALSE)+VLOOKUP($A79,A:AL,28,FALSE)-50))</f>
        <v>209</v>
      </c>
      <c r="AD79" s="3">
        <f>IF(ISERROR(VLOOKUP($A79,'NonXtal_SegEnds_BW#'!$A:$Z,21,FALSE)+VLOOKUP($A79,A:AL,31,FALSE)-50),"-",(VLOOKUP($A79,'NonXtal_SegEnds_BW#'!$A:$Z,21,FALSE)+VLOOKUP($A79,A:AL,31,FALSE)-50))</f>
        <v>222</v>
      </c>
      <c r="AE79" s="3">
        <v>243</v>
      </c>
      <c r="AF79" s="3">
        <f>IF(ISERROR((VLOOKUP($A79,'NonXtal_SegEnds_BW#'!$A:$Z,22,FALSE)+VLOOKUP($A79,A:AL,31,FALSE)-50)),"-",(VLOOKUP($A79,'NonXtal_SegEnds_BW#'!$A:$Z,22,FALSE)+VLOOKUP($A79,A:AL,31,FALSE)-50))</f>
        <v>254</v>
      </c>
      <c r="AG79" s="3">
        <f>IF(ISERROR(VLOOKUP($A79,'NonXtal_SegEnds_BW#'!$A:$Z,23,FALSE)+VLOOKUP($A79,A:AL,34,FALSE)-50),"-",(VLOOKUP($A79,'NonXtal_SegEnds_BW#'!$A:$Z,23,FALSE)+VLOOKUP($A79,A:AL,34,FALSE)-50))</f>
        <v>259</v>
      </c>
      <c r="AH79" s="3">
        <v>276</v>
      </c>
      <c r="AI79" s="3">
        <f>IF(ISERROR((VLOOKUP($A79,'NonXtal_SegEnds_BW#'!$A:$Z,24,FALSE)+VLOOKUP($A79,A:AL,34,FALSE)-50)),"-",(VLOOKUP($A79,'NonXtal_SegEnds_BW#'!$A:$Z,24,FALSE)+VLOOKUP($A79,A:AL,34,FALSE)-50))</f>
        <v>282</v>
      </c>
      <c r="AJ79" s="3">
        <f>IF(ISERROR(VLOOKUP($A79,'NonXtal_SegEnds_BW#'!$A:$Z,25,FALSE)+VLOOKUP($A79,A:AL,37,FALSE)-50),"-",(VLOOKUP($A79,'NonXtal_SegEnds_BW#'!$A:$Z,25,FALSE)+VLOOKUP($A79,A:AL,37,FALSE)-50))</f>
        <v>283</v>
      </c>
      <c r="AK79" s="3">
        <v>286</v>
      </c>
      <c r="AL79" s="3">
        <f>IF(ISERROR((VLOOKUP($A79,'NonXtal_SegEnds_BW#'!$A:$Z,26,FALSE)+VLOOKUP($A79,A:AL,37,FALSE)-50)),"-",(VLOOKUP($A79,'NonXtal_SegEnds_BW#'!$A:$Z,26,FALSE)+VLOOKUP($A79,A:AL,37,FALSE)-50))</f>
        <v>296</v>
      </c>
      <c r="AM79" s="71" t="str">
        <f>VLOOKUP(A79,Classification!A:B,2,FALSE)</f>
        <v>T</v>
      </c>
      <c r="AN79" s="71" t="b">
        <f t="shared" si="36"/>
        <v>1</v>
      </c>
      <c r="AO79" s="3">
        <f t="shared" si="37"/>
        <v>1</v>
      </c>
      <c r="AP79" s="3">
        <f t="shared" si="38"/>
        <v>1</v>
      </c>
      <c r="AQ79" s="3" t="str">
        <f t="shared" si="39"/>
        <v>-</v>
      </c>
      <c r="AR79" s="3" t="str">
        <f t="shared" si="40"/>
        <v>-</v>
      </c>
      <c r="AS79" s="3">
        <f t="shared" si="41"/>
        <v>3</v>
      </c>
      <c r="AT79" s="3">
        <f t="shared" si="42"/>
        <v>2</v>
      </c>
      <c r="AU79" s="3" t="str">
        <f t="shared" si="43"/>
        <v>-</v>
      </c>
      <c r="AV79" s="3" t="str">
        <f t="shared" si="44"/>
        <v>-</v>
      </c>
      <c r="AW79" s="3">
        <f t="shared" si="45"/>
        <v>13</v>
      </c>
      <c r="AX79" s="3">
        <f t="shared" si="46"/>
        <v>5</v>
      </c>
      <c r="AY79" s="3">
        <f t="shared" si="47"/>
        <v>1</v>
      </c>
      <c r="AZ79" s="3">
        <f>IF(ISERROR(LEN(VLOOKUP(A79,Seqs!A:E,2,FALSE))-AL79),"-",LEN(VLOOKUP(A79,Seqs!A:E,2,FALSE))-AL79)</f>
        <v>3</v>
      </c>
      <c r="BA79" s="35">
        <f t="shared" si="48"/>
        <v>31</v>
      </c>
      <c r="BB79" s="3">
        <f t="shared" si="49"/>
        <v>20</v>
      </c>
      <c r="BC79" s="3">
        <f t="shared" si="50"/>
        <v>31</v>
      </c>
      <c r="BD79" s="3">
        <f t="shared" si="51"/>
        <v>56</v>
      </c>
      <c r="BE79" s="3">
        <f t="shared" si="57"/>
        <v>33</v>
      </c>
    </row>
    <row r="80" spans="1:57" s="3" customFormat="1" x14ac:dyDescent="0.2">
      <c r="A80" s="3" t="s">
        <v>665</v>
      </c>
      <c r="B80" s="3" t="str">
        <f>LOWER(VLOOKUP(A80,Xtal_Templ!A:B,2,FALSE))</f>
        <v>agtr1_human</v>
      </c>
      <c r="C80" s="3">
        <f>VLOOKUP($A80,'NonXtal_SegEnds_BW#'!$A:$Z,3,FALSE)+D80-50</f>
        <v>6</v>
      </c>
      <c r="D80" s="3">
        <v>24</v>
      </c>
      <c r="E80" s="3">
        <f t="shared" si="52"/>
        <v>36</v>
      </c>
      <c r="F80" s="3">
        <f t="shared" si="53"/>
        <v>37</v>
      </c>
      <c r="G80" s="3">
        <v>39</v>
      </c>
      <c r="H80" s="3">
        <f t="shared" si="54"/>
        <v>40</v>
      </c>
      <c r="I80" s="3">
        <f t="shared" si="54"/>
        <v>41</v>
      </c>
      <c r="J80" s="3">
        <v>55</v>
      </c>
      <c r="K80" s="3">
        <f>VLOOKUP($A80,'NonXtal_SegEnds_BW#'!$A:$Z,8,FALSE)+VLOOKUP($A80,A:AL,10,FALSE)-50</f>
        <v>71</v>
      </c>
      <c r="L80" s="3" t="str">
        <f>IF(ISERROR(VLOOKUP($A80,'NonXtal_SegEnds_BW#'!$A:$Z,9,FALSE)+VLOOKUP($A80,A:AL,13,FALSE)-50),"-",(VLOOKUP($A80,'NonXtal_SegEnds_BW#'!$A:$Z,9,FALSE)+VLOOKUP($A80,A:AL,13,FALSE)-50))</f>
        <v>-</v>
      </c>
      <c r="M80" s="3" t="s">
        <v>129</v>
      </c>
      <c r="N80" s="3" t="str">
        <f>IF(ISERROR(VLOOKUP($A80,'NonXtal_SegEnds_BW#'!$A:$Z,10,FALSE)+VLOOKUP($A80,A:AL,13,FALSE)-50),"-",(VLOOKUP($A80,'NonXtal_SegEnds_BW#'!$A:$Z,10,FALSE)+VLOOKUP($A80,A:AL,13,FALSE)-50))</f>
        <v>-</v>
      </c>
      <c r="O80" s="3">
        <f>VLOOKUP($A80,'NonXtal_SegEnds_BW#'!$A:$Z,11,FALSE)+VLOOKUP($A80,A:AL,16,FALSE)-50</f>
        <v>74</v>
      </c>
      <c r="P80" s="3">
        <v>106</v>
      </c>
      <c r="Q80" s="3">
        <f>VLOOKUP($A80,'NonXtal_SegEnds_BW#'!$A:$Z,12,FALSE)+VLOOKUP($A80,A:AL,16,FALSE)-50</f>
        <v>112</v>
      </c>
      <c r="R80" s="3">
        <f t="shared" si="55"/>
        <v>115</v>
      </c>
      <c r="S80" s="3">
        <v>115</v>
      </c>
      <c r="T80" s="3">
        <f t="shared" si="56"/>
        <v>122</v>
      </c>
      <c r="U80" s="3">
        <f>IF(ISERROR(VLOOKUP($A80,'NonXtal_SegEnds_BW#'!$A:$Z,15,FALSE)+VLOOKUP($A80,A:AL,22,FALSE)-50),"-",VLOOKUP($A80,'NonXtal_SegEnds_BW#'!$A:$Z,15,FALSE)+VLOOKUP($A80,A:AL,22,FALSE)-50)</f>
        <v>124</v>
      </c>
      <c r="V80" s="3">
        <v>135</v>
      </c>
      <c r="W80" s="3">
        <f>IF(ISERROR(VLOOKUP($A80,'NonXtal_SegEnds_BW#'!$A:$Z,16,FALSE)+VLOOKUP($A80,A:AL,22,FALSE)-50),"-",(VLOOKUP($A80,'NonXtal_SegEnds_BW#'!$A:$Z,16,FALSE)+VLOOKUP($A80,A:AL,22,FALSE)-50))</f>
        <v>149</v>
      </c>
      <c r="X80" s="3" t="str">
        <f>IF(ISERROR(VLOOKUP($A80,'NonXtal_SegEnds_BW#'!$A:$Z,17,FALSE)+VLOOKUP($A80,A:AL,25,FALSE)-50),"-",(VLOOKUP($A80,'NonXtal_SegEnds_BW#'!$A:$Z,17,FALSE)+VLOOKUP($A80,A:AL,25,FALSE)-50))</f>
        <v>-</v>
      </c>
      <c r="Y80" s="3" t="s">
        <v>129</v>
      </c>
      <c r="Z80" s="3" t="str">
        <f>IF(ISERROR(VLOOKUP($A80,'NonXtal_SegEnds_BW#'!$A:$Z,18,FALSE)+VLOOKUP($A80,A:AL,25,FALSE)-50),"-",(VLOOKUP($A80,'NonXtal_SegEnds_BW#'!$A:$Z,18,FALSE)+VLOOKUP($A80,A:AL,25,FALSE)-50))</f>
        <v>-</v>
      </c>
      <c r="AA80" s="3">
        <f>IF(ISERROR(VLOOKUP($A80,'NonXtal_SegEnds_BW#'!$A:$Z,19,FALSE)+VLOOKUP($A80,A:AL,28,FALSE)-50),"-",(VLOOKUP($A80,'NonXtal_SegEnds_BW#'!$A:$Z,19,FALSE)+VLOOKUP($A80,A:AL,28,FALSE)-50))</f>
        <v>169</v>
      </c>
      <c r="AB80" s="3">
        <v>187</v>
      </c>
      <c r="AC80" s="3">
        <f>IF(ISERROR((VLOOKUP($A80,'NonXtal_SegEnds_BW#'!$A:$Z,20,FALSE)+VLOOKUP($A80,A:AL,28,FALSE)-50)),"-",(VLOOKUP($A80,'NonXtal_SegEnds_BW#'!$A:$Z,20,FALSE)+VLOOKUP($A80,A:AL,28,FALSE)-50))</f>
        <v>209</v>
      </c>
      <c r="AD80" s="3">
        <f>IF(ISERROR(VLOOKUP($A80,'NonXtal_SegEnds_BW#'!$A:$Z,21,FALSE)+VLOOKUP($A80,A:AL,31,FALSE)-50),"-",(VLOOKUP($A80,'NonXtal_SegEnds_BW#'!$A:$Z,21,FALSE)+VLOOKUP($A80,A:AL,31,FALSE)-50))</f>
        <v>219</v>
      </c>
      <c r="AE80" s="3">
        <v>240</v>
      </c>
      <c r="AF80" s="3">
        <f>IF(ISERROR((VLOOKUP($A80,'NonXtal_SegEnds_BW#'!$A:$Z,22,FALSE)+VLOOKUP($A80,A:AL,31,FALSE)-50)),"-",(VLOOKUP($A80,'NonXtal_SegEnds_BW#'!$A:$Z,22,FALSE)+VLOOKUP($A80,A:AL,31,FALSE)-50))</f>
        <v>251</v>
      </c>
      <c r="AG80" s="3">
        <f>IF(ISERROR(VLOOKUP($A80,'NonXtal_SegEnds_BW#'!$A:$Z,23,FALSE)+VLOOKUP($A80,A:AL,34,FALSE)-50),"-",(VLOOKUP($A80,'NonXtal_SegEnds_BW#'!$A:$Z,23,FALSE)+VLOOKUP($A80,A:AL,34,FALSE)-50))</f>
        <v>257</v>
      </c>
      <c r="AH80" s="3">
        <v>276</v>
      </c>
      <c r="AI80" s="3">
        <f>IF(ISERROR((VLOOKUP($A80,'NonXtal_SegEnds_BW#'!$A:$Z,24,FALSE)+VLOOKUP($A80,A:AL,34,FALSE)-50)),"-",(VLOOKUP($A80,'NonXtal_SegEnds_BW#'!$A:$Z,24,FALSE)+VLOOKUP($A80,A:AL,34,FALSE)-50))</f>
        <v>282</v>
      </c>
      <c r="AJ80" s="3">
        <f>IF(ISERROR(VLOOKUP($A80,'NonXtal_SegEnds_BW#'!$A:$Z,25,FALSE)+VLOOKUP($A80,A:AL,37,FALSE)-50),"-",(VLOOKUP($A80,'NonXtal_SegEnds_BW#'!$A:$Z,25,FALSE)+VLOOKUP($A80,A:AL,37,FALSE)-50))</f>
        <v>283</v>
      </c>
      <c r="AK80" s="3">
        <v>286</v>
      </c>
      <c r="AL80" s="3">
        <f>IF(ISERROR((VLOOKUP($A80,'NonXtal_SegEnds_BW#'!$A:$Z,26,FALSE)+VLOOKUP($A80,A:AL,37,FALSE)-50)),"-",(VLOOKUP($A80,'NonXtal_SegEnds_BW#'!$A:$Z,26,FALSE)+VLOOKUP($A80,A:AL,37,FALSE)-50))</f>
        <v>296</v>
      </c>
      <c r="AM80" s="71" t="str">
        <f>VLOOKUP(A80,Classification!A:B,2,FALSE)</f>
        <v>T</v>
      </c>
      <c r="AN80" s="71" t="b">
        <f t="shared" si="36"/>
        <v>1</v>
      </c>
      <c r="AO80" s="3">
        <f t="shared" si="37"/>
        <v>1</v>
      </c>
      <c r="AP80" s="3">
        <f t="shared" si="38"/>
        <v>1</v>
      </c>
      <c r="AQ80" s="3" t="str">
        <f t="shared" si="39"/>
        <v>-</v>
      </c>
      <c r="AR80" s="3" t="str">
        <f t="shared" si="40"/>
        <v>-</v>
      </c>
      <c r="AS80" s="3">
        <f t="shared" si="41"/>
        <v>3</v>
      </c>
      <c r="AT80" s="3">
        <f t="shared" si="42"/>
        <v>2</v>
      </c>
      <c r="AU80" s="3" t="str">
        <f t="shared" si="43"/>
        <v>-</v>
      </c>
      <c r="AV80" s="3" t="str">
        <f t="shared" si="44"/>
        <v>-</v>
      </c>
      <c r="AW80" s="3">
        <f t="shared" si="45"/>
        <v>10</v>
      </c>
      <c r="AX80" s="3">
        <f t="shared" si="46"/>
        <v>6</v>
      </c>
      <c r="AY80" s="3">
        <f t="shared" si="47"/>
        <v>1</v>
      </c>
      <c r="AZ80" s="3">
        <f>IF(ISERROR(LEN(VLOOKUP(A80,Seqs!A:E,2,FALSE))-AL80),"-",LEN(VLOOKUP(A80,Seqs!A:E,2,FALSE))-AL80)</f>
        <v>13</v>
      </c>
      <c r="BA80" s="35">
        <f t="shared" si="48"/>
        <v>31</v>
      </c>
      <c r="BB80" s="3">
        <f t="shared" si="49"/>
        <v>20</v>
      </c>
      <c r="BC80" s="3">
        <f t="shared" si="50"/>
        <v>31</v>
      </c>
      <c r="BD80" s="3">
        <f t="shared" si="51"/>
        <v>53</v>
      </c>
      <c r="BE80" s="3">
        <f t="shared" si="57"/>
        <v>36</v>
      </c>
    </row>
    <row r="81" spans="1:57" s="3" customFormat="1" x14ac:dyDescent="0.2">
      <c r="A81" s="3" t="s">
        <v>666</v>
      </c>
      <c r="B81" s="3" t="str">
        <f>LOWER(VLOOKUP(A81,Xtal_Templ!A:B,2,FALSE))</f>
        <v>agtr1_human</v>
      </c>
      <c r="C81" s="3">
        <f>VLOOKUP($A81,'NonXtal_SegEnds_BW#'!$A:$Z,3,FALSE)+D81-50</f>
        <v>6</v>
      </c>
      <c r="D81" s="3">
        <v>24</v>
      </c>
      <c r="E81" s="3">
        <f t="shared" si="52"/>
        <v>36</v>
      </c>
      <c r="F81" s="3">
        <f t="shared" si="53"/>
        <v>37</v>
      </c>
      <c r="G81" s="3">
        <v>39</v>
      </c>
      <c r="H81" s="3">
        <f t="shared" si="54"/>
        <v>40</v>
      </c>
      <c r="I81" s="3">
        <f t="shared" si="54"/>
        <v>41</v>
      </c>
      <c r="J81" s="3">
        <v>55</v>
      </c>
      <c r="K81" s="3">
        <f>VLOOKUP($A81,'NonXtal_SegEnds_BW#'!$A:$Z,8,FALSE)+VLOOKUP($A81,A:AL,10,FALSE)-50</f>
        <v>71</v>
      </c>
      <c r="L81" s="3" t="str">
        <f>IF(ISERROR(VLOOKUP($A81,'NonXtal_SegEnds_BW#'!$A:$Z,9,FALSE)+VLOOKUP($A81,A:AL,13,FALSE)-50),"-",(VLOOKUP($A81,'NonXtal_SegEnds_BW#'!$A:$Z,9,FALSE)+VLOOKUP($A81,A:AL,13,FALSE)-50))</f>
        <v>-</v>
      </c>
      <c r="M81" s="3" t="s">
        <v>129</v>
      </c>
      <c r="N81" s="3" t="str">
        <f>IF(ISERROR(VLOOKUP($A81,'NonXtal_SegEnds_BW#'!$A:$Z,10,FALSE)+VLOOKUP($A81,A:AL,13,FALSE)-50),"-",(VLOOKUP($A81,'NonXtal_SegEnds_BW#'!$A:$Z,10,FALSE)+VLOOKUP($A81,A:AL,13,FALSE)-50))</f>
        <v>-</v>
      </c>
      <c r="O81" s="3">
        <f>VLOOKUP($A81,'NonXtal_SegEnds_BW#'!$A:$Z,11,FALSE)+VLOOKUP($A81,A:AL,16,FALSE)-50</f>
        <v>74</v>
      </c>
      <c r="P81" s="3">
        <v>106</v>
      </c>
      <c r="Q81" s="3">
        <f>VLOOKUP($A81,'NonXtal_SegEnds_BW#'!$A:$Z,12,FALSE)+VLOOKUP($A81,A:AL,16,FALSE)-50</f>
        <v>112</v>
      </c>
      <c r="R81" s="3">
        <f t="shared" si="55"/>
        <v>115</v>
      </c>
      <c r="S81" s="3">
        <v>115</v>
      </c>
      <c r="T81" s="3">
        <f t="shared" si="56"/>
        <v>122</v>
      </c>
      <c r="U81" s="3">
        <f>IF(ISERROR(VLOOKUP($A81,'NonXtal_SegEnds_BW#'!$A:$Z,15,FALSE)+VLOOKUP($A81,A:AL,22,FALSE)-50),"-",VLOOKUP($A81,'NonXtal_SegEnds_BW#'!$A:$Z,15,FALSE)+VLOOKUP($A81,A:AL,22,FALSE)-50)</f>
        <v>124</v>
      </c>
      <c r="V81" s="3">
        <v>135</v>
      </c>
      <c r="W81" s="3">
        <f>IF(ISERROR(VLOOKUP($A81,'NonXtal_SegEnds_BW#'!$A:$Z,16,FALSE)+VLOOKUP($A81,A:AL,22,FALSE)-50),"-",(VLOOKUP($A81,'NonXtal_SegEnds_BW#'!$A:$Z,16,FALSE)+VLOOKUP($A81,A:AL,22,FALSE)-50))</f>
        <v>149</v>
      </c>
      <c r="X81" s="3" t="str">
        <f>IF(ISERROR(VLOOKUP($A81,'NonXtal_SegEnds_BW#'!$A:$Z,17,FALSE)+VLOOKUP($A81,A:AL,25,FALSE)-50),"-",(VLOOKUP($A81,'NonXtal_SegEnds_BW#'!$A:$Z,17,FALSE)+VLOOKUP($A81,A:AL,25,FALSE)-50))</f>
        <v>-</v>
      </c>
      <c r="Y81" s="3" t="s">
        <v>129</v>
      </c>
      <c r="Z81" s="3" t="str">
        <f>IF(ISERROR(VLOOKUP($A81,'NonXtal_SegEnds_BW#'!$A:$Z,18,FALSE)+VLOOKUP($A81,A:AL,25,FALSE)-50),"-",(VLOOKUP($A81,'NonXtal_SegEnds_BW#'!$A:$Z,18,FALSE)+VLOOKUP($A81,A:AL,25,FALSE)-50))</f>
        <v>-</v>
      </c>
      <c r="AA81" s="3">
        <f>IF(ISERROR(VLOOKUP($A81,'NonXtal_SegEnds_BW#'!$A:$Z,19,FALSE)+VLOOKUP($A81,A:AL,28,FALSE)-50),"-",(VLOOKUP($A81,'NonXtal_SegEnds_BW#'!$A:$Z,19,FALSE)+VLOOKUP($A81,A:AL,28,FALSE)-50))</f>
        <v>169</v>
      </c>
      <c r="AB81" s="3">
        <v>187</v>
      </c>
      <c r="AC81" s="3">
        <f>IF(ISERROR((VLOOKUP($A81,'NonXtal_SegEnds_BW#'!$A:$Z,20,FALSE)+VLOOKUP($A81,A:AL,28,FALSE)-50)),"-",(VLOOKUP($A81,'NonXtal_SegEnds_BW#'!$A:$Z,20,FALSE)+VLOOKUP($A81,A:AL,28,FALSE)-50))</f>
        <v>209</v>
      </c>
      <c r="AD81" s="3">
        <f>IF(ISERROR(VLOOKUP($A81,'NonXtal_SegEnds_BW#'!$A:$Z,21,FALSE)+VLOOKUP($A81,A:AL,31,FALSE)-50),"-",(VLOOKUP($A81,'NonXtal_SegEnds_BW#'!$A:$Z,21,FALSE)+VLOOKUP($A81,A:AL,31,FALSE)-50))</f>
        <v>219</v>
      </c>
      <c r="AE81" s="3">
        <v>240</v>
      </c>
      <c r="AF81" s="3">
        <f>IF(ISERROR((VLOOKUP($A81,'NonXtal_SegEnds_BW#'!$A:$Z,22,FALSE)+VLOOKUP($A81,A:AL,31,FALSE)-50)),"-",(VLOOKUP($A81,'NonXtal_SegEnds_BW#'!$A:$Z,22,FALSE)+VLOOKUP($A81,A:AL,31,FALSE)-50))</f>
        <v>251</v>
      </c>
      <c r="AG81" s="3">
        <f>IF(ISERROR(VLOOKUP($A81,'NonXtal_SegEnds_BW#'!$A:$Z,23,FALSE)+VLOOKUP($A81,A:AL,34,FALSE)-50),"-",(VLOOKUP($A81,'NonXtal_SegEnds_BW#'!$A:$Z,23,FALSE)+VLOOKUP($A81,A:AL,34,FALSE)-50))</f>
        <v>257</v>
      </c>
      <c r="AH81" s="3">
        <v>276</v>
      </c>
      <c r="AI81" s="3">
        <f>IF(ISERROR((VLOOKUP($A81,'NonXtal_SegEnds_BW#'!$A:$Z,24,FALSE)+VLOOKUP($A81,A:AL,34,FALSE)-50)),"-",(VLOOKUP($A81,'NonXtal_SegEnds_BW#'!$A:$Z,24,FALSE)+VLOOKUP($A81,A:AL,34,FALSE)-50))</f>
        <v>282</v>
      </c>
      <c r="AJ81" s="3">
        <f>IF(ISERROR(VLOOKUP($A81,'NonXtal_SegEnds_BW#'!$A:$Z,25,FALSE)+VLOOKUP($A81,A:AL,37,FALSE)-50),"-",(VLOOKUP($A81,'NonXtal_SegEnds_BW#'!$A:$Z,25,FALSE)+VLOOKUP($A81,A:AL,37,FALSE)-50))</f>
        <v>283</v>
      </c>
      <c r="AK81" s="3">
        <v>286</v>
      </c>
      <c r="AL81" s="3">
        <f>IF(ISERROR((VLOOKUP($A81,'NonXtal_SegEnds_BW#'!$A:$Z,26,FALSE)+VLOOKUP($A81,A:AL,37,FALSE)-50)),"-",(VLOOKUP($A81,'NonXtal_SegEnds_BW#'!$A:$Z,26,FALSE)+VLOOKUP($A81,A:AL,37,FALSE)-50))</f>
        <v>296</v>
      </c>
      <c r="AM81" s="71" t="str">
        <f>VLOOKUP(A81,Classification!A:B,2,FALSE)</f>
        <v>T</v>
      </c>
      <c r="AN81" s="71" t="b">
        <f t="shared" si="36"/>
        <v>1</v>
      </c>
      <c r="AO81" s="3">
        <f t="shared" si="37"/>
        <v>1</v>
      </c>
      <c r="AP81" s="3">
        <f t="shared" si="38"/>
        <v>1</v>
      </c>
      <c r="AQ81" s="3" t="str">
        <f t="shared" si="39"/>
        <v>-</v>
      </c>
      <c r="AR81" s="3" t="str">
        <f t="shared" si="40"/>
        <v>-</v>
      </c>
      <c r="AS81" s="3">
        <f t="shared" si="41"/>
        <v>3</v>
      </c>
      <c r="AT81" s="3">
        <f t="shared" si="42"/>
        <v>2</v>
      </c>
      <c r="AU81" s="3" t="str">
        <f t="shared" si="43"/>
        <v>-</v>
      </c>
      <c r="AV81" s="3" t="str">
        <f t="shared" si="44"/>
        <v>-</v>
      </c>
      <c r="AW81" s="3">
        <f t="shared" si="45"/>
        <v>10</v>
      </c>
      <c r="AX81" s="3">
        <f t="shared" si="46"/>
        <v>6</v>
      </c>
      <c r="AY81" s="3">
        <f t="shared" si="47"/>
        <v>1</v>
      </c>
      <c r="AZ81" s="3">
        <f>IF(ISERROR(LEN(VLOOKUP(A81,Seqs!A:E,2,FALSE))-AL81),"-",LEN(VLOOKUP(A81,Seqs!A:E,2,FALSE))-AL81)</f>
        <v>3</v>
      </c>
      <c r="BA81" s="35">
        <f t="shared" si="48"/>
        <v>31</v>
      </c>
      <c r="BB81" s="3">
        <f t="shared" si="49"/>
        <v>20</v>
      </c>
      <c r="BC81" s="3">
        <f t="shared" si="50"/>
        <v>31</v>
      </c>
      <c r="BD81" s="3">
        <f t="shared" si="51"/>
        <v>53</v>
      </c>
      <c r="BE81" s="3">
        <f t="shared" si="57"/>
        <v>36</v>
      </c>
    </row>
    <row r="82" spans="1:57" s="3" customFormat="1" x14ac:dyDescent="0.2">
      <c r="A82" s="3" t="s">
        <v>670</v>
      </c>
      <c r="B82" s="3" t="str">
        <f>LOWER(VLOOKUP(A82,Xtal_Templ!A:B,2,FALSE))</f>
        <v>agtr1_human</v>
      </c>
      <c r="C82" s="3">
        <f>VLOOKUP($A82,'NonXtal_SegEnds_BW#'!$A:$Z,3,FALSE)+D82-50</f>
        <v>6</v>
      </c>
      <c r="D82" s="3">
        <v>24</v>
      </c>
      <c r="E82" s="3">
        <f t="shared" si="52"/>
        <v>36</v>
      </c>
      <c r="F82" s="3">
        <f t="shared" si="53"/>
        <v>37</v>
      </c>
      <c r="G82" s="3">
        <v>39</v>
      </c>
      <c r="H82" s="3">
        <f t="shared" si="54"/>
        <v>40</v>
      </c>
      <c r="I82" s="3">
        <f t="shared" si="54"/>
        <v>41</v>
      </c>
      <c r="J82" s="3">
        <v>55</v>
      </c>
      <c r="K82" s="3">
        <f>VLOOKUP($A82,'NonXtal_SegEnds_BW#'!$A:$Z,8,FALSE)+VLOOKUP($A82,A:AL,10,FALSE)-50</f>
        <v>72</v>
      </c>
      <c r="L82" s="3" t="str">
        <f>IF(ISERROR(VLOOKUP($A82,'NonXtal_SegEnds_BW#'!$A:$Z,9,FALSE)+VLOOKUP($A82,A:AL,13,FALSE)-50),"-",(VLOOKUP($A82,'NonXtal_SegEnds_BW#'!$A:$Z,9,FALSE)+VLOOKUP($A82,A:AL,13,FALSE)-50))</f>
        <v>-</v>
      </c>
      <c r="M82" s="3" t="s">
        <v>129</v>
      </c>
      <c r="N82" s="3" t="str">
        <f>IF(ISERROR(VLOOKUP($A82,'NonXtal_SegEnds_BW#'!$A:$Z,10,FALSE)+VLOOKUP($A82,A:AL,13,FALSE)-50),"-",(VLOOKUP($A82,'NonXtal_SegEnds_BW#'!$A:$Z,10,FALSE)+VLOOKUP($A82,A:AL,13,FALSE)-50))</f>
        <v>-</v>
      </c>
      <c r="O82" s="3">
        <f>VLOOKUP($A82,'NonXtal_SegEnds_BW#'!$A:$Z,11,FALSE)+VLOOKUP($A82,A:AL,16,FALSE)-50</f>
        <v>75</v>
      </c>
      <c r="P82" s="3">
        <v>107</v>
      </c>
      <c r="Q82" s="3">
        <f>VLOOKUP($A82,'NonXtal_SegEnds_BW#'!$A:$Z,12,FALSE)+VLOOKUP($A82,A:AL,16,FALSE)-50</f>
        <v>113</v>
      </c>
      <c r="R82" s="3">
        <f t="shared" si="55"/>
        <v>116</v>
      </c>
      <c r="S82" s="3">
        <v>116</v>
      </c>
      <c r="T82" s="3">
        <f t="shared" si="56"/>
        <v>123</v>
      </c>
      <c r="U82" s="3">
        <f>IF(ISERROR(VLOOKUP($A82,'NonXtal_SegEnds_BW#'!$A:$Z,15,FALSE)+VLOOKUP($A82,A:AL,22,FALSE)-50),"-",VLOOKUP($A82,'NonXtal_SegEnds_BW#'!$A:$Z,15,FALSE)+VLOOKUP($A82,A:AL,22,FALSE)-50)</f>
        <v>125</v>
      </c>
      <c r="V82" s="3">
        <v>136</v>
      </c>
      <c r="W82" s="3">
        <f>IF(ISERROR(VLOOKUP($A82,'NonXtal_SegEnds_BW#'!$A:$Z,16,FALSE)+VLOOKUP($A82,A:AL,22,FALSE)-50),"-",(VLOOKUP($A82,'NonXtal_SegEnds_BW#'!$A:$Z,16,FALSE)+VLOOKUP($A82,A:AL,22,FALSE)-50))</f>
        <v>150</v>
      </c>
      <c r="X82" s="3" t="str">
        <f>IF(ISERROR(VLOOKUP($A82,'NonXtal_SegEnds_BW#'!$A:$Z,17,FALSE)+VLOOKUP($A82,A:AL,25,FALSE)-50),"-",(VLOOKUP($A82,'NonXtal_SegEnds_BW#'!$A:$Z,17,FALSE)+VLOOKUP($A82,A:AL,25,FALSE)-50))</f>
        <v>-</v>
      </c>
      <c r="Y82" s="3" t="s">
        <v>129</v>
      </c>
      <c r="Z82" s="3" t="str">
        <f>IF(ISERROR(VLOOKUP($A82,'NonXtal_SegEnds_BW#'!$A:$Z,18,FALSE)+VLOOKUP($A82,A:AL,25,FALSE)-50),"-",(VLOOKUP($A82,'NonXtal_SegEnds_BW#'!$A:$Z,18,FALSE)+VLOOKUP($A82,A:AL,25,FALSE)-50))</f>
        <v>-</v>
      </c>
      <c r="AA82" s="3">
        <f>IF(ISERROR(VLOOKUP($A82,'NonXtal_SegEnds_BW#'!$A:$Z,19,FALSE)+VLOOKUP($A82,A:AL,28,FALSE)-50),"-",(VLOOKUP($A82,'NonXtal_SegEnds_BW#'!$A:$Z,19,FALSE)+VLOOKUP($A82,A:AL,28,FALSE)-50))</f>
        <v>174</v>
      </c>
      <c r="AB82" s="3">
        <v>192</v>
      </c>
      <c r="AC82" s="3">
        <f>IF(ISERROR((VLOOKUP($A82,'NonXtal_SegEnds_BW#'!$A:$Z,20,FALSE)+VLOOKUP($A82,A:AL,28,FALSE)-50)),"-",(VLOOKUP($A82,'NonXtal_SegEnds_BW#'!$A:$Z,20,FALSE)+VLOOKUP($A82,A:AL,28,FALSE)-50))</f>
        <v>214</v>
      </c>
      <c r="AD82" s="3">
        <f>IF(ISERROR(VLOOKUP($A82,'NonXtal_SegEnds_BW#'!$A:$Z,21,FALSE)+VLOOKUP($A82,A:AL,31,FALSE)-50),"-",(VLOOKUP($A82,'NonXtal_SegEnds_BW#'!$A:$Z,21,FALSE)+VLOOKUP($A82,A:AL,31,FALSE)-50))</f>
        <v>224</v>
      </c>
      <c r="AE82" s="3">
        <v>245</v>
      </c>
      <c r="AF82" s="3">
        <f>IF(ISERROR((VLOOKUP($A82,'NonXtal_SegEnds_BW#'!$A:$Z,22,FALSE)+VLOOKUP($A82,A:AL,31,FALSE)-50)),"-",(VLOOKUP($A82,'NonXtal_SegEnds_BW#'!$A:$Z,22,FALSE)+VLOOKUP($A82,A:AL,31,FALSE)-50))</f>
        <v>256</v>
      </c>
      <c r="AG82" s="3">
        <f>IF(ISERROR(VLOOKUP($A82,'NonXtal_SegEnds_BW#'!$A:$Z,23,FALSE)+VLOOKUP($A82,A:AL,34,FALSE)-50),"-",(VLOOKUP($A82,'NonXtal_SegEnds_BW#'!$A:$Z,23,FALSE)+VLOOKUP($A82,A:AL,34,FALSE)-50))</f>
        <v>262</v>
      </c>
      <c r="AH82" s="3">
        <v>281</v>
      </c>
      <c r="AI82" s="3">
        <f>IF(ISERROR((VLOOKUP($A82,'NonXtal_SegEnds_BW#'!$A:$Z,24,FALSE)+VLOOKUP($A82,A:AL,34,FALSE)-50)),"-",(VLOOKUP($A82,'NonXtal_SegEnds_BW#'!$A:$Z,24,FALSE)+VLOOKUP($A82,A:AL,34,FALSE)-50))</f>
        <v>287</v>
      </c>
      <c r="AJ82" s="3">
        <f>IF(ISERROR(VLOOKUP($A82,'NonXtal_SegEnds_BW#'!$A:$Z,25,FALSE)+VLOOKUP($A82,A:AL,37,FALSE)-50),"-",(VLOOKUP($A82,'NonXtal_SegEnds_BW#'!$A:$Z,25,FALSE)+VLOOKUP($A82,A:AL,37,FALSE)-50))</f>
        <v>288</v>
      </c>
      <c r="AK82" s="3">
        <v>291</v>
      </c>
      <c r="AL82" s="3">
        <f>IF(ISERROR((VLOOKUP($A82,'NonXtal_SegEnds_BW#'!$A:$Z,26,FALSE)+VLOOKUP($A82,A:AL,37,FALSE)-50)),"-",(VLOOKUP($A82,'NonXtal_SegEnds_BW#'!$A:$Z,26,FALSE)+VLOOKUP($A82,A:AL,37,FALSE)-50))</f>
        <v>301</v>
      </c>
      <c r="AM82" s="71" t="str">
        <f>VLOOKUP(A82,Classification!A:B,2,FALSE)</f>
        <v>T</v>
      </c>
      <c r="AN82" s="71" t="b">
        <f t="shared" si="36"/>
        <v>1</v>
      </c>
      <c r="AO82" s="3">
        <f t="shared" si="37"/>
        <v>1</v>
      </c>
      <c r="AP82" s="3">
        <f t="shared" si="38"/>
        <v>1</v>
      </c>
      <c r="AQ82" s="3" t="str">
        <f t="shared" si="39"/>
        <v>-</v>
      </c>
      <c r="AR82" s="3" t="str">
        <f t="shared" si="40"/>
        <v>-</v>
      </c>
      <c r="AS82" s="3">
        <f t="shared" si="41"/>
        <v>3</v>
      </c>
      <c r="AT82" s="3">
        <f t="shared" si="42"/>
        <v>2</v>
      </c>
      <c r="AU82" s="3" t="str">
        <f t="shared" si="43"/>
        <v>-</v>
      </c>
      <c r="AV82" s="3" t="str">
        <f t="shared" si="44"/>
        <v>-</v>
      </c>
      <c r="AW82" s="3">
        <f t="shared" si="45"/>
        <v>10</v>
      </c>
      <c r="AX82" s="3">
        <f t="shared" si="46"/>
        <v>6</v>
      </c>
      <c r="AY82" s="3">
        <f t="shared" si="47"/>
        <v>1</v>
      </c>
      <c r="AZ82" s="3">
        <f>IF(ISERROR(LEN(VLOOKUP(A82,Seqs!A:E,2,FALSE))-AL82),"-",LEN(VLOOKUP(A82,Seqs!A:E,2,FALSE))-AL82)</f>
        <v>15</v>
      </c>
      <c r="BA82" s="35">
        <f t="shared" si="48"/>
        <v>31</v>
      </c>
      <c r="BB82" s="3">
        <f t="shared" si="49"/>
        <v>20</v>
      </c>
      <c r="BC82" s="3">
        <f t="shared" si="50"/>
        <v>31</v>
      </c>
      <c r="BD82" s="3">
        <f t="shared" si="51"/>
        <v>53</v>
      </c>
      <c r="BE82" s="3">
        <f t="shared" si="57"/>
        <v>36</v>
      </c>
    </row>
    <row r="83" spans="1:57" s="3" customFormat="1" x14ac:dyDescent="0.2">
      <c r="A83" s="3" t="s">
        <v>673</v>
      </c>
      <c r="B83" s="3" t="str">
        <f>LOWER(VLOOKUP(A83,Xtal_Templ!A:B,2,FALSE))</f>
        <v>agtr1_human</v>
      </c>
      <c r="C83" s="3">
        <f>VLOOKUP($A83,'NonXtal_SegEnds_BW#'!$A:$Z,3,FALSE)+D83-50</f>
        <v>6</v>
      </c>
      <c r="D83" s="3">
        <v>24</v>
      </c>
      <c r="E83" s="3">
        <f t="shared" si="52"/>
        <v>36</v>
      </c>
      <c r="F83" s="3">
        <f t="shared" si="53"/>
        <v>37</v>
      </c>
      <c r="G83" s="3">
        <v>39</v>
      </c>
      <c r="H83" s="3">
        <f t="shared" si="54"/>
        <v>40</v>
      </c>
      <c r="I83" s="3">
        <f t="shared" si="54"/>
        <v>41</v>
      </c>
      <c r="J83" s="3">
        <v>55</v>
      </c>
      <c r="K83" s="3">
        <f>VLOOKUP($A83,'NonXtal_SegEnds_BW#'!$A:$Z,8,FALSE)+VLOOKUP($A83,A:AL,10,FALSE)-50</f>
        <v>72</v>
      </c>
      <c r="L83" s="3" t="str">
        <f>IF(ISERROR(VLOOKUP($A83,'NonXtal_SegEnds_BW#'!$A:$Z,9,FALSE)+VLOOKUP($A83,A:AL,13,FALSE)-50),"-",(VLOOKUP($A83,'NonXtal_SegEnds_BW#'!$A:$Z,9,FALSE)+VLOOKUP($A83,A:AL,13,FALSE)-50))</f>
        <v>-</v>
      </c>
      <c r="M83" s="3" t="s">
        <v>129</v>
      </c>
      <c r="N83" s="3" t="str">
        <f>IF(ISERROR(VLOOKUP($A83,'NonXtal_SegEnds_BW#'!$A:$Z,10,FALSE)+VLOOKUP($A83,A:AL,13,FALSE)-50),"-",(VLOOKUP($A83,'NonXtal_SegEnds_BW#'!$A:$Z,10,FALSE)+VLOOKUP($A83,A:AL,13,FALSE)-50))</f>
        <v>-</v>
      </c>
      <c r="O83" s="3">
        <f>VLOOKUP($A83,'NonXtal_SegEnds_BW#'!$A:$Z,11,FALSE)+VLOOKUP($A83,A:AL,16,FALSE)-50</f>
        <v>75</v>
      </c>
      <c r="P83" s="3">
        <v>107</v>
      </c>
      <c r="Q83" s="3">
        <f>VLOOKUP($A83,'NonXtal_SegEnds_BW#'!$A:$Z,12,FALSE)+VLOOKUP($A83,A:AL,16,FALSE)-50</f>
        <v>113</v>
      </c>
      <c r="R83" s="3">
        <f t="shared" si="55"/>
        <v>116</v>
      </c>
      <c r="S83" s="3">
        <v>116</v>
      </c>
      <c r="T83" s="3">
        <f t="shared" si="56"/>
        <v>123</v>
      </c>
      <c r="U83" s="3">
        <f>IF(ISERROR(VLOOKUP($A83,'NonXtal_SegEnds_BW#'!$A:$Z,15,FALSE)+VLOOKUP($A83,A:AL,22,FALSE)-50),"-",VLOOKUP($A83,'NonXtal_SegEnds_BW#'!$A:$Z,15,FALSE)+VLOOKUP($A83,A:AL,22,FALSE)-50)</f>
        <v>125</v>
      </c>
      <c r="V83" s="3">
        <v>136</v>
      </c>
      <c r="W83" s="3">
        <f>IF(ISERROR(VLOOKUP($A83,'NonXtal_SegEnds_BW#'!$A:$Z,16,FALSE)+VLOOKUP($A83,A:AL,22,FALSE)-50),"-",(VLOOKUP($A83,'NonXtal_SegEnds_BW#'!$A:$Z,16,FALSE)+VLOOKUP($A83,A:AL,22,FALSE)-50))</f>
        <v>150</v>
      </c>
      <c r="X83" s="3" t="str">
        <f>IF(ISERROR(VLOOKUP($A83,'NonXtal_SegEnds_BW#'!$A:$Z,17,FALSE)+VLOOKUP($A83,A:AL,25,FALSE)-50),"-",(VLOOKUP($A83,'NonXtal_SegEnds_BW#'!$A:$Z,17,FALSE)+VLOOKUP($A83,A:AL,25,FALSE)-50))</f>
        <v>-</v>
      </c>
      <c r="Y83" s="3" t="s">
        <v>129</v>
      </c>
      <c r="Z83" s="3" t="str">
        <f>IF(ISERROR(VLOOKUP($A83,'NonXtal_SegEnds_BW#'!$A:$Z,18,FALSE)+VLOOKUP($A83,A:AL,25,FALSE)-50),"-",(VLOOKUP($A83,'NonXtal_SegEnds_BW#'!$A:$Z,18,FALSE)+VLOOKUP($A83,A:AL,25,FALSE)-50))</f>
        <v>-</v>
      </c>
      <c r="AA83" s="3">
        <f>IF(ISERROR(VLOOKUP($A83,'NonXtal_SegEnds_BW#'!$A:$Z,19,FALSE)+VLOOKUP($A83,A:AL,28,FALSE)-50),"-",(VLOOKUP($A83,'NonXtal_SegEnds_BW#'!$A:$Z,19,FALSE)+VLOOKUP($A83,A:AL,28,FALSE)-50))</f>
        <v>175</v>
      </c>
      <c r="AB83" s="3">
        <v>193</v>
      </c>
      <c r="AC83" s="3">
        <f>IF(ISERROR((VLOOKUP($A83,'NonXtal_SegEnds_BW#'!$A:$Z,20,FALSE)+VLOOKUP($A83,A:AL,28,FALSE)-50)),"-",(VLOOKUP($A83,'NonXtal_SegEnds_BW#'!$A:$Z,20,FALSE)+VLOOKUP($A83,A:AL,28,FALSE)-50))</f>
        <v>215</v>
      </c>
      <c r="AD83" s="3">
        <f>IF(ISERROR(VLOOKUP($A83,'NonXtal_SegEnds_BW#'!$A:$Z,21,FALSE)+VLOOKUP($A83,A:AL,31,FALSE)-50),"-",(VLOOKUP($A83,'NonXtal_SegEnds_BW#'!$A:$Z,21,FALSE)+VLOOKUP($A83,A:AL,31,FALSE)-50))</f>
        <v>225</v>
      </c>
      <c r="AE83" s="3">
        <v>246</v>
      </c>
      <c r="AF83" s="3">
        <f>IF(ISERROR((VLOOKUP($A83,'NonXtal_SegEnds_BW#'!$A:$Z,22,FALSE)+VLOOKUP($A83,A:AL,31,FALSE)-50)),"-",(VLOOKUP($A83,'NonXtal_SegEnds_BW#'!$A:$Z,22,FALSE)+VLOOKUP($A83,A:AL,31,FALSE)-50))</f>
        <v>257</v>
      </c>
      <c r="AG83" s="3">
        <f>IF(ISERROR(VLOOKUP($A83,'NonXtal_SegEnds_BW#'!$A:$Z,23,FALSE)+VLOOKUP($A83,A:AL,34,FALSE)-50),"-",(VLOOKUP($A83,'NonXtal_SegEnds_BW#'!$A:$Z,23,FALSE)+VLOOKUP($A83,A:AL,34,FALSE)-50))</f>
        <v>263</v>
      </c>
      <c r="AH83" s="3">
        <v>282</v>
      </c>
      <c r="AI83" s="3">
        <f>IF(ISERROR((VLOOKUP($A83,'NonXtal_SegEnds_BW#'!$A:$Z,24,FALSE)+VLOOKUP($A83,A:AL,34,FALSE)-50)),"-",(VLOOKUP($A83,'NonXtal_SegEnds_BW#'!$A:$Z,24,FALSE)+VLOOKUP($A83,A:AL,34,FALSE)-50))</f>
        <v>288</v>
      </c>
      <c r="AJ83" s="3">
        <f>IF(ISERROR(VLOOKUP($A83,'NonXtal_SegEnds_BW#'!$A:$Z,25,FALSE)+VLOOKUP($A83,A:AL,37,FALSE)-50),"-",(VLOOKUP($A83,'NonXtal_SegEnds_BW#'!$A:$Z,25,FALSE)+VLOOKUP($A83,A:AL,37,FALSE)-50))</f>
        <v>289</v>
      </c>
      <c r="AK83" s="3">
        <v>292</v>
      </c>
      <c r="AL83" s="3">
        <f>IF(ISERROR((VLOOKUP($A83,'NonXtal_SegEnds_BW#'!$A:$Z,26,FALSE)+VLOOKUP($A83,A:AL,37,FALSE)-50)),"-",(VLOOKUP($A83,'NonXtal_SegEnds_BW#'!$A:$Z,26,FALSE)+VLOOKUP($A83,A:AL,37,FALSE)-50))</f>
        <v>302</v>
      </c>
      <c r="AM83" s="71" t="str">
        <f>VLOOKUP(A83,Classification!A:B,2,FALSE)</f>
        <v>T</v>
      </c>
      <c r="AN83" s="71" t="b">
        <f t="shared" si="36"/>
        <v>1</v>
      </c>
      <c r="AO83" s="3">
        <f t="shared" si="37"/>
        <v>1</v>
      </c>
      <c r="AP83" s="3">
        <f t="shared" si="38"/>
        <v>1</v>
      </c>
      <c r="AQ83" s="3" t="str">
        <f t="shared" si="39"/>
        <v>-</v>
      </c>
      <c r="AR83" s="3" t="str">
        <f t="shared" si="40"/>
        <v>-</v>
      </c>
      <c r="AS83" s="3">
        <f t="shared" si="41"/>
        <v>3</v>
      </c>
      <c r="AT83" s="3">
        <f t="shared" si="42"/>
        <v>2</v>
      </c>
      <c r="AU83" s="3" t="str">
        <f t="shared" si="43"/>
        <v>-</v>
      </c>
      <c r="AV83" s="3" t="str">
        <f t="shared" si="44"/>
        <v>-</v>
      </c>
      <c r="AW83" s="3">
        <f t="shared" si="45"/>
        <v>10</v>
      </c>
      <c r="AX83" s="3">
        <f t="shared" si="46"/>
        <v>6</v>
      </c>
      <c r="AY83" s="3">
        <f t="shared" si="47"/>
        <v>1</v>
      </c>
      <c r="AZ83" s="3">
        <f>IF(ISERROR(LEN(VLOOKUP(A83,Seqs!A:E,2,FALSE))-AL83),"-",LEN(VLOOKUP(A83,Seqs!A:E,2,FALSE))-AL83)</f>
        <v>16</v>
      </c>
      <c r="BA83" s="35">
        <f t="shared" si="48"/>
        <v>31</v>
      </c>
      <c r="BB83" s="3">
        <f t="shared" si="49"/>
        <v>20</v>
      </c>
      <c r="BC83" s="3">
        <f t="shared" si="50"/>
        <v>31</v>
      </c>
      <c r="BD83" s="3">
        <f t="shared" si="51"/>
        <v>53</v>
      </c>
      <c r="BE83" s="3">
        <f t="shared" si="57"/>
        <v>36</v>
      </c>
    </row>
    <row r="84" spans="1:57" s="3" customFormat="1" x14ac:dyDescent="0.2">
      <c r="A84" s="3" t="s">
        <v>674</v>
      </c>
      <c r="B84" s="3" t="str">
        <f>LOWER(VLOOKUP(A84,Xtal_Templ!A:B,2,FALSE))</f>
        <v>agtr1_human</v>
      </c>
      <c r="C84" s="3">
        <f>VLOOKUP($A84,'NonXtal_SegEnds_BW#'!$A:$Z,3,FALSE)+D84-50</f>
        <v>6</v>
      </c>
      <c r="D84" s="3">
        <v>24</v>
      </c>
      <c r="E84" s="3">
        <f t="shared" si="52"/>
        <v>36</v>
      </c>
      <c r="F84" s="3">
        <f t="shared" si="53"/>
        <v>37</v>
      </c>
      <c r="G84" s="3">
        <v>39</v>
      </c>
      <c r="H84" s="3">
        <f t="shared" si="54"/>
        <v>40</v>
      </c>
      <c r="I84" s="3">
        <f t="shared" si="54"/>
        <v>41</v>
      </c>
      <c r="J84" s="3">
        <v>55</v>
      </c>
      <c r="K84" s="3">
        <f>VLOOKUP($A84,'NonXtal_SegEnds_BW#'!$A:$Z,8,FALSE)+VLOOKUP($A84,A:AL,10,FALSE)-50</f>
        <v>72</v>
      </c>
      <c r="L84" s="3" t="str">
        <f>IF(ISERROR(VLOOKUP($A84,'NonXtal_SegEnds_BW#'!$A:$Z,9,FALSE)+VLOOKUP($A84,A:AL,13,FALSE)-50),"-",(VLOOKUP($A84,'NonXtal_SegEnds_BW#'!$A:$Z,9,FALSE)+VLOOKUP($A84,A:AL,13,FALSE)-50))</f>
        <v>-</v>
      </c>
      <c r="M84" s="3" t="s">
        <v>129</v>
      </c>
      <c r="N84" s="3" t="str">
        <f>IF(ISERROR(VLOOKUP($A84,'NonXtal_SegEnds_BW#'!$A:$Z,10,FALSE)+VLOOKUP($A84,A:AL,13,FALSE)-50),"-",(VLOOKUP($A84,'NonXtal_SegEnds_BW#'!$A:$Z,10,FALSE)+VLOOKUP($A84,A:AL,13,FALSE)-50))</f>
        <v>-</v>
      </c>
      <c r="O84" s="3">
        <f>VLOOKUP($A84,'NonXtal_SegEnds_BW#'!$A:$Z,11,FALSE)+VLOOKUP($A84,A:AL,16,FALSE)-50</f>
        <v>75</v>
      </c>
      <c r="P84" s="3">
        <v>107</v>
      </c>
      <c r="Q84" s="3">
        <f>VLOOKUP($A84,'NonXtal_SegEnds_BW#'!$A:$Z,12,FALSE)+VLOOKUP($A84,A:AL,16,FALSE)-50</f>
        <v>113</v>
      </c>
      <c r="R84" s="3">
        <f t="shared" si="55"/>
        <v>116</v>
      </c>
      <c r="S84" s="3">
        <v>116</v>
      </c>
      <c r="T84" s="3">
        <f t="shared" si="56"/>
        <v>123</v>
      </c>
      <c r="U84" s="3">
        <f>IF(ISERROR(VLOOKUP($A84,'NonXtal_SegEnds_BW#'!$A:$Z,15,FALSE)+VLOOKUP($A84,A:AL,22,FALSE)-50),"-",VLOOKUP($A84,'NonXtal_SegEnds_BW#'!$A:$Z,15,FALSE)+VLOOKUP($A84,A:AL,22,FALSE)-50)</f>
        <v>125</v>
      </c>
      <c r="V84" s="3">
        <v>136</v>
      </c>
      <c r="W84" s="3">
        <f>IF(ISERROR(VLOOKUP($A84,'NonXtal_SegEnds_BW#'!$A:$Z,16,FALSE)+VLOOKUP($A84,A:AL,22,FALSE)-50),"-",(VLOOKUP($A84,'NonXtal_SegEnds_BW#'!$A:$Z,16,FALSE)+VLOOKUP($A84,A:AL,22,FALSE)-50))</f>
        <v>150</v>
      </c>
      <c r="X84" s="3" t="str">
        <f>IF(ISERROR(VLOOKUP($A84,'NonXtal_SegEnds_BW#'!$A:$Z,17,FALSE)+VLOOKUP($A84,A:AL,25,FALSE)-50),"-",(VLOOKUP($A84,'NonXtal_SegEnds_BW#'!$A:$Z,17,FALSE)+VLOOKUP($A84,A:AL,25,FALSE)-50))</f>
        <v>-</v>
      </c>
      <c r="Y84" s="3" t="s">
        <v>129</v>
      </c>
      <c r="Z84" s="3" t="str">
        <f>IF(ISERROR(VLOOKUP($A84,'NonXtal_SegEnds_BW#'!$A:$Z,18,FALSE)+VLOOKUP($A84,A:AL,25,FALSE)-50),"-",(VLOOKUP($A84,'NonXtal_SegEnds_BW#'!$A:$Z,18,FALSE)+VLOOKUP($A84,A:AL,25,FALSE)-50))</f>
        <v>-</v>
      </c>
      <c r="AA84" s="3">
        <f>IF(ISERROR(VLOOKUP($A84,'NonXtal_SegEnds_BW#'!$A:$Z,19,FALSE)+VLOOKUP($A84,A:AL,28,FALSE)-50),"-",(VLOOKUP($A84,'NonXtal_SegEnds_BW#'!$A:$Z,19,FALSE)+VLOOKUP($A84,A:AL,28,FALSE)-50))</f>
        <v>175</v>
      </c>
      <c r="AB84" s="3">
        <v>193</v>
      </c>
      <c r="AC84" s="3">
        <f>IF(ISERROR((VLOOKUP($A84,'NonXtal_SegEnds_BW#'!$A:$Z,20,FALSE)+VLOOKUP($A84,A:AL,28,FALSE)-50)),"-",(VLOOKUP($A84,'NonXtal_SegEnds_BW#'!$A:$Z,20,FALSE)+VLOOKUP($A84,A:AL,28,FALSE)-50))</f>
        <v>215</v>
      </c>
      <c r="AD84" s="3">
        <f>IF(ISERROR(VLOOKUP($A84,'NonXtal_SegEnds_BW#'!$A:$Z,21,FALSE)+VLOOKUP($A84,A:AL,31,FALSE)-50),"-",(VLOOKUP($A84,'NonXtal_SegEnds_BW#'!$A:$Z,21,FALSE)+VLOOKUP($A84,A:AL,31,FALSE)-50))</f>
        <v>225</v>
      </c>
      <c r="AE84" s="3">
        <v>246</v>
      </c>
      <c r="AF84" s="3">
        <f>IF(ISERROR((VLOOKUP($A84,'NonXtal_SegEnds_BW#'!$A:$Z,22,FALSE)+VLOOKUP($A84,A:AL,31,FALSE)-50)),"-",(VLOOKUP($A84,'NonXtal_SegEnds_BW#'!$A:$Z,22,FALSE)+VLOOKUP($A84,A:AL,31,FALSE)-50))</f>
        <v>257</v>
      </c>
      <c r="AG84" s="3">
        <f>IF(ISERROR(VLOOKUP($A84,'NonXtal_SegEnds_BW#'!$A:$Z,23,FALSE)+VLOOKUP($A84,A:AL,34,FALSE)-50),"-",(VLOOKUP($A84,'NonXtal_SegEnds_BW#'!$A:$Z,23,FALSE)+VLOOKUP($A84,A:AL,34,FALSE)-50))</f>
        <v>263</v>
      </c>
      <c r="AH84" s="3">
        <v>282</v>
      </c>
      <c r="AI84" s="3">
        <f>IF(ISERROR((VLOOKUP($A84,'NonXtal_SegEnds_BW#'!$A:$Z,24,FALSE)+VLOOKUP($A84,A:AL,34,FALSE)-50)),"-",(VLOOKUP($A84,'NonXtal_SegEnds_BW#'!$A:$Z,24,FALSE)+VLOOKUP($A84,A:AL,34,FALSE)-50))</f>
        <v>288</v>
      </c>
      <c r="AJ84" s="3">
        <f>IF(ISERROR(VLOOKUP($A84,'NonXtal_SegEnds_BW#'!$A:$Z,25,FALSE)+VLOOKUP($A84,A:AL,37,FALSE)-50),"-",(VLOOKUP($A84,'NonXtal_SegEnds_BW#'!$A:$Z,25,FALSE)+VLOOKUP($A84,A:AL,37,FALSE)-50))</f>
        <v>289</v>
      </c>
      <c r="AK84" s="3">
        <v>292</v>
      </c>
      <c r="AL84" s="3">
        <f>IF(ISERROR((VLOOKUP($A84,'NonXtal_SegEnds_BW#'!$A:$Z,26,FALSE)+VLOOKUP($A84,A:AL,37,FALSE)-50)),"-",(VLOOKUP($A84,'NonXtal_SegEnds_BW#'!$A:$Z,26,FALSE)+VLOOKUP($A84,A:AL,37,FALSE)-50))</f>
        <v>302</v>
      </c>
      <c r="AM84" s="71" t="str">
        <f>VLOOKUP(A84,Classification!A:B,2,FALSE)</f>
        <v>T</v>
      </c>
      <c r="AN84" s="71" t="b">
        <f t="shared" si="36"/>
        <v>1</v>
      </c>
      <c r="AO84" s="3">
        <f t="shared" si="37"/>
        <v>1</v>
      </c>
      <c r="AP84" s="3">
        <f t="shared" si="38"/>
        <v>1</v>
      </c>
      <c r="AQ84" s="3" t="str">
        <f t="shared" si="39"/>
        <v>-</v>
      </c>
      <c r="AR84" s="3" t="str">
        <f t="shared" si="40"/>
        <v>-</v>
      </c>
      <c r="AS84" s="3">
        <f t="shared" si="41"/>
        <v>3</v>
      </c>
      <c r="AT84" s="3">
        <f t="shared" si="42"/>
        <v>2</v>
      </c>
      <c r="AU84" s="3" t="str">
        <f t="shared" si="43"/>
        <v>-</v>
      </c>
      <c r="AV84" s="3" t="str">
        <f t="shared" si="44"/>
        <v>-</v>
      </c>
      <c r="AW84" s="3">
        <f t="shared" si="45"/>
        <v>10</v>
      </c>
      <c r="AX84" s="3">
        <f t="shared" si="46"/>
        <v>6</v>
      </c>
      <c r="AY84" s="3">
        <f t="shared" si="47"/>
        <v>1</v>
      </c>
      <c r="AZ84" s="3">
        <f>IF(ISERROR(LEN(VLOOKUP(A84,Seqs!A:E,2,FALSE))-AL84),"-",LEN(VLOOKUP(A84,Seqs!A:E,2,FALSE))-AL84)</f>
        <v>7</v>
      </c>
      <c r="BA84" s="35">
        <f t="shared" si="48"/>
        <v>31</v>
      </c>
      <c r="BB84" s="3">
        <f t="shared" si="49"/>
        <v>20</v>
      </c>
      <c r="BC84" s="3">
        <f t="shared" si="50"/>
        <v>31</v>
      </c>
      <c r="BD84" s="3">
        <f t="shared" si="51"/>
        <v>53</v>
      </c>
      <c r="BE84" s="3">
        <f t="shared" si="57"/>
        <v>36</v>
      </c>
    </row>
    <row r="85" spans="1:57" s="3" customFormat="1" x14ac:dyDescent="0.2">
      <c r="A85" s="3" t="s">
        <v>675</v>
      </c>
      <c r="B85" s="3" t="str">
        <f>LOWER(VLOOKUP(A85,Xtal_Templ!A:B,2,FALSE))</f>
        <v>agtr1_human</v>
      </c>
      <c r="C85" s="3">
        <f>VLOOKUP($A85,'NonXtal_SegEnds_BW#'!$A:$Z,3,FALSE)+D85-50</f>
        <v>6</v>
      </c>
      <c r="D85" s="3">
        <v>24</v>
      </c>
      <c r="E85" s="3">
        <f t="shared" si="52"/>
        <v>36</v>
      </c>
      <c r="F85" s="3">
        <f t="shared" si="53"/>
        <v>37</v>
      </c>
      <c r="G85" s="3">
        <v>39</v>
      </c>
      <c r="H85" s="3">
        <f t="shared" si="54"/>
        <v>40</v>
      </c>
      <c r="I85" s="3">
        <f t="shared" si="54"/>
        <v>41</v>
      </c>
      <c r="J85" s="3">
        <v>55</v>
      </c>
      <c r="K85" s="3">
        <f>VLOOKUP($A85,'NonXtal_SegEnds_BW#'!$A:$Z,8,FALSE)+VLOOKUP($A85,A:AL,10,FALSE)-50</f>
        <v>72</v>
      </c>
      <c r="L85" s="3" t="str">
        <f>IF(ISERROR(VLOOKUP($A85,'NonXtal_SegEnds_BW#'!$A:$Z,9,FALSE)+VLOOKUP($A85,A:AL,13,FALSE)-50),"-",(VLOOKUP($A85,'NonXtal_SegEnds_BW#'!$A:$Z,9,FALSE)+VLOOKUP($A85,A:AL,13,FALSE)-50))</f>
        <v>-</v>
      </c>
      <c r="M85" s="3" t="s">
        <v>129</v>
      </c>
      <c r="N85" s="3" t="str">
        <f>IF(ISERROR(VLOOKUP($A85,'NonXtal_SegEnds_BW#'!$A:$Z,10,FALSE)+VLOOKUP($A85,A:AL,13,FALSE)-50),"-",(VLOOKUP($A85,'NonXtal_SegEnds_BW#'!$A:$Z,10,FALSE)+VLOOKUP($A85,A:AL,13,FALSE)-50))</f>
        <v>-</v>
      </c>
      <c r="O85" s="3">
        <f>VLOOKUP($A85,'NonXtal_SegEnds_BW#'!$A:$Z,11,FALSE)+VLOOKUP($A85,A:AL,16,FALSE)-50</f>
        <v>75</v>
      </c>
      <c r="P85" s="3">
        <v>107</v>
      </c>
      <c r="Q85" s="3">
        <f>VLOOKUP($A85,'NonXtal_SegEnds_BW#'!$A:$Z,12,FALSE)+VLOOKUP($A85,A:AL,16,FALSE)-50</f>
        <v>113</v>
      </c>
      <c r="R85" s="3">
        <f t="shared" si="55"/>
        <v>116</v>
      </c>
      <c r="S85" s="3">
        <v>116</v>
      </c>
      <c r="T85" s="3">
        <f t="shared" si="56"/>
        <v>123</v>
      </c>
      <c r="U85" s="3">
        <f>IF(ISERROR(VLOOKUP($A85,'NonXtal_SegEnds_BW#'!$A:$Z,15,FALSE)+VLOOKUP($A85,A:AL,22,FALSE)-50),"-",VLOOKUP($A85,'NonXtal_SegEnds_BW#'!$A:$Z,15,FALSE)+VLOOKUP($A85,A:AL,22,FALSE)-50)</f>
        <v>125</v>
      </c>
      <c r="V85" s="3">
        <v>136</v>
      </c>
      <c r="W85" s="3">
        <f>IF(ISERROR(VLOOKUP($A85,'NonXtal_SegEnds_BW#'!$A:$Z,16,FALSE)+VLOOKUP($A85,A:AL,22,FALSE)-50),"-",(VLOOKUP($A85,'NonXtal_SegEnds_BW#'!$A:$Z,16,FALSE)+VLOOKUP($A85,A:AL,22,FALSE)-50))</f>
        <v>150</v>
      </c>
      <c r="X85" s="3" t="str">
        <f>IF(ISERROR(VLOOKUP($A85,'NonXtal_SegEnds_BW#'!$A:$Z,17,FALSE)+VLOOKUP($A85,A:AL,25,FALSE)-50),"-",(VLOOKUP($A85,'NonXtal_SegEnds_BW#'!$A:$Z,17,FALSE)+VLOOKUP($A85,A:AL,25,FALSE)-50))</f>
        <v>-</v>
      </c>
      <c r="Y85" s="3" t="s">
        <v>129</v>
      </c>
      <c r="Z85" s="3" t="str">
        <f>IF(ISERROR(VLOOKUP($A85,'NonXtal_SegEnds_BW#'!$A:$Z,18,FALSE)+VLOOKUP($A85,A:AL,25,FALSE)-50),"-",(VLOOKUP($A85,'NonXtal_SegEnds_BW#'!$A:$Z,18,FALSE)+VLOOKUP($A85,A:AL,25,FALSE)-50))</f>
        <v>-</v>
      </c>
      <c r="AA85" s="3">
        <f>IF(ISERROR(VLOOKUP($A85,'NonXtal_SegEnds_BW#'!$A:$Z,19,FALSE)+VLOOKUP($A85,A:AL,28,FALSE)-50),"-",(VLOOKUP($A85,'NonXtal_SegEnds_BW#'!$A:$Z,19,FALSE)+VLOOKUP($A85,A:AL,28,FALSE)-50))</f>
        <v>172</v>
      </c>
      <c r="AB85" s="3">
        <v>190</v>
      </c>
      <c r="AC85" s="3">
        <f>IF(ISERROR((VLOOKUP($A85,'NonXtal_SegEnds_BW#'!$A:$Z,20,FALSE)+VLOOKUP($A85,A:AL,28,FALSE)-50)),"-",(VLOOKUP($A85,'NonXtal_SegEnds_BW#'!$A:$Z,20,FALSE)+VLOOKUP($A85,A:AL,28,FALSE)-50))</f>
        <v>212</v>
      </c>
      <c r="AD85" s="3">
        <f>IF(ISERROR(VLOOKUP($A85,'NonXtal_SegEnds_BW#'!$A:$Z,21,FALSE)+VLOOKUP($A85,A:AL,31,FALSE)-50),"-",(VLOOKUP($A85,'NonXtal_SegEnds_BW#'!$A:$Z,21,FALSE)+VLOOKUP($A85,A:AL,31,FALSE)-50))</f>
        <v>222</v>
      </c>
      <c r="AE85" s="3">
        <v>243</v>
      </c>
      <c r="AF85" s="3">
        <f>IF(ISERROR((VLOOKUP($A85,'NonXtal_SegEnds_BW#'!$A:$Z,22,FALSE)+VLOOKUP($A85,A:AL,31,FALSE)-50)),"-",(VLOOKUP($A85,'NonXtal_SegEnds_BW#'!$A:$Z,22,FALSE)+VLOOKUP($A85,A:AL,31,FALSE)-50))</f>
        <v>254</v>
      </c>
      <c r="AG85" s="3">
        <f>IF(ISERROR(VLOOKUP($A85,'NonXtal_SegEnds_BW#'!$A:$Z,23,FALSE)+VLOOKUP($A85,A:AL,34,FALSE)-50),"-",(VLOOKUP($A85,'NonXtal_SegEnds_BW#'!$A:$Z,23,FALSE)+VLOOKUP($A85,A:AL,34,FALSE)-50))</f>
        <v>260</v>
      </c>
      <c r="AH85" s="3">
        <v>279</v>
      </c>
      <c r="AI85" s="3">
        <f>IF(ISERROR((VLOOKUP($A85,'NonXtal_SegEnds_BW#'!$A:$Z,24,FALSE)+VLOOKUP($A85,A:AL,34,FALSE)-50)),"-",(VLOOKUP($A85,'NonXtal_SegEnds_BW#'!$A:$Z,24,FALSE)+VLOOKUP($A85,A:AL,34,FALSE)-50))</f>
        <v>285</v>
      </c>
      <c r="AJ85" s="3">
        <f>IF(ISERROR(VLOOKUP($A85,'NonXtal_SegEnds_BW#'!$A:$Z,25,FALSE)+VLOOKUP($A85,A:AL,37,FALSE)-50),"-",(VLOOKUP($A85,'NonXtal_SegEnds_BW#'!$A:$Z,25,FALSE)+VLOOKUP($A85,A:AL,37,FALSE)-50))</f>
        <v>286</v>
      </c>
      <c r="AK85" s="3">
        <v>289</v>
      </c>
      <c r="AL85" s="3">
        <f>IF(ISERROR((VLOOKUP($A85,'NonXtal_SegEnds_BW#'!$A:$Z,26,FALSE)+VLOOKUP($A85,A:AL,37,FALSE)-50)),"-",(VLOOKUP($A85,'NonXtal_SegEnds_BW#'!$A:$Z,26,FALSE)+VLOOKUP($A85,A:AL,37,FALSE)-50))</f>
        <v>299</v>
      </c>
      <c r="AM85" s="71" t="str">
        <f>VLOOKUP(A85,Classification!A:B,2,FALSE)</f>
        <v>T</v>
      </c>
      <c r="AN85" s="71" t="b">
        <f t="shared" si="36"/>
        <v>1</v>
      </c>
      <c r="AO85" s="3">
        <f t="shared" si="37"/>
        <v>1</v>
      </c>
      <c r="AP85" s="3">
        <f t="shared" si="38"/>
        <v>1</v>
      </c>
      <c r="AQ85" s="3" t="str">
        <f t="shared" si="39"/>
        <v>-</v>
      </c>
      <c r="AR85" s="3" t="str">
        <f t="shared" si="40"/>
        <v>-</v>
      </c>
      <c r="AS85" s="3">
        <f t="shared" si="41"/>
        <v>3</v>
      </c>
      <c r="AT85" s="3">
        <f t="shared" si="42"/>
        <v>2</v>
      </c>
      <c r="AU85" s="3" t="str">
        <f t="shared" si="43"/>
        <v>-</v>
      </c>
      <c r="AV85" s="3" t="str">
        <f t="shared" si="44"/>
        <v>-</v>
      </c>
      <c r="AW85" s="3">
        <f t="shared" si="45"/>
        <v>10</v>
      </c>
      <c r="AX85" s="3">
        <f t="shared" si="46"/>
        <v>6</v>
      </c>
      <c r="AY85" s="3">
        <f t="shared" si="47"/>
        <v>1</v>
      </c>
      <c r="AZ85" s="3">
        <f>IF(ISERROR(LEN(VLOOKUP(A85,Seqs!A:E,2,FALSE))-AL85),"-",LEN(VLOOKUP(A85,Seqs!A:E,2,FALSE))-AL85)</f>
        <v>13</v>
      </c>
      <c r="BA85" s="35">
        <f t="shared" si="48"/>
        <v>31</v>
      </c>
      <c r="BB85" s="3">
        <f t="shared" si="49"/>
        <v>20</v>
      </c>
      <c r="BC85" s="3">
        <f t="shared" si="50"/>
        <v>31</v>
      </c>
      <c r="BD85" s="3">
        <f t="shared" si="51"/>
        <v>53</v>
      </c>
      <c r="BE85" s="3">
        <f t="shared" si="57"/>
        <v>36</v>
      </c>
    </row>
    <row r="86" spans="1:57" s="3" customFormat="1" x14ac:dyDescent="0.2">
      <c r="A86" s="3" t="s">
        <v>477</v>
      </c>
      <c r="B86" s="3" t="str">
        <f>LOWER(VLOOKUP(A86,Xtal_Templ!A:B,2,FALSE))</f>
        <v>agtr1_human</v>
      </c>
      <c r="C86" s="3">
        <f>VLOOKUP($A86,'NonXtal_SegEnds_BW#'!$A:$Z,3,FALSE)+D86-50</f>
        <v>536</v>
      </c>
      <c r="D86" s="3">
        <v>556</v>
      </c>
      <c r="E86" s="3">
        <f>IF(ISERROR(VLOOKUP($A86,'NonXtal_SegEnds_BW#'!$A:$Z,4,FALSE)+VLOOKUP($A86,A:AL,4,FALSE)-50),"-",(VLOOKUP($A86,'NonXtal_SegEnds_BW#'!$A:$Z,4,FALSE)+VLOOKUP($A86,A:AL,4,FALSE)-50))</f>
        <v>566</v>
      </c>
      <c r="F86" s="3" t="str">
        <f>IF(ISERROR(VLOOKUP($A86,'NonXtal_SegEnds_BW#'!$A:$Z,5,FALSE)+VLOOKUP($A86,A:AL,7,FALSE)-50),"-",(VLOOKUP($A86,'NonXtal_SegEnds_BW#'!$A:$Z,5,FALSE)+VLOOKUP($A86,A:AL,7,FALSE)-50))</f>
        <v>-</v>
      </c>
      <c r="G86" s="3" t="s">
        <v>129</v>
      </c>
      <c r="H86" s="3" t="str">
        <f>IF(ISERROR(VLOOKUP($A86,'NonXtal_SegEnds_BW#'!$A:$Z,6,FALSE)+VLOOKUP($A86,A:AL,7,FALSE)-50),"-",(VLOOKUP($A86,'NonXtal_SegEnds_BW#'!$A:$Z,6,FALSE)+VLOOKUP($A86,A:AL,7,FALSE)-50))</f>
        <v>-</v>
      </c>
      <c r="I86" s="3">
        <f>VLOOKUP($A86,'NonXtal_SegEnds_BW#'!$A:$Z,7,FALSE)+J86-50</f>
        <v>571</v>
      </c>
      <c r="J86" s="3">
        <v>584</v>
      </c>
      <c r="K86" s="3">
        <f>VLOOKUP($A86,'NonXtal_SegEnds_BW#'!$A:$Z,8,FALSE)+VLOOKUP($A86,A:AL,10,FALSE)-50</f>
        <v>601</v>
      </c>
      <c r="L86" s="3" t="str">
        <f>IF(ISERROR(VLOOKUP($A86,'NonXtal_SegEnds_BW#'!$A:$Z,9,FALSE)+VLOOKUP($A86,A:AL,13,FALSE)-50),"-",(VLOOKUP($A86,'NonXtal_SegEnds_BW#'!$A:$Z,9,FALSE)+VLOOKUP($A86,A:AL,13,FALSE)-50))</f>
        <v>-</v>
      </c>
      <c r="M86" s="3" t="s">
        <v>129</v>
      </c>
      <c r="N86" s="3" t="str">
        <f>IF(ISERROR(VLOOKUP($A86,'NonXtal_SegEnds_BW#'!$A:$Z,10,FALSE)+VLOOKUP($A86,A:AL,13,FALSE)-50),"-",(VLOOKUP($A86,'NonXtal_SegEnds_BW#'!$A:$Z,10,FALSE)+VLOOKUP($A86,A:AL,13,FALSE)-50))</f>
        <v>-</v>
      </c>
      <c r="O86" s="3">
        <f>VLOOKUP($A86,'NonXtal_SegEnds_BW#'!$A:$Z,11,FALSE)+VLOOKUP($A86,A:AL,16,FALSE)-50</f>
        <v>611</v>
      </c>
      <c r="P86" s="3">
        <v>643</v>
      </c>
      <c r="Q86" s="3">
        <f>VLOOKUP($A86,'NonXtal_SegEnds_BW#'!$A:$Z,12,FALSE)+VLOOKUP($A86,A:AL,16,FALSE)-50</f>
        <v>649</v>
      </c>
      <c r="R86" s="3">
        <f>IF(ISERROR(VLOOKUP($A86,'NonXtal_SegEnds_BW#'!$A:$Z,13,FALSE)+VLOOKUP($A86,A:AL,19,FALSE)-50),"-",VLOOKUP($A86,'NonXtal_SegEnds_BW#'!$A:$Z,13,FALSE)+VLOOKUP($A86,A:AL,19,FALSE)-50)</f>
        <v>650</v>
      </c>
      <c r="S86" s="3">
        <v>650</v>
      </c>
      <c r="T86" s="3">
        <f>IF(ISERROR(VLOOKUP($A86,'NonXtal_SegEnds_BW#'!$A:$Z,14,FALSE)+VLOOKUP($A86,A:AL,19,FALSE)-50),"-",(VLOOKUP($A86,'NonXtal_SegEnds_BW#'!$A:$Z,14,FALSE)+VLOOKUP($A86,A:AL,19,FALSE)-50))</f>
        <v>657</v>
      </c>
      <c r="U86" s="3">
        <f>IF(ISERROR(VLOOKUP($A86,'NonXtal_SegEnds_BW#'!$A:$Z,15,FALSE)+VLOOKUP($A86,A:AL,22,FALSE)-50),"-",VLOOKUP($A86,'NonXtal_SegEnds_BW#'!$A:$Z,15,FALSE)+VLOOKUP($A86,A:AL,22,FALSE)-50)</f>
        <v>659</v>
      </c>
      <c r="V86" s="3">
        <v>670</v>
      </c>
      <c r="W86" s="3">
        <f>IF(ISERROR(VLOOKUP($A86,'NonXtal_SegEnds_BW#'!$A:$Z,16,FALSE)+VLOOKUP($A86,A:AL,22,FALSE)-50),"-",(VLOOKUP($A86,'NonXtal_SegEnds_BW#'!$A:$Z,16,FALSE)+VLOOKUP($A86,A:AL,22,FALSE)-50))</f>
        <v>684</v>
      </c>
      <c r="X86" s="3">
        <f>IF(ISERROR(VLOOKUP($A86,'NonXtal_SegEnds_BW#'!$A:$Z,17,FALSE)+VLOOKUP($A86,A:AL,25,FALSE)-50),"-",(VLOOKUP($A86,'NonXtal_SegEnds_BW#'!$A:$Z,17,FALSE)+VLOOKUP($A86,A:AL,25,FALSE)-50))</f>
        <v>693</v>
      </c>
      <c r="Y86" s="3">
        <v>693</v>
      </c>
      <c r="Z86" s="3">
        <f t="shared" ref="Z86:Z117" si="58">Y86+2</f>
        <v>695</v>
      </c>
      <c r="AA86" s="3">
        <f>IF(ISERROR(VLOOKUP($A86,'NonXtal_SegEnds_BW#'!$A:$Z,19,FALSE)+VLOOKUP($A86,A:AL,28,FALSE)-50),"-",(VLOOKUP($A86,'NonXtal_SegEnds_BW#'!$A:$Z,19,FALSE)+VLOOKUP($A86,A:AL,28,FALSE)-50))</f>
        <v>701</v>
      </c>
      <c r="AB86" s="3">
        <v>717</v>
      </c>
      <c r="AC86" s="3">
        <f>IF(ISERROR((VLOOKUP($A86,'NonXtal_SegEnds_BW#'!$A:$Z,20,FALSE)+VLOOKUP($A86,A:AL,28,FALSE)-50)),"-",(VLOOKUP($A86,'NonXtal_SegEnds_BW#'!$A:$Z,20,FALSE)+VLOOKUP($A86,A:AL,28,FALSE)-50))</f>
        <v>734</v>
      </c>
      <c r="AD86" s="3">
        <f>IF(ISERROR(VLOOKUP($A86,'NonXtal_SegEnds_BW#'!$A:$Z,21,FALSE)+VLOOKUP($A86,A:AL,31,FALSE)-50),"-",(VLOOKUP($A86,'NonXtal_SegEnds_BW#'!$A:$Z,21,FALSE)+VLOOKUP($A86,A:AL,31,FALSE)-50))</f>
        <v>740</v>
      </c>
      <c r="AE86" s="3">
        <v>762</v>
      </c>
      <c r="AF86" s="3">
        <f>IF(ISERROR((VLOOKUP($A86,'NonXtal_SegEnds_BW#'!$A:$Z,22,FALSE)+VLOOKUP($A86,A:AL,31,FALSE)-50)),"-",(VLOOKUP($A86,'NonXtal_SegEnds_BW#'!$A:$Z,22,FALSE)+VLOOKUP($A86,A:AL,31,FALSE)-50))</f>
        <v>773</v>
      </c>
      <c r="AG86" s="3">
        <f>IF(ISERROR(VLOOKUP($A86,'NonXtal_SegEnds_BW#'!$A:$Z,23,FALSE)+VLOOKUP($A86,A:AL,34,FALSE)-50),"-",(VLOOKUP($A86,'NonXtal_SegEnds_BW#'!$A:$Z,23,FALSE)+VLOOKUP($A86,A:AL,34,FALSE)-50))</f>
        <v>779</v>
      </c>
      <c r="AH86" s="3">
        <v>798</v>
      </c>
      <c r="AI86" s="3">
        <f>IF(ISERROR((VLOOKUP($A86,'NonXtal_SegEnds_BW#'!$A:$Z,24,FALSE)+VLOOKUP($A86,A:AL,34,FALSE)-50)),"-",(VLOOKUP($A86,'NonXtal_SegEnds_BW#'!$A:$Z,24,FALSE)+VLOOKUP($A86,A:AL,34,FALSE)-50))</f>
        <v>804</v>
      </c>
      <c r="AJ86" s="3">
        <f>IF(ISERROR(VLOOKUP($A86,'NonXtal_SegEnds_BW#'!$A:$Z,25,FALSE)+VLOOKUP($A86,A:AL,37,FALSE)-50),"-",(VLOOKUP($A86,'NonXtal_SegEnds_BW#'!$A:$Z,25,FALSE)+VLOOKUP($A86,A:AL,37,FALSE)-50))</f>
        <v>805</v>
      </c>
      <c r="AK86" s="3">
        <v>808</v>
      </c>
      <c r="AL86" s="3">
        <f>IF(ISERROR((VLOOKUP($A86,'NonXtal_SegEnds_BW#'!$A:$Z,26,FALSE)+VLOOKUP($A86,A:AL,37,FALSE)-50)),"-",(VLOOKUP($A86,'NonXtal_SegEnds_BW#'!$A:$Z,26,FALSE)+VLOOKUP($A86,A:AL,37,FALSE)-50))</f>
        <v>819</v>
      </c>
      <c r="AM86" s="71" t="str">
        <f>VLOOKUP(A86,Classification!A:B,2,FALSE)</f>
        <v>A</v>
      </c>
      <c r="AN86" s="71" t="b">
        <f t="shared" si="36"/>
        <v>1</v>
      </c>
      <c r="AO86" s="3" t="str">
        <f t="shared" si="37"/>
        <v>-</v>
      </c>
      <c r="AP86" s="3" t="str">
        <f t="shared" si="38"/>
        <v>-</v>
      </c>
      <c r="AQ86" s="3" t="str">
        <f t="shared" si="39"/>
        <v>-</v>
      </c>
      <c r="AR86" s="3" t="str">
        <f t="shared" si="40"/>
        <v>-</v>
      </c>
      <c r="AS86" s="3">
        <f t="shared" si="41"/>
        <v>1</v>
      </c>
      <c r="AT86" s="3">
        <f t="shared" si="42"/>
        <v>2</v>
      </c>
      <c r="AU86" s="3">
        <f t="shared" si="43"/>
        <v>9</v>
      </c>
      <c r="AV86" s="3">
        <f t="shared" si="44"/>
        <v>6</v>
      </c>
      <c r="AW86" s="3">
        <f t="shared" si="45"/>
        <v>6</v>
      </c>
      <c r="AX86" s="3">
        <f t="shared" si="46"/>
        <v>6</v>
      </c>
      <c r="AY86" s="3">
        <f t="shared" si="47"/>
        <v>1</v>
      </c>
      <c r="AZ86" s="3">
        <f>IF(ISERROR(LEN(VLOOKUP(A86,Seqs!A:E,2,FALSE))-AL86),"-",LEN(VLOOKUP(A86,Seqs!A:E,2,FALSE))-AL86)</f>
        <v>132</v>
      </c>
      <c r="BA86" s="35">
        <f t="shared" si="48"/>
        <v>28</v>
      </c>
      <c r="BB86" s="3">
        <f t="shared" si="49"/>
        <v>20</v>
      </c>
      <c r="BC86" s="3">
        <f t="shared" si="50"/>
        <v>28</v>
      </c>
      <c r="BD86" s="3">
        <f t="shared" si="51"/>
        <v>45</v>
      </c>
    </row>
    <row r="87" spans="1:57" s="3" customFormat="1" x14ac:dyDescent="0.2">
      <c r="A87" s="3" t="s">
        <v>567</v>
      </c>
      <c r="B87" s="3" t="str">
        <f>LOWER(VLOOKUP(A87,Xtal_Templ!A:B,2,FALSE))</f>
        <v>agtr1_human</v>
      </c>
      <c r="C87" s="3">
        <f>VLOOKUP($A87,'NonXtal_SegEnds_BW#'!$A:$Z,3,FALSE)+D87-50</f>
        <v>79</v>
      </c>
      <c r="D87" s="3">
        <v>99</v>
      </c>
      <c r="E87" s="3">
        <f>IF(ISERROR(VLOOKUP($A87,'NonXtal_SegEnds_BW#'!$A:$Z,4,FALSE)+VLOOKUP($A87,A:AL,4,FALSE)-50),"-",(VLOOKUP($A87,'NonXtal_SegEnds_BW#'!$A:$Z,4,FALSE)+VLOOKUP($A87,A:AL,4,FALSE)-50))</f>
        <v>109</v>
      </c>
      <c r="F87" s="3">
        <f>G87-2</f>
        <v>110</v>
      </c>
      <c r="G87" s="3">
        <v>112</v>
      </c>
      <c r="H87" s="3">
        <f t="shared" ref="H87:I91" si="59">G87+1</f>
        <v>113</v>
      </c>
      <c r="I87" s="3">
        <f t="shared" si="59"/>
        <v>114</v>
      </c>
      <c r="J87" s="3">
        <v>128</v>
      </c>
      <c r="K87" s="3">
        <f>VLOOKUP($A87,'NonXtal_SegEnds_BW#'!$A:$Z,8,FALSE)+VLOOKUP($A87,A:AL,10,FALSE)-50</f>
        <v>144</v>
      </c>
      <c r="L87" s="3">
        <f>M87-1</f>
        <v>147</v>
      </c>
      <c r="M87" s="3">
        <v>148</v>
      </c>
      <c r="N87" s="3">
        <f>M87+2</f>
        <v>150</v>
      </c>
      <c r="O87" s="3">
        <f>N87+1</f>
        <v>151</v>
      </c>
      <c r="P87" s="3">
        <v>180</v>
      </c>
      <c r="Q87" s="3">
        <f>VLOOKUP($A87,'NonXtal_SegEnds_BW#'!$A:$Z,12,FALSE)+VLOOKUP($A87,A:AL,16,FALSE)-50</f>
        <v>186</v>
      </c>
      <c r="R87" s="3" t="str">
        <f>IF(ISERROR(VLOOKUP($A87,'NonXtal_SegEnds_BW#'!$A:$Z,13,FALSE)+VLOOKUP($A87,A:AL,19,FALSE)-50),"-",VLOOKUP($A87,'NonXtal_SegEnds_BW#'!$A:$Z,13,FALSE)+VLOOKUP($A87,A:AL,19,FALSE)-50)</f>
        <v>-</v>
      </c>
      <c r="S87" s="3" t="s">
        <v>129</v>
      </c>
      <c r="T87" s="3" t="str">
        <f>IF(ISERROR(VLOOKUP($A87,'NonXtal_SegEnds_BW#'!$A:$Z,14,FALSE)+VLOOKUP($A87,A:AL,19,FALSE)-50),"-",(VLOOKUP($A87,'NonXtal_SegEnds_BW#'!$A:$Z,14,FALSE)+VLOOKUP($A87,A:AL,19,FALSE)-50))</f>
        <v>-</v>
      </c>
      <c r="U87" s="3">
        <f>IF(ISERROR(VLOOKUP($A87,'NonXtal_SegEnds_BW#'!$A:$Z,15,FALSE)+VLOOKUP($A87,A:AL,22,FALSE)-50),"-",VLOOKUP($A87,'NonXtal_SegEnds_BW#'!$A:$Z,15,FALSE)+VLOOKUP($A87,A:AL,22,FALSE)-50)</f>
        <v>211</v>
      </c>
      <c r="V87" s="3">
        <v>222</v>
      </c>
      <c r="W87" s="3">
        <f>IF(ISERROR(VLOOKUP($A87,'NonXtal_SegEnds_BW#'!$A:$Z,16,FALSE)+VLOOKUP($A87,A:AL,22,FALSE)-50),"-",(VLOOKUP($A87,'NonXtal_SegEnds_BW#'!$A:$Z,16,FALSE)+VLOOKUP($A87,A:AL,22,FALSE)-50))</f>
        <v>236</v>
      </c>
      <c r="X87" s="3">
        <f>IF(ISERROR(VLOOKUP($A87,'NonXtal_SegEnds_BW#'!$A:$Z,17,FALSE)+VLOOKUP($A87,A:AL,25,FALSE)-50),"-",(VLOOKUP($A87,'NonXtal_SegEnds_BW#'!$A:$Z,17,FALSE)+VLOOKUP($A87,A:AL,25,FALSE)-50))</f>
        <v>247</v>
      </c>
      <c r="Y87" s="3">
        <v>247</v>
      </c>
      <c r="Z87" s="3">
        <f t="shared" si="58"/>
        <v>249</v>
      </c>
      <c r="AA87" s="3">
        <f>IF(ISERROR(VLOOKUP($A87,'NonXtal_SegEnds_BW#'!$A:$Z,19,FALSE)+VLOOKUP($A87,A:AL,28,FALSE)-50),"-",(VLOOKUP($A87,'NonXtal_SegEnds_BW#'!$A:$Z,19,FALSE)+VLOOKUP($A87,A:AL,28,FALSE)-50))</f>
        <v>263</v>
      </c>
      <c r="AB87" s="3">
        <v>279</v>
      </c>
      <c r="AC87" s="3">
        <f>IF(ISERROR((VLOOKUP($A87,'NonXtal_SegEnds_BW#'!$A:$Z,20,FALSE)+VLOOKUP($A87,A:AL,28,FALSE)-50)),"-",(VLOOKUP($A87,'NonXtal_SegEnds_BW#'!$A:$Z,20,FALSE)+VLOOKUP($A87,A:AL,28,FALSE)-50))</f>
        <v>303</v>
      </c>
      <c r="AD87" s="3">
        <f>IF(ISERROR(VLOOKUP($A87,'NonXtal_SegEnds_BW#'!$A:$Z,21,FALSE)+VLOOKUP($A87,A:AL,31,FALSE)-50),"-",(VLOOKUP($A87,'NonXtal_SegEnds_BW#'!$A:$Z,21,FALSE)+VLOOKUP($A87,A:AL,31,FALSE)-50))</f>
        <v>312</v>
      </c>
      <c r="AE87" s="3">
        <v>341</v>
      </c>
      <c r="AF87" s="3">
        <f>IF(ISERROR((VLOOKUP($A87,'NonXtal_SegEnds_BW#'!$A:$Z,22,FALSE)+VLOOKUP($A87,A:AL,31,FALSE)-50)),"-",(VLOOKUP($A87,'NonXtal_SegEnds_BW#'!$A:$Z,22,FALSE)+VLOOKUP($A87,A:AL,31,FALSE)-50))</f>
        <v>355</v>
      </c>
      <c r="AG87" s="3">
        <f>IF(ISERROR(VLOOKUP($A87,'NonXtal_SegEnds_BW#'!$A:$Z,23,FALSE)+VLOOKUP($A87,A:AL,34,FALSE)-50),"-",(VLOOKUP($A87,'NonXtal_SegEnds_BW#'!$A:$Z,23,FALSE)+VLOOKUP($A87,A:AL,34,FALSE)-50))</f>
        <v>360</v>
      </c>
      <c r="AH87" s="3">
        <v>386</v>
      </c>
      <c r="AI87" s="3">
        <f>IF(ISERROR((VLOOKUP($A87,'NonXtal_SegEnds_BW#'!$A:$Z,24,FALSE)+VLOOKUP($A87,A:AL,34,FALSE)-50)),"-",(VLOOKUP($A87,'NonXtal_SegEnds_BW#'!$A:$Z,24,FALSE)+VLOOKUP($A87,A:AL,34,FALSE)-50))</f>
        <v>392</v>
      </c>
      <c r="AJ87" s="3">
        <f>IF(ISERROR(VLOOKUP($A87,'NonXtal_SegEnds_BW#'!$A:$Z,25,FALSE)+VLOOKUP($A87,A:AL,37,FALSE)-50),"-",(VLOOKUP($A87,'NonXtal_SegEnds_BW#'!$A:$Z,25,FALSE)+VLOOKUP($A87,A:AL,37,FALSE)-50))</f>
        <v>393</v>
      </c>
      <c r="AK87" s="3">
        <v>396</v>
      </c>
      <c r="AL87" s="3">
        <f>IF(ISERROR((VLOOKUP($A87,'NonXtal_SegEnds_BW#'!$A:$Z,26,FALSE)+VLOOKUP($A87,A:AL,37,FALSE)-50)),"-",(VLOOKUP($A87,'NonXtal_SegEnds_BW#'!$A:$Z,26,FALSE)+VLOOKUP($A87,A:AL,37,FALSE)-50))</f>
        <v>407</v>
      </c>
      <c r="AM87" s="71" t="str">
        <f>VLOOKUP(A87,Classification!A:B,2,FALSE)</f>
        <v>A</v>
      </c>
      <c r="AN87" s="71" t="b">
        <f t="shared" si="36"/>
        <v>1</v>
      </c>
      <c r="AO87" s="3">
        <f t="shared" si="37"/>
        <v>1</v>
      </c>
      <c r="AP87" s="3">
        <f t="shared" si="38"/>
        <v>1</v>
      </c>
      <c r="AQ87" s="3">
        <f t="shared" si="39"/>
        <v>3</v>
      </c>
      <c r="AR87" s="3">
        <f t="shared" si="40"/>
        <v>1</v>
      </c>
      <c r="AS87" s="3" t="str">
        <f t="shared" si="41"/>
        <v>-</v>
      </c>
      <c r="AT87" s="3" t="str">
        <f t="shared" si="42"/>
        <v>-</v>
      </c>
      <c r="AU87" s="3">
        <f t="shared" si="43"/>
        <v>11</v>
      </c>
      <c r="AV87" s="3">
        <f t="shared" si="44"/>
        <v>14</v>
      </c>
      <c r="AW87" s="3">
        <f t="shared" si="45"/>
        <v>9</v>
      </c>
      <c r="AX87" s="3">
        <f t="shared" si="46"/>
        <v>5</v>
      </c>
      <c r="AY87" s="3">
        <f t="shared" si="47"/>
        <v>1</v>
      </c>
      <c r="AZ87" s="3">
        <f>IF(ISERROR(LEN(VLOOKUP(A87,Seqs!A:E,2,FALSE))-AL87),"-",LEN(VLOOKUP(A87,Seqs!A:E,2,FALSE))-AL87)</f>
        <v>62</v>
      </c>
      <c r="BA87" s="35">
        <f t="shared" si="48"/>
        <v>29</v>
      </c>
      <c r="BB87" s="3" t="str">
        <f t="shared" si="49"/>
        <v>-</v>
      </c>
      <c r="BC87" s="3">
        <f t="shared" si="50"/>
        <v>29</v>
      </c>
      <c r="BD87" s="3">
        <f t="shared" si="51"/>
        <v>62</v>
      </c>
    </row>
    <row r="88" spans="1:57" s="3" customFormat="1" x14ac:dyDescent="0.2">
      <c r="A88" s="3" t="s">
        <v>356</v>
      </c>
      <c r="B88" s="3" t="str">
        <f>LOWER(VLOOKUP(A88,Xtal_Templ!A:B,2,FALSE))</f>
        <v>agtr1_human</v>
      </c>
      <c r="C88" s="3">
        <f>VLOOKUP($A88,'NonXtal_SegEnds_BW#'!$A:$Z,3,FALSE)+D88-50</f>
        <v>55</v>
      </c>
      <c r="D88" s="3">
        <v>75</v>
      </c>
      <c r="E88" s="3">
        <f>IF(ISERROR(VLOOKUP($A88,'NonXtal_SegEnds_BW#'!$A:$Z,4,FALSE)+VLOOKUP($A88,A:AL,4,FALSE)-50),"-",(VLOOKUP($A88,'NonXtal_SegEnds_BW#'!$A:$Z,4,FALSE)+VLOOKUP($A88,A:AL,4,FALSE)-50))</f>
        <v>85</v>
      </c>
      <c r="F88" s="3">
        <f>G88-2</f>
        <v>86</v>
      </c>
      <c r="G88" s="3">
        <v>88</v>
      </c>
      <c r="H88" s="3">
        <f t="shared" si="59"/>
        <v>89</v>
      </c>
      <c r="I88" s="3">
        <f t="shared" si="59"/>
        <v>90</v>
      </c>
      <c r="J88" s="3">
        <v>103</v>
      </c>
      <c r="K88" s="3">
        <f>VLOOKUP($A88,'NonXtal_SegEnds_BW#'!$A:$Z,8,FALSE)+VLOOKUP($A88,A:AL,10,FALSE)-50</f>
        <v>119</v>
      </c>
      <c r="L88" s="3">
        <f>M88-1</f>
        <v>122</v>
      </c>
      <c r="M88" s="3">
        <v>123</v>
      </c>
      <c r="N88" s="3">
        <f>M88+2</f>
        <v>125</v>
      </c>
      <c r="O88" s="3">
        <f>N88+1</f>
        <v>126</v>
      </c>
      <c r="P88" s="3">
        <v>155</v>
      </c>
      <c r="Q88" s="3">
        <f>VLOOKUP($A88,'NonXtal_SegEnds_BW#'!$A:$Z,12,FALSE)+VLOOKUP($A88,A:AL,16,FALSE)-50</f>
        <v>161</v>
      </c>
      <c r="R88" s="3">
        <f>IF(ISERROR(VLOOKUP($A88,'NonXtal_SegEnds_BW#'!$A:$Z,13,FALSE)+VLOOKUP($A88,A:AL,19,FALSE)-50),"-",VLOOKUP($A88,'NonXtal_SegEnds_BW#'!$A:$Z,13,FALSE)+VLOOKUP($A88,A:AL,19,FALSE)-50)</f>
        <v>162</v>
      </c>
      <c r="S88" s="3">
        <v>162</v>
      </c>
      <c r="T88" s="3">
        <f>IF(ISERROR(VLOOKUP($A88,'NonXtal_SegEnds_BW#'!$A:$Z,14,FALSE)+VLOOKUP($A88,A:AL,19,FALSE)-50),"-",(VLOOKUP($A88,'NonXtal_SegEnds_BW#'!$A:$Z,14,FALSE)+VLOOKUP($A88,A:AL,19,FALSE)-50))</f>
        <v>169</v>
      </c>
      <c r="U88" s="3">
        <f>IF(ISERROR(VLOOKUP($A88,'NonXtal_SegEnds_BW#'!$A:$Z,15,FALSE)+VLOOKUP($A88,A:AL,22,FALSE)-50),"-",VLOOKUP($A88,'NonXtal_SegEnds_BW#'!$A:$Z,15,FALSE)+VLOOKUP($A88,A:AL,22,FALSE)-50)</f>
        <v>171</v>
      </c>
      <c r="V88" s="3">
        <v>182</v>
      </c>
      <c r="W88" s="3">
        <f>IF(ISERROR(VLOOKUP($A88,'NonXtal_SegEnds_BW#'!$A:$Z,16,FALSE)+VLOOKUP($A88,A:AL,22,FALSE)-50),"-",(VLOOKUP($A88,'NonXtal_SegEnds_BW#'!$A:$Z,16,FALSE)+VLOOKUP($A88,A:AL,22,FALSE)-50))</f>
        <v>196</v>
      </c>
      <c r="X88" s="3">
        <f>IF(ISERROR(VLOOKUP($A88,'NonXtal_SegEnds_BW#'!$A:$Z,17,FALSE)+VLOOKUP($A88,A:AL,25,FALSE)-50),"-",(VLOOKUP($A88,'NonXtal_SegEnds_BW#'!$A:$Z,17,FALSE)+VLOOKUP($A88,A:AL,25,FALSE)-50))</f>
        <v>211</v>
      </c>
      <c r="Y88" s="3">
        <v>211</v>
      </c>
      <c r="Z88" s="3">
        <f t="shared" si="58"/>
        <v>213</v>
      </c>
      <c r="AA88" s="3">
        <f>IF(ISERROR(VLOOKUP($A88,'NonXtal_SegEnds_BW#'!$A:$Z,19,FALSE)+VLOOKUP($A88,A:AL,28,FALSE)-50),"-",(VLOOKUP($A88,'NonXtal_SegEnds_BW#'!$A:$Z,19,FALSE)+VLOOKUP($A88,A:AL,28,FALSE)-50))</f>
        <v>220</v>
      </c>
      <c r="AB88" s="3">
        <v>236</v>
      </c>
      <c r="AC88" s="3">
        <f>IF(ISERROR((VLOOKUP($A88,'NonXtal_SegEnds_BW#'!$A:$Z,20,FALSE)+VLOOKUP($A88,A:AL,28,FALSE)-50)),"-",(VLOOKUP($A88,'NonXtal_SegEnds_BW#'!$A:$Z,20,FALSE)+VLOOKUP($A88,A:AL,28,FALSE)-50))</f>
        <v>254</v>
      </c>
      <c r="AD88" s="3">
        <f>IF(ISERROR(VLOOKUP($A88,'NonXtal_SegEnds_BW#'!$A:$Z,21,FALSE)+VLOOKUP($A88,A:AL,31,FALSE)-50),"-",(VLOOKUP($A88,'NonXtal_SegEnds_BW#'!$A:$Z,21,FALSE)+VLOOKUP($A88,A:AL,31,FALSE)-50))</f>
        <v>263</v>
      </c>
      <c r="AE88" s="3">
        <v>285</v>
      </c>
      <c r="AF88" s="3">
        <f>IF(ISERROR((VLOOKUP($A88,'NonXtal_SegEnds_BW#'!$A:$Z,22,FALSE)+VLOOKUP($A88,A:AL,31,FALSE)-50)),"-",(VLOOKUP($A88,'NonXtal_SegEnds_BW#'!$A:$Z,22,FALSE)+VLOOKUP($A88,A:AL,31,FALSE)-50))</f>
        <v>299</v>
      </c>
      <c r="AG88" s="3">
        <f>IF(ISERROR(VLOOKUP($A88,'NonXtal_SegEnds_BW#'!$A:$Z,23,FALSE)+VLOOKUP($A88,A:AL,34,FALSE)-50),"-",(VLOOKUP($A88,'NonXtal_SegEnds_BW#'!$A:$Z,23,FALSE)+VLOOKUP($A88,A:AL,34,FALSE)-50))</f>
        <v>303</v>
      </c>
      <c r="AH88" s="3">
        <v>329</v>
      </c>
      <c r="AI88" s="3">
        <f>IF(ISERROR((VLOOKUP($A88,'NonXtal_SegEnds_BW#'!$A:$Z,24,FALSE)+VLOOKUP($A88,A:AL,34,FALSE)-50)),"-",(VLOOKUP($A88,'NonXtal_SegEnds_BW#'!$A:$Z,24,FALSE)+VLOOKUP($A88,A:AL,34,FALSE)-50))</f>
        <v>335</v>
      </c>
      <c r="AJ88" s="3">
        <f>IF(ISERROR(VLOOKUP($A88,'NonXtal_SegEnds_BW#'!$A:$Z,25,FALSE)+VLOOKUP($A88,A:AL,37,FALSE)-50),"-",(VLOOKUP($A88,'NonXtal_SegEnds_BW#'!$A:$Z,25,FALSE)+VLOOKUP($A88,A:AL,37,FALSE)-50))</f>
        <v>336</v>
      </c>
      <c r="AK88" s="3">
        <v>339</v>
      </c>
      <c r="AL88" s="3">
        <f>IF(ISERROR((VLOOKUP($A88,'NonXtal_SegEnds_BW#'!$A:$Z,26,FALSE)+VLOOKUP($A88,A:AL,37,FALSE)-50)),"-",(VLOOKUP($A88,'NonXtal_SegEnds_BW#'!$A:$Z,26,FALSE)+VLOOKUP($A88,A:AL,37,FALSE)-50))</f>
        <v>350</v>
      </c>
      <c r="AM88" s="71" t="str">
        <f>VLOOKUP(A88,Classification!A:B,2,FALSE)</f>
        <v>A</v>
      </c>
      <c r="AN88" s="71" t="b">
        <f t="shared" si="36"/>
        <v>1</v>
      </c>
      <c r="AO88" s="3">
        <f t="shared" si="37"/>
        <v>1</v>
      </c>
      <c r="AP88" s="3">
        <f t="shared" si="38"/>
        <v>1</v>
      </c>
      <c r="AQ88" s="3">
        <f t="shared" si="39"/>
        <v>3</v>
      </c>
      <c r="AR88" s="3">
        <f t="shared" si="40"/>
        <v>1</v>
      </c>
      <c r="AS88" s="3">
        <f t="shared" si="41"/>
        <v>1</v>
      </c>
      <c r="AT88" s="3">
        <f t="shared" si="42"/>
        <v>2</v>
      </c>
      <c r="AU88" s="3">
        <f t="shared" si="43"/>
        <v>15</v>
      </c>
      <c r="AV88" s="3">
        <f t="shared" si="44"/>
        <v>7</v>
      </c>
      <c r="AW88" s="3">
        <f t="shared" si="45"/>
        <v>9</v>
      </c>
      <c r="AX88" s="3">
        <f t="shared" si="46"/>
        <v>4</v>
      </c>
      <c r="AY88" s="3">
        <f t="shared" si="47"/>
        <v>1</v>
      </c>
      <c r="AZ88" s="3">
        <f>IF(ISERROR(LEN(VLOOKUP(A88,Seqs!A:E,2,FALSE))-AL88),"-",LEN(VLOOKUP(A88,Seqs!A:E,2,FALSE))-AL88)</f>
        <v>41</v>
      </c>
      <c r="BA88" s="35">
        <f t="shared" si="48"/>
        <v>28</v>
      </c>
      <c r="BB88" s="3">
        <f t="shared" si="49"/>
        <v>20</v>
      </c>
      <c r="BC88" s="3">
        <f t="shared" si="50"/>
        <v>28</v>
      </c>
      <c r="BD88" s="3">
        <f t="shared" si="51"/>
        <v>49</v>
      </c>
    </row>
    <row r="89" spans="1:57" s="3" customFormat="1" x14ac:dyDescent="0.2">
      <c r="A89" s="3" t="s">
        <v>430</v>
      </c>
      <c r="B89" s="3" t="str">
        <f>LOWER(VLOOKUP(A89,Xtal_Templ!A:B,2,FALSE))</f>
        <v>agtr1_human</v>
      </c>
      <c r="C89" s="3">
        <f>VLOOKUP($A89,'NonXtal_SegEnds_BW#'!$A:$Z,3,FALSE)+D89-50</f>
        <v>57</v>
      </c>
      <c r="D89" s="3">
        <v>77</v>
      </c>
      <c r="E89" s="3">
        <f>IF(ISERROR(VLOOKUP($A89,'NonXtal_SegEnds_BW#'!$A:$Z,4,FALSE)+VLOOKUP($A89,A:AL,4,FALSE)-50),"-",(VLOOKUP($A89,'NonXtal_SegEnds_BW#'!$A:$Z,4,FALSE)+VLOOKUP($A89,A:AL,4,FALSE)-50))</f>
        <v>87</v>
      </c>
      <c r="F89" s="3">
        <f>G89-2</f>
        <v>88</v>
      </c>
      <c r="G89" s="3">
        <v>90</v>
      </c>
      <c r="H89" s="3">
        <f t="shared" si="59"/>
        <v>91</v>
      </c>
      <c r="I89" s="3">
        <f t="shared" si="59"/>
        <v>92</v>
      </c>
      <c r="J89" s="3">
        <v>105</v>
      </c>
      <c r="K89" s="3">
        <f>VLOOKUP($A89,'NonXtal_SegEnds_BW#'!$A:$Z,8,FALSE)+VLOOKUP($A89,A:AL,10,FALSE)-50</f>
        <v>121</v>
      </c>
      <c r="L89" s="3">
        <f>M89-1</f>
        <v>123</v>
      </c>
      <c r="M89" s="3">
        <v>124</v>
      </c>
      <c r="N89" s="3">
        <f>M89+2</f>
        <v>126</v>
      </c>
      <c r="O89" s="3">
        <f>N89+1</f>
        <v>127</v>
      </c>
      <c r="P89" s="3">
        <v>155</v>
      </c>
      <c r="Q89" s="3">
        <f>VLOOKUP($A89,'NonXtal_SegEnds_BW#'!$A:$Z,12,FALSE)+VLOOKUP($A89,A:AL,16,FALSE)-50</f>
        <v>161</v>
      </c>
      <c r="R89" s="3">
        <f>IF(ISERROR(VLOOKUP($A89,'NonXtal_SegEnds_BW#'!$A:$Z,13,FALSE)+VLOOKUP($A89,A:AL,19,FALSE)-50),"-",VLOOKUP($A89,'NonXtal_SegEnds_BW#'!$A:$Z,13,FALSE)+VLOOKUP($A89,A:AL,19,FALSE)-50)</f>
        <v>162</v>
      </c>
      <c r="S89" s="3">
        <v>162</v>
      </c>
      <c r="T89" s="3">
        <f>IF(ISERROR(VLOOKUP($A89,'NonXtal_SegEnds_BW#'!$A:$Z,14,FALSE)+VLOOKUP($A89,A:AL,19,FALSE)-50),"-",(VLOOKUP($A89,'NonXtal_SegEnds_BW#'!$A:$Z,14,FALSE)+VLOOKUP($A89,A:AL,19,FALSE)-50))</f>
        <v>169</v>
      </c>
      <c r="U89" s="3">
        <f>IF(ISERROR(VLOOKUP($A89,'NonXtal_SegEnds_BW#'!$A:$Z,15,FALSE)+VLOOKUP($A89,A:AL,22,FALSE)-50),"-",VLOOKUP($A89,'NonXtal_SegEnds_BW#'!$A:$Z,15,FALSE)+VLOOKUP($A89,A:AL,22,FALSE)-50)</f>
        <v>171</v>
      </c>
      <c r="V89" s="3">
        <v>182</v>
      </c>
      <c r="W89" s="3">
        <f>IF(ISERROR(VLOOKUP($A89,'NonXtal_SegEnds_BW#'!$A:$Z,16,FALSE)+VLOOKUP($A89,A:AL,22,FALSE)-50),"-",(VLOOKUP($A89,'NonXtal_SegEnds_BW#'!$A:$Z,16,FALSE)+VLOOKUP($A89,A:AL,22,FALSE)-50))</f>
        <v>196</v>
      </c>
      <c r="X89" s="3">
        <f>IF(ISERROR(VLOOKUP($A89,'NonXtal_SegEnds_BW#'!$A:$Z,17,FALSE)+VLOOKUP($A89,A:AL,25,FALSE)-50),"-",(VLOOKUP($A89,'NonXtal_SegEnds_BW#'!$A:$Z,17,FALSE)+VLOOKUP($A89,A:AL,25,FALSE)-50))</f>
        <v>205</v>
      </c>
      <c r="Y89" s="3">
        <v>205</v>
      </c>
      <c r="Z89" s="3">
        <f t="shared" si="58"/>
        <v>207</v>
      </c>
      <c r="AA89" s="3">
        <f>IF(ISERROR(VLOOKUP($A89,'NonXtal_SegEnds_BW#'!$A:$Z,19,FALSE)+VLOOKUP($A89,A:AL,28,FALSE)-50),"-",(VLOOKUP($A89,'NonXtal_SegEnds_BW#'!$A:$Z,19,FALSE)+VLOOKUP($A89,A:AL,28,FALSE)-50))</f>
        <v>210</v>
      </c>
      <c r="AB89" s="3">
        <v>226</v>
      </c>
      <c r="AC89" s="3">
        <f>IF(ISERROR((VLOOKUP($A89,'NonXtal_SegEnds_BW#'!$A:$Z,20,FALSE)+VLOOKUP($A89,A:AL,28,FALSE)-50)),"-",(VLOOKUP($A89,'NonXtal_SegEnds_BW#'!$A:$Z,20,FALSE)+VLOOKUP($A89,A:AL,28,FALSE)-50))</f>
        <v>244</v>
      </c>
      <c r="AD89" s="3">
        <f>IF(ISERROR(VLOOKUP($A89,'NonXtal_SegEnds_BW#'!$A:$Z,21,FALSE)+VLOOKUP($A89,A:AL,31,FALSE)-50),"-",(VLOOKUP($A89,'NonXtal_SegEnds_BW#'!$A:$Z,21,FALSE)+VLOOKUP($A89,A:AL,31,FALSE)-50))</f>
        <v>252</v>
      </c>
      <c r="AE89" s="3">
        <v>274</v>
      </c>
      <c r="AF89" s="3">
        <f>IF(ISERROR((VLOOKUP($A89,'NonXtal_SegEnds_BW#'!$A:$Z,22,FALSE)+VLOOKUP($A89,A:AL,31,FALSE)-50)),"-",(VLOOKUP($A89,'NonXtal_SegEnds_BW#'!$A:$Z,22,FALSE)+VLOOKUP($A89,A:AL,31,FALSE)-50))</f>
        <v>288</v>
      </c>
      <c r="AG89" s="3">
        <f>IF(ISERROR(VLOOKUP($A89,'NonXtal_SegEnds_BW#'!$A:$Z,23,FALSE)+VLOOKUP($A89,A:AL,34,FALSE)-50),"-",(VLOOKUP($A89,'NonXtal_SegEnds_BW#'!$A:$Z,23,FALSE)+VLOOKUP($A89,A:AL,34,FALSE)-50))</f>
        <v>295</v>
      </c>
      <c r="AH89" s="3">
        <v>321</v>
      </c>
      <c r="AI89" s="3">
        <f>IF(ISERROR((VLOOKUP($A89,'NonXtal_SegEnds_BW#'!$A:$Z,24,FALSE)+VLOOKUP($A89,A:AL,34,FALSE)-50)),"-",(VLOOKUP($A89,'NonXtal_SegEnds_BW#'!$A:$Z,24,FALSE)+VLOOKUP($A89,A:AL,34,FALSE)-50))</f>
        <v>327</v>
      </c>
      <c r="AJ89" s="3">
        <f>IF(ISERROR(VLOOKUP($A89,'NonXtal_SegEnds_BW#'!$A:$Z,25,FALSE)+VLOOKUP($A89,A:AL,37,FALSE)-50),"-",(VLOOKUP($A89,'NonXtal_SegEnds_BW#'!$A:$Z,25,FALSE)+VLOOKUP($A89,A:AL,37,FALSE)-50))</f>
        <v>328</v>
      </c>
      <c r="AK89" s="3">
        <v>331</v>
      </c>
      <c r="AL89" s="3">
        <f>IF(ISERROR((VLOOKUP($A89,'NonXtal_SegEnds_BW#'!$A:$Z,26,FALSE)+VLOOKUP($A89,A:AL,37,FALSE)-50)),"-",(VLOOKUP($A89,'NonXtal_SegEnds_BW#'!$A:$Z,26,FALSE)+VLOOKUP($A89,A:AL,37,FALSE)-50))</f>
        <v>342</v>
      </c>
      <c r="AM89" s="71" t="str">
        <f>VLOOKUP(A89,Classification!A:B,2,FALSE)</f>
        <v>A</v>
      </c>
      <c r="AN89" s="71" t="b">
        <f t="shared" si="36"/>
        <v>1</v>
      </c>
      <c r="AO89" s="3">
        <f t="shared" si="37"/>
        <v>1</v>
      </c>
      <c r="AP89" s="3">
        <f t="shared" si="38"/>
        <v>1</v>
      </c>
      <c r="AQ89" s="3">
        <f t="shared" si="39"/>
        <v>2</v>
      </c>
      <c r="AR89" s="3">
        <f t="shared" si="40"/>
        <v>1</v>
      </c>
      <c r="AS89" s="3">
        <f t="shared" si="41"/>
        <v>1</v>
      </c>
      <c r="AT89" s="3">
        <f t="shared" si="42"/>
        <v>2</v>
      </c>
      <c r="AU89" s="3">
        <f t="shared" si="43"/>
        <v>9</v>
      </c>
      <c r="AV89" s="3">
        <f t="shared" si="44"/>
        <v>3</v>
      </c>
      <c r="AW89" s="3">
        <f t="shared" si="45"/>
        <v>8</v>
      </c>
      <c r="AX89" s="3">
        <f t="shared" si="46"/>
        <v>7</v>
      </c>
      <c r="AY89" s="3">
        <f t="shared" si="47"/>
        <v>1</v>
      </c>
      <c r="AZ89" s="3">
        <f>IF(ISERROR(LEN(VLOOKUP(A89,Seqs!A:E,2,FALSE))-AL89),"-",LEN(VLOOKUP(A89,Seqs!A:E,2,FALSE))-AL89)</f>
        <v>33</v>
      </c>
      <c r="BA89" s="35">
        <f t="shared" si="48"/>
        <v>28</v>
      </c>
      <c r="BB89" s="3">
        <f t="shared" si="49"/>
        <v>20</v>
      </c>
      <c r="BC89" s="3">
        <f t="shared" si="50"/>
        <v>28</v>
      </c>
      <c r="BD89" s="3">
        <f t="shared" si="51"/>
        <v>48</v>
      </c>
    </row>
    <row r="90" spans="1:57" s="3" customFormat="1" x14ac:dyDescent="0.2">
      <c r="A90" s="3" t="s">
        <v>427</v>
      </c>
      <c r="B90" s="3" t="str">
        <f>LOWER(VLOOKUP(A90,Xtal_Templ!A:B,2,FALSE))</f>
        <v>agtr1_human</v>
      </c>
      <c r="C90" s="3">
        <f>VLOOKUP($A90,'NonXtal_SegEnds_BW#'!$A:$Z,3,FALSE)+D90-50</f>
        <v>51</v>
      </c>
      <c r="D90" s="3">
        <v>71</v>
      </c>
      <c r="E90" s="3">
        <f>IF(ISERROR(VLOOKUP($A90,'NonXtal_SegEnds_BW#'!$A:$Z,4,FALSE)+VLOOKUP($A90,A:AL,4,FALSE)-50),"-",(VLOOKUP($A90,'NonXtal_SegEnds_BW#'!$A:$Z,4,FALSE)+VLOOKUP($A90,A:AL,4,FALSE)-50))</f>
        <v>81</v>
      </c>
      <c r="F90" s="3">
        <f>G90-2</f>
        <v>82</v>
      </c>
      <c r="G90" s="3">
        <v>84</v>
      </c>
      <c r="H90" s="3">
        <f t="shared" si="59"/>
        <v>85</v>
      </c>
      <c r="I90" s="3">
        <f t="shared" si="59"/>
        <v>86</v>
      </c>
      <c r="J90" s="3">
        <v>99</v>
      </c>
      <c r="K90" s="3">
        <f>VLOOKUP($A90,'NonXtal_SegEnds_BW#'!$A:$Z,8,FALSE)+VLOOKUP($A90,A:AL,10,FALSE)-50</f>
        <v>115</v>
      </c>
      <c r="L90" s="3">
        <f>M90-1</f>
        <v>118</v>
      </c>
      <c r="M90" s="3">
        <v>119</v>
      </c>
      <c r="N90" s="3">
        <f>M90+2</f>
        <v>121</v>
      </c>
      <c r="O90" s="3">
        <f>N90+1</f>
        <v>122</v>
      </c>
      <c r="P90" s="3">
        <v>151</v>
      </c>
      <c r="Q90" s="3">
        <f>VLOOKUP($A90,'NonXtal_SegEnds_BW#'!$A:$Z,12,FALSE)+VLOOKUP($A90,A:AL,16,FALSE)-50</f>
        <v>157</v>
      </c>
      <c r="R90" s="3">
        <f>IF(ISERROR(VLOOKUP($A90,'NonXtal_SegEnds_BW#'!$A:$Z,13,FALSE)+VLOOKUP($A90,A:AL,19,FALSE)-50),"-",VLOOKUP($A90,'NonXtal_SegEnds_BW#'!$A:$Z,13,FALSE)+VLOOKUP($A90,A:AL,19,FALSE)-50)</f>
        <v>158</v>
      </c>
      <c r="S90" s="3">
        <v>158</v>
      </c>
      <c r="T90" s="3">
        <f>IF(ISERROR(VLOOKUP($A90,'NonXtal_SegEnds_BW#'!$A:$Z,14,FALSE)+VLOOKUP($A90,A:AL,19,FALSE)-50),"-",(VLOOKUP($A90,'NonXtal_SegEnds_BW#'!$A:$Z,14,FALSE)+VLOOKUP($A90,A:AL,19,FALSE)-50))</f>
        <v>165</v>
      </c>
      <c r="U90" s="3">
        <f>IF(ISERROR(VLOOKUP($A90,'NonXtal_SegEnds_BW#'!$A:$Z,15,FALSE)+VLOOKUP($A90,A:AL,22,FALSE)-50),"-",VLOOKUP($A90,'NonXtal_SegEnds_BW#'!$A:$Z,15,FALSE)+VLOOKUP($A90,A:AL,22,FALSE)-50)</f>
        <v>167</v>
      </c>
      <c r="V90" s="3">
        <v>178</v>
      </c>
      <c r="W90" s="3">
        <f>IF(ISERROR(VLOOKUP($A90,'NonXtal_SegEnds_BW#'!$A:$Z,16,FALSE)+VLOOKUP($A90,A:AL,22,FALSE)-50),"-",(VLOOKUP($A90,'NonXtal_SegEnds_BW#'!$A:$Z,16,FALSE)+VLOOKUP($A90,A:AL,22,FALSE)-50))</f>
        <v>192</v>
      </c>
      <c r="X90" s="3">
        <f>IF(ISERROR(VLOOKUP($A90,'NonXtal_SegEnds_BW#'!$A:$Z,17,FALSE)+VLOOKUP($A90,A:AL,25,FALSE)-50),"-",(VLOOKUP($A90,'NonXtal_SegEnds_BW#'!$A:$Z,17,FALSE)+VLOOKUP($A90,A:AL,25,FALSE)-50))</f>
        <v>202</v>
      </c>
      <c r="Y90" s="3">
        <v>202</v>
      </c>
      <c r="Z90" s="3">
        <f t="shared" si="58"/>
        <v>204</v>
      </c>
      <c r="AA90" s="3">
        <f>IF(ISERROR(VLOOKUP($A90,'NonXtal_SegEnds_BW#'!$A:$Z,19,FALSE)+VLOOKUP($A90,A:AL,28,FALSE)-50),"-",(VLOOKUP($A90,'NonXtal_SegEnds_BW#'!$A:$Z,19,FALSE)+VLOOKUP($A90,A:AL,28,FALSE)-50))</f>
        <v>214</v>
      </c>
      <c r="AB90" s="3">
        <v>230</v>
      </c>
      <c r="AC90" s="3">
        <f>IF(ISERROR((VLOOKUP($A90,'NonXtal_SegEnds_BW#'!$A:$Z,20,FALSE)+VLOOKUP($A90,A:AL,28,FALSE)-50)),"-",(VLOOKUP($A90,'NonXtal_SegEnds_BW#'!$A:$Z,20,FALSE)+VLOOKUP($A90,A:AL,28,FALSE)-50))</f>
        <v>248</v>
      </c>
      <c r="AD90" s="3">
        <f>IF(ISERROR(VLOOKUP($A90,'NonXtal_SegEnds_BW#'!$A:$Z,21,FALSE)+VLOOKUP($A90,A:AL,31,FALSE)-50),"-",(VLOOKUP($A90,'NonXtal_SegEnds_BW#'!$A:$Z,21,FALSE)+VLOOKUP($A90,A:AL,31,FALSE)-50))</f>
        <v>253</v>
      </c>
      <c r="AE90" s="3">
        <v>273</v>
      </c>
      <c r="AF90" s="3">
        <f>IF(ISERROR((VLOOKUP($A90,'NonXtal_SegEnds_BW#'!$A:$Z,22,FALSE)+VLOOKUP($A90,A:AL,31,FALSE)-50)),"-",(VLOOKUP($A90,'NonXtal_SegEnds_BW#'!$A:$Z,22,FALSE)+VLOOKUP($A90,A:AL,31,FALSE)-50))</f>
        <v>287</v>
      </c>
      <c r="AG90" s="3">
        <f>IF(ISERROR(VLOOKUP($A90,'NonXtal_SegEnds_BW#'!$A:$Z,23,FALSE)+VLOOKUP($A90,A:AL,34,FALSE)-50),"-",(VLOOKUP($A90,'NonXtal_SegEnds_BW#'!$A:$Z,23,FALSE)+VLOOKUP($A90,A:AL,34,FALSE)-50))</f>
        <v>291</v>
      </c>
      <c r="AH90" s="3">
        <v>317</v>
      </c>
      <c r="AI90" s="3">
        <f>IF(ISERROR((VLOOKUP($A90,'NonXtal_SegEnds_BW#'!$A:$Z,24,FALSE)+VLOOKUP($A90,A:AL,34,FALSE)-50)),"-",(VLOOKUP($A90,'NonXtal_SegEnds_BW#'!$A:$Z,24,FALSE)+VLOOKUP($A90,A:AL,34,FALSE)-50))</f>
        <v>323</v>
      </c>
      <c r="AJ90" s="3">
        <f>IF(ISERROR(VLOOKUP($A90,'NonXtal_SegEnds_BW#'!$A:$Z,25,FALSE)+VLOOKUP($A90,A:AL,37,FALSE)-50),"-",(VLOOKUP($A90,'NonXtal_SegEnds_BW#'!$A:$Z,25,FALSE)+VLOOKUP($A90,A:AL,37,FALSE)-50))</f>
        <v>324</v>
      </c>
      <c r="AK90" s="3">
        <v>327</v>
      </c>
      <c r="AL90" s="3">
        <f>IF(ISERROR((VLOOKUP($A90,'NonXtal_SegEnds_BW#'!$A:$Z,26,FALSE)+VLOOKUP($A90,A:AL,37,FALSE)-50)),"-",(VLOOKUP($A90,'NonXtal_SegEnds_BW#'!$A:$Z,26,FALSE)+VLOOKUP($A90,A:AL,37,FALSE)-50))</f>
        <v>338</v>
      </c>
      <c r="AM90" s="71" t="str">
        <f>VLOOKUP(A90,Classification!A:B,2,FALSE)</f>
        <v>A</v>
      </c>
      <c r="AN90" s="71" t="b">
        <f t="shared" si="36"/>
        <v>1</v>
      </c>
      <c r="AO90" s="3">
        <f t="shared" si="37"/>
        <v>1</v>
      </c>
      <c r="AP90" s="3">
        <f t="shared" si="38"/>
        <v>1</v>
      </c>
      <c r="AQ90" s="3">
        <f t="shared" si="39"/>
        <v>3</v>
      </c>
      <c r="AR90" s="3">
        <f t="shared" si="40"/>
        <v>1</v>
      </c>
      <c r="AS90" s="3">
        <f t="shared" si="41"/>
        <v>1</v>
      </c>
      <c r="AT90" s="3">
        <f t="shared" si="42"/>
        <v>2</v>
      </c>
      <c r="AU90" s="3">
        <f t="shared" si="43"/>
        <v>10</v>
      </c>
      <c r="AV90" s="3">
        <f t="shared" si="44"/>
        <v>10</v>
      </c>
      <c r="AW90" s="3">
        <f t="shared" si="45"/>
        <v>5</v>
      </c>
      <c r="AX90" s="3">
        <f t="shared" si="46"/>
        <v>4</v>
      </c>
      <c r="AY90" s="3">
        <f t="shared" si="47"/>
        <v>1</v>
      </c>
      <c r="AZ90" s="3">
        <f>IF(ISERROR(LEN(VLOOKUP(A90,Seqs!A:E,2,FALSE))-AL90),"-",LEN(VLOOKUP(A90,Seqs!A:E,2,FALSE))-AL90)</f>
        <v>66</v>
      </c>
      <c r="BA90" s="35">
        <f t="shared" si="48"/>
        <v>28</v>
      </c>
      <c r="BB90" s="3">
        <f t="shared" si="49"/>
        <v>20</v>
      </c>
      <c r="BC90" s="3">
        <f t="shared" si="50"/>
        <v>28</v>
      </c>
      <c r="BD90" s="3">
        <f t="shared" si="51"/>
        <v>43</v>
      </c>
    </row>
    <row r="91" spans="1:57" s="3" customFormat="1" x14ac:dyDescent="0.2">
      <c r="A91" s="3" t="s">
        <v>338</v>
      </c>
      <c r="B91" s="3" t="str">
        <f>LOWER(VLOOKUP(A91,Xtal_Templ!A:B,2,FALSE))</f>
        <v>agtr1_human</v>
      </c>
      <c r="C91" s="3">
        <f>VLOOKUP($A91,'NonXtal_SegEnds_BW#'!$A:$Z,3,FALSE)+D91-50</f>
        <v>42</v>
      </c>
      <c r="D91" s="3">
        <v>62</v>
      </c>
      <c r="E91" s="3">
        <f>IF(ISERROR(VLOOKUP($A91,'NonXtal_SegEnds_BW#'!$A:$Z,4,FALSE)+VLOOKUP($A91,A:AL,4,FALSE)-50),"-",(VLOOKUP($A91,'NonXtal_SegEnds_BW#'!$A:$Z,4,FALSE)+VLOOKUP($A91,A:AL,4,FALSE)-50))</f>
        <v>72</v>
      </c>
      <c r="F91" s="3">
        <f>G91-2</f>
        <v>73</v>
      </c>
      <c r="G91" s="3">
        <v>75</v>
      </c>
      <c r="H91" s="3">
        <f t="shared" si="59"/>
        <v>76</v>
      </c>
      <c r="I91" s="3">
        <f t="shared" si="59"/>
        <v>77</v>
      </c>
      <c r="J91" s="3">
        <v>90</v>
      </c>
      <c r="K91" s="3">
        <f>VLOOKUP($A91,'NonXtal_SegEnds_BW#'!$A:$Z,8,FALSE)+VLOOKUP($A91,A:AL,10,FALSE)-50</f>
        <v>106</v>
      </c>
      <c r="L91" s="3" t="str">
        <f>IF(ISERROR(VLOOKUP($A91,'NonXtal_SegEnds_BW#'!$A:$Z,9,FALSE)+VLOOKUP($A91,A:AL,13,FALSE)-50),"-",(VLOOKUP($A91,'NonXtal_SegEnds_BW#'!$A:$Z,9,FALSE)+VLOOKUP($A91,A:AL,13,FALSE)-50))</f>
        <v>-</v>
      </c>
      <c r="M91" s="3" t="s">
        <v>129</v>
      </c>
      <c r="N91" s="3" t="str">
        <f>IF(ISERROR(VLOOKUP($A91,'NonXtal_SegEnds_BW#'!$A:$Z,10,FALSE)+VLOOKUP($A91,A:AL,13,FALSE)-50),"-",(VLOOKUP($A91,'NonXtal_SegEnds_BW#'!$A:$Z,10,FALSE)+VLOOKUP($A91,A:AL,13,FALSE)-50))</f>
        <v>-</v>
      </c>
      <c r="O91" s="3">
        <f>VLOOKUP($A91,'NonXtal_SegEnds_BW#'!$A:$Z,11,FALSE)+VLOOKUP($A91,A:AL,16,FALSE)-50</f>
        <v>110</v>
      </c>
      <c r="P91" s="3">
        <v>142</v>
      </c>
      <c r="Q91" s="3">
        <f>VLOOKUP($A91,'NonXtal_SegEnds_BW#'!$A:$Z,12,FALSE)+VLOOKUP($A91,A:AL,16,FALSE)-50</f>
        <v>148</v>
      </c>
      <c r="R91" s="3" t="str">
        <f>IF(ISERROR(VLOOKUP($A91,'NonXtal_SegEnds_BW#'!$A:$Z,13,FALSE)+VLOOKUP($A91,A:AL,19,FALSE)-50),"-",VLOOKUP($A91,'NonXtal_SegEnds_BW#'!$A:$Z,13,FALSE)+VLOOKUP($A91,A:AL,19,FALSE)-50)</f>
        <v>-</v>
      </c>
      <c r="S91" s="3" t="s">
        <v>129</v>
      </c>
      <c r="T91" s="3" t="str">
        <f>IF(ISERROR(VLOOKUP($A91,'NonXtal_SegEnds_BW#'!$A:$Z,14,FALSE)+VLOOKUP($A91,A:AL,19,FALSE)-50),"-",(VLOOKUP($A91,'NonXtal_SegEnds_BW#'!$A:$Z,14,FALSE)+VLOOKUP($A91,A:AL,19,FALSE)-50))</f>
        <v>-</v>
      </c>
      <c r="U91" s="3">
        <f>IF(ISERROR(VLOOKUP($A91,'NonXtal_SegEnds_BW#'!$A:$Z,15,FALSE)+VLOOKUP($A91,A:AL,22,FALSE)-50),"-",VLOOKUP($A91,'NonXtal_SegEnds_BW#'!$A:$Z,15,FALSE)+VLOOKUP($A91,A:AL,22,FALSE)-50)</f>
        <v>158</v>
      </c>
      <c r="V91" s="3">
        <v>169</v>
      </c>
      <c r="W91" s="3">
        <f>IF(ISERROR(VLOOKUP($A91,'NonXtal_SegEnds_BW#'!$A:$Z,16,FALSE)+VLOOKUP($A91,A:AL,22,FALSE)-50),"-",(VLOOKUP($A91,'NonXtal_SegEnds_BW#'!$A:$Z,16,FALSE)+VLOOKUP($A91,A:AL,22,FALSE)-50))</f>
        <v>183</v>
      </c>
      <c r="X91" s="3">
        <f>IF(ISERROR(VLOOKUP($A91,'NonXtal_SegEnds_BW#'!$A:$Z,17,FALSE)+VLOOKUP($A91,A:AL,25,FALSE)-50),"-",(VLOOKUP($A91,'NonXtal_SegEnds_BW#'!$A:$Z,17,FALSE)+VLOOKUP($A91,A:AL,25,FALSE)-50))</f>
        <v>196</v>
      </c>
      <c r="Y91" s="3">
        <v>196</v>
      </c>
      <c r="Z91" s="3">
        <f t="shared" si="58"/>
        <v>198</v>
      </c>
      <c r="AA91" s="3">
        <f>IF(ISERROR(VLOOKUP($A91,'NonXtal_SegEnds_BW#'!$A:$Z,19,FALSE)+VLOOKUP($A91,A:AL,28,FALSE)-50),"-",(VLOOKUP($A91,'NonXtal_SegEnds_BW#'!$A:$Z,19,FALSE)+VLOOKUP($A91,A:AL,28,FALSE)-50))</f>
        <v>208</v>
      </c>
      <c r="AB91" s="3">
        <v>224</v>
      </c>
      <c r="AC91" s="3">
        <f>IF(ISERROR((VLOOKUP($A91,'NonXtal_SegEnds_BW#'!$A:$Z,20,FALSE)+VLOOKUP($A91,A:AL,28,FALSE)-50)),"-",(VLOOKUP($A91,'NonXtal_SegEnds_BW#'!$A:$Z,20,FALSE)+VLOOKUP($A91,A:AL,28,FALSE)-50))</f>
        <v>242</v>
      </c>
      <c r="AD91" s="3">
        <f>IF(ISERROR(VLOOKUP($A91,'NonXtal_SegEnds_BW#'!$A:$Z,21,FALSE)+VLOOKUP($A91,A:AL,31,FALSE)-50),"-",(VLOOKUP($A91,'NonXtal_SegEnds_BW#'!$A:$Z,21,FALSE)+VLOOKUP($A91,A:AL,31,FALSE)-50))</f>
        <v>247</v>
      </c>
      <c r="AE91" s="3">
        <v>267</v>
      </c>
      <c r="AF91" s="3">
        <f>IF(ISERROR((VLOOKUP($A91,'NonXtal_SegEnds_BW#'!$A:$Z,22,FALSE)+VLOOKUP($A91,A:AL,31,FALSE)-50)),"-",(VLOOKUP($A91,'NonXtal_SegEnds_BW#'!$A:$Z,22,FALSE)+VLOOKUP($A91,A:AL,31,FALSE)-50))</f>
        <v>281</v>
      </c>
      <c r="AG91" s="3">
        <f>IF(ISERROR(VLOOKUP($A91,'NonXtal_SegEnds_BW#'!$A:$Z,23,FALSE)+VLOOKUP($A91,A:AL,34,FALSE)-50),"-",(VLOOKUP($A91,'NonXtal_SegEnds_BW#'!$A:$Z,23,FALSE)+VLOOKUP($A91,A:AL,34,FALSE)-50))</f>
        <v>286</v>
      </c>
      <c r="AH91" s="3">
        <v>312</v>
      </c>
      <c r="AI91" s="3">
        <f>IF(ISERROR((VLOOKUP($A91,'NonXtal_SegEnds_BW#'!$A:$Z,24,FALSE)+VLOOKUP($A91,A:AL,34,FALSE)-50)),"-",(VLOOKUP($A91,'NonXtal_SegEnds_BW#'!$A:$Z,24,FALSE)+VLOOKUP($A91,A:AL,34,FALSE)-50))</f>
        <v>318</v>
      </c>
      <c r="AJ91" s="3">
        <f>IF(ISERROR(VLOOKUP($A91,'NonXtal_SegEnds_BW#'!$A:$Z,25,FALSE)+VLOOKUP($A91,A:AL,37,FALSE)-50),"-",(VLOOKUP($A91,'NonXtal_SegEnds_BW#'!$A:$Z,25,FALSE)+VLOOKUP($A91,A:AL,37,FALSE)-50))</f>
        <v>319</v>
      </c>
      <c r="AK91" s="3">
        <v>322</v>
      </c>
      <c r="AL91" s="3">
        <f>IF(ISERROR((VLOOKUP($A91,'NonXtal_SegEnds_BW#'!$A:$Z,26,FALSE)+VLOOKUP($A91,A:AL,37,FALSE)-50)),"-",(VLOOKUP($A91,'NonXtal_SegEnds_BW#'!$A:$Z,26,FALSE)+VLOOKUP($A91,A:AL,37,FALSE)-50))</f>
        <v>333</v>
      </c>
      <c r="AM91" s="71" t="str">
        <f>VLOOKUP(A91,Classification!A:B,2,FALSE)</f>
        <v>A</v>
      </c>
      <c r="AN91" s="71" t="b">
        <f t="shared" si="36"/>
        <v>1</v>
      </c>
      <c r="AO91" s="3">
        <f t="shared" si="37"/>
        <v>1</v>
      </c>
      <c r="AP91" s="3">
        <f t="shared" si="38"/>
        <v>1</v>
      </c>
      <c r="AQ91" s="3" t="str">
        <f t="shared" si="39"/>
        <v>-</v>
      </c>
      <c r="AR91" s="3" t="str">
        <f t="shared" si="40"/>
        <v>-</v>
      </c>
      <c r="AS91" s="3" t="str">
        <f t="shared" si="41"/>
        <v>-</v>
      </c>
      <c r="AT91" s="3" t="str">
        <f t="shared" si="42"/>
        <v>-</v>
      </c>
      <c r="AU91" s="3">
        <f t="shared" si="43"/>
        <v>13</v>
      </c>
      <c r="AV91" s="3">
        <f t="shared" si="44"/>
        <v>10</v>
      </c>
      <c r="AW91" s="3">
        <f t="shared" si="45"/>
        <v>5</v>
      </c>
      <c r="AX91" s="3">
        <f t="shared" si="46"/>
        <v>5</v>
      </c>
      <c r="AY91" s="3">
        <f t="shared" si="47"/>
        <v>1</v>
      </c>
      <c r="AZ91" s="3">
        <f>IF(ISERROR(LEN(VLOOKUP(A91,Seqs!A:E,2,FALSE))-AL91),"-",LEN(VLOOKUP(A91,Seqs!A:E,2,FALSE))-AL91)</f>
        <v>29</v>
      </c>
      <c r="BA91" s="35">
        <f t="shared" si="48"/>
        <v>28</v>
      </c>
      <c r="BB91" s="3" t="str">
        <f t="shared" si="49"/>
        <v>-</v>
      </c>
      <c r="BC91" s="3">
        <f t="shared" si="50"/>
        <v>28</v>
      </c>
      <c r="BD91" s="3">
        <f t="shared" si="51"/>
        <v>43</v>
      </c>
      <c r="BE91" s="3">
        <f>AH91-AE91</f>
        <v>45</v>
      </c>
    </row>
    <row r="92" spans="1:57" s="3" customFormat="1" x14ac:dyDescent="0.2">
      <c r="A92" s="3" t="s">
        <v>353</v>
      </c>
      <c r="B92" s="3" t="str">
        <f>LOWER(VLOOKUP(A92,Xtal_Templ!A:B,2,FALSE))</f>
        <v>agtr1_human</v>
      </c>
      <c r="C92" s="3">
        <f>VLOOKUP($A92,'NonXtal_SegEnds_BW#'!$A:$Z,3,FALSE)+D92-50</f>
        <v>42</v>
      </c>
      <c r="D92" s="3">
        <v>62</v>
      </c>
      <c r="E92" s="3">
        <f>IF(ISERROR(VLOOKUP($A92,'NonXtal_SegEnds_BW#'!$A:$Z,4,FALSE)+VLOOKUP($A92,A:AL,4,FALSE)-50),"-",(VLOOKUP($A92,'NonXtal_SegEnds_BW#'!$A:$Z,4,FALSE)+VLOOKUP($A92,A:AL,4,FALSE)-50))</f>
        <v>72</v>
      </c>
      <c r="F92" s="3" t="str">
        <f>IF(ISERROR(VLOOKUP($A92,'NonXtal_SegEnds_BW#'!$A:$Z,5,FALSE)+VLOOKUP($A92,A:AL,7,FALSE)-50),"-",(VLOOKUP($A92,'NonXtal_SegEnds_BW#'!$A:$Z,5,FALSE)+VLOOKUP($A92,A:AL,7,FALSE)-50))</f>
        <v>-</v>
      </c>
      <c r="G92" s="3" t="s">
        <v>129</v>
      </c>
      <c r="H92" s="3" t="str">
        <f>IF(ISERROR(VLOOKUP($A92,'NonXtal_SegEnds_BW#'!$A:$Z,6,FALSE)+VLOOKUP($A92,A:AL,7,FALSE)-50),"-",(VLOOKUP($A92,'NonXtal_SegEnds_BW#'!$A:$Z,6,FALSE)+VLOOKUP($A92,A:AL,7,FALSE)-50))</f>
        <v>-</v>
      </c>
      <c r="I92" s="3">
        <f>VLOOKUP($A92,'NonXtal_SegEnds_BW#'!$A:$Z,7,FALSE)+J92-50</f>
        <v>77</v>
      </c>
      <c r="J92" s="3">
        <v>90</v>
      </c>
      <c r="K92" s="3">
        <f>VLOOKUP($A92,'NonXtal_SegEnds_BW#'!$A:$Z,8,FALSE)+VLOOKUP($A92,A:AL,10,FALSE)-50</f>
        <v>106</v>
      </c>
      <c r="L92" s="3">
        <f t="shared" ref="L92:L108" si="60">M92-1</f>
        <v>109</v>
      </c>
      <c r="M92" s="3">
        <v>110</v>
      </c>
      <c r="N92" s="3">
        <f t="shared" ref="N92:N108" si="61">M92+2</f>
        <v>112</v>
      </c>
      <c r="O92" s="3">
        <f t="shared" ref="O92:O108" si="62">N92+1</f>
        <v>113</v>
      </c>
      <c r="P92" s="3">
        <v>142</v>
      </c>
      <c r="Q92" s="3">
        <f>VLOOKUP($A92,'NonXtal_SegEnds_BW#'!$A:$Z,12,FALSE)+VLOOKUP($A92,A:AL,16,FALSE)-50</f>
        <v>148</v>
      </c>
      <c r="R92" s="3">
        <f>IF(ISERROR(VLOOKUP($A92,'NonXtal_SegEnds_BW#'!$A:$Z,13,FALSE)+VLOOKUP($A92,A:AL,19,FALSE)-50),"-",VLOOKUP($A92,'NonXtal_SegEnds_BW#'!$A:$Z,13,FALSE)+VLOOKUP($A92,A:AL,19,FALSE)-50)</f>
        <v>149</v>
      </c>
      <c r="S92" s="3">
        <v>149</v>
      </c>
      <c r="T92" s="3">
        <f>IF(ISERROR(VLOOKUP($A92,'NonXtal_SegEnds_BW#'!$A:$Z,14,FALSE)+VLOOKUP($A92,A:AL,19,FALSE)-50),"-",(VLOOKUP($A92,'NonXtal_SegEnds_BW#'!$A:$Z,14,FALSE)+VLOOKUP($A92,A:AL,19,FALSE)-50))</f>
        <v>156</v>
      </c>
      <c r="U92" s="3">
        <f>IF(ISERROR(VLOOKUP($A92,'NonXtal_SegEnds_BW#'!$A:$Z,15,FALSE)+VLOOKUP($A92,A:AL,22,FALSE)-50),"-",VLOOKUP($A92,'NonXtal_SegEnds_BW#'!$A:$Z,15,FALSE)+VLOOKUP($A92,A:AL,22,FALSE)-50)</f>
        <v>157</v>
      </c>
      <c r="V92" s="3">
        <v>168</v>
      </c>
      <c r="W92" s="3">
        <f>IF(ISERROR(VLOOKUP($A92,'NonXtal_SegEnds_BW#'!$A:$Z,16,FALSE)+VLOOKUP($A92,A:AL,22,FALSE)-50),"-",(VLOOKUP($A92,'NonXtal_SegEnds_BW#'!$A:$Z,16,FALSE)+VLOOKUP($A92,A:AL,22,FALSE)-50))</f>
        <v>182</v>
      </c>
      <c r="X92" s="3">
        <f>IF(ISERROR(VLOOKUP($A92,'NonXtal_SegEnds_BW#'!$A:$Z,17,FALSE)+VLOOKUP($A92,A:AL,25,FALSE)-50),"-",(VLOOKUP($A92,'NonXtal_SegEnds_BW#'!$A:$Z,17,FALSE)+VLOOKUP($A92,A:AL,25,FALSE)-50))</f>
        <v>195</v>
      </c>
      <c r="Y92" s="3">
        <v>195</v>
      </c>
      <c r="Z92" s="3">
        <f t="shared" si="58"/>
        <v>197</v>
      </c>
      <c r="AA92" s="3">
        <f>IF(ISERROR(VLOOKUP($A92,'NonXtal_SegEnds_BW#'!$A:$Z,19,FALSE)+VLOOKUP($A92,A:AL,28,FALSE)-50),"-",(VLOOKUP($A92,'NonXtal_SegEnds_BW#'!$A:$Z,19,FALSE)+VLOOKUP($A92,A:AL,28,FALSE)-50))</f>
        <v>207</v>
      </c>
      <c r="AB92" s="3">
        <v>223</v>
      </c>
      <c r="AC92" s="3">
        <f>IF(ISERROR((VLOOKUP($A92,'NonXtal_SegEnds_BW#'!$A:$Z,20,FALSE)+VLOOKUP($A92,A:AL,28,FALSE)-50)),"-",(VLOOKUP($A92,'NonXtal_SegEnds_BW#'!$A:$Z,20,FALSE)+VLOOKUP($A92,A:AL,28,FALSE)-50))</f>
        <v>241</v>
      </c>
      <c r="AD92" s="3">
        <f>IF(ISERROR(VLOOKUP($A92,'NonXtal_SegEnds_BW#'!$A:$Z,21,FALSE)+VLOOKUP($A92,A:AL,31,FALSE)-50),"-",(VLOOKUP($A92,'NonXtal_SegEnds_BW#'!$A:$Z,21,FALSE)+VLOOKUP($A92,A:AL,31,FALSE)-50))</f>
        <v>249</v>
      </c>
      <c r="AE92" s="3">
        <v>271</v>
      </c>
      <c r="AF92" s="3">
        <f>IF(ISERROR((VLOOKUP($A92,'NonXtal_SegEnds_BW#'!$A:$Z,22,FALSE)+VLOOKUP($A92,A:AL,31,FALSE)-50)),"-",(VLOOKUP($A92,'NonXtal_SegEnds_BW#'!$A:$Z,22,FALSE)+VLOOKUP($A92,A:AL,31,FALSE)-50))</f>
        <v>285</v>
      </c>
      <c r="AG92" s="3">
        <f>IF(ISERROR(VLOOKUP($A92,'NonXtal_SegEnds_BW#'!$A:$Z,23,FALSE)+VLOOKUP($A92,A:AL,34,FALSE)-50),"-",(VLOOKUP($A92,'NonXtal_SegEnds_BW#'!$A:$Z,23,FALSE)+VLOOKUP($A92,A:AL,34,FALSE)-50))</f>
        <v>289</v>
      </c>
      <c r="AH92" s="3">
        <v>315</v>
      </c>
      <c r="AI92" s="3">
        <f>IF(ISERROR((VLOOKUP($A92,'NonXtal_SegEnds_BW#'!$A:$Z,24,FALSE)+VLOOKUP($A92,A:AL,34,FALSE)-50)),"-",(VLOOKUP($A92,'NonXtal_SegEnds_BW#'!$A:$Z,24,FALSE)+VLOOKUP($A92,A:AL,34,FALSE)-50))</f>
        <v>321</v>
      </c>
      <c r="AJ92" s="3">
        <f>IF(ISERROR(VLOOKUP($A92,'NonXtal_SegEnds_BW#'!$A:$Z,25,FALSE)+VLOOKUP($A92,A:AL,37,FALSE)-50),"-",(VLOOKUP($A92,'NonXtal_SegEnds_BW#'!$A:$Z,25,FALSE)+VLOOKUP($A92,A:AL,37,FALSE)-50))</f>
        <v>322</v>
      </c>
      <c r="AK92" s="3">
        <v>325</v>
      </c>
      <c r="AL92" s="3">
        <f>IF(ISERROR((VLOOKUP($A92,'NonXtal_SegEnds_BW#'!$A:$Z,26,FALSE)+VLOOKUP($A92,A:AL,37,FALSE)-50)),"-",(VLOOKUP($A92,'NonXtal_SegEnds_BW#'!$A:$Z,26,FALSE)+VLOOKUP($A92,A:AL,37,FALSE)-50))</f>
        <v>336</v>
      </c>
      <c r="AM92" s="71" t="str">
        <f>VLOOKUP(A92,Classification!A:B,2,FALSE)</f>
        <v>A</v>
      </c>
      <c r="AN92" s="71" t="b">
        <f t="shared" si="36"/>
        <v>1</v>
      </c>
      <c r="AO92" s="3" t="str">
        <f t="shared" si="37"/>
        <v>-</v>
      </c>
      <c r="AP92" s="3" t="str">
        <f t="shared" si="38"/>
        <v>-</v>
      </c>
      <c r="AQ92" s="3">
        <f t="shared" si="39"/>
        <v>3</v>
      </c>
      <c r="AR92" s="3">
        <f t="shared" si="40"/>
        <v>1</v>
      </c>
      <c r="AS92" s="3">
        <f t="shared" si="41"/>
        <v>1</v>
      </c>
      <c r="AT92" s="3">
        <f t="shared" si="42"/>
        <v>1</v>
      </c>
      <c r="AU92" s="3">
        <f t="shared" si="43"/>
        <v>13</v>
      </c>
      <c r="AV92" s="3">
        <f t="shared" si="44"/>
        <v>10</v>
      </c>
      <c r="AW92" s="3">
        <f t="shared" si="45"/>
        <v>8</v>
      </c>
      <c r="AX92" s="3">
        <f t="shared" si="46"/>
        <v>4</v>
      </c>
      <c r="AY92" s="3">
        <f t="shared" si="47"/>
        <v>1</v>
      </c>
      <c r="AZ92" s="3">
        <f>IF(ISERROR(LEN(VLOOKUP(A92,Seqs!A:E,2,FALSE))-AL92),"-",LEN(VLOOKUP(A92,Seqs!A:E,2,FALSE))-AL92)</f>
        <v>27</v>
      </c>
      <c r="BA92" s="35">
        <f t="shared" si="48"/>
        <v>28</v>
      </c>
      <c r="BB92" s="3">
        <f t="shared" si="49"/>
        <v>19</v>
      </c>
      <c r="BC92" s="3">
        <f t="shared" si="50"/>
        <v>28</v>
      </c>
      <c r="BD92" s="3">
        <f t="shared" si="51"/>
        <v>48</v>
      </c>
      <c r="BE92" s="3">
        <f>AH92-AE92</f>
        <v>44</v>
      </c>
    </row>
    <row r="93" spans="1:57" s="3" customFormat="1" x14ac:dyDescent="0.2">
      <c r="A93" s="3" t="s">
        <v>440</v>
      </c>
      <c r="B93" s="3" t="str">
        <f>LOWER(VLOOKUP(A93,Xtal_Templ!A:B,2,FALSE))</f>
        <v>agtr1_human</v>
      </c>
      <c r="C93" s="3">
        <f>VLOOKUP($A93,'NonXtal_SegEnds_BW#'!$A:$Z,3,FALSE)+D93-50</f>
        <v>37</v>
      </c>
      <c r="D93" s="3">
        <v>57</v>
      </c>
      <c r="E93" s="3">
        <f>IF(ISERROR(VLOOKUP($A93,'NonXtal_SegEnds_BW#'!$A:$Z,4,FALSE)+VLOOKUP($A93,A:AL,4,FALSE)-50),"-",(VLOOKUP($A93,'NonXtal_SegEnds_BW#'!$A:$Z,4,FALSE)+VLOOKUP($A93,A:AL,4,FALSE)-50))</f>
        <v>67</v>
      </c>
      <c r="F93" s="3">
        <f>G93-2</f>
        <v>68</v>
      </c>
      <c r="G93" s="3">
        <v>70</v>
      </c>
      <c r="H93" s="3">
        <f t="shared" ref="H93:I95" si="63">G93+1</f>
        <v>71</v>
      </c>
      <c r="I93" s="3">
        <f t="shared" si="63"/>
        <v>72</v>
      </c>
      <c r="J93" s="3">
        <v>85</v>
      </c>
      <c r="K93" s="3">
        <f>VLOOKUP($A93,'NonXtal_SegEnds_BW#'!$A:$Z,8,FALSE)+VLOOKUP($A93,A:AL,10,FALSE)-50</f>
        <v>101</v>
      </c>
      <c r="L93" s="3">
        <f t="shared" si="60"/>
        <v>104</v>
      </c>
      <c r="M93" s="3">
        <v>105</v>
      </c>
      <c r="N93" s="3">
        <f t="shared" si="61"/>
        <v>107</v>
      </c>
      <c r="O93" s="3">
        <f t="shared" si="62"/>
        <v>108</v>
      </c>
      <c r="P93" s="3">
        <v>137</v>
      </c>
      <c r="Q93" s="3">
        <f>VLOOKUP($A93,'NonXtal_SegEnds_BW#'!$A:$Z,12,FALSE)+VLOOKUP($A93,A:AL,16,FALSE)-50</f>
        <v>143</v>
      </c>
      <c r="R93" s="3">
        <f>IF(ISERROR(VLOOKUP($A93,'NonXtal_SegEnds_BW#'!$A:$Z,13,FALSE)+VLOOKUP($A93,A:AL,19,FALSE)-50),"-",VLOOKUP($A93,'NonXtal_SegEnds_BW#'!$A:$Z,13,FALSE)+VLOOKUP($A93,A:AL,19,FALSE)-50)</f>
        <v>144</v>
      </c>
      <c r="S93" s="3">
        <v>144</v>
      </c>
      <c r="T93" s="3">
        <f>IF(ISERROR(VLOOKUP($A93,'NonXtal_SegEnds_BW#'!$A:$Z,14,FALSE)+VLOOKUP($A93,A:AL,19,FALSE)-50),"-",(VLOOKUP($A93,'NonXtal_SegEnds_BW#'!$A:$Z,14,FALSE)+VLOOKUP($A93,A:AL,19,FALSE)-50))</f>
        <v>151</v>
      </c>
      <c r="U93" s="3">
        <f>IF(ISERROR(VLOOKUP($A93,'NonXtal_SegEnds_BW#'!$A:$Z,15,FALSE)+VLOOKUP($A93,A:AL,22,FALSE)-50),"-",VLOOKUP($A93,'NonXtal_SegEnds_BW#'!$A:$Z,15,FALSE)+VLOOKUP($A93,A:AL,22,FALSE)-50)</f>
        <v>153</v>
      </c>
      <c r="V93" s="3">
        <v>164</v>
      </c>
      <c r="W93" s="3">
        <f>IF(ISERROR(VLOOKUP($A93,'NonXtal_SegEnds_BW#'!$A:$Z,16,FALSE)+VLOOKUP($A93,A:AL,22,FALSE)-50),"-",(VLOOKUP($A93,'NonXtal_SegEnds_BW#'!$A:$Z,16,FALSE)+VLOOKUP($A93,A:AL,22,FALSE)-50))</f>
        <v>178</v>
      </c>
      <c r="X93" s="3">
        <f>IF(ISERROR(VLOOKUP($A93,'NonXtal_SegEnds_BW#'!$A:$Z,17,FALSE)+VLOOKUP($A93,A:AL,25,FALSE)-50),"-",(VLOOKUP($A93,'NonXtal_SegEnds_BW#'!$A:$Z,17,FALSE)+VLOOKUP($A93,A:AL,25,FALSE)-50))</f>
        <v>191</v>
      </c>
      <c r="Y93" s="3">
        <v>191</v>
      </c>
      <c r="Z93" s="3">
        <f t="shared" si="58"/>
        <v>193</v>
      </c>
      <c r="AA93" s="3">
        <f>IF(ISERROR(VLOOKUP($A93,'NonXtal_SegEnds_BW#'!$A:$Z,19,FALSE)+VLOOKUP($A93,A:AL,28,FALSE)-50),"-",(VLOOKUP($A93,'NonXtal_SegEnds_BW#'!$A:$Z,19,FALSE)+VLOOKUP($A93,A:AL,28,FALSE)-50))</f>
        <v>198</v>
      </c>
      <c r="AB93" s="3">
        <v>214</v>
      </c>
      <c r="AC93" s="3">
        <f>IF(ISERROR((VLOOKUP($A93,'NonXtal_SegEnds_BW#'!$A:$Z,20,FALSE)+VLOOKUP($A93,A:AL,28,FALSE)-50)),"-",(VLOOKUP($A93,'NonXtal_SegEnds_BW#'!$A:$Z,20,FALSE)+VLOOKUP($A93,A:AL,28,FALSE)-50))</f>
        <v>231</v>
      </c>
      <c r="AD93" s="3">
        <f>IF(ISERROR(VLOOKUP($A93,'NonXtal_SegEnds_BW#'!$A:$Z,21,FALSE)+VLOOKUP($A93,A:AL,31,FALSE)-50),"-",(VLOOKUP($A93,'NonXtal_SegEnds_BW#'!$A:$Z,21,FALSE)+VLOOKUP($A93,A:AL,31,FALSE)-50))</f>
        <v>237</v>
      </c>
      <c r="AE93" s="3">
        <v>259</v>
      </c>
      <c r="AF93" s="3">
        <f>IF(ISERROR((VLOOKUP($A93,'NonXtal_SegEnds_BW#'!$A:$Z,22,FALSE)+VLOOKUP($A93,A:AL,31,FALSE)-50)),"-",(VLOOKUP($A93,'NonXtal_SegEnds_BW#'!$A:$Z,22,FALSE)+VLOOKUP($A93,A:AL,31,FALSE)-50))</f>
        <v>273</v>
      </c>
      <c r="AG93" s="3">
        <f>IF(ISERROR(VLOOKUP($A93,'NonXtal_SegEnds_BW#'!$A:$Z,23,FALSE)+VLOOKUP($A93,A:AL,34,FALSE)-50),"-",(VLOOKUP($A93,'NonXtal_SegEnds_BW#'!$A:$Z,23,FALSE)+VLOOKUP($A93,A:AL,34,FALSE)-50))</f>
        <v>278</v>
      </c>
      <c r="AH93" s="3">
        <v>304</v>
      </c>
      <c r="AI93" s="3">
        <f>IF(ISERROR((VLOOKUP($A93,'NonXtal_SegEnds_BW#'!$A:$Z,24,FALSE)+VLOOKUP($A93,A:AL,34,FALSE)-50)),"-",(VLOOKUP($A93,'NonXtal_SegEnds_BW#'!$A:$Z,24,FALSE)+VLOOKUP($A93,A:AL,34,FALSE)-50))</f>
        <v>310</v>
      </c>
      <c r="AJ93" s="3">
        <f>IF(ISERROR(VLOOKUP($A93,'NonXtal_SegEnds_BW#'!$A:$Z,25,FALSE)+VLOOKUP($A93,A:AL,37,FALSE)-50),"-",(VLOOKUP($A93,'NonXtal_SegEnds_BW#'!$A:$Z,25,FALSE)+VLOOKUP($A93,A:AL,37,FALSE)-50))</f>
        <v>311</v>
      </c>
      <c r="AK93" s="3">
        <v>314</v>
      </c>
      <c r="AL93" s="3">
        <f>IF(ISERROR((VLOOKUP($A93,'NonXtal_SegEnds_BW#'!$A:$Z,26,FALSE)+VLOOKUP($A93,A:AL,37,FALSE)-50)),"-",(VLOOKUP($A93,'NonXtal_SegEnds_BW#'!$A:$Z,26,FALSE)+VLOOKUP($A93,A:AL,37,FALSE)-50))</f>
        <v>325</v>
      </c>
      <c r="AM93" s="71" t="str">
        <f>VLOOKUP(A93,Classification!A:B,2,FALSE)</f>
        <v>A</v>
      </c>
      <c r="AN93" s="71" t="b">
        <f t="shared" si="36"/>
        <v>1</v>
      </c>
      <c r="AO93" s="3">
        <f t="shared" si="37"/>
        <v>1</v>
      </c>
      <c r="AP93" s="3">
        <f t="shared" si="38"/>
        <v>1</v>
      </c>
      <c r="AQ93" s="3">
        <f t="shared" si="39"/>
        <v>3</v>
      </c>
      <c r="AR93" s="3">
        <f t="shared" si="40"/>
        <v>1</v>
      </c>
      <c r="AS93" s="3">
        <f t="shared" si="41"/>
        <v>1</v>
      </c>
      <c r="AT93" s="3">
        <f t="shared" si="42"/>
        <v>2</v>
      </c>
      <c r="AU93" s="3">
        <f t="shared" si="43"/>
        <v>13</v>
      </c>
      <c r="AV93" s="3">
        <f t="shared" si="44"/>
        <v>5</v>
      </c>
      <c r="AW93" s="3">
        <f t="shared" si="45"/>
        <v>6</v>
      </c>
      <c r="AX93" s="3">
        <f t="shared" si="46"/>
        <v>5</v>
      </c>
      <c r="AY93" s="3">
        <f t="shared" si="47"/>
        <v>1</v>
      </c>
      <c r="AZ93" s="3">
        <f>IF(ISERROR(LEN(VLOOKUP(A93,Seqs!A:E,2,FALSE))-AL93),"-",LEN(VLOOKUP(A93,Seqs!A:E,2,FALSE))-AL93)</f>
        <v>36</v>
      </c>
      <c r="BA93" s="35">
        <f t="shared" si="48"/>
        <v>28</v>
      </c>
      <c r="BB93" s="3">
        <f t="shared" si="49"/>
        <v>20</v>
      </c>
      <c r="BC93" s="3">
        <f t="shared" si="50"/>
        <v>28</v>
      </c>
      <c r="BD93" s="3">
        <f t="shared" si="51"/>
        <v>45</v>
      </c>
    </row>
    <row r="94" spans="1:57" s="3" customFormat="1" x14ac:dyDescent="0.2">
      <c r="A94" s="3" t="s">
        <v>568</v>
      </c>
      <c r="B94" s="3" t="str">
        <f>LOWER(VLOOKUP(A94,Xtal_Templ!A:B,2,FALSE))</f>
        <v>agtr1_human</v>
      </c>
      <c r="C94" s="3">
        <f>VLOOKUP($A94,'NonXtal_SegEnds_BW#'!$A:$Z,3,FALSE)+D94-50</f>
        <v>37</v>
      </c>
      <c r="D94" s="3">
        <v>57</v>
      </c>
      <c r="E94" s="3">
        <f>IF(ISERROR(VLOOKUP($A94,'NonXtal_SegEnds_BW#'!$A:$Z,4,FALSE)+VLOOKUP($A94,A:AL,4,FALSE)-50),"-",(VLOOKUP($A94,'NonXtal_SegEnds_BW#'!$A:$Z,4,FALSE)+VLOOKUP($A94,A:AL,4,FALSE)-50))</f>
        <v>67</v>
      </c>
      <c r="F94" s="3">
        <f>G94-2</f>
        <v>69</v>
      </c>
      <c r="G94" s="3">
        <v>71</v>
      </c>
      <c r="H94" s="3">
        <f t="shared" si="63"/>
        <v>72</v>
      </c>
      <c r="I94" s="3">
        <f t="shared" si="63"/>
        <v>73</v>
      </c>
      <c r="J94" s="3">
        <v>87</v>
      </c>
      <c r="K94" s="3">
        <f>VLOOKUP($A94,'NonXtal_SegEnds_BW#'!$A:$Z,8,FALSE)+VLOOKUP($A94,A:AL,10,FALSE)-50</f>
        <v>103</v>
      </c>
      <c r="L94" s="3">
        <f t="shared" si="60"/>
        <v>106</v>
      </c>
      <c r="M94" s="3">
        <v>107</v>
      </c>
      <c r="N94" s="3">
        <f t="shared" si="61"/>
        <v>109</v>
      </c>
      <c r="O94" s="3">
        <f t="shared" si="62"/>
        <v>110</v>
      </c>
      <c r="P94" s="3">
        <v>139</v>
      </c>
      <c r="Q94" s="3">
        <f>VLOOKUP($A94,'NonXtal_SegEnds_BW#'!$A:$Z,12,FALSE)+VLOOKUP($A94,A:AL,16,FALSE)-50</f>
        <v>145</v>
      </c>
      <c r="R94" s="3">
        <f>IF(ISERROR(VLOOKUP($A94,'NonXtal_SegEnds_BW#'!$A:$Z,13,FALSE)+VLOOKUP($A94,A:AL,19,FALSE)-50),"-",VLOOKUP($A94,'NonXtal_SegEnds_BW#'!$A:$Z,13,FALSE)+VLOOKUP($A94,A:AL,19,FALSE)-50)</f>
        <v>146</v>
      </c>
      <c r="S94" s="3">
        <v>146</v>
      </c>
      <c r="T94" s="3">
        <f>IF(ISERROR(VLOOKUP($A94,'NonXtal_SegEnds_BW#'!$A:$Z,14,FALSE)+VLOOKUP($A94,A:AL,19,FALSE)-50),"-",(VLOOKUP($A94,'NonXtal_SegEnds_BW#'!$A:$Z,14,FALSE)+VLOOKUP($A94,A:AL,19,FALSE)-50))</f>
        <v>153</v>
      </c>
      <c r="U94" s="3">
        <f>IF(ISERROR(VLOOKUP($A94,'NonXtal_SegEnds_BW#'!$A:$Z,15,FALSE)+VLOOKUP($A94,A:AL,22,FALSE)-50),"-",VLOOKUP($A94,'NonXtal_SegEnds_BW#'!$A:$Z,15,FALSE)+VLOOKUP($A94,A:AL,22,FALSE)-50)</f>
        <v>155</v>
      </c>
      <c r="V94" s="3">
        <v>166</v>
      </c>
      <c r="W94" s="3">
        <f>IF(ISERROR(VLOOKUP($A94,'NonXtal_SegEnds_BW#'!$A:$Z,16,FALSE)+VLOOKUP($A94,A:AL,22,FALSE)-50),"-",(VLOOKUP($A94,'NonXtal_SegEnds_BW#'!$A:$Z,16,FALSE)+VLOOKUP($A94,A:AL,22,FALSE)-50))</f>
        <v>180</v>
      </c>
      <c r="X94" s="3">
        <f>IF(ISERROR(VLOOKUP($A94,'NonXtal_SegEnds_BW#'!$A:$Z,17,FALSE)+VLOOKUP($A94,A:AL,25,FALSE)-50),"-",(VLOOKUP($A94,'NonXtal_SegEnds_BW#'!$A:$Z,17,FALSE)+VLOOKUP($A94,A:AL,25,FALSE)-50))</f>
        <v>191</v>
      </c>
      <c r="Y94" s="3">
        <v>191</v>
      </c>
      <c r="Z94" s="3">
        <f t="shared" si="58"/>
        <v>193</v>
      </c>
      <c r="AA94" s="3">
        <f>IF(ISERROR(VLOOKUP($A94,'NonXtal_SegEnds_BW#'!$A:$Z,19,FALSE)+VLOOKUP($A94,A:AL,28,FALSE)-50),"-",(VLOOKUP($A94,'NonXtal_SegEnds_BW#'!$A:$Z,19,FALSE)+VLOOKUP($A94,A:AL,28,FALSE)-50))</f>
        <v>200</v>
      </c>
      <c r="AB94" s="3">
        <v>216</v>
      </c>
      <c r="AC94" s="3">
        <f>IF(ISERROR((VLOOKUP($A94,'NonXtal_SegEnds_BW#'!$A:$Z,20,FALSE)+VLOOKUP($A94,A:AL,28,FALSE)-50)),"-",(VLOOKUP($A94,'NonXtal_SegEnds_BW#'!$A:$Z,20,FALSE)+VLOOKUP($A94,A:AL,28,FALSE)-50))</f>
        <v>233</v>
      </c>
      <c r="AD94" s="3">
        <f>IF(ISERROR(VLOOKUP($A94,'NonXtal_SegEnds_BW#'!$A:$Z,21,FALSE)+VLOOKUP($A94,A:AL,31,FALSE)-50),"-",(VLOOKUP($A94,'NonXtal_SegEnds_BW#'!$A:$Z,21,FALSE)+VLOOKUP($A94,A:AL,31,FALSE)-50))</f>
        <v>239</v>
      </c>
      <c r="AE94" s="3">
        <v>261</v>
      </c>
      <c r="AF94" s="3">
        <f>IF(ISERROR((VLOOKUP($A94,'NonXtal_SegEnds_BW#'!$A:$Z,22,FALSE)+VLOOKUP($A94,A:AL,31,FALSE)-50)),"-",(VLOOKUP($A94,'NonXtal_SegEnds_BW#'!$A:$Z,22,FALSE)+VLOOKUP($A94,A:AL,31,FALSE)-50))</f>
        <v>275</v>
      </c>
      <c r="AG94" s="3">
        <f>IF(ISERROR(VLOOKUP($A94,'NonXtal_SegEnds_BW#'!$A:$Z,23,FALSE)+VLOOKUP($A94,A:AL,34,FALSE)-50),"-",(VLOOKUP($A94,'NonXtal_SegEnds_BW#'!$A:$Z,23,FALSE)+VLOOKUP($A94,A:AL,34,FALSE)-50))</f>
        <v>280</v>
      </c>
      <c r="AH94" s="3">
        <v>306</v>
      </c>
      <c r="AI94" s="3">
        <f>IF(ISERROR((VLOOKUP($A94,'NonXtal_SegEnds_BW#'!$A:$Z,24,FALSE)+VLOOKUP($A94,A:AL,34,FALSE)-50)),"-",(VLOOKUP($A94,'NonXtal_SegEnds_BW#'!$A:$Z,24,FALSE)+VLOOKUP($A94,A:AL,34,FALSE)-50))</f>
        <v>312</v>
      </c>
      <c r="AJ94" s="3">
        <f>IF(ISERROR(VLOOKUP($A94,'NonXtal_SegEnds_BW#'!$A:$Z,25,FALSE)+VLOOKUP($A94,A:AL,37,FALSE)-50),"-",(VLOOKUP($A94,'NonXtal_SegEnds_BW#'!$A:$Z,25,FALSE)+VLOOKUP($A94,A:AL,37,FALSE)-50))</f>
        <v>313</v>
      </c>
      <c r="AK94" s="3">
        <v>316</v>
      </c>
      <c r="AL94" s="3">
        <f>IF(ISERROR((VLOOKUP($A94,'NonXtal_SegEnds_BW#'!$A:$Z,26,FALSE)+VLOOKUP($A94,A:AL,37,FALSE)-50)),"-",(VLOOKUP($A94,'NonXtal_SegEnds_BW#'!$A:$Z,26,FALSE)+VLOOKUP($A94,A:AL,37,FALSE)-50))</f>
        <v>327</v>
      </c>
      <c r="AM94" s="71" t="str">
        <f>VLOOKUP(A94,Classification!A:B,2,FALSE)</f>
        <v>A</v>
      </c>
      <c r="AN94" s="71" t="b">
        <f t="shared" si="36"/>
        <v>1</v>
      </c>
      <c r="AO94" s="3">
        <f t="shared" si="37"/>
        <v>2</v>
      </c>
      <c r="AP94" s="3">
        <f t="shared" si="38"/>
        <v>1</v>
      </c>
      <c r="AQ94" s="3">
        <f t="shared" si="39"/>
        <v>3</v>
      </c>
      <c r="AR94" s="3">
        <f t="shared" si="40"/>
        <v>1</v>
      </c>
      <c r="AS94" s="3">
        <f t="shared" si="41"/>
        <v>1</v>
      </c>
      <c r="AT94" s="3">
        <f t="shared" si="42"/>
        <v>2</v>
      </c>
      <c r="AU94" s="3">
        <f t="shared" si="43"/>
        <v>11</v>
      </c>
      <c r="AV94" s="3">
        <f t="shared" si="44"/>
        <v>7</v>
      </c>
      <c r="AW94" s="3">
        <f t="shared" si="45"/>
        <v>6</v>
      </c>
      <c r="AX94" s="3">
        <f t="shared" si="46"/>
        <v>5</v>
      </c>
      <c r="AY94" s="3">
        <f t="shared" si="47"/>
        <v>1</v>
      </c>
      <c r="AZ94" s="3">
        <f>IF(ISERROR(LEN(VLOOKUP(A94,Seqs!A:E,2,FALSE))-AL94),"-",LEN(VLOOKUP(A94,Seqs!A:E,2,FALSE))-AL94)</f>
        <v>47</v>
      </c>
      <c r="BA94" s="35">
        <f t="shared" si="48"/>
        <v>30</v>
      </c>
      <c r="BB94" s="3">
        <f t="shared" si="49"/>
        <v>20</v>
      </c>
      <c r="BC94" s="3">
        <f t="shared" si="50"/>
        <v>30</v>
      </c>
      <c r="BD94" s="3">
        <f t="shared" si="51"/>
        <v>45</v>
      </c>
    </row>
    <row r="95" spans="1:57" s="3" customFormat="1" x14ac:dyDescent="0.2">
      <c r="A95" s="3" t="s">
        <v>355</v>
      </c>
      <c r="B95" s="3" t="str">
        <f>LOWER(VLOOKUP(A95,Xtal_Templ!A:B,2,FALSE))</f>
        <v>agtr1_human</v>
      </c>
      <c r="C95" s="3">
        <f>VLOOKUP($A95,'NonXtal_SegEnds_BW#'!$A:$Z,3,FALSE)+D95-50</f>
        <v>35</v>
      </c>
      <c r="D95" s="3">
        <v>55</v>
      </c>
      <c r="E95" s="3">
        <f>IF(ISERROR(VLOOKUP($A95,'NonXtal_SegEnds_BW#'!$A:$Z,4,FALSE)+VLOOKUP($A95,A:AL,4,FALSE)-50),"-",(VLOOKUP($A95,'NonXtal_SegEnds_BW#'!$A:$Z,4,FALSE)+VLOOKUP($A95,A:AL,4,FALSE)-50))</f>
        <v>65</v>
      </c>
      <c r="F95" s="3">
        <f>G95-2</f>
        <v>66</v>
      </c>
      <c r="G95" s="3">
        <v>68</v>
      </c>
      <c r="H95" s="3">
        <f t="shared" si="63"/>
        <v>69</v>
      </c>
      <c r="I95" s="3">
        <f t="shared" si="63"/>
        <v>70</v>
      </c>
      <c r="J95" s="3">
        <v>83</v>
      </c>
      <c r="K95" s="3">
        <f>VLOOKUP($A95,'NonXtal_SegEnds_BW#'!$A:$Z,8,FALSE)+VLOOKUP($A95,A:AL,10,FALSE)-50</f>
        <v>99</v>
      </c>
      <c r="L95" s="3">
        <f t="shared" si="60"/>
        <v>102</v>
      </c>
      <c r="M95" s="3">
        <v>103</v>
      </c>
      <c r="N95" s="3">
        <f t="shared" si="61"/>
        <v>105</v>
      </c>
      <c r="O95" s="3">
        <f t="shared" si="62"/>
        <v>106</v>
      </c>
      <c r="P95" s="3">
        <v>135</v>
      </c>
      <c r="Q95" s="3">
        <f>VLOOKUP($A95,'NonXtal_SegEnds_BW#'!$A:$Z,12,FALSE)+VLOOKUP($A95,A:AL,16,FALSE)-50</f>
        <v>141</v>
      </c>
      <c r="R95" s="3">
        <f>IF(ISERROR(VLOOKUP($A95,'NonXtal_SegEnds_BW#'!$A:$Z,13,FALSE)+VLOOKUP($A95,A:AL,19,FALSE)-50),"-",VLOOKUP($A95,'NonXtal_SegEnds_BW#'!$A:$Z,13,FALSE)+VLOOKUP($A95,A:AL,19,FALSE)-50)</f>
        <v>142</v>
      </c>
      <c r="S95" s="3">
        <v>142</v>
      </c>
      <c r="T95" s="3">
        <f>IF(ISERROR(VLOOKUP($A95,'NonXtal_SegEnds_BW#'!$A:$Z,14,FALSE)+VLOOKUP($A95,A:AL,19,FALSE)-50),"-",(VLOOKUP($A95,'NonXtal_SegEnds_BW#'!$A:$Z,14,FALSE)+VLOOKUP($A95,A:AL,19,FALSE)-50))</f>
        <v>149</v>
      </c>
      <c r="U95" s="3">
        <f>IF(ISERROR(VLOOKUP($A95,'NonXtal_SegEnds_BW#'!$A:$Z,15,FALSE)+VLOOKUP($A95,A:AL,22,FALSE)-50),"-",VLOOKUP($A95,'NonXtal_SegEnds_BW#'!$A:$Z,15,FALSE)+VLOOKUP($A95,A:AL,22,FALSE)-50)</f>
        <v>151</v>
      </c>
      <c r="V95" s="3">
        <v>162</v>
      </c>
      <c r="W95" s="3">
        <f>IF(ISERROR(VLOOKUP($A95,'NonXtal_SegEnds_BW#'!$A:$Z,16,FALSE)+VLOOKUP($A95,A:AL,22,FALSE)-50),"-",(VLOOKUP($A95,'NonXtal_SegEnds_BW#'!$A:$Z,16,FALSE)+VLOOKUP($A95,A:AL,22,FALSE)-50))</f>
        <v>176</v>
      </c>
      <c r="X95" s="3">
        <f>IF(ISERROR(VLOOKUP($A95,'NonXtal_SegEnds_BW#'!$A:$Z,17,FALSE)+VLOOKUP($A95,A:AL,25,FALSE)-50),"-",(VLOOKUP($A95,'NonXtal_SegEnds_BW#'!$A:$Z,17,FALSE)+VLOOKUP($A95,A:AL,25,FALSE)-50))</f>
        <v>189</v>
      </c>
      <c r="Y95" s="3">
        <v>189</v>
      </c>
      <c r="Z95" s="3">
        <f t="shared" si="58"/>
        <v>191</v>
      </c>
      <c r="AA95" s="3">
        <f>IF(ISERROR(VLOOKUP($A95,'NonXtal_SegEnds_BW#'!$A:$Z,19,FALSE)+VLOOKUP($A95,A:AL,28,FALSE)-50),"-",(VLOOKUP($A95,'NonXtal_SegEnds_BW#'!$A:$Z,19,FALSE)+VLOOKUP($A95,A:AL,28,FALSE)-50))</f>
        <v>198</v>
      </c>
      <c r="AB95" s="3">
        <v>214</v>
      </c>
      <c r="AC95" s="3">
        <f>IF(ISERROR((VLOOKUP($A95,'NonXtal_SegEnds_BW#'!$A:$Z,20,FALSE)+VLOOKUP($A95,A:AL,28,FALSE)-50)),"-",(VLOOKUP($A95,'NonXtal_SegEnds_BW#'!$A:$Z,20,FALSE)+VLOOKUP($A95,A:AL,28,FALSE)-50))</f>
        <v>232</v>
      </c>
      <c r="AD95" s="3">
        <f>IF(ISERROR(VLOOKUP($A95,'NonXtal_SegEnds_BW#'!$A:$Z,21,FALSE)+VLOOKUP($A95,A:AL,31,FALSE)-50),"-",(VLOOKUP($A95,'NonXtal_SegEnds_BW#'!$A:$Z,21,FALSE)+VLOOKUP($A95,A:AL,31,FALSE)-50))</f>
        <v>238</v>
      </c>
      <c r="AE95" s="3">
        <v>265</v>
      </c>
      <c r="AF95" s="3">
        <f>IF(ISERROR((VLOOKUP($A95,'NonXtal_SegEnds_BW#'!$A:$Z,22,FALSE)+VLOOKUP($A95,A:AL,31,FALSE)-50)),"-",(VLOOKUP($A95,'NonXtal_SegEnds_BW#'!$A:$Z,22,FALSE)+VLOOKUP($A95,A:AL,31,FALSE)-50))</f>
        <v>279</v>
      </c>
      <c r="AG95" s="3">
        <f>IF(ISERROR(VLOOKUP($A95,'NonXtal_SegEnds_BW#'!$A:$Z,23,FALSE)+VLOOKUP($A95,A:AL,34,FALSE)-50),"-",(VLOOKUP($A95,'NonXtal_SegEnds_BW#'!$A:$Z,23,FALSE)+VLOOKUP($A95,A:AL,34,FALSE)-50))</f>
        <v>283</v>
      </c>
      <c r="AH95" s="3">
        <v>309</v>
      </c>
      <c r="AI95" s="3">
        <f>IF(ISERROR((VLOOKUP($A95,'NonXtal_SegEnds_BW#'!$A:$Z,24,FALSE)+VLOOKUP($A95,A:AL,34,FALSE)-50)),"-",(VLOOKUP($A95,'NonXtal_SegEnds_BW#'!$A:$Z,24,FALSE)+VLOOKUP($A95,A:AL,34,FALSE)-50))</f>
        <v>315</v>
      </c>
      <c r="AJ95" s="3">
        <f>IF(ISERROR(VLOOKUP($A95,'NonXtal_SegEnds_BW#'!$A:$Z,25,FALSE)+VLOOKUP($A95,A:AL,37,FALSE)-50),"-",(VLOOKUP($A95,'NonXtal_SegEnds_BW#'!$A:$Z,25,FALSE)+VLOOKUP($A95,A:AL,37,FALSE)-50))</f>
        <v>316</v>
      </c>
      <c r="AK95" s="3">
        <v>319</v>
      </c>
      <c r="AL95" s="3">
        <f>IF(ISERROR((VLOOKUP($A95,'NonXtal_SegEnds_BW#'!$A:$Z,26,FALSE)+VLOOKUP($A95,A:AL,37,FALSE)-50)),"-",(VLOOKUP($A95,'NonXtal_SegEnds_BW#'!$A:$Z,26,FALSE)+VLOOKUP($A95,A:AL,37,FALSE)-50))</f>
        <v>330</v>
      </c>
      <c r="AM95" s="71" t="str">
        <f>VLOOKUP(A95,Classification!A:B,2,FALSE)</f>
        <v>A</v>
      </c>
      <c r="AN95" s="71" t="b">
        <f t="shared" si="36"/>
        <v>1</v>
      </c>
      <c r="AO95" s="3">
        <f t="shared" si="37"/>
        <v>1</v>
      </c>
      <c r="AP95" s="3">
        <f t="shared" si="38"/>
        <v>1</v>
      </c>
      <c r="AQ95" s="3">
        <f t="shared" si="39"/>
        <v>3</v>
      </c>
      <c r="AR95" s="3">
        <f t="shared" si="40"/>
        <v>1</v>
      </c>
      <c r="AS95" s="3">
        <f t="shared" si="41"/>
        <v>1</v>
      </c>
      <c r="AT95" s="3">
        <f t="shared" si="42"/>
        <v>2</v>
      </c>
      <c r="AU95" s="3">
        <f t="shared" si="43"/>
        <v>13</v>
      </c>
      <c r="AV95" s="3">
        <f t="shared" si="44"/>
        <v>7</v>
      </c>
      <c r="AW95" s="3">
        <f t="shared" si="45"/>
        <v>6</v>
      </c>
      <c r="AX95" s="3">
        <f t="shared" si="46"/>
        <v>4</v>
      </c>
      <c r="AY95" s="3">
        <f t="shared" si="47"/>
        <v>1</v>
      </c>
      <c r="AZ95" s="3">
        <f>IF(ISERROR(LEN(VLOOKUP(A95,Seqs!A:E,2,FALSE))-AL95),"-",LEN(VLOOKUP(A95,Seqs!A:E,2,FALSE))-AL95)</f>
        <v>23</v>
      </c>
      <c r="BA95" s="35">
        <f t="shared" si="48"/>
        <v>28</v>
      </c>
      <c r="BB95" s="3">
        <f t="shared" si="49"/>
        <v>20</v>
      </c>
      <c r="BC95" s="3">
        <f t="shared" si="50"/>
        <v>28</v>
      </c>
      <c r="BD95" s="3">
        <f t="shared" si="51"/>
        <v>51</v>
      </c>
      <c r="BE95" s="3">
        <f>AH95-AE95</f>
        <v>44</v>
      </c>
    </row>
    <row r="96" spans="1:57" s="3" customFormat="1" x14ac:dyDescent="0.2">
      <c r="A96" s="3" t="s">
        <v>375</v>
      </c>
      <c r="B96" s="3" t="str">
        <f>LOWER(VLOOKUP(A96,Xtal_Templ!A:B,2,FALSE))</f>
        <v>agtr1_human</v>
      </c>
      <c r="C96" s="3">
        <f>VLOOKUP($A96,'NonXtal_SegEnds_BW#'!$A:$Z,3,FALSE)+D96-50</f>
        <v>38</v>
      </c>
      <c r="D96" s="3">
        <v>58</v>
      </c>
      <c r="E96" s="3">
        <f>IF(ISERROR(VLOOKUP($A96,'NonXtal_SegEnds_BW#'!$A:$Z,4,FALSE)+VLOOKUP($A96,A:AL,4,FALSE)-50),"-",(VLOOKUP($A96,'NonXtal_SegEnds_BW#'!$A:$Z,4,FALSE)+VLOOKUP($A96,A:AL,4,FALSE)-50))</f>
        <v>68</v>
      </c>
      <c r="F96" s="3" t="str">
        <f>IF(ISERROR(VLOOKUP($A96,'NonXtal_SegEnds_BW#'!$A:$Z,5,FALSE)+VLOOKUP($A96,A:AL,7,FALSE)-50),"-",(VLOOKUP($A96,'NonXtal_SegEnds_BW#'!$A:$Z,5,FALSE)+VLOOKUP($A96,A:AL,7,FALSE)-50))</f>
        <v>-</v>
      </c>
      <c r="G96" s="3" t="s">
        <v>129</v>
      </c>
      <c r="H96" s="3" t="str">
        <f>IF(ISERROR(VLOOKUP($A96,'NonXtal_SegEnds_BW#'!$A:$Z,6,FALSE)+VLOOKUP($A96,A:AL,7,FALSE)-50),"-",(VLOOKUP($A96,'NonXtal_SegEnds_BW#'!$A:$Z,6,FALSE)+VLOOKUP($A96,A:AL,7,FALSE)-50))</f>
        <v>-</v>
      </c>
      <c r="I96" s="3">
        <f>VLOOKUP($A96,'NonXtal_SegEnds_BW#'!$A:$Z,7,FALSE)+J96-50</f>
        <v>72</v>
      </c>
      <c r="J96" s="3">
        <v>85</v>
      </c>
      <c r="K96" s="3">
        <f>VLOOKUP($A96,'NonXtal_SegEnds_BW#'!$A:$Z,8,FALSE)+VLOOKUP($A96,A:AL,10,FALSE)-50</f>
        <v>101</v>
      </c>
      <c r="L96" s="3">
        <f t="shared" si="60"/>
        <v>104</v>
      </c>
      <c r="M96" s="3">
        <v>105</v>
      </c>
      <c r="N96" s="3">
        <f t="shared" si="61"/>
        <v>107</v>
      </c>
      <c r="O96" s="3">
        <f t="shared" si="62"/>
        <v>108</v>
      </c>
      <c r="P96" s="3">
        <v>137</v>
      </c>
      <c r="Q96" s="3">
        <f>VLOOKUP($A96,'NonXtal_SegEnds_BW#'!$A:$Z,12,FALSE)+VLOOKUP($A96,A:AL,16,FALSE)-50</f>
        <v>143</v>
      </c>
      <c r="R96" s="3">
        <f>IF(ISERROR(VLOOKUP($A96,'NonXtal_SegEnds_BW#'!$A:$Z,13,FALSE)+VLOOKUP($A96,A:AL,19,FALSE)-50),"-",VLOOKUP($A96,'NonXtal_SegEnds_BW#'!$A:$Z,13,FALSE)+VLOOKUP($A96,A:AL,19,FALSE)-50)</f>
        <v>144</v>
      </c>
      <c r="S96" s="3">
        <v>144</v>
      </c>
      <c r="T96" s="3">
        <f>IF(ISERROR(VLOOKUP($A96,'NonXtal_SegEnds_BW#'!$A:$Z,14,FALSE)+VLOOKUP($A96,A:AL,19,FALSE)-50),"-",(VLOOKUP($A96,'NonXtal_SegEnds_BW#'!$A:$Z,14,FALSE)+VLOOKUP($A96,A:AL,19,FALSE)-50))</f>
        <v>151</v>
      </c>
      <c r="U96" s="3">
        <f>IF(ISERROR(VLOOKUP($A96,'NonXtal_SegEnds_BW#'!$A:$Z,15,FALSE)+VLOOKUP($A96,A:AL,22,FALSE)-50),"-",VLOOKUP($A96,'NonXtal_SegEnds_BW#'!$A:$Z,15,FALSE)+VLOOKUP($A96,A:AL,22,FALSE)-50)</f>
        <v>153</v>
      </c>
      <c r="V96" s="3">
        <v>164</v>
      </c>
      <c r="W96" s="3">
        <f>IF(ISERROR(VLOOKUP($A96,'NonXtal_SegEnds_BW#'!$A:$Z,16,FALSE)+VLOOKUP($A96,A:AL,22,FALSE)-50),"-",(VLOOKUP($A96,'NonXtal_SegEnds_BW#'!$A:$Z,16,FALSE)+VLOOKUP($A96,A:AL,22,FALSE)-50))</f>
        <v>178</v>
      </c>
      <c r="X96" s="3">
        <f>IF(ISERROR(VLOOKUP($A96,'NonXtal_SegEnds_BW#'!$A:$Z,17,FALSE)+VLOOKUP($A96,A:AL,25,FALSE)-50),"-",(VLOOKUP($A96,'NonXtal_SegEnds_BW#'!$A:$Z,17,FALSE)+VLOOKUP($A96,A:AL,25,FALSE)-50))</f>
        <v>189</v>
      </c>
      <c r="Y96" s="3">
        <v>189</v>
      </c>
      <c r="Z96" s="3">
        <f t="shared" si="58"/>
        <v>191</v>
      </c>
      <c r="AA96" s="3">
        <f>IF(ISERROR(VLOOKUP($A96,'NonXtal_SegEnds_BW#'!$A:$Z,19,FALSE)+VLOOKUP($A96,A:AL,28,FALSE)-50),"-",(VLOOKUP($A96,'NonXtal_SegEnds_BW#'!$A:$Z,19,FALSE)+VLOOKUP($A96,A:AL,28,FALSE)-50))</f>
        <v>216</v>
      </c>
      <c r="AB96" s="3">
        <v>232</v>
      </c>
      <c r="AC96" s="3">
        <f>IF(ISERROR((VLOOKUP($A96,'NonXtal_SegEnds_BW#'!$A:$Z,20,FALSE)+VLOOKUP($A96,A:AL,28,FALSE)-50)),"-",(VLOOKUP($A96,'NonXtal_SegEnds_BW#'!$A:$Z,20,FALSE)+VLOOKUP($A96,A:AL,28,FALSE)-50))</f>
        <v>250</v>
      </c>
      <c r="AD96" s="3">
        <f>IF(ISERROR(VLOOKUP($A96,'NonXtal_SegEnds_BW#'!$A:$Z,21,FALSE)+VLOOKUP($A96,A:AL,31,FALSE)-50),"-",(VLOOKUP($A96,'NonXtal_SegEnds_BW#'!$A:$Z,21,FALSE)+VLOOKUP($A96,A:AL,31,FALSE)-50))</f>
        <v>255</v>
      </c>
      <c r="AE96" s="3">
        <v>275</v>
      </c>
      <c r="AF96" s="3">
        <f>IF(ISERROR((VLOOKUP($A96,'NonXtal_SegEnds_BW#'!$A:$Z,22,FALSE)+VLOOKUP($A96,A:AL,31,FALSE)-50)),"-",(VLOOKUP($A96,'NonXtal_SegEnds_BW#'!$A:$Z,22,FALSE)+VLOOKUP($A96,A:AL,31,FALSE)-50))</f>
        <v>286</v>
      </c>
      <c r="AG96" s="3">
        <f>IF(ISERROR(VLOOKUP($A96,'NonXtal_SegEnds_BW#'!$A:$Z,23,FALSE)+VLOOKUP($A96,A:AL,34,FALSE)-50),"-",(VLOOKUP($A96,'NonXtal_SegEnds_BW#'!$A:$Z,23,FALSE)+VLOOKUP($A96,A:AL,34,FALSE)-50))</f>
        <v>291</v>
      </c>
      <c r="AH96" s="3">
        <v>313</v>
      </c>
      <c r="AI96" s="3">
        <f>IF(ISERROR((VLOOKUP($A96,'NonXtal_SegEnds_BW#'!$A:$Z,24,FALSE)+VLOOKUP($A96,A:AL,34,FALSE)-50)),"-",(VLOOKUP($A96,'NonXtal_SegEnds_BW#'!$A:$Z,24,FALSE)+VLOOKUP($A96,A:AL,34,FALSE)-50))</f>
        <v>319</v>
      </c>
      <c r="AJ96" s="3">
        <f>IF(ISERROR(VLOOKUP($A96,'NonXtal_SegEnds_BW#'!$A:$Z,25,FALSE)+VLOOKUP($A96,A:AL,37,FALSE)-50),"-",(VLOOKUP($A96,'NonXtal_SegEnds_BW#'!$A:$Z,25,FALSE)+VLOOKUP($A96,A:AL,37,FALSE)-50))</f>
        <v>320</v>
      </c>
      <c r="AK96" s="3">
        <v>323</v>
      </c>
      <c r="AL96" s="3">
        <f>IF(ISERROR((VLOOKUP($A96,'NonXtal_SegEnds_BW#'!$A:$Z,26,FALSE)+VLOOKUP($A96,A:AL,37,FALSE)-50)),"-",(VLOOKUP($A96,'NonXtal_SegEnds_BW#'!$A:$Z,26,FALSE)+VLOOKUP($A96,A:AL,37,FALSE)-50))</f>
        <v>334</v>
      </c>
      <c r="AM96" s="71" t="str">
        <f>VLOOKUP(A96,Classification!A:B,2,FALSE)</f>
        <v>A</v>
      </c>
      <c r="AN96" s="71" t="b">
        <f t="shared" si="36"/>
        <v>1</v>
      </c>
      <c r="AO96" s="3" t="str">
        <f t="shared" si="37"/>
        <v>-</v>
      </c>
      <c r="AP96" s="3" t="str">
        <f t="shared" si="38"/>
        <v>-</v>
      </c>
      <c r="AQ96" s="3">
        <f t="shared" si="39"/>
        <v>3</v>
      </c>
      <c r="AR96" s="3">
        <f t="shared" si="40"/>
        <v>1</v>
      </c>
      <c r="AS96" s="3">
        <f t="shared" si="41"/>
        <v>1</v>
      </c>
      <c r="AT96" s="3">
        <f t="shared" si="42"/>
        <v>2</v>
      </c>
      <c r="AU96" s="3">
        <f t="shared" si="43"/>
        <v>11</v>
      </c>
      <c r="AV96" s="3">
        <f t="shared" si="44"/>
        <v>25</v>
      </c>
      <c r="AW96" s="3">
        <f t="shared" si="45"/>
        <v>5</v>
      </c>
      <c r="AX96" s="3">
        <f t="shared" si="46"/>
        <v>5</v>
      </c>
      <c r="AY96" s="3">
        <f t="shared" si="47"/>
        <v>1</v>
      </c>
      <c r="AZ96" s="3">
        <f>IF(ISERROR(LEN(VLOOKUP(A96,Seqs!A:E,2,FALSE))-AL96),"-",LEN(VLOOKUP(A96,Seqs!A:E,2,FALSE))-AL96)</f>
        <v>39</v>
      </c>
      <c r="BA96" s="35">
        <f t="shared" si="48"/>
        <v>27</v>
      </c>
      <c r="BB96" s="3">
        <f t="shared" si="49"/>
        <v>20</v>
      </c>
      <c r="BC96" s="3">
        <f t="shared" si="50"/>
        <v>27</v>
      </c>
      <c r="BD96" s="3">
        <f t="shared" si="51"/>
        <v>43</v>
      </c>
    </row>
    <row r="97" spans="1:57" s="3" customFormat="1" x14ac:dyDescent="0.2">
      <c r="A97" s="3" t="s">
        <v>359</v>
      </c>
      <c r="B97" s="3" t="str">
        <f>LOWER(VLOOKUP(A97,Xtal_Templ!A:B,2,FALSE))</f>
        <v>agtr1_human</v>
      </c>
      <c r="C97" s="3">
        <f>VLOOKUP($A97,'NonXtal_SegEnds_BW#'!$A:$Z,3,FALSE)+D97-50</f>
        <v>35</v>
      </c>
      <c r="D97" s="3">
        <v>55</v>
      </c>
      <c r="E97" s="3">
        <f>IF(ISERROR(VLOOKUP($A97,'NonXtal_SegEnds_BW#'!$A:$Z,4,FALSE)+VLOOKUP($A97,A:AL,4,FALSE)-50),"-",(VLOOKUP($A97,'NonXtal_SegEnds_BW#'!$A:$Z,4,FALSE)+VLOOKUP($A97,A:AL,4,FALSE)-50))</f>
        <v>65</v>
      </c>
      <c r="F97" s="3" t="str">
        <f>IF(ISERROR(VLOOKUP($A97,'NonXtal_SegEnds_BW#'!$A:$Z,5,FALSE)+VLOOKUP($A97,A:AL,7,FALSE)-50),"-",(VLOOKUP($A97,'NonXtal_SegEnds_BW#'!$A:$Z,5,FALSE)+VLOOKUP($A97,A:AL,7,FALSE)-50))</f>
        <v>-</v>
      </c>
      <c r="G97" s="3" t="s">
        <v>129</v>
      </c>
      <c r="H97" s="3" t="str">
        <f>IF(ISERROR(VLOOKUP($A97,'NonXtal_SegEnds_BW#'!$A:$Z,6,FALSE)+VLOOKUP($A97,A:AL,7,FALSE)-50),"-",(VLOOKUP($A97,'NonXtal_SegEnds_BW#'!$A:$Z,6,FALSE)+VLOOKUP($A97,A:AL,7,FALSE)-50))</f>
        <v>-</v>
      </c>
      <c r="I97" s="3">
        <f>VLOOKUP($A97,'NonXtal_SegEnds_BW#'!$A:$Z,7,FALSE)+J97-50</f>
        <v>69</v>
      </c>
      <c r="J97" s="3">
        <v>82</v>
      </c>
      <c r="K97" s="3">
        <f>VLOOKUP($A97,'NonXtal_SegEnds_BW#'!$A:$Z,8,FALSE)+VLOOKUP($A97,A:AL,10,FALSE)-50</f>
        <v>98</v>
      </c>
      <c r="L97" s="3">
        <f t="shared" si="60"/>
        <v>101</v>
      </c>
      <c r="M97" s="3">
        <v>102</v>
      </c>
      <c r="N97" s="3">
        <f t="shared" si="61"/>
        <v>104</v>
      </c>
      <c r="O97" s="3">
        <f t="shared" si="62"/>
        <v>105</v>
      </c>
      <c r="P97" s="3">
        <v>134</v>
      </c>
      <c r="Q97" s="3">
        <f>VLOOKUP($A97,'NonXtal_SegEnds_BW#'!$A:$Z,12,FALSE)+VLOOKUP($A97,A:AL,16,FALSE)-50</f>
        <v>140</v>
      </c>
      <c r="R97" s="3">
        <f>IF(ISERROR(VLOOKUP($A97,'NonXtal_SegEnds_BW#'!$A:$Z,13,FALSE)+VLOOKUP($A97,A:AL,19,FALSE)-50),"-",VLOOKUP($A97,'NonXtal_SegEnds_BW#'!$A:$Z,13,FALSE)+VLOOKUP($A97,A:AL,19,FALSE)-50)</f>
        <v>141</v>
      </c>
      <c r="S97" s="3">
        <v>141</v>
      </c>
      <c r="T97" s="3">
        <f>IF(ISERROR(VLOOKUP($A97,'NonXtal_SegEnds_BW#'!$A:$Z,14,FALSE)+VLOOKUP($A97,A:AL,19,FALSE)-50),"-",(VLOOKUP($A97,'NonXtal_SegEnds_BW#'!$A:$Z,14,FALSE)+VLOOKUP($A97,A:AL,19,FALSE)-50))</f>
        <v>148</v>
      </c>
      <c r="U97" s="3">
        <f>IF(ISERROR(VLOOKUP($A97,'NonXtal_SegEnds_BW#'!$A:$Z,15,FALSE)+VLOOKUP($A97,A:AL,22,FALSE)-50),"-",VLOOKUP($A97,'NonXtal_SegEnds_BW#'!$A:$Z,15,FALSE)+VLOOKUP($A97,A:AL,22,FALSE)-50)</f>
        <v>150</v>
      </c>
      <c r="V97" s="3">
        <v>161</v>
      </c>
      <c r="W97" s="3">
        <f>IF(ISERROR(VLOOKUP($A97,'NonXtal_SegEnds_BW#'!$A:$Z,16,FALSE)+VLOOKUP($A97,A:AL,22,FALSE)-50),"-",(VLOOKUP($A97,'NonXtal_SegEnds_BW#'!$A:$Z,16,FALSE)+VLOOKUP($A97,A:AL,22,FALSE)-50))</f>
        <v>175</v>
      </c>
      <c r="X97" s="3">
        <f>IF(ISERROR(VLOOKUP($A97,'NonXtal_SegEnds_BW#'!$A:$Z,17,FALSE)+VLOOKUP($A97,A:AL,25,FALSE)-50),"-",(VLOOKUP($A97,'NonXtal_SegEnds_BW#'!$A:$Z,17,FALSE)+VLOOKUP($A97,A:AL,25,FALSE)-50))</f>
        <v>188</v>
      </c>
      <c r="Y97" s="3">
        <v>188</v>
      </c>
      <c r="Z97" s="3">
        <f t="shared" si="58"/>
        <v>190</v>
      </c>
      <c r="AA97" s="3">
        <f>IF(ISERROR(VLOOKUP($A97,'NonXtal_SegEnds_BW#'!$A:$Z,19,FALSE)+VLOOKUP($A97,A:AL,28,FALSE)-50),"-",(VLOOKUP($A97,'NonXtal_SegEnds_BW#'!$A:$Z,19,FALSE)+VLOOKUP($A97,A:AL,28,FALSE)-50))</f>
        <v>198</v>
      </c>
      <c r="AB97" s="3">
        <v>214</v>
      </c>
      <c r="AC97" s="3">
        <f>IF(ISERROR((VLOOKUP($A97,'NonXtal_SegEnds_BW#'!$A:$Z,20,FALSE)+VLOOKUP($A97,A:AL,28,FALSE)-50)),"-",(VLOOKUP($A97,'NonXtal_SegEnds_BW#'!$A:$Z,20,FALSE)+VLOOKUP($A97,A:AL,28,FALSE)-50))</f>
        <v>232</v>
      </c>
      <c r="AD97" s="3">
        <f>IF(ISERROR(VLOOKUP($A97,'NonXtal_SegEnds_BW#'!$A:$Z,21,FALSE)+VLOOKUP($A97,A:AL,31,FALSE)-50),"-",(VLOOKUP($A97,'NonXtal_SegEnds_BW#'!$A:$Z,21,FALSE)+VLOOKUP($A97,A:AL,31,FALSE)-50))</f>
        <v>237</v>
      </c>
      <c r="AE97" s="3">
        <v>257</v>
      </c>
      <c r="AF97" s="3">
        <f>IF(ISERROR((VLOOKUP($A97,'NonXtal_SegEnds_BW#'!$A:$Z,22,FALSE)+VLOOKUP($A97,A:AL,31,FALSE)-50)),"-",(VLOOKUP($A97,'NonXtal_SegEnds_BW#'!$A:$Z,22,FALSE)+VLOOKUP($A97,A:AL,31,FALSE)-50))</f>
        <v>268</v>
      </c>
      <c r="AG97" s="3">
        <f>IF(ISERROR(VLOOKUP($A97,'NonXtal_SegEnds_BW#'!$A:$Z,23,FALSE)+VLOOKUP($A97,A:AL,34,FALSE)-50),"-",(VLOOKUP($A97,'NonXtal_SegEnds_BW#'!$A:$Z,23,FALSE)+VLOOKUP($A97,A:AL,34,FALSE)-50))</f>
        <v>275</v>
      </c>
      <c r="AH97" s="3">
        <v>297</v>
      </c>
      <c r="AI97" s="3">
        <f>IF(ISERROR((VLOOKUP($A97,'NonXtal_SegEnds_BW#'!$A:$Z,24,FALSE)+VLOOKUP($A97,A:AL,34,FALSE)-50)),"-",(VLOOKUP($A97,'NonXtal_SegEnds_BW#'!$A:$Z,24,FALSE)+VLOOKUP($A97,A:AL,34,FALSE)-50))</f>
        <v>303</v>
      </c>
      <c r="AJ97" s="3">
        <f>IF(ISERROR(VLOOKUP($A97,'NonXtal_SegEnds_BW#'!$A:$Z,25,FALSE)+VLOOKUP($A97,A:AL,37,FALSE)-50),"-",(VLOOKUP($A97,'NonXtal_SegEnds_BW#'!$A:$Z,25,FALSE)+VLOOKUP($A97,A:AL,37,FALSE)-50))</f>
        <v>304</v>
      </c>
      <c r="AK97" s="3">
        <v>307</v>
      </c>
      <c r="AL97" s="3">
        <f>IF(ISERROR((VLOOKUP($A97,'NonXtal_SegEnds_BW#'!$A:$Z,26,FALSE)+VLOOKUP($A97,A:AL,37,FALSE)-50)),"-",(VLOOKUP($A97,'NonXtal_SegEnds_BW#'!$A:$Z,26,FALSE)+VLOOKUP($A97,A:AL,37,FALSE)-50))</f>
        <v>318</v>
      </c>
      <c r="AM97" s="71" t="str">
        <f>VLOOKUP(A97,Classification!A:B,2,FALSE)</f>
        <v>A</v>
      </c>
      <c r="AN97" s="71" t="b">
        <f t="shared" si="36"/>
        <v>1</v>
      </c>
      <c r="AO97" s="3" t="str">
        <f t="shared" si="37"/>
        <v>-</v>
      </c>
      <c r="AP97" s="3" t="str">
        <f t="shared" si="38"/>
        <v>-</v>
      </c>
      <c r="AQ97" s="3">
        <f t="shared" si="39"/>
        <v>3</v>
      </c>
      <c r="AR97" s="3">
        <f t="shared" si="40"/>
        <v>1</v>
      </c>
      <c r="AS97" s="3">
        <f t="shared" si="41"/>
        <v>1</v>
      </c>
      <c r="AT97" s="3">
        <f t="shared" si="42"/>
        <v>2</v>
      </c>
      <c r="AU97" s="3">
        <f t="shared" si="43"/>
        <v>13</v>
      </c>
      <c r="AV97" s="3">
        <f t="shared" si="44"/>
        <v>8</v>
      </c>
      <c r="AW97" s="3">
        <f t="shared" si="45"/>
        <v>5</v>
      </c>
      <c r="AX97" s="3">
        <f t="shared" si="46"/>
        <v>7</v>
      </c>
      <c r="AY97" s="3">
        <f t="shared" si="47"/>
        <v>1</v>
      </c>
      <c r="AZ97" s="3">
        <f>IF(ISERROR(LEN(VLOOKUP(A97,Seqs!A:E,2,FALSE))-AL97),"-",LEN(VLOOKUP(A97,Seqs!A:E,2,FALSE))-AL97)</f>
        <v>32</v>
      </c>
      <c r="BA97" s="35">
        <f t="shared" si="48"/>
        <v>27</v>
      </c>
      <c r="BB97" s="3">
        <f t="shared" si="49"/>
        <v>20</v>
      </c>
      <c r="BC97" s="3">
        <f t="shared" si="50"/>
        <v>27</v>
      </c>
      <c r="BD97" s="3">
        <f t="shared" si="51"/>
        <v>43</v>
      </c>
    </row>
    <row r="98" spans="1:57" s="3" customFormat="1" x14ac:dyDescent="0.2">
      <c r="A98" s="3" t="s">
        <v>431</v>
      </c>
      <c r="B98" s="3" t="str">
        <f>LOWER(VLOOKUP(A98,Xtal_Templ!A:B,2,FALSE))</f>
        <v>agtr1_human</v>
      </c>
      <c r="C98" s="3">
        <f>VLOOKUP($A98,'NonXtal_SegEnds_BW#'!$A:$Z,3,FALSE)+D98-50</f>
        <v>36</v>
      </c>
      <c r="D98" s="3">
        <v>56</v>
      </c>
      <c r="E98" s="3">
        <f>IF(ISERROR(VLOOKUP($A98,'NonXtal_SegEnds_BW#'!$A:$Z,4,FALSE)+VLOOKUP($A98,A:AL,4,FALSE)-50),"-",(VLOOKUP($A98,'NonXtal_SegEnds_BW#'!$A:$Z,4,FALSE)+VLOOKUP($A98,A:AL,4,FALSE)-50))</f>
        <v>66</v>
      </c>
      <c r="F98" s="3" t="str">
        <f>IF(ISERROR(VLOOKUP($A98,'NonXtal_SegEnds_BW#'!$A:$Z,5,FALSE)+VLOOKUP($A98,A:AL,7,FALSE)-50),"-",(VLOOKUP($A98,'NonXtal_SegEnds_BW#'!$A:$Z,5,FALSE)+VLOOKUP($A98,A:AL,7,FALSE)-50))</f>
        <v>-</v>
      </c>
      <c r="G98" s="3" t="s">
        <v>129</v>
      </c>
      <c r="H98" s="3" t="str">
        <f>IF(ISERROR(VLOOKUP($A98,'NonXtal_SegEnds_BW#'!$A:$Z,6,FALSE)+VLOOKUP($A98,A:AL,7,FALSE)-50),"-",(VLOOKUP($A98,'NonXtal_SegEnds_BW#'!$A:$Z,6,FALSE)+VLOOKUP($A98,A:AL,7,FALSE)-50))</f>
        <v>-</v>
      </c>
      <c r="I98" s="3">
        <f>VLOOKUP($A98,'NonXtal_SegEnds_BW#'!$A:$Z,7,FALSE)+J98-50</f>
        <v>70</v>
      </c>
      <c r="J98" s="3">
        <v>83</v>
      </c>
      <c r="K98" s="3">
        <f>VLOOKUP($A98,'NonXtal_SegEnds_BW#'!$A:$Z,8,FALSE)+VLOOKUP($A98,A:AL,10,FALSE)-50</f>
        <v>99</v>
      </c>
      <c r="L98" s="3">
        <f t="shared" si="60"/>
        <v>102</v>
      </c>
      <c r="M98" s="3">
        <v>103</v>
      </c>
      <c r="N98" s="3">
        <f t="shared" si="61"/>
        <v>105</v>
      </c>
      <c r="O98" s="3">
        <f t="shared" si="62"/>
        <v>106</v>
      </c>
      <c r="P98" s="3">
        <v>135</v>
      </c>
      <c r="Q98" s="3">
        <f>VLOOKUP($A98,'NonXtal_SegEnds_BW#'!$A:$Z,12,FALSE)+VLOOKUP($A98,A:AL,16,FALSE)-50</f>
        <v>141</v>
      </c>
      <c r="R98" s="3">
        <f>IF(ISERROR(VLOOKUP($A98,'NonXtal_SegEnds_BW#'!$A:$Z,13,FALSE)+VLOOKUP($A98,A:AL,19,FALSE)-50),"-",VLOOKUP($A98,'NonXtal_SegEnds_BW#'!$A:$Z,13,FALSE)+VLOOKUP($A98,A:AL,19,FALSE)-50)</f>
        <v>142</v>
      </c>
      <c r="S98" s="3">
        <v>142</v>
      </c>
      <c r="T98" s="3">
        <f>IF(ISERROR(VLOOKUP($A98,'NonXtal_SegEnds_BW#'!$A:$Z,14,FALSE)+VLOOKUP($A98,A:AL,19,FALSE)-50),"-",(VLOOKUP($A98,'NonXtal_SegEnds_BW#'!$A:$Z,14,FALSE)+VLOOKUP($A98,A:AL,19,FALSE)-50))</f>
        <v>149</v>
      </c>
      <c r="U98" s="3">
        <f>IF(ISERROR(VLOOKUP($A98,'NonXtal_SegEnds_BW#'!$A:$Z,15,FALSE)+VLOOKUP($A98,A:AL,22,FALSE)-50),"-",VLOOKUP($A98,'NonXtal_SegEnds_BW#'!$A:$Z,15,FALSE)+VLOOKUP($A98,A:AL,22,FALSE)-50)</f>
        <v>151</v>
      </c>
      <c r="V98" s="3">
        <v>162</v>
      </c>
      <c r="W98" s="3">
        <f>IF(ISERROR(VLOOKUP($A98,'NonXtal_SegEnds_BW#'!$A:$Z,16,FALSE)+VLOOKUP($A98,A:AL,22,FALSE)-50),"-",(VLOOKUP($A98,'NonXtal_SegEnds_BW#'!$A:$Z,16,FALSE)+VLOOKUP($A98,A:AL,22,FALSE)-50))</f>
        <v>176</v>
      </c>
      <c r="X98" s="3">
        <f>IF(ISERROR(VLOOKUP($A98,'NonXtal_SegEnds_BW#'!$A:$Z,17,FALSE)+VLOOKUP($A98,A:AL,25,FALSE)-50),"-",(VLOOKUP($A98,'NonXtal_SegEnds_BW#'!$A:$Z,17,FALSE)+VLOOKUP($A98,A:AL,25,FALSE)-50))</f>
        <v>187</v>
      </c>
      <c r="Y98" s="3">
        <v>187</v>
      </c>
      <c r="Z98" s="3">
        <f t="shared" si="58"/>
        <v>189</v>
      </c>
      <c r="AA98" s="3">
        <f>IF(ISERROR(VLOOKUP($A98,'NonXtal_SegEnds_BW#'!$A:$Z,19,FALSE)+VLOOKUP($A98,A:AL,28,FALSE)-50),"-",(VLOOKUP($A98,'NonXtal_SegEnds_BW#'!$A:$Z,19,FALSE)+VLOOKUP($A98,A:AL,28,FALSE)-50))</f>
        <v>202</v>
      </c>
      <c r="AB98" s="3">
        <v>218</v>
      </c>
      <c r="AC98" s="3">
        <f>IF(ISERROR((VLOOKUP($A98,'NonXtal_SegEnds_BW#'!$A:$Z,20,FALSE)+VLOOKUP($A98,A:AL,28,FALSE)-50)),"-",(VLOOKUP($A98,'NonXtal_SegEnds_BW#'!$A:$Z,20,FALSE)+VLOOKUP($A98,A:AL,28,FALSE)-50))</f>
        <v>236</v>
      </c>
      <c r="AD98" s="3">
        <f>IF(ISERROR(VLOOKUP($A98,'NonXtal_SegEnds_BW#'!$A:$Z,21,FALSE)+VLOOKUP($A98,A:AL,31,FALSE)-50),"-",(VLOOKUP($A98,'NonXtal_SegEnds_BW#'!$A:$Z,21,FALSE)+VLOOKUP($A98,A:AL,31,FALSE)-50))</f>
        <v>241</v>
      </c>
      <c r="AE98" s="3">
        <v>261</v>
      </c>
      <c r="AF98" s="3">
        <f>IF(ISERROR((VLOOKUP($A98,'NonXtal_SegEnds_BW#'!$A:$Z,22,FALSE)+VLOOKUP($A98,A:AL,31,FALSE)-50)),"-",(VLOOKUP($A98,'NonXtal_SegEnds_BW#'!$A:$Z,22,FALSE)+VLOOKUP($A98,A:AL,31,FALSE)-50))</f>
        <v>272</v>
      </c>
      <c r="AG98" s="3">
        <f>IF(ISERROR(VLOOKUP($A98,'NonXtal_SegEnds_BW#'!$A:$Z,23,FALSE)+VLOOKUP($A98,A:AL,34,FALSE)-50),"-",(VLOOKUP($A98,'NonXtal_SegEnds_BW#'!$A:$Z,23,FALSE)+VLOOKUP($A98,A:AL,34,FALSE)-50))</f>
        <v>279</v>
      </c>
      <c r="AH98" s="3">
        <v>301</v>
      </c>
      <c r="AI98" s="3">
        <f>IF(ISERROR((VLOOKUP($A98,'NonXtal_SegEnds_BW#'!$A:$Z,24,FALSE)+VLOOKUP($A98,A:AL,34,FALSE)-50)),"-",(VLOOKUP($A98,'NonXtal_SegEnds_BW#'!$A:$Z,24,FALSE)+VLOOKUP($A98,A:AL,34,FALSE)-50))</f>
        <v>307</v>
      </c>
      <c r="AJ98" s="3">
        <f>IF(ISERROR(VLOOKUP($A98,'NonXtal_SegEnds_BW#'!$A:$Z,25,FALSE)+VLOOKUP($A98,A:AL,37,FALSE)-50),"-",(VLOOKUP($A98,'NonXtal_SegEnds_BW#'!$A:$Z,25,FALSE)+VLOOKUP($A98,A:AL,37,FALSE)-50))</f>
        <v>308</v>
      </c>
      <c r="AK98" s="3">
        <v>311</v>
      </c>
      <c r="AL98" s="3">
        <f>IF(ISERROR((VLOOKUP($A98,'NonXtal_SegEnds_BW#'!$A:$Z,26,FALSE)+VLOOKUP($A98,A:AL,37,FALSE)-50)),"-",(VLOOKUP($A98,'NonXtal_SegEnds_BW#'!$A:$Z,26,FALSE)+VLOOKUP($A98,A:AL,37,FALSE)-50))</f>
        <v>322</v>
      </c>
      <c r="AM98" s="71" t="str">
        <f>VLOOKUP(A98,Classification!A:B,2,FALSE)</f>
        <v>A</v>
      </c>
      <c r="AN98" s="71" t="b">
        <f t="shared" si="36"/>
        <v>1</v>
      </c>
      <c r="AO98" s="3" t="str">
        <f t="shared" si="37"/>
        <v>-</v>
      </c>
      <c r="AP98" s="3" t="str">
        <f t="shared" si="38"/>
        <v>-</v>
      </c>
      <c r="AQ98" s="3">
        <f t="shared" si="39"/>
        <v>3</v>
      </c>
      <c r="AR98" s="3">
        <f t="shared" si="40"/>
        <v>1</v>
      </c>
      <c r="AS98" s="3">
        <f t="shared" si="41"/>
        <v>1</v>
      </c>
      <c r="AT98" s="3">
        <f t="shared" si="42"/>
        <v>2</v>
      </c>
      <c r="AU98" s="3">
        <f t="shared" si="43"/>
        <v>11</v>
      </c>
      <c r="AV98" s="3">
        <f t="shared" si="44"/>
        <v>13</v>
      </c>
      <c r="AW98" s="3">
        <f t="shared" si="45"/>
        <v>5</v>
      </c>
      <c r="AX98" s="3">
        <f t="shared" si="46"/>
        <v>7</v>
      </c>
      <c r="AY98" s="3">
        <f t="shared" si="47"/>
        <v>1</v>
      </c>
      <c r="AZ98" s="3">
        <f>IF(ISERROR(LEN(VLOOKUP(A98,Seqs!A:E,2,FALSE))-AL98),"-",LEN(VLOOKUP(A98,Seqs!A:E,2,FALSE))-AL98)</f>
        <v>33</v>
      </c>
      <c r="BA98" s="35">
        <f t="shared" si="48"/>
        <v>27</v>
      </c>
      <c r="BB98" s="3">
        <f t="shared" si="49"/>
        <v>20</v>
      </c>
      <c r="BC98" s="3">
        <f t="shared" si="50"/>
        <v>27</v>
      </c>
      <c r="BD98" s="3">
        <f t="shared" si="51"/>
        <v>43</v>
      </c>
    </row>
    <row r="99" spans="1:57" s="3" customFormat="1" x14ac:dyDescent="0.2">
      <c r="A99" s="3" t="s">
        <v>433</v>
      </c>
      <c r="B99" s="3" t="str">
        <f>LOWER(VLOOKUP(A99,Xtal_Templ!A:B,2,FALSE))</f>
        <v>agtr1_human</v>
      </c>
      <c r="C99" s="3">
        <f>VLOOKUP($A99,'NonXtal_SegEnds_BW#'!$A:$Z,3,FALSE)+D99-50</f>
        <v>31</v>
      </c>
      <c r="D99" s="3">
        <v>51</v>
      </c>
      <c r="E99" s="3">
        <f>IF(ISERROR(VLOOKUP($A99,'NonXtal_SegEnds_BW#'!$A:$Z,4,FALSE)+VLOOKUP($A99,A:AL,4,FALSE)-50),"-",(VLOOKUP($A99,'NonXtal_SegEnds_BW#'!$A:$Z,4,FALSE)+VLOOKUP($A99,A:AL,4,FALSE)-50))</f>
        <v>61</v>
      </c>
      <c r="F99" s="3" t="str">
        <f>IF(ISERROR(VLOOKUP($A99,'NonXtal_SegEnds_BW#'!$A:$Z,5,FALSE)+VLOOKUP($A99,A:AL,7,FALSE)-50),"-",(VLOOKUP($A99,'NonXtal_SegEnds_BW#'!$A:$Z,5,FALSE)+VLOOKUP($A99,A:AL,7,FALSE)-50))</f>
        <v>-</v>
      </c>
      <c r="G99" s="3" t="s">
        <v>129</v>
      </c>
      <c r="H99" s="3" t="str">
        <f>IF(ISERROR(VLOOKUP($A99,'NonXtal_SegEnds_BW#'!$A:$Z,6,FALSE)+VLOOKUP($A99,A:AL,7,FALSE)-50),"-",(VLOOKUP($A99,'NonXtal_SegEnds_BW#'!$A:$Z,6,FALSE)+VLOOKUP($A99,A:AL,7,FALSE)-50))</f>
        <v>-</v>
      </c>
      <c r="I99" s="3">
        <f>VLOOKUP($A99,'NonXtal_SegEnds_BW#'!$A:$Z,7,FALSE)+J99-50</f>
        <v>66</v>
      </c>
      <c r="J99" s="3">
        <v>79</v>
      </c>
      <c r="K99" s="3">
        <f>VLOOKUP($A99,'NonXtal_SegEnds_BW#'!$A:$Z,8,FALSE)+VLOOKUP($A99,A:AL,10,FALSE)-50</f>
        <v>95</v>
      </c>
      <c r="L99" s="3">
        <f t="shared" si="60"/>
        <v>98</v>
      </c>
      <c r="M99" s="3">
        <v>99</v>
      </c>
      <c r="N99" s="3">
        <f t="shared" si="61"/>
        <v>101</v>
      </c>
      <c r="O99" s="3">
        <f t="shared" si="62"/>
        <v>102</v>
      </c>
      <c r="P99" s="3">
        <v>131</v>
      </c>
      <c r="Q99" s="3">
        <f>VLOOKUP($A99,'NonXtal_SegEnds_BW#'!$A:$Z,12,FALSE)+VLOOKUP($A99,A:AL,16,FALSE)-50</f>
        <v>137</v>
      </c>
      <c r="R99" s="3">
        <f>IF(ISERROR(VLOOKUP($A99,'NonXtal_SegEnds_BW#'!$A:$Z,13,FALSE)+VLOOKUP($A99,A:AL,19,FALSE)-50),"-",VLOOKUP($A99,'NonXtal_SegEnds_BW#'!$A:$Z,13,FALSE)+VLOOKUP($A99,A:AL,19,FALSE)-50)</f>
        <v>138</v>
      </c>
      <c r="S99" s="3">
        <v>138</v>
      </c>
      <c r="T99" s="3">
        <f>IF(ISERROR(VLOOKUP($A99,'NonXtal_SegEnds_BW#'!$A:$Z,14,FALSE)+VLOOKUP($A99,A:AL,19,FALSE)-50),"-",(VLOOKUP($A99,'NonXtal_SegEnds_BW#'!$A:$Z,14,FALSE)+VLOOKUP($A99,A:AL,19,FALSE)-50))</f>
        <v>145</v>
      </c>
      <c r="U99" s="3">
        <f>IF(ISERROR(VLOOKUP($A99,'NonXtal_SegEnds_BW#'!$A:$Z,15,FALSE)+VLOOKUP($A99,A:AL,22,FALSE)-50),"-",VLOOKUP($A99,'NonXtal_SegEnds_BW#'!$A:$Z,15,FALSE)+VLOOKUP($A99,A:AL,22,FALSE)-50)</f>
        <v>147</v>
      </c>
      <c r="V99" s="3">
        <v>158</v>
      </c>
      <c r="W99" s="3">
        <f>IF(ISERROR(VLOOKUP($A99,'NonXtal_SegEnds_BW#'!$A:$Z,16,FALSE)+VLOOKUP($A99,A:AL,22,FALSE)-50),"-",(VLOOKUP($A99,'NonXtal_SegEnds_BW#'!$A:$Z,16,FALSE)+VLOOKUP($A99,A:AL,22,FALSE)-50))</f>
        <v>172</v>
      </c>
      <c r="X99" s="3">
        <f>IF(ISERROR(VLOOKUP($A99,'NonXtal_SegEnds_BW#'!$A:$Z,17,FALSE)+VLOOKUP($A99,A:AL,25,FALSE)-50),"-",(VLOOKUP($A99,'NonXtal_SegEnds_BW#'!$A:$Z,17,FALSE)+VLOOKUP($A99,A:AL,25,FALSE)-50))</f>
        <v>183</v>
      </c>
      <c r="Y99" s="3">
        <v>183</v>
      </c>
      <c r="Z99" s="3">
        <f t="shared" si="58"/>
        <v>185</v>
      </c>
      <c r="AA99" s="3">
        <f>IF(ISERROR(VLOOKUP($A99,'NonXtal_SegEnds_BW#'!$A:$Z,19,FALSE)+VLOOKUP($A99,A:AL,28,FALSE)-50),"-",(VLOOKUP($A99,'NonXtal_SegEnds_BW#'!$A:$Z,19,FALSE)+VLOOKUP($A99,A:AL,28,FALSE)-50))</f>
        <v>191</v>
      </c>
      <c r="AB99" s="3">
        <v>207</v>
      </c>
      <c r="AC99" s="3">
        <f>IF(ISERROR((VLOOKUP($A99,'NonXtal_SegEnds_BW#'!$A:$Z,20,FALSE)+VLOOKUP($A99,A:AL,28,FALSE)-50)),"-",(VLOOKUP($A99,'NonXtal_SegEnds_BW#'!$A:$Z,20,FALSE)+VLOOKUP($A99,A:AL,28,FALSE)-50))</f>
        <v>225</v>
      </c>
      <c r="AD99" s="3">
        <f>IF(ISERROR(VLOOKUP($A99,'NonXtal_SegEnds_BW#'!$A:$Z,21,FALSE)+VLOOKUP($A99,A:AL,31,FALSE)-50),"-",(VLOOKUP($A99,'NonXtal_SegEnds_BW#'!$A:$Z,21,FALSE)+VLOOKUP($A99,A:AL,31,FALSE)-50))</f>
        <v>234</v>
      </c>
      <c r="AE99" s="3">
        <v>256</v>
      </c>
      <c r="AF99" s="3">
        <f>IF(ISERROR((VLOOKUP($A99,'NonXtal_SegEnds_BW#'!$A:$Z,22,FALSE)+VLOOKUP($A99,A:AL,31,FALSE)-50)),"-",(VLOOKUP($A99,'NonXtal_SegEnds_BW#'!$A:$Z,22,FALSE)+VLOOKUP($A99,A:AL,31,FALSE)-50))</f>
        <v>267</v>
      </c>
      <c r="AG99" s="3">
        <f>IF(ISERROR(VLOOKUP($A99,'NonXtal_SegEnds_BW#'!$A:$Z,23,FALSE)+VLOOKUP($A99,A:AL,34,FALSE)-50),"-",(VLOOKUP($A99,'NonXtal_SegEnds_BW#'!$A:$Z,23,FALSE)+VLOOKUP($A99,A:AL,34,FALSE)-50))</f>
        <v>273</v>
      </c>
      <c r="AH99" s="3">
        <v>299</v>
      </c>
      <c r="AI99" s="3">
        <f>IF(ISERROR((VLOOKUP($A99,'NonXtal_SegEnds_BW#'!$A:$Z,24,FALSE)+VLOOKUP($A99,A:AL,34,FALSE)-50)),"-",(VLOOKUP($A99,'NonXtal_SegEnds_BW#'!$A:$Z,24,FALSE)+VLOOKUP($A99,A:AL,34,FALSE)-50))</f>
        <v>305</v>
      </c>
      <c r="AJ99" s="3">
        <f>IF(ISERROR(VLOOKUP($A99,'NonXtal_SegEnds_BW#'!$A:$Z,25,FALSE)+VLOOKUP($A99,A:AL,37,FALSE)-50),"-",(VLOOKUP($A99,'NonXtal_SegEnds_BW#'!$A:$Z,25,FALSE)+VLOOKUP($A99,A:AL,37,FALSE)-50))</f>
        <v>306</v>
      </c>
      <c r="AK99" s="3">
        <v>309</v>
      </c>
      <c r="AL99" s="3">
        <f>IF(ISERROR((VLOOKUP($A99,'NonXtal_SegEnds_BW#'!$A:$Z,26,FALSE)+VLOOKUP($A99,A:AL,37,FALSE)-50)),"-",(VLOOKUP($A99,'NonXtal_SegEnds_BW#'!$A:$Z,26,FALSE)+VLOOKUP($A99,A:AL,37,FALSE)-50))</f>
        <v>320</v>
      </c>
      <c r="AM99" s="71" t="str">
        <f>VLOOKUP(A99,Classification!A:B,2,FALSE)</f>
        <v>A</v>
      </c>
      <c r="AN99" s="71" t="b">
        <f t="shared" si="36"/>
        <v>1</v>
      </c>
      <c r="AO99" s="3" t="str">
        <f t="shared" si="37"/>
        <v>-</v>
      </c>
      <c r="AP99" s="3" t="str">
        <f t="shared" si="38"/>
        <v>-</v>
      </c>
      <c r="AQ99" s="3">
        <f t="shared" si="39"/>
        <v>3</v>
      </c>
      <c r="AR99" s="3">
        <f t="shared" si="40"/>
        <v>1</v>
      </c>
      <c r="AS99" s="3">
        <f t="shared" si="41"/>
        <v>1</v>
      </c>
      <c r="AT99" s="3">
        <f t="shared" si="42"/>
        <v>2</v>
      </c>
      <c r="AU99" s="3">
        <f t="shared" si="43"/>
        <v>11</v>
      </c>
      <c r="AV99" s="3">
        <f t="shared" si="44"/>
        <v>6</v>
      </c>
      <c r="AW99" s="3">
        <f t="shared" si="45"/>
        <v>9</v>
      </c>
      <c r="AX99" s="3">
        <f t="shared" si="46"/>
        <v>6</v>
      </c>
      <c r="AY99" s="3">
        <f t="shared" si="47"/>
        <v>1</v>
      </c>
      <c r="AZ99" s="3">
        <f>IF(ISERROR(LEN(VLOOKUP(A99,Seqs!A:E,2,FALSE))-AL99),"-",LEN(VLOOKUP(A99,Seqs!A:E,2,FALSE))-AL99)</f>
        <v>40</v>
      </c>
      <c r="BA99" s="35">
        <f t="shared" si="48"/>
        <v>28</v>
      </c>
      <c r="BB99" s="3">
        <f t="shared" si="49"/>
        <v>20</v>
      </c>
      <c r="BC99" s="3">
        <f t="shared" si="50"/>
        <v>28</v>
      </c>
      <c r="BD99" s="3">
        <f t="shared" si="51"/>
        <v>49</v>
      </c>
    </row>
    <row r="100" spans="1:57" s="3" customFormat="1" x14ac:dyDescent="0.2">
      <c r="A100" s="3" t="s">
        <v>354</v>
      </c>
      <c r="B100" s="3" t="str">
        <f>LOWER(VLOOKUP(A100,Xtal_Templ!A:B,2,FALSE))</f>
        <v>agtr1_human</v>
      </c>
      <c r="C100" s="3">
        <f>VLOOKUP($A100,'NonXtal_SegEnds_BW#'!$A:$Z,3,FALSE)+D100-50</f>
        <v>26</v>
      </c>
      <c r="D100" s="3">
        <v>46</v>
      </c>
      <c r="E100" s="3">
        <f>IF(ISERROR(VLOOKUP($A100,'NonXtal_SegEnds_BW#'!$A:$Z,4,FALSE)+VLOOKUP($A100,A:AL,4,FALSE)-50),"-",(VLOOKUP($A100,'NonXtal_SegEnds_BW#'!$A:$Z,4,FALSE)+VLOOKUP($A100,A:AL,4,FALSE)-50))</f>
        <v>56</v>
      </c>
      <c r="F100" s="3" t="str">
        <f>IF(ISERROR(VLOOKUP($A100,'NonXtal_SegEnds_BW#'!$A:$Z,5,FALSE)+VLOOKUP($A100,A:AL,7,FALSE)-50),"-",(VLOOKUP($A100,'NonXtal_SegEnds_BW#'!$A:$Z,5,FALSE)+VLOOKUP($A100,A:AL,7,FALSE)-50))</f>
        <v>-</v>
      </c>
      <c r="G100" s="3" t="s">
        <v>129</v>
      </c>
      <c r="H100" s="3" t="str">
        <f>IF(ISERROR(VLOOKUP($A100,'NonXtal_SegEnds_BW#'!$A:$Z,6,FALSE)+VLOOKUP($A100,A:AL,7,FALSE)-50),"-",(VLOOKUP($A100,'NonXtal_SegEnds_BW#'!$A:$Z,6,FALSE)+VLOOKUP($A100,A:AL,7,FALSE)-50))</f>
        <v>-</v>
      </c>
      <c r="I100" s="3">
        <f>VLOOKUP($A100,'NonXtal_SegEnds_BW#'!$A:$Z,7,FALSE)+J100-50</f>
        <v>62</v>
      </c>
      <c r="J100" s="3">
        <v>75</v>
      </c>
      <c r="K100" s="3">
        <f>VLOOKUP($A100,'NonXtal_SegEnds_BW#'!$A:$Z,8,FALSE)+VLOOKUP($A100,A:AL,10,FALSE)-50</f>
        <v>91</v>
      </c>
      <c r="L100" s="3">
        <f t="shared" si="60"/>
        <v>94</v>
      </c>
      <c r="M100" s="3">
        <v>95</v>
      </c>
      <c r="N100" s="3">
        <f t="shared" si="61"/>
        <v>97</v>
      </c>
      <c r="O100" s="3">
        <f t="shared" si="62"/>
        <v>98</v>
      </c>
      <c r="P100" s="3">
        <v>127</v>
      </c>
      <c r="Q100" s="3">
        <f>VLOOKUP($A100,'NonXtal_SegEnds_BW#'!$A:$Z,12,FALSE)+VLOOKUP($A100,A:AL,16,FALSE)-50</f>
        <v>133</v>
      </c>
      <c r="R100" s="3">
        <f>IF(ISERROR(VLOOKUP($A100,'NonXtal_SegEnds_BW#'!$A:$Z,13,FALSE)+VLOOKUP($A100,A:AL,19,FALSE)-50),"-",VLOOKUP($A100,'NonXtal_SegEnds_BW#'!$A:$Z,13,FALSE)+VLOOKUP($A100,A:AL,19,FALSE)-50)</f>
        <v>134</v>
      </c>
      <c r="S100" s="3">
        <v>134</v>
      </c>
      <c r="T100" s="3">
        <f>IF(ISERROR(VLOOKUP($A100,'NonXtal_SegEnds_BW#'!$A:$Z,14,FALSE)+VLOOKUP($A100,A:AL,19,FALSE)-50),"-",(VLOOKUP($A100,'NonXtal_SegEnds_BW#'!$A:$Z,14,FALSE)+VLOOKUP($A100,A:AL,19,FALSE)-50))</f>
        <v>141</v>
      </c>
      <c r="U100" s="3">
        <f>IF(ISERROR(VLOOKUP($A100,'NonXtal_SegEnds_BW#'!$A:$Z,15,FALSE)+VLOOKUP($A100,A:AL,22,FALSE)-50),"-",VLOOKUP($A100,'NonXtal_SegEnds_BW#'!$A:$Z,15,FALSE)+VLOOKUP($A100,A:AL,22,FALSE)-50)</f>
        <v>143</v>
      </c>
      <c r="V100" s="3">
        <v>154</v>
      </c>
      <c r="W100" s="3">
        <f>IF(ISERROR(VLOOKUP($A100,'NonXtal_SegEnds_BW#'!$A:$Z,16,FALSE)+VLOOKUP($A100,A:AL,22,FALSE)-50),"-",(VLOOKUP($A100,'NonXtal_SegEnds_BW#'!$A:$Z,16,FALSE)+VLOOKUP($A100,A:AL,22,FALSE)-50))</f>
        <v>168</v>
      </c>
      <c r="X100" s="3">
        <f>IF(ISERROR(VLOOKUP($A100,'NonXtal_SegEnds_BW#'!$A:$Z,17,FALSE)+VLOOKUP($A100,A:AL,25,FALSE)-50),"-",(VLOOKUP($A100,'NonXtal_SegEnds_BW#'!$A:$Z,17,FALSE)+VLOOKUP($A100,A:AL,25,FALSE)-50))</f>
        <v>181</v>
      </c>
      <c r="Y100" s="3">
        <v>181</v>
      </c>
      <c r="Z100" s="3">
        <f t="shared" si="58"/>
        <v>183</v>
      </c>
      <c r="AA100" s="3">
        <f>IF(ISERROR(VLOOKUP($A100,'NonXtal_SegEnds_BW#'!$A:$Z,19,FALSE)+VLOOKUP($A100,A:AL,28,FALSE)-50),"-",(VLOOKUP($A100,'NonXtal_SegEnds_BW#'!$A:$Z,19,FALSE)+VLOOKUP($A100,A:AL,28,FALSE)-50))</f>
        <v>197</v>
      </c>
      <c r="AB100" s="3">
        <v>213</v>
      </c>
      <c r="AC100" s="3">
        <f>IF(ISERROR((VLOOKUP($A100,'NonXtal_SegEnds_BW#'!$A:$Z,20,FALSE)+VLOOKUP($A100,A:AL,28,FALSE)-50)),"-",(VLOOKUP($A100,'NonXtal_SegEnds_BW#'!$A:$Z,20,FALSE)+VLOOKUP($A100,A:AL,28,FALSE)-50))</f>
        <v>235</v>
      </c>
      <c r="AD100" s="3">
        <f>IF(ISERROR(VLOOKUP($A100,'NonXtal_SegEnds_BW#'!$A:$Z,21,FALSE)+VLOOKUP($A100,A:AL,31,FALSE)-50),"-",(VLOOKUP($A100,'NonXtal_SegEnds_BW#'!$A:$Z,21,FALSE)+VLOOKUP($A100,A:AL,31,FALSE)-50))</f>
        <v>242</v>
      </c>
      <c r="AE100" s="3">
        <v>263</v>
      </c>
      <c r="AF100" s="3">
        <f>IF(ISERROR((VLOOKUP($A100,'NonXtal_SegEnds_BW#'!$A:$Z,22,FALSE)+VLOOKUP($A100,A:AL,31,FALSE)-50)),"-",(VLOOKUP($A100,'NonXtal_SegEnds_BW#'!$A:$Z,22,FALSE)+VLOOKUP($A100,A:AL,31,FALSE)-50))</f>
        <v>274</v>
      </c>
      <c r="AG100" s="3">
        <f>IF(ISERROR(VLOOKUP($A100,'NonXtal_SegEnds_BW#'!$A:$Z,23,FALSE)+VLOOKUP($A100,A:AL,34,FALSE)-50),"-",(VLOOKUP($A100,'NonXtal_SegEnds_BW#'!$A:$Z,23,FALSE)+VLOOKUP($A100,A:AL,34,FALSE)-50))</f>
        <v>280</v>
      </c>
      <c r="AH100" s="3">
        <v>306</v>
      </c>
      <c r="AI100" s="3">
        <f>IF(ISERROR((VLOOKUP($A100,'NonXtal_SegEnds_BW#'!$A:$Z,24,FALSE)+VLOOKUP($A100,A:AL,34,FALSE)-50)),"-",(VLOOKUP($A100,'NonXtal_SegEnds_BW#'!$A:$Z,24,FALSE)+VLOOKUP($A100,A:AL,34,FALSE)-50))</f>
        <v>312</v>
      </c>
      <c r="AJ100" s="3">
        <f>IF(ISERROR(VLOOKUP($A100,'NonXtal_SegEnds_BW#'!$A:$Z,25,FALSE)+VLOOKUP($A100,A:AL,37,FALSE)-50),"-",(VLOOKUP($A100,'NonXtal_SegEnds_BW#'!$A:$Z,25,FALSE)+VLOOKUP($A100,A:AL,37,FALSE)-50))</f>
        <v>313</v>
      </c>
      <c r="AK100" s="3">
        <v>316</v>
      </c>
      <c r="AL100" s="3">
        <f>IF(ISERROR((VLOOKUP($A100,'NonXtal_SegEnds_BW#'!$A:$Z,26,FALSE)+VLOOKUP($A100,A:AL,37,FALSE)-50)),"-",(VLOOKUP($A100,'NonXtal_SegEnds_BW#'!$A:$Z,26,FALSE)+VLOOKUP($A100,A:AL,37,FALSE)-50))</f>
        <v>327</v>
      </c>
      <c r="AM100" s="71" t="str">
        <f>VLOOKUP(A100,Classification!A:B,2,FALSE)</f>
        <v>A</v>
      </c>
      <c r="AN100" s="71" t="b">
        <f t="shared" si="36"/>
        <v>1</v>
      </c>
      <c r="AO100" s="3" t="str">
        <f t="shared" si="37"/>
        <v>-</v>
      </c>
      <c r="AP100" s="3" t="str">
        <f t="shared" si="38"/>
        <v>-</v>
      </c>
      <c r="AQ100" s="3">
        <f t="shared" si="39"/>
        <v>3</v>
      </c>
      <c r="AR100" s="3">
        <f t="shared" si="40"/>
        <v>1</v>
      </c>
      <c r="AS100" s="3">
        <f t="shared" si="41"/>
        <v>1</v>
      </c>
      <c r="AT100" s="3">
        <f t="shared" si="42"/>
        <v>2</v>
      </c>
      <c r="AU100" s="3">
        <f t="shared" si="43"/>
        <v>13</v>
      </c>
      <c r="AV100" s="3">
        <f t="shared" si="44"/>
        <v>14</v>
      </c>
      <c r="AW100" s="3">
        <f t="shared" si="45"/>
        <v>7</v>
      </c>
      <c r="AX100" s="3">
        <f t="shared" si="46"/>
        <v>6</v>
      </c>
      <c r="AY100" s="3">
        <f t="shared" si="47"/>
        <v>1</v>
      </c>
      <c r="AZ100" s="3">
        <f>IF(ISERROR(LEN(VLOOKUP(A100,Seqs!A:E,2,FALSE))-AL100),"-",LEN(VLOOKUP(A100,Seqs!A:E,2,FALSE))-AL100)</f>
        <v>53</v>
      </c>
      <c r="BA100" s="35">
        <f t="shared" si="48"/>
        <v>29</v>
      </c>
      <c r="BB100" s="3">
        <f t="shared" si="49"/>
        <v>20</v>
      </c>
      <c r="BC100" s="3">
        <f t="shared" si="50"/>
        <v>29</v>
      </c>
      <c r="BD100" s="3">
        <f t="shared" si="51"/>
        <v>50</v>
      </c>
    </row>
    <row r="101" spans="1:57" s="3" customFormat="1" x14ac:dyDescent="0.2">
      <c r="A101" s="3" t="s">
        <v>352</v>
      </c>
      <c r="B101" s="3" t="str">
        <f>LOWER(VLOOKUP(A101,Xtal_Templ!A:B,2,FALSE))</f>
        <v>agtr1_human</v>
      </c>
      <c r="C101" s="3">
        <f>VLOOKUP($A101,'NonXtal_SegEnds_BW#'!$A:$Z,3,FALSE)+D101-50</f>
        <v>26</v>
      </c>
      <c r="D101" s="3">
        <v>46</v>
      </c>
      <c r="E101" s="3">
        <f>IF(ISERROR(VLOOKUP($A101,'NonXtal_SegEnds_BW#'!$A:$Z,4,FALSE)+VLOOKUP($A101,A:AL,4,FALSE)-50),"-",(VLOOKUP($A101,'NonXtal_SegEnds_BW#'!$A:$Z,4,FALSE)+VLOOKUP($A101,A:AL,4,FALSE)-50))</f>
        <v>56</v>
      </c>
      <c r="F101" s="3">
        <f>G101-2</f>
        <v>57</v>
      </c>
      <c r="G101" s="3">
        <v>59</v>
      </c>
      <c r="H101" s="3">
        <f>G101+1</f>
        <v>60</v>
      </c>
      <c r="I101" s="3">
        <f>H101+1</f>
        <v>61</v>
      </c>
      <c r="J101" s="3">
        <v>74</v>
      </c>
      <c r="K101" s="3">
        <f>VLOOKUP($A101,'NonXtal_SegEnds_BW#'!$A:$Z,8,FALSE)+VLOOKUP($A101,A:AL,10,FALSE)-50</f>
        <v>90</v>
      </c>
      <c r="L101" s="3">
        <f t="shared" si="60"/>
        <v>93</v>
      </c>
      <c r="M101" s="3">
        <v>94</v>
      </c>
      <c r="N101" s="3">
        <f t="shared" si="61"/>
        <v>96</v>
      </c>
      <c r="O101" s="3">
        <f t="shared" si="62"/>
        <v>97</v>
      </c>
      <c r="P101" s="3">
        <v>126</v>
      </c>
      <c r="Q101" s="3">
        <f>VLOOKUP($A101,'NonXtal_SegEnds_BW#'!$A:$Z,12,FALSE)+VLOOKUP($A101,A:AL,16,FALSE)-50</f>
        <v>132</v>
      </c>
      <c r="R101" s="3">
        <f>IF(ISERROR(VLOOKUP($A101,'NonXtal_SegEnds_BW#'!$A:$Z,13,FALSE)+VLOOKUP($A101,A:AL,19,FALSE)-50),"-",VLOOKUP($A101,'NonXtal_SegEnds_BW#'!$A:$Z,13,FALSE)+VLOOKUP($A101,A:AL,19,FALSE)-50)</f>
        <v>133</v>
      </c>
      <c r="S101" s="3">
        <v>133</v>
      </c>
      <c r="T101" s="3">
        <f>IF(ISERROR(VLOOKUP($A101,'NonXtal_SegEnds_BW#'!$A:$Z,14,FALSE)+VLOOKUP($A101,A:AL,19,FALSE)-50),"-",(VLOOKUP($A101,'NonXtal_SegEnds_BW#'!$A:$Z,14,FALSE)+VLOOKUP($A101,A:AL,19,FALSE)-50))</f>
        <v>140</v>
      </c>
      <c r="U101" s="3">
        <f>IF(ISERROR(VLOOKUP($A101,'NonXtal_SegEnds_BW#'!$A:$Z,15,FALSE)+VLOOKUP($A101,A:AL,22,FALSE)-50),"-",VLOOKUP($A101,'NonXtal_SegEnds_BW#'!$A:$Z,15,FALSE)+VLOOKUP($A101,A:AL,22,FALSE)-50)</f>
        <v>142</v>
      </c>
      <c r="V101" s="3">
        <v>153</v>
      </c>
      <c r="W101" s="3">
        <f>IF(ISERROR(VLOOKUP($A101,'NonXtal_SegEnds_BW#'!$A:$Z,16,FALSE)+VLOOKUP($A101,A:AL,22,FALSE)-50),"-",(VLOOKUP($A101,'NonXtal_SegEnds_BW#'!$A:$Z,16,FALSE)+VLOOKUP($A101,A:AL,22,FALSE)-50))</f>
        <v>167</v>
      </c>
      <c r="X101" s="3">
        <f>IF(ISERROR(VLOOKUP($A101,'NonXtal_SegEnds_BW#'!$A:$Z,17,FALSE)+VLOOKUP($A101,A:AL,25,FALSE)-50),"-",(VLOOKUP($A101,'NonXtal_SegEnds_BW#'!$A:$Z,17,FALSE)+VLOOKUP($A101,A:AL,25,FALSE)-50))</f>
        <v>180</v>
      </c>
      <c r="Y101" s="3">
        <v>180</v>
      </c>
      <c r="Z101" s="3">
        <f t="shared" si="58"/>
        <v>182</v>
      </c>
      <c r="AA101" s="3">
        <f>IF(ISERROR(VLOOKUP($A101,'NonXtal_SegEnds_BW#'!$A:$Z,19,FALSE)+VLOOKUP($A101,A:AL,28,FALSE)-50),"-",(VLOOKUP($A101,'NonXtal_SegEnds_BW#'!$A:$Z,19,FALSE)+VLOOKUP($A101,A:AL,28,FALSE)-50))</f>
        <v>191</v>
      </c>
      <c r="AB101" s="3">
        <v>207</v>
      </c>
      <c r="AC101" s="3">
        <f>IF(ISERROR((VLOOKUP($A101,'NonXtal_SegEnds_BW#'!$A:$Z,20,FALSE)+VLOOKUP($A101,A:AL,28,FALSE)-50)),"-",(VLOOKUP($A101,'NonXtal_SegEnds_BW#'!$A:$Z,20,FALSE)+VLOOKUP($A101,A:AL,28,FALSE)-50))</f>
        <v>225</v>
      </c>
      <c r="AD101" s="3">
        <f>IF(ISERROR(VLOOKUP($A101,'NonXtal_SegEnds_BW#'!$A:$Z,21,FALSE)+VLOOKUP($A101,A:AL,31,FALSE)-50),"-",(VLOOKUP($A101,'NonXtal_SegEnds_BW#'!$A:$Z,21,FALSE)+VLOOKUP($A101,A:AL,31,FALSE)-50))</f>
        <v>233</v>
      </c>
      <c r="AE101" s="3">
        <v>255</v>
      </c>
      <c r="AF101" s="3">
        <f>IF(ISERROR((VLOOKUP($A101,'NonXtal_SegEnds_BW#'!$A:$Z,22,FALSE)+VLOOKUP($A101,A:AL,31,FALSE)-50)),"-",(VLOOKUP($A101,'NonXtal_SegEnds_BW#'!$A:$Z,22,FALSE)+VLOOKUP($A101,A:AL,31,FALSE)-50))</f>
        <v>269</v>
      </c>
      <c r="AG101" s="3">
        <f>IF(ISERROR(VLOOKUP($A101,'NonXtal_SegEnds_BW#'!$A:$Z,23,FALSE)+VLOOKUP($A101,A:AL,34,FALSE)-50),"-",(VLOOKUP($A101,'NonXtal_SegEnds_BW#'!$A:$Z,23,FALSE)+VLOOKUP($A101,A:AL,34,FALSE)-50))</f>
        <v>273</v>
      </c>
      <c r="AH101" s="3">
        <v>299</v>
      </c>
      <c r="AI101" s="3">
        <f>IF(ISERROR((VLOOKUP($A101,'NonXtal_SegEnds_BW#'!$A:$Z,24,FALSE)+VLOOKUP($A101,A:AL,34,FALSE)-50)),"-",(VLOOKUP($A101,'NonXtal_SegEnds_BW#'!$A:$Z,24,FALSE)+VLOOKUP($A101,A:AL,34,FALSE)-50))</f>
        <v>305</v>
      </c>
      <c r="AJ101" s="3">
        <f>IF(ISERROR(VLOOKUP($A101,'NonXtal_SegEnds_BW#'!$A:$Z,25,FALSE)+VLOOKUP($A101,A:AL,37,FALSE)-50),"-",(VLOOKUP($A101,'NonXtal_SegEnds_BW#'!$A:$Z,25,FALSE)+VLOOKUP($A101,A:AL,37,FALSE)-50))</f>
        <v>306</v>
      </c>
      <c r="AK101" s="3">
        <v>309</v>
      </c>
      <c r="AL101" s="3">
        <f>IF(ISERROR((VLOOKUP($A101,'NonXtal_SegEnds_BW#'!$A:$Z,26,FALSE)+VLOOKUP($A101,A:AL,37,FALSE)-50)),"-",(VLOOKUP($A101,'NonXtal_SegEnds_BW#'!$A:$Z,26,FALSE)+VLOOKUP($A101,A:AL,37,FALSE)-50))</f>
        <v>320</v>
      </c>
      <c r="AM101" s="71" t="str">
        <f>VLOOKUP(A101,Classification!A:B,2,FALSE)</f>
        <v>A</v>
      </c>
      <c r="AN101" s="71" t="b">
        <f t="shared" si="36"/>
        <v>1</v>
      </c>
      <c r="AO101" s="3">
        <f t="shared" si="37"/>
        <v>1</v>
      </c>
      <c r="AP101" s="3">
        <f t="shared" si="38"/>
        <v>1</v>
      </c>
      <c r="AQ101" s="3">
        <f t="shared" si="39"/>
        <v>3</v>
      </c>
      <c r="AR101" s="3">
        <f t="shared" si="40"/>
        <v>1</v>
      </c>
      <c r="AS101" s="3">
        <f t="shared" si="41"/>
        <v>1</v>
      </c>
      <c r="AT101" s="3">
        <f t="shared" si="42"/>
        <v>2</v>
      </c>
      <c r="AU101" s="3">
        <f t="shared" si="43"/>
        <v>13</v>
      </c>
      <c r="AV101" s="3">
        <f t="shared" si="44"/>
        <v>9</v>
      </c>
      <c r="AW101" s="3">
        <f t="shared" si="45"/>
        <v>8</v>
      </c>
      <c r="AX101" s="3">
        <f t="shared" si="46"/>
        <v>4</v>
      </c>
      <c r="AY101" s="3">
        <f t="shared" si="47"/>
        <v>1</v>
      </c>
      <c r="AZ101" s="3">
        <f>IF(ISERROR(LEN(VLOOKUP(A101,Seqs!A:E,2,FALSE))-AL101),"-",LEN(VLOOKUP(A101,Seqs!A:E,2,FALSE))-AL101)</f>
        <v>39</v>
      </c>
      <c r="BA101" s="35">
        <f t="shared" si="48"/>
        <v>28</v>
      </c>
      <c r="BB101" s="3">
        <f t="shared" si="49"/>
        <v>20</v>
      </c>
      <c r="BC101" s="3">
        <f t="shared" si="50"/>
        <v>28</v>
      </c>
      <c r="BD101" s="3">
        <f t="shared" si="51"/>
        <v>48</v>
      </c>
    </row>
    <row r="102" spans="1:57" s="3" customFormat="1" x14ac:dyDescent="0.2">
      <c r="A102" s="3" t="s">
        <v>446</v>
      </c>
      <c r="B102" s="3" t="str">
        <f>LOWER(VLOOKUP(A102,Xtal_Templ!A:B,2,FALSE))</f>
        <v>agtr1_human</v>
      </c>
      <c r="C102" s="3">
        <f>VLOOKUP($A102,'NonXtal_SegEnds_BW#'!$A:$Z,3,FALSE)+D102-50</f>
        <v>27</v>
      </c>
      <c r="D102" s="3">
        <v>47</v>
      </c>
      <c r="E102" s="3">
        <f>IF(ISERROR(VLOOKUP($A102,'NonXtal_SegEnds_BW#'!$A:$Z,4,FALSE)+VLOOKUP($A102,A:AL,4,FALSE)-50),"-",(VLOOKUP($A102,'NonXtal_SegEnds_BW#'!$A:$Z,4,FALSE)+VLOOKUP($A102,A:AL,4,FALSE)-50))</f>
        <v>57</v>
      </c>
      <c r="F102" s="3" t="str">
        <f>IF(ISERROR(VLOOKUP($A102,'NonXtal_SegEnds_BW#'!$A:$Z,5,FALSE)+VLOOKUP($A102,A:AL,7,FALSE)-50),"-",(VLOOKUP($A102,'NonXtal_SegEnds_BW#'!$A:$Z,5,FALSE)+VLOOKUP($A102,A:AL,7,FALSE)-50))</f>
        <v>-</v>
      </c>
      <c r="G102" s="3" t="s">
        <v>129</v>
      </c>
      <c r="H102" s="3" t="str">
        <f>IF(ISERROR(VLOOKUP($A102,'NonXtal_SegEnds_BW#'!$A:$Z,6,FALSE)+VLOOKUP($A102,A:AL,7,FALSE)-50),"-",(VLOOKUP($A102,'NonXtal_SegEnds_BW#'!$A:$Z,6,FALSE)+VLOOKUP($A102,A:AL,7,FALSE)-50))</f>
        <v>-</v>
      </c>
      <c r="I102" s="3">
        <f>VLOOKUP($A102,'NonXtal_SegEnds_BW#'!$A:$Z,7,FALSE)+J102-50</f>
        <v>61</v>
      </c>
      <c r="J102" s="3">
        <v>74</v>
      </c>
      <c r="K102" s="3">
        <f>VLOOKUP($A102,'NonXtal_SegEnds_BW#'!$A:$Z,8,FALSE)+VLOOKUP($A102,A:AL,10,FALSE)-50</f>
        <v>90</v>
      </c>
      <c r="L102" s="3">
        <f t="shared" si="60"/>
        <v>93</v>
      </c>
      <c r="M102" s="3">
        <v>94</v>
      </c>
      <c r="N102" s="3">
        <f t="shared" si="61"/>
        <v>96</v>
      </c>
      <c r="O102" s="3">
        <f t="shared" si="62"/>
        <v>97</v>
      </c>
      <c r="P102" s="3">
        <v>126</v>
      </c>
      <c r="Q102" s="3">
        <f>VLOOKUP($A102,'NonXtal_SegEnds_BW#'!$A:$Z,12,FALSE)+VLOOKUP($A102,A:AL,16,FALSE)-50</f>
        <v>132</v>
      </c>
      <c r="R102" s="3">
        <f>IF(ISERROR(VLOOKUP($A102,'NonXtal_SegEnds_BW#'!$A:$Z,13,FALSE)+VLOOKUP($A102,A:AL,19,FALSE)-50),"-",VLOOKUP($A102,'NonXtal_SegEnds_BW#'!$A:$Z,13,FALSE)+VLOOKUP($A102,A:AL,19,FALSE)-50)</f>
        <v>133</v>
      </c>
      <c r="S102" s="3">
        <v>133</v>
      </c>
      <c r="T102" s="3">
        <f>IF(ISERROR(VLOOKUP($A102,'NonXtal_SegEnds_BW#'!$A:$Z,14,FALSE)+VLOOKUP($A102,A:AL,19,FALSE)-50),"-",(VLOOKUP($A102,'NonXtal_SegEnds_BW#'!$A:$Z,14,FALSE)+VLOOKUP($A102,A:AL,19,FALSE)-50))</f>
        <v>140</v>
      </c>
      <c r="U102" s="3">
        <f>IF(ISERROR(VLOOKUP($A102,'NonXtal_SegEnds_BW#'!$A:$Z,15,FALSE)+VLOOKUP($A102,A:AL,22,FALSE)-50),"-",VLOOKUP($A102,'NonXtal_SegEnds_BW#'!$A:$Z,15,FALSE)+VLOOKUP($A102,A:AL,22,FALSE)-50)</f>
        <v>142</v>
      </c>
      <c r="V102" s="3">
        <v>153</v>
      </c>
      <c r="W102" s="3">
        <f>IF(ISERROR(VLOOKUP($A102,'NonXtal_SegEnds_BW#'!$A:$Z,16,FALSE)+VLOOKUP($A102,A:AL,22,FALSE)-50),"-",(VLOOKUP($A102,'NonXtal_SegEnds_BW#'!$A:$Z,16,FALSE)+VLOOKUP($A102,A:AL,22,FALSE)-50))</f>
        <v>167</v>
      </c>
      <c r="X102" s="3">
        <f>IF(ISERROR(VLOOKUP($A102,'NonXtal_SegEnds_BW#'!$A:$Z,17,FALSE)+VLOOKUP($A102,A:AL,25,FALSE)-50),"-",(VLOOKUP($A102,'NonXtal_SegEnds_BW#'!$A:$Z,17,FALSE)+VLOOKUP($A102,A:AL,25,FALSE)-50))</f>
        <v>179</v>
      </c>
      <c r="Y102" s="3">
        <v>179</v>
      </c>
      <c r="Z102" s="3">
        <f t="shared" si="58"/>
        <v>181</v>
      </c>
      <c r="AA102" s="3">
        <f>IF(ISERROR(VLOOKUP($A102,'NonXtal_SegEnds_BW#'!$A:$Z,19,FALSE)+VLOOKUP($A102,A:AL,28,FALSE)-50),"-",(VLOOKUP($A102,'NonXtal_SegEnds_BW#'!$A:$Z,19,FALSE)+VLOOKUP($A102,A:AL,28,FALSE)-50))</f>
        <v>201</v>
      </c>
      <c r="AB102" s="3">
        <v>217</v>
      </c>
      <c r="AC102" s="3">
        <f>IF(ISERROR((VLOOKUP($A102,'NonXtal_SegEnds_BW#'!$A:$Z,20,FALSE)+VLOOKUP($A102,A:AL,28,FALSE)-50)),"-",(VLOOKUP($A102,'NonXtal_SegEnds_BW#'!$A:$Z,20,FALSE)+VLOOKUP($A102,A:AL,28,FALSE)-50))</f>
        <v>235</v>
      </c>
      <c r="AD102" s="3">
        <f>IF(ISERROR(VLOOKUP($A102,'NonXtal_SegEnds_BW#'!$A:$Z,21,FALSE)+VLOOKUP($A102,A:AL,31,FALSE)-50),"-",(VLOOKUP($A102,'NonXtal_SegEnds_BW#'!$A:$Z,21,FALSE)+VLOOKUP($A102,A:AL,31,FALSE)-50))</f>
        <v>240</v>
      </c>
      <c r="AE102" s="3">
        <v>260</v>
      </c>
      <c r="AF102" s="3">
        <f>IF(ISERROR((VLOOKUP($A102,'NonXtal_SegEnds_BW#'!$A:$Z,22,FALSE)+VLOOKUP($A102,A:AL,31,FALSE)-50)),"-",(VLOOKUP($A102,'NonXtal_SegEnds_BW#'!$A:$Z,22,FALSE)+VLOOKUP($A102,A:AL,31,FALSE)-50))</f>
        <v>271</v>
      </c>
      <c r="AG102" s="3">
        <f>IF(ISERROR(VLOOKUP($A102,'NonXtal_SegEnds_BW#'!$A:$Z,23,FALSE)+VLOOKUP($A102,A:AL,34,FALSE)-50),"-",(VLOOKUP($A102,'NonXtal_SegEnds_BW#'!$A:$Z,23,FALSE)+VLOOKUP($A102,A:AL,34,FALSE)-50))</f>
        <v>277</v>
      </c>
      <c r="AH102" s="3">
        <v>296</v>
      </c>
      <c r="AI102" s="3">
        <f>IF(ISERROR((VLOOKUP($A102,'NonXtal_SegEnds_BW#'!$A:$Z,24,FALSE)+VLOOKUP($A102,A:AL,34,FALSE)-50)),"-",(VLOOKUP($A102,'NonXtal_SegEnds_BW#'!$A:$Z,24,FALSE)+VLOOKUP($A102,A:AL,34,FALSE)-50))</f>
        <v>302</v>
      </c>
      <c r="AJ102" s="3">
        <f>IF(ISERROR(VLOOKUP($A102,'NonXtal_SegEnds_BW#'!$A:$Z,25,FALSE)+VLOOKUP($A102,A:AL,37,FALSE)-50),"-",(VLOOKUP($A102,'NonXtal_SegEnds_BW#'!$A:$Z,25,FALSE)+VLOOKUP($A102,A:AL,37,FALSE)-50))</f>
        <v>303</v>
      </c>
      <c r="AK102" s="3">
        <v>306</v>
      </c>
      <c r="AL102" s="3">
        <f>IF(ISERROR((VLOOKUP($A102,'NonXtal_SegEnds_BW#'!$A:$Z,26,FALSE)+VLOOKUP($A102,A:AL,37,FALSE)-50)),"-",(VLOOKUP($A102,'NonXtal_SegEnds_BW#'!$A:$Z,26,FALSE)+VLOOKUP($A102,A:AL,37,FALSE)-50))</f>
        <v>317</v>
      </c>
      <c r="AM102" s="71" t="str">
        <f>VLOOKUP(A102,Classification!A:B,2,FALSE)</f>
        <v>A</v>
      </c>
      <c r="AN102" s="71" t="b">
        <f t="shared" si="36"/>
        <v>1</v>
      </c>
      <c r="AO102" s="3" t="str">
        <f t="shared" si="37"/>
        <v>-</v>
      </c>
      <c r="AP102" s="3" t="str">
        <f t="shared" si="38"/>
        <v>-</v>
      </c>
      <c r="AQ102" s="3">
        <f t="shared" si="39"/>
        <v>3</v>
      </c>
      <c r="AR102" s="3">
        <f t="shared" si="40"/>
        <v>1</v>
      </c>
      <c r="AS102" s="3">
        <f t="shared" si="41"/>
        <v>1</v>
      </c>
      <c r="AT102" s="3">
        <f t="shared" si="42"/>
        <v>2</v>
      </c>
      <c r="AU102" s="3">
        <f t="shared" si="43"/>
        <v>12</v>
      </c>
      <c r="AV102" s="3">
        <f t="shared" si="44"/>
        <v>20</v>
      </c>
      <c r="AW102" s="3">
        <f t="shared" si="45"/>
        <v>5</v>
      </c>
      <c r="AX102" s="3">
        <f t="shared" si="46"/>
        <v>6</v>
      </c>
      <c r="AY102" s="3">
        <f t="shared" si="47"/>
        <v>1</v>
      </c>
      <c r="AZ102" s="3">
        <f>IF(ISERROR(LEN(VLOOKUP(A102,Seqs!A:E,2,FALSE))-AL102),"-",LEN(VLOOKUP(A102,Seqs!A:E,2,FALSE))-AL102)</f>
        <v>16</v>
      </c>
      <c r="BA102" s="35">
        <f t="shared" si="48"/>
        <v>27</v>
      </c>
      <c r="BB102" s="3">
        <f t="shared" si="49"/>
        <v>20</v>
      </c>
      <c r="BC102" s="3">
        <f t="shared" si="50"/>
        <v>27</v>
      </c>
      <c r="BD102" s="3">
        <f t="shared" si="51"/>
        <v>43</v>
      </c>
      <c r="BE102" s="3">
        <f>AH102-AE102</f>
        <v>36</v>
      </c>
    </row>
    <row r="103" spans="1:57" s="3" customFormat="1" x14ac:dyDescent="0.2">
      <c r="A103" s="3" t="s">
        <v>525</v>
      </c>
      <c r="B103" s="3" t="str">
        <f>LOWER(VLOOKUP(A103,Xtal_Templ!A:B,2,FALSE))</f>
        <v>agtr1_human</v>
      </c>
      <c r="C103" s="3">
        <f>VLOOKUP($A103,'NonXtal_SegEnds_BW#'!$A:$Z,3,FALSE)+D103-50</f>
        <v>19</v>
      </c>
      <c r="D103" s="3">
        <v>39</v>
      </c>
      <c r="E103" s="3">
        <f>IF(ISERROR(VLOOKUP($A103,'NonXtal_SegEnds_BW#'!$A:$Z,4,FALSE)+VLOOKUP($A103,A:AL,4,FALSE)-50),"-",(VLOOKUP($A103,'NonXtal_SegEnds_BW#'!$A:$Z,4,FALSE)+VLOOKUP($A103,A:AL,4,FALSE)-50))</f>
        <v>49</v>
      </c>
      <c r="F103" s="3" t="str">
        <f>IF(ISERROR(VLOOKUP($A103,'NonXtal_SegEnds_BW#'!$A:$Z,5,FALSE)+VLOOKUP($A103,A:AL,7,FALSE)-50),"-",(VLOOKUP($A103,'NonXtal_SegEnds_BW#'!$A:$Z,5,FALSE)+VLOOKUP($A103,A:AL,7,FALSE)-50))</f>
        <v>-</v>
      </c>
      <c r="G103" s="3" t="s">
        <v>129</v>
      </c>
      <c r="H103" s="3" t="str">
        <f>IF(ISERROR(VLOOKUP($A103,'NonXtal_SegEnds_BW#'!$A:$Z,6,FALSE)+VLOOKUP($A103,A:AL,7,FALSE)-50),"-",(VLOOKUP($A103,'NonXtal_SegEnds_BW#'!$A:$Z,6,FALSE)+VLOOKUP($A103,A:AL,7,FALSE)-50))</f>
        <v>-</v>
      </c>
      <c r="I103" s="3">
        <f>VLOOKUP($A103,'NonXtal_SegEnds_BW#'!$A:$Z,7,FALSE)+J103-50</f>
        <v>54</v>
      </c>
      <c r="J103" s="3">
        <v>67</v>
      </c>
      <c r="K103" s="3">
        <f>VLOOKUP($A103,'NonXtal_SegEnds_BW#'!$A:$Z,8,FALSE)+VLOOKUP($A103,A:AL,10,FALSE)-50</f>
        <v>83</v>
      </c>
      <c r="L103" s="3">
        <f t="shared" si="60"/>
        <v>86</v>
      </c>
      <c r="M103" s="3">
        <v>87</v>
      </c>
      <c r="N103" s="3">
        <f t="shared" si="61"/>
        <v>89</v>
      </c>
      <c r="O103" s="3">
        <f t="shared" si="62"/>
        <v>90</v>
      </c>
      <c r="P103" s="3">
        <v>119</v>
      </c>
      <c r="Q103" s="3">
        <f>VLOOKUP($A103,'NonXtal_SegEnds_BW#'!$A:$Z,12,FALSE)+VLOOKUP($A103,A:AL,16,FALSE)-50</f>
        <v>125</v>
      </c>
      <c r="R103" s="3">
        <f>IF(ISERROR(VLOOKUP($A103,'NonXtal_SegEnds_BW#'!$A:$Z,13,FALSE)+VLOOKUP($A103,A:AL,19,FALSE)-50),"-",VLOOKUP($A103,'NonXtal_SegEnds_BW#'!$A:$Z,13,FALSE)+VLOOKUP($A103,A:AL,19,FALSE)-50)</f>
        <v>126</v>
      </c>
      <c r="S103" s="3">
        <v>126</v>
      </c>
      <c r="T103" s="3">
        <f>IF(ISERROR(VLOOKUP($A103,'NonXtal_SegEnds_BW#'!$A:$Z,14,FALSE)+VLOOKUP($A103,A:AL,19,FALSE)-50),"-",(VLOOKUP($A103,'NonXtal_SegEnds_BW#'!$A:$Z,14,FALSE)+VLOOKUP($A103,A:AL,19,FALSE)-50))</f>
        <v>133</v>
      </c>
      <c r="U103" s="3">
        <f>IF(ISERROR(VLOOKUP($A103,'NonXtal_SegEnds_BW#'!$A:$Z,15,FALSE)+VLOOKUP($A103,A:AL,22,FALSE)-50),"-",VLOOKUP($A103,'NonXtal_SegEnds_BW#'!$A:$Z,15,FALSE)+VLOOKUP($A103,A:AL,22,FALSE)-50)</f>
        <v>135</v>
      </c>
      <c r="V103" s="3">
        <v>146</v>
      </c>
      <c r="W103" s="3">
        <f>IF(ISERROR(VLOOKUP($A103,'NonXtal_SegEnds_BW#'!$A:$Z,16,FALSE)+VLOOKUP($A103,A:AL,22,FALSE)-50),"-",(VLOOKUP($A103,'NonXtal_SegEnds_BW#'!$A:$Z,16,FALSE)+VLOOKUP($A103,A:AL,22,FALSE)-50))</f>
        <v>160</v>
      </c>
      <c r="X103" s="3">
        <f>IF(ISERROR(VLOOKUP($A103,'NonXtal_SegEnds_BW#'!$A:$Z,17,FALSE)+VLOOKUP($A103,A:AL,25,FALSE)-50),"-",(VLOOKUP($A103,'NonXtal_SegEnds_BW#'!$A:$Z,17,FALSE)+VLOOKUP($A103,A:AL,25,FALSE)-50))</f>
        <v>172</v>
      </c>
      <c r="Y103" s="3">
        <v>172</v>
      </c>
      <c r="Z103" s="3">
        <f t="shared" si="58"/>
        <v>174</v>
      </c>
      <c r="AA103" s="3">
        <f>IF(ISERROR(VLOOKUP($A103,'NonXtal_SegEnds_BW#'!$A:$Z,19,FALSE)+VLOOKUP($A103,A:AL,28,FALSE)-50),"-",(VLOOKUP($A103,'NonXtal_SegEnds_BW#'!$A:$Z,19,FALSE)+VLOOKUP($A103,A:AL,28,FALSE)-50))</f>
        <v>181</v>
      </c>
      <c r="AB103" s="3">
        <v>197</v>
      </c>
      <c r="AC103" s="3">
        <f>IF(ISERROR((VLOOKUP($A103,'NonXtal_SegEnds_BW#'!$A:$Z,20,FALSE)+VLOOKUP($A103,A:AL,28,FALSE)-50)),"-",(VLOOKUP($A103,'NonXtal_SegEnds_BW#'!$A:$Z,20,FALSE)+VLOOKUP($A103,A:AL,28,FALSE)-50))</f>
        <v>214</v>
      </c>
      <c r="AD103" s="3">
        <f>IF(ISERROR(VLOOKUP($A103,'NonXtal_SegEnds_BW#'!$A:$Z,21,FALSE)+VLOOKUP($A103,A:AL,31,FALSE)-50),"-",(VLOOKUP($A103,'NonXtal_SegEnds_BW#'!$A:$Z,21,FALSE)+VLOOKUP($A103,A:AL,31,FALSE)-50))</f>
        <v>219</v>
      </c>
      <c r="AE103" s="3">
        <v>243</v>
      </c>
      <c r="AF103" s="3">
        <f>IF(ISERROR((VLOOKUP($A103,'NonXtal_SegEnds_BW#'!$A:$Z,22,FALSE)+VLOOKUP($A103,A:AL,31,FALSE)-50)),"-",(VLOOKUP($A103,'NonXtal_SegEnds_BW#'!$A:$Z,22,FALSE)+VLOOKUP($A103,A:AL,31,FALSE)-50))</f>
        <v>254</v>
      </c>
      <c r="AG103" s="3">
        <f>IF(ISERROR(VLOOKUP($A103,'NonXtal_SegEnds_BW#'!$A:$Z,23,FALSE)+VLOOKUP($A103,A:AL,34,FALSE)-50),"-",(VLOOKUP($A103,'NonXtal_SegEnds_BW#'!$A:$Z,23,FALSE)+VLOOKUP($A103,A:AL,34,FALSE)-50))</f>
        <v>261</v>
      </c>
      <c r="AH103" s="3">
        <v>283</v>
      </c>
      <c r="AI103" s="3">
        <f>IF(ISERROR((VLOOKUP($A103,'NonXtal_SegEnds_BW#'!$A:$Z,24,FALSE)+VLOOKUP($A103,A:AL,34,FALSE)-50)),"-",(VLOOKUP($A103,'NonXtal_SegEnds_BW#'!$A:$Z,24,FALSE)+VLOOKUP($A103,A:AL,34,FALSE)-50))</f>
        <v>289</v>
      </c>
      <c r="AJ103" s="3">
        <f>IF(ISERROR(VLOOKUP($A103,'NonXtal_SegEnds_BW#'!$A:$Z,25,FALSE)+VLOOKUP($A103,A:AL,37,FALSE)-50),"-",(VLOOKUP($A103,'NonXtal_SegEnds_BW#'!$A:$Z,25,FALSE)+VLOOKUP($A103,A:AL,37,FALSE)-50))</f>
        <v>290</v>
      </c>
      <c r="AK103" s="3">
        <v>293</v>
      </c>
      <c r="AL103" s="3">
        <f>IF(ISERROR((VLOOKUP($A103,'NonXtal_SegEnds_BW#'!$A:$Z,26,FALSE)+VLOOKUP($A103,A:AL,37,FALSE)-50)),"-",(VLOOKUP($A103,'NonXtal_SegEnds_BW#'!$A:$Z,26,FALSE)+VLOOKUP($A103,A:AL,37,FALSE)-50))</f>
        <v>304</v>
      </c>
      <c r="AM103" s="71" t="str">
        <f>VLOOKUP(A103,Classification!A:B,2,FALSE)</f>
        <v>A</v>
      </c>
      <c r="AN103" s="71" t="b">
        <f t="shared" si="36"/>
        <v>1</v>
      </c>
      <c r="AO103" s="3" t="str">
        <f t="shared" si="37"/>
        <v>-</v>
      </c>
      <c r="AP103" s="3" t="str">
        <f t="shared" si="38"/>
        <v>-</v>
      </c>
      <c r="AQ103" s="3">
        <f t="shared" si="39"/>
        <v>3</v>
      </c>
      <c r="AR103" s="3">
        <f t="shared" si="40"/>
        <v>1</v>
      </c>
      <c r="AS103" s="3">
        <f t="shared" si="41"/>
        <v>1</v>
      </c>
      <c r="AT103" s="3">
        <f t="shared" si="42"/>
        <v>2</v>
      </c>
      <c r="AU103" s="3">
        <f t="shared" si="43"/>
        <v>12</v>
      </c>
      <c r="AV103" s="3">
        <f t="shared" si="44"/>
        <v>7</v>
      </c>
      <c r="AW103" s="3">
        <f t="shared" si="45"/>
        <v>5</v>
      </c>
      <c r="AX103" s="3">
        <f t="shared" si="46"/>
        <v>7</v>
      </c>
      <c r="AY103" s="3">
        <f t="shared" si="47"/>
        <v>1</v>
      </c>
      <c r="AZ103" s="3">
        <f>IF(ISERROR(LEN(VLOOKUP(A103,Seqs!A:E,2,FALSE))-AL103),"-",LEN(VLOOKUP(A103,Seqs!A:E,2,FALSE))-AL103)</f>
        <v>61</v>
      </c>
      <c r="BA103" s="35">
        <f t="shared" si="48"/>
        <v>28</v>
      </c>
      <c r="BB103" s="3">
        <f t="shared" si="49"/>
        <v>20</v>
      </c>
      <c r="BC103" s="3">
        <f t="shared" si="50"/>
        <v>28</v>
      </c>
      <c r="BD103" s="3">
        <f t="shared" si="51"/>
        <v>46</v>
      </c>
    </row>
    <row r="104" spans="1:57" s="3" customFormat="1" x14ac:dyDescent="0.2">
      <c r="A104" s="3" t="s">
        <v>486</v>
      </c>
      <c r="B104" s="3" t="str">
        <f>LOWER(VLOOKUP(A104,Xtal_Templ!A:B,2,FALSE))</f>
        <v>agtr1_human</v>
      </c>
      <c r="C104" s="3">
        <f>VLOOKUP($A104,'NonXtal_SegEnds_BW#'!$A:$Z,3,FALSE)+D104-50</f>
        <v>16</v>
      </c>
      <c r="D104" s="3">
        <v>36</v>
      </c>
      <c r="E104" s="3">
        <f>IF(ISERROR(VLOOKUP($A104,'NonXtal_SegEnds_BW#'!$A:$Z,4,FALSE)+VLOOKUP($A104,A:AL,4,FALSE)-50),"-",(VLOOKUP($A104,'NonXtal_SegEnds_BW#'!$A:$Z,4,FALSE)+VLOOKUP($A104,A:AL,4,FALSE)-50))</f>
        <v>46</v>
      </c>
      <c r="F104" s="3">
        <f>G104-2</f>
        <v>47</v>
      </c>
      <c r="G104" s="3">
        <v>49</v>
      </c>
      <c r="H104" s="3">
        <f t="shared" ref="H104:I108" si="64">G104+1</f>
        <v>50</v>
      </c>
      <c r="I104" s="3">
        <f t="shared" si="64"/>
        <v>51</v>
      </c>
      <c r="J104" s="3">
        <v>64</v>
      </c>
      <c r="K104" s="3">
        <f>VLOOKUP($A104,'NonXtal_SegEnds_BW#'!$A:$Z,8,FALSE)+VLOOKUP($A104,A:AL,10,FALSE)-50</f>
        <v>80</v>
      </c>
      <c r="L104" s="3">
        <f t="shared" si="60"/>
        <v>82</v>
      </c>
      <c r="M104" s="3">
        <v>83</v>
      </c>
      <c r="N104" s="3">
        <f t="shared" si="61"/>
        <v>85</v>
      </c>
      <c r="O104" s="3">
        <f t="shared" si="62"/>
        <v>86</v>
      </c>
      <c r="P104" s="3">
        <v>115</v>
      </c>
      <c r="Q104" s="3">
        <f>VLOOKUP($A104,'NonXtal_SegEnds_BW#'!$A:$Z,12,FALSE)+VLOOKUP($A104,A:AL,16,FALSE)-50</f>
        <v>121</v>
      </c>
      <c r="R104" s="3">
        <f>IF(ISERROR(VLOOKUP($A104,'NonXtal_SegEnds_BW#'!$A:$Z,13,FALSE)+VLOOKUP($A104,A:AL,19,FALSE)-50),"-",VLOOKUP($A104,'NonXtal_SegEnds_BW#'!$A:$Z,13,FALSE)+VLOOKUP($A104,A:AL,19,FALSE)-50)</f>
        <v>122</v>
      </c>
      <c r="S104" s="3">
        <v>122</v>
      </c>
      <c r="T104" s="3">
        <f>IF(ISERROR(VLOOKUP($A104,'NonXtal_SegEnds_BW#'!$A:$Z,14,FALSE)+VLOOKUP($A104,A:AL,19,FALSE)-50),"-",(VLOOKUP($A104,'NonXtal_SegEnds_BW#'!$A:$Z,14,FALSE)+VLOOKUP($A104,A:AL,19,FALSE)-50))</f>
        <v>129</v>
      </c>
      <c r="U104" s="3">
        <f>IF(ISERROR(VLOOKUP($A104,'NonXtal_SegEnds_BW#'!$A:$Z,15,FALSE)+VLOOKUP($A104,A:AL,22,FALSE)-50),"-",VLOOKUP($A104,'NonXtal_SegEnds_BW#'!$A:$Z,15,FALSE)+VLOOKUP($A104,A:AL,22,FALSE)-50)</f>
        <v>131</v>
      </c>
      <c r="V104" s="3">
        <v>142</v>
      </c>
      <c r="W104" s="3">
        <f>IF(ISERROR(VLOOKUP($A104,'NonXtal_SegEnds_BW#'!$A:$Z,16,FALSE)+VLOOKUP($A104,A:AL,22,FALSE)-50),"-",(VLOOKUP($A104,'NonXtal_SegEnds_BW#'!$A:$Z,16,FALSE)+VLOOKUP($A104,A:AL,22,FALSE)-50))</f>
        <v>156</v>
      </c>
      <c r="X104" s="3">
        <f>IF(ISERROR(VLOOKUP($A104,'NonXtal_SegEnds_BW#'!$A:$Z,17,FALSE)+VLOOKUP($A104,A:AL,25,FALSE)-50),"-",(VLOOKUP($A104,'NonXtal_SegEnds_BW#'!$A:$Z,17,FALSE)+VLOOKUP($A104,A:AL,25,FALSE)-50))</f>
        <v>168</v>
      </c>
      <c r="Y104" s="3">
        <v>168</v>
      </c>
      <c r="Z104" s="3">
        <f t="shared" si="58"/>
        <v>170</v>
      </c>
      <c r="AA104" s="3">
        <f>IF(ISERROR(VLOOKUP($A104,'NonXtal_SegEnds_BW#'!$A:$Z,19,FALSE)+VLOOKUP($A104,A:AL,28,FALSE)-50),"-",(VLOOKUP($A104,'NonXtal_SegEnds_BW#'!$A:$Z,19,FALSE)+VLOOKUP($A104,A:AL,28,FALSE)-50))</f>
        <v>177</v>
      </c>
      <c r="AB104" s="3">
        <v>193</v>
      </c>
      <c r="AC104" s="3">
        <f>IF(ISERROR((VLOOKUP($A104,'NonXtal_SegEnds_BW#'!$A:$Z,20,FALSE)+VLOOKUP($A104,A:AL,28,FALSE)-50)),"-",(VLOOKUP($A104,'NonXtal_SegEnds_BW#'!$A:$Z,20,FALSE)+VLOOKUP($A104,A:AL,28,FALSE)-50))</f>
        <v>211</v>
      </c>
      <c r="AD104" s="3">
        <f>IF(ISERROR(VLOOKUP($A104,'NonXtal_SegEnds_BW#'!$A:$Z,21,FALSE)+VLOOKUP($A104,A:AL,31,FALSE)-50),"-",(VLOOKUP($A104,'NonXtal_SegEnds_BW#'!$A:$Z,21,FALSE)+VLOOKUP($A104,A:AL,31,FALSE)-50))</f>
        <v>216</v>
      </c>
      <c r="AE104" s="3">
        <v>236</v>
      </c>
      <c r="AF104" s="3">
        <f>IF(ISERROR((VLOOKUP($A104,'NonXtal_SegEnds_BW#'!$A:$Z,22,FALSE)+VLOOKUP($A104,A:AL,31,FALSE)-50)),"-",(VLOOKUP($A104,'NonXtal_SegEnds_BW#'!$A:$Z,22,FALSE)+VLOOKUP($A104,A:AL,31,FALSE)-50))</f>
        <v>250</v>
      </c>
      <c r="AG104" s="3">
        <f>IF(ISERROR(VLOOKUP($A104,'NonXtal_SegEnds_BW#'!$A:$Z,23,FALSE)+VLOOKUP($A104,A:AL,34,FALSE)-50),"-",(VLOOKUP($A104,'NonXtal_SegEnds_BW#'!$A:$Z,23,FALSE)+VLOOKUP($A104,A:AL,34,FALSE)-50))</f>
        <v>256</v>
      </c>
      <c r="AH104" s="3">
        <v>282</v>
      </c>
      <c r="AI104" s="3">
        <f>IF(ISERROR((VLOOKUP($A104,'NonXtal_SegEnds_BW#'!$A:$Z,24,FALSE)+VLOOKUP($A104,A:AL,34,FALSE)-50)),"-",(VLOOKUP($A104,'NonXtal_SegEnds_BW#'!$A:$Z,24,FALSE)+VLOOKUP($A104,A:AL,34,FALSE)-50))</f>
        <v>288</v>
      </c>
      <c r="AJ104" s="3">
        <f>IF(ISERROR(VLOOKUP($A104,'NonXtal_SegEnds_BW#'!$A:$Z,25,FALSE)+VLOOKUP($A104,A:AL,37,FALSE)-50),"-",(VLOOKUP($A104,'NonXtal_SegEnds_BW#'!$A:$Z,25,FALSE)+VLOOKUP($A104,A:AL,37,FALSE)-50))</f>
        <v>289</v>
      </c>
      <c r="AK104" s="3">
        <v>292</v>
      </c>
      <c r="AL104" s="3">
        <f>IF(ISERROR((VLOOKUP($A104,'NonXtal_SegEnds_BW#'!$A:$Z,26,FALSE)+VLOOKUP($A104,A:AL,37,FALSE)-50)),"-",(VLOOKUP($A104,'NonXtal_SegEnds_BW#'!$A:$Z,26,FALSE)+VLOOKUP($A104,A:AL,37,FALSE)-50))</f>
        <v>303</v>
      </c>
      <c r="AM104" s="71" t="str">
        <f>VLOOKUP(A104,Classification!A:B,2,FALSE)</f>
        <v>A</v>
      </c>
      <c r="AN104" s="71" t="b">
        <f t="shared" si="36"/>
        <v>1</v>
      </c>
      <c r="AO104" s="3">
        <f t="shared" si="37"/>
        <v>1</v>
      </c>
      <c r="AP104" s="3">
        <f t="shared" si="38"/>
        <v>1</v>
      </c>
      <c r="AQ104" s="3">
        <f t="shared" si="39"/>
        <v>2</v>
      </c>
      <c r="AR104" s="3">
        <f t="shared" si="40"/>
        <v>1</v>
      </c>
      <c r="AS104" s="3">
        <f t="shared" si="41"/>
        <v>1</v>
      </c>
      <c r="AT104" s="3">
        <f t="shared" si="42"/>
        <v>2</v>
      </c>
      <c r="AU104" s="3">
        <f t="shared" si="43"/>
        <v>12</v>
      </c>
      <c r="AV104" s="3">
        <f t="shared" si="44"/>
        <v>7</v>
      </c>
      <c r="AW104" s="3">
        <f t="shared" si="45"/>
        <v>5</v>
      </c>
      <c r="AX104" s="3">
        <f t="shared" si="46"/>
        <v>6</v>
      </c>
      <c r="AY104" s="3">
        <f t="shared" si="47"/>
        <v>1</v>
      </c>
      <c r="AZ104" s="3">
        <f>IF(ISERROR(LEN(VLOOKUP(A104,Seqs!A:E,2,FALSE))-AL104),"-",LEN(VLOOKUP(A104,Seqs!A:E,2,FALSE))-AL104)</f>
        <v>49</v>
      </c>
      <c r="BA104" s="35">
        <f t="shared" si="48"/>
        <v>28</v>
      </c>
      <c r="BB104" s="3">
        <f t="shared" si="49"/>
        <v>20</v>
      </c>
      <c r="BC104" s="3">
        <f t="shared" si="50"/>
        <v>28</v>
      </c>
      <c r="BD104" s="3">
        <f t="shared" si="51"/>
        <v>43</v>
      </c>
    </row>
    <row r="105" spans="1:57" s="3" customFormat="1" x14ac:dyDescent="0.2">
      <c r="A105" s="3" t="s">
        <v>369</v>
      </c>
      <c r="B105" s="3" t="str">
        <f>LOWER(VLOOKUP(A105,Xtal_Templ!A:B,2,FALSE))</f>
        <v>ccr5_human</v>
      </c>
      <c r="C105" s="3">
        <f>VLOOKUP($A105,'NonXtal_SegEnds_BW#'!$A:$Z,3,FALSE)+D105-50</f>
        <v>53</v>
      </c>
      <c r="D105" s="3">
        <v>76</v>
      </c>
      <c r="E105" s="3">
        <f>IF(ISERROR(VLOOKUP($A105,'NonXtal_SegEnds_BW#'!$A:$Z,4,FALSE)+VLOOKUP($A105,A:AL,4,FALSE)-50),"-",(VLOOKUP($A105,'NonXtal_SegEnds_BW#'!$A:$Z,4,FALSE)+VLOOKUP($A105,A:AL,4,FALSE)-50))</f>
        <v>86</v>
      </c>
      <c r="F105" s="3">
        <f>G105-2</f>
        <v>87</v>
      </c>
      <c r="G105" s="3">
        <v>89</v>
      </c>
      <c r="H105" s="3">
        <f t="shared" si="64"/>
        <v>90</v>
      </c>
      <c r="I105" s="3">
        <f t="shared" si="64"/>
        <v>91</v>
      </c>
      <c r="J105" s="3">
        <v>104</v>
      </c>
      <c r="K105" s="3">
        <f>VLOOKUP($A105,'NonXtal_SegEnds_BW#'!$A:$Z,8,FALSE)+VLOOKUP($A105,A:AL,10,FALSE)-50</f>
        <v>120</v>
      </c>
      <c r="L105" s="3">
        <f t="shared" si="60"/>
        <v>121</v>
      </c>
      <c r="M105" s="3">
        <v>122</v>
      </c>
      <c r="N105" s="3">
        <f t="shared" si="61"/>
        <v>124</v>
      </c>
      <c r="O105" s="3">
        <f t="shared" si="62"/>
        <v>125</v>
      </c>
      <c r="P105" s="3">
        <v>154</v>
      </c>
      <c r="Q105" s="3">
        <f>VLOOKUP($A105,'NonXtal_SegEnds_BW#'!$A:$Z,12,FALSE)+VLOOKUP($A105,A:AL,16,FALSE)-50</f>
        <v>160</v>
      </c>
      <c r="R105" s="3">
        <f>IF(ISERROR(VLOOKUP($A105,'NonXtal_SegEnds_BW#'!$A:$Z,13,FALSE)+VLOOKUP($A105,A:AL,19,FALSE)-50),"-",VLOOKUP($A105,'NonXtal_SegEnds_BW#'!$A:$Z,13,FALSE)+VLOOKUP($A105,A:AL,19,FALSE)-50)</f>
        <v>161</v>
      </c>
      <c r="S105" s="3">
        <v>161</v>
      </c>
      <c r="T105" s="3">
        <f>IF(ISERROR(VLOOKUP($A105,'NonXtal_SegEnds_BW#'!$A:$Z,14,FALSE)+VLOOKUP($A105,A:AL,19,FALSE)-50),"-",(VLOOKUP($A105,'NonXtal_SegEnds_BW#'!$A:$Z,14,FALSE)+VLOOKUP($A105,A:AL,19,FALSE)-50))</f>
        <v>169</v>
      </c>
      <c r="U105" s="3">
        <f>IF(ISERROR(VLOOKUP($A105,'NonXtal_SegEnds_BW#'!$A:$Z,15,FALSE)+VLOOKUP($A105,A:AL,22,FALSE)-50),"-",VLOOKUP($A105,'NonXtal_SegEnds_BW#'!$A:$Z,15,FALSE)+VLOOKUP($A105,A:AL,22,FALSE)-50)</f>
        <v>172</v>
      </c>
      <c r="V105" s="3">
        <v>183</v>
      </c>
      <c r="W105" s="3">
        <f>IF(ISERROR(VLOOKUP($A105,'NonXtal_SegEnds_BW#'!$A:$Z,16,FALSE)+VLOOKUP($A105,A:AL,22,FALSE)-50),"-",(VLOOKUP($A105,'NonXtal_SegEnds_BW#'!$A:$Z,16,FALSE)+VLOOKUP($A105,A:AL,22,FALSE)-50))</f>
        <v>197</v>
      </c>
      <c r="X105" s="3">
        <f>IF(ISERROR(VLOOKUP($A105,'NonXtal_SegEnds_BW#'!$A:$Z,17,FALSE)+VLOOKUP($A105,A:AL,25,FALSE)-50),"-",(VLOOKUP($A105,'NonXtal_SegEnds_BW#'!$A:$Z,17,FALSE)+VLOOKUP($A105,A:AL,25,FALSE)-50))</f>
        <v>210</v>
      </c>
      <c r="Y105" s="3">
        <v>210</v>
      </c>
      <c r="Z105" s="3">
        <f t="shared" si="58"/>
        <v>212</v>
      </c>
      <c r="AA105" s="3">
        <f>IF(ISERROR(VLOOKUP($A105,'NonXtal_SegEnds_BW#'!$A:$Z,19,FALSE)+VLOOKUP($A105,A:AL,28,FALSE)-50),"-",(VLOOKUP($A105,'NonXtal_SegEnds_BW#'!$A:$Z,19,FALSE)+VLOOKUP($A105,A:AL,28,FALSE)-50))</f>
        <v>216</v>
      </c>
      <c r="AB105" s="3">
        <v>235</v>
      </c>
      <c r="AC105" s="3">
        <f>IF(ISERROR((VLOOKUP($A105,'NonXtal_SegEnds_BW#'!$A:$Z,20,FALSE)+VLOOKUP($A105,A:AL,28,FALSE)-50)),"-",(VLOOKUP($A105,'NonXtal_SegEnds_BW#'!$A:$Z,20,FALSE)+VLOOKUP($A105,A:AL,28,FALSE)-50))</f>
        <v>253</v>
      </c>
      <c r="AD105" s="3">
        <f>IF(ISERROR(VLOOKUP($A105,'NonXtal_SegEnds_BW#'!$A:$Z,21,FALSE)+VLOOKUP($A105,A:AL,31,FALSE)-50),"-",(VLOOKUP($A105,'NonXtal_SegEnds_BW#'!$A:$Z,21,FALSE)+VLOOKUP($A105,A:AL,31,FALSE)-50))</f>
        <v>258</v>
      </c>
      <c r="AE105" s="3">
        <v>278</v>
      </c>
      <c r="AF105" s="3">
        <f>IF(ISERROR((VLOOKUP($A105,'NonXtal_SegEnds_BW#'!$A:$Z,22,FALSE)+VLOOKUP($A105,A:AL,31,FALSE)-50)),"-",(VLOOKUP($A105,'NonXtal_SegEnds_BW#'!$A:$Z,22,FALSE)+VLOOKUP($A105,A:AL,31,FALSE)-50))</f>
        <v>293</v>
      </c>
      <c r="AG105" s="3">
        <f>IF(ISERROR(VLOOKUP($A105,'NonXtal_SegEnds_BW#'!$A:$Z,23,FALSE)+VLOOKUP($A105,A:AL,34,FALSE)-50),"-",(VLOOKUP($A105,'NonXtal_SegEnds_BW#'!$A:$Z,23,FALSE)+VLOOKUP($A105,A:AL,34,FALSE)-50))</f>
        <v>297</v>
      </c>
      <c r="AH105" s="3">
        <v>323</v>
      </c>
      <c r="AI105" s="3">
        <f>IF(ISERROR((VLOOKUP($A105,'NonXtal_SegEnds_BW#'!$A:$Z,24,FALSE)+VLOOKUP($A105,A:AL,34,FALSE)-50)),"-",(VLOOKUP($A105,'NonXtal_SegEnds_BW#'!$A:$Z,24,FALSE)+VLOOKUP($A105,A:AL,34,FALSE)-50))</f>
        <v>329</v>
      </c>
      <c r="AJ105" s="3">
        <f>IF(ISERROR(VLOOKUP($A105,'NonXtal_SegEnds_BW#'!$A:$Z,25,FALSE)+VLOOKUP($A105,A:AL,37,FALSE)-50),"-",(VLOOKUP($A105,'NonXtal_SegEnds_BW#'!$A:$Z,25,FALSE)+VLOOKUP($A105,A:AL,37,FALSE)-50))</f>
        <v>330</v>
      </c>
      <c r="AK105" s="3">
        <v>333</v>
      </c>
      <c r="AL105" s="3">
        <f>IF(ISERROR((VLOOKUP($A105,'NonXtal_SegEnds_BW#'!$A:$Z,26,FALSE)+VLOOKUP($A105,A:AL,37,FALSE)-50)),"-",(VLOOKUP($A105,'NonXtal_SegEnds_BW#'!$A:$Z,26,FALSE)+VLOOKUP($A105,A:AL,37,FALSE)-50))</f>
        <v>342</v>
      </c>
      <c r="AM105" s="71" t="str">
        <f>VLOOKUP(A105,Classification!A:B,2,FALSE)</f>
        <v>A</v>
      </c>
      <c r="AN105" s="71" t="b">
        <f t="shared" si="36"/>
        <v>1</v>
      </c>
      <c r="AO105" s="3">
        <f t="shared" si="37"/>
        <v>1</v>
      </c>
      <c r="AP105" s="3">
        <f t="shared" si="38"/>
        <v>1</v>
      </c>
      <c r="AQ105" s="3">
        <f t="shared" si="39"/>
        <v>1</v>
      </c>
      <c r="AR105" s="3">
        <f t="shared" si="40"/>
        <v>1</v>
      </c>
      <c r="AS105" s="3">
        <f t="shared" si="41"/>
        <v>1</v>
      </c>
      <c r="AT105" s="3">
        <f t="shared" si="42"/>
        <v>3</v>
      </c>
      <c r="AU105" s="3">
        <f t="shared" si="43"/>
        <v>13</v>
      </c>
      <c r="AV105" s="3">
        <f t="shared" si="44"/>
        <v>4</v>
      </c>
      <c r="AW105" s="3">
        <f t="shared" si="45"/>
        <v>5</v>
      </c>
      <c r="AX105" s="3">
        <f t="shared" si="46"/>
        <v>4</v>
      </c>
      <c r="AY105" s="3">
        <f t="shared" si="47"/>
        <v>1</v>
      </c>
      <c r="AZ105" s="3">
        <f>IF(ISERROR(LEN(VLOOKUP(A105,Seqs!A:E,2,FALSE))-AL105),"-",LEN(VLOOKUP(A105,Seqs!A:E,2,FALSE))-AL105)</f>
        <v>36</v>
      </c>
      <c r="BA105" s="35">
        <f t="shared" si="48"/>
        <v>28</v>
      </c>
      <c r="BB105" s="3">
        <f t="shared" si="49"/>
        <v>22</v>
      </c>
      <c r="BC105" s="3">
        <f t="shared" si="50"/>
        <v>28</v>
      </c>
      <c r="BD105" s="3">
        <f t="shared" si="51"/>
        <v>43</v>
      </c>
    </row>
    <row r="106" spans="1:57" s="3" customFormat="1" x14ac:dyDescent="0.2">
      <c r="A106" s="3" t="s">
        <v>371</v>
      </c>
      <c r="B106" s="3" t="str">
        <f>LOWER(VLOOKUP(A106,Xtal_Templ!A:B,2,FALSE))</f>
        <v>ccr5_human</v>
      </c>
      <c r="C106" s="3">
        <f>VLOOKUP($A106,'NonXtal_SegEnds_BW#'!$A:$Z,3,FALSE)+D106-50</f>
        <v>43</v>
      </c>
      <c r="D106" s="3">
        <v>66</v>
      </c>
      <c r="E106" s="3">
        <f>IF(ISERROR(VLOOKUP($A106,'NonXtal_SegEnds_BW#'!$A:$Z,4,FALSE)+VLOOKUP($A106,A:AL,4,FALSE)-50),"-",(VLOOKUP($A106,'NonXtal_SegEnds_BW#'!$A:$Z,4,FALSE)+VLOOKUP($A106,A:AL,4,FALSE)-50))</f>
        <v>76</v>
      </c>
      <c r="F106" s="3">
        <f>G106-2</f>
        <v>77</v>
      </c>
      <c r="G106" s="3">
        <v>79</v>
      </c>
      <c r="H106" s="3">
        <f t="shared" si="64"/>
        <v>80</v>
      </c>
      <c r="I106" s="3">
        <f t="shared" si="64"/>
        <v>81</v>
      </c>
      <c r="J106" s="3">
        <v>94</v>
      </c>
      <c r="K106" s="3">
        <f>VLOOKUP($A106,'NonXtal_SegEnds_BW#'!$A:$Z,8,FALSE)+VLOOKUP($A106,A:AL,10,FALSE)-50</f>
        <v>110</v>
      </c>
      <c r="L106" s="3">
        <f t="shared" si="60"/>
        <v>111</v>
      </c>
      <c r="M106" s="3">
        <v>112</v>
      </c>
      <c r="N106" s="3">
        <f t="shared" si="61"/>
        <v>114</v>
      </c>
      <c r="O106" s="3">
        <f t="shared" si="62"/>
        <v>115</v>
      </c>
      <c r="P106" s="3">
        <v>144</v>
      </c>
      <c r="Q106" s="3">
        <f>VLOOKUP($A106,'NonXtal_SegEnds_BW#'!$A:$Z,12,FALSE)+VLOOKUP($A106,A:AL,16,FALSE)-50</f>
        <v>150</v>
      </c>
      <c r="R106" s="3">
        <f>IF(ISERROR(VLOOKUP($A106,'NonXtal_SegEnds_BW#'!$A:$Z,13,FALSE)+VLOOKUP($A106,A:AL,19,FALSE)-50),"-",VLOOKUP($A106,'NonXtal_SegEnds_BW#'!$A:$Z,13,FALSE)+VLOOKUP($A106,A:AL,19,FALSE)-50)</f>
        <v>151</v>
      </c>
      <c r="S106" s="3">
        <v>151</v>
      </c>
      <c r="T106" s="3">
        <f>IF(ISERROR(VLOOKUP($A106,'NonXtal_SegEnds_BW#'!$A:$Z,14,FALSE)+VLOOKUP($A106,A:AL,19,FALSE)-50),"-",(VLOOKUP($A106,'NonXtal_SegEnds_BW#'!$A:$Z,14,FALSE)+VLOOKUP($A106,A:AL,19,FALSE)-50))</f>
        <v>159</v>
      </c>
      <c r="U106" s="3">
        <f>IF(ISERROR(VLOOKUP($A106,'NonXtal_SegEnds_BW#'!$A:$Z,15,FALSE)+VLOOKUP($A106,A:AL,22,FALSE)-50),"-",VLOOKUP($A106,'NonXtal_SegEnds_BW#'!$A:$Z,15,FALSE)+VLOOKUP($A106,A:AL,22,FALSE)-50)</f>
        <v>162</v>
      </c>
      <c r="V106" s="3">
        <v>173</v>
      </c>
      <c r="W106" s="3">
        <f>IF(ISERROR(VLOOKUP($A106,'NonXtal_SegEnds_BW#'!$A:$Z,16,FALSE)+VLOOKUP($A106,A:AL,22,FALSE)-50),"-",(VLOOKUP($A106,'NonXtal_SegEnds_BW#'!$A:$Z,16,FALSE)+VLOOKUP($A106,A:AL,22,FALSE)-50))</f>
        <v>187</v>
      </c>
      <c r="X106" s="3">
        <f>IF(ISERROR(VLOOKUP($A106,'NonXtal_SegEnds_BW#'!$A:$Z,17,FALSE)+VLOOKUP($A106,A:AL,25,FALSE)-50),"-",(VLOOKUP($A106,'NonXtal_SegEnds_BW#'!$A:$Z,17,FALSE)+VLOOKUP($A106,A:AL,25,FALSE)-50))</f>
        <v>198</v>
      </c>
      <c r="Y106" s="3">
        <v>198</v>
      </c>
      <c r="Z106" s="3">
        <f t="shared" si="58"/>
        <v>200</v>
      </c>
      <c r="AA106" s="3">
        <f>IF(ISERROR(VLOOKUP($A106,'NonXtal_SegEnds_BW#'!$A:$Z,19,FALSE)+VLOOKUP($A106,A:AL,28,FALSE)-50),"-",(VLOOKUP($A106,'NonXtal_SegEnds_BW#'!$A:$Z,19,FALSE)+VLOOKUP($A106,A:AL,28,FALSE)-50))</f>
        <v>207</v>
      </c>
      <c r="AB106" s="3">
        <v>226</v>
      </c>
      <c r="AC106" s="3">
        <f>IF(ISERROR((VLOOKUP($A106,'NonXtal_SegEnds_BW#'!$A:$Z,20,FALSE)+VLOOKUP($A106,A:AL,28,FALSE)-50)),"-",(VLOOKUP($A106,'NonXtal_SegEnds_BW#'!$A:$Z,20,FALSE)+VLOOKUP($A106,A:AL,28,FALSE)-50))</f>
        <v>244</v>
      </c>
      <c r="AD106" s="3">
        <f>IF(ISERROR(VLOOKUP($A106,'NonXtal_SegEnds_BW#'!$A:$Z,21,FALSE)+VLOOKUP($A106,A:AL,31,FALSE)-50),"-",(VLOOKUP($A106,'NonXtal_SegEnds_BW#'!$A:$Z,21,FALSE)+VLOOKUP($A106,A:AL,31,FALSE)-50))</f>
        <v>249</v>
      </c>
      <c r="AE106" s="3">
        <v>269</v>
      </c>
      <c r="AF106" s="3">
        <f>IF(ISERROR((VLOOKUP($A106,'NonXtal_SegEnds_BW#'!$A:$Z,22,FALSE)+VLOOKUP($A106,A:AL,31,FALSE)-50)),"-",(VLOOKUP($A106,'NonXtal_SegEnds_BW#'!$A:$Z,22,FALSE)+VLOOKUP($A106,A:AL,31,FALSE)-50))</f>
        <v>284</v>
      </c>
      <c r="AG106" s="3">
        <f>IF(ISERROR(VLOOKUP($A106,'NonXtal_SegEnds_BW#'!$A:$Z,23,FALSE)+VLOOKUP($A106,A:AL,34,FALSE)-50),"-",(VLOOKUP($A106,'NonXtal_SegEnds_BW#'!$A:$Z,23,FALSE)+VLOOKUP($A106,A:AL,34,FALSE)-50))</f>
        <v>288</v>
      </c>
      <c r="AH106" s="3">
        <v>314</v>
      </c>
      <c r="AI106" s="3">
        <f>IF(ISERROR((VLOOKUP($A106,'NonXtal_SegEnds_BW#'!$A:$Z,24,FALSE)+VLOOKUP($A106,A:AL,34,FALSE)-50)),"-",(VLOOKUP($A106,'NonXtal_SegEnds_BW#'!$A:$Z,24,FALSE)+VLOOKUP($A106,A:AL,34,FALSE)-50))</f>
        <v>320</v>
      </c>
      <c r="AJ106" s="3">
        <f>IF(ISERROR(VLOOKUP($A106,'NonXtal_SegEnds_BW#'!$A:$Z,25,FALSE)+VLOOKUP($A106,A:AL,37,FALSE)-50),"-",(VLOOKUP($A106,'NonXtal_SegEnds_BW#'!$A:$Z,25,FALSE)+VLOOKUP($A106,A:AL,37,FALSE)-50))</f>
        <v>321</v>
      </c>
      <c r="AK106" s="3">
        <v>324</v>
      </c>
      <c r="AL106" s="3">
        <f>IF(ISERROR((VLOOKUP($A106,'NonXtal_SegEnds_BW#'!$A:$Z,26,FALSE)+VLOOKUP($A106,A:AL,37,FALSE)-50)),"-",(VLOOKUP($A106,'NonXtal_SegEnds_BW#'!$A:$Z,26,FALSE)+VLOOKUP($A106,A:AL,37,FALSE)-50))</f>
        <v>333</v>
      </c>
      <c r="AM106" s="71" t="str">
        <f>VLOOKUP(A106,Classification!A:B,2,FALSE)</f>
        <v>A</v>
      </c>
      <c r="AN106" s="71" t="b">
        <f t="shared" si="36"/>
        <v>1</v>
      </c>
      <c r="AO106" s="3">
        <f t="shared" si="37"/>
        <v>1</v>
      </c>
      <c r="AP106" s="3">
        <f t="shared" si="38"/>
        <v>1</v>
      </c>
      <c r="AQ106" s="3">
        <f t="shared" si="39"/>
        <v>1</v>
      </c>
      <c r="AR106" s="3">
        <f t="shared" si="40"/>
        <v>1</v>
      </c>
      <c r="AS106" s="3">
        <f t="shared" si="41"/>
        <v>1</v>
      </c>
      <c r="AT106" s="3">
        <f t="shared" si="42"/>
        <v>3</v>
      </c>
      <c r="AU106" s="3">
        <f t="shared" si="43"/>
        <v>11</v>
      </c>
      <c r="AV106" s="3">
        <f t="shared" si="44"/>
        <v>7</v>
      </c>
      <c r="AW106" s="3">
        <f t="shared" si="45"/>
        <v>5</v>
      </c>
      <c r="AX106" s="3">
        <f t="shared" si="46"/>
        <v>4</v>
      </c>
      <c r="AY106" s="3">
        <f t="shared" si="47"/>
        <v>1</v>
      </c>
      <c r="AZ106" s="3">
        <f>IF(ISERROR(LEN(VLOOKUP(A106,Seqs!A:E,2,FALSE))-AL106),"-",LEN(VLOOKUP(A106,Seqs!A:E,2,FALSE))-AL106)</f>
        <v>36</v>
      </c>
      <c r="BA106" s="35">
        <f t="shared" si="48"/>
        <v>28</v>
      </c>
      <c r="BB106" s="3">
        <f t="shared" si="49"/>
        <v>22</v>
      </c>
      <c r="BC106" s="3">
        <f t="shared" si="50"/>
        <v>28</v>
      </c>
      <c r="BD106" s="3">
        <f t="shared" si="51"/>
        <v>43</v>
      </c>
    </row>
    <row r="107" spans="1:57" s="3" customFormat="1" x14ac:dyDescent="0.2">
      <c r="A107" s="3" t="s">
        <v>368</v>
      </c>
      <c r="B107" s="3" t="str">
        <f>LOWER(VLOOKUP(A107,Xtal_Templ!A:B,2,FALSE))</f>
        <v>ccr5_human</v>
      </c>
      <c r="C107" s="3">
        <f>VLOOKUP($A107,'NonXtal_SegEnds_BW#'!$A:$Z,3,FALSE)+D107-50</f>
        <v>41</v>
      </c>
      <c r="D107" s="3">
        <v>64</v>
      </c>
      <c r="E107" s="3">
        <f>IF(ISERROR(VLOOKUP($A107,'NonXtal_SegEnds_BW#'!$A:$Z,4,FALSE)+VLOOKUP($A107,A:AL,4,FALSE)-50),"-",(VLOOKUP($A107,'NonXtal_SegEnds_BW#'!$A:$Z,4,FALSE)+VLOOKUP($A107,A:AL,4,FALSE)-50))</f>
        <v>74</v>
      </c>
      <c r="F107" s="3">
        <f>G107-2</f>
        <v>75</v>
      </c>
      <c r="G107" s="3">
        <v>77</v>
      </c>
      <c r="H107" s="3">
        <f t="shared" si="64"/>
        <v>78</v>
      </c>
      <c r="I107" s="3">
        <f t="shared" si="64"/>
        <v>79</v>
      </c>
      <c r="J107" s="3">
        <v>92</v>
      </c>
      <c r="K107" s="3">
        <f>VLOOKUP($A107,'NonXtal_SegEnds_BW#'!$A:$Z,8,FALSE)+VLOOKUP($A107,A:AL,10,FALSE)-50</f>
        <v>108</v>
      </c>
      <c r="L107" s="3">
        <f t="shared" si="60"/>
        <v>110</v>
      </c>
      <c r="M107" s="3">
        <v>111</v>
      </c>
      <c r="N107" s="3">
        <f t="shared" si="61"/>
        <v>113</v>
      </c>
      <c r="O107" s="3">
        <f t="shared" si="62"/>
        <v>114</v>
      </c>
      <c r="P107" s="3">
        <v>143</v>
      </c>
      <c r="Q107" s="3">
        <f>VLOOKUP($A107,'NonXtal_SegEnds_BW#'!$A:$Z,12,FALSE)+VLOOKUP($A107,A:AL,16,FALSE)-50</f>
        <v>149</v>
      </c>
      <c r="R107" s="3">
        <f>IF(ISERROR(VLOOKUP($A107,'NonXtal_SegEnds_BW#'!$A:$Z,13,FALSE)+VLOOKUP($A107,A:AL,19,FALSE)-50),"-",VLOOKUP($A107,'NonXtal_SegEnds_BW#'!$A:$Z,13,FALSE)+VLOOKUP($A107,A:AL,19,FALSE)-50)</f>
        <v>150</v>
      </c>
      <c r="S107" s="3">
        <v>150</v>
      </c>
      <c r="T107" s="3">
        <f>IF(ISERROR(VLOOKUP($A107,'NonXtal_SegEnds_BW#'!$A:$Z,14,FALSE)+VLOOKUP($A107,A:AL,19,FALSE)-50),"-",(VLOOKUP($A107,'NonXtal_SegEnds_BW#'!$A:$Z,14,FALSE)+VLOOKUP($A107,A:AL,19,FALSE)-50))</f>
        <v>158</v>
      </c>
      <c r="U107" s="3">
        <f>IF(ISERROR(VLOOKUP($A107,'NonXtal_SegEnds_BW#'!$A:$Z,15,FALSE)+VLOOKUP($A107,A:AL,22,FALSE)-50),"-",VLOOKUP($A107,'NonXtal_SegEnds_BW#'!$A:$Z,15,FALSE)+VLOOKUP($A107,A:AL,22,FALSE)-50)</f>
        <v>161</v>
      </c>
      <c r="V107" s="3">
        <v>172</v>
      </c>
      <c r="W107" s="3">
        <f>IF(ISERROR(VLOOKUP($A107,'NonXtal_SegEnds_BW#'!$A:$Z,16,FALSE)+VLOOKUP($A107,A:AL,22,FALSE)-50),"-",(VLOOKUP($A107,'NonXtal_SegEnds_BW#'!$A:$Z,16,FALSE)+VLOOKUP($A107,A:AL,22,FALSE)-50))</f>
        <v>186</v>
      </c>
      <c r="X107" s="3">
        <f>IF(ISERROR(VLOOKUP($A107,'NonXtal_SegEnds_BW#'!$A:$Z,17,FALSE)+VLOOKUP($A107,A:AL,25,FALSE)-50),"-",(VLOOKUP($A107,'NonXtal_SegEnds_BW#'!$A:$Z,17,FALSE)+VLOOKUP($A107,A:AL,25,FALSE)-50))</f>
        <v>197</v>
      </c>
      <c r="Y107" s="3">
        <v>197</v>
      </c>
      <c r="Z107" s="3">
        <f t="shared" si="58"/>
        <v>199</v>
      </c>
      <c r="AA107" s="3">
        <f>IF(ISERROR(VLOOKUP($A107,'NonXtal_SegEnds_BW#'!$A:$Z,19,FALSE)+VLOOKUP($A107,A:AL,28,FALSE)-50),"-",(VLOOKUP($A107,'NonXtal_SegEnds_BW#'!$A:$Z,19,FALSE)+VLOOKUP($A107,A:AL,28,FALSE)-50))</f>
        <v>207</v>
      </c>
      <c r="AB107" s="3">
        <v>226</v>
      </c>
      <c r="AC107" s="3">
        <f>IF(ISERROR((VLOOKUP($A107,'NonXtal_SegEnds_BW#'!$A:$Z,20,FALSE)+VLOOKUP($A107,A:AL,28,FALSE)-50)),"-",(VLOOKUP($A107,'NonXtal_SegEnds_BW#'!$A:$Z,20,FALSE)+VLOOKUP($A107,A:AL,28,FALSE)-50))</f>
        <v>244</v>
      </c>
      <c r="AD107" s="3">
        <f>IF(ISERROR(VLOOKUP($A107,'NonXtal_SegEnds_BW#'!$A:$Z,21,FALSE)+VLOOKUP($A107,A:AL,31,FALSE)-50),"-",(VLOOKUP($A107,'NonXtal_SegEnds_BW#'!$A:$Z,21,FALSE)+VLOOKUP($A107,A:AL,31,FALSE)-50))</f>
        <v>249</v>
      </c>
      <c r="AE107" s="3">
        <v>269</v>
      </c>
      <c r="AF107" s="3">
        <f>IF(ISERROR((VLOOKUP($A107,'NonXtal_SegEnds_BW#'!$A:$Z,22,FALSE)+VLOOKUP($A107,A:AL,31,FALSE)-50)),"-",(VLOOKUP($A107,'NonXtal_SegEnds_BW#'!$A:$Z,22,FALSE)+VLOOKUP($A107,A:AL,31,FALSE)-50))</f>
        <v>284</v>
      </c>
      <c r="AG107" s="3">
        <f>IF(ISERROR(VLOOKUP($A107,'NonXtal_SegEnds_BW#'!$A:$Z,23,FALSE)+VLOOKUP($A107,A:AL,34,FALSE)-50),"-",(VLOOKUP($A107,'NonXtal_SegEnds_BW#'!$A:$Z,23,FALSE)+VLOOKUP($A107,A:AL,34,FALSE)-50))</f>
        <v>287</v>
      </c>
      <c r="AH107" s="3">
        <v>313</v>
      </c>
      <c r="AI107" s="3">
        <f>IF(ISERROR((VLOOKUP($A107,'NonXtal_SegEnds_BW#'!$A:$Z,24,FALSE)+VLOOKUP($A107,A:AL,34,FALSE)-50)),"-",(VLOOKUP($A107,'NonXtal_SegEnds_BW#'!$A:$Z,24,FALSE)+VLOOKUP($A107,A:AL,34,FALSE)-50))</f>
        <v>319</v>
      </c>
      <c r="AJ107" s="3">
        <f>IF(ISERROR(VLOOKUP($A107,'NonXtal_SegEnds_BW#'!$A:$Z,25,FALSE)+VLOOKUP($A107,A:AL,37,FALSE)-50),"-",(VLOOKUP($A107,'NonXtal_SegEnds_BW#'!$A:$Z,25,FALSE)+VLOOKUP($A107,A:AL,37,FALSE)-50))</f>
        <v>320</v>
      </c>
      <c r="AK107" s="3">
        <v>323</v>
      </c>
      <c r="AL107" s="3">
        <f>IF(ISERROR((VLOOKUP($A107,'NonXtal_SegEnds_BW#'!$A:$Z,26,FALSE)+VLOOKUP($A107,A:AL,37,FALSE)-50)),"-",(VLOOKUP($A107,'NonXtal_SegEnds_BW#'!$A:$Z,26,FALSE)+VLOOKUP($A107,A:AL,37,FALSE)-50))</f>
        <v>332</v>
      </c>
      <c r="AM107" s="71" t="str">
        <f>VLOOKUP(A107,Classification!A:B,2,FALSE)</f>
        <v>A</v>
      </c>
      <c r="AN107" s="71" t="b">
        <f t="shared" si="36"/>
        <v>1</v>
      </c>
      <c r="AO107" s="3">
        <f t="shared" si="37"/>
        <v>1</v>
      </c>
      <c r="AP107" s="3">
        <f t="shared" si="38"/>
        <v>1</v>
      </c>
      <c r="AQ107" s="3">
        <f t="shared" si="39"/>
        <v>2</v>
      </c>
      <c r="AR107" s="3">
        <f t="shared" si="40"/>
        <v>1</v>
      </c>
      <c r="AS107" s="3">
        <f t="shared" si="41"/>
        <v>1</v>
      </c>
      <c r="AT107" s="3">
        <f t="shared" si="42"/>
        <v>3</v>
      </c>
      <c r="AU107" s="3">
        <f t="shared" si="43"/>
        <v>11</v>
      </c>
      <c r="AV107" s="3">
        <f t="shared" si="44"/>
        <v>8</v>
      </c>
      <c r="AW107" s="3">
        <f t="shared" si="45"/>
        <v>5</v>
      </c>
      <c r="AX107" s="3">
        <f t="shared" si="46"/>
        <v>3</v>
      </c>
      <c r="AY107" s="3">
        <f t="shared" si="47"/>
        <v>1</v>
      </c>
      <c r="AZ107" s="3">
        <f>IF(ISERROR(LEN(VLOOKUP(A107,Seqs!A:E,2,FALSE))-AL107),"-",LEN(VLOOKUP(A107,Seqs!A:E,2,FALSE))-AL107)</f>
        <v>42</v>
      </c>
      <c r="BA107" s="35">
        <f t="shared" si="48"/>
        <v>28</v>
      </c>
      <c r="BB107" s="3">
        <f t="shared" si="49"/>
        <v>22</v>
      </c>
      <c r="BC107" s="3">
        <f t="shared" si="50"/>
        <v>28</v>
      </c>
      <c r="BD107" s="3">
        <f t="shared" si="51"/>
        <v>43</v>
      </c>
    </row>
    <row r="108" spans="1:57" s="3" customFormat="1" x14ac:dyDescent="0.2">
      <c r="A108" s="3" t="s">
        <v>380</v>
      </c>
      <c r="B108" s="3" t="str">
        <f>LOWER(VLOOKUP(A108,Xtal_Templ!A:B,2,FALSE))</f>
        <v>ccr5_human</v>
      </c>
      <c r="C108" s="3">
        <f>VLOOKUP($A108,'NonXtal_SegEnds_BW#'!$A:$Z,3,FALSE)+D108-50</f>
        <v>43</v>
      </c>
      <c r="D108" s="3">
        <v>66</v>
      </c>
      <c r="E108" s="3">
        <f>IF(ISERROR(VLOOKUP($A108,'NonXtal_SegEnds_BW#'!$A:$Z,4,FALSE)+VLOOKUP($A108,A:AL,4,FALSE)-50),"-",(VLOOKUP($A108,'NonXtal_SegEnds_BW#'!$A:$Z,4,FALSE)+VLOOKUP($A108,A:AL,4,FALSE)-50))</f>
        <v>76</v>
      </c>
      <c r="F108" s="3">
        <f>G108-2</f>
        <v>77</v>
      </c>
      <c r="G108" s="3">
        <v>79</v>
      </c>
      <c r="H108" s="3">
        <f t="shared" si="64"/>
        <v>80</v>
      </c>
      <c r="I108" s="3">
        <f t="shared" si="64"/>
        <v>81</v>
      </c>
      <c r="J108" s="3">
        <v>94</v>
      </c>
      <c r="K108" s="3">
        <f>VLOOKUP($A108,'NonXtal_SegEnds_BW#'!$A:$Z,8,FALSE)+VLOOKUP($A108,A:AL,10,FALSE)-50</f>
        <v>110</v>
      </c>
      <c r="L108" s="3">
        <f t="shared" si="60"/>
        <v>111</v>
      </c>
      <c r="M108" s="3">
        <v>112</v>
      </c>
      <c r="N108" s="3">
        <f t="shared" si="61"/>
        <v>114</v>
      </c>
      <c r="O108" s="3">
        <f t="shared" si="62"/>
        <v>115</v>
      </c>
      <c r="P108" s="3">
        <v>144</v>
      </c>
      <c r="Q108" s="3">
        <f>VLOOKUP($A108,'NonXtal_SegEnds_BW#'!$A:$Z,12,FALSE)+VLOOKUP($A108,A:AL,16,FALSE)-50</f>
        <v>150</v>
      </c>
      <c r="R108" s="3">
        <f>IF(ISERROR(VLOOKUP($A108,'NonXtal_SegEnds_BW#'!$A:$Z,13,FALSE)+VLOOKUP($A108,A:AL,19,FALSE)-50),"-",VLOOKUP($A108,'NonXtal_SegEnds_BW#'!$A:$Z,13,FALSE)+VLOOKUP($A108,A:AL,19,FALSE)-50)</f>
        <v>151</v>
      </c>
      <c r="S108" s="3">
        <v>151</v>
      </c>
      <c r="T108" s="3">
        <f>IF(ISERROR(VLOOKUP($A108,'NonXtal_SegEnds_BW#'!$A:$Z,14,FALSE)+VLOOKUP($A108,A:AL,19,FALSE)-50),"-",(VLOOKUP($A108,'NonXtal_SegEnds_BW#'!$A:$Z,14,FALSE)+VLOOKUP($A108,A:AL,19,FALSE)-50))</f>
        <v>158</v>
      </c>
      <c r="U108" s="3">
        <f>IF(ISERROR(VLOOKUP($A108,'NonXtal_SegEnds_BW#'!$A:$Z,15,FALSE)+VLOOKUP($A108,A:AL,22,FALSE)-50),"-",VLOOKUP($A108,'NonXtal_SegEnds_BW#'!$A:$Z,15,FALSE)+VLOOKUP($A108,A:AL,22,FALSE)-50)</f>
        <v>159</v>
      </c>
      <c r="V108" s="3">
        <v>170</v>
      </c>
      <c r="W108" s="3">
        <f>IF(ISERROR(VLOOKUP($A108,'NonXtal_SegEnds_BW#'!$A:$Z,16,FALSE)+VLOOKUP($A108,A:AL,22,FALSE)-50),"-",(VLOOKUP($A108,'NonXtal_SegEnds_BW#'!$A:$Z,16,FALSE)+VLOOKUP($A108,A:AL,22,FALSE)-50))</f>
        <v>184</v>
      </c>
      <c r="X108" s="3">
        <f>IF(ISERROR(VLOOKUP($A108,'NonXtal_SegEnds_BW#'!$A:$Z,17,FALSE)+VLOOKUP($A108,A:AL,25,FALSE)-50),"-",(VLOOKUP($A108,'NonXtal_SegEnds_BW#'!$A:$Z,17,FALSE)+VLOOKUP($A108,A:AL,25,FALSE)-50))</f>
        <v>196</v>
      </c>
      <c r="Y108" s="3">
        <v>196</v>
      </c>
      <c r="Z108" s="3">
        <f t="shared" si="58"/>
        <v>198</v>
      </c>
      <c r="AA108" s="3">
        <f>IF(ISERROR(VLOOKUP($A108,'NonXtal_SegEnds_BW#'!$A:$Z,19,FALSE)+VLOOKUP($A108,A:AL,28,FALSE)-50),"-",(VLOOKUP($A108,'NonXtal_SegEnds_BW#'!$A:$Z,19,FALSE)+VLOOKUP($A108,A:AL,28,FALSE)-50))</f>
        <v>204</v>
      </c>
      <c r="AB108" s="3">
        <v>223</v>
      </c>
      <c r="AC108" s="3">
        <f>IF(ISERROR((VLOOKUP($A108,'NonXtal_SegEnds_BW#'!$A:$Z,20,FALSE)+VLOOKUP($A108,A:AL,28,FALSE)-50)),"-",(VLOOKUP($A108,'NonXtal_SegEnds_BW#'!$A:$Z,20,FALSE)+VLOOKUP($A108,A:AL,28,FALSE)-50))</f>
        <v>241</v>
      </c>
      <c r="AD108" s="3">
        <f>IF(ISERROR(VLOOKUP($A108,'NonXtal_SegEnds_BW#'!$A:$Z,21,FALSE)+VLOOKUP($A108,A:AL,31,FALSE)-50),"-",(VLOOKUP($A108,'NonXtal_SegEnds_BW#'!$A:$Z,21,FALSE)+VLOOKUP($A108,A:AL,31,FALSE)-50))</f>
        <v>246</v>
      </c>
      <c r="AE108" s="3">
        <v>266</v>
      </c>
      <c r="AF108" s="3">
        <f>IF(ISERROR((VLOOKUP($A108,'NonXtal_SegEnds_BW#'!$A:$Z,22,FALSE)+VLOOKUP($A108,A:AL,31,FALSE)-50)),"-",(VLOOKUP($A108,'NonXtal_SegEnds_BW#'!$A:$Z,22,FALSE)+VLOOKUP($A108,A:AL,31,FALSE)-50))</f>
        <v>280</v>
      </c>
      <c r="AG108" s="3">
        <f>IF(ISERROR(VLOOKUP($A108,'NonXtal_SegEnds_BW#'!$A:$Z,23,FALSE)+VLOOKUP($A108,A:AL,34,FALSE)-50),"-",(VLOOKUP($A108,'NonXtal_SegEnds_BW#'!$A:$Z,23,FALSE)+VLOOKUP($A108,A:AL,34,FALSE)-50))</f>
        <v>285</v>
      </c>
      <c r="AH108" s="3">
        <v>311</v>
      </c>
      <c r="AI108" s="3">
        <f>IF(ISERROR((VLOOKUP($A108,'NonXtal_SegEnds_BW#'!$A:$Z,24,FALSE)+VLOOKUP($A108,A:AL,34,FALSE)-50)),"-",(VLOOKUP($A108,'NonXtal_SegEnds_BW#'!$A:$Z,24,FALSE)+VLOOKUP($A108,A:AL,34,FALSE)-50))</f>
        <v>317</v>
      </c>
      <c r="AJ108" s="3">
        <f>IF(ISERROR(VLOOKUP($A108,'NonXtal_SegEnds_BW#'!$A:$Z,25,FALSE)+VLOOKUP($A108,A:AL,37,FALSE)-50),"-",(VLOOKUP($A108,'NonXtal_SegEnds_BW#'!$A:$Z,25,FALSE)+VLOOKUP($A108,A:AL,37,FALSE)-50))</f>
        <v>318</v>
      </c>
      <c r="AK108" s="3">
        <v>321</v>
      </c>
      <c r="AL108" s="3">
        <f>IF(ISERROR((VLOOKUP($A108,'NonXtal_SegEnds_BW#'!$A:$Z,26,FALSE)+VLOOKUP($A108,A:AL,37,FALSE)-50)),"-",(VLOOKUP($A108,'NonXtal_SegEnds_BW#'!$A:$Z,26,FALSE)+VLOOKUP($A108,A:AL,37,FALSE)-50))</f>
        <v>330</v>
      </c>
      <c r="AM108" s="71" t="str">
        <f>VLOOKUP(A108,Classification!A:B,2,FALSE)</f>
        <v>A</v>
      </c>
      <c r="AN108" s="71" t="b">
        <f t="shared" si="36"/>
        <v>1</v>
      </c>
      <c r="AO108" s="3">
        <f t="shared" si="37"/>
        <v>1</v>
      </c>
      <c r="AP108" s="3">
        <f t="shared" si="38"/>
        <v>1</v>
      </c>
      <c r="AQ108" s="3">
        <f t="shared" si="39"/>
        <v>1</v>
      </c>
      <c r="AR108" s="3">
        <f t="shared" si="40"/>
        <v>1</v>
      </c>
      <c r="AS108" s="3">
        <f t="shared" si="41"/>
        <v>1</v>
      </c>
      <c r="AT108" s="3">
        <f t="shared" si="42"/>
        <v>1</v>
      </c>
      <c r="AU108" s="3">
        <f t="shared" si="43"/>
        <v>12</v>
      </c>
      <c r="AV108" s="3">
        <f t="shared" si="44"/>
        <v>6</v>
      </c>
      <c r="AW108" s="3">
        <f t="shared" si="45"/>
        <v>5</v>
      </c>
      <c r="AX108" s="3">
        <f t="shared" si="46"/>
        <v>5</v>
      </c>
      <c r="AY108" s="3">
        <f t="shared" si="47"/>
        <v>1</v>
      </c>
      <c r="AZ108" s="3">
        <f>IF(ISERROR(LEN(VLOOKUP(A108,Seqs!A:E,2,FALSE))-AL108),"-",LEN(VLOOKUP(A108,Seqs!A:E,2,FALSE))-AL108)</f>
        <v>30</v>
      </c>
      <c r="BA108" s="35">
        <f t="shared" si="48"/>
        <v>28</v>
      </c>
      <c r="BB108" s="3">
        <f t="shared" si="49"/>
        <v>19</v>
      </c>
      <c r="BC108" s="3">
        <f t="shared" si="50"/>
        <v>28</v>
      </c>
      <c r="BD108" s="3">
        <f t="shared" si="51"/>
        <v>43</v>
      </c>
    </row>
    <row r="109" spans="1:57" s="3" customFormat="1" x14ac:dyDescent="0.2">
      <c r="A109" s="3" t="s">
        <v>336</v>
      </c>
      <c r="B109" s="3" t="str">
        <f>LOWER(VLOOKUP(A109,Xtal_Templ!A:B,2,FALSE))</f>
        <v>ccr5_human</v>
      </c>
      <c r="C109" s="3">
        <f>VLOOKUP($A109,'NonXtal_SegEnds_BW#'!$A:$Z,3,FALSE)+D109-50</f>
        <v>53</v>
      </c>
      <c r="D109" s="3">
        <v>76</v>
      </c>
      <c r="E109" s="3">
        <f>IF(ISERROR(VLOOKUP($A109,'NonXtal_SegEnds_BW#'!$A:$Z,4,FALSE)+VLOOKUP($A109,A:AL,4,FALSE)-50),"-",(VLOOKUP($A109,'NonXtal_SegEnds_BW#'!$A:$Z,4,FALSE)+VLOOKUP($A109,A:AL,4,FALSE)-50))</f>
        <v>86</v>
      </c>
      <c r="F109" s="3" t="str">
        <f>IF(ISERROR(VLOOKUP($A109,'NonXtal_SegEnds_BW#'!$A:$Z,5,FALSE)+VLOOKUP($A109,A:AL,7,FALSE)-50),"-",(VLOOKUP($A109,'NonXtal_SegEnds_BW#'!$A:$Z,5,FALSE)+VLOOKUP($A109,A:AL,7,FALSE)-50))</f>
        <v>-</v>
      </c>
      <c r="G109" s="3" t="s">
        <v>129</v>
      </c>
      <c r="H109" s="3" t="str">
        <f>IF(ISERROR(VLOOKUP($A109,'NonXtal_SegEnds_BW#'!$A:$Z,6,FALSE)+VLOOKUP($A109,A:AL,7,FALSE)-50),"-",(VLOOKUP($A109,'NonXtal_SegEnds_BW#'!$A:$Z,6,FALSE)+VLOOKUP($A109,A:AL,7,FALSE)-50))</f>
        <v>-</v>
      </c>
      <c r="I109" s="3">
        <f>VLOOKUP($A109,'NonXtal_SegEnds_BW#'!$A:$Z,7,FALSE)+J109-50</f>
        <v>93</v>
      </c>
      <c r="J109" s="3">
        <v>106</v>
      </c>
      <c r="K109" s="3">
        <f>VLOOKUP($A109,'NonXtal_SegEnds_BW#'!$A:$Z,8,FALSE)+VLOOKUP($A109,A:AL,10,FALSE)-50</f>
        <v>122</v>
      </c>
      <c r="L109" s="3" t="str">
        <f>IF(ISERROR(VLOOKUP($A109,'NonXtal_SegEnds_BW#'!$A:$Z,9,FALSE)+VLOOKUP($A109,A:AL,13,FALSE)-50),"-",(VLOOKUP($A109,'NonXtal_SegEnds_BW#'!$A:$Z,9,FALSE)+VLOOKUP($A109,A:AL,13,FALSE)-50))</f>
        <v>-</v>
      </c>
      <c r="M109" s="3" t="s">
        <v>129</v>
      </c>
      <c r="N109" s="3" t="str">
        <f>IF(ISERROR(VLOOKUP($A109,'NonXtal_SegEnds_BW#'!$A:$Z,10,FALSE)+VLOOKUP($A109,A:AL,13,FALSE)-50),"-",(VLOOKUP($A109,'NonXtal_SegEnds_BW#'!$A:$Z,10,FALSE)+VLOOKUP($A109,A:AL,13,FALSE)-50))</f>
        <v>-</v>
      </c>
      <c r="O109" s="3">
        <f>VLOOKUP($A109,'NonXtal_SegEnds_BW#'!$A:$Z,11,FALSE)+VLOOKUP($A109,A:AL,16,FALSE)-50</f>
        <v>128</v>
      </c>
      <c r="P109" s="3">
        <v>154</v>
      </c>
      <c r="Q109" s="3">
        <f>VLOOKUP($A109,'NonXtal_SegEnds_BW#'!$A:$Z,12,FALSE)+VLOOKUP($A109,A:AL,16,FALSE)-50</f>
        <v>160</v>
      </c>
      <c r="R109" s="3" t="str">
        <f>IF(ISERROR(VLOOKUP($A109,'NonXtal_SegEnds_BW#'!$A:$Z,13,FALSE)+VLOOKUP($A109,A:AL,19,FALSE)-50),"-",VLOOKUP($A109,'NonXtal_SegEnds_BW#'!$A:$Z,13,FALSE)+VLOOKUP($A109,A:AL,19,FALSE)-50)</f>
        <v>-</v>
      </c>
      <c r="S109" s="3" t="s">
        <v>129</v>
      </c>
      <c r="T109" s="3" t="str">
        <f>IF(ISERROR(VLOOKUP($A109,'NonXtal_SegEnds_BW#'!$A:$Z,14,FALSE)+VLOOKUP($A109,A:AL,19,FALSE)-50),"-",(VLOOKUP($A109,'NonXtal_SegEnds_BW#'!$A:$Z,14,FALSE)+VLOOKUP($A109,A:AL,19,FALSE)-50))</f>
        <v>-</v>
      </c>
      <c r="U109" s="3">
        <f>IF(ISERROR(VLOOKUP($A109,'NonXtal_SegEnds_BW#'!$A:$Z,15,FALSE)+VLOOKUP($A109,A:AL,22,FALSE)-50),"-",VLOOKUP($A109,'NonXtal_SegEnds_BW#'!$A:$Z,15,FALSE)+VLOOKUP($A109,A:AL,22,FALSE)-50)</f>
        <v>163</v>
      </c>
      <c r="V109" s="3">
        <v>174</v>
      </c>
      <c r="W109" s="3">
        <f>IF(ISERROR(VLOOKUP($A109,'NonXtal_SegEnds_BW#'!$A:$Z,16,FALSE)+VLOOKUP($A109,A:AL,22,FALSE)-50),"-",(VLOOKUP($A109,'NonXtal_SegEnds_BW#'!$A:$Z,16,FALSE)+VLOOKUP($A109,A:AL,22,FALSE)-50))</f>
        <v>188</v>
      </c>
      <c r="X109" s="3">
        <f>IF(ISERROR(VLOOKUP($A109,'NonXtal_SegEnds_BW#'!$A:$Z,17,FALSE)+VLOOKUP($A109,A:AL,25,FALSE)-50),"-",(VLOOKUP($A109,'NonXtal_SegEnds_BW#'!$A:$Z,17,FALSE)+VLOOKUP($A109,A:AL,25,FALSE)-50))</f>
        <v>195</v>
      </c>
      <c r="Y109" s="3">
        <v>195</v>
      </c>
      <c r="Z109" s="3">
        <f t="shared" si="58"/>
        <v>197</v>
      </c>
      <c r="AA109" s="3">
        <f>IF(ISERROR(VLOOKUP($A109,'NonXtal_SegEnds_BW#'!$A:$Z,19,FALSE)+VLOOKUP($A109,A:AL,28,FALSE)-50),"-",(VLOOKUP($A109,'NonXtal_SegEnds_BW#'!$A:$Z,19,FALSE)+VLOOKUP($A109,A:AL,28,FALSE)-50))</f>
        <v>199</v>
      </c>
      <c r="AB109" s="3">
        <v>218</v>
      </c>
      <c r="AC109" s="3">
        <f>IF(ISERROR((VLOOKUP($A109,'NonXtal_SegEnds_BW#'!$A:$Z,20,FALSE)+VLOOKUP($A109,A:AL,28,FALSE)-50)),"-",(VLOOKUP($A109,'NonXtal_SegEnds_BW#'!$A:$Z,20,FALSE)+VLOOKUP($A109,A:AL,28,FALSE)-50))</f>
        <v>232</v>
      </c>
      <c r="AD109" s="3">
        <f>IF(ISERROR(VLOOKUP($A109,'NonXtal_SegEnds_BW#'!$A:$Z,21,FALSE)+VLOOKUP($A109,A:AL,31,FALSE)-50),"-",(VLOOKUP($A109,'NonXtal_SegEnds_BW#'!$A:$Z,21,FALSE)+VLOOKUP($A109,A:AL,31,FALSE)-50))</f>
        <v>239</v>
      </c>
      <c r="AE109" s="3">
        <v>255</v>
      </c>
      <c r="AF109" s="3">
        <f>IF(ISERROR((VLOOKUP($A109,'NonXtal_SegEnds_BW#'!$A:$Z,22,FALSE)+VLOOKUP($A109,A:AL,31,FALSE)-50)),"-",(VLOOKUP($A109,'NonXtal_SegEnds_BW#'!$A:$Z,22,FALSE)+VLOOKUP($A109,A:AL,31,FALSE)-50))</f>
        <v>269</v>
      </c>
      <c r="AG109" s="3">
        <f>IF(ISERROR(VLOOKUP($A109,'NonXtal_SegEnds_BW#'!$A:$Z,23,FALSE)+VLOOKUP($A109,A:AL,34,FALSE)-50),"-",(VLOOKUP($A109,'NonXtal_SegEnds_BW#'!$A:$Z,23,FALSE)+VLOOKUP($A109,A:AL,34,FALSE)-50))</f>
        <v>275</v>
      </c>
      <c r="AH109" s="3">
        <v>301</v>
      </c>
      <c r="AI109" s="3">
        <f>IF(ISERROR((VLOOKUP($A109,'NonXtal_SegEnds_BW#'!$A:$Z,24,FALSE)+VLOOKUP($A109,A:AL,34,FALSE)-50)),"-",(VLOOKUP($A109,'NonXtal_SegEnds_BW#'!$A:$Z,24,FALSE)+VLOOKUP($A109,A:AL,34,FALSE)-50))</f>
        <v>307</v>
      </c>
      <c r="AJ109" s="3">
        <f>IF(ISERROR(VLOOKUP($A109,'NonXtal_SegEnds_BW#'!$A:$Z,25,FALSE)+VLOOKUP($A109,A:AL,37,FALSE)-50),"-",(VLOOKUP($A109,'NonXtal_SegEnds_BW#'!$A:$Z,25,FALSE)+VLOOKUP($A109,A:AL,37,FALSE)-50))</f>
        <v>308</v>
      </c>
      <c r="AK109" s="3">
        <v>311</v>
      </c>
      <c r="AL109" s="3">
        <f>IF(ISERROR((VLOOKUP($A109,'NonXtal_SegEnds_BW#'!$A:$Z,26,FALSE)+VLOOKUP($A109,A:AL,37,FALSE)-50)),"-",(VLOOKUP($A109,'NonXtal_SegEnds_BW#'!$A:$Z,26,FALSE)+VLOOKUP($A109,A:AL,37,FALSE)-50))</f>
        <v>320</v>
      </c>
      <c r="AM109" s="71" t="str">
        <f>VLOOKUP(A109,Classification!A:B,2,FALSE)</f>
        <v>A</v>
      </c>
      <c r="AN109" s="71" t="b">
        <f t="shared" si="36"/>
        <v>1</v>
      </c>
      <c r="AO109" s="3" t="str">
        <f t="shared" si="37"/>
        <v>-</v>
      </c>
      <c r="AP109" s="3" t="str">
        <f t="shared" si="38"/>
        <v>-</v>
      </c>
      <c r="AQ109" s="3" t="str">
        <f t="shared" si="39"/>
        <v>-</v>
      </c>
      <c r="AR109" s="3" t="str">
        <f t="shared" si="40"/>
        <v>-</v>
      </c>
      <c r="AS109" s="3" t="str">
        <f t="shared" si="41"/>
        <v>-</v>
      </c>
      <c r="AT109" s="3" t="str">
        <f t="shared" si="42"/>
        <v>-</v>
      </c>
      <c r="AU109" s="3">
        <f t="shared" si="43"/>
        <v>7</v>
      </c>
      <c r="AV109" s="3">
        <f t="shared" si="44"/>
        <v>2</v>
      </c>
      <c r="AW109" s="3">
        <f t="shared" si="45"/>
        <v>7</v>
      </c>
      <c r="AX109" s="3">
        <f t="shared" si="46"/>
        <v>6</v>
      </c>
      <c r="AY109" s="3">
        <f t="shared" si="47"/>
        <v>1</v>
      </c>
      <c r="AZ109" s="3">
        <f>IF(ISERROR(LEN(VLOOKUP(A109,Seqs!A:E,2,FALSE))-AL109),"-",LEN(VLOOKUP(A109,Seqs!A:E,2,FALSE))-AL109)</f>
        <v>16</v>
      </c>
      <c r="BA109" s="35">
        <f t="shared" si="48"/>
        <v>30</v>
      </c>
      <c r="BB109" s="3" t="str">
        <f t="shared" si="49"/>
        <v>-</v>
      </c>
      <c r="BC109" s="3">
        <f t="shared" si="50"/>
        <v>30</v>
      </c>
      <c r="BD109" s="3">
        <f t="shared" si="51"/>
        <v>37</v>
      </c>
      <c r="BE109" s="3">
        <f>AH109-AE109</f>
        <v>46</v>
      </c>
    </row>
    <row r="110" spans="1:57" s="3" customFormat="1" x14ac:dyDescent="0.2">
      <c r="A110" s="3" t="s">
        <v>337</v>
      </c>
      <c r="B110" s="3" t="str">
        <f>LOWER(VLOOKUP(A110,Xtal_Templ!A:B,2,FALSE))</f>
        <v>ccr5_human</v>
      </c>
      <c r="C110" s="3">
        <f>VLOOKUP($A110,'NonXtal_SegEnds_BW#'!$A:$Z,3,FALSE)+D110-50</f>
        <v>41</v>
      </c>
      <c r="D110" s="3">
        <v>64</v>
      </c>
      <c r="E110" s="3">
        <f>IF(ISERROR(VLOOKUP($A110,'NonXtal_SegEnds_BW#'!$A:$Z,4,FALSE)+VLOOKUP($A110,A:AL,4,FALSE)-50),"-",(VLOOKUP($A110,'NonXtal_SegEnds_BW#'!$A:$Z,4,FALSE)+VLOOKUP($A110,A:AL,4,FALSE)-50))</f>
        <v>74</v>
      </c>
      <c r="F110" s="3">
        <f t="shared" ref="F110:F123" si="65">G110-2</f>
        <v>75</v>
      </c>
      <c r="G110" s="3">
        <v>77</v>
      </c>
      <c r="H110" s="3">
        <f t="shared" ref="H110:I123" si="66">G110+1</f>
        <v>78</v>
      </c>
      <c r="I110" s="3">
        <f t="shared" si="66"/>
        <v>79</v>
      </c>
      <c r="J110" s="3">
        <v>92</v>
      </c>
      <c r="K110" s="3">
        <f>VLOOKUP($A110,'NonXtal_SegEnds_BW#'!$A:$Z,8,FALSE)+VLOOKUP($A110,A:AL,10,FALSE)-50</f>
        <v>108</v>
      </c>
      <c r="L110" s="3" t="str">
        <f>IF(ISERROR(VLOOKUP($A110,'NonXtal_SegEnds_BW#'!$A:$Z,9,FALSE)+VLOOKUP($A110,A:AL,13,FALSE)-50),"-",(VLOOKUP($A110,'NonXtal_SegEnds_BW#'!$A:$Z,9,FALSE)+VLOOKUP($A110,A:AL,13,FALSE)-50))</f>
        <v>-</v>
      </c>
      <c r="M110" s="3" t="s">
        <v>129</v>
      </c>
      <c r="N110" s="3" t="str">
        <f>IF(ISERROR(VLOOKUP($A110,'NonXtal_SegEnds_BW#'!$A:$Z,10,FALSE)+VLOOKUP($A110,A:AL,13,FALSE)-50),"-",(VLOOKUP($A110,'NonXtal_SegEnds_BW#'!$A:$Z,10,FALSE)+VLOOKUP($A110,A:AL,13,FALSE)-50))</f>
        <v>-</v>
      </c>
      <c r="O110" s="3">
        <f>VLOOKUP($A110,'NonXtal_SegEnds_BW#'!$A:$Z,11,FALSE)+VLOOKUP($A110,A:AL,16,FALSE)-50</f>
        <v>116</v>
      </c>
      <c r="P110" s="3">
        <v>142</v>
      </c>
      <c r="Q110" s="3">
        <f>VLOOKUP($A110,'NonXtal_SegEnds_BW#'!$A:$Z,12,FALSE)+VLOOKUP($A110,A:AL,16,FALSE)-50</f>
        <v>148</v>
      </c>
      <c r="R110" s="3">
        <f>IF(ISERROR(VLOOKUP($A110,'NonXtal_SegEnds_BW#'!$A:$Z,13,FALSE)+VLOOKUP($A110,A:AL,19,FALSE)-50),"-",VLOOKUP($A110,'NonXtal_SegEnds_BW#'!$A:$Z,13,FALSE)+VLOOKUP($A110,A:AL,19,FALSE)-50)</f>
        <v>149</v>
      </c>
      <c r="S110" s="3">
        <v>149</v>
      </c>
      <c r="T110" s="3">
        <f>IF(ISERROR(VLOOKUP($A110,'NonXtal_SegEnds_BW#'!$A:$Z,14,FALSE)+VLOOKUP($A110,A:AL,19,FALSE)-50),"-",(VLOOKUP($A110,'NonXtal_SegEnds_BW#'!$A:$Z,14,FALSE)+VLOOKUP($A110,A:AL,19,FALSE)-50))</f>
        <v>156</v>
      </c>
      <c r="U110" s="3">
        <f>IF(ISERROR(VLOOKUP($A110,'NonXtal_SegEnds_BW#'!$A:$Z,15,FALSE)+VLOOKUP($A110,A:AL,22,FALSE)-50),"-",VLOOKUP($A110,'NonXtal_SegEnds_BW#'!$A:$Z,15,FALSE)+VLOOKUP($A110,A:AL,22,FALSE)-50)</f>
        <v>158</v>
      </c>
      <c r="V110" s="3">
        <v>169</v>
      </c>
      <c r="W110" s="3">
        <f>IF(ISERROR(VLOOKUP($A110,'NonXtal_SegEnds_BW#'!$A:$Z,16,FALSE)+VLOOKUP($A110,A:AL,22,FALSE)-50),"-",(VLOOKUP($A110,'NonXtal_SegEnds_BW#'!$A:$Z,16,FALSE)+VLOOKUP($A110,A:AL,22,FALSE)-50))</f>
        <v>183</v>
      </c>
      <c r="X110" s="3">
        <f>IF(ISERROR(VLOOKUP($A110,'NonXtal_SegEnds_BW#'!$A:$Z,17,FALSE)+VLOOKUP($A110,A:AL,25,FALSE)-50),"-",(VLOOKUP($A110,'NonXtal_SegEnds_BW#'!$A:$Z,17,FALSE)+VLOOKUP($A110,A:AL,25,FALSE)-50))</f>
        <v>195</v>
      </c>
      <c r="Y110" s="3">
        <v>195</v>
      </c>
      <c r="Z110" s="3">
        <f t="shared" si="58"/>
        <v>197</v>
      </c>
      <c r="AA110" s="3">
        <f>IF(ISERROR(VLOOKUP($A110,'NonXtal_SegEnds_BW#'!$A:$Z,19,FALSE)+VLOOKUP($A110,A:AL,28,FALSE)-50),"-",(VLOOKUP($A110,'NonXtal_SegEnds_BW#'!$A:$Z,19,FALSE)+VLOOKUP($A110,A:AL,28,FALSE)-50))</f>
        <v>203</v>
      </c>
      <c r="AB110" s="3">
        <v>222</v>
      </c>
      <c r="AC110" s="3">
        <f>IF(ISERROR((VLOOKUP($A110,'NonXtal_SegEnds_BW#'!$A:$Z,20,FALSE)+VLOOKUP($A110,A:AL,28,FALSE)-50)),"-",(VLOOKUP($A110,'NonXtal_SegEnds_BW#'!$A:$Z,20,FALSE)+VLOOKUP($A110,A:AL,28,FALSE)-50))</f>
        <v>240</v>
      </c>
      <c r="AD110" s="3">
        <f>IF(ISERROR(VLOOKUP($A110,'NonXtal_SegEnds_BW#'!$A:$Z,21,FALSE)+VLOOKUP($A110,A:AL,31,FALSE)-50),"-",(VLOOKUP($A110,'NonXtal_SegEnds_BW#'!$A:$Z,21,FALSE)+VLOOKUP($A110,A:AL,31,FALSE)-50))</f>
        <v>245</v>
      </c>
      <c r="AE110" s="3">
        <v>265</v>
      </c>
      <c r="AF110" s="3">
        <f>IF(ISERROR((VLOOKUP($A110,'NonXtal_SegEnds_BW#'!$A:$Z,22,FALSE)+VLOOKUP($A110,A:AL,31,FALSE)-50)),"-",(VLOOKUP($A110,'NonXtal_SegEnds_BW#'!$A:$Z,22,FALSE)+VLOOKUP($A110,A:AL,31,FALSE)-50))</f>
        <v>279</v>
      </c>
      <c r="AG110" s="3">
        <f>IF(ISERROR(VLOOKUP($A110,'NonXtal_SegEnds_BW#'!$A:$Z,23,FALSE)+VLOOKUP($A110,A:AL,34,FALSE)-50),"-",(VLOOKUP($A110,'NonXtal_SegEnds_BW#'!$A:$Z,23,FALSE)+VLOOKUP($A110,A:AL,34,FALSE)-50))</f>
        <v>283</v>
      </c>
      <c r="AH110" s="3">
        <v>309</v>
      </c>
      <c r="AI110" s="3">
        <f>IF(ISERROR((VLOOKUP($A110,'NonXtal_SegEnds_BW#'!$A:$Z,24,FALSE)+VLOOKUP($A110,A:AL,34,FALSE)-50)),"-",(VLOOKUP($A110,'NonXtal_SegEnds_BW#'!$A:$Z,24,FALSE)+VLOOKUP($A110,A:AL,34,FALSE)-50))</f>
        <v>315</v>
      </c>
      <c r="AJ110" s="3">
        <f>IF(ISERROR(VLOOKUP($A110,'NonXtal_SegEnds_BW#'!$A:$Z,25,FALSE)+VLOOKUP($A110,A:AL,37,FALSE)-50),"-",(VLOOKUP($A110,'NonXtal_SegEnds_BW#'!$A:$Z,25,FALSE)+VLOOKUP($A110,A:AL,37,FALSE)-50))</f>
        <v>316</v>
      </c>
      <c r="AK110" s="3">
        <v>319</v>
      </c>
      <c r="AL110" s="3">
        <f>IF(ISERROR((VLOOKUP($A110,'NonXtal_SegEnds_BW#'!$A:$Z,26,FALSE)+VLOOKUP($A110,A:AL,37,FALSE)-50)),"-",(VLOOKUP($A110,'NonXtal_SegEnds_BW#'!$A:$Z,26,FALSE)+VLOOKUP($A110,A:AL,37,FALSE)-50))</f>
        <v>328</v>
      </c>
      <c r="AM110" s="71" t="str">
        <f>VLOOKUP(A110,Classification!A:B,2,FALSE)</f>
        <v>A</v>
      </c>
      <c r="AN110" s="71" t="b">
        <f t="shared" si="36"/>
        <v>1</v>
      </c>
      <c r="AO110" s="3">
        <f t="shared" si="37"/>
        <v>1</v>
      </c>
      <c r="AP110" s="3">
        <f t="shared" si="38"/>
        <v>1</v>
      </c>
      <c r="AQ110" s="3" t="str">
        <f t="shared" si="39"/>
        <v>-</v>
      </c>
      <c r="AR110" s="3" t="str">
        <f t="shared" si="40"/>
        <v>-</v>
      </c>
      <c r="AS110" s="3">
        <f t="shared" si="41"/>
        <v>1</v>
      </c>
      <c r="AT110" s="3">
        <f t="shared" si="42"/>
        <v>2</v>
      </c>
      <c r="AU110" s="3">
        <f t="shared" si="43"/>
        <v>12</v>
      </c>
      <c r="AV110" s="3">
        <f t="shared" si="44"/>
        <v>6</v>
      </c>
      <c r="AW110" s="3">
        <f t="shared" si="45"/>
        <v>5</v>
      </c>
      <c r="AX110" s="3">
        <f t="shared" si="46"/>
        <v>4</v>
      </c>
      <c r="AY110" s="3">
        <f t="shared" si="47"/>
        <v>1</v>
      </c>
      <c r="AZ110" s="3">
        <f>IF(ISERROR(LEN(VLOOKUP(A110,Seqs!A:E,2,FALSE))-AL110),"-",LEN(VLOOKUP(A110,Seqs!A:E,2,FALSE))-AL110)</f>
        <v>56</v>
      </c>
      <c r="BA110" s="35">
        <f t="shared" si="48"/>
        <v>28</v>
      </c>
      <c r="BB110" s="3">
        <f t="shared" si="49"/>
        <v>20</v>
      </c>
      <c r="BC110" s="3">
        <f t="shared" si="50"/>
        <v>28</v>
      </c>
      <c r="BD110" s="3">
        <f t="shared" si="51"/>
        <v>43</v>
      </c>
    </row>
    <row r="111" spans="1:57" s="3" customFormat="1" x14ac:dyDescent="0.2">
      <c r="A111" s="3" t="s">
        <v>363</v>
      </c>
      <c r="B111" s="3" t="str">
        <f>LOWER(VLOOKUP(A111,Xtal_Templ!A:B,2,FALSE))</f>
        <v>ccr5_human</v>
      </c>
      <c r="C111" s="3">
        <f>VLOOKUP($A111,'NonXtal_SegEnds_BW#'!$A:$Z,3,FALSE)+D111-50</f>
        <v>36</v>
      </c>
      <c r="D111" s="3">
        <v>59</v>
      </c>
      <c r="E111" s="3">
        <f>IF(ISERROR(VLOOKUP($A111,'NonXtal_SegEnds_BW#'!$A:$Z,4,FALSE)+VLOOKUP($A111,A:AL,4,FALSE)-50),"-",(VLOOKUP($A111,'NonXtal_SegEnds_BW#'!$A:$Z,4,FALSE)+VLOOKUP($A111,A:AL,4,FALSE)-50))</f>
        <v>69</v>
      </c>
      <c r="F111" s="3">
        <f t="shared" si="65"/>
        <v>70</v>
      </c>
      <c r="G111" s="3">
        <v>72</v>
      </c>
      <c r="H111" s="3">
        <f t="shared" si="66"/>
        <v>73</v>
      </c>
      <c r="I111" s="3">
        <f t="shared" si="66"/>
        <v>74</v>
      </c>
      <c r="J111" s="3">
        <v>88</v>
      </c>
      <c r="K111" s="3">
        <f>VLOOKUP($A111,'NonXtal_SegEnds_BW#'!$A:$Z,8,FALSE)+VLOOKUP($A111,A:AL,10,FALSE)-50</f>
        <v>104</v>
      </c>
      <c r="L111" s="3">
        <f>M111-1</f>
        <v>105</v>
      </c>
      <c r="M111" s="3">
        <v>106</v>
      </c>
      <c r="N111" s="3">
        <f>M111+2</f>
        <v>108</v>
      </c>
      <c r="O111" s="3">
        <f>N111+1</f>
        <v>109</v>
      </c>
      <c r="P111" s="3">
        <v>138</v>
      </c>
      <c r="Q111" s="3">
        <f>VLOOKUP($A111,'NonXtal_SegEnds_BW#'!$A:$Z,12,FALSE)+VLOOKUP($A111,A:AL,16,FALSE)-50</f>
        <v>144</v>
      </c>
      <c r="R111" s="3" t="str">
        <f>IF(ISERROR(VLOOKUP($A111,'NonXtal_SegEnds_BW#'!$A:$Z,13,FALSE)+VLOOKUP($A111,A:AL,19,FALSE)-50),"-",VLOOKUP($A111,'NonXtal_SegEnds_BW#'!$A:$Z,13,FALSE)+VLOOKUP($A111,A:AL,19,FALSE)-50)</f>
        <v>-</v>
      </c>
      <c r="S111" s="3" t="s">
        <v>129</v>
      </c>
      <c r="T111" s="3" t="str">
        <f>IF(ISERROR(VLOOKUP($A111,'NonXtal_SegEnds_BW#'!$A:$Z,14,FALSE)+VLOOKUP($A111,A:AL,19,FALSE)-50),"-",(VLOOKUP($A111,'NonXtal_SegEnds_BW#'!$A:$Z,14,FALSE)+VLOOKUP($A111,A:AL,19,FALSE)-50))</f>
        <v>-</v>
      </c>
      <c r="U111" s="3">
        <f>IF(ISERROR(VLOOKUP($A111,'NonXtal_SegEnds_BW#'!$A:$Z,15,FALSE)+VLOOKUP($A111,A:AL,22,FALSE)-50),"-",VLOOKUP($A111,'NonXtal_SegEnds_BW#'!$A:$Z,15,FALSE)+VLOOKUP($A111,A:AL,22,FALSE)-50)</f>
        <v>155</v>
      </c>
      <c r="V111" s="3">
        <v>166</v>
      </c>
      <c r="W111" s="3">
        <f>IF(ISERROR(VLOOKUP($A111,'NonXtal_SegEnds_BW#'!$A:$Z,16,FALSE)+VLOOKUP($A111,A:AL,22,FALSE)-50),"-",(VLOOKUP($A111,'NonXtal_SegEnds_BW#'!$A:$Z,16,FALSE)+VLOOKUP($A111,A:AL,22,FALSE)-50))</f>
        <v>180</v>
      </c>
      <c r="X111" s="3">
        <f>IF(ISERROR(VLOOKUP($A111,'NonXtal_SegEnds_BW#'!$A:$Z,17,FALSE)+VLOOKUP($A111,A:AL,25,FALSE)-50),"-",(VLOOKUP($A111,'NonXtal_SegEnds_BW#'!$A:$Z,17,FALSE)+VLOOKUP($A111,A:AL,25,FALSE)-50))</f>
        <v>191</v>
      </c>
      <c r="Y111" s="3">
        <v>191</v>
      </c>
      <c r="Z111" s="3">
        <f t="shared" si="58"/>
        <v>193</v>
      </c>
      <c r="AA111" s="3">
        <f>IF(ISERROR(VLOOKUP($A111,'NonXtal_SegEnds_BW#'!$A:$Z,19,FALSE)+VLOOKUP($A111,A:AL,28,FALSE)-50),"-",(VLOOKUP($A111,'NonXtal_SegEnds_BW#'!$A:$Z,19,FALSE)+VLOOKUP($A111,A:AL,28,FALSE)-50))</f>
        <v>200</v>
      </c>
      <c r="AB111" s="3">
        <v>219</v>
      </c>
      <c r="AC111" s="3">
        <f>IF(ISERROR((VLOOKUP($A111,'NonXtal_SegEnds_BW#'!$A:$Z,20,FALSE)+VLOOKUP($A111,A:AL,28,FALSE)-50)),"-",(VLOOKUP($A111,'NonXtal_SegEnds_BW#'!$A:$Z,20,FALSE)+VLOOKUP($A111,A:AL,28,FALSE)-50))</f>
        <v>237</v>
      </c>
      <c r="AD111" s="3">
        <f>IF(ISERROR(VLOOKUP($A111,'NonXtal_SegEnds_BW#'!$A:$Z,21,FALSE)+VLOOKUP($A111,A:AL,31,FALSE)-50),"-",(VLOOKUP($A111,'NonXtal_SegEnds_BW#'!$A:$Z,21,FALSE)+VLOOKUP($A111,A:AL,31,FALSE)-50))</f>
        <v>242</v>
      </c>
      <c r="AE111" s="3">
        <v>262</v>
      </c>
      <c r="AF111" s="3">
        <f>IF(ISERROR((VLOOKUP($A111,'NonXtal_SegEnds_BW#'!$A:$Z,22,FALSE)+VLOOKUP($A111,A:AL,31,FALSE)-50)),"-",(VLOOKUP($A111,'NonXtal_SegEnds_BW#'!$A:$Z,22,FALSE)+VLOOKUP($A111,A:AL,31,FALSE)-50))</f>
        <v>277</v>
      </c>
      <c r="AG111" s="3">
        <f>IF(ISERROR(VLOOKUP($A111,'NonXtal_SegEnds_BW#'!$A:$Z,23,FALSE)+VLOOKUP($A111,A:AL,34,FALSE)-50),"-",(VLOOKUP($A111,'NonXtal_SegEnds_BW#'!$A:$Z,23,FALSE)+VLOOKUP($A111,A:AL,34,FALSE)-50))</f>
        <v>281</v>
      </c>
      <c r="AH111" s="3">
        <v>307</v>
      </c>
      <c r="AI111" s="3">
        <f>IF(ISERROR((VLOOKUP($A111,'NonXtal_SegEnds_BW#'!$A:$Z,24,FALSE)+VLOOKUP($A111,A:AL,34,FALSE)-50)),"-",(VLOOKUP($A111,'NonXtal_SegEnds_BW#'!$A:$Z,24,FALSE)+VLOOKUP($A111,A:AL,34,FALSE)-50))</f>
        <v>313</v>
      </c>
      <c r="AJ111" s="3">
        <f>IF(ISERROR(VLOOKUP($A111,'NonXtal_SegEnds_BW#'!$A:$Z,25,FALSE)+VLOOKUP($A111,A:AL,37,FALSE)-50),"-",(VLOOKUP($A111,'NonXtal_SegEnds_BW#'!$A:$Z,25,FALSE)+VLOOKUP($A111,A:AL,37,FALSE)-50))</f>
        <v>314</v>
      </c>
      <c r="AK111" s="3">
        <v>317</v>
      </c>
      <c r="AL111" s="3">
        <f>IF(ISERROR((VLOOKUP($A111,'NonXtal_SegEnds_BW#'!$A:$Z,26,FALSE)+VLOOKUP($A111,A:AL,37,FALSE)-50)),"-",(VLOOKUP($A111,'NonXtal_SegEnds_BW#'!$A:$Z,26,FALSE)+VLOOKUP($A111,A:AL,37,FALSE)-50))</f>
        <v>326</v>
      </c>
      <c r="AM111" s="71" t="str">
        <f>VLOOKUP(A111,Classification!A:B,2,FALSE)</f>
        <v>A</v>
      </c>
      <c r="AN111" s="71" t="b">
        <f t="shared" si="36"/>
        <v>1</v>
      </c>
      <c r="AO111" s="3">
        <f t="shared" si="37"/>
        <v>1</v>
      </c>
      <c r="AP111" s="3">
        <f t="shared" si="38"/>
        <v>1</v>
      </c>
      <c r="AQ111" s="3">
        <f t="shared" si="39"/>
        <v>1</v>
      </c>
      <c r="AR111" s="3">
        <f t="shared" si="40"/>
        <v>1</v>
      </c>
      <c r="AS111" s="3" t="str">
        <f t="shared" si="41"/>
        <v>-</v>
      </c>
      <c r="AT111" s="3" t="str">
        <f t="shared" si="42"/>
        <v>-</v>
      </c>
      <c r="AU111" s="3">
        <f t="shared" si="43"/>
        <v>11</v>
      </c>
      <c r="AV111" s="3">
        <f t="shared" si="44"/>
        <v>7</v>
      </c>
      <c r="AW111" s="3">
        <f t="shared" si="45"/>
        <v>5</v>
      </c>
      <c r="AX111" s="3">
        <f t="shared" si="46"/>
        <v>4</v>
      </c>
      <c r="AY111" s="3">
        <f t="shared" si="47"/>
        <v>1</v>
      </c>
      <c r="AZ111" s="3">
        <f>IF(ISERROR(LEN(VLOOKUP(A111,Seqs!A:E,2,FALSE))-AL111),"-",LEN(VLOOKUP(A111,Seqs!A:E,2,FALSE))-AL111)</f>
        <v>36</v>
      </c>
      <c r="BA111" s="35">
        <f t="shared" si="48"/>
        <v>29</v>
      </c>
      <c r="BB111" s="3" t="str">
        <f t="shared" si="49"/>
        <v>-</v>
      </c>
      <c r="BC111" s="3">
        <f t="shared" si="50"/>
        <v>29</v>
      </c>
      <c r="BD111" s="3">
        <f t="shared" si="51"/>
        <v>43</v>
      </c>
    </row>
    <row r="112" spans="1:57" s="3" customFormat="1" x14ac:dyDescent="0.2">
      <c r="A112" s="3" t="s">
        <v>364</v>
      </c>
      <c r="B112" s="3" t="str">
        <f>LOWER(VLOOKUP(A112,Xtal_Templ!A:B,2,FALSE))</f>
        <v>ccr5_human</v>
      </c>
      <c r="C112" s="3">
        <f>VLOOKUP($A112,'NonXtal_SegEnds_BW#'!$A:$Z,3,FALSE)+D112-50</f>
        <v>37</v>
      </c>
      <c r="D112" s="3">
        <v>60</v>
      </c>
      <c r="E112" s="3">
        <f>IF(ISERROR(VLOOKUP($A112,'NonXtal_SegEnds_BW#'!$A:$Z,4,FALSE)+VLOOKUP($A112,A:AL,4,FALSE)-50),"-",(VLOOKUP($A112,'NonXtal_SegEnds_BW#'!$A:$Z,4,FALSE)+VLOOKUP($A112,A:AL,4,FALSE)-50))</f>
        <v>70</v>
      </c>
      <c r="F112" s="3">
        <f t="shared" si="65"/>
        <v>71</v>
      </c>
      <c r="G112" s="3">
        <v>73</v>
      </c>
      <c r="H112" s="3">
        <f t="shared" si="66"/>
        <v>74</v>
      </c>
      <c r="I112" s="3">
        <f t="shared" si="66"/>
        <v>75</v>
      </c>
      <c r="J112" s="3">
        <v>88</v>
      </c>
      <c r="K112" s="3">
        <f>VLOOKUP($A112,'NonXtal_SegEnds_BW#'!$A:$Z,8,FALSE)+VLOOKUP($A112,A:AL,10,FALSE)-50</f>
        <v>104</v>
      </c>
      <c r="L112" s="3">
        <f>M112-1</f>
        <v>105</v>
      </c>
      <c r="M112" s="3">
        <v>106</v>
      </c>
      <c r="N112" s="3">
        <f>M112+2</f>
        <v>108</v>
      </c>
      <c r="O112" s="3">
        <f>N112+1</f>
        <v>109</v>
      </c>
      <c r="P112" s="3">
        <v>138</v>
      </c>
      <c r="Q112" s="3">
        <f>VLOOKUP($A112,'NonXtal_SegEnds_BW#'!$A:$Z,12,FALSE)+VLOOKUP($A112,A:AL,16,FALSE)-50</f>
        <v>144</v>
      </c>
      <c r="R112" s="3">
        <f>IF(ISERROR(VLOOKUP($A112,'NonXtal_SegEnds_BW#'!$A:$Z,13,FALSE)+VLOOKUP($A112,A:AL,19,FALSE)-50),"-",VLOOKUP($A112,'NonXtal_SegEnds_BW#'!$A:$Z,13,FALSE)+VLOOKUP($A112,A:AL,19,FALSE)-50)</f>
        <v>145</v>
      </c>
      <c r="S112" s="3">
        <v>145</v>
      </c>
      <c r="T112" s="3">
        <f>IF(ISERROR(VLOOKUP($A112,'NonXtal_SegEnds_BW#'!$A:$Z,14,FALSE)+VLOOKUP($A112,A:AL,19,FALSE)-50),"-",(VLOOKUP($A112,'NonXtal_SegEnds_BW#'!$A:$Z,14,FALSE)+VLOOKUP($A112,A:AL,19,FALSE)-50))</f>
        <v>152</v>
      </c>
      <c r="U112" s="3">
        <f>IF(ISERROR(VLOOKUP($A112,'NonXtal_SegEnds_BW#'!$A:$Z,15,FALSE)+VLOOKUP($A112,A:AL,22,FALSE)-50),"-",VLOOKUP($A112,'NonXtal_SegEnds_BW#'!$A:$Z,15,FALSE)+VLOOKUP($A112,A:AL,22,FALSE)-50)</f>
        <v>154</v>
      </c>
      <c r="V112" s="3">
        <v>165</v>
      </c>
      <c r="W112" s="3">
        <f>IF(ISERROR(VLOOKUP($A112,'NonXtal_SegEnds_BW#'!$A:$Z,16,FALSE)+VLOOKUP($A112,A:AL,22,FALSE)-50),"-",(VLOOKUP($A112,'NonXtal_SegEnds_BW#'!$A:$Z,16,FALSE)+VLOOKUP($A112,A:AL,22,FALSE)-50))</f>
        <v>179</v>
      </c>
      <c r="X112" s="3">
        <f>IF(ISERROR(VLOOKUP($A112,'NonXtal_SegEnds_BW#'!$A:$Z,17,FALSE)+VLOOKUP($A112,A:AL,25,FALSE)-50),"-",(VLOOKUP($A112,'NonXtal_SegEnds_BW#'!$A:$Z,17,FALSE)+VLOOKUP($A112,A:AL,25,FALSE)-50))</f>
        <v>190</v>
      </c>
      <c r="Y112" s="3">
        <v>190</v>
      </c>
      <c r="Z112" s="3">
        <f t="shared" si="58"/>
        <v>192</v>
      </c>
      <c r="AA112" s="3">
        <f>IF(ISERROR(VLOOKUP($A112,'NonXtal_SegEnds_BW#'!$A:$Z,19,FALSE)+VLOOKUP($A112,A:AL,28,FALSE)-50),"-",(VLOOKUP($A112,'NonXtal_SegEnds_BW#'!$A:$Z,19,FALSE)+VLOOKUP($A112,A:AL,28,FALSE)-50))</f>
        <v>195</v>
      </c>
      <c r="AB112" s="3">
        <v>214</v>
      </c>
      <c r="AC112" s="3">
        <f>IF(ISERROR((VLOOKUP($A112,'NonXtal_SegEnds_BW#'!$A:$Z,20,FALSE)+VLOOKUP($A112,A:AL,28,FALSE)-50)),"-",(VLOOKUP($A112,'NonXtal_SegEnds_BW#'!$A:$Z,20,FALSE)+VLOOKUP($A112,A:AL,28,FALSE)-50))</f>
        <v>232</v>
      </c>
      <c r="AD112" s="3">
        <f>IF(ISERROR(VLOOKUP($A112,'NonXtal_SegEnds_BW#'!$A:$Z,21,FALSE)+VLOOKUP($A112,A:AL,31,FALSE)-50),"-",(VLOOKUP($A112,'NonXtal_SegEnds_BW#'!$A:$Z,21,FALSE)+VLOOKUP($A112,A:AL,31,FALSE)-50))</f>
        <v>238</v>
      </c>
      <c r="AE112" s="3">
        <v>258</v>
      </c>
      <c r="AF112" s="3">
        <f>IF(ISERROR((VLOOKUP($A112,'NonXtal_SegEnds_BW#'!$A:$Z,22,FALSE)+VLOOKUP($A112,A:AL,31,FALSE)-50)),"-",(VLOOKUP($A112,'NonXtal_SegEnds_BW#'!$A:$Z,22,FALSE)+VLOOKUP($A112,A:AL,31,FALSE)-50))</f>
        <v>273</v>
      </c>
      <c r="AG112" s="3">
        <f>IF(ISERROR(VLOOKUP($A112,'NonXtal_SegEnds_BW#'!$A:$Z,23,FALSE)+VLOOKUP($A112,A:AL,34,FALSE)-50),"-",(VLOOKUP($A112,'NonXtal_SegEnds_BW#'!$A:$Z,23,FALSE)+VLOOKUP($A112,A:AL,34,FALSE)-50))</f>
        <v>276</v>
      </c>
      <c r="AH112" s="3">
        <v>302</v>
      </c>
      <c r="AI112" s="3">
        <f>IF(ISERROR((VLOOKUP($A112,'NonXtal_SegEnds_BW#'!$A:$Z,24,FALSE)+VLOOKUP($A112,A:AL,34,FALSE)-50)),"-",(VLOOKUP($A112,'NonXtal_SegEnds_BW#'!$A:$Z,24,FALSE)+VLOOKUP($A112,A:AL,34,FALSE)-50))</f>
        <v>308</v>
      </c>
      <c r="AJ112" s="3">
        <f>IF(ISERROR(VLOOKUP($A112,'NonXtal_SegEnds_BW#'!$A:$Z,25,FALSE)+VLOOKUP($A112,A:AL,37,FALSE)-50),"-",(VLOOKUP($A112,'NonXtal_SegEnds_BW#'!$A:$Z,25,FALSE)+VLOOKUP($A112,A:AL,37,FALSE)-50))</f>
        <v>309</v>
      </c>
      <c r="AK112" s="3">
        <v>312</v>
      </c>
      <c r="AL112" s="3">
        <f>IF(ISERROR((VLOOKUP($A112,'NonXtal_SegEnds_BW#'!$A:$Z,26,FALSE)+VLOOKUP($A112,A:AL,37,FALSE)-50)),"-",(VLOOKUP($A112,'NonXtal_SegEnds_BW#'!$A:$Z,26,FALSE)+VLOOKUP($A112,A:AL,37,FALSE)-50))</f>
        <v>321</v>
      </c>
      <c r="AM112" s="71" t="str">
        <f>VLOOKUP(A112,Classification!A:B,2,FALSE)</f>
        <v>A</v>
      </c>
      <c r="AN112" s="71" t="b">
        <f t="shared" si="36"/>
        <v>1</v>
      </c>
      <c r="AO112" s="3">
        <f t="shared" si="37"/>
        <v>1</v>
      </c>
      <c r="AP112" s="3">
        <f t="shared" si="38"/>
        <v>1</v>
      </c>
      <c r="AQ112" s="3">
        <f t="shared" si="39"/>
        <v>1</v>
      </c>
      <c r="AR112" s="3">
        <f t="shared" si="40"/>
        <v>1</v>
      </c>
      <c r="AS112" s="3">
        <f t="shared" si="41"/>
        <v>1</v>
      </c>
      <c r="AT112" s="3">
        <f t="shared" si="42"/>
        <v>2</v>
      </c>
      <c r="AU112" s="3">
        <f t="shared" si="43"/>
        <v>11</v>
      </c>
      <c r="AV112" s="3">
        <f t="shared" si="44"/>
        <v>3</v>
      </c>
      <c r="AW112" s="3">
        <f t="shared" si="45"/>
        <v>6</v>
      </c>
      <c r="AX112" s="3">
        <f t="shared" si="46"/>
        <v>3</v>
      </c>
      <c r="AY112" s="3">
        <f t="shared" si="47"/>
        <v>1</v>
      </c>
      <c r="AZ112" s="3">
        <f>IF(ISERROR(LEN(VLOOKUP(A112,Seqs!A:E,2,FALSE))-AL112),"-",LEN(VLOOKUP(A112,Seqs!A:E,2,FALSE))-AL112)</f>
        <v>53</v>
      </c>
      <c r="BA112" s="35">
        <f t="shared" si="48"/>
        <v>28</v>
      </c>
      <c r="BB112" s="3">
        <f t="shared" si="49"/>
        <v>20</v>
      </c>
      <c r="BC112" s="3">
        <f t="shared" si="50"/>
        <v>28</v>
      </c>
      <c r="BD112" s="3">
        <f t="shared" si="51"/>
        <v>44</v>
      </c>
    </row>
    <row r="113" spans="1:57" s="3" customFormat="1" x14ac:dyDescent="0.2">
      <c r="A113" s="3" t="s">
        <v>366</v>
      </c>
      <c r="B113" s="3" t="str">
        <f>LOWER(VLOOKUP(A113,Xtal_Templ!A:B,2,FALSE))</f>
        <v>ccr5_human</v>
      </c>
      <c r="C113" s="3">
        <f>VLOOKUP($A113,'NonXtal_SegEnds_BW#'!$A:$Z,3,FALSE)+D113-50</f>
        <v>34</v>
      </c>
      <c r="D113" s="3">
        <v>57</v>
      </c>
      <c r="E113" s="3">
        <f>IF(ISERROR(VLOOKUP($A113,'NonXtal_SegEnds_BW#'!$A:$Z,4,FALSE)+VLOOKUP($A113,A:AL,4,FALSE)-50),"-",(VLOOKUP($A113,'NonXtal_SegEnds_BW#'!$A:$Z,4,FALSE)+VLOOKUP($A113,A:AL,4,FALSE)-50))</f>
        <v>67</v>
      </c>
      <c r="F113" s="3">
        <f t="shared" si="65"/>
        <v>68</v>
      </c>
      <c r="G113" s="3">
        <v>70</v>
      </c>
      <c r="H113" s="3">
        <f t="shared" si="66"/>
        <v>71</v>
      </c>
      <c r="I113" s="3">
        <f t="shared" si="66"/>
        <v>72</v>
      </c>
      <c r="J113" s="3">
        <v>85</v>
      </c>
      <c r="K113" s="3">
        <f>VLOOKUP($A113,'NonXtal_SegEnds_BW#'!$A:$Z,8,FALSE)+VLOOKUP($A113,A:AL,10,FALSE)-50</f>
        <v>101</v>
      </c>
      <c r="L113" s="3">
        <f>M113-1</f>
        <v>102</v>
      </c>
      <c r="M113" s="3">
        <v>103</v>
      </c>
      <c r="N113" s="3">
        <f>M113+2</f>
        <v>105</v>
      </c>
      <c r="O113" s="3">
        <f>N113+1</f>
        <v>106</v>
      </c>
      <c r="P113" s="3">
        <v>135</v>
      </c>
      <c r="Q113" s="3">
        <f>VLOOKUP($A113,'NonXtal_SegEnds_BW#'!$A:$Z,12,FALSE)+VLOOKUP($A113,A:AL,16,FALSE)-50</f>
        <v>141</v>
      </c>
      <c r="R113" s="3">
        <f>IF(ISERROR(VLOOKUP($A113,'NonXtal_SegEnds_BW#'!$A:$Z,13,FALSE)+VLOOKUP($A113,A:AL,19,FALSE)-50),"-",VLOOKUP($A113,'NonXtal_SegEnds_BW#'!$A:$Z,13,FALSE)+VLOOKUP($A113,A:AL,19,FALSE)-50)</f>
        <v>142</v>
      </c>
      <c r="S113" s="3">
        <v>142</v>
      </c>
      <c r="T113" s="3">
        <f>IF(ISERROR(VLOOKUP($A113,'NonXtal_SegEnds_BW#'!$A:$Z,14,FALSE)+VLOOKUP($A113,A:AL,19,FALSE)-50),"-",(VLOOKUP($A113,'NonXtal_SegEnds_BW#'!$A:$Z,14,FALSE)+VLOOKUP($A113,A:AL,19,FALSE)-50))</f>
        <v>149</v>
      </c>
      <c r="U113" s="3">
        <f>IF(ISERROR(VLOOKUP($A113,'NonXtal_SegEnds_BW#'!$A:$Z,15,FALSE)+VLOOKUP($A113,A:AL,22,FALSE)-50),"-",VLOOKUP($A113,'NonXtal_SegEnds_BW#'!$A:$Z,15,FALSE)+VLOOKUP($A113,A:AL,22,FALSE)-50)</f>
        <v>151</v>
      </c>
      <c r="V113" s="3">
        <v>162</v>
      </c>
      <c r="W113" s="3">
        <f>IF(ISERROR(VLOOKUP($A113,'NonXtal_SegEnds_BW#'!$A:$Z,16,FALSE)+VLOOKUP($A113,A:AL,22,FALSE)-50),"-",(VLOOKUP($A113,'NonXtal_SegEnds_BW#'!$A:$Z,16,FALSE)+VLOOKUP($A113,A:AL,22,FALSE)-50))</f>
        <v>176</v>
      </c>
      <c r="X113" s="3">
        <f>IF(ISERROR(VLOOKUP($A113,'NonXtal_SegEnds_BW#'!$A:$Z,17,FALSE)+VLOOKUP($A113,A:AL,25,FALSE)-50),"-",(VLOOKUP($A113,'NonXtal_SegEnds_BW#'!$A:$Z,17,FALSE)+VLOOKUP($A113,A:AL,25,FALSE)-50))</f>
        <v>187</v>
      </c>
      <c r="Y113" s="3">
        <v>187</v>
      </c>
      <c r="Z113" s="3">
        <f t="shared" si="58"/>
        <v>189</v>
      </c>
      <c r="AA113" s="3">
        <f>IF(ISERROR(VLOOKUP($A113,'NonXtal_SegEnds_BW#'!$A:$Z,19,FALSE)+VLOOKUP($A113,A:AL,28,FALSE)-50),"-",(VLOOKUP($A113,'NonXtal_SegEnds_BW#'!$A:$Z,19,FALSE)+VLOOKUP($A113,A:AL,28,FALSE)-50))</f>
        <v>195</v>
      </c>
      <c r="AB113" s="3">
        <v>214</v>
      </c>
      <c r="AC113" s="3">
        <f>IF(ISERROR((VLOOKUP($A113,'NonXtal_SegEnds_BW#'!$A:$Z,20,FALSE)+VLOOKUP($A113,A:AL,28,FALSE)-50)),"-",(VLOOKUP($A113,'NonXtal_SegEnds_BW#'!$A:$Z,20,FALSE)+VLOOKUP($A113,A:AL,28,FALSE)-50))</f>
        <v>232</v>
      </c>
      <c r="AD113" s="3">
        <f>IF(ISERROR(VLOOKUP($A113,'NonXtal_SegEnds_BW#'!$A:$Z,21,FALSE)+VLOOKUP($A113,A:AL,31,FALSE)-50),"-",(VLOOKUP($A113,'NonXtal_SegEnds_BW#'!$A:$Z,21,FALSE)+VLOOKUP($A113,A:AL,31,FALSE)-50))</f>
        <v>237</v>
      </c>
      <c r="AE113" s="3">
        <v>257</v>
      </c>
      <c r="AF113" s="3">
        <f>IF(ISERROR((VLOOKUP($A113,'NonXtal_SegEnds_BW#'!$A:$Z,22,FALSE)+VLOOKUP($A113,A:AL,31,FALSE)-50)),"-",(VLOOKUP($A113,'NonXtal_SegEnds_BW#'!$A:$Z,22,FALSE)+VLOOKUP($A113,A:AL,31,FALSE)-50))</f>
        <v>272</v>
      </c>
      <c r="AG113" s="3">
        <f>IF(ISERROR(VLOOKUP($A113,'NonXtal_SegEnds_BW#'!$A:$Z,23,FALSE)+VLOOKUP($A113,A:AL,34,FALSE)-50),"-",(VLOOKUP($A113,'NonXtal_SegEnds_BW#'!$A:$Z,23,FALSE)+VLOOKUP($A113,A:AL,34,FALSE)-50))</f>
        <v>275</v>
      </c>
      <c r="AH113" s="3">
        <v>301</v>
      </c>
      <c r="AI113" s="3">
        <f>IF(ISERROR((VLOOKUP($A113,'NonXtal_SegEnds_BW#'!$A:$Z,24,FALSE)+VLOOKUP($A113,A:AL,34,FALSE)-50)),"-",(VLOOKUP($A113,'NonXtal_SegEnds_BW#'!$A:$Z,24,FALSE)+VLOOKUP($A113,A:AL,34,FALSE)-50))</f>
        <v>307</v>
      </c>
      <c r="AJ113" s="3">
        <f>IF(ISERROR(VLOOKUP($A113,'NonXtal_SegEnds_BW#'!$A:$Z,25,FALSE)+VLOOKUP($A113,A:AL,37,FALSE)-50),"-",(VLOOKUP($A113,'NonXtal_SegEnds_BW#'!$A:$Z,25,FALSE)+VLOOKUP($A113,A:AL,37,FALSE)-50))</f>
        <v>308</v>
      </c>
      <c r="AK113" s="3">
        <v>311</v>
      </c>
      <c r="AL113" s="3">
        <f>IF(ISERROR((VLOOKUP($A113,'NonXtal_SegEnds_BW#'!$A:$Z,26,FALSE)+VLOOKUP($A113,A:AL,37,FALSE)-50)),"-",(VLOOKUP($A113,'NonXtal_SegEnds_BW#'!$A:$Z,26,FALSE)+VLOOKUP($A113,A:AL,37,FALSE)-50))</f>
        <v>320</v>
      </c>
      <c r="AM113" s="71" t="str">
        <f>VLOOKUP(A113,Classification!A:B,2,FALSE)</f>
        <v>A</v>
      </c>
      <c r="AN113" s="71" t="b">
        <f t="shared" si="36"/>
        <v>1</v>
      </c>
      <c r="AO113" s="3">
        <f t="shared" si="37"/>
        <v>1</v>
      </c>
      <c r="AP113" s="3">
        <f t="shared" si="38"/>
        <v>1</v>
      </c>
      <c r="AQ113" s="3">
        <f t="shared" si="39"/>
        <v>1</v>
      </c>
      <c r="AR113" s="3">
        <f t="shared" si="40"/>
        <v>1</v>
      </c>
      <c r="AS113" s="3">
        <f t="shared" si="41"/>
        <v>1</v>
      </c>
      <c r="AT113" s="3">
        <f t="shared" si="42"/>
        <v>2</v>
      </c>
      <c r="AU113" s="3">
        <f t="shared" si="43"/>
        <v>11</v>
      </c>
      <c r="AV113" s="3">
        <f t="shared" si="44"/>
        <v>6</v>
      </c>
      <c r="AW113" s="3">
        <f t="shared" si="45"/>
        <v>5</v>
      </c>
      <c r="AX113" s="3">
        <f t="shared" si="46"/>
        <v>3</v>
      </c>
      <c r="AY113" s="3">
        <f t="shared" si="47"/>
        <v>1</v>
      </c>
      <c r="AZ113" s="3">
        <f>IF(ISERROR(LEN(VLOOKUP(A113,Seqs!A:E,2,FALSE))-AL113),"-",LEN(VLOOKUP(A113,Seqs!A:E,2,FALSE))-AL113)</f>
        <v>40</v>
      </c>
      <c r="BA113" s="35">
        <f t="shared" si="48"/>
        <v>28</v>
      </c>
      <c r="BB113" s="3">
        <f t="shared" si="49"/>
        <v>20</v>
      </c>
      <c r="BC113" s="3">
        <f t="shared" si="50"/>
        <v>28</v>
      </c>
      <c r="BD113" s="3">
        <f t="shared" si="51"/>
        <v>43</v>
      </c>
    </row>
    <row r="114" spans="1:57" s="3" customFormat="1" x14ac:dyDescent="0.2">
      <c r="A114" s="3" t="s">
        <v>379</v>
      </c>
      <c r="B114" s="3" t="str">
        <f>LOWER(VLOOKUP(A114,Xtal_Templ!A:B,2,FALSE))</f>
        <v>ccr5_human</v>
      </c>
      <c r="C114" s="3">
        <f>VLOOKUP($A114,'NonXtal_SegEnds_BW#'!$A:$Z,3,FALSE)+D114-50</f>
        <v>34</v>
      </c>
      <c r="D114" s="3">
        <v>57</v>
      </c>
      <c r="E114" s="3">
        <f>IF(ISERROR(VLOOKUP($A114,'NonXtal_SegEnds_BW#'!$A:$Z,4,FALSE)+VLOOKUP($A114,A:AL,4,FALSE)-50),"-",(VLOOKUP($A114,'NonXtal_SegEnds_BW#'!$A:$Z,4,FALSE)+VLOOKUP($A114,A:AL,4,FALSE)-50))</f>
        <v>67</v>
      </c>
      <c r="F114" s="3">
        <f t="shared" si="65"/>
        <v>68</v>
      </c>
      <c r="G114" s="3">
        <v>70</v>
      </c>
      <c r="H114" s="3">
        <f t="shared" si="66"/>
        <v>71</v>
      </c>
      <c r="I114" s="3">
        <f t="shared" si="66"/>
        <v>72</v>
      </c>
      <c r="J114" s="3">
        <v>85</v>
      </c>
      <c r="K114" s="3">
        <f>VLOOKUP($A114,'NonXtal_SegEnds_BW#'!$A:$Z,8,FALSE)+VLOOKUP($A114,A:AL,10,FALSE)-50</f>
        <v>101</v>
      </c>
      <c r="L114" s="3">
        <f>M114-1</f>
        <v>102</v>
      </c>
      <c r="M114" s="3">
        <v>103</v>
      </c>
      <c r="N114" s="3">
        <f>M114+2</f>
        <v>105</v>
      </c>
      <c r="O114" s="3">
        <f>N114+1</f>
        <v>106</v>
      </c>
      <c r="P114" s="3">
        <v>135</v>
      </c>
      <c r="Q114" s="3">
        <f>VLOOKUP($A114,'NonXtal_SegEnds_BW#'!$A:$Z,12,FALSE)+VLOOKUP($A114,A:AL,16,FALSE)-50</f>
        <v>141</v>
      </c>
      <c r="R114" s="3">
        <f>IF(ISERROR(VLOOKUP($A114,'NonXtal_SegEnds_BW#'!$A:$Z,13,FALSE)+VLOOKUP($A114,A:AL,19,FALSE)-50),"-",VLOOKUP($A114,'NonXtal_SegEnds_BW#'!$A:$Z,13,FALSE)+VLOOKUP($A114,A:AL,19,FALSE)-50)</f>
        <v>142</v>
      </c>
      <c r="S114" s="3">
        <v>142</v>
      </c>
      <c r="T114" s="3">
        <f>IF(ISERROR(VLOOKUP($A114,'NonXtal_SegEnds_BW#'!$A:$Z,14,FALSE)+VLOOKUP($A114,A:AL,19,FALSE)-50),"-",(VLOOKUP($A114,'NonXtal_SegEnds_BW#'!$A:$Z,14,FALSE)+VLOOKUP($A114,A:AL,19,FALSE)-50))</f>
        <v>149</v>
      </c>
      <c r="U114" s="3">
        <f>IF(ISERROR(VLOOKUP($A114,'NonXtal_SegEnds_BW#'!$A:$Z,15,FALSE)+VLOOKUP($A114,A:AL,22,FALSE)-50),"-",VLOOKUP($A114,'NonXtal_SegEnds_BW#'!$A:$Z,15,FALSE)+VLOOKUP($A114,A:AL,22,FALSE)-50)</f>
        <v>150</v>
      </c>
      <c r="V114" s="3">
        <v>161</v>
      </c>
      <c r="W114" s="3">
        <f>IF(ISERROR(VLOOKUP($A114,'NonXtal_SegEnds_BW#'!$A:$Z,16,FALSE)+VLOOKUP($A114,A:AL,22,FALSE)-50),"-",(VLOOKUP($A114,'NonXtal_SegEnds_BW#'!$A:$Z,16,FALSE)+VLOOKUP($A114,A:AL,22,FALSE)-50))</f>
        <v>175</v>
      </c>
      <c r="X114" s="3">
        <f>IF(ISERROR(VLOOKUP($A114,'NonXtal_SegEnds_BW#'!$A:$Z,17,FALSE)+VLOOKUP($A114,A:AL,25,FALSE)-50),"-",(VLOOKUP($A114,'NonXtal_SegEnds_BW#'!$A:$Z,17,FALSE)+VLOOKUP($A114,A:AL,25,FALSE)-50))</f>
        <v>187</v>
      </c>
      <c r="Y114" s="3">
        <v>187</v>
      </c>
      <c r="Z114" s="3">
        <f t="shared" si="58"/>
        <v>189</v>
      </c>
      <c r="AA114" s="3">
        <f>IF(ISERROR(VLOOKUP($A114,'NonXtal_SegEnds_BW#'!$A:$Z,19,FALSE)+VLOOKUP($A114,A:AL,28,FALSE)-50),"-",(VLOOKUP($A114,'NonXtal_SegEnds_BW#'!$A:$Z,19,FALSE)+VLOOKUP($A114,A:AL,28,FALSE)-50))</f>
        <v>195</v>
      </c>
      <c r="AB114" s="3">
        <v>214</v>
      </c>
      <c r="AC114" s="3">
        <f>IF(ISERROR((VLOOKUP($A114,'NonXtal_SegEnds_BW#'!$A:$Z,20,FALSE)+VLOOKUP($A114,A:AL,28,FALSE)-50)),"-",(VLOOKUP($A114,'NonXtal_SegEnds_BW#'!$A:$Z,20,FALSE)+VLOOKUP($A114,A:AL,28,FALSE)-50))</f>
        <v>232</v>
      </c>
      <c r="AD114" s="3">
        <f>IF(ISERROR(VLOOKUP($A114,'NonXtal_SegEnds_BW#'!$A:$Z,21,FALSE)+VLOOKUP($A114,A:AL,31,FALSE)-50),"-",(VLOOKUP($A114,'NonXtal_SegEnds_BW#'!$A:$Z,21,FALSE)+VLOOKUP($A114,A:AL,31,FALSE)-50))</f>
        <v>237</v>
      </c>
      <c r="AE114" s="3">
        <v>257</v>
      </c>
      <c r="AF114" s="3">
        <f>IF(ISERROR((VLOOKUP($A114,'NonXtal_SegEnds_BW#'!$A:$Z,22,FALSE)+VLOOKUP($A114,A:AL,31,FALSE)-50)),"-",(VLOOKUP($A114,'NonXtal_SegEnds_BW#'!$A:$Z,22,FALSE)+VLOOKUP($A114,A:AL,31,FALSE)-50))</f>
        <v>271</v>
      </c>
      <c r="AG114" s="3">
        <f>IF(ISERROR(VLOOKUP($A114,'NonXtal_SegEnds_BW#'!$A:$Z,23,FALSE)+VLOOKUP($A114,A:AL,34,FALSE)-50),"-",(VLOOKUP($A114,'NonXtal_SegEnds_BW#'!$A:$Z,23,FALSE)+VLOOKUP($A114,A:AL,34,FALSE)-50))</f>
        <v>276</v>
      </c>
      <c r="AH114" s="3">
        <v>302</v>
      </c>
      <c r="AI114" s="3">
        <f>IF(ISERROR((VLOOKUP($A114,'NonXtal_SegEnds_BW#'!$A:$Z,24,FALSE)+VLOOKUP($A114,A:AL,34,FALSE)-50)),"-",(VLOOKUP($A114,'NonXtal_SegEnds_BW#'!$A:$Z,24,FALSE)+VLOOKUP($A114,A:AL,34,FALSE)-50))</f>
        <v>308</v>
      </c>
      <c r="AJ114" s="3">
        <f>IF(ISERROR(VLOOKUP($A114,'NonXtal_SegEnds_BW#'!$A:$Z,25,FALSE)+VLOOKUP($A114,A:AL,37,FALSE)-50),"-",(VLOOKUP($A114,'NonXtal_SegEnds_BW#'!$A:$Z,25,FALSE)+VLOOKUP($A114,A:AL,37,FALSE)-50))</f>
        <v>309</v>
      </c>
      <c r="AK114" s="3">
        <v>312</v>
      </c>
      <c r="AL114" s="3">
        <f>IF(ISERROR((VLOOKUP($A114,'NonXtal_SegEnds_BW#'!$A:$Z,26,FALSE)+VLOOKUP($A114,A:AL,37,FALSE)-50)),"-",(VLOOKUP($A114,'NonXtal_SegEnds_BW#'!$A:$Z,26,FALSE)+VLOOKUP($A114,A:AL,37,FALSE)-50))</f>
        <v>321</v>
      </c>
      <c r="AM114" s="71" t="str">
        <f>VLOOKUP(A114,Classification!A:B,2,FALSE)</f>
        <v>A</v>
      </c>
      <c r="AN114" s="71" t="b">
        <f t="shared" si="36"/>
        <v>1</v>
      </c>
      <c r="AO114" s="3">
        <f t="shared" si="37"/>
        <v>1</v>
      </c>
      <c r="AP114" s="3">
        <f t="shared" si="38"/>
        <v>1</v>
      </c>
      <c r="AQ114" s="3">
        <f t="shared" si="39"/>
        <v>1</v>
      </c>
      <c r="AR114" s="3">
        <f t="shared" si="40"/>
        <v>1</v>
      </c>
      <c r="AS114" s="3">
        <f t="shared" si="41"/>
        <v>1</v>
      </c>
      <c r="AT114" s="3">
        <f t="shared" si="42"/>
        <v>1</v>
      </c>
      <c r="AU114" s="3">
        <f t="shared" si="43"/>
        <v>12</v>
      </c>
      <c r="AV114" s="3">
        <f t="shared" si="44"/>
        <v>6</v>
      </c>
      <c r="AW114" s="3">
        <f t="shared" si="45"/>
        <v>5</v>
      </c>
      <c r="AX114" s="3">
        <f t="shared" si="46"/>
        <v>5</v>
      </c>
      <c r="AY114" s="3">
        <f t="shared" si="47"/>
        <v>1</v>
      </c>
      <c r="AZ114" s="3">
        <f>IF(ISERROR(LEN(VLOOKUP(A114,Seqs!A:E,2,FALSE))-AL114),"-",LEN(VLOOKUP(A114,Seqs!A:E,2,FALSE))-AL114)</f>
        <v>29</v>
      </c>
      <c r="BA114" s="35">
        <f t="shared" si="48"/>
        <v>28</v>
      </c>
      <c r="BB114" s="3">
        <f t="shared" si="49"/>
        <v>19</v>
      </c>
      <c r="BC114" s="3">
        <f t="shared" si="50"/>
        <v>28</v>
      </c>
      <c r="BD114" s="3">
        <f t="shared" si="51"/>
        <v>43</v>
      </c>
      <c r="BE114" s="3">
        <f>AH114-AE114</f>
        <v>45</v>
      </c>
    </row>
    <row r="115" spans="1:57" s="3" customFormat="1" x14ac:dyDescent="0.2">
      <c r="A115" s="3" t="s">
        <v>339</v>
      </c>
      <c r="B115" s="3" t="str">
        <f>LOWER(VLOOKUP(A115,Xtal_Templ!A:B,2,FALSE))</f>
        <v>ccr5_human</v>
      </c>
      <c r="C115" s="3">
        <f>VLOOKUP($A115,'NonXtal_SegEnds_BW#'!$A:$Z,3,FALSE)+D115-50</f>
        <v>36</v>
      </c>
      <c r="D115" s="3">
        <v>59</v>
      </c>
      <c r="E115" s="3">
        <f>IF(ISERROR(VLOOKUP($A115,'NonXtal_SegEnds_BW#'!$A:$Z,4,FALSE)+VLOOKUP($A115,A:AL,4,FALSE)-50),"-",(VLOOKUP($A115,'NonXtal_SegEnds_BW#'!$A:$Z,4,FALSE)+VLOOKUP($A115,A:AL,4,FALSE)-50))</f>
        <v>69</v>
      </c>
      <c r="F115" s="3">
        <f t="shared" si="65"/>
        <v>70</v>
      </c>
      <c r="G115" s="3">
        <v>72</v>
      </c>
      <c r="H115" s="3">
        <f t="shared" si="66"/>
        <v>73</v>
      </c>
      <c r="I115" s="3">
        <f t="shared" si="66"/>
        <v>74</v>
      </c>
      <c r="J115" s="3">
        <v>87</v>
      </c>
      <c r="K115" s="3">
        <f>VLOOKUP($A115,'NonXtal_SegEnds_BW#'!$A:$Z,8,FALSE)+VLOOKUP($A115,A:AL,10,FALSE)-50</f>
        <v>103</v>
      </c>
      <c r="L115" s="3" t="str">
        <f>IF(ISERROR(VLOOKUP($A115,'NonXtal_SegEnds_BW#'!$A:$Z,9,FALSE)+VLOOKUP($A115,A:AL,13,FALSE)-50),"-",(VLOOKUP($A115,'NonXtal_SegEnds_BW#'!$A:$Z,9,FALSE)+VLOOKUP($A115,A:AL,13,FALSE)-50))</f>
        <v>-</v>
      </c>
      <c r="M115" s="3" t="s">
        <v>129</v>
      </c>
      <c r="N115" s="3" t="str">
        <f>IF(ISERROR(VLOOKUP($A115,'NonXtal_SegEnds_BW#'!$A:$Z,10,FALSE)+VLOOKUP($A115,A:AL,13,FALSE)-50),"-",(VLOOKUP($A115,'NonXtal_SegEnds_BW#'!$A:$Z,10,FALSE)+VLOOKUP($A115,A:AL,13,FALSE)-50))</f>
        <v>-</v>
      </c>
      <c r="O115" s="3">
        <f>VLOOKUP($A115,'NonXtal_SegEnds_BW#'!$A:$Z,11,FALSE)+VLOOKUP($A115,A:AL,16,FALSE)-50</f>
        <v>111</v>
      </c>
      <c r="P115" s="3">
        <v>137</v>
      </c>
      <c r="Q115" s="3">
        <f>VLOOKUP($A115,'NonXtal_SegEnds_BW#'!$A:$Z,12,FALSE)+VLOOKUP($A115,A:AL,16,FALSE)-50</f>
        <v>143</v>
      </c>
      <c r="R115" s="3" t="str">
        <f>IF(ISERROR(VLOOKUP($A115,'NonXtal_SegEnds_BW#'!$A:$Z,13,FALSE)+VLOOKUP($A115,A:AL,19,FALSE)-50),"-",VLOOKUP($A115,'NonXtal_SegEnds_BW#'!$A:$Z,13,FALSE)+VLOOKUP($A115,A:AL,19,FALSE)-50)</f>
        <v>-</v>
      </c>
      <c r="S115" s="3" t="s">
        <v>129</v>
      </c>
      <c r="T115" s="3" t="str">
        <f>IF(ISERROR(VLOOKUP($A115,'NonXtal_SegEnds_BW#'!$A:$Z,14,FALSE)+VLOOKUP($A115,A:AL,19,FALSE)-50),"-",(VLOOKUP($A115,'NonXtal_SegEnds_BW#'!$A:$Z,14,FALSE)+VLOOKUP($A115,A:AL,19,FALSE)-50))</f>
        <v>-</v>
      </c>
      <c r="U115" s="3">
        <f>IF(ISERROR(VLOOKUP($A115,'NonXtal_SegEnds_BW#'!$A:$Z,15,FALSE)+VLOOKUP($A115,A:AL,22,FALSE)-50),"-",VLOOKUP($A115,'NonXtal_SegEnds_BW#'!$A:$Z,15,FALSE)+VLOOKUP($A115,A:AL,22,FALSE)-50)</f>
        <v>151</v>
      </c>
      <c r="V115" s="3">
        <v>162</v>
      </c>
      <c r="W115" s="3">
        <f>IF(ISERROR(VLOOKUP($A115,'NonXtal_SegEnds_BW#'!$A:$Z,16,FALSE)+VLOOKUP($A115,A:AL,22,FALSE)-50),"-",(VLOOKUP($A115,'NonXtal_SegEnds_BW#'!$A:$Z,16,FALSE)+VLOOKUP($A115,A:AL,22,FALSE)-50))</f>
        <v>176</v>
      </c>
      <c r="X115" s="3">
        <f>IF(ISERROR(VLOOKUP($A115,'NonXtal_SegEnds_BW#'!$A:$Z,17,FALSE)+VLOOKUP($A115,A:AL,25,FALSE)-50),"-",(VLOOKUP($A115,'NonXtal_SegEnds_BW#'!$A:$Z,17,FALSE)+VLOOKUP($A115,A:AL,25,FALSE)-50))</f>
        <v>184</v>
      </c>
      <c r="Y115" s="3">
        <v>184</v>
      </c>
      <c r="Z115" s="3">
        <f t="shared" si="58"/>
        <v>186</v>
      </c>
      <c r="AA115" s="3">
        <f>IF(ISERROR(VLOOKUP($A115,'NonXtal_SegEnds_BW#'!$A:$Z,19,FALSE)+VLOOKUP($A115,A:AL,28,FALSE)-50),"-",(VLOOKUP($A115,'NonXtal_SegEnds_BW#'!$A:$Z,19,FALSE)+VLOOKUP($A115,A:AL,28,FALSE)-50))</f>
        <v>193</v>
      </c>
      <c r="AB115" s="3">
        <v>212</v>
      </c>
      <c r="AC115" s="3">
        <f>IF(ISERROR((VLOOKUP($A115,'NonXtal_SegEnds_BW#'!$A:$Z,20,FALSE)+VLOOKUP($A115,A:AL,28,FALSE)-50)),"-",(VLOOKUP($A115,'NonXtal_SegEnds_BW#'!$A:$Z,20,FALSE)+VLOOKUP($A115,A:AL,28,FALSE)-50))</f>
        <v>230</v>
      </c>
      <c r="AD115" s="3">
        <f>IF(ISERROR(VLOOKUP($A115,'NonXtal_SegEnds_BW#'!$A:$Z,21,FALSE)+VLOOKUP($A115,A:AL,31,FALSE)-50),"-",(VLOOKUP($A115,'NonXtal_SegEnds_BW#'!$A:$Z,21,FALSE)+VLOOKUP($A115,A:AL,31,FALSE)-50))</f>
        <v>235</v>
      </c>
      <c r="AE115" s="3">
        <v>255</v>
      </c>
      <c r="AF115" s="3">
        <f>IF(ISERROR((VLOOKUP($A115,'NonXtal_SegEnds_BW#'!$A:$Z,22,FALSE)+VLOOKUP($A115,A:AL,31,FALSE)-50)),"-",(VLOOKUP($A115,'NonXtal_SegEnds_BW#'!$A:$Z,22,FALSE)+VLOOKUP($A115,A:AL,31,FALSE)-50))</f>
        <v>269</v>
      </c>
      <c r="AG115" s="3">
        <f>IF(ISERROR(VLOOKUP($A115,'NonXtal_SegEnds_BW#'!$A:$Z,23,FALSE)+VLOOKUP($A115,A:AL,34,FALSE)-50),"-",(VLOOKUP($A115,'NonXtal_SegEnds_BW#'!$A:$Z,23,FALSE)+VLOOKUP($A115,A:AL,34,FALSE)-50))</f>
        <v>274</v>
      </c>
      <c r="AH115" s="3">
        <v>300</v>
      </c>
      <c r="AI115" s="3">
        <f>IF(ISERROR((VLOOKUP($A115,'NonXtal_SegEnds_BW#'!$A:$Z,24,FALSE)+VLOOKUP($A115,A:AL,34,FALSE)-50)),"-",(VLOOKUP($A115,'NonXtal_SegEnds_BW#'!$A:$Z,24,FALSE)+VLOOKUP($A115,A:AL,34,FALSE)-50))</f>
        <v>306</v>
      </c>
      <c r="AJ115" s="3">
        <f>IF(ISERROR(VLOOKUP($A115,'NonXtal_SegEnds_BW#'!$A:$Z,25,FALSE)+VLOOKUP($A115,A:AL,37,FALSE)-50),"-",(VLOOKUP($A115,'NonXtal_SegEnds_BW#'!$A:$Z,25,FALSE)+VLOOKUP($A115,A:AL,37,FALSE)-50))</f>
        <v>307</v>
      </c>
      <c r="AK115" s="3">
        <v>310</v>
      </c>
      <c r="AL115" s="3">
        <f>IF(ISERROR((VLOOKUP($A115,'NonXtal_SegEnds_BW#'!$A:$Z,26,FALSE)+VLOOKUP($A115,A:AL,37,FALSE)-50)),"-",(VLOOKUP($A115,'NonXtal_SegEnds_BW#'!$A:$Z,26,FALSE)+VLOOKUP($A115,A:AL,37,FALSE)-50))</f>
        <v>319</v>
      </c>
      <c r="AM115" s="71" t="str">
        <f>VLOOKUP(A115,Classification!A:B,2,FALSE)</f>
        <v>A</v>
      </c>
      <c r="AN115" s="71" t="b">
        <f t="shared" si="36"/>
        <v>1</v>
      </c>
      <c r="AO115" s="3">
        <f t="shared" si="37"/>
        <v>1</v>
      </c>
      <c r="AP115" s="3">
        <f t="shared" si="38"/>
        <v>1</v>
      </c>
      <c r="AQ115" s="3" t="str">
        <f t="shared" si="39"/>
        <v>-</v>
      </c>
      <c r="AR115" s="3" t="str">
        <f t="shared" si="40"/>
        <v>-</v>
      </c>
      <c r="AS115" s="3" t="str">
        <f t="shared" si="41"/>
        <v>-</v>
      </c>
      <c r="AT115" s="3" t="str">
        <f t="shared" si="42"/>
        <v>-</v>
      </c>
      <c r="AU115" s="3">
        <f t="shared" si="43"/>
        <v>8</v>
      </c>
      <c r="AV115" s="3">
        <f t="shared" si="44"/>
        <v>7</v>
      </c>
      <c r="AW115" s="3">
        <f t="shared" si="45"/>
        <v>5</v>
      </c>
      <c r="AX115" s="3">
        <f t="shared" si="46"/>
        <v>5</v>
      </c>
      <c r="AY115" s="3">
        <f t="shared" si="47"/>
        <v>1</v>
      </c>
      <c r="AZ115" s="3">
        <f>IF(ISERROR(LEN(VLOOKUP(A115,Seqs!A:E,2,FALSE))-AL115),"-",LEN(VLOOKUP(A115,Seqs!A:E,2,FALSE))-AL115)</f>
        <v>31</v>
      </c>
      <c r="BA115" s="35">
        <f t="shared" si="48"/>
        <v>28</v>
      </c>
      <c r="BB115" s="3" t="str">
        <f t="shared" si="49"/>
        <v>-</v>
      </c>
      <c r="BC115" s="3">
        <f t="shared" si="50"/>
        <v>28</v>
      </c>
      <c r="BD115" s="3">
        <f t="shared" si="51"/>
        <v>43</v>
      </c>
    </row>
    <row r="116" spans="1:57" s="3" customFormat="1" x14ac:dyDescent="0.2">
      <c r="A116" s="3" t="s">
        <v>362</v>
      </c>
      <c r="B116" s="3" t="str">
        <f>LOWER(VLOOKUP(A116,Xtal_Templ!A:B,2,FALSE))</f>
        <v>ccr5_human</v>
      </c>
      <c r="C116" s="3">
        <f>VLOOKUP($A116,'NonXtal_SegEnds_BW#'!$A:$Z,3,FALSE)+D116-50</f>
        <v>29</v>
      </c>
      <c r="D116" s="3">
        <v>52</v>
      </c>
      <c r="E116" s="3">
        <f>IF(ISERROR(VLOOKUP($A116,'NonXtal_SegEnds_BW#'!$A:$Z,4,FALSE)+VLOOKUP($A116,A:AL,4,FALSE)-50),"-",(VLOOKUP($A116,'NonXtal_SegEnds_BW#'!$A:$Z,4,FALSE)+VLOOKUP($A116,A:AL,4,FALSE)-50))</f>
        <v>62</v>
      </c>
      <c r="F116" s="3">
        <f t="shared" si="65"/>
        <v>63</v>
      </c>
      <c r="G116" s="3">
        <v>65</v>
      </c>
      <c r="H116" s="3">
        <f t="shared" si="66"/>
        <v>66</v>
      </c>
      <c r="I116" s="3">
        <f t="shared" si="66"/>
        <v>67</v>
      </c>
      <c r="J116" s="3">
        <v>80</v>
      </c>
      <c r="K116" s="3">
        <f>VLOOKUP($A116,'NonXtal_SegEnds_BW#'!$A:$Z,8,FALSE)+VLOOKUP($A116,A:AL,10,FALSE)-50</f>
        <v>96</v>
      </c>
      <c r="L116" s="3">
        <f>M116-1</f>
        <v>98</v>
      </c>
      <c r="M116" s="3">
        <v>99</v>
      </c>
      <c r="N116" s="3">
        <f>M116+2</f>
        <v>101</v>
      </c>
      <c r="O116" s="3">
        <f>N116+1</f>
        <v>102</v>
      </c>
      <c r="P116" s="3">
        <v>131</v>
      </c>
      <c r="Q116" s="3">
        <f>VLOOKUP($A116,'NonXtal_SegEnds_BW#'!$A:$Z,12,FALSE)+VLOOKUP($A116,A:AL,16,FALSE)-50</f>
        <v>137</v>
      </c>
      <c r="R116" s="3">
        <f>IF(ISERROR(VLOOKUP($A116,'NonXtal_SegEnds_BW#'!$A:$Z,13,FALSE)+VLOOKUP($A116,A:AL,19,FALSE)-50),"-",VLOOKUP($A116,'NonXtal_SegEnds_BW#'!$A:$Z,13,FALSE)+VLOOKUP($A116,A:AL,19,FALSE)-50)</f>
        <v>138</v>
      </c>
      <c r="S116" s="3">
        <v>138</v>
      </c>
      <c r="T116" s="3">
        <f>IF(ISERROR(VLOOKUP($A116,'NonXtal_SegEnds_BW#'!$A:$Z,14,FALSE)+VLOOKUP($A116,A:AL,19,FALSE)-50),"-",(VLOOKUP($A116,'NonXtal_SegEnds_BW#'!$A:$Z,14,FALSE)+VLOOKUP($A116,A:AL,19,FALSE)-50))</f>
        <v>145</v>
      </c>
      <c r="U116" s="3">
        <f>IF(ISERROR(VLOOKUP($A116,'NonXtal_SegEnds_BW#'!$A:$Z,15,FALSE)+VLOOKUP($A116,A:AL,22,FALSE)-50),"-",VLOOKUP($A116,'NonXtal_SegEnds_BW#'!$A:$Z,15,FALSE)+VLOOKUP($A116,A:AL,22,FALSE)-50)</f>
        <v>147</v>
      </c>
      <c r="V116" s="3">
        <v>158</v>
      </c>
      <c r="W116" s="3">
        <f>IF(ISERROR(VLOOKUP($A116,'NonXtal_SegEnds_BW#'!$A:$Z,16,FALSE)+VLOOKUP($A116,A:AL,22,FALSE)-50),"-",(VLOOKUP($A116,'NonXtal_SegEnds_BW#'!$A:$Z,16,FALSE)+VLOOKUP($A116,A:AL,22,FALSE)-50))</f>
        <v>172</v>
      </c>
      <c r="X116" s="3">
        <f>IF(ISERROR(VLOOKUP($A116,'NonXtal_SegEnds_BW#'!$A:$Z,17,FALSE)+VLOOKUP($A116,A:AL,25,FALSE)-50),"-",(VLOOKUP($A116,'NonXtal_SegEnds_BW#'!$A:$Z,17,FALSE)+VLOOKUP($A116,A:AL,25,FALSE)-50))</f>
        <v>183</v>
      </c>
      <c r="Y116" s="3">
        <v>183</v>
      </c>
      <c r="Z116" s="3">
        <f t="shared" si="58"/>
        <v>185</v>
      </c>
      <c r="AA116" s="3">
        <f>IF(ISERROR(VLOOKUP($A116,'NonXtal_SegEnds_BW#'!$A:$Z,19,FALSE)+VLOOKUP($A116,A:AL,28,FALSE)-50),"-",(VLOOKUP($A116,'NonXtal_SegEnds_BW#'!$A:$Z,19,FALSE)+VLOOKUP($A116,A:AL,28,FALSE)-50))</f>
        <v>192</v>
      </c>
      <c r="AB116" s="3">
        <v>211</v>
      </c>
      <c r="AC116" s="3">
        <f>IF(ISERROR((VLOOKUP($A116,'NonXtal_SegEnds_BW#'!$A:$Z,20,FALSE)+VLOOKUP($A116,A:AL,28,FALSE)-50)),"-",(VLOOKUP($A116,'NonXtal_SegEnds_BW#'!$A:$Z,20,FALSE)+VLOOKUP($A116,A:AL,28,FALSE)-50))</f>
        <v>229</v>
      </c>
      <c r="AD116" s="3">
        <f>IF(ISERROR(VLOOKUP($A116,'NonXtal_SegEnds_BW#'!$A:$Z,21,FALSE)+VLOOKUP($A116,A:AL,31,FALSE)-50),"-",(VLOOKUP($A116,'NonXtal_SegEnds_BW#'!$A:$Z,21,FALSE)+VLOOKUP($A116,A:AL,31,FALSE)-50))</f>
        <v>234</v>
      </c>
      <c r="AE116" s="3">
        <v>254</v>
      </c>
      <c r="AF116" s="3">
        <f>IF(ISERROR((VLOOKUP($A116,'NonXtal_SegEnds_BW#'!$A:$Z,22,FALSE)+VLOOKUP($A116,A:AL,31,FALSE)-50)),"-",(VLOOKUP($A116,'NonXtal_SegEnds_BW#'!$A:$Z,22,FALSE)+VLOOKUP($A116,A:AL,31,FALSE)-50))</f>
        <v>269</v>
      </c>
      <c r="AG116" s="3">
        <f>IF(ISERROR(VLOOKUP($A116,'NonXtal_SegEnds_BW#'!$A:$Z,23,FALSE)+VLOOKUP($A116,A:AL,34,FALSE)-50),"-",(VLOOKUP($A116,'NonXtal_SegEnds_BW#'!$A:$Z,23,FALSE)+VLOOKUP($A116,A:AL,34,FALSE)-50))</f>
        <v>272</v>
      </c>
      <c r="AH116" s="3">
        <v>298</v>
      </c>
      <c r="AI116" s="3">
        <f>IF(ISERROR((VLOOKUP($A116,'NonXtal_SegEnds_BW#'!$A:$Z,24,FALSE)+VLOOKUP($A116,A:AL,34,FALSE)-50)),"-",(VLOOKUP($A116,'NonXtal_SegEnds_BW#'!$A:$Z,24,FALSE)+VLOOKUP($A116,A:AL,34,FALSE)-50))</f>
        <v>304</v>
      </c>
      <c r="AJ116" s="3">
        <f>IF(ISERROR(VLOOKUP($A116,'NonXtal_SegEnds_BW#'!$A:$Z,25,FALSE)+VLOOKUP($A116,A:AL,37,FALSE)-50),"-",(VLOOKUP($A116,'NonXtal_SegEnds_BW#'!$A:$Z,25,FALSE)+VLOOKUP($A116,A:AL,37,FALSE)-50))</f>
        <v>305</v>
      </c>
      <c r="AK116" s="3">
        <v>308</v>
      </c>
      <c r="AL116" s="3">
        <f>IF(ISERROR((VLOOKUP($A116,'NonXtal_SegEnds_BW#'!$A:$Z,26,FALSE)+VLOOKUP($A116,A:AL,37,FALSE)-50)),"-",(VLOOKUP($A116,'NonXtal_SegEnds_BW#'!$A:$Z,26,FALSE)+VLOOKUP($A116,A:AL,37,FALSE)-50))</f>
        <v>317</v>
      </c>
      <c r="AM116" s="71" t="str">
        <f>VLOOKUP(A116,Classification!A:B,2,FALSE)</f>
        <v>A</v>
      </c>
      <c r="AN116" s="71" t="b">
        <f t="shared" si="36"/>
        <v>1</v>
      </c>
      <c r="AO116" s="3">
        <f t="shared" si="37"/>
        <v>1</v>
      </c>
      <c r="AP116" s="3">
        <f t="shared" si="38"/>
        <v>1</v>
      </c>
      <c r="AQ116" s="3">
        <f t="shared" si="39"/>
        <v>2</v>
      </c>
      <c r="AR116" s="3">
        <f t="shared" si="40"/>
        <v>1</v>
      </c>
      <c r="AS116" s="3">
        <f t="shared" si="41"/>
        <v>1</v>
      </c>
      <c r="AT116" s="3">
        <f t="shared" si="42"/>
        <v>2</v>
      </c>
      <c r="AU116" s="3">
        <f t="shared" si="43"/>
        <v>11</v>
      </c>
      <c r="AV116" s="3">
        <f t="shared" si="44"/>
        <v>7</v>
      </c>
      <c r="AW116" s="3">
        <f t="shared" si="45"/>
        <v>5</v>
      </c>
      <c r="AX116" s="3">
        <f t="shared" si="46"/>
        <v>3</v>
      </c>
      <c r="AY116" s="3">
        <f t="shared" si="47"/>
        <v>1</v>
      </c>
      <c r="AZ116" s="3">
        <f>IF(ISERROR(LEN(VLOOKUP(A116,Seqs!A:E,2,FALSE))-AL116),"-",LEN(VLOOKUP(A116,Seqs!A:E,2,FALSE))-AL116)</f>
        <v>38</v>
      </c>
      <c r="BA116" s="35">
        <f t="shared" si="48"/>
        <v>28</v>
      </c>
      <c r="BB116" s="3">
        <f t="shared" si="49"/>
        <v>20</v>
      </c>
      <c r="BC116" s="3">
        <f t="shared" si="50"/>
        <v>28</v>
      </c>
      <c r="BD116" s="3">
        <f t="shared" si="51"/>
        <v>43</v>
      </c>
    </row>
    <row r="117" spans="1:57" s="3" customFormat="1" x14ac:dyDescent="0.2">
      <c r="A117" s="3" t="s">
        <v>365</v>
      </c>
      <c r="B117" s="3" t="str">
        <f>LOWER(VLOOKUP(A117,Xtal_Templ!A:B,2,FALSE))</f>
        <v>ccr5_human</v>
      </c>
      <c r="C117" s="3">
        <f>VLOOKUP($A117,'NonXtal_SegEnds_BW#'!$A:$Z,3,FALSE)+D117-50</f>
        <v>29</v>
      </c>
      <c r="D117" s="3">
        <v>52</v>
      </c>
      <c r="E117" s="3">
        <f>IF(ISERROR(VLOOKUP($A117,'NonXtal_SegEnds_BW#'!$A:$Z,4,FALSE)+VLOOKUP($A117,A:AL,4,FALSE)-50),"-",(VLOOKUP($A117,'NonXtal_SegEnds_BW#'!$A:$Z,4,FALSE)+VLOOKUP($A117,A:AL,4,FALSE)-50))</f>
        <v>62</v>
      </c>
      <c r="F117" s="3">
        <f t="shared" si="65"/>
        <v>63</v>
      </c>
      <c r="G117" s="3">
        <v>65</v>
      </c>
      <c r="H117" s="3">
        <f t="shared" si="66"/>
        <v>66</v>
      </c>
      <c r="I117" s="3">
        <f t="shared" si="66"/>
        <v>67</v>
      </c>
      <c r="J117" s="3">
        <v>80</v>
      </c>
      <c r="K117" s="3">
        <f>VLOOKUP($A117,'NonXtal_SegEnds_BW#'!$A:$Z,8,FALSE)+VLOOKUP($A117,A:AL,10,FALSE)-50</f>
        <v>96</v>
      </c>
      <c r="L117" s="3">
        <f>M117-1</f>
        <v>98</v>
      </c>
      <c r="M117" s="3">
        <v>99</v>
      </c>
      <c r="N117" s="3">
        <f>M117+2</f>
        <v>101</v>
      </c>
      <c r="O117" s="3">
        <f>N117+1</f>
        <v>102</v>
      </c>
      <c r="P117" s="3">
        <v>131</v>
      </c>
      <c r="Q117" s="3">
        <f>VLOOKUP($A117,'NonXtal_SegEnds_BW#'!$A:$Z,12,FALSE)+VLOOKUP($A117,A:AL,16,FALSE)-50</f>
        <v>137</v>
      </c>
      <c r="R117" s="3">
        <f>IF(ISERROR(VLOOKUP($A117,'NonXtal_SegEnds_BW#'!$A:$Z,13,FALSE)+VLOOKUP($A117,A:AL,19,FALSE)-50),"-",VLOOKUP($A117,'NonXtal_SegEnds_BW#'!$A:$Z,13,FALSE)+VLOOKUP($A117,A:AL,19,FALSE)-50)</f>
        <v>138</v>
      </c>
      <c r="S117" s="3">
        <v>138</v>
      </c>
      <c r="T117" s="3">
        <f>IF(ISERROR(VLOOKUP($A117,'NonXtal_SegEnds_BW#'!$A:$Z,14,FALSE)+VLOOKUP($A117,A:AL,19,FALSE)-50),"-",(VLOOKUP($A117,'NonXtal_SegEnds_BW#'!$A:$Z,14,FALSE)+VLOOKUP($A117,A:AL,19,FALSE)-50))</f>
        <v>145</v>
      </c>
      <c r="U117" s="3">
        <f>IF(ISERROR(VLOOKUP($A117,'NonXtal_SegEnds_BW#'!$A:$Z,15,FALSE)+VLOOKUP($A117,A:AL,22,FALSE)-50),"-",VLOOKUP($A117,'NonXtal_SegEnds_BW#'!$A:$Z,15,FALSE)+VLOOKUP($A117,A:AL,22,FALSE)-50)</f>
        <v>147</v>
      </c>
      <c r="V117" s="3">
        <v>158</v>
      </c>
      <c r="W117" s="3">
        <f>IF(ISERROR(VLOOKUP($A117,'NonXtal_SegEnds_BW#'!$A:$Z,16,FALSE)+VLOOKUP($A117,A:AL,22,FALSE)-50),"-",(VLOOKUP($A117,'NonXtal_SegEnds_BW#'!$A:$Z,16,FALSE)+VLOOKUP($A117,A:AL,22,FALSE)-50))</f>
        <v>172</v>
      </c>
      <c r="X117" s="3">
        <f>IF(ISERROR(VLOOKUP($A117,'NonXtal_SegEnds_BW#'!$A:$Z,17,FALSE)+VLOOKUP($A117,A:AL,25,FALSE)-50),"-",(VLOOKUP($A117,'NonXtal_SegEnds_BW#'!$A:$Z,17,FALSE)+VLOOKUP($A117,A:AL,25,FALSE)-50))</f>
        <v>183</v>
      </c>
      <c r="Y117" s="3">
        <v>183</v>
      </c>
      <c r="Z117" s="3">
        <f t="shared" si="58"/>
        <v>185</v>
      </c>
      <c r="AA117" s="3">
        <f>IF(ISERROR(VLOOKUP($A117,'NonXtal_SegEnds_BW#'!$A:$Z,19,FALSE)+VLOOKUP($A117,A:AL,28,FALSE)-50),"-",(VLOOKUP($A117,'NonXtal_SegEnds_BW#'!$A:$Z,19,FALSE)+VLOOKUP($A117,A:AL,28,FALSE)-50))</f>
        <v>192</v>
      </c>
      <c r="AB117" s="3">
        <v>211</v>
      </c>
      <c r="AC117" s="3">
        <f>IF(ISERROR((VLOOKUP($A117,'NonXtal_SegEnds_BW#'!$A:$Z,20,FALSE)+VLOOKUP($A117,A:AL,28,FALSE)-50)),"-",(VLOOKUP($A117,'NonXtal_SegEnds_BW#'!$A:$Z,20,FALSE)+VLOOKUP($A117,A:AL,28,FALSE)-50))</f>
        <v>229</v>
      </c>
      <c r="AD117" s="3">
        <f>IF(ISERROR(VLOOKUP($A117,'NonXtal_SegEnds_BW#'!$A:$Z,21,FALSE)+VLOOKUP($A117,A:AL,31,FALSE)-50),"-",(VLOOKUP($A117,'NonXtal_SegEnds_BW#'!$A:$Z,21,FALSE)+VLOOKUP($A117,A:AL,31,FALSE)-50))</f>
        <v>234</v>
      </c>
      <c r="AE117" s="3">
        <v>254</v>
      </c>
      <c r="AF117" s="3">
        <f>IF(ISERROR((VLOOKUP($A117,'NonXtal_SegEnds_BW#'!$A:$Z,22,FALSE)+VLOOKUP($A117,A:AL,31,FALSE)-50)),"-",(VLOOKUP($A117,'NonXtal_SegEnds_BW#'!$A:$Z,22,FALSE)+VLOOKUP($A117,A:AL,31,FALSE)-50))</f>
        <v>269</v>
      </c>
      <c r="AG117" s="3">
        <f>IF(ISERROR(VLOOKUP($A117,'NonXtal_SegEnds_BW#'!$A:$Z,23,FALSE)+VLOOKUP($A117,A:AL,34,FALSE)-50),"-",(VLOOKUP($A117,'NonXtal_SegEnds_BW#'!$A:$Z,23,FALSE)+VLOOKUP($A117,A:AL,34,FALSE)-50))</f>
        <v>272</v>
      </c>
      <c r="AH117" s="3">
        <v>298</v>
      </c>
      <c r="AI117" s="3">
        <f>IF(ISERROR((VLOOKUP($A117,'NonXtal_SegEnds_BW#'!$A:$Z,24,FALSE)+VLOOKUP($A117,A:AL,34,FALSE)-50)),"-",(VLOOKUP($A117,'NonXtal_SegEnds_BW#'!$A:$Z,24,FALSE)+VLOOKUP($A117,A:AL,34,FALSE)-50))</f>
        <v>304</v>
      </c>
      <c r="AJ117" s="3">
        <f>IF(ISERROR(VLOOKUP($A117,'NonXtal_SegEnds_BW#'!$A:$Z,25,FALSE)+VLOOKUP($A117,A:AL,37,FALSE)-50),"-",(VLOOKUP($A117,'NonXtal_SegEnds_BW#'!$A:$Z,25,FALSE)+VLOOKUP($A117,A:AL,37,FALSE)-50))</f>
        <v>305</v>
      </c>
      <c r="AK117" s="3">
        <v>308</v>
      </c>
      <c r="AL117" s="3">
        <f>IF(ISERROR((VLOOKUP($A117,'NonXtal_SegEnds_BW#'!$A:$Z,26,FALSE)+VLOOKUP($A117,A:AL,37,FALSE)-50)),"-",(VLOOKUP($A117,'NonXtal_SegEnds_BW#'!$A:$Z,26,FALSE)+VLOOKUP($A117,A:AL,37,FALSE)-50))</f>
        <v>317</v>
      </c>
      <c r="AM117" s="71" t="str">
        <f>VLOOKUP(A117,Classification!A:B,2,FALSE)</f>
        <v>A</v>
      </c>
      <c r="AN117" s="71" t="b">
        <f t="shared" si="36"/>
        <v>1</v>
      </c>
      <c r="AO117" s="3">
        <f t="shared" si="37"/>
        <v>1</v>
      </c>
      <c r="AP117" s="3">
        <f t="shared" si="38"/>
        <v>1</v>
      </c>
      <c r="AQ117" s="3">
        <f t="shared" si="39"/>
        <v>2</v>
      </c>
      <c r="AR117" s="3">
        <f t="shared" si="40"/>
        <v>1</v>
      </c>
      <c r="AS117" s="3">
        <f t="shared" si="41"/>
        <v>1</v>
      </c>
      <c r="AT117" s="3">
        <f t="shared" si="42"/>
        <v>2</v>
      </c>
      <c r="AU117" s="3">
        <f t="shared" si="43"/>
        <v>11</v>
      </c>
      <c r="AV117" s="3">
        <f t="shared" si="44"/>
        <v>7</v>
      </c>
      <c r="AW117" s="3">
        <f t="shared" si="45"/>
        <v>5</v>
      </c>
      <c r="AX117" s="3">
        <f t="shared" si="46"/>
        <v>3</v>
      </c>
      <c r="AY117" s="3">
        <f t="shared" si="47"/>
        <v>1</v>
      </c>
      <c r="AZ117" s="3">
        <f>IF(ISERROR(LEN(VLOOKUP(A117,Seqs!A:E,2,FALSE))-AL117),"-",LEN(VLOOKUP(A117,Seqs!A:E,2,FALSE))-AL117)</f>
        <v>38</v>
      </c>
      <c r="BA117" s="35">
        <f t="shared" si="48"/>
        <v>28</v>
      </c>
      <c r="BB117" s="3">
        <f t="shared" si="49"/>
        <v>20</v>
      </c>
      <c r="BC117" s="3">
        <f t="shared" si="50"/>
        <v>28</v>
      </c>
      <c r="BD117" s="3">
        <f t="shared" si="51"/>
        <v>43</v>
      </c>
    </row>
    <row r="118" spans="1:57" s="3" customFormat="1" x14ac:dyDescent="0.2">
      <c r="A118" s="3" t="s">
        <v>370</v>
      </c>
      <c r="B118" s="3" t="str">
        <f>LOWER(VLOOKUP(A118,Xtal_Templ!A:B,2,FALSE))</f>
        <v>ccr5_human</v>
      </c>
      <c r="C118" s="3">
        <f>VLOOKUP($A118,'NonXtal_SegEnds_BW#'!$A:$Z,3,FALSE)+D118-50</f>
        <v>30</v>
      </c>
      <c r="D118" s="3">
        <v>53</v>
      </c>
      <c r="E118" s="3">
        <f>IF(ISERROR(VLOOKUP($A118,'NonXtal_SegEnds_BW#'!$A:$Z,4,FALSE)+VLOOKUP($A118,A:AL,4,FALSE)-50),"-",(VLOOKUP($A118,'NonXtal_SegEnds_BW#'!$A:$Z,4,FALSE)+VLOOKUP($A118,A:AL,4,FALSE)-50))</f>
        <v>63</v>
      </c>
      <c r="F118" s="3">
        <f t="shared" si="65"/>
        <v>64</v>
      </c>
      <c r="G118" s="3">
        <v>66</v>
      </c>
      <c r="H118" s="3">
        <f t="shared" si="66"/>
        <v>67</v>
      </c>
      <c r="I118" s="3">
        <f t="shared" si="66"/>
        <v>68</v>
      </c>
      <c r="J118" s="3">
        <v>81</v>
      </c>
      <c r="K118" s="3">
        <f>VLOOKUP($A118,'NonXtal_SegEnds_BW#'!$A:$Z,8,FALSE)+VLOOKUP($A118,A:AL,10,FALSE)-50</f>
        <v>97</v>
      </c>
      <c r="L118" s="3">
        <f>M118-1</f>
        <v>98</v>
      </c>
      <c r="M118" s="3">
        <v>99</v>
      </c>
      <c r="N118" s="3">
        <f>M118+2</f>
        <v>101</v>
      </c>
      <c r="O118" s="3">
        <f>N118+1</f>
        <v>102</v>
      </c>
      <c r="P118" s="3">
        <v>131</v>
      </c>
      <c r="Q118" s="3">
        <f>VLOOKUP($A118,'NonXtal_SegEnds_BW#'!$A:$Z,12,FALSE)+VLOOKUP($A118,A:AL,16,FALSE)-50</f>
        <v>137</v>
      </c>
      <c r="R118" s="3">
        <f>IF(ISERROR(VLOOKUP($A118,'NonXtal_SegEnds_BW#'!$A:$Z,13,FALSE)+VLOOKUP($A118,A:AL,19,FALSE)-50),"-",VLOOKUP($A118,'NonXtal_SegEnds_BW#'!$A:$Z,13,FALSE)+VLOOKUP($A118,A:AL,19,FALSE)-50)</f>
        <v>138</v>
      </c>
      <c r="S118" s="3">
        <v>138</v>
      </c>
      <c r="T118" s="3">
        <f>IF(ISERROR(VLOOKUP($A118,'NonXtal_SegEnds_BW#'!$A:$Z,14,FALSE)+VLOOKUP($A118,A:AL,19,FALSE)-50),"-",(VLOOKUP($A118,'NonXtal_SegEnds_BW#'!$A:$Z,14,FALSE)+VLOOKUP($A118,A:AL,19,FALSE)-50))</f>
        <v>145</v>
      </c>
      <c r="U118" s="3">
        <f>IF(ISERROR(VLOOKUP($A118,'NonXtal_SegEnds_BW#'!$A:$Z,15,FALSE)+VLOOKUP($A118,A:AL,22,FALSE)-50),"-",VLOOKUP($A118,'NonXtal_SegEnds_BW#'!$A:$Z,15,FALSE)+VLOOKUP($A118,A:AL,22,FALSE)-50)</f>
        <v>147</v>
      </c>
      <c r="V118" s="3">
        <v>158</v>
      </c>
      <c r="W118" s="3">
        <f>IF(ISERROR(VLOOKUP($A118,'NonXtal_SegEnds_BW#'!$A:$Z,16,FALSE)+VLOOKUP($A118,A:AL,22,FALSE)-50),"-",(VLOOKUP($A118,'NonXtal_SegEnds_BW#'!$A:$Z,16,FALSE)+VLOOKUP($A118,A:AL,22,FALSE)-50))</f>
        <v>172</v>
      </c>
      <c r="X118" s="3">
        <f>IF(ISERROR(VLOOKUP($A118,'NonXtal_SegEnds_BW#'!$A:$Z,17,FALSE)+VLOOKUP($A118,A:AL,25,FALSE)-50),"-",(VLOOKUP($A118,'NonXtal_SegEnds_BW#'!$A:$Z,17,FALSE)+VLOOKUP($A118,A:AL,25,FALSE)-50))</f>
        <v>183</v>
      </c>
      <c r="Y118" s="3">
        <v>183</v>
      </c>
      <c r="Z118" s="3">
        <f t="shared" ref="Z118:Z149" si="67">Y118+2</f>
        <v>185</v>
      </c>
      <c r="AA118" s="3">
        <f>IF(ISERROR(VLOOKUP($A118,'NonXtal_SegEnds_BW#'!$A:$Z,19,FALSE)+VLOOKUP($A118,A:AL,28,FALSE)-50),"-",(VLOOKUP($A118,'NonXtal_SegEnds_BW#'!$A:$Z,19,FALSE)+VLOOKUP($A118,A:AL,28,FALSE)-50))</f>
        <v>191</v>
      </c>
      <c r="AB118" s="3">
        <v>210</v>
      </c>
      <c r="AC118" s="3">
        <f>IF(ISERROR((VLOOKUP($A118,'NonXtal_SegEnds_BW#'!$A:$Z,20,FALSE)+VLOOKUP($A118,A:AL,28,FALSE)-50)),"-",(VLOOKUP($A118,'NonXtal_SegEnds_BW#'!$A:$Z,20,FALSE)+VLOOKUP($A118,A:AL,28,FALSE)-50))</f>
        <v>228</v>
      </c>
      <c r="AD118" s="3">
        <f>IF(ISERROR(VLOOKUP($A118,'NonXtal_SegEnds_BW#'!$A:$Z,21,FALSE)+VLOOKUP($A118,A:AL,31,FALSE)-50),"-",(VLOOKUP($A118,'NonXtal_SegEnds_BW#'!$A:$Z,21,FALSE)+VLOOKUP($A118,A:AL,31,FALSE)-50))</f>
        <v>233</v>
      </c>
      <c r="AE118" s="3">
        <v>253</v>
      </c>
      <c r="AF118" s="3">
        <f>IF(ISERROR((VLOOKUP($A118,'NonXtal_SegEnds_BW#'!$A:$Z,22,FALSE)+VLOOKUP($A118,A:AL,31,FALSE)-50)),"-",(VLOOKUP($A118,'NonXtal_SegEnds_BW#'!$A:$Z,22,FALSE)+VLOOKUP($A118,A:AL,31,FALSE)-50))</f>
        <v>268</v>
      </c>
      <c r="AG118" s="3">
        <f>IF(ISERROR(VLOOKUP($A118,'NonXtal_SegEnds_BW#'!$A:$Z,23,FALSE)+VLOOKUP($A118,A:AL,34,FALSE)-50),"-",(VLOOKUP($A118,'NonXtal_SegEnds_BW#'!$A:$Z,23,FALSE)+VLOOKUP($A118,A:AL,34,FALSE)-50))</f>
        <v>271</v>
      </c>
      <c r="AH118" s="3">
        <v>297</v>
      </c>
      <c r="AI118" s="3">
        <f>IF(ISERROR((VLOOKUP($A118,'NonXtal_SegEnds_BW#'!$A:$Z,24,FALSE)+VLOOKUP($A118,A:AL,34,FALSE)-50)),"-",(VLOOKUP($A118,'NonXtal_SegEnds_BW#'!$A:$Z,24,FALSE)+VLOOKUP($A118,A:AL,34,FALSE)-50))</f>
        <v>303</v>
      </c>
      <c r="AJ118" s="3">
        <f>IF(ISERROR(VLOOKUP($A118,'NonXtal_SegEnds_BW#'!$A:$Z,25,FALSE)+VLOOKUP($A118,A:AL,37,FALSE)-50),"-",(VLOOKUP($A118,'NonXtal_SegEnds_BW#'!$A:$Z,25,FALSE)+VLOOKUP($A118,A:AL,37,FALSE)-50))</f>
        <v>304</v>
      </c>
      <c r="AK118" s="3">
        <v>307</v>
      </c>
      <c r="AL118" s="3">
        <f>IF(ISERROR((VLOOKUP($A118,'NonXtal_SegEnds_BW#'!$A:$Z,26,FALSE)+VLOOKUP($A118,A:AL,37,FALSE)-50)),"-",(VLOOKUP($A118,'NonXtal_SegEnds_BW#'!$A:$Z,26,FALSE)+VLOOKUP($A118,A:AL,37,FALSE)-50))</f>
        <v>316</v>
      </c>
      <c r="AM118" s="71" t="str">
        <f>VLOOKUP(A118,Classification!A:B,2,FALSE)</f>
        <v>A</v>
      </c>
      <c r="AN118" s="71" t="b">
        <f t="shared" si="36"/>
        <v>1</v>
      </c>
      <c r="AO118" s="3">
        <f t="shared" si="37"/>
        <v>1</v>
      </c>
      <c r="AP118" s="3">
        <f t="shared" si="38"/>
        <v>1</v>
      </c>
      <c r="AQ118" s="3">
        <f t="shared" si="39"/>
        <v>1</v>
      </c>
      <c r="AR118" s="3">
        <f t="shared" si="40"/>
        <v>1</v>
      </c>
      <c r="AS118" s="3">
        <f t="shared" si="41"/>
        <v>1</v>
      </c>
      <c r="AT118" s="3">
        <f t="shared" si="42"/>
        <v>2</v>
      </c>
      <c r="AU118" s="3">
        <f t="shared" si="43"/>
        <v>11</v>
      </c>
      <c r="AV118" s="3">
        <f t="shared" si="44"/>
        <v>6</v>
      </c>
      <c r="AW118" s="3">
        <f t="shared" si="45"/>
        <v>5</v>
      </c>
      <c r="AX118" s="3">
        <f t="shared" si="46"/>
        <v>3</v>
      </c>
      <c r="AY118" s="3">
        <f t="shared" si="47"/>
        <v>1</v>
      </c>
      <c r="AZ118" s="3">
        <f>IF(ISERROR(LEN(VLOOKUP(A118,Seqs!A:E,2,FALSE))-AL118),"-",LEN(VLOOKUP(A118,Seqs!A:E,2,FALSE))-AL118)</f>
        <v>39</v>
      </c>
      <c r="BA118" s="35">
        <f t="shared" si="48"/>
        <v>28</v>
      </c>
      <c r="BB118" s="3">
        <f t="shared" si="49"/>
        <v>20</v>
      </c>
      <c r="BC118" s="3">
        <f t="shared" si="50"/>
        <v>28</v>
      </c>
      <c r="BD118" s="3">
        <f t="shared" si="51"/>
        <v>43</v>
      </c>
    </row>
    <row r="119" spans="1:57" s="3" customFormat="1" x14ac:dyDescent="0.2">
      <c r="A119" s="3" t="s">
        <v>372</v>
      </c>
      <c r="B119" s="3" t="str">
        <f>LOWER(VLOOKUP(A119,Xtal_Templ!A:B,2,FALSE))</f>
        <v>ccr5_human</v>
      </c>
      <c r="C119" s="3">
        <f>VLOOKUP($A119,'NonXtal_SegEnds_BW#'!$A:$Z,3,FALSE)+D119-50</f>
        <v>33</v>
      </c>
      <c r="D119" s="3">
        <v>56</v>
      </c>
      <c r="E119" s="3">
        <f>IF(ISERROR(VLOOKUP($A119,'NonXtal_SegEnds_BW#'!$A:$Z,4,FALSE)+VLOOKUP($A119,A:AL,4,FALSE)-50),"-",(VLOOKUP($A119,'NonXtal_SegEnds_BW#'!$A:$Z,4,FALSE)+VLOOKUP($A119,A:AL,4,FALSE)-50))</f>
        <v>66</v>
      </c>
      <c r="F119" s="3">
        <f t="shared" si="65"/>
        <v>67</v>
      </c>
      <c r="G119" s="3">
        <v>69</v>
      </c>
      <c r="H119" s="3">
        <f t="shared" si="66"/>
        <v>70</v>
      </c>
      <c r="I119" s="3">
        <f t="shared" si="66"/>
        <v>71</v>
      </c>
      <c r="J119" s="3">
        <v>84</v>
      </c>
      <c r="K119" s="3">
        <f>VLOOKUP($A119,'NonXtal_SegEnds_BW#'!$A:$Z,8,FALSE)+VLOOKUP($A119,A:AL,10,FALSE)-50</f>
        <v>97</v>
      </c>
      <c r="L119" s="3" t="str">
        <f>IF(ISERROR(VLOOKUP($A119,'NonXtal_SegEnds_BW#'!$A:$Z,9,FALSE)+VLOOKUP($A119,A:AL,13,FALSE)-50),"-",(VLOOKUP($A119,'NonXtal_SegEnds_BW#'!$A:$Z,9,FALSE)+VLOOKUP($A119,A:AL,13,FALSE)-50))</f>
        <v>-</v>
      </c>
      <c r="M119" s="3" t="s">
        <v>129</v>
      </c>
      <c r="N119" s="3" t="str">
        <f>IF(ISERROR(VLOOKUP($A119,'NonXtal_SegEnds_BW#'!$A:$Z,10,FALSE)+VLOOKUP($A119,A:AL,13,FALSE)-50),"-",(VLOOKUP($A119,'NonXtal_SegEnds_BW#'!$A:$Z,10,FALSE)+VLOOKUP($A119,A:AL,13,FALSE)-50))</f>
        <v>-</v>
      </c>
      <c r="O119" s="3">
        <f>VLOOKUP($A119,'NonXtal_SegEnds_BW#'!$A:$Z,11,FALSE)+VLOOKUP($A119,A:AL,16,FALSE)-50</f>
        <v>104</v>
      </c>
      <c r="P119" s="3">
        <v>128</v>
      </c>
      <c r="Q119" s="3">
        <f>VLOOKUP($A119,'NonXtal_SegEnds_BW#'!$A:$Z,12,FALSE)+VLOOKUP($A119,A:AL,16,FALSE)-50</f>
        <v>134</v>
      </c>
      <c r="R119" s="3">
        <f>IF(ISERROR(VLOOKUP($A119,'NonXtal_SegEnds_BW#'!$A:$Z,13,FALSE)+VLOOKUP($A119,A:AL,19,FALSE)-50),"-",VLOOKUP($A119,'NonXtal_SegEnds_BW#'!$A:$Z,13,FALSE)+VLOOKUP($A119,A:AL,19,FALSE)-50)</f>
        <v>135</v>
      </c>
      <c r="S119" s="3">
        <v>135</v>
      </c>
      <c r="T119" s="3">
        <f>IF(ISERROR(VLOOKUP($A119,'NonXtal_SegEnds_BW#'!$A:$Z,14,FALSE)+VLOOKUP($A119,A:AL,19,FALSE)-50),"-",(VLOOKUP($A119,'NonXtal_SegEnds_BW#'!$A:$Z,14,FALSE)+VLOOKUP($A119,A:AL,19,FALSE)-50))</f>
        <v>143</v>
      </c>
      <c r="U119" s="3">
        <f>IF(ISERROR(VLOOKUP($A119,'NonXtal_SegEnds_BW#'!$A:$Z,15,FALSE)+VLOOKUP($A119,A:AL,22,FALSE)-50),"-",VLOOKUP($A119,'NonXtal_SegEnds_BW#'!$A:$Z,15,FALSE)+VLOOKUP($A119,A:AL,22,FALSE)-50)</f>
        <v>145</v>
      </c>
      <c r="V119" s="3">
        <v>156</v>
      </c>
      <c r="W119" s="3">
        <f>IF(ISERROR(VLOOKUP($A119,'NonXtal_SegEnds_BW#'!$A:$Z,16,FALSE)+VLOOKUP($A119,A:AL,22,FALSE)-50),"-",(VLOOKUP($A119,'NonXtal_SegEnds_BW#'!$A:$Z,16,FALSE)+VLOOKUP($A119,A:AL,22,FALSE)-50))</f>
        <v>170</v>
      </c>
      <c r="X119" s="3">
        <f>IF(ISERROR(VLOOKUP($A119,'NonXtal_SegEnds_BW#'!$A:$Z,17,FALSE)+VLOOKUP($A119,A:AL,25,FALSE)-50),"-",(VLOOKUP($A119,'NonXtal_SegEnds_BW#'!$A:$Z,17,FALSE)+VLOOKUP($A119,A:AL,25,FALSE)-50))</f>
        <v>181</v>
      </c>
      <c r="Y119" s="3">
        <v>181</v>
      </c>
      <c r="Z119" s="3">
        <f t="shared" si="67"/>
        <v>183</v>
      </c>
      <c r="AA119" s="3">
        <f>IF(ISERROR(VLOOKUP($A119,'NonXtal_SegEnds_BW#'!$A:$Z,19,FALSE)+VLOOKUP($A119,A:AL,28,FALSE)-50),"-",(VLOOKUP($A119,'NonXtal_SegEnds_BW#'!$A:$Z,19,FALSE)+VLOOKUP($A119,A:AL,28,FALSE)-50))</f>
        <v>193</v>
      </c>
      <c r="AB119" s="3">
        <v>212</v>
      </c>
      <c r="AC119" s="3">
        <f>IF(ISERROR((VLOOKUP($A119,'NonXtal_SegEnds_BW#'!$A:$Z,20,FALSE)+VLOOKUP($A119,A:AL,28,FALSE)-50)),"-",(VLOOKUP($A119,'NonXtal_SegEnds_BW#'!$A:$Z,20,FALSE)+VLOOKUP($A119,A:AL,28,FALSE)-50))</f>
        <v>230</v>
      </c>
      <c r="AD119" s="3">
        <f>IF(ISERROR(VLOOKUP($A119,'NonXtal_SegEnds_BW#'!$A:$Z,21,FALSE)+VLOOKUP($A119,A:AL,31,FALSE)-50),"-",(VLOOKUP($A119,'NonXtal_SegEnds_BW#'!$A:$Z,21,FALSE)+VLOOKUP($A119,A:AL,31,FALSE)-50))</f>
        <v>233</v>
      </c>
      <c r="AE119" s="3">
        <v>253</v>
      </c>
      <c r="AF119" s="3">
        <f>IF(ISERROR((VLOOKUP($A119,'NonXtal_SegEnds_BW#'!$A:$Z,22,FALSE)+VLOOKUP($A119,A:AL,31,FALSE)-50)),"-",(VLOOKUP($A119,'NonXtal_SegEnds_BW#'!$A:$Z,22,FALSE)+VLOOKUP($A119,A:AL,31,FALSE)-50))</f>
        <v>267</v>
      </c>
      <c r="AG119" s="3">
        <f>IF(ISERROR(VLOOKUP($A119,'NonXtal_SegEnds_BW#'!$A:$Z,23,FALSE)+VLOOKUP($A119,A:AL,34,FALSE)-50),"-",(VLOOKUP($A119,'NonXtal_SegEnds_BW#'!$A:$Z,23,FALSE)+VLOOKUP($A119,A:AL,34,FALSE)-50))</f>
        <v>271</v>
      </c>
      <c r="AH119" s="3">
        <v>297</v>
      </c>
      <c r="AI119" s="3">
        <f>IF(ISERROR((VLOOKUP($A119,'NonXtal_SegEnds_BW#'!$A:$Z,24,FALSE)+VLOOKUP($A119,A:AL,34,FALSE)-50)),"-",(VLOOKUP($A119,'NonXtal_SegEnds_BW#'!$A:$Z,24,FALSE)+VLOOKUP($A119,A:AL,34,FALSE)-50))</f>
        <v>303</v>
      </c>
      <c r="AJ119" s="3">
        <f>IF(ISERROR(VLOOKUP($A119,'NonXtal_SegEnds_BW#'!$A:$Z,25,FALSE)+VLOOKUP($A119,A:AL,37,FALSE)-50),"-",(VLOOKUP($A119,'NonXtal_SegEnds_BW#'!$A:$Z,25,FALSE)+VLOOKUP($A119,A:AL,37,FALSE)-50))</f>
        <v>304</v>
      </c>
      <c r="AK119" s="3">
        <v>307</v>
      </c>
      <c r="AL119" s="3">
        <f>IF(ISERROR((VLOOKUP($A119,'NonXtal_SegEnds_BW#'!$A:$Z,26,FALSE)+VLOOKUP($A119,A:AL,37,FALSE)-50)),"-",(VLOOKUP($A119,'NonXtal_SegEnds_BW#'!$A:$Z,26,FALSE)+VLOOKUP($A119,A:AL,37,FALSE)-50))</f>
        <v>316</v>
      </c>
      <c r="AM119" s="71" t="str">
        <f>VLOOKUP(A119,Classification!A:B,2,FALSE)</f>
        <v>A</v>
      </c>
      <c r="AN119" s="71" t="b">
        <f t="shared" si="36"/>
        <v>1</v>
      </c>
      <c r="AO119" s="3">
        <f t="shared" si="37"/>
        <v>1</v>
      </c>
      <c r="AP119" s="3">
        <f t="shared" si="38"/>
        <v>1</v>
      </c>
      <c r="AQ119" s="3" t="str">
        <f t="shared" si="39"/>
        <v>-</v>
      </c>
      <c r="AR119" s="3" t="str">
        <f t="shared" si="40"/>
        <v>-</v>
      </c>
      <c r="AS119" s="3">
        <f t="shared" si="41"/>
        <v>1</v>
      </c>
      <c r="AT119" s="3">
        <f t="shared" si="42"/>
        <v>2</v>
      </c>
      <c r="AU119" s="3">
        <f t="shared" si="43"/>
        <v>11</v>
      </c>
      <c r="AV119" s="3">
        <f t="shared" si="44"/>
        <v>10</v>
      </c>
      <c r="AW119" s="3">
        <f t="shared" si="45"/>
        <v>3</v>
      </c>
      <c r="AX119" s="3">
        <f t="shared" si="46"/>
        <v>4</v>
      </c>
      <c r="AY119" s="3">
        <f t="shared" si="47"/>
        <v>1</v>
      </c>
      <c r="AZ119" s="3">
        <f>IF(ISERROR(LEN(VLOOKUP(A119,Seqs!A:E,2,FALSE))-AL119),"-",LEN(VLOOKUP(A119,Seqs!A:E,2,FALSE))-AL119)</f>
        <v>28</v>
      </c>
      <c r="BA119" s="35">
        <f t="shared" si="48"/>
        <v>28</v>
      </c>
      <c r="BB119" s="3">
        <f t="shared" si="49"/>
        <v>21</v>
      </c>
      <c r="BC119" s="3">
        <f t="shared" si="50"/>
        <v>28</v>
      </c>
      <c r="BD119" s="3">
        <f t="shared" si="51"/>
        <v>41</v>
      </c>
      <c r="BE119" s="3">
        <f>AH119-AE119</f>
        <v>44</v>
      </c>
    </row>
    <row r="120" spans="1:57" s="3" customFormat="1" x14ac:dyDescent="0.2">
      <c r="A120" s="3" t="s">
        <v>383</v>
      </c>
      <c r="B120" s="3" t="str">
        <f>LOWER(VLOOKUP(A120,Xtal_Templ!A:B,2,FALSE))</f>
        <v>ccr5_human</v>
      </c>
      <c r="C120" s="3">
        <f>VLOOKUP($A120,'NonXtal_SegEnds_BW#'!$A:$Z,3,FALSE)+D120-50</f>
        <v>26</v>
      </c>
      <c r="D120" s="3">
        <v>49</v>
      </c>
      <c r="E120" s="3">
        <f>IF(ISERROR(VLOOKUP($A120,'NonXtal_SegEnds_BW#'!$A:$Z,4,FALSE)+VLOOKUP($A120,A:AL,4,FALSE)-50),"-",(VLOOKUP($A120,'NonXtal_SegEnds_BW#'!$A:$Z,4,FALSE)+VLOOKUP($A120,A:AL,4,FALSE)-50))</f>
        <v>59</v>
      </c>
      <c r="F120" s="3">
        <f t="shared" si="65"/>
        <v>60</v>
      </c>
      <c r="G120" s="3">
        <v>62</v>
      </c>
      <c r="H120" s="3">
        <f t="shared" si="66"/>
        <v>63</v>
      </c>
      <c r="I120" s="3">
        <f t="shared" si="66"/>
        <v>64</v>
      </c>
      <c r="J120" s="3">
        <v>77</v>
      </c>
      <c r="K120" s="3">
        <f>VLOOKUP($A120,'NonXtal_SegEnds_BW#'!$A:$Z,8,FALSE)+VLOOKUP($A120,A:AL,10,FALSE)-50</f>
        <v>93</v>
      </c>
      <c r="L120" s="3">
        <f>M120-1</f>
        <v>94</v>
      </c>
      <c r="M120" s="3">
        <v>95</v>
      </c>
      <c r="N120" s="3">
        <f>M120+2</f>
        <v>97</v>
      </c>
      <c r="O120" s="3">
        <f>N120+1</f>
        <v>98</v>
      </c>
      <c r="P120" s="3">
        <v>127</v>
      </c>
      <c r="Q120" s="3">
        <f>VLOOKUP($A120,'NonXtal_SegEnds_BW#'!$A:$Z,12,FALSE)+VLOOKUP($A120,A:AL,16,FALSE)-50</f>
        <v>133</v>
      </c>
      <c r="R120" s="3">
        <f>IF(ISERROR(VLOOKUP($A120,'NonXtal_SegEnds_BW#'!$A:$Z,13,FALSE)+VLOOKUP($A120,A:AL,19,FALSE)-50),"-",VLOOKUP($A120,'NonXtal_SegEnds_BW#'!$A:$Z,13,FALSE)+VLOOKUP($A120,A:AL,19,FALSE)-50)</f>
        <v>134</v>
      </c>
      <c r="S120" s="3">
        <v>134</v>
      </c>
      <c r="T120" s="3">
        <f>IF(ISERROR(VLOOKUP($A120,'NonXtal_SegEnds_BW#'!$A:$Z,14,FALSE)+VLOOKUP($A120,A:AL,19,FALSE)-50),"-",(VLOOKUP($A120,'NonXtal_SegEnds_BW#'!$A:$Z,14,FALSE)+VLOOKUP($A120,A:AL,19,FALSE)-50))</f>
        <v>142</v>
      </c>
      <c r="U120" s="3">
        <f>IF(ISERROR(VLOOKUP($A120,'NonXtal_SegEnds_BW#'!$A:$Z,15,FALSE)+VLOOKUP($A120,A:AL,22,FALSE)-50),"-",VLOOKUP($A120,'NonXtal_SegEnds_BW#'!$A:$Z,15,FALSE)+VLOOKUP($A120,A:AL,22,FALSE)-50)</f>
        <v>145</v>
      </c>
      <c r="V120" s="3">
        <v>156</v>
      </c>
      <c r="W120" s="3">
        <f>IF(ISERROR(VLOOKUP($A120,'NonXtal_SegEnds_BW#'!$A:$Z,16,FALSE)+VLOOKUP($A120,A:AL,22,FALSE)-50),"-",(VLOOKUP($A120,'NonXtal_SegEnds_BW#'!$A:$Z,16,FALSE)+VLOOKUP($A120,A:AL,22,FALSE)-50))</f>
        <v>170</v>
      </c>
      <c r="X120" s="3">
        <f>IF(ISERROR(VLOOKUP($A120,'NonXtal_SegEnds_BW#'!$A:$Z,17,FALSE)+VLOOKUP($A120,A:AL,25,FALSE)-50),"-",(VLOOKUP($A120,'NonXtal_SegEnds_BW#'!$A:$Z,17,FALSE)+VLOOKUP($A120,A:AL,25,FALSE)-50))</f>
        <v>180</v>
      </c>
      <c r="Y120" s="3">
        <v>180</v>
      </c>
      <c r="Z120" s="3">
        <f t="shared" si="67"/>
        <v>182</v>
      </c>
      <c r="AA120" s="3">
        <f>IF(ISERROR(VLOOKUP($A120,'NonXtal_SegEnds_BW#'!$A:$Z,19,FALSE)+VLOOKUP($A120,A:AL,28,FALSE)-50),"-",(VLOOKUP($A120,'NonXtal_SegEnds_BW#'!$A:$Z,19,FALSE)+VLOOKUP($A120,A:AL,28,FALSE)-50))</f>
        <v>184</v>
      </c>
      <c r="AB120" s="3">
        <v>203</v>
      </c>
      <c r="AC120" s="3">
        <f>IF(ISERROR((VLOOKUP($A120,'NonXtal_SegEnds_BW#'!$A:$Z,20,FALSE)+VLOOKUP($A120,A:AL,28,FALSE)-50)),"-",(VLOOKUP($A120,'NonXtal_SegEnds_BW#'!$A:$Z,20,FALSE)+VLOOKUP($A120,A:AL,28,FALSE)-50))</f>
        <v>221</v>
      </c>
      <c r="AD120" s="3">
        <f>IF(ISERROR(VLOOKUP($A120,'NonXtal_SegEnds_BW#'!$A:$Z,21,FALSE)+VLOOKUP($A120,A:AL,31,FALSE)-50),"-",(VLOOKUP($A120,'NonXtal_SegEnds_BW#'!$A:$Z,21,FALSE)+VLOOKUP($A120,A:AL,31,FALSE)-50))</f>
        <v>226</v>
      </c>
      <c r="AE120" s="3">
        <v>246</v>
      </c>
      <c r="AF120" s="3">
        <f>IF(ISERROR((VLOOKUP($A120,'NonXtal_SegEnds_BW#'!$A:$Z,22,FALSE)+VLOOKUP($A120,A:AL,31,FALSE)-50)),"-",(VLOOKUP($A120,'NonXtal_SegEnds_BW#'!$A:$Z,22,FALSE)+VLOOKUP($A120,A:AL,31,FALSE)-50))</f>
        <v>257</v>
      </c>
      <c r="AG120" s="3">
        <f>IF(ISERROR(VLOOKUP($A120,'NonXtal_SegEnds_BW#'!$A:$Z,23,FALSE)+VLOOKUP($A120,A:AL,34,FALSE)-50),"-",(VLOOKUP($A120,'NonXtal_SegEnds_BW#'!$A:$Z,23,FALSE)+VLOOKUP($A120,A:AL,34,FALSE)-50))</f>
        <v>263</v>
      </c>
      <c r="AH120" s="3">
        <v>285</v>
      </c>
      <c r="AI120" s="3">
        <f>IF(ISERROR((VLOOKUP($A120,'NonXtal_SegEnds_BW#'!$A:$Z,24,FALSE)+VLOOKUP($A120,A:AL,34,FALSE)-50)),"-",(VLOOKUP($A120,'NonXtal_SegEnds_BW#'!$A:$Z,24,FALSE)+VLOOKUP($A120,A:AL,34,FALSE)-50))</f>
        <v>291</v>
      </c>
      <c r="AJ120" s="3">
        <f>IF(ISERROR(VLOOKUP($A120,'NonXtal_SegEnds_BW#'!$A:$Z,25,FALSE)+VLOOKUP($A120,A:AL,37,FALSE)-50),"-",(VLOOKUP($A120,'NonXtal_SegEnds_BW#'!$A:$Z,25,FALSE)+VLOOKUP($A120,A:AL,37,FALSE)-50))</f>
        <v>292</v>
      </c>
      <c r="AK120" s="3">
        <v>295</v>
      </c>
      <c r="AL120" s="3">
        <f>IF(ISERROR((VLOOKUP($A120,'NonXtal_SegEnds_BW#'!$A:$Z,26,FALSE)+VLOOKUP($A120,A:AL,37,FALSE)-50)),"-",(VLOOKUP($A120,'NonXtal_SegEnds_BW#'!$A:$Z,26,FALSE)+VLOOKUP($A120,A:AL,37,FALSE)-50))</f>
        <v>304</v>
      </c>
      <c r="AM120" s="71" t="str">
        <f>VLOOKUP(A120,Classification!A:B,2,FALSE)</f>
        <v>A</v>
      </c>
      <c r="AN120" s="71" t="b">
        <f t="shared" si="36"/>
        <v>1</v>
      </c>
      <c r="AO120" s="3">
        <f t="shared" si="37"/>
        <v>1</v>
      </c>
      <c r="AP120" s="3">
        <f t="shared" si="38"/>
        <v>1</v>
      </c>
      <c r="AQ120" s="3">
        <f t="shared" si="39"/>
        <v>1</v>
      </c>
      <c r="AR120" s="3">
        <f t="shared" si="40"/>
        <v>1</v>
      </c>
      <c r="AS120" s="3">
        <f t="shared" si="41"/>
        <v>1</v>
      </c>
      <c r="AT120" s="3">
        <f t="shared" si="42"/>
        <v>3</v>
      </c>
      <c r="AU120" s="3">
        <f t="shared" si="43"/>
        <v>10</v>
      </c>
      <c r="AV120" s="3">
        <f t="shared" si="44"/>
        <v>2</v>
      </c>
      <c r="AW120" s="3">
        <f t="shared" si="45"/>
        <v>5</v>
      </c>
      <c r="AX120" s="3">
        <f t="shared" si="46"/>
        <v>6</v>
      </c>
      <c r="AY120" s="3">
        <f t="shared" si="47"/>
        <v>1</v>
      </c>
      <c r="AZ120" s="3">
        <f>IF(ISERROR(LEN(VLOOKUP(A120,Seqs!A:E,2,FALSE))-AL120),"-",LEN(VLOOKUP(A120,Seqs!A:E,2,FALSE))-AL120)</f>
        <v>38</v>
      </c>
      <c r="BA120" s="35">
        <f t="shared" si="48"/>
        <v>28</v>
      </c>
      <c r="BB120" s="3">
        <f t="shared" si="49"/>
        <v>22</v>
      </c>
      <c r="BC120" s="3">
        <f t="shared" si="50"/>
        <v>28</v>
      </c>
      <c r="BD120" s="3">
        <f t="shared" si="51"/>
        <v>43</v>
      </c>
    </row>
    <row r="121" spans="1:57" s="3" customFormat="1" x14ac:dyDescent="0.2">
      <c r="A121" s="3" t="s">
        <v>367</v>
      </c>
      <c r="B121" s="3" t="str">
        <f>LOWER(VLOOKUP(A121,Xtal_Templ!A:B,2,FALSE))</f>
        <v>ccr5_human</v>
      </c>
      <c r="C121" s="3">
        <f>VLOOKUP($A121,'NonXtal_SegEnds_BW#'!$A:$Z,3,FALSE)+D121-50</f>
        <v>25</v>
      </c>
      <c r="D121" s="3">
        <v>48</v>
      </c>
      <c r="E121" s="3">
        <f>IF(ISERROR(VLOOKUP($A121,'NonXtal_SegEnds_BW#'!$A:$Z,4,FALSE)+VLOOKUP($A121,A:AL,4,FALSE)-50),"-",(VLOOKUP($A121,'NonXtal_SegEnds_BW#'!$A:$Z,4,FALSE)+VLOOKUP($A121,A:AL,4,FALSE)-50))</f>
        <v>58</v>
      </c>
      <c r="F121" s="3">
        <f t="shared" si="65"/>
        <v>59</v>
      </c>
      <c r="G121" s="3">
        <v>61</v>
      </c>
      <c r="H121" s="3">
        <f t="shared" si="66"/>
        <v>62</v>
      </c>
      <c r="I121" s="3">
        <f t="shared" si="66"/>
        <v>63</v>
      </c>
      <c r="J121" s="3">
        <v>76</v>
      </c>
      <c r="K121" s="3">
        <f>VLOOKUP($A121,'NonXtal_SegEnds_BW#'!$A:$Z,8,FALSE)+VLOOKUP($A121,A:AL,10,FALSE)-50</f>
        <v>92</v>
      </c>
      <c r="L121" s="3">
        <f>M121-1</f>
        <v>93</v>
      </c>
      <c r="M121" s="3">
        <v>94</v>
      </c>
      <c r="N121" s="3">
        <f>M121+2</f>
        <v>96</v>
      </c>
      <c r="O121" s="3">
        <f>N121+1</f>
        <v>97</v>
      </c>
      <c r="P121" s="3">
        <v>126</v>
      </c>
      <c r="Q121" s="3">
        <f>VLOOKUP($A121,'NonXtal_SegEnds_BW#'!$A:$Z,12,FALSE)+VLOOKUP($A121,A:AL,16,FALSE)-50</f>
        <v>132</v>
      </c>
      <c r="R121" s="3">
        <f>IF(ISERROR(VLOOKUP($A121,'NonXtal_SegEnds_BW#'!$A:$Z,13,FALSE)+VLOOKUP($A121,A:AL,19,FALSE)-50),"-",VLOOKUP($A121,'NonXtal_SegEnds_BW#'!$A:$Z,13,FALSE)+VLOOKUP($A121,A:AL,19,FALSE)-50)</f>
        <v>133</v>
      </c>
      <c r="S121" s="3">
        <v>133</v>
      </c>
      <c r="T121" s="3">
        <f>IF(ISERROR(VLOOKUP($A121,'NonXtal_SegEnds_BW#'!$A:$Z,14,FALSE)+VLOOKUP($A121,A:AL,19,FALSE)-50),"-",(VLOOKUP($A121,'NonXtal_SegEnds_BW#'!$A:$Z,14,FALSE)+VLOOKUP($A121,A:AL,19,FALSE)-50))</f>
        <v>140</v>
      </c>
      <c r="U121" s="3">
        <f>IF(ISERROR(VLOOKUP($A121,'NonXtal_SegEnds_BW#'!$A:$Z,15,FALSE)+VLOOKUP($A121,A:AL,22,FALSE)-50),"-",VLOOKUP($A121,'NonXtal_SegEnds_BW#'!$A:$Z,15,FALSE)+VLOOKUP($A121,A:AL,22,FALSE)-50)</f>
        <v>142</v>
      </c>
      <c r="V121" s="3">
        <v>153</v>
      </c>
      <c r="W121" s="3">
        <f>IF(ISERROR(VLOOKUP($A121,'NonXtal_SegEnds_BW#'!$A:$Z,16,FALSE)+VLOOKUP($A121,A:AL,22,FALSE)-50),"-",(VLOOKUP($A121,'NonXtal_SegEnds_BW#'!$A:$Z,16,FALSE)+VLOOKUP($A121,A:AL,22,FALSE)-50))</f>
        <v>167</v>
      </c>
      <c r="X121" s="3">
        <f>IF(ISERROR(VLOOKUP($A121,'NonXtal_SegEnds_BW#'!$A:$Z,17,FALSE)+VLOOKUP($A121,A:AL,25,FALSE)-50),"-",(VLOOKUP($A121,'NonXtal_SegEnds_BW#'!$A:$Z,17,FALSE)+VLOOKUP($A121,A:AL,25,FALSE)-50))</f>
        <v>178</v>
      </c>
      <c r="Y121" s="3">
        <v>178</v>
      </c>
      <c r="Z121" s="3">
        <f t="shared" si="67"/>
        <v>180</v>
      </c>
      <c r="AA121" s="3">
        <f>IF(ISERROR(VLOOKUP($A121,'NonXtal_SegEnds_BW#'!$A:$Z,19,FALSE)+VLOOKUP($A121,A:AL,28,FALSE)-50),"-",(VLOOKUP($A121,'NonXtal_SegEnds_BW#'!$A:$Z,19,FALSE)+VLOOKUP($A121,A:AL,28,FALSE)-50))</f>
        <v>187</v>
      </c>
      <c r="AB121" s="3">
        <v>206</v>
      </c>
      <c r="AC121" s="3">
        <f>IF(ISERROR((VLOOKUP($A121,'NonXtal_SegEnds_BW#'!$A:$Z,20,FALSE)+VLOOKUP($A121,A:AL,28,FALSE)-50)),"-",(VLOOKUP($A121,'NonXtal_SegEnds_BW#'!$A:$Z,20,FALSE)+VLOOKUP($A121,A:AL,28,FALSE)-50))</f>
        <v>224</v>
      </c>
      <c r="AD121" s="3">
        <f>IF(ISERROR(VLOOKUP($A121,'NonXtal_SegEnds_BW#'!$A:$Z,21,FALSE)+VLOOKUP($A121,A:AL,31,FALSE)-50),"-",(VLOOKUP($A121,'NonXtal_SegEnds_BW#'!$A:$Z,21,FALSE)+VLOOKUP($A121,A:AL,31,FALSE)-50))</f>
        <v>230</v>
      </c>
      <c r="AE121" s="3">
        <v>250</v>
      </c>
      <c r="AF121" s="3">
        <f>IF(ISERROR((VLOOKUP($A121,'NonXtal_SegEnds_BW#'!$A:$Z,22,FALSE)+VLOOKUP($A121,A:AL,31,FALSE)-50)),"-",(VLOOKUP($A121,'NonXtal_SegEnds_BW#'!$A:$Z,22,FALSE)+VLOOKUP($A121,A:AL,31,FALSE)-50))</f>
        <v>265</v>
      </c>
      <c r="AG121" s="3">
        <f>IF(ISERROR(VLOOKUP($A121,'NonXtal_SegEnds_BW#'!$A:$Z,23,FALSE)+VLOOKUP($A121,A:AL,34,FALSE)-50),"-",(VLOOKUP($A121,'NonXtal_SegEnds_BW#'!$A:$Z,23,FALSE)+VLOOKUP($A121,A:AL,34,FALSE)-50))</f>
        <v>268</v>
      </c>
      <c r="AH121" s="3">
        <v>294</v>
      </c>
      <c r="AI121" s="3">
        <f>IF(ISERROR((VLOOKUP($A121,'NonXtal_SegEnds_BW#'!$A:$Z,24,FALSE)+VLOOKUP($A121,A:AL,34,FALSE)-50)),"-",(VLOOKUP($A121,'NonXtal_SegEnds_BW#'!$A:$Z,24,FALSE)+VLOOKUP($A121,A:AL,34,FALSE)-50))</f>
        <v>300</v>
      </c>
      <c r="AJ121" s="3">
        <f>IF(ISERROR(VLOOKUP($A121,'NonXtal_SegEnds_BW#'!$A:$Z,25,FALSE)+VLOOKUP($A121,A:AL,37,FALSE)-50),"-",(VLOOKUP($A121,'NonXtal_SegEnds_BW#'!$A:$Z,25,FALSE)+VLOOKUP($A121,A:AL,37,FALSE)-50))</f>
        <v>301</v>
      </c>
      <c r="AK121" s="3">
        <v>304</v>
      </c>
      <c r="AL121" s="3">
        <f>IF(ISERROR((VLOOKUP($A121,'NonXtal_SegEnds_BW#'!$A:$Z,26,FALSE)+VLOOKUP($A121,A:AL,37,FALSE)-50)),"-",(VLOOKUP($A121,'NonXtal_SegEnds_BW#'!$A:$Z,26,FALSE)+VLOOKUP($A121,A:AL,37,FALSE)-50))</f>
        <v>313</v>
      </c>
      <c r="AM121" s="71" t="str">
        <f>VLOOKUP(A121,Classification!A:B,2,FALSE)</f>
        <v>A</v>
      </c>
      <c r="AN121" s="71" t="b">
        <f t="shared" si="36"/>
        <v>1</v>
      </c>
      <c r="AO121" s="3">
        <f t="shared" si="37"/>
        <v>1</v>
      </c>
      <c r="AP121" s="3">
        <f t="shared" si="38"/>
        <v>1</v>
      </c>
      <c r="AQ121" s="3">
        <f t="shared" si="39"/>
        <v>1</v>
      </c>
      <c r="AR121" s="3">
        <f t="shared" si="40"/>
        <v>1</v>
      </c>
      <c r="AS121" s="3">
        <f t="shared" si="41"/>
        <v>1</v>
      </c>
      <c r="AT121" s="3">
        <f t="shared" si="42"/>
        <v>2</v>
      </c>
      <c r="AU121" s="3">
        <f t="shared" si="43"/>
        <v>11</v>
      </c>
      <c r="AV121" s="3">
        <f t="shared" si="44"/>
        <v>7</v>
      </c>
      <c r="AW121" s="3">
        <f t="shared" si="45"/>
        <v>6</v>
      </c>
      <c r="AX121" s="3">
        <f t="shared" si="46"/>
        <v>3</v>
      </c>
      <c r="AY121" s="3">
        <f t="shared" si="47"/>
        <v>1</v>
      </c>
      <c r="AZ121" s="3">
        <f>IF(ISERROR(LEN(VLOOKUP(A121,Seqs!A:E,2,FALSE))-AL121),"-",LEN(VLOOKUP(A121,Seqs!A:E,2,FALSE))-AL121)</f>
        <v>39</v>
      </c>
      <c r="BA121" s="35">
        <f t="shared" si="48"/>
        <v>28</v>
      </c>
      <c r="BB121" s="3">
        <f t="shared" si="49"/>
        <v>20</v>
      </c>
      <c r="BC121" s="3">
        <f t="shared" si="50"/>
        <v>28</v>
      </c>
      <c r="BD121" s="3">
        <f t="shared" si="51"/>
        <v>44</v>
      </c>
    </row>
    <row r="122" spans="1:57" s="3" customFormat="1" x14ac:dyDescent="0.2">
      <c r="A122" s="3" t="s">
        <v>378</v>
      </c>
      <c r="B122" s="3" t="str">
        <f>LOWER(VLOOKUP(A122,Xtal_Templ!A:B,2,FALSE))</f>
        <v>ccr5_human</v>
      </c>
      <c r="C122" s="3">
        <f>VLOOKUP($A122,'NonXtal_SegEnds_BW#'!$A:$Z,3,FALSE)+D122-50</f>
        <v>26</v>
      </c>
      <c r="D122" s="3">
        <v>49</v>
      </c>
      <c r="E122" s="3">
        <f>IF(ISERROR(VLOOKUP($A122,'NonXtal_SegEnds_BW#'!$A:$Z,4,FALSE)+VLOOKUP($A122,A:AL,4,FALSE)-50),"-",(VLOOKUP($A122,'NonXtal_SegEnds_BW#'!$A:$Z,4,FALSE)+VLOOKUP($A122,A:AL,4,FALSE)-50))</f>
        <v>59</v>
      </c>
      <c r="F122" s="3">
        <f t="shared" si="65"/>
        <v>60</v>
      </c>
      <c r="G122" s="3">
        <v>62</v>
      </c>
      <c r="H122" s="3">
        <f t="shared" si="66"/>
        <v>63</v>
      </c>
      <c r="I122" s="3">
        <f t="shared" si="66"/>
        <v>64</v>
      </c>
      <c r="J122" s="3">
        <v>77</v>
      </c>
      <c r="K122" s="3">
        <f>VLOOKUP($A122,'NonXtal_SegEnds_BW#'!$A:$Z,8,FALSE)+VLOOKUP($A122,A:AL,10,FALSE)-50</f>
        <v>93</v>
      </c>
      <c r="L122" s="3" t="str">
        <f>IF(ISERROR(VLOOKUP($A122,'NonXtal_SegEnds_BW#'!$A:$Z,9,FALSE)+VLOOKUP($A122,A:AL,13,FALSE)-50),"-",(VLOOKUP($A122,'NonXtal_SegEnds_BW#'!$A:$Z,9,FALSE)+VLOOKUP($A122,A:AL,13,FALSE)-50))</f>
        <v>-</v>
      </c>
      <c r="M122" s="3" t="s">
        <v>129</v>
      </c>
      <c r="N122" s="3" t="str">
        <f>IF(ISERROR(VLOOKUP($A122,'NonXtal_SegEnds_BW#'!$A:$Z,10,FALSE)+VLOOKUP($A122,A:AL,13,FALSE)-50),"-",(VLOOKUP($A122,'NonXtal_SegEnds_BW#'!$A:$Z,10,FALSE)+VLOOKUP($A122,A:AL,13,FALSE)-50))</f>
        <v>-</v>
      </c>
      <c r="O122" s="3">
        <f>VLOOKUP($A122,'NonXtal_SegEnds_BW#'!$A:$Z,11,FALSE)+VLOOKUP($A122,A:AL,16,FALSE)-50</f>
        <v>101</v>
      </c>
      <c r="P122" s="3">
        <v>127</v>
      </c>
      <c r="Q122" s="3">
        <f>VLOOKUP($A122,'NonXtal_SegEnds_BW#'!$A:$Z,12,FALSE)+VLOOKUP($A122,A:AL,16,FALSE)-50</f>
        <v>133</v>
      </c>
      <c r="R122" s="3">
        <f>IF(ISERROR(VLOOKUP($A122,'NonXtal_SegEnds_BW#'!$A:$Z,13,FALSE)+VLOOKUP($A122,A:AL,19,FALSE)-50),"-",VLOOKUP($A122,'NonXtal_SegEnds_BW#'!$A:$Z,13,FALSE)+VLOOKUP($A122,A:AL,19,FALSE)-50)</f>
        <v>134</v>
      </c>
      <c r="S122" s="3">
        <v>134</v>
      </c>
      <c r="T122" s="3">
        <f>IF(ISERROR(VLOOKUP($A122,'NonXtal_SegEnds_BW#'!$A:$Z,14,FALSE)+VLOOKUP($A122,A:AL,19,FALSE)-50),"-",(VLOOKUP($A122,'NonXtal_SegEnds_BW#'!$A:$Z,14,FALSE)+VLOOKUP($A122,A:AL,19,FALSE)-50))</f>
        <v>141</v>
      </c>
      <c r="U122" s="3">
        <f>IF(ISERROR(VLOOKUP($A122,'NonXtal_SegEnds_BW#'!$A:$Z,15,FALSE)+VLOOKUP($A122,A:AL,22,FALSE)-50),"-",VLOOKUP($A122,'NonXtal_SegEnds_BW#'!$A:$Z,15,FALSE)+VLOOKUP($A122,A:AL,22,FALSE)-50)</f>
        <v>143</v>
      </c>
      <c r="V122" s="3">
        <v>154</v>
      </c>
      <c r="W122" s="3">
        <f>IF(ISERROR(VLOOKUP($A122,'NonXtal_SegEnds_BW#'!$A:$Z,16,FALSE)+VLOOKUP($A122,A:AL,22,FALSE)-50),"-",(VLOOKUP($A122,'NonXtal_SegEnds_BW#'!$A:$Z,16,FALSE)+VLOOKUP($A122,A:AL,22,FALSE)-50))</f>
        <v>168</v>
      </c>
      <c r="X122" s="3">
        <f>IF(ISERROR(VLOOKUP($A122,'NonXtal_SegEnds_BW#'!$A:$Z,17,FALSE)+VLOOKUP($A122,A:AL,25,FALSE)-50),"-",(VLOOKUP($A122,'NonXtal_SegEnds_BW#'!$A:$Z,17,FALSE)+VLOOKUP($A122,A:AL,25,FALSE)-50))</f>
        <v>175</v>
      </c>
      <c r="Y122" s="3">
        <v>175</v>
      </c>
      <c r="Z122" s="3">
        <f t="shared" si="67"/>
        <v>177</v>
      </c>
      <c r="AA122" s="3">
        <f>IF(ISERROR(VLOOKUP($A122,'NonXtal_SegEnds_BW#'!$A:$Z,19,FALSE)+VLOOKUP($A122,A:AL,28,FALSE)-50),"-",(VLOOKUP($A122,'NonXtal_SegEnds_BW#'!$A:$Z,19,FALSE)+VLOOKUP($A122,A:AL,28,FALSE)-50))</f>
        <v>184</v>
      </c>
      <c r="AB122" s="3">
        <v>203</v>
      </c>
      <c r="AC122" s="3">
        <f>IF(ISERROR((VLOOKUP($A122,'NonXtal_SegEnds_BW#'!$A:$Z,20,FALSE)+VLOOKUP($A122,A:AL,28,FALSE)-50)),"-",(VLOOKUP($A122,'NonXtal_SegEnds_BW#'!$A:$Z,20,FALSE)+VLOOKUP($A122,A:AL,28,FALSE)-50))</f>
        <v>221</v>
      </c>
      <c r="AD122" s="3">
        <f>IF(ISERROR(VLOOKUP($A122,'NonXtal_SegEnds_BW#'!$A:$Z,21,FALSE)+VLOOKUP($A122,A:AL,31,FALSE)-50),"-",(VLOOKUP($A122,'NonXtal_SegEnds_BW#'!$A:$Z,21,FALSE)+VLOOKUP($A122,A:AL,31,FALSE)-50))</f>
        <v>226</v>
      </c>
      <c r="AE122" s="3">
        <v>246</v>
      </c>
      <c r="AF122" s="3">
        <f>IF(ISERROR((VLOOKUP($A122,'NonXtal_SegEnds_BW#'!$A:$Z,22,FALSE)+VLOOKUP($A122,A:AL,31,FALSE)-50)),"-",(VLOOKUP($A122,'NonXtal_SegEnds_BW#'!$A:$Z,22,FALSE)+VLOOKUP($A122,A:AL,31,FALSE)-50))</f>
        <v>260</v>
      </c>
      <c r="AG122" s="3">
        <f>IF(ISERROR(VLOOKUP($A122,'NonXtal_SegEnds_BW#'!$A:$Z,23,FALSE)+VLOOKUP($A122,A:AL,34,FALSE)-50),"-",(VLOOKUP($A122,'NonXtal_SegEnds_BW#'!$A:$Z,23,FALSE)+VLOOKUP($A122,A:AL,34,FALSE)-50))</f>
        <v>264</v>
      </c>
      <c r="AH122" s="3">
        <v>290</v>
      </c>
      <c r="AI122" s="3">
        <f>IF(ISERROR((VLOOKUP($A122,'NonXtal_SegEnds_BW#'!$A:$Z,24,FALSE)+VLOOKUP($A122,A:AL,34,FALSE)-50)),"-",(VLOOKUP($A122,'NonXtal_SegEnds_BW#'!$A:$Z,24,FALSE)+VLOOKUP($A122,A:AL,34,FALSE)-50))</f>
        <v>296</v>
      </c>
      <c r="AJ122" s="3">
        <f>IF(ISERROR(VLOOKUP($A122,'NonXtal_SegEnds_BW#'!$A:$Z,25,FALSE)+VLOOKUP($A122,A:AL,37,FALSE)-50),"-",(VLOOKUP($A122,'NonXtal_SegEnds_BW#'!$A:$Z,25,FALSE)+VLOOKUP($A122,A:AL,37,FALSE)-50))</f>
        <v>297</v>
      </c>
      <c r="AK122" s="3">
        <v>300</v>
      </c>
      <c r="AL122" s="3">
        <f>IF(ISERROR((VLOOKUP($A122,'NonXtal_SegEnds_BW#'!$A:$Z,26,FALSE)+VLOOKUP($A122,A:AL,37,FALSE)-50)),"-",(VLOOKUP($A122,'NonXtal_SegEnds_BW#'!$A:$Z,26,FALSE)+VLOOKUP($A122,A:AL,37,FALSE)-50))</f>
        <v>309</v>
      </c>
      <c r="AM122" s="71" t="str">
        <f>VLOOKUP(A122,Classification!A:B,2,FALSE)</f>
        <v>A</v>
      </c>
      <c r="AN122" s="71" t="b">
        <f t="shared" si="36"/>
        <v>1</v>
      </c>
      <c r="AO122" s="3">
        <f t="shared" si="37"/>
        <v>1</v>
      </c>
      <c r="AP122" s="3">
        <f t="shared" si="38"/>
        <v>1</v>
      </c>
      <c r="AQ122" s="3" t="str">
        <f t="shared" si="39"/>
        <v>-</v>
      </c>
      <c r="AR122" s="3" t="str">
        <f t="shared" si="40"/>
        <v>-</v>
      </c>
      <c r="AS122" s="3">
        <f t="shared" si="41"/>
        <v>1</v>
      </c>
      <c r="AT122" s="3">
        <f t="shared" si="42"/>
        <v>2</v>
      </c>
      <c r="AU122" s="3">
        <f t="shared" si="43"/>
        <v>7</v>
      </c>
      <c r="AV122" s="3">
        <f t="shared" si="44"/>
        <v>7</v>
      </c>
      <c r="AW122" s="3">
        <f t="shared" si="45"/>
        <v>5</v>
      </c>
      <c r="AX122" s="3">
        <f t="shared" si="46"/>
        <v>4</v>
      </c>
      <c r="AY122" s="3">
        <f t="shared" si="47"/>
        <v>1</v>
      </c>
      <c r="AZ122" s="3">
        <f>IF(ISERROR(LEN(VLOOKUP(A122,Seqs!A:E,2,FALSE))-AL122),"-",LEN(VLOOKUP(A122,Seqs!A:E,2,FALSE))-AL122)</f>
        <v>46</v>
      </c>
      <c r="BA122" s="35">
        <f t="shared" si="48"/>
        <v>28</v>
      </c>
      <c r="BB122" s="3">
        <f t="shared" si="49"/>
        <v>20</v>
      </c>
      <c r="BC122" s="3">
        <f t="shared" si="50"/>
        <v>28</v>
      </c>
      <c r="BD122" s="3">
        <f t="shared" si="51"/>
        <v>43</v>
      </c>
    </row>
    <row r="123" spans="1:57" s="3" customFormat="1" x14ac:dyDescent="0.2">
      <c r="A123" s="3" t="s">
        <v>594</v>
      </c>
      <c r="B123" s="3" t="str">
        <f>LOWER(VLOOKUP(A123,Xtal_Templ!A:B,2,FALSE))</f>
        <v>ccr5_human</v>
      </c>
      <c r="C123" s="3">
        <f>VLOOKUP($A123,'NonXtal_SegEnds_BW#'!$A:$Z,3,FALSE)+D123-50</f>
        <v>26</v>
      </c>
      <c r="D123" s="3">
        <v>49</v>
      </c>
      <c r="E123" s="3">
        <f>IF(ISERROR(VLOOKUP($A123,'NonXtal_SegEnds_BW#'!$A:$Z,4,FALSE)+VLOOKUP($A123,A:AL,4,FALSE)-50),"-",(VLOOKUP($A123,'NonXtal_SegEnds_BW#'!$A:$Z,4,FALSE)+VLOOKUP($A123,A:AL,4,FALSE)-50))</f>
        <v>59</v>
      </c>
      <c r="F123" s="3">
        <f t="shared" si="65"/>
        <v>60</v>
      </c>
      <c r="G123" s="3">
        <v>62</v>
      </c>
      <c r="H123" s="3">
        <f t="shared" si="66"/>
        <v>63</v>
      </c>
      <c r="I123" s="3">
        <f t="shared" si="66"/>
        <v>64</v>
      </c>
      <c r="J123" s="3">
        <v>77</v>
      </c>
      <c r="K123" s="3">
        <f>VLOOKUP($A123,'NonXtal_SegEnds_BW#'!$A:$Z,8,FALSE)+VLOOKUP($A123,A:AL,10,FALSE)-50</f>
        <v>93</v>
      </c>
      <c r="L123" s="3">
        <f>M123-1</f>
        <v>94</v>
      </c>
      <c r="M123" s="3">
        <v>95</v>
      </c>
      <c r="N123" s="3">
        <f>M123+2</f>
        <v>97</v>
      </c>
      <c r="O123" s="3">
        <f>N123+1</f>
        <v>98</v>
      </c>
      <c r="P123" s="3">
        <v>127</v>
      </c>
      <c r="Q123" s="3">
        <f>VLOOKUP($A123,'NonXtal_SegEnds_BW#'!$A:$Z,12,FALSE)+VLOOKUP($A123,A:AL,16,FALSE)-50</f>
        <v>133</v>
      </c>
      <c r="R123" s="3">
        <f>IF(ISERROR(VLOOKUP($A123,'NonXtal_SegEnds_BW#'!$A:$Z,13,FALSE)+VLOOKUP($A123,A:AL,19,FALSE)-50),"-",VLOOKUP($A123,'NonXtal_SegEnds_BW#'!$A:$Z,13,FALSE)+VLOOKUP($A123,A:AL,19,FALSE)-50)</f>
        <v>134</v>
      </c>
      <c r="S123" s="3">
        <v>134</v>
      </c>
      <c r="T123" s="3">
        <f>IF(ISERROR(VLOOKUP($A123,'NonXtal_SegEnds_BW#'!$A:$Z,14,FALSE)+VLOOKUP($A123,A:AL,19,FALSE)-50),"-",(VLOOKUP($A123,'NonXtal_SegEnds_BW#'!$A:$Z,14,FALSE)+VLOOKUP($A123,A:AL,19,FALSE)-50))</f>
        <v>141</v>
      </c>
      <c r="U123" s="3">
        <f>IF(ISERROR(VLOOKUP($A123,'NonXtal_SegEnds_BW#'!$A:$Z,15,FALSE)+VLOOKUP($A123,A:AL,22,FALSE)-50),"-",VLOOKUP($A123,'NonXtal_SegEnds_BW#'!$A:$Z,15,FALSE)+VLOOKUP($A123,A:AL,22,FALSE)-50)</f>
        <v>143</v>
      </c>
      <c r="V123" s="3">
        <v>154</v>
      </c>
      <c r="W123" s="3">
        <f>IF(ISERROR(VLOOKUP($A123,'NonXtal_SegEnds_BW#'!$A:$Z,16,FALSE)+VLOOKUP($A123,A:AL,22,FALSE)-50),"-",(VLOOKUP($A123,'NonXtal_SegEnds_BW#'!$A:$Z,16,FALSE)+VLOOKUP($A123,A:AL,22,FALSE)-50))</f>
        <v>168</v>
      </c>
      <c r="X123" s="3">
        <f>IF(ISERROR(VLOOKUP($A123,'NonXtal_SegEnds_BW#'!$A:$Z,17,FALSE)+VLOOKUP($A123,A:AL,25,FALSE)-50),"-",(VLOOKUP($A123,'NonXtal_SegEnds_BW#'!$A:$Z,17,FALSE)+VLOOKUP($A123,A:AL,25,FALSE)-50))</f>
        <v>175</v>
      </c>
      <c r="Y123" s="3">
        <v>175</v>
      </c>
      <c r="Z123" s="3">
        <f t="shared" si="67"/>
        <v>177</v>
      </c>
      <c r="AA123" s="3">
        <f>IF(ISERROR(VLOOKUP($A123,'NonXtal_SegEnds_BW#'!$A:$Z,19,FALSE)+VLOOKUP($A123,A:AL,28,FALSE)-50),"-",(VLOOKUP($A123,'NonXtal_SegEnds_BW#'!$A:$Z,19,FALSE)+VLOOKUP($A123,A:AL,28,FALSE)-50))</f>
        <v>182</v>
      </c>
      <c r="AB123" s="3">
        <v>197</v>
      </c>
      <c r="AC123" s="3">
        <f>IF(ISERROR((VLOOKUP($A123,'NonXtal_SegEnds_BW#'!$A:$Z,20,FALSE)+VLOOKUP($A123,A:AL,28,FALSE)-50)),"-",(VLOOKUP($A123,'NonXtal_SegEnds_BW#'!$A:$Z,20,FALSE)+VLOOKUP($A123,A:AL,28,FALSE)-50))</f>
        <v>215</v>
      </c>
      <c r="AD123" s="3">
        <f>IF(ISERROR(VLOOKUP($A123,'NonXtal_SegEnds_BW#'!$A:$Z,21,FALSE)+VLOOKUP($A123,A:AL,31,FALSE)-50),"-",(VLOOKUP($A123,'NonXtal_SegEnds_BW#'!$A:$Z,21,FALSE)+VLOOKUP($A123,A:AL,31,FALSE)-50))</f>
        <v>220</v>
      </c>
      <c r="AE123" s="3">
        <v>240</v>
      </c>
      <c r="AF123" s="3">
        <f>IF(ISERROR((VLOOKUP($A123,'NonXtal_SegEnds_BW#'!$A:$Z,22,FALSE)+VLOOKUP($A123,A:AL,31,FALSE)-50)),"-",(VLOOKUP($A123,'NonXtal_SegEnds_BW#'!$A:$Z,22,FALSE)+VLOOKUP($A123,A:AL,31,FALSE)-50))</f>
        <v>254</v>
      </c>
      <c r="AG123" s="3">
        <f>IF(ISERROR(VLOOKUP($A123,'NonXtal_SegEnds_BW#'!$A:$Z,23,FALSE)+VLOOKUP($A123,A:AL,34,FALSE)-50),"-",(VLOOKUP($A123,'NonXtal_SegEnds_BW#'!$A:$Z,23,FALSE)+VLOOKUP($A123,A:AL,34,FALSE)-50))</f>
        <v>258</v>
      </c>
      <c r="AH123" s="3">
        <v>284</v>
      </c>
      <c r="AI123" s="3">
        <f>IF(ISERROR((VLOOKUP($A123,'NonXtal_SegEnds_BW#'!$A:$Z,24,FALSE)+VLOOKUP($A123,A:AL,34,FALSE)-50)),"-",(VLOOKUP($A123,'NonXtal_SegEnds_BW#'!$A:$Z,24,FALSE)+VLOOKUP($A123,A:AL,34,FALSE)-50))</f>
        <v>290</v>
      </c>
      <c r="AJ123" s="3">
        <f>IF(ISERROR(VLOOKUP($A123,'NonXtal_SegEnds_BW#'!$A:$Z,25,FALSE)+VLOOKUP($A123,A:AL,37,FALSE)-50),"-",(VLOOKUP($A123,'NonXtal_SegEnds_BW#'!$A:$Z,25,FALSE)+VLOOKUP($A123,A:AL,37,FALSE)-50))</f>
        <v>291</v>
      </c>
      <c r="AK123" s="3">
        <v>294</v>
      </c>
      <c r="AL123" s="3">
        <f>IF(ISERROR((VLOOKUP($A123,'NonXtal_SegEnds_BW#'!$A:$Z,26,FALSE)+VLOOKUP($A123,A:AL,37,FALSE)-50)),"-",(VLOOKUP($A123,'NonXtal_SegEnds_BW#'!$A:$Z,26,FALSE)+VLOOKUP($A123,A:AL,37,FALSE)-50))</f>
        <v>303</v>
      </c>
      <c r="AM123" s="71" t="str">
        <f>VLOOKUP(A123,Classification!A:B,2,FALSE)</f>
        <v>A</v>
      </c>
      <c r="AN123" s="71" t="b">
        <f t="shared" si="36"/>
        <v>1</v>
      </c>
      <c r="AO123" s="3">
        <f t="shared" si="37"/>
        <v>1</v>
      </c>
      <c r="AP123" s="3">
        <f t="shared" si="38"/>
        <v>1</v>
      </c>
      <c r="AQ123" s="3">
        <f t="shared" si="39"/>
        <v>1</v>
      </c>
      <c r="AR123" s="3">
        <f t="shared" si="40"/>
        <v>1</v>
      </c>
      <c r="AS123" s="3">
        <f t="shared" si="41"/>
        <v>1</v>
      </c>
      <c r="AT123" s="3">
        <f t="shared" si="42"/>
        <v>2</v>
      </c>
      <c r="AU123" s="3">
        <f t="shared" si="43"/>
        <v>7</v>
      </c>
      <c r="AV123" s="3">
        <f t="shared" si="44"/>
        <v>5</v>
      </c>
      <c r="AW123" s="3">
        <f t="shared" si="45"/>
        <v>5</v>
      </c>
      <c r="AX123" s="3">
        <f t="shared" si="46"/>
        <v>4</v>
      </c>
      <c r="AY123" s="3">
        <f t="shared" si="47"/>
        <v>1</v>
      </c>
      <c r="AZ123" s="3">
        <f>IF(ISERROR(LEN(VLOOKUP(A123,Seqs!A:E,2,FALSE))-AL123),"-",LEN(VLOOKUP(A123,Seqs!A:E,2,FALSE))-AL123)</f>
        <v>30</v>
      </c>
      <c r="BA123" s="35">
        <f t="shared" si="48"/>
        <v>28</v>
      </c>
      <c r="BB123" s="3">
        <f t="shared" si="49"/>
        <v>20</v>
      </c>
      <c r="BC123" s="3">
        <f t="shared" si="50"/>
        <v>28</v>
      </c>
      <c r="BD123" s="3">
        <f t="shared" si="51"/>
        <v>43</v>
      </c>
    </row>
    <row r="124" spans="1:57" s="3" customFormat="1" x14ac:dyDescent="0.2">
      <c r="A124" s="3" t="s">
        <v>637</v>
      </c>
      <c r="B124" s="3" t="str">
        <f>LOWER(VLOOKUP(A124,Xtal_Templ!A:B,2,FALSE))</f>
        <v>crfr1_human</v>
      </c>
      <c r="C124" s="3">
        <f>VLOOKUP($A124,'NonXtal_SegEnds_BW#'!$A:$Z,3,FALSE)+D124-50</f>
        <v>5895</v>
      </c>
      <c r="D124" s="3">
        <v>5922</v>
      </c>
      <c r="E124" s="3">
        <f>IF(ISERROR(VLOOKUP($A124,'NonXtal_SegEnds_BW#'!$A:$Z,4,FALSE)+VLOOKUP($A124,A:AL,4,FALSE)-50),"-",(VLOOKUP($A124,'NonXtal_SegEnds_BW#'!$A:$Z,4,FALSE)+VLOOKUP($A124,A:AL,4,FALSE)-50))</f>
        <v>5932</v>
      </c>
      <c r="F124" s="3" t="s">
        <v>129</v>
      </c>
      <c r="G124" s="3" t="s">
        <v>129</v>
      </c>
      <c r="H124" s="3" t="s">
        <v>129</v>
      </c>
      <c r="I124" s="3">
        <f>VLOOKUP($A124,'NonXtal_SegEnds_BW#'!$A:$Z,7,FALSE)+J124-50</f>
        <v>5935</v>
      </c>
      <c r="J124" s="3">
        <v>5948</v>
      </c>
      <c r="K124" s="3">
        <f>VLOOKUP($A124,'NonXtal_SegEnds_BW#'!$A:$Z,8,FALSE)+VLOOKUP($A124,A:AL,10,FALSE)-50</f>
        <v>5961</v>
      </c>
      <c r="L124" s="3" t="str">
        <f>IF(ISERROR(VLOOKUP($A124,'NonXtal_SegEnds_BW#'!$A:$Z,9,FALSE)+VLOOKUP($A124,A:AL,13,FALSE)-50),"-",(VLOOKUP($A124,'NonXtal_SegEnds_BW#'!$A:$Z,9,FALSE)+VLOOKUP($A124,A:AL,13,FALSE)-50))</f>
        <v>-</v>
      </c>
      <c r="M124" s="3" t="s">
        <v>129</v>
      </c>
      <c r="N124" s="3" t="str">
        <f>IF(ISERROR(VLOOKUP($A124,'NonXtal_SegEnds_BW#'!$A:$Z,10,FALSE)+VLOOKUP($A124,A:AL,13,FALSE)-50),"-",(VLOOKUP($A124,'NonXtal_SegEnds_BW#'!$A:$Z,10,FALSE)+VLOOKUP($A124,A:AL,13,FALSE)-50))</f>
        <v>-</v>
      </c>
      <c r="O124" s="3">
        <f>VLOOKUP($A124,'NonXtal_SegEnds_BW#'!$A:$Z,11,FALSE)+VLOOKUP($A124,A:AL,16,FALSE)-50</f>
        <v>5968</v>
      </c>
      <c r="P124" s="3">
        <v>5995</v>
      </c>
      <c r="Q124" s="3">
        <f>VLOOKUP($A124,'NonXtal_SegEnds_BW#'!$A:$Z,12,FALSE)+VLOOKUP($A124,A:AL,16,FALSE)-50</f>
        <v>6001</v>
      </c>
      <c r="R124" s="3" t="str">
        <f>IF(ISERROR(VLOOKUP($A124,'NonXtal_SegEnds_BW#'!$A:$Z,13,FALSE)+VLOOKUP($A124,A:AL,19,FALSE)-50),"-",VLOOKUP($A124,'NonXtal_SegEnds_BW#'!$A:$Z,13,FALSE)+VLOOKUP($A124,A:AL,19,FALSE)-50)</f>
        <v>-</v>
      </c>
      <c r="S124" s="3" t="s">
        <v>129</v>
      </c>
      <c r="T124" s="3" t="str">
        <f>IF(ISERROR(VLOOKUP($A124,'NonXtal_SegEnds_BW#'!$A:$Z,14,FALSE)+VLOOKUP($A124,A:AL,19,FALSE)-50),"-",(VLOOKUP($A124,'NonXtal_SegEnds_BW#'!$A:$Z,14,FALSE)+VLOOKUP($A124,A:AL,19,FALSE)-50))</f>
        <v>-</v>
      </c>
      <c r="U124" s="3">
        <f>IF(ISERROR(VLOOKUP($A124,'NonXtal_SegEnds_BW#'!$A:$Z,15,FALSE)+VLOOKUP($A124,A:AL,22,FALSE)-50),"-",VLOOKUP($A124,'NonXtal_SegEnds_BW#'!$A:$Z,15,FALSE)+VLOOKUP($A124,A:AL,22,FALSE)-50)</f>
        <v>6008</v>
      </c>
      <c r="V124" s="3">
        <v>6018</v>
      </c>
      <c r="W124" s="3">
        <f>IF(ISERROR(VLOOKUP($A124,'NonXtal_SegEnds_BW#'!$A:$Z,16,FALSE)+VLOOKUP($A124,A:AL,22,FALSE)-50),"-",(VLOOKUP($A124,'NonXtal_SegEnds_BW#'!$A:$Z,16,FALSE)+VLOOKUP($A124,A:AL,22,FALSE)-50))</f>
        <v>6036</v>
      </c>
      <c r="X124" s="3">
        <f>IF(ISERROR(VLOOKUP($A124,'NonXtal_SegEnds_BW#'!$A:$Z,17,FALSE)+VLOOKUP($A124,A:AL,25,FALSE)-50),"-",(VLOOKUP($A124,'NonXtal_SegEnds_BW#'!$A:$Z,17,FALSE)+VLOOKUP($A124,A:AL,25,FALSE)-50))</f>
        <v>6052</v>
      </c>
      <c r="Y124" s="3">
        <v>6052</v>
      </c>
      <c r="Z124" s="3">
        <f t="shared" si="67"/>
        <v>6054</v>
      </c>
      <c r="AA124" s="3">
        <f>IF(ISERROR(VLOOKUP($A124,'NonXtal_SegEnds_BW#'!$A:$Z,19,FALSE)+VLOOKUP($A124,A:AL,28,FALSE)-50),"-",(VLOOKUP($A124,'NonXtal_SegEnds_BW#'!$A:$Z,19,FALSE)+VLOOKUP($A124,A:AL,28,FALSE)-50))</f>
        <v>6058</v>
      </c>
      <c r="AB124" s="3">
        <v>6072</v>
      </c>
      <c r="AC124" s="3">
        <f>IF(ISERROR((VLOOKUP($A124,'NonXtal_SegEnds_BW#'!$A:$Z,20,FALSE)+VLOOKUP($A124,A:AL,28,FALSE)-50)),"-",(VLOOKUP($A124,'NonXtal_SegEnds_BW#'!$A:$Z,20,FALSE)+VLOOKUP($A124,A:AL,28,FALSE)-50))</f>
        <v>6091</v>
      </c>
      <c r="AD124" s="3">
        <f>IF(ISERROR(VLOOKUP($A124,'NonXtal_SegEnds_BW#'!$A:$Z,21,FALSE)+VLOOKUP($A124,A:AL,31,FALSE)-50),"-",(VLOOKUP($A124,'NonXtal_SegEnds_BW#'!$A:$Z,21,FALSE)+VLOOKUP($A124,A:AL,31,FALSE)-50))</f>
        <v>6100</v>
      </c>
      <c r="AE124" s="3">
        <v>6121</v>
      </c>
      <c r="AF124" s="3">
        <f>IF(ISERROR((VLOOKUP($A124,'NonXtal_SegEnds_BW#'!$A:$Z,22,FALSE)+VLOOKUP($A124,A:AL,31,FALSE)-50)),"-",(VLOOKUP($A124,'NonXtal_SegEnds_BW#'!$A:$Z,22,FALSE)+VLOOKUP($A124,A:AL,31,FALSE)-50))</f>
        <v>6124</v>
      </c>
      <c r="AG124" s="3">
        <f>IF(ISERROR(VLOOKUP($A124,'NonXtal_SegEnds_BW#'!$A:$Z,23,FALSE)+VLOOKUP($A124,A:AL,34,FALSE)-50),"-",(VLOOKUP($A124,'NonXtal_SegEnds_BW#'!$A:$Z,23,FALSE)+VLOOKUP($A124,A:AL,34,FALSE)-50))</f>
        <v>6130</v>
      </c>
      <c r="AH124" s="3">
        <v>6149</v>
      </c>
      <c r="AI124" s="3">
        <f>IF(ISERROR((VLOOKUP($A124,'NonXtal_SegEnds_BW#'!$A:$Z,24,FALSE)+VLOOKUP($A124,A:AL,34,FALSE)-50)),"-",(VLOOKUP($A124,'NonXtal_SegEnds_BW#'!$A:$Z,24,FALSE)+VLOOKUP($A124,A:AL,34,FALSE)-50))</f>
        <v>6155</v>
      </c>
      <c r="AJ124" s="3">
        <f>IF(ISERROR(VLOOKUP($A124,'NonXtal_SegEnds_BW#'!$A:$Z,25,FALSE)+VLOOKUP($A124,A:AL,37,FALSE)-50),"-",(VLOOKUP($A124,'NonXtal_SegEnds_BW#'!$A:$Z,25,FALSE)+VLOOKUP($A124,A:AL,37,FALSE)-50))</f>
        <v>6156</v>
      </c>
      <c r="AK124" s="3">
        <v>6159</v>
      </c>
      <c r="AL124" s="3">
        <f>IF(ISERROR((VLOOKUP($A124,'NonXtal_SegEnds_BW#'!$A:$Z,26,FALSE)+VLOOKUP($A124,A:AL,37,FALSE)-50)),"-",(VLOOKUP($A124,'NonXtal_SegEnds_BW#'!$A:$Z,26,FALSE)+VLOOKUP($A124,A:AL,37,FALSE)-50))</f>
        <v>6172</v>
      </c>
      <c r="AM124" s="71" t="str">
        <f>VLOOKUP(A124,Classification!A:B,2,FALSE)</f>
        <v>B2</v>
      </c>
      <c r="AN124" s="71" t="b">
        <f t="shared" si="36"/>
        <v>1</v>
      </c>
      <c r="AO124" s="3" t="str">
        <f t="shared" si="37"/>
        <v>-</v>
      </c>
      <c r="AP124" s="3" t="str">
        <f t="shared" si="38"/>
        <v>-</v>
      </c>
      <c r="AQ124" s="3" t="str">
        <f t="shared" si="39"/>
        <v>-</v>
      </c>
      <c r="AR124" s="3" t="str">
        <f t="shared" si="40"/>
        <v>-</v>
      </c>
      <c r="AS124" s="3" t="str">
        <f t="shared" si="41"/>
        <v>-</v>
      </c>
      <c r="AT124" s="3" t="str">
        <f t="shared" si="42"/>
        <v>-</v>
      </c>
      <c r="AU124" s="3">
        <f t="shared" si="43"/>
        <v>16</v>
      </c>
      <c r="AV124" s="3">
        <f t="shared" si="44"/>
        <v>4</v>
      </c>
      <c r="AW124" s="3">
        <f t="shared" si="45"/>
        <v>9</v>
      </c>
      <c r="AX124" s="3">
        <f t="shared" si="46"/>
        <v>6</v>
      </c>
      <c r="AY124" s="3">
        <f t="shared" si="47"/>
        <v>1</v>
      </c>
      <c r="AZ124" s="3">
        <f>IF(ISERROR(LEN(VLOOKUP(A124,Seqs!A:E,2,FALSE))-AL124),"-",LEN(VLOOKUP(A124,Seqs!A:E,2,FALSE))-AL124)</f>
        <v>134</v>
      </c>
      <c r="BA124" s="35">
        <f t="shared" si="48"/>
        <v>26</v>
      </c>
      <c r="BB124" s="3" t="str">
        <f t="shared" si="49"/>
        <v>-</v>
      </c>
      <c r="BC124" s="3">
        <f t="shared" si="50"/>
        <v>26</v>
      </c>
      <c r="BD124" s="3">
        <f t="shared" si="51"/>
        <v>49</v>
      </c>
    </row>
    <row r="125" spans="1:57" s="3" customFormat="1" x14ac:dyDescent="0.2">
      <c r="A125" s="3" t="s">
        <v>1415</v>
      </c>
      <c r="B125" s="3" t="str">
        <f>LOWER(VLOOKUP(A125,Xtal_Templ!A:B,2,FALSE))</f>
        <v>crfr1_human</v>
      </c>
      <c r="C125" s="3">
        <f>VLOOKUP($A125,'NonXtal_SegEnds_BW#'!$A:$Z,3,FALSE)+D125-50</f>
        <v>2731</v>
      </c>
      <c r="D125" s="3">
        <v>2758</v>
      </c>
      <c r="E125" s="3">
        <f>IF(ISERROR(VLOOKUP($A125,'NonXtal_SegEnds_BW#'!$A:$Z,4,FALSE)+VLOOKUP($A125,A:AL,4,FALSE)-50),"-",(VLOOKUP($A125,'NonXtal_SegEnds_BW#'!$A:$Z,4,FALSE)+VLOOKUP($A125,A:AL,4,FALSE)-50))</f>
        <v>2768</v>
      </c>
      <c r="F125" s="3" t="s">
        <v>129</v>
      </c>
      <c r="G125" s="3" t="s">
        <v>129</v>
      </c>
      <c r="H125" s="3" t="s">
        <v>129</v>
      </c>
      <c r="I125" s="3">
        <f>VLOOKUP($A125,'NonXtal_SegEnds_BW#'!$A:$Z,7,FALSE)+J125-50</f>
        <v>2774</v>
      </c>
      <c r="J125" s="3">
        <v>2787</v>
      </c>
      <c r="K125" s="3">
        <f>VLOOKUP($A125,'NonXtal_SegEnds_BW#'!$A:$Z,8,FALSE)+VLOOKUP($A125,A:AL,10,FALSE)-50</f>
        <v>2800</v>
      </c>
      <c r="L125" s="3" t="str">
        <f>IF(ISERROR(VLOOKUP($A125,'NonXtal_SegEnds_BW#'!$A:$Z,9,FALSE)+VLOOKUP($A125,A:AL,13,FALSE)-50),"-",(VLOOKUP($A125,'NonXtal_SegEnds_BW#'!$A:$Z,9,FALSE)+VLOOKUP($A125,A:AL,13,FALSE)-50))</f>
        <v>-</v>
      </c>
      <c r="M125" s="3" t="s">
        <v>129</v>
      </c>
      <c r="N125" s="3" t="str">
        <f>IF(ISERROR(VLOOKUP($A125,'NonXtal_SegEnds_BW#'!$A:$Z,10,FALSE)+VLOOKUP($A125,A:AL,13,FALSE)-50),"-",(VLOOKUP($A125,'NonXtal_SegEnds_BW#'!$A:$Z,10,FALSE)+VLOOKUP($A125,A:AL,13,FALSE)-50))</f>
        <v>-</v>
      </c>
      <c r="O125" s="3">
        <f>VLOOKUP($A125,'NonXtal_SegEnds_BW#'!$A:$Z,11,FALSE)+VLOOKUP($A125,A:AL,16,FALSE)-50</f>
        <v>2807</v>
      </c>
      <c r="P125" s="3">
        <v>2834</v>
      </c>
      <c r="Q125" s="3">
        <f>VLOOKUP($A125,'NonXtal_SegEnds_BW#'!$A:$Z,12,FALSE)+VLOOKUP($A125,A:AL,16,FALSE)-50</f>
        <v>2840</v>
      </c>
      <c r="R125" s="3" t="str">
        <f>IF(ISERROR(VLOOKUP($A125,'NonXtal_SegEnds_BW#'!$A:$Z,13,FALSE)+VLOOKUP($A125,A:AL,19,FALSE)-50),"-",VLOOKUP($A125,'NonXtal_SegEnds_BW#'!$A:$Z,13,FALSE)+VLOOKUP($A125,A:AL,19,FALSE)-50)</f>
        <v>-</v>
      </c>
      <c r="S125" s="3" t="s">
        <v>129</v>
      </c>
      <c r="T125" s="3" t="str">
        <f>IF(ISERROR(VLOOKUP($A125,'NonXtal_SegEnds_BW#'!$A:$Z,14,FALSE)+VLOOKUP($A125,A:AL,19,FALSE)-50),"-",(VLOOKUP($A125,'NonXtal_SegEnds_BW#'!$A:$Z,14,FALSE)+VLOOKUP($A125,A:AL,19,FALSE)-50))</f>
        <v>-</v>
      </c>
      <c r="U125" s="3">
        <f>IF(ISERROR(VLOOKUP($A125,'NonXtal_SegEnds_BW#'!$A:$Z,15,FALSE)+VLOOKUP($A125,A:AL,22,FALSE)-50),"-",VLOOKUP($A125,'NonXtal_SegEnds_BW#'!$A:$Z,15,FALSE)+VLOOKUP($A125,A:AL,22,FALSE)-50)</f>
        <v>2848</v>
      </c>
      <c r="V125" s="3">
        <v>2858</v>
      </c>
      <c r="W125" s="3">
        <f>IF(ISERROR(VLOOKUP($A125,'NonXtal_SegEnds_BW#'!$A:$Z,16,FALSE)+VLOOKUP($A125,A:AL,22,FALSE)-50),"-",(VLOOKUP($A125,'NonXtal_SegEnds_BW#'!$A:$Z,16,FALSE)+VLOOKUP($A125,A:AL,22,FALSE)-50))</f>
        <v>2876</v>
      </c>
      <c r="X125" s="3">
        <f>IF(ISERROR(VLOOKUP($A125,'NonXtal_SegEnds_BW#'!$A:$Z,17,FALSE)+VLOOKUP($A125,A:AL,25,FALSE)-50),"-",(VLOOKUP($A125,'NonXtal_SegEnds_BW#'!$A:$Z,17,FALSE)+VLOOKUP($A125,A:AL,25,FALSE)-50))</f>
        <v>2886</v>
      </c>
      <c r="Y125" s="3">
        <v>2886</v>
      </c>
      <c r="Z125" s="3">
        <f t="shared" si="67"/>
        <v>2888</v>
      </c>
      <c r="AA125" s="3">
        <f>IF(ISERROR(VLOOKUP($A125,'NonXtal_SegEnds_BW#'!$A:$Z,19,FALSE)+VLOOKUP($A125,A:AL,28,FALSE)-50),"-",(VLOOKUP($A125,'NonXtal_SegEnds_BW#'!$A:$Z,19,FALSE)+VLOOKUP($A125,A:AL,28,FALSE)-50))</f>
        <v>2891</v>
      </c>
      <c r="AB125" s="3">
        <v>2905</v>
      </c>
      <c r="AC125" s="3">
        <f>IF(ISERROR((VLOOKUP($A125,'NonXtal_SegEnds_BW#'!$A:$Z,20,FALSE)+VLOOKUP($A125,A:AL,28,FALSE)-50)),"-",(VLOOKUP($A125,'NonXtal_SegEnds_BW#'!$A:$Z,20,FALSE)+VLOOKUP($A125,A:AL,28,FALSE)-50))</f>
        <v>2924</v>
      </c>
      <c r="AD125" s="3">
        <f>IF(ISERROR(VLOOKUP($A125,'NonXtal_SegEnds_BW#'!$A:$Z,21,FALSE)+VLOOKUP($A125,A:AL,31,FALSE)-50),"-",(VLOOKUP($A125,'NonXtal_SegEnds_BW#'!$A:$Z,21,FALSE)+VLOOKUP($A125,A:AL,31,FALSE)-50))</f>
        <v>2934</v>
      </c>
      <c r="AE125" s="3">
        <v>2955</v>
      </c>
      <c r="AF125" s="3">
        <f>IF(ISERROR((VLOOKUP($A125,'NonXtal_SegEnds_BW#'!$A:$Z,22,FALSE)+VLOOKUP($A125,A:AL,31,FALSE)-50)),"-",(VLOOKUP($A125,'NonXtal_SegEnds_BW#'!$A:$Z,22,FALSE)+VLOOKUP($A125,A:AL,31,FALSE)-50))</f>
        <v>2958</v>
      </c>
      <c r="AG125" s="3">
        <f>IF(ISERROR(VLOOKUP($A125,'NonXtal_SegEnds_BW#'!$A:$Z,23,FALSE)+VLOOKUP($A125,A:AL,34,FALSE)-50),"-",(VLOOKUP($A125,'NonXtal_SegEnds_BW#'!$A:$Z,23,FALSE)+VLOOKUP($A125,A:AL,34,FALSE)-50))</f>
        <v>2964</v>
      </c>
      <c r="AH125" s="3">
        <v>2983</v>
      </c>
      <c r="AI125" s="3">
        <f>IF(ISERROR((VLOOKUP($A125,'NonXtal_SegEnds_BW#'!$A:$Z,24,FALSE)+VLOOKUP($A125,A:AL,34,FALSE)-50)),"-",(VLOOKUP($A125,'NonXtal_SegEnds_BW#'!$A:$Z,24,FALSE)+VLOOKUP($A125,A:AL,34,FALSE)-50))</f>
        <v>2989</v>
      </c>
      <c r="AJ125" s="3">
        <f>IF(ISERROR(VLOOKUP($A125,'NonXtal_SegEnds_BW#'!$A:$Z,25,FALSE)+VLOOKUP($A125,A:AL,37,FALSE)-50),"-",(VLOOKUP($A125,'NonXtal_SegEnds_BW#'!$A:$Z,25,FALSE)+VLOOKUP($A125,A:AL,37,FALSE)-50))</f>
        <v>2990</v>
      </c>
      <c r="AK125" s="3">
        <v>2993</v>
      </c>
      <c r="AL125" s="3">
        <f>IF(ISERROR((VLOOKUP($A125,'NonXtal_SegEnds_BW#'!$A:$Z,26,FALSE)+VLOOKUP($A125,A:AL,37,FALSE)-50)),"-",(VLOOKUP($A125,'NonXtal_SegEnds_BW#'!$A:$Z,26,FALSE)+VLOOKUP($A125,A:AL,37,FALSE)-50))</f>
        <v>3006</v>
      </c>
      <c r="AM125" s="71" t="str">
        <f>VLOOKUP(A125,Classification!A:B,2,FALSE)</f>
        <v>B2</v>
      </c>
      <c r="AN125" s="71" t="b">
        <f t="shared" si="36"/>
        <v>1</v>
      </c>
      <c r="AO125" s="3" t="str">
        <f t="shared" si="37"/>
        <v>-</v>
      </c>
      <c r="AP125" s="3" t="str">
        <f t="shared" si="38"/>
        <v>-</v>
      </c>
      <c r="AQ125" s="3" t="str">
        <f t="shared" si="39"/>
        <v>-</v>
      </c>
      <c r="AR125" s="3" t="str">
        <f t="shared" si="40"/>
        <v>-</v>
      </c>
      <c r="AS125" s="3" t="str">
        <f t="shared" si="41"/>
        <v>-</v>
      </c>
      <c r="AT125" s="3" t="str">
        <f t="shared" si="42"/>
        <v>-</v>
      </c>
      <c r="AU125" s="3">
        <f t="shared" si="43"/>
        <v>10</v>
      </c>
      <c r="AV125" s="3">
        <f t="shared" si="44"/>
        <v>3</v>
      </c>
      <c r="AW125" s="3">
        <f t="shared" si="45"/>
        <v>10</v>
      </c>
      <c r="AX125" s="3">
        <f t="shared" si="46"/>
        <v>6</v>
      </c>
      <c r="AY125" s="3">
        <f t="shared" si="47"/>
        <v>1</v>
      </c>
      <c r="AZ125" s="3">
        <f>IF(ISERROR(LEN(VLOOKUP(A125,Seqs!A:E,2,FALSE))-AL125),"-",LEN(VLOOKUP(A125,Seqs!A:E,2,FALSE))-AL125)</f>
        <v>74</v>
      </c>
      <c r="BA125" s="35">
        <f t="shared" si="48"/>
        <v>29</v>
      </c>
      <c r="BB125" s="3" t="str">
        <f t="shared" si="49"/>
        <v>-</v>
      </c>
      <c r="BC125" s="3">
        <f t="shared" si="50"/>
        <v>29</v>
      </c>
      <c r="BD125" s="3">
        <f t="shared" si="51"/>
        <v>50</v>
      </c>
    </row>
    <row r="126" spans="1:57" s="3" customFormat="1" x14ac:dyDescent="0.2">
      <c r="A126" s="3" t="s">
        <v>612</v>
      </c>
      <c r="B126" s="3" t="str">
        <f>LOWER(VLOOKUP(A126,Xtal_Templ!A:B,2,FALSE))</f>
        <v>crfr1_human</v>
      </c>
      <c r="C126" s="3">
        <f>VLOOKUP($A126,'NonXtal_SegEnds_BW#'!$A:$Z,3,FALSE)+D126-50</f>
        <v>2456</v>
      </c>
      <c r="D126" s="3">
        <v>2483</v>
      </c>
      <c r="E126" s="3">
        <f>IF(ISERROR(VLOOKUP($A126,'NonXtal_SegEnds_BW#'!$A:$Z,4,FALSE)+VLOOKUP($A126,A:AL,4,FALSE)-50),"-",(VLOOKUP($A126,'NonXtal_SegEnds_BW#'!$A:$Z,4,FALSE)+VLOOKUP($A126,A:AL,4,FALSE)-50))</f>
        <v>2493</v>
      </c>
      <c r="F126" s="3">
        <f>G126-2</f>
        <v>2494</v>
      </c>
      <c r="G126" s="3">
        <v>2496</v>
      </c>
      <c r="H126" s="3">
        <f t="shared" ref="H126:I128" si="68">G126+1</f>
        <v>2497</v>
      </c>
      <c r="I126" s="3">
        <f t="shared" si="68"/>
        <v>2498</v>
      </c>
      <c r="J126" s="3">
        <v>2511</v>
      </c>
      <c r="K126" s="3">
        <f>VLOOKUP($A126,'NonXtal_SegEnds_BW#'!$A:$Z,8,FALSE)+VLOOKUP($A126,A:AL,10,FALSE)-50</f>
        <v>2524</v>
      </c>
      <c r="L126" s="3" t="str">
        <f>IF(ISERROR(VLOOKUP($A126,'NonXtal_SegEnds_BW#'!$A:$Z,9,FALSE)+VLOOKUP($A126,A:AL,13,FALSE)-50),"-",(VLOOKUP($A126,'NonXtal_SegEnds_BW#'!$A:$Z,9,FALSE)+VLOOKUP($A126,A:AL,13,FALSE)-50))</f>
        <v>-</v>
      </c>
      <c r="M126" s="3" t="s">
        <v>129</v>
      </c>
      <c r="N126" s="3" t="str">
        <f>IF(ISERROR(VLOOKUP($A126,'NonXtal_SegEnds_BW#'!$A:$Z,10,FALSE)+VLOOKUP($A126,A:AL,13,FALSE)-50),"-",(VLOOKUP($A126,'NonXtal_SegEnds_BW#'!$A:$Z,10,FALSE)+VLOOKUP($A126,A:AL,13,FALSE)-50))</f>
        <v>-</v>
      </c>
      <c r="O126" s="3">
        <f>VLOOKUP($A126,'NonXtal_SegEnds_BW#'!$A:$Z,11,FALSE)+VLOOKUP($A126,A:AL,16,FALSE)-50</f>
        <v>2529</v>
      </c>
      <c r="P126" s="3">
        <v>2556</v>
      </c>
      <c r="Q126" s="3">
        <f>VLOOKUP($A126,'NonXtal_SegEnds_BW#'!$A:$Z,12,FALSE)+VLOOKUP($A126,A:AL,16,FALSE)-50</f>
        <v>2562</v>
      </c>
      <c r="R126" s="3" t="str">
        <f>IF(ISERROR(VLOOKUP($A126,'NonXtal_SegEnds_BW#'!$A:$Z,13,FALSE)+VLOOKUP($A126,A:AL,19,FALSE)-50),"-",VLOOKUP($A126,'NonXtal_SegEnds_BW#'!$A:$Z,13,FALSE)+VLOOKUP($A126,A:AL,19,FALSE)-50)</f>
        <v>-</v>
      </c>
      <c r="S126" s="3" t="s">
        <v>129</v>
      </c>
      <c r="T126" s="3" t="str">
        <f>IF(ISERROR(VLOOKUP($A126,'NonXtal_SegEnds_BW#'!$A:$Z,14,FALSE)+VLOOKUP($A126,A:AL,19,FALSE)-50),"-",(VLOOKUP($A126,'NonXtal_SegEnds_BW#'!$A:$Z,14,FALSE)+VLOOKUP($A126,A:AL,19,FALSE)-50))</f>
        <v>-</v>
      </c>
      <c r="U126" s="3">
        <f>IF(ISERROR(VLOOKUP($A126,'NonXtal_SegEnds_BW#'!$A:$Z,15,FALSE)+VLOOKUP($A126,A:AL,22,FALSE)-50),"-",VLOOKUP($A126,'NonXtal_SegEnds_BW#'!$A:$Z,15,FALSE)+VLOOKUP($A126,A:AL,22,FALSE)-50)</f>
        <v>2569</v>
      </c>
      <c r="V126" s="3">
        <v>2579</v>
      </c>
      <c r="W126" s="3">
        <f>IF(ISERROR(VLOOKUP($A126,'NonXtal_SegEnds_BW#'!$A:$Z,16,FALSE)+VLOOKUP($A126,A:AL,22,FALSE)-50),"-",(VLOOKUP($A126,'NonXtal_SegEnds_BW#'!$A:$Z,16,FALSE)+VLOOKUP($A126,A:AL,22,FALSE)-50))</f>
        <v>2597</v>
      </c>
      <c r="X126" s="3">
        <f>IF(ISERROR(VLOOKUP($A126,'NonXtal_SegEnds_BW#'!$A:$Z,17,FALSE)+VLOOKUP($A126,A:AL,25,FALSE)-50),"-",(VLOOKUP($A126,'NonXtal_SegEnds_BW#'!$A:$Z,17,FALSE)+VLOOKUP($A126,A:AL,25,FALSE)-50))</f>
        <v>2603</v>
      </c>
      <c r="Y126" s="3">
        <v>2603</v>
      </c>
      <c r="Z126" s="3">
        <f t="shared" si="67"/>
        <v>2605</v>
      </c>
      <c r="AA126" s="3">
        <f>IF(ISERROR(VLOOKUP($A126,'NonXtal_SegEnds_BW#'!$A:$Z,19,FALSE)+VLOOKUP($A126,A:AL,28,FALSE)-50),"-",(VLOOKUP($A126,'NonXtal_SegEnds_BW#'!$A:$Z,19,FALSE)+VLOOKUP($A126,A:AL,28,FALSE)-50))</f>
        <v>2608</v>
      </c>
      <c r="AB126" s="3">
        <v>2622</v>
      </c>
      <c r="AC126" s="3">
        <f>IF(ISERROR((VLOOKUP($A126,'NonXtal_SegEnds_BW#'!$A:$Z,20,FALSE)+VLOOKUP($A126,A:AL,28,FALSE)-50)),"-",(VLOOKUP($A126,'NonXtal_SegEnds_BW#'!$A:$Z,20,FALSE)+VLOOKUP($A126,A:AL,28,FALSE)-50))</f>
        <v>2641</v>
      </c>
      <c r="AD126" s="3">
        <f>IF(ISERROR(VLOOKUP($A126,'NonXtal_SegEnds_BW#'!$A:$Z,21,FALSE)+VLOOKUP($A126,A:AL,31,FALSE)-50),"-",(VLOOKUP($A126,'NonXtal_SegEnds_BW#'!$A:$Z,21,FALSE)+VLOOKUP($A126,A:AL,31,FALSE)-50))</f>
        <v>2649</v>
      </c>
      <c r="AE126" s="3">
        <v>2670</v>
      </c>
      <c r="AF126" s="3">
        <f>IF(ISERROR((VLOOKUP($A126,'NonXtal_SegEnds_BW#'!$A:$Z,22,FALSE)+VLOOKUP($A126,A:AL,31,FALSE)-50)),"-",(VLOOKUP($A126,'NonXtal_SegEnds_BW#'!$A:$Z,22,FALSE)+VLOOKUP($A126,A:AL,31,FALSE)-50))</f>
        <v>2673</v>
      </c>
      <c r="AG126" s="3">
        <f>IF(ISERROR(VLOOKUP($A126,'NonXtal_SegEnds_BW#'!$A:$Z,23,FALSE)+VLOOKUP($A126,A:AL,34,FALSE)-50),"-",(VLOOKUP($A126,'NonXtal_SegEnds_BW#'!$A:$Z,23,FALSE)+VLOOKUP($A126,A:AL,34,FALSE)-50))</f>
        <v>2679</v>
      </c>
      <c r="AH126" s="3">
        <v>2698</v>
      </c>
      <c r="AI126" s="3">
        <f>IF(ISERROR((VLOOKUP($A126,'NonXtal_SegEnds_BW#'!$A:$Z,24,FALSE)+VLOOKUP($A126,A:AL,34,FALSE)-50)),"-",(VLOOKUP($A126,'NonXtal_SegEnds_BW#'!$A:$Z,24,FALSE)+VLOOKUP($A126,A:AL,34,FALSE)-50))</f>
        <v>2704</v>
      </c>
      <c r="AJ126" s="3">
        <f>IF(ISERROR(VLOOKUP($A126,'NonXtal_SegEnds_BW#'!$A:$Z,25,FALSE)+VLOOKUP($A126,A:AL,37,FALSE)-50),"-",(VLOOKUP($A126,'NonXtal_SegEnds_BW#'!$A:$Z,25,FALSE)+VLOOKUP($A126,A:AL,37,FALSE)-50))</f>
        <v>2705</v>
      </c>
      <c r="AK126" s="3">
        <v>2708</v>
      </c>
      <c r="AL126" s="3">
        <f>IF(ISERROR((VLOOKUP($A126,'NonXtal_SegEnds_BW#'!$A:$Z,26,FALSE)+VLOOKUP($A126,A:AL,37,FALSE)-50)),"-",(VLOOKUP($A126,'NonXtal_SegEnds_BW#'!$A:$Z,26,FALSE)+VLOOKUP($A126,A:AL,37,FALSE)-50))</f>
        <v>2721</v>
      </c>
      <c r="AM126" s="71" t="str">
        <f>VLOOKUP(A126,Classification!A:B,2,FALSE)</f>
        <v>B2</v>
      </c>
      <c r="AN126" s="71" t="b">
        <f t="shared" si="36"/>
        <v>1</v>
      </c>
      <c r="AO126" s="3">
        <f t="shared" si="37"/>
        <v>1</v>
      </c>
      <c r="AP126" s="3">
        <f t="shared" si="38"/>
        <v>1</v>
      </c>
      <c r="AQ126" s="3" t="str">
        <f t="shared" si="39"/>
        <v>-</v>
      </c>
      <c r="AR126" s="3" t="str">
        <f t="shared" si="40"/>
        <v>-</v>
      </c>
      <c r="AS126" s="3" t="str">
        <f t="shared" si="41"/>
        <v>-</v>
      </c>
      <c r="AT126" s="3" t="str">
        <f t="shared" si="42"/>
        <v>-</v>
      </c>
      <c r="AU126" s="3">
        <f t="shared" si="43"/>
        <v>6</v>
      </c>
      <c r="AV126" s="3">
        <f t="shared" si="44"/>
        <v>3</v>
      </c>
      <c r="AW126" s="3">
        <f t="shared" si="45"/>
        <v>8</v>
      </c>
      <c r="AX126" s="3">
        <f t="shared" si="46"/>
        <v>6</v>
      </c>
      <c r="AY126" s="3">
        <f t="shared" si="47"/>
        <v>1</v>
      </c>
      <c r="AZ126" s="3">
        <f>IF(ISERROR(LEN(VLOOKUP(A126,Seqs!A:E,2,FALSE))-AL126),"-",LEN(VLOOKUP(A126,Seqs!A:E,2,FALSE))-AL126)</f>
        <v>293</v>
      </c>
      <c r="BA126" s="35">
        <f t="shared" si="48"/>
        <v>28</v>
      </c>
      <c r="BB126" s="3" t="str">
        <f t="shared" si="49"/>
        <v>-</v>
      </c>
      <c r="BC126" s="3">
        <f t="shared" si="50"/>
        <v>28</v>
      </c>
      <c r="BD126" s="3">
        <f t="shared" si="51"/>
        <v>48</v>
      </c>
    </row>
    <row r="127" spans="1:57" s="3" customFormat="1" x14ac:dyDescent="0.2">
      <c r="A127" s="3" t="s">
        <v>613</v>
      </c>
      <c r="B127" s="3" t="str">
        <f>LOWER(VLOOKUP(A127,Xtal_Templ!A:B,2,FALSE))</f>
        <v>crfr1_human</v>
      </c>
      <c r="C127" s="3">
        <f>VLOOKUP($A127,'NonXtal_SegEnds_BW#'!$A:$Z,3,FALSE)+D127-50</f>
        <v>2364</v>
      </c>
      <c r="D127" s="3">
        <v>2391</v>
      </c>
      <c r="E127" s="3">
        <f>IF(ISERROR(VLOOKUP($A127,'NonXtal_SegEnds_BW#'!$A:$Z,4,FALSE)+VLOOKUP($A127,A:AL,4,FALSE)-50),"-",(VLOOKUP($A127,'NonXtal_SegEnds_BW#'!$A:$Z,4,FALSE)+VLOOKUP($A127,A:AL,4,FALSE)-50))</f>
        <v>2401</v>
      </c>
      <c r="F127" s="3">
        <f>G127-2</f>
        <v>2402</v>
      </c>
      <c r="G127" s="3">
        <v>2404</v>
      </c>
      <c r="H127" s="3">
        <f t="shared" si="68"/>
        <v>2405</v>
      </c>
      <c r="I127" s="3">
        <f t="shared" si="68"/>
        <v>2406</v>
      </c>
      <c r="J127" s="3">
        <v>2419</v>
      </c>
      <c r="K127" s="3">
        <f>VLOOKUP($A127,'NonXtal_SegEnds_BW#'!$A:$Z,8,FALSE)+VLOOKUP($A127,A:AL,10,FALSE)-50</f>
        <v>2432</v>
      </c>
      <c r="L127" s="3" t="str">
        <f>IF(ISERROR(VLOOKUP($A127,'NonXtal_SegEnds_BW#'!$A:$Z,9,FALSE)+VLOOKUP($A127,A:AL,13,FALSE)-50),"-",(VLOOKUP($A127,'NonXtal_SegEnds_BW#'!$A:$Z,9,FALSE)+VLOOKUP($A127,A:AL,13,FALSE)-50))</f>
        <v>-</v>
      </c>
      <c r="M127" s="3" t="s">
        <v>129</v>
      </c>
      <c r="N127" s="3" t="str">
        <f>IF(ISERROR(VLOOKUP($A127,'NonXtal_SegEnds_BW#'!$A:$Z,10,FALSE)+VLOOKUP($A127,A:AL,13,FALSE)-50),"-",(VLOOKUP($A127,'NonXtal_SegEnds_BW#'!$A:$Z,10,FALSE)+VLOOKUP($A127,A:AL,13,FALSE)-50))</f>
        <v>-</v>
      </c>
      <c r="O127" s="3">
        <f>VLOOKUP($A127,'NonXtal_SegEnds_BW#'!$A:$Z,11,FALSE)+VLOOKUP($A127,A:AL,16,FALSE)-50</f>
        <v>2437</v>
      </c>
      <c r="P127" s="3">
        <v>2464</v>
      </c>
      <c r="Q127" s="3">
        <f>VLOOKUP($A127,'NonXtal_SegEnds_BW#'!$A:$Z,12,FALSE)+VLOOKUP($A127,A:AL,16,FALSE)-50</f>
        <v>2470</v>
      </c>
      <c r="R127" s="3" t="str">
        <f>IF(ISERROR(VLOOKUP($A127,'NonXtal_SegEnds_BW#'!$A:$Z,13,FALSE)+VLOOKUP($A127,A:AL,19,FALSE)-50),"-",VLOOKUP($A127,'NonXtal_SegEnds_BW#'!$A:$Z,13,FALSE)+VLOOKUP($A127,A:AL,19,FALSE)-50)</f>
        <v>-</v>
      </c>
      <c r="S127" s="3" t="s">
        <v>129</v>
      </c>
      <c r="T127" s="3" t="str">
        <f>IF(ISERROR(VLOOKUP($A127,'NonXtal_SegEnds_BW#'!$A:$Z,14,FALSE)+VLOOKUP($A127,A:AL,19,FALSE)-50),"-",(VLOOKUP($A127,'NonXtal_SegEnds_BW#'!$A:$Z,14,FALSE)+VLOOKUP($A127,A:AL,19,FALSE)-50))</f>
        <v>-</v>
      </c>
      <c r="U127" s="3">
        <f>IF(ISERROR(VLOOKUP($A127,'NonXtal_SegEnds_BW#'!$A:$Z,15,FALSE)+VLOOKUP($A127,A:AL,22,FALSE)-50),"-",VLOOKUP($A127,'NonXtal_SegEnds_BW#'!$A:$Z,15,FALSE)+VLOOKUP($A127,A:AL,22,FALSE)-50)</f>
        <v>2477</v>
      </c>
      <c r="V127" s="3">
        <v>2487</v>
      </c>
      <c r="W127" s="3">
        <f>IF(ISERROR(VLOOKUP($A127,'NonXtal_SegEnds_BW#'!$A:$Z,16,FALSE)+VLOOKUP($A127,A:AL,22,FALSE)-50),"-",(VLOOKUP($A127,'NonXtal_SegEnds_BW#'!$A:$Z,16,FALSE)+VLOOKUP($A127,A:AL,22,FALSE)-50))</f>
        <v>2505</v>
      </c>
      <c r="X127" s="3">
        <f>IF(ISERROR(VLOOKUP($A127,'NonXtal_SegEnds_BW#'!$A:$Z,17,FALSE)+VLOOKUP($A127,A:AL,25,FALSE)-50),"-",(VLOOKUP($A127,'NonXtal_SegEnds_BW#'!$A:$Z,17,FALSE)+VLOOKUP($A127,A:AL,25,FALSE)-50))</f>
        <v>2511</v>
      </c>
      <c r="Y127" s="3">
        <v>2511</v>
      </c>
      <c r="Z127" s="3">
        <f t="shared" si="67"/>
        <v>2513</v>
      </c>
      <c r="AA127" s="3">
        <f>IF(ISERROR(VLOOKUP($A127,'NonXtal_SegEnds_BW#'!$A:$Z,19,FALSE)+VLOOKUP($A127,A:AL,28,FALSE)-50),"-",(VLOOKUP($A127,'NonXtal_SegEnds_BW#'!$A:$Z,19,FALSE)+VLOOKUP($A127,A:AL,28,FALSE)-50))</f>
        <v>2516</v>
      </c>
      <c r="AB127" s="3">
        <v>2530</v>
      </c>
      <c r="AC127" s="3">
        <f>IF(ISERROR((VLOOKUP($A127,'NonXtal_SegEnds_BW#'!$A:$Z,20,FALSE)+VLOOKUP($A127,A:AL,28,FALSE)-50)),"-",(VLOOKUP($A127,'NonXtal_SegEnds_BW#'!$A:$Z,20,FALSE)+VLOOKUP($A127,A:AL,28,FALSE)-50))</f>
        <v>2549</v>
      </c>
      <c r="AD127" s="3">
        <f>IF(ISERROR(VLOOKUP($A127,'NonXtal_SegEnds_BW#'!$A:$Z,21,FALSE)+VLOOKUP($A127,A:AL,31,FALSE)-50),"-",(VLOOKUP($A127,'NonXtal_SegEnds_BW#'!$A:$Z,21,FALSE)+VLOOKUP($A127,A:AL,31,FALSE)-50))</f>
        <v>2557</v>
      </c>
      <c r="AE127" s="3">
        <v>2578</v>
      </c>
      <c r="AF127" s="3">
        <f>IF(ISERROR((VLOOKUP($A127,'NonXtal_SegEnds_BW#'!$A:$Z,22,FALSE)+VLOOKUP($A127,A:AL,31,FALSE)-50)),"-",(VLOOKUP($A127,'NonXtal_SegEnds_BW#'!$A:$Z,22,FALSE)+VLOOKUP($A127,A:AL,31,FALSE)-50))</f>
        <v>2581</v>
      </c>
      <c r="AG127" s="3">
        <f>IF(ISERROR(VLOOKUP($A127,'NonXtal_SegEnds_BW#'!$A:$Z,23,FALSE)+VLOOKUP($A127,A:AL,34,FALSE)-50),"-",(VLOOKUP($A127,'NonXtal_SegEnds_BW#'!$A:$Z,23,FALSE)+VLOOKUP($A127,A:AL,34,FALSE)-50))</f>
        <v>2587</v>
      </c>
      <c r="AH127" s="3">
        <v>2606</v>
      </c>
      <c r="AI127" s="3">
        <f>IF(ISERROR((VLOOKUP($A127,'NonXtal_SegEnds_BW#'!$A:$Z,24,FALSE)+VLOOKUP($A127,A:AL,34,FALSE)-50)),"-",(VLOOKUP($A127,'NonXtal_SegEnds_BW#'!$A:$Z,24,FALSE)+VLOOKUP($A127,A:AL,34,FALSE)-50))</f>
        <v>2612</v>
      </c>
      <c r="AJ127" s="3">
        <f>IF(ISERROR(VLOOKUP($A127,'NonXtal_SegEnds_BW#'!$A:$Z,25,FALSE)+VLOOKUP($A127,A:AL,37,FALSE)-50),"-",(VLOOKUP($A127,'NonXtal_SegEnds_BW#'!$A:$Z,25,FALSE)+VLOOKUP($A127,A:AL,37,FALSE)-50))</f>
        <v>2613</v>
      </c>
      <c r="AK127" s="3">
        <v>2616</v>
      </c>
      <c r="AL127" s="3">
        <f>IF(ISERROR((VLOOKUP($A127,'NonXtal_SegEnds_BW#'!$A:$Z,26,FALSE)+VLOOKUP($A127,A:AL,37,FALSE)-50)),"-",(VLOOKUP($A127,'NonXtal_SegEnds_BW#'!$A:$Z,26,FALSE)+VLOOKUP($A127,A:AL,37,FALSE)-50))</f>
        <v>2629</v>
      </c>
      <c r="AM127" s="71" t="str">
        <f>VLOOKUP(A127,Classification!A:B,2,FALSE)</f>
        <v>B2</v>
      </c>
      <c r="AN127" s="71" t="b">
        <f t="shared" si="36"/>
        <v>1</v>
      </c>
      <c r="AO127" s="3">
        <f t="shared" si="37"/>
        <v>1</v>
      </c>
      <c r="AP127" s="3">
        <f t="shared" si="38"/>
        <v>1</v>
      </c>
      <c r="AQ127" s="3" t="str">
        <f t="shared" si="39"/>
        <v>-</v>
      </c>
      <c r="AR127" s="3" t="str">
        <f t="shared" si="40"/>
        <v>-</v>
      </c>
      <c r="AS127" s="3" t="str">
        <f t="shared" si="41"/>
        <v>-</v>
      </c>
      <c r="AT127" s="3" t="str">
        <f t="shared" si="42"/>
        <v>-</v>
      </c>
      <c r="AU127" s="3">
        <f t="shared" si="43"/>
        <v>6</v>
      </c>
      <c r="AV127" s="3">
        <f t="shared" si="44"/>
        <v>3</v>
      </c>
      <c r="AW127" s="3">
        <f t="shared" si="45"/>
        <v>8</v>
      </c>
      <c r="AX127" s="3">
        <f t="shared" si="46"/>
        <v>6</v>
      </c>
      <c r="AY127" s="3">
        <f t="shared" si="47"/>
        <v>1</v>
      </c>
      <c r="AZ127" s="3">
        <f>IF(ISERROR(LEN(VLOOKUP(A127,Seqs!A:E,2,FALSE))-AL127),"-",LEN(VLOOKUP(A127,Seqs!A:E,2,FALSE))-AL127)</f>
        <v>294</v>
      </c>
      <c r="BA127" s="35">
        <f t="shared" si="48"/>
        <v>28</v>
      </c>
      <c r="BB127" s="3" t="str">
        <f t="shared" si="49"/>
        <v>-</v>
      </c>
      <c r="BC127" s="3">
        <f t="shared" si="50"/>
        <v>28</v>
      </c>
      <c r="BD127" s="3">
        <f t="shared" si="51"/>
        <v>48</v>
      </c>
    </row>
    <row r="128" spans="1:57" s="3" customFormat="1" x14ac:dyDescent="0.2">
      <c r="A128" s="3" t="s">
        <v>1411</v>
      </c>
      <c r="B128" s="3" t="str">
        <f>LOWER(VLOOKUP(A128,Xtal_Templ!A:B,2,FALSE))</f>
        <v>crfr1_human</v>
      </c>
      <c r="C128" s="3">
        <f>VLOOKUP($A128,'NonXtal_SegEnds_BW#'!$A:$Z,3,FALSE)+D128-50</f>
        <v>1000</v>
      </c>
      <c r="D128" s="3">
        <v>1027</v>
      </c>
      <c r="E128" s="3">
        <f>IF(ISERROR(VLOOKUP($A128,'NonXtal_SegEnds_BW#'!$A:$Z,4,FALSE)+VLOOKUP($A128,A:AL,4,FALSE)-50),"-",(VLOOKUP($A128,'NonXtal_SegEnds_BW#'!$A:$Z,4,FALSE)+VLOOKUP($A128,A:AL,4,FALSE)-50))</f>
        <v>1037</v>
      </c>
      <c r="F128" s="3">
        <f>G128-2</f>
        <v>1039</v>
      </c>
      <c r="G128" s="3">
        <v>1041</v>
      </c>
      <c r="H128" s="3">
        <f t="shared" si="68"/>
        <v>1042</v>
      </c>
      <c r="I128" s="3">
        <f t="shared" si="68"/>
        <v>1043</v>
      </c>
      <c r="J128" s="3">
        <v>1058</v>
      </c>
      <c r="K128" s="3">
        <f>VLOOKUP($A128,'NonXtal_SegEnds_BW#'!$A:$Z,8,FALSE)+VLOOKUP($A128,A:AL,10,FALSE)-50</f>
        <v>1071</v>
      </c>
      <c r="L128" s="3" t="str">
        <f>IF(ISERROR(VLOOKUP($A128,'NonXtal_SegEnds_BW#'!$A:$Z,9,FALSE)+VLOOKUP($A128,A:AL,13,FALSE)-50),"-",(VLOOKUP($A128,'NonXtal_SegEnds_BW#'!$A:$Z,9,FALSE)+VLOOKUP($A128,A:AL,13,FALSE)-50))</f>
        <v>-</v>
      </c>
      <c r="M128" s="3" t="s">
        <v>129</v>
      </c>
      <c r="N128" s="3" t="str">
        <f>IF(ISERROR(VLOOKUP($A128,'NonXtal_SegEnds_BW#'!$A:$Z,10,FALSE)+VLOOKUP($A128,A:AL,13,FALSE)-50),"-",(VLOOKUP($A128,'NonXtal_SegEnds_BW#'!$A:$Z,10,FALSE)+VLOOKUP($A128,A:AL,13,FALSE)-50))</f>
        <v>-</v>
      </c>
      <c r="O128" s="3">
        <f>VLOOKUP($A128,'NonXtal_SegEnds_BW#'!$A:$Z,11,FALSE)+VLOOKUP($A128,A:AL,16,FALSE)-50</f>
        <v>1084</v>
      </c>
      <c r="P128" s="3">
        <v>1111</v>
      </c>
      <c r="Q128" s="3">
        <f>VLOOKUP($A128,'NonXtal_SegEnds_BW#'!$A:$Z,12,FALSE)+VLOOKUP($A128,A:AL,16,FALSE)-50</f>
        <v>1117</v>
      </c>
      <c r="R128" s="3" t="str">
        <f>IF(ISERROR(VLOOKUP($A128,'NonXtal_SegEnds_BW#'!$A:$Z,13,FALSE)+VLOOKUP($A128,A:AL,19,FALSE)-50),"-",VLOOKUP($A128,'NonXtal_SegEnds_BW#'!$A:$Z,13,FALSE)+VLOOKUP($A128,A:AL,19,FALSE)-50)</f>
        <v>-</v>
      </c>
      <c r="S128" s="3" t="s">
        <v>129</v>
      </c>
      <c r="T128" s="3" t="str">
        <f>IF(ISERROR(VLOOKUP($A128,'NonXtal_SegEnds_BW#'!$A:$Z,14,FALSE)+VLOOKUP($A128,A:AL,19,FALSE)-50),"-",(VLOOKUP($A128,'NonXtal_SegEnds_BW#'!$A:$Z,14,FALSE)+VLOOKUP($A128,A:AL,19,FALSE)-50))</f>
        <v>-</v>
      </c>
      <c r="U128" s="3">
        <f>IF(ISERROR(VLOOKUP($A128,'NonXtal_SegEnds_BW#'!$A:$Z,15,FALSE)+VLOOKUP($A128,A:AL,22,FALSE)-50),"-",VLOOKUP($A128,'NonXtal_SegEnds_BW#'!$A:$Z,15,FALSE)+VLOOKUP($A128,A:AL,22,FALSE)-50)</f>
        <v>1126</v>
      </c>
      <c r="V128" s="3">
        <v>1136</v>
      </c>
      <c r="W128" s="3">
        <f>IF(ISERROR(VLOOKUP($A128,'NonXtal_SegEnds_BW#'!$A:$Z,16,FALSE)+VLOOKUP($A128,A:AL,22,FALSE)-50),"-",(VLOOKUP($A128,'NonXtal_SegEnds_BW#'!$A:$Z,16,FALSE)+VLOOKUP($A128,A:AL,22,FALSE)-50))</f>
        <v>1154</v>
      </c>
      <c r="X128" s="3">
        <f>IF(ISERROR(VLOOKUP($A128,'NonXtal_SegEnds_BW#'!$A:$Z,17,FALSE)+VLOOKUP($A128,A:AL,25,FALSE)-50),"-",(VLOOKUP($A128,'NonXtal_SegEnds_BW#'!$A:$Z,17,FALSE)+VLOOKUP($A128,A:AL,25,FALSE)-50))</f>
        <v>1162</v>
      </c>
      <c r="Y128" s="3">
        <v>1162</v>
      </c>
      <c r="Z128" s="3">
        <f t="shared" si="67"/>
        <v>1164</v>
      </c>
      <c r="AA128" s="3">
        <f>IF(ISERROR(VLOOKUP($A128,'NonXtal_SegEnds_BW#'!$A:$Z,19,FALSE)+VLOOKUP($A128,A:AL,28,FALSE)-50),"-",(VLOOKUP($A128,'NonXtal_SegEnds_BW#'!$A:$Z,19,FALSE)+VLOOKUP($A128,A:AL,28,FALSE)-50))</f>
        <v>1168</v>
      </c>
      <c r="AB128" s="3">
        <v>1182</v>
      </c>
      <c r="AC128" s="3">
        <f>IF(ISERROR((VLOOKUP($A128,'NonXtal_SegEnds_BW#'!$A:$Z,20,FALSE)+VLOOKUP($A128,A:AL,28,FALSE)-50)),"-",(VLOOKUP($A128,'NonXtal_SegEnds_BW#'!$A:$Z,20,FALSE)+VLOOKUP($A128,A:AL,28,FALSE)-50))</f>
        <v>1201</v>
      </c>
      <c r="AD128" s="3">
        <f>IF(ISERROR(VLOOKUP($A128,'NonXtal_SegEnds_BW#'!$A:$Z,21,FALSE)+VLOOKUP($A128,A:AL,31,FALSE)-50),"-",(VLOOKUP($A128,'NonXtal_SegEnds_BW#'!$A:$Z,21,FALSE)+VLOOKUP($A128,A:AL,31,FALSE)-50))</f>
        <v>1213</v>
      </c>
      <c r="AE128" s="3">
        <v>1234</v>
      </c>
      <c r="AF128" s="3">
        <f>IF(ISERROR((VLOOKUP($A128,'NonXtal_SegEnds_BW#'!$A:$Z,22,FALSE)+VLOOKUP($A128,A:AL,31,FALSE)-50)),"-",(VLOOKUP($A128,'NonXtal_SegEnds_BW#'!$A:$Z,22,FALSE)+VLOOKUP($A128,A:AL,31,FALSE)-50))</f>
        <v>1237</v>
      </c>
      <c r="AG128" s="3">
        <f>IF(ISERROR(VLOOKUP($A128,'NonXtal_SegEnds_BW#'!$A:$Z,23,FALSE)+VLOOKUP($A128,A:AL,34,FALSE)-50),"-",(VLOOKUP($A128,'NonXtal_SegEnds_BW#'!$A:$Z,23,FALSE)+VLOOKUP($A128,A:AL,34,FALSE)-50))</f>
        <v>1244</v>
      </c>
      <c r="AH128" s="3">
        <v>1263</v>
      </c>
      <c r="AI128" s="3">
        <f>IF(ISERROR((VLOOKUP($A128,'NonXtal_SegEnds_BW#'!$A:$Z,24,FALSE)+VLOOKUP($A128,A:AL,34,FALSE)-50)),"-",(VLOOKUP($A128,'NonXtal_SegEnds_BW#'!$A:$Z,24,FALSE)+VLOOKUP($A128,A:AL,34,FALSE)-50))</f>
        <v>1269</v>
      </c>
      <c r="AJ128" s="3">
        <f>IF(ISERROR(VLOOKUP($A128,'NonXtal_SegEnds_BW#'!$A:$Z,25,FALSE)+VLOOKUP($A128,A:AL,37,FALSE)-50),"-",(VLOOKUP($A128,'NonXtal_SegEnds_BW#'!$A:$Z,25,FALSE)+VLOOKUP($A128,A:AL,37,FALSE)-50))</f>
        <v>1270</v>
      </c>
      <c r="AK128" s="3">
        <v>1273</v>
      </c>
      <c r="AL128" s="3">
        <f>IF(ISERROR((VLOOKUP($A128,'NonXtal_SegEnds_BW#'!$A:$Z,26,FALSE)+VLOOKUP($A128,A:AL,37,FALSE)-50)),"-",(VLOOKUP($A128,'NonXtal_SegEnds_BW#'!$A:$Z,26,FALSE)+VLOOKUP($A128,A:AL,37,FALSE)-50))</f>
        <v>1286</v>
      </c>
      <c r="AM128" s="71" t="str">
        <f>VLOOKUP(A128,Classification!A:B,2,FALSE)</f>
        <v>B2</v>
      </c>
      <c r="AN128" s="71" t="b">
        <f t="shared" si="36"/>
        <v>1</v>
      </c>
      <c r="AO128" s="3">
        <f t="shared" si="37"/>
        <v>2</v>
      </c>
      <c r="AP128" s="3">
        <f t="shared" si="38"/>
        <v>1</v>
      </c>
      <c r="AQ128" s="3" t="str">
        <f t="shared" si="39"/>
        <v>-</v>
      </c>
      <c r="AR128" s="3" t="str">
        <f t="shared" si="40"/>
        <v>-</v>
      </c>
      <c r="AS128" s="3" t="str">
        <f t="shared" si="41"/>
        <v>-</v>
      </c>
      <c r="AT128" s="3" t="str">
        <f t="shared" si="42"/>
        <v>-</v>
      </c>
      <c r="AU128" s="3">
        <f t="shared" si="43"/>
        <v>8</v>
      </c>
      <c r="AV128" s="3">
        <f t="shared" si="44"/>
        <v>4</v>
      </c>
      <c r="AW128" s="3">
        <f t="shared" si="45"/>
        <v>12</v>
      </c>
      <c r="AX128" s="3">
        <f t="shared" si="46"/>
        <v>7</v>
      </c>
      <c r="AY128" s="3">
        <f t="shared" si="47"/>
        <v>1</v>
      </c>
      <c r="AZ128" s="3">
        <f>IF(ISERROR(LEN(VLOOKUP(A128,Seqs!A:E,2,FALSE))-AL128),"-",LEN(VLOOKUP(A128,Seqs!A:E,2,FALSE))-AL128)</f>
        <v>60</v>
      </c>
      <c r="BA128" s="35">
        <f t="shared" si="48"/>
        <v>31</v>
      </c>
      <c r="BB128" s="3" t="str">
        <f t="shared" si="49"/>
        <v>-</v>
      </c>
      <c r="BC128" s="3">
        <f t="shared" si="50"/>
        <v>31</v>
      </c>
      <c r="BD128" s="3">
        <f t="shared" si="51"/>
        <v>52</v>
      </c>
    </row>
    <row r="129" spans="1:57" s="3" customFormat="1" x14ac:dyDescent="0.2">
      <c r="A129" s="3" t="s">
        <v>608</v>
      </c>
      <c r="B129" s="3" t="str">
        <f>LOWER(VLOOKUP(A129,Xtal_Templ!A:B,2,FALSE))</f>
        <v>crfr1_human</v>
      </c>
      <c r="C129" s="3">
        <f>VLOOKUP($A129,'NonXtal_SegEnds_BW#'!$A:$Z,3,FALSE)+D129-50</f>
        <v>935</v>
      </c>
      <c r="D129" s="3">
        <v>962</v>
      </c>
      <c r="E129" s="3">
        <f>IF(ISERROR(VLOOKUP($A129,'NonXtal_SegEnds_BW#'!$A:$Z,4,FALSE)+VLOOKUP($A129,A:AL,4,FALSE)-50),"-",(VLOOKUP($A129,'NonXtal_SegEnds_BW#'!$A:$Z,4,FALSE)+VLOOKUP($A129,A:AL,4,FALSE)-50))</f>
        <v>972</v>
      </c>
      <c r="F129" s="3" t="s">
        <v>129</v>
      </c>
      <c r="G129" s="3" t="s">
        <v>129</v>
      </c>
      <c r="H129" s="3" t="s">
        <v>129</v>
      </c>
      <c r="I129" s="3">
        <f>VLOOKUP($A129,'NonXtal_SegEnds_BW#'!$A:$Z,7,FALSE)+J129-50</f>
        <v>978</v>
      </c>
      <c r="J129" s="3">
        <v>991</v>
      </c>
      <c r="K129" s="3">
        <f>VLOOKUP($A129,'NonXtal_SegEnds_BW#'!$A:$Z,8,FALSE)+VLOOKUP($A129,A:AL,10,FALSE)-50</f>
        <v>1004</v>
      </c>
      <c r="L129" s="3" t="str">
        <f>IF(ISERROR(VLOOKUP($A129,'NonXtal_SegEnds_BW#'!$A:$Z,9,FALSE)+VLOOKUP($A129,A:AL,13,FALSE)-50),"-",(VLOOKUP($A129,'NonXtal_SegEnds_BW#'!$A:$Z,9,FALSE)+VLOOKUP($A129,A:AL,13,FALSE)-50))</f>
        <v>-</v>
      </c>
      <c r="M129" s="3" t="s">
        <v>129</v>
      </c>
      <c r="N129" s="3" t="str">
        <f>IF(ISERROR(VLOOKUP($A129,'NonXtal_SegEnds_BW#'!$A:$Z,10,FALSE)+VLOOKUP($A129,A:AL,13,FALSE)-50),"-",(VLOOKUP($A129,'NonXtal_SegEnds_BW#'!$A:$Z,10,FALSE)+VLOOKUP($A129,A:AL,13,FALSE)-50))</f>
        <v>-</v>
      </c>
      <c r="O129" s="3">
        <f>VLOOKUP($A129,'NonXtal_SegEnds_BW#'!$A:$Z,11,FALSE)+VLOOKUP($A129,A:AL,16,FALSE)-50</f>
        <v>1009</v>
      </c>
      <c r="P129" s="3">
        <v>1036</v>
      </c>
      <c r="Q129" s="3">
        <f>VLOOKUP($A129,'NonXtal_SegEnds_BW#'!$A:$Z,12,FALSE)+VLOOKUP($A129,A:AL,16,FALSE)-50</f>
        <v>1042</v>
      </c>
      <c r="R129" s="3" t="str">
        <f>IF(ISERROR(VLOOKUP($A129,'NonXtal_SegEnds_BW#'!$A:$Z,13,FALSE)+VLOOKUP($A129,A:AL,19,FALSE)-50),"-",VLOOKUP($A129,'NonXtal_SegEnds_BW#'!$A:$Z,13,FALSE)+VLOOKUP($A129,A:AL,19,FALSE)-50)</f>
        <v>-</v>
      </c>
      <c r="S129" s="3" t="s">
        <v>129</v>
      </c>
      <c r="T129" s="3" t="str">
        <f>IF(ISERROR(VLOOKUP($A129,'NonXtal_SegEnds_BW#'!$A:$Z,14,FALSE)+VLOOKUP($A129,A:AL,19,FALSE)-50),"-",(VLOOKUP($A129,'NonXtal_SegEnds_BW#'!$A:$Z,14,FALSE)+VLOOKUP($A129,A:AL,19,FALSE)-50))</f>
        <v>-</v>
      </c>
      <c r="U129" s="3">
        <f>IF(ISERROR(VLOOKUP($A129,'NonXtal_SegEnds_BW#'!$A:$Z,15,FALSE)+VLOOKUP($A129,A:AL,22,FALSE)-50),"-",VLOOKUP($A129,'NonXtal_SegEnds_BW#'!$A:$Z,15,FALSE)+VLOOKUP($A129,A:AL,22,FALSE)-50)</f>
        <v>1048</v>
      </c>
      <c r="V129" s="3">
        <v>1058</v>
      </c>
      <c r="W129" s="3">
        <f>IF(ISERROR(VLOOKUP($A129,'NonXtal_SegEnds_BW#'!$A:$Z,16,FALSE)+VLOOKUP($A129,A:AL,22,FALSE)-50),"-",(VLOOKUP($A129,'NonXtal_SegEnds_BW#'!$A:$Z,16,FALSE)+VLOOKUP($A129,A:AL,22,FALSE)-50))</f>
        <v>1076</v>
      </c>
      <c r="X129" s="3">
        <f>IF(ISERROR(VLOOKUP($A129,'NonXtal_SegEnds_BW#'!$A:$Z,17,FALSE)+VLOOKUP($A129,A:AL,25,FALSE)-50),"-",(VLOOKUP($A129,'NonXtal_SegEnds_BW#'!$A:$Z,17,FALSE)+VLOOKUP($A129,A:AL,25,FALSE)-50))</f>
        <v>1083</v>
      </c>
      <c r="Y129" s="3">
        <v>1083</v>
      </c>
      <c r="Z129" s="3">
        <f t="shared" si="67"/>
        <v>1085</v>
      </c>
      <c r="AA129" s="3">
        <f>IF(ISERROR(VLOOKUP($A129,'NonXtal_SegEnds_BW#'!$A:$Z,19,FALSE)+VLOOKUP($A129,A:AL,28,FALSE)-50),"-",(VLOOKUP($A129,'NonXtal_SegEnds_BW#'!$A:$Z,19,FALSE)+VLOOKUP($A129,A:AL,28,FALSE)-50))</f>
        <v>1088</v>
      </c>
      <c r="AB129" s="3">
        <v>1102</v>
      </c>
      <c r="AC129" s="3">
        <f>IF(ISERROR((VLOOKUP($A129,'NonXtal_SegEnds_BW#'!$A:$Z,20,FALSE)+VLOOKUP($A129,A:AL,28,FALSE)-50)),"-",(VLOOKUP($A129,'NonXtal_SegEnds_BW#'!$A:$Z,20,FALSE)+VLOOKUP($A129,A:AL,28,FALSE)-50))</f>
        <v>1121</v>
      </c>
      <c r="AD129" s="3">
        <f>IF(ISERROR(VLOOKUP($A129,'NonXtal_SegEnds_BW#'!$A:$Z,21,FALSE)+VLOOKUP($A129,A:AL,31,FALSE)-50),"-",(VLOOKUP($A129,'NonXtal_SegEnds_BW#'!$A:$Z,21,FALSE)+VLOOKUP($A129,A:AL,31,FALSE)-50))</f>
        <v>1131</v>
      </c>
      <c r="AE129" s="3">
        <v>1152</v>
      </c>
      <c r="AF129" s="3">
        <f>IF(ISERROR((VLOOKUP($A129,'NonXtal_SegEnds_BW#'!$A:$Z,22,FALSE)+VLOOKUP($A129,A:AL,31,FALSE)-50)),"-",(VLOOKUP($A129,'NonXtal_SegEnds_BW#'!$A:$Z,22,FALSE)+VLOOKUP($A129,A:AL,31,FALSE)-50))</f>
        <v>1155</v>
      </c>
      <c r="AG129" s="3">
        <f>IF(ISERROR(VLOOKUP($A129,'NonXtal_SegEnds_BW#'!$A:$Z,23,FALSE)+VLOOKUP($A129,A:AL,34,FALSE)-50),"-",(VLOOKUP($A129,'NonXtal_SegEnds_BW#'!$A:$Z,23,FALSE)+VLOOKUP($A129,A:AL,34,FALSE)-50))</f>
        <v>1162</v>
      </c>
      <c r="AH129" s="3">
        <v>1181</v>
      </c>
      <c r="AI129" s="3">
        <f>IF(ISERROR((VLOOKUP($A129,'NonXtal_SegEnds_BW#'!$A:$Z,24,FALSE)+VLOOKUP($A129,A:AL,34,FALSE)-50)),"-",(VLOOKUP($A129,'NonXtal_SegEnds_BW#'!$A:$Z,24,FALSE)+VLOOKUP($A129,A:AL,34,FALSE)-50))</f>
        <v>1187</v>
      </c>
      <c r="AJ129" s="3">
        <f>IF(ISERROR(VLOOKUP($A129,'NonXtal_SegEnds_BW#'!$A:$Z,25,FALSE)+VLOOKUP($A129,A:AL,37,FALSE)-50),"-",(VLOOKUP($A129,'NonXtal_SegEnds_BW#'!$A:$Z,25,FALSE)+VLOOKUP($A129,A:AL,37,FALSE)-50))</f>
        <v>1188</v>
      </c>
      <c r="AK129" s="3">
        <v>1191</v>
      </c>
      <c r="AL129" s="3">
        <f>IF(ISERROR((VLOOKUP($A129,'NonXtal_SegEnds_BW#'!$A:$Z,26,FALSE)+VLOOKUP($A129,A:AL,37,FALSE)-50)),"-",(VLOOKUP($A129,'NonXtal_SegEnds_BW#'!$A:$Z,26,FALSE)+VLOOKUP($A129,A:AL,37,FALSE)-50))</f>
        <v>1204</v>
      </c>
      <c r="AM129" s="71" t="str">
        <f>VLOOKUP(A129,Classification!A:B,2,FALSE)</f>
        <v>B2</v>
      </c>
      <c r="AN129" s="71" t="b">
        <f t="shared" si="36"/>
        <v>1</v>
      </c>
      <c r="AO129" s="3" t="str">
        <f t="shared" si="37"/>
        <v>-</v>
      </c>
      <c r="AP129" s="3" t="str">
        <f t="shared" si="38"/>
        <v>-</v>
      </c>
      <c r="AQ129" s="3" t="str">
        <f t="shared" si="39"/>
        <v>-</v>
      </c>
      <c r="AR129" s="3" t="str">
        <f t="shared" si="40"/>
        <v>-</v>
      </c>
      <c r="AS129" s="3" t="str">
        <f t="shared" si="41"/>
        <v>-</v>
      </c>
      <c r="AT129" s="3" t="str">
        <f t="shared" si="42"/>
        <v>-</v>
      </c>
      <c r="AU129" s="3">
        <f t="shared" si="43"/>
        <v>7</v>
      </c>
      <c r="AV129" s="3">
        <f t="shared" si="44"/>
        <v>3</v>
      </c>
      <c r="AW129" s="3">
        <f t="shared" si="45"/>
        <v>10</v>
      </c>
      <c r="AX129" s="3">
        <f t="shared" si="46"/>
        <v>7</v>
      </c>
      <c r="AY129" s="3">
        <f t="shared" si="47"/>
        <v>1</v>
      </c>
      <c r="AZ129" s="3">
        <f>IF(ISERROR(LEN(VLOOKUP(A129,Seqs!A:E,2,FALSE))-AL129),"-",LEN(VLOOKUP(A129,Seqs!A:E,2,FALSE))-AL129)</f>
        <v>380</v>
      </c>
      <c r="BA129" s="35">
        <f t="shared" si="48"/>
        <v>29</v>
      </c>
      <c r="BB129" s="3" t="str">
        <f t="shared" si="49"/>
        <v>-</v>
      </c>
      <c r="BC129" s="3">
        <f t="shared" si="50"/>
        <v>29</v>
      </c>
      <c r="BD129" s="3">
        <f t="shared" si="51"/>
        <v>50</v>
      </c>
    </row>
    <row r="130" spans="1:57" s="3" customFormat="1" x14ac:dyDescent="0.2">
      <c r="A130" s="3" t="s">
        <v>1399</v>
      </c>
      <c r="B130" s="3" t="str">
        <f>LOWER(VLOOKUP(A130,Xtal_Templ!A:B,2,FALSE))</f>
        <v>crfr1_human</v>
      </c>
      <c r="C130" s="3">
        <f>VLOOKUP($A130,'NonXtal_SegEnds_BW#'!$A:$Z,3,FALSE)+D130-50</f>
        <v>920</v>
      </c>
      <c r="D130" s="3">
        <v>947</v>
      </c>
      <c r="E130" s="3">
        <f>IF(ISERROR(VLOOKUP($A130,'NonXtal_SegEnds_BW#'!$A:$Z,4,FALSE)+VLOOKUP($A130,A:AL,4,FALSE)-50),"-",(VLOOKUP($A130,'NonXtal_SegEnds_BW#'!$A:$Z,4,FALSE)+VLOOKUP($A130,A:AL,4,FALSE)-50))</f>
        <v>957</v>
      </c>
      <c r="F130" s="3" t="s">
        <v>129</v>
      </c>
      <c r="G130" s="3" t="s">
        <v>129</v>
      </c>
      <c r="H130" s="3" t="s">
        <v>129</v>
      </c>
      <c r="I130" s="3">
        <f>VLOOKUP($A130,'NonXtal_SegEnds_BW#'!$A:$Z,7,FALSE)+J130-50</f>
        <v>963</v>
      </c>
      <c r="J130" s="3">
        <v>976</v>
      </c>
      <c r="K130" s="3">
        <f>VLOOKUP($A130,'NonXtal_SegEnds_BW#'!$A:$Z,8,FALSE)+VLOOKUP($A130,A:AL,10,FALSE)-50</f>
        <v>989</v>
      </c>
      <c r="L130" s="3" t="str">
        <f>IF(ISERROR(VLOOKUP($A130,'NonXtal_SegEnds_BW#'!$A:$Z,9,FALSE)+VLOOKUP($A130,A:AL,13,FALSE)-50),"-",(VLOOKUP($A130,'NonXtal_SegEnds_BW#'!$A:$Z,9,FALSE)+VLOOKUP($A130,A:AL,13,FALSE)-50))</f>
        <v>-</v>
      </c>
      <c r="M130" s="3" t="s">
        <v>129</v>
      </c>
      <c r="N130" s="3" t="str">
        <f>IF(ISERROR(VLOOKUP($A130,'NonXtal_SegEnds_BW#'!$A:$Z,10,FALSE)+VLOOKUP($A130,A:AL,13,FALSE)-50),"-",(VLOOKUP($A130,'NonXtal_SegEnds_BW#'!$A:$Z,10,FALSE)+VLOOKUP($A130,A:AL,13,FALSE)-50))</f>
        <v>-</v>
      </c>
      <c r="O130" s="3">
        <f>VLOOKUP($A130,'NonXtal_SegEnds_BW#'!$A:$Z,11,FALSE)+VLOOKUP($A130,A:AL,16,FALSE)-50</f>
        <v>994</v>
      </c>
      <c r="P130" s="3">
        <v>1021</v>
      </c>
      <c r="Q130" s="3">
        <f>VLOOKUP($A130,'NonXtal_SegEnds_BW#'!$A:$Z,12,FALSE)+VLOOKUP($A130,A:AL,16,FALSE)-50</f>
        <v>1027</v>
      </c>
      <c r="R130" s="3" t="str">
        <f>IF(ISERROR(VLOOKUP($A130,'NonXtal_SegEnds_BW#'!$A:$Z,13,FALSE)+VLOOKUP($A130,A:AL,19,FALSE)-50),"-",VLOOKUP($A130,'NonXtal_SegEnds_BW#'!$A:$Z,13,FALSE)+VLOOKUP($A130,A:AL,19,FALSE)-50)</f>
        <v>-</v>
      </c>
      <c r="S130" s="3" t="s">
        <v>129</v>
      </c>
      <c r="T130" s="3" t="str">
        <f>IF(ISERROR(VLOOKUP($A130,'NonXtal_SegEnds_BW#'!$A:$Z,14,FALSE)+VLOOKUP($A130,A:AL,19,FALSE)-50),"-",(VLOOKUP($A130,'NonXtal_SegEnds_BW#'!$A:$Z,14,FALSE)+VLOOKUP($A130,A:AL,19,FALSE)-50))</f>
        <v>-</v>
      </c>
      <c r="U130" s="3">
        <f>IF(ISERROR(VLOOKUP($A130,'NonXtal_SegEnds_BW#'!$A:$Z,15,FALSE)+VLOOKUP($A130,A:AL,22,FALSE)-50),"-",VLOOKUP($A130,'NonXtal_SegEnds_BW#'!$A:$Z,15,FALSE)+VLOOKUP($A130,A:AL,22,FALSE)-50)</f>
        <v>1033</v>
      </c>
      <c r="V130" s="3">
        <v>1043</v>
      </c>
      <c r="W130" s="3">
        <f>IF(ISERROR(VLOOKUP($A130,'NonXtal_SegEnds_BW#'!$A:$Z,16,FALSE)+VLOOKUP($A130,A:AL,22,FALSE)-50),"-",(VLOOKUP($A130,'NonXtal_SegEnds_BW#'!$A:$Z,16,FALSE)+VLOOKUP($A130,A:AL,22,FALSE)-50))</f>
        <v>1061</v>
      </c>
      <c r="X130" s="3">
        <f>IF(ISERROR(VLOOKUP($A130,'NonXtal_SegEnds_BW#'!$A:$Z,17,FALSE)+VLOOKUP($A130,A:AL,25,FALSE)-50),"-",(VLOOKUP($A130,'NonXtal_SegEnds_BW#'!$A:$Z,17,FALSE)+VLOOKUP($A130,A:AL,25,FALSE)-50))</f>
        <v>1068</v>
      </c>
      <c r="Y130" s="3">
        <v>1068</v>
      </c>
      <c r="Z130" s="3">
        <f t="shared" si="67"/>
        <v>1070</v>
      </c>
      <c r="AA130" s="3">
        <f>IF(ISERROR(VLOOKUP($A130,'NonXtal_SegEnds_BW#'!$A:$Z,19,FALSE)+VLOOKUP($A130,A:AL,28,FALSE)-50),"-",(VLOOKUP($A130,'NonXtal_SegEnds_BW#'!$A:$Z,19,FALSE)+VLOOKUP($A130,A:AL,28,FALSE)-50))</f>
        <v>1073</v>
      </c>
      <c r="AB130" s="3">
        <v>1087</v>
      </c>
      <c r="AC130" s="3">
        <f>IF(ISERROR((VLOOKUP($A130,'NonXtal_SegEnds_BW#'!$A:$Z,20,FALSE)+VLOOKUP($A130,A:AL,28,FALSE)-50)),"-",(VLOOKUP($A130,'NonXtal_SegEnds_BW#'!$A:$Z,20,FALSE)+VLOOKUP($A130,A:AL,28,FALSE)-50))</f>
        <v>1106</v>
      </c>
      <c r="AD130" s="3">
        <f>IF(ISERROR(VLOOKUP($A130,'NonXtal_SegEnds_BW#'!$A:$Z,21,FALSE)+VLOOKUP($A130,A:AL,31,FALSE)-50),"-",(VLOOKUP($A130,'NonXtal_SegEnds_BW#'!$A:$Z,21,FALSE)+VLOOKUP($A130,A:AL,31,FALSE)-50))</f>
        <v>1149</v>
      </c>
      <c r="AE130" s="3">
        <v>1170</v>
      </c>
      <c r="AF130" s="3">
        <f>IF(ISERROR((VLOOKUP($A130,'NonXtal_SegEnds_BW#'!$A:$Z,22,FALSE)+VLOOKUP($A130,A:AL,31,FALSE)-50)),"-",(VLOOKUP($A130,'NonXtal_SegEnds_BW#'!$A:$Z,22,FALSE)+VLOOKUP($A130,A:AL,31,FALSE)-50))</f>
        <v>1173</v>
      </c>
      <c r="AG130" s="3">
        <f>IF(ISERROR(VLOOKUP($A130,'NonXtal_SegEnds_BW#'!$A:$Z,23,FALSE)+VLOOKUP($A130,A:AL,34,FALSE)-50),"-",(VLOOKUP($A130,'NonXtal_SegEnds_BW#'!$A:$Z,23,FALSE)+VLOOKUP($A130,A:AL,34,FALSE)-50))</f>
        <v>1180</v>
      </c>
      <c r="AH130" s="3">
        <v>1199</v>
      </c>
      <c r="AI130" s="3">
        <f>IF(ISERROR((VLOOKUP($A130,'NonXtal_SegEnds_BW#'!$A:$Z,24,FALSE)+VLOOKUP($A130,A:AL,34,FALSE)-50)),"-",(VLOOKUP($A130,'NonXtal_SegEnds_BW#'!$A:$Z,24,FALSE)+VLOOKUP($A130,A:AL,34,FALSE)-50))</f>
        <v>1205</v>
      </c>
      <c r="AJ130" s="3">
        <f>IF(ISERROR(VLOOKUP($A130,'NonXtal_SegEnds_BW#'!$A:$Z,25,FALSE)+VLOOKUP($A130,A:AL,37,FALSE)-50),"-",(VLOOKUP($A130,'NonXtal_SegEnds_BW#'!$A:$Z,25,FALSE)+VLOOKUP($A130,A:AL,37,FALSE)-50))</f>
        <v>1206</v>
      </c>
      <c r="AK130" s="3">
        <v>1209</v>
      </c>
      <c r="AL130" s="3">
        <f>IF(ISERROR((VLOOKUP($A130,'NonXtal_SegEnds_BW#'!$A:$Z,26,FALSE)+VLOOKUP($A130,A:AL,37,FALSE)-50)),"-",(VLOOKUP($A130,'NonXtal_SegEnds_BW#'!$A:$Z,26,FALSE)+VLOOKUP($A130,A:AL,37,FALSE)-50))</f>
        <v>1222</v>
      </c>
      <c r="AM130" s="71" t="str">
        <f>VLOOKUP(A130,Classification!A:B,2,FALSE)</f>
        <v>B2</v>
      </c>
      <c r="AN130" s="71" t="b">
        <f t="shared" ref="AN130:AN193" si="69">AND(C130&lt;E130,OR(E130&lt;F130,F130="-"),OR(F130&lt;H130,F130="-"),OR(H130&lt;I130,H130="-"),I130&lt;K130,OR(K130&lt;L130,L130="-"),OR(L130&lt;N130,L130="-"),OR(N130&lt;O130,N130="-"),O130&lt;Q130,OR(Q130&lt;R130,R130="-"),OR(R130&lt;T130,R130="-"),OR(T130&lt;U130,T130="-"),U130&lt;W130,OR(W130&lt;X130,X130="-"),OR(X130&lt;Z130,X130="-"),OR(Z130&lt;AA130,Z130="-"),AA130&lt;AC130,AC130&lt;AD130,AD130&lt;AF130,AF130&lt;AG130,AG130&lt;AI130,OR(AI130&lt;AJ130,AJ130="-"),OR(AJ130&lt;AL130,AJ130="-"))</f>
        <v>1</v>
      </c>
      <c r="AO130" s="3" t="str">
        <f t="shared" ref="AO130:AO193" si="70">IF(ISERROR(F130-E130),"-",F130-E130)</f>
        <v>-</v>
      </c>
      <c r="AP130" s="3" t="str">
        <f t="shared" ref="AP130:AP193" si="71">IF(ISERROR(I130-H130),"-",I130-H130)</f>
        <v>-</v>
      </c>
      <c r="AQ130" s="3" t="str">
        <f t="shared" ref="AQ130:AQ193" si="72">IF(ISERROR(L130-K130),"-",L130-K130)</f>
        <v>-</v>
      </c>
      <c r="AR130" s="3" t="str">
        <f t="shared" ref="AR130:AR193" si="73">IF(ISERROR(O130-N130),"-",O130-N130)</f>
        <v>-</v>
      </c>
      <c r="AS130" s="3" t="str">
        <f t="shared" ref="AS130:AS193" si="74">IF(ISERROR(R130-Q130),"-",R130-Q130)</f>
        <v>-</v>
      </c>
      <c r="AT130" s="3" t="str">
        <f t="shared" ref="AT130:AT193" si="75">IF(ISERROR(U130-T130),"-",U130-T130)</f>
        <v>-</v>
      </c>
      <c r="AU130" s="3">
        <f t="shared" ref="AU130:AU193" si="76">IF(ISERROR(X130-W130),"-",X130-W130)</f>
        <v>7</v>
      </c>
      <c r="AV130" s="3">
        <f t="shared" ref="AV130:AV193" si="77">IF(ISERROR(AA130-Z130),"-",AA130-Z130)</f>
        <v>3</v>
      </c>
      <c r="AW130" s="3">
        <f t="shared" ref="AW130:AW193" si="78">IF(ISERROR(AD130-AC130),"-",AD130-AC130)</f>
        <v>43</v>
      </c>
      <c r="AX130" s="3">
        <f t="shared" ref="AX130:AX193" si="79">IF(ISERROR(AG130-AF130),"-",AG130-AF130)</f>
        <v>7</v>
      </c>
      <c r="AY130" s="3">
        <f t="shared" ref="AY130:AY193" si="80">IF(ISERROR(AJ130-AI130),"-",AJ130-AI130)</f>
        <v>1</v>
      </c>
      <c r="AZ130" s="3">
        <f>IF(ISERROR(LEN(VLOOKUP(A130,Seqs!A:E,2,FALSE))-AL130),"-",LEN(VLOOKUP(A130,Seqs!A:E,2,FALSE))-AL130)</f>
        <v>363</v>
      </c>
      <c r="BA130" s="35">
        <f t="shared" ref="BA130:BA193" si="81">J130-D130</f>
        <v>29</v>
      </c>
      <c r="BB130" s="3" t="str">
        <f t="shared" ref="BB130:BB193" si="82">IF(ISERROR(V130-S130),"-",V130-S130)</f>
        <v>-</v>
      </c>
      <c r="BC130" s="3">
        <f t="shared" ref="BC130:BC193" si="83">J130-D130</f>
        <v>29</v>
      </c>
      <c r="BD130" s="3">
        <f t="shared" ref="BD130:BD193" si="84">AE130-AB130</f>
        <v>83</v>
      </c>
    </row>
    <row r="131" spans="1:57" s="3" customFormat="1" x14ac:dyDescent="0.2">
      <c r="A131" s="3" t="s">
        <v>1400</v>
      </c>
      <c r="B131" s="3" t="str">
        <f>LOWER(VLOOKUP(A131,Xtal_Templ!A:B,2,FALSE))</f>
        <v>crfr1_human</v>
      </c>
      <c r="C131" s="3">
        <f>VLOOKUP($A131,'NonXtal_SegEnds_BW#'!$A:$Z,3,FALSE)+D131-50</f>
        <v>865</v>
      </c>
      <c r="D131" s="3">
        <v>892</v>
      </c>
      <c r="E131" s="3">
        <f>IF(ISERROR(VLOOKUP($A131,'NonXtal_SegEnds_BW#'!$A:$Z,4,FALSE)+VLOOKUP($A131,A:AL,4,FALSE)-50),"-",(VLOOKUP($A131,'NonXtal_SegEnds_BW#'!$A:$Z,4,FALSE)+VLOOKUP($A131,A:AL,4,FALSE)-50))</f>
        <v>902</v>
      </c>
      <c r="F131" s="3" t="s">
        <v>129</v>
      </c>
      <c r="G131" s="3" t="s">
        <v>129</v>
      </c>
      <c r="H131" s="3" t="s">
        <v>129</v>
      </c>
      <c r="I131" s="3">
        <f>VLOOKUP($A131,'NonXtal_SegEnds_BW#'!$A:$Z,7,FALSE)+J131-50</f>
        <v>908</v>
      </c>
      <c r="J131" s="3">
        <v>921</v>
      </c>
      <c r="K131" s="3">
        <f>VLOOKUP($A131,'NonXtal_SegEnds_BW#'!$A:$Z,8,FALSE)+VLOOKUP($A131,A:AL,10,FALSE)-50</f>
        <v>934</v>
      </c>
      <c r="L131" s="3" t="str">
        <f>IF(ISERROR(VLOOKUP($A131,'NonXtal_SegEnds_BW#'!$A:$Z,9,FALSE)+VLOOKUP($A131,A:AL,13,FALSE)-50),"-",(VLOOKUP($A131,'NonXtal_SegEnds_BW#'!$A:$Z,9,FALSE)+VLOOKUP($A131,A:AL,13,FALSE)-50))</f>
        <v>-</v>
      </c>
      <c r="M131" s="3" t="s">
        <v>129</v>
      </c>
      <c r="N131" s="3" t="str">
        <f>IF(ISERROR(VLOOKUP($A131,'NonXtal_SegEnds_BW#'!$A:$Z,10,FALSE)+VLOOKUP($A131,A:AL,13,FALSE)-50),"-",(VLOOKUP($A131,'NonXtal_SegEnds_BW#'!$A:$Z,10,FALSE)+VLOOKUP($A131,A:AL,13,FALSE)-50))</f>
        <v>-</v>
      </c>
      <c r="O131" s="3">
        <f>VLOOKUP($A131,'NonXtal_SegEnds_BW#'!$A:$Z,11,FALSE)+VLOOKUP($A131,A:AL,16,FALSE)-50</f>
        <v>939</v>
      </c>
      <c r="P131" s="3">
        <v>966</v>
      </c>
      <c r="Q131" s="3">
        <f>VLOOKUP($A131,'NonXtal_SegEnds_BW#'!$A:$Z,12,FALSE)+VLOOKUP($A131,A:AL,16,FALSE)-50</f>
        <v>972</v>
      </c>
      <c r="R131" s="3" t="str">
        <f>IF(ISERROR(VLOOKUP($A131,'NonXtal_SegEnds_BW#'!$A:$Z,13,FALSE)+VLOOKUP($A131,A:AL,19,FALSE)-50),"-",VLOOKUP($A131,'NonXtal_SegEnds_BW#'!$A:$Z,13,FALSE)+VLOOKUP($A131,A:AL,19,FALSE)-50)</f>
        <v>-</v>
      </c>
      <c r="S131" s="3" t="s">
        <v>129</v>
      </c>
      <c r="T131" s="3" t="str">
        <f>IF(ISERROR(VLOOKUP($A131,'NonXtal_SegEnds_BW#'!$A:$Z,14,FALSE)+VLOOKUP($A131,A:AL,19,FALSE)-50),"-",(VLOOKUP($A131,'NonXtal_SegEnds_BW#'!$A:$Z,14,FALSE)+VLOOKUP($A131,A:AL,19,FALSE)-50))</f>
        <v>-</v>
      </c>
      <c r="U131" s="3">
        <f>IF(ISERROR(VLOOKUP($A131,'NonXtal_SegEnds_BW#'!$A:$Z,15,FALSE)+VLOOKUP($A131,A:AL,22,FALSE)-50),"-",VLOOKUP($A131,'NonXtal_SegEnds_BW#'!$A:$Z,15,FALSE)+VLOOKUP($A131,A:AL,22,FALSE)-50)</f>
        <v>978</v>
      </c>
      <c r="V131" s="3">
        <v>988</v>
      </c>
      <c r="W131" s="3">
        <f>IF(ISERROR(VLOOKUP($A131,'NonXtal_SegEnds_BW#'!$A:$Z,16,FALSE)+VLOOKUP($A131,A:AL,22,FALSE)-50),"-",(VLOOKUP($A131,'NonXtal_SegEnds_BW#'!$A:$Z,16,FALSE)+VLOOKUP($A131,A:AL,22,FALSE)-50))</f>
        <v>1006</v>
      </c>
      <c r="X131" s="3">
        <f>IF(ISERROR(VLOOKUP($A131,'NonXtal_SegEnds_BW#'!$A:$Z,17,FALSE)+VLOOKUP($A131,A:AL,25,FALSE)-50),"-",(VLOOKUP($A131,'NonXtal_SegEnds_BW#'!$A:$Z,17,FALSE)+VLOOKUP($A131,A:AL,25,FALSE)-50))</f>
        <v>1013</v>
      </c>
      <c r="Y131" s="3">
        <v>1013</v>
      </c>
      <c r="Z131" s="3">
        <f t="shared" si="67"/>
        <v>1015</v>
      </c>
      <c r="AA131" s="3">
        <f>IF(ISERROR(VLOOKUP($A131,'NonXtal_SegEnds_BW#'!$A:$Z,19,FALSE)+VLOOKUP($A131,A:AL,28,FALSE)-50),"-",(VLOOKUP($A131,'NonXtal_SegEnds_BW#'!$A:$Z,19,FALSE)+VLOOKUP($A131,A:AL,28,FALSE)-50))</f>
        <v>1018</v>
      </c>
      <c r="AB131" s="3">
        <v>1032</v>
      </c>
      <c r="AC131" s="3">
        <f>IF(ISERROR((VLOOKUP($A131,'NonXtal_SegEnds_BW#'!$A:$Z,20,FALSE)+VLOOKUP($A131,A:AL,28,FALSE)-50)),"-",(VLOOKUP($A131,'NonXtal_SegEnds_BW#'!$A:$Z,20,FALSE)+VLOOKUP($A131,A:AL,28,FALSE)-50))</f>
        <v>1051</v>
      </c>
      <c r="AD131" s="3">
        <f>IF(ISERROR(VLOOKUP($A131,'NonXtal_SegEnds_BW#'!$A:$Z,21,FALSE)+VLOOKUP($A131,A:AL,31,FALSE)-50),"-",(VLOOKUP($A131,'NonXtal_SegEnds_BW#'!$A:$Z,21,FALSE)+VLOOKUP($A131,A:AL,31,FALSE)-50))</f>
        <v>1094</v>
      </c>
      <c r="AE131" s="3">
        <v>1115</v>
      </c>
      <c r="AF131" s="3">
        <f>IF(ISERROR((VLOOKUP($A131,'NonXtal_SegEnds_BW#'!$A:$Z,22,FALSE)+VLOOKUP($A131,A:AL,31,FALSE)-50)),"-",(VLOOKUP($A131,'NonXtal_SegEnds_BW#'!$A:$Z,22,FALSE)+VLOOKUP($A131,A:AL,31,FALSE)-50))</f>
        <v>1118</v>
      </c>
      <c r="AG131" s="3">
        <f>IF(ISERROR(VLOOKUP($A131,'NonXtal_SegEnds_BW#'!$A:$Z,23,FALSE)+VLOOKUP($A131,A:AL,34,FALSE)-50),"-",(VLOOKUP($A131,'NonXtal_SegEnds_BW#'!$A:$Z,23,FALSE)+VLOOKUP($A131,A:AL,34,FALSE)-50))</f>
        <v>1125</v>
      </c>
      <c r="AH131" s="3">
        <v>1144</v>
      </c>
      <c r="AI131" s="3">
        <f>IF(ISERROR((VLOOKUP($A131,'NonXtal_SegEnds_BW#'!$A:$Z,24,FALSE)+VLOOKUP($A131,A:AL,34,FALSE)-50)),"-",(VLOOKUP($A131,'NonXtal_SegEnds_BW#'!$A:$Z,24,FALSE)+VLOOKUP($A131,A:AL,34,FALSE)-50))</f>
        <v>1150</v>
      </c>
      <c r="AJ131" s="3">
        <f>IF(ISERROR(VLOOKUP($A131,'NonXtal_SegEnds_BW#'!$A:$Z,25,FALSE)+VLOOKUP($A131,A:AL,37,FALSE)-50),"-",(VLOOKUP($A131,'NonXtal_SegEnds_BW#'!$A:$Z,25,FALSE)+VLOOKUP($A131,A:AL,37,FALSE)-50))</f>
        <v>1151</v>
      </c>
      <c r="AK131" s="3">
        <v>1154</v>
      </c>
      <c r="AL131" s="3">
        <f>IF(ISERROR((VLOOKUP($A131,'NonXtal_SegEnds_BW#'!$A:$Z,26,FALSE)+VLOOKUP($A131,A:AL,37,FALSE)-50)),"-",(VLOOKUP($A131,'NonXtal_SegEnds_BW#'!$A:$Z,26,FALSE)+VLOOKUP($A131,A:AL,37,FALSE)-50))</f>
        <v>1167</v>
      </c>
      <c r="AM131" s="71" t="str">
        <f>VLOOKUP(A131,Classification!A:B,2,FALSE)</f>
        <v>B2</v>
      </c>
      <c r="AN131" s="71" t="b">
        <f t="shared" si="69"/>
        <v>1</v>
      </c>
      <c r="AO131" s="3" t="str">
        <f t="shared" si="70"/>
        <v>-</v>
      </c>
      <c r="AP131" s="3" t="str">
        <f t="shared" si="71"/>
        <v>-</v>
      </c>
      <c r="AQ131" s="3" t="str">
        <f t="shared" si="72"/>
        <v>-</v>
      </c>
      <c r="AR131" s="3" t="str">
        <f t="shared" si="73"/>
        <v>-</v>
      </c>
      <c r="AS131" s="3" t="str">
        <f t="shared" si="74"/>
        <v>-</v>
      </c>
      <c r="AT131" s="3" t="str">
        <f t="shared" si="75"/>
        <v>-</v>
      </c>
      <c r="AU131" s="3">
        <f t="shared" si="76"/>
        <v>7</v>
      </c>
      <c r="AV131" s="3">
        <f t="shared" si="77"/>
        <v>3</v>
      </c>
      <c r="AW131" s="3">
        <f t="shared" si="78"/>
        <v>43</v>
      </c>
      <c r="AX131" s="3">
        <f t="shared" si="79"/>
        <v>7</v>
      </c>
      <c r="AY131" s="3">
        <f t="shared" si="80"/>
        <v>1</v>
      </c>
      <c r="AZ131" s="3">
        <f>IF(ISERROR(LEN(VLOOKUP(A131,Seqs!A:E,2,FALSE))-AL131),"-",LEN(VLOOKUP(A131,Seqs!A:E,2,FALSE))-AL131)</f>
        <v>355</v>
      </c>
      <c r="BA131" s="35">
        <f t="shared" si="81"/>
        <v>29</v>
      </c>
      <c r="BB131" s="3" t="str">
        <f t="shared" si="82"/>
        <v>-</v>
      </c>
      <c r="BC131" s="3">
        <f t="shared" si="83"/>
        <v>29</v>
      </c>
      <c r="BD131" s="3">
        <f t="shared" si="84"/>
        <v>83</v>
      </c>
    </row>
    <row r="132" spans="1:57" s="3" customFormat="1" x14ac:dyDescent="0.2">
      <c r="A132" s="3" t="s">
        <v>630</v>
      </c>
      <c r="B132" s="3" t="str">
        <f>LOWER(VLOOKUP(A132,Xtal_Templ!A:B,2,FALSE))</f>
        <v>crfr1_human</v>
      </c>
      <c r="C132" s="3">
        <f>VLOOKUP($A132,'NonXtal_SegEnds_BW#'!$A:$Z,3,FALSE)+D132-50</f>
        <v>852</v>
      </c>
      <c r="D132" s="3">
        <v>879</v>
      </c>
      <c r="E132" s="3">
        <f>IF(ISERROR(VLOOKUP($A132,'NonXtal_SegEnds_BW#'!$A:$Z,4,FALSE)+VLOOKUP($A132,A:AL,4,FALSE)-50),"-",(VLOOKUP($A132,'NonXtal_SegEnds_BW#'!$A:$Z,4,FALSE)+VLOOKUP($A132,A:AL,4,FALSE)-50))</f>
        <v>889</v>
      </c>
      <c r="F132" s="3">
        <f>G132-2</f>
        <v>890</v>
      </c>
      <c r="G132" s="3">
        <v>892</v>
      </c>
      <c r="H132" s="3">
        <f t="shared" ref="H132:I134" si="85">G132+1</f>
        <v>893</v>
      </c>
      <c r="I132" s="3">
        <f t="shared" si="85"/>
        <v>894</v>
      </c>
      <c r="J132" s="3">
        <v>908</v>
      </c>
      <c r="K132" s="3">
        <f>VLOOKUP($A132,'NonXtal_SegEnds_BW#'!$A:$Z,8,FALSE)+VLOOKUP($A132,A:AL,10,FALSE)-50</f>
        <v>921</v>
      </c>
      <c r="L132" s="3" t="str">
        <f>IF(ISERROR(VLOOKUP($A132,'NonXtal_SegEnds_BW#'!$A:$Z,9,FALSE)+VLOOKUP($A132,A:AL,13,FALSE)-50),"-",(VLOOKUP($A132,'NonXtal_SegEnds_BW#'!$A:$Z,9,FALSE)+VLOOKUP($A132,A:AL,13,FALSE)-50))</f>
        <v>-</v>
      </c>
      <c r="M132" s="3" t="s">
        <v>129</v>
      </c>
      <c r="N132" s="3" t="str">
        <f>IF(ISERROR(VLOOKUP($A132,'NonXtal_SegEnds_BW#'!$A:$Z,10,FALSE)+VLOOKUP($A132,A:AL,13,FALSE)-50),"-",(VLOOKUP($A132,'NonXtal_SegEnds_BW#'!$A:$Z,10,FALSE)+VLOOKUP($A132,A:AL,13,FALSE)-50))</f>
        <v>-</v>
      </c>
      <c r="O132" s="3">
        <f>VLOOKUP($A132,'NonXtal_SegEnds_BW#'!$A:$Z,11,FALSE)+VLOOKUP($A132,A:AL,16,FALSE)-50</f>
        <v>928</v>
      </c>
      <c r="P132" s="3">
        <v>955</v>
      </c>
      <c r="Q132" s="3">
        <f>VLOOKUP($A132,'NonXtal_SegEnds_BW#'!$A:$Z,12,FALSE)+VLOOKUP($A132,A:AL,16,FALSE)-50</f>
        <v>961</v>
      </c>
      <c r="R132" s="3" t="str">
        <f>IF(ISERROR(VLOOKUP($A132,'NonXtal_SegEnds_BW#'!$A:$Z,13,FALSE)+VLOOKUP($A132,A:AL,19,FALSE)-50),"-",VLOOKUP($A132,'NonXtal_SegEnds_BW#'!$A:$Z,13,FALSE)+VLOOKUP($A132,A:AL,19,FALSE)-50)</f>
        <v>-</v>
      </c>
      <c r="S132" s="3" t="s">
        <v>129</v>
      </c>
      <c r="T132" s="3" t="str">
        <f>IF(ISERROR(VLOOKUP($A132,'NonXtal_SegEnds_BW#'!$A:$Z,14,FALSE)+VLOOKUP($A132,A:AL,19,FALSE)-50),"-",(VLOOKUP($A132,'NonXtal_SegEnds_BW#'!$A:$Z,14,FALSE)+VLOOKUP($A132,A:AL,19,FALSE)-50))</f>
        <v>-</v>
      </c>
      <c r="U132" s="3">
        <f>IF(ISERROR(VLOOKUP($A132,'NonXtal_SegEnds_BW#'!$A:$Z,15,FALSE)+VLOOKUP($A132,A:AL,22,FALSE)-50),"-",VLOOKUP($A132,'NonXtal_SegEnds_BW#'!$A:$Z,15,FALSE)+VLOOKUP($A132,A:AL,22,FALSE)-50)</f>
        <v>969</v>
      </c>
      <c r="V132" s="3">
        <v>979</v>
      </c>
      <c r="W132" s="3">
        <f>IF(ISERROR(VLOOKUP($A132,'NonXtal_SegEnds_BW#'!$A:$Z,16,FALSE)+VLOOKUP($A132,A:AL,22,FALSE)-50),"-",(VLOOKUP($A132,'NonXtal_SegEnds_BW#'!$A:$Z,16,FALSE)+VLOOKUP($A132,A:AL,22,FALSE)-50))</f>
        <v>997</v>
      </c>
      <c r="X132" s="3">
        <f>IF(ISERROR(VLOOKUP($A132,'NonXtal_SegEnds_BW#'!$A:$Z,17,FALSE)+VLOOKUP($A132,A:AL,25,FALSE)-50),"-",(VLOOKUP($A132,'NonXtal_SegEnds_BW#'!$A:$Z,17,FALSE)+VLOOKUP($A132,A:AL,25,FALSE)-50))</f>
        <v>1013</v>
      </c>
      <c r="Y132" s="3">
        <v>1013</v>
      </c>
      <c r="Z132" s="3">
        <f t="shared" si="67"/>
        <v>1015</v>
      </c>
      <c r="AA132" s="3">
        <f>IF(ISERROR(VLOOKUP($A132,'NonXtal_SegEnds_BW#'!$A:$Z,19,FALSE)+VLOOKUP($A132,A:AL,28,FALSE)-50),"-",(VLOOKUP($A132,'NonXtal_SegEnds_BW#'!$A:$Z,19,FALSE)+VLOOKUP($A132,A:AL,28,FALSE)-50))</f>
        <v>1018</v>
      </c>
      <c r="AB132" s="3">
        <v>1032</v>
      </c>
      <c r="AC132" s="3">
        <f>IF(ISERROR((VLOOKUP($A132,'NonXtal_SegEnds_BW#'!$A:$Z,20,FALSE)+VLOOKUP($A132,A:AL,28,FALSE)-50)),"-",(VLOOKUP($A132,'NonXtal_SegEnds_BW#'!$A:$Z,20,FALSE)+VLOOKUP($A132,A:AL,28,FALSE)-50))</f>
        <v>1051</v>
      </c>
      <c r="AD132" s="3">
        <f>IF(ISERROR(VLOOKUP($A132,'NonXtal_SegEnds_BW#'!$A:$Z,21,FALSE)+VLOOKUP($A132,A:AL,31,FALSE)-50),"-",(VLOOKUP($A132,'NonXtal_SegEnds_BW#'!$A:$Z,21,FALSE)+VLOOKUP($A132,A:AL,31,FALSE)-50))</f>
        <v>1062</v>
      </c>
      <c r="AE132" s="3">
        <v>1083</v>
      </c>
      <c r="AF132" s="3">
        <f>IF(ISERROR((VLOOKUP($A132,'NonXtal_SegEnds_BW#'!$A:$Z,22,FALSE)+VLOOKUP($A132,A:AL,31,FALSE)-50)),"-",(VLOOKUP($A132,'NonXtal_SegEnds_BW#'!$A:$Z,22,FALSE)+VLOOKUP($A132,A:AL,31,FALSE)-50))</f>
        <v>1086</v>
      </c>
      <c r="AG132" s="3">
        <f>IF(ISERROR(VLOOKUP($A132,'NonXtal_SegEnds_BW#'!$A:$Z,23,FALSE)+VLOOKUP($A132,A:AL,34,FALSE)-50),"-",(VLOOKUP($A132,'NonXtal_SegEnds_BW#'!$A:$Z,23,FALSE)+VLOOKUP($A132,A:AL,34,FALSE)-50))</f>
        <v>1092</v>
      </c>
      <c r="AH132" s="3">
        <v>1111</v>
      </c>
      <c r="AI132" s="3">
        <f>IF(ISERROR((VLOOKUP($A132,'NonXtal_SegEnds_BW#'!$A:$Z,24,FALSE)+VLOOKUP($A132,A:AL,34,FALSE)-50)),"-",(VLOOKUP($A132,'NonXtal_SegEnds_BW#'!$A:$Z,24,FALSE)+VLOOKUP($A132,A:AL,34,FALSE)-50))</f>
        <v>1117</v>
      </c>
      <c r="AJ132" s="3">
        <f>IF(ISERROR(VLOOKUP($A132,'NonXtal_SegEnds_BW#'!$A:$Z,25,FALSE)+VLOOKUP($A132,A:AL,37,FALSE)-50),"-",(VLOOKUP($A132,'NonXtal_SegEnds_BW#'!$A:$Z,25,FALSE)+VLOOKUP($A132,A:AL,37,FALSE)-50))</f>
        <v>1118</v>
      </c>
      <c r="AK132" s="3">
        <v>1121</v>
      </c>
      <c r="AL132" s="3">
        <f>IF(ISERROR((VLOOKUP($A132,'NonXtal_SegEnds_BW#'!$A:$Z,26,FALSE)+VLOOKUP($A132,A:AL,37,FALSE)-50)),"-",(VLOOKUP($A132,'NonXtal_SegEnds_BW#'!$A:$Z,26,FALSE)+VLOOKUP($A132,A:AL,37,FALSE)-50))</f>
        <v>1134</v>
      </c>
      <c r="AM132" s="71" t="str">
        <f>VLOOKUP(A132,Classification!A:B,2,FALSE)</f>
        <v>B2</v>
      </c>
      <c r="AN132" s="71" t="b">
        <f t="shared" si="69"/>
        <v>1</v>
      </c>
      <c r="AO132" s="3">
        <f t="shared" si="70"/>
        <v>1</v>
      </c>
      <c r="AP132" s="3">
        <f t="shared" si="71"/>
        <v>1</v>
      </c>
      <c r="AQ132" s="3" t="str">
        <f t="shared" si="72"/>
        <v>-</v>
      </c>
      <c r="AR132" s="3" t="str">
        <f t="shared" si="73"/>
        <v>-</v>
      </c>
      <c r="AS132" s="3" t="str">
        <f t="shared" si="74"/>
        <v>-</v>
      </c>
      <c r="AT132" s="3" t="str">
        <f t="shared" si="75"/>
        <v>-</v>
      </c>
      <c r="AU132" s="3">
        <f t="shared" si="76"/>
        <v>16</v>
      </c>
      <c r="AV132" s="3">
        <f t="shared" si="77"/>
        <v>3</v>
      </c>
      <c r="AW132" s="3">
        <f t="shared" si="78"/>
        <v>11</v>
      </c>
      <c r="AX132" s="3">
        <f t="shared" si="79"/>
        <v>6</v>
      </c>
      <c r="AY132" s="3">
        <f t="shared" si="80"/>
        <v>1</v>
      </c>
      <c r="AZ132" s="3">
        <f>IF(ISERROR(LEN(VLOOKUP(A132,Seqs!A:E,2,FALSE))-AL132),"-",LEN(VLOOKUP(A132,Seqs!A:E,2,FALSE))-AL132)</f>
        <v>87</v>
      </c>
      <c r="BA132" s="35">
        <f t="shared" si="81"/>
        <v>29</v>
      </c>
      <c r="BB132" s="3" t="str">
        <f t="shared" si="82"/>
        <v>-</v>
      </c>
      <c r="BC132" s="3">
        <f t="shared" si="83"/>
        <v>29</v>
      </c>
      <c r="BD132" s="3">
        <f t="shared" si="84"/>
        <v>51</v>
      </c>
    </row>
    <row r="133" spans="1:57" s="3" customFormat="1" x14ac:dyDescent="0.2">
      <c r="A133" s="3" t="s">
        <v>1420</v>
      </c>
      <c r="B133" s="3" t="str">
        <f>LOWER(VLOOKUP(A133,Xtal_Templ!A:B,2,FALSE))</f>
        <v>crfr1_human</v>
      </c>
      <c r="C133" s="3">
        <f>VLOOKUP($A133,'NonXtal_SegEnds_BW#'!$A:$Z,3,FALSE)+D133-50</f>
        <v>852</v>
      </c>
      <c r="D133" s="3">
        <v>879</v>
      </c>
      <c r="E133" s="3">
        <f>IF(ISERROR(VLOOKUP($A133,'NonXtal_SegEnds_BW#'!$A:$Z,4,FALSE)+VLOOKUP($A133,A:AL,4,FALSE)-50),"-",(VLOOKUP($A133,'NonXtal_SegEnds_BW#'!$A:$Z,4,FALSE)+VLOOKUP($A133,A:AL,4,FALSE)-50))</f>
        <v>889</v>
      </c>
      <c r="F133" s="3">
        <f>G133-2</f>
        <v>890</v>
      </c>
      <c r="G133" s="3">
        <v>892</v>
      </c>
      <c r="H133" s="3">
        <f t="shared" si="85"/>
        <v>893</v>
      </c>
      <c r="I133" s="3">
        <f t="shared" si="85"/>
        <v>894</v>
      </c>
      <c r="J133" s="3">
        <v>907</v>
      </c>
      <c r="K133" s="3">
        <f>VLOOKUP($A133,'NonXtal_SegEnds_BW#'!$A:$Z,8,FALSE)+VLOOKUP($A133,A:AL,10,FALSE)-50</f>
        <v>920</v>
      </c>
      <c r="L133" s="3" t="str">
        <f>IF(ISERROR(VLOOKUP($A133,'NonXtal_SegEnds_BW#'!$A:$Z,9,FALSE)+VLOOKUP($A133,A:AL,13,FALSE)-50),"-",(VLOOKUP($A133,'NonXtal_SegEnds_BW#'!$A:$Z,9,FALSE)+VLOOKUP($A133,A:AL,13,FALSE)-50))</f>
        <v>-</v>
      </c>
      <c r="M133" s="3" t="s">
        <v>129</v>
      </c>
      <c r="N133" s="3" t="str">
        <f>IF(ISERROR(VLOOKUP($A133,'NonXtal_SegEnds_BW#'!$A:$Z,10,FALSE)+VLOOKUP($A133,A:AL,13,FALSE)-50),"-",(VLOOKUP($A133,'NonXtal_SegEnds_BW#'!$A:$Z,10,FALSE)+VLOOKUP($A133,A:AL,13,FALSE)-50))</f>
        <v>-</v>
      </c>
      <c r="O133" s="3">
        <f>VLOOKUP($A133,'NonXtal_SegEnds_BW#'!$A:$Z,11,FALSE)+VLOOKUP($A133,A:AL,16,FALSE)-50</f>
        <v>925</v>
      </c>
      <c r="P133" s="3">
        <v>952</v>
      </c>
      <c r="Q133" s="3">
        <f>VLOOKUP($A133,'NonXtal_SegEnds_BW#'!$A:$Z,12,FALSE)+VLOOKUP($A133,A:AL,16,FALSE)-50</f>
        <v>958</v>
      </c>
      <c r="R133" s="3" t="str">
        <f>IF(ISERROR(VLOOKUP($A133,'NonXtal_SegEnds_BW#'!$A:$Z,13,FALSE)+VLOOKUP($A133,A:AL,19,FALSE)-50),"-",VLOOKUP($A133,'NonXtal_SegEnds_BW#'!$A:$Z,13,FALSE)+VLOOKUP($A133,A:AL,19,FALSE)-50)</f>
        <v>-</v>
      </c>
      <c r="S133" s="3" t="s">
        <v>129</v>
      </c>
      <c r="T133" s="3" t="str">
        <f>IF(ISERROR(VLOOKUP($A133,'NonXtal_SegEnds_BW#'!$A:$Z,14,FALSE)+VLOOKUP($A133,A:AL,19,FALSE)-50),"-",(VLOOKUP($A133,'NonXtal_SegEnds_BW#'!$A:$Z,14,FALSE)+VLOOKUP($A133,A:AL,19,FALSE)-50))</f>
        <v>-</v>
      </c>
      <c r="U133" s="3">
        <f>IF(ISERROR(VLOOKUP($A133,'NonXtal_SegEnds_BW#'!$A:$Z,15,FALSE)+VLOOKUP($A133,A:AL,22,FALSE)-50),"-",VLOOKUP($A133,'NonXtal_SegEnds_BW#'!$A:$Z,15,FALSE)+VLOOKUP($A133,A:AL,22,FALSE)-50)</f>
        <v>965</v>
      </c>
      <c r="V133" s="3">
        <v>975</v>
      </c>
      <c r="W133" s="3">
        <f>IF(ISERROR(VLOOKUP($A133,'NonXtal_SegEnds_BW#'!$A:$Z,16,FALSE)+VLOOKUP($A133,A:AL,22,FALSE)-50),"-",(VLOOKUP($A133,'NonXtal_SegEnds_BW#'!$A:$Z,16,FALSE)+VLOOKUP($A133,A:AL,22,FALSE)-50))</f>
        <v>993</v>
      </c>
      <c r="X133" s="3">
        <f>IF(ISERROR(VLOOKUP($A133,'NonXtal_SegEnds_BW#'!$A:$Z,17,FALSE)+VLOOKUP($A133,A:AL,25,FALSE)-50),"-",(VLOOKUP($A133,'NonXtal_SegEnds_BW#'!$A:$Z,17,FALSE)+VLOOKUP($A133,A:AL,25,FALSE)-50))</f>
        <v>999</v>
      </c>
      <c r="Y133" s="3">
        <v>999</v>
      </c>
      <c r="Z133" s="3">
        <f t="shared" si="67"/>
        <v>1001</v>
      </c>
      <c r="AA133" s="3">
        <f>IF(ISERROR(VLOOKUP($A133,'NonXtal_SegEnds_BW#'!$A:$Z,19,FALSE)+VLOOKUP($A133,A:AL,28,FALSE)-50),"-",(VLOOKUP($A133,'NonXtal_SegEnds_BW#'!$A:$Z,19,FALSE)+VLOOKUP($A133,A:AL,28,FALSE)-50))</f>
        <v>1004</v>
      </c>
      <c r="AB133" s="3">
        <v>1018</v>
      </c>
      <c r="AC133" s="3">
        <f>IF(ISERROR((VLOOKUP($A133,'NonXtal_SegEnds_BW#'!$A:$Z,20,FALSE)+VLOOKUP($A133,A:AL,28,FALSE)-50)),"-",(VLOOKUP($A133,'NonXtal_SegEnds_BW#'!$A:$Z,20,FALSE)+VLOOKUP($A133,A:AL,28,FALSE)-50))</f>
        <v>1037</v>
      </c>
      <c r="AD133" s="3">
        <f>IF(ISERROR(VLOOKUP($A133,'NonXtal_SegEnds_BW#'!$A:$Z,21,FALSE)+VLOOKUP($A133,A:AL,31,FALSE)-50),"-",(VLOOKUP($A133,'NonXtal_SegEnds_BW#'!$A:$Z,21,FALSE)+VLOOKUP($A133,A:AL,31,FALSE)-50))</f>
        <v>1049</v>
      </c>
      <c r="AE133" s="3">
        <v>1070</v>
      </c>
      <c r="AF133" s="3">
        <f>IF(ISERROR((VLOOKUP($A133,'NonXtal_SegEnds_BW#'!$A:$Z,22,FALSE)+VLOOKUP($A133,A:AL,31,FALSE)-50)),"-",(VLOOKUP($A133,'NonXtal_SegEnds_BW#'!$A:$Z,22,FALSE)+VLOOKUP($A133,A:AL,31,FALSE)-50))</f>
        <v>1073</v>
      </c>
      <c r="AG133" s="3">
        <f>IF(ISERROR(VLOOKUP($A133,'NonXtal_SegEnds_BW#'!$A:$Z,23,FALSE)+VLOOKUP($A133,A:AL,34,FALSE)-50),"-",(VLOOKUP($A133,'NonXtal_SegEnds_BW#'!$A:$Z,23,FALSE)+VLOOKUP($A133,A:AL,34,FALSE)-50))</f>
        <v>1079</v>
      </c>
      <c r="AH133" s="3">
        <v>1098</v>
      </c>
      <c r="AI133" s="3">
        <f>IF(ISERROR((VLOOKUP($A133,'NonXtal_SegEnds_BW#'!$A:$Z,24,FALSE)+VLOOKUP($A133,A:AL,34,FALSE)-50)),"-",(VLOOKUP($A133,'NonXtal_SegEnds_BW#'!$A:$Z,24,FALSE)+VLOOKUP($A133,A:AL,34,FALSE)-50))</f>
        <v>1104</v>
      </c>
      <c r="AJ133" s="3">
        <f>IF(ISERROR(VLOOKUP($A133,'NonXtal_SegEnds_BW#'!$A:$Z,25,FALSE)+VLOOKUP($A133,A:AL,37,FALSE)-50),"-",(VLOOKUP($A133,'NonXtal_SegEnds_BW#'!$A:$Z,25,FALSE)+VLOOKUP($A133,A:AL,37,FALSE)-50))</f>
        <v>1105</v>
      </c>
      <c r="AK133" s="3">
        <v>1108</v>
      </c>
      <c r="AL133" s="3">
        <f>IF(ISERROR((VLOOKUP($A133,'NonXtal_SegEnds_BW#'!$A:$Z,26,FALSE)+VLOOKUP($A133,A:AL,37,FALSE)-50)),"-",(VLOOKUP($A133,'NonXtal_SegEnds_BW#'!$A:$Z,26,FALSE)+VLOOKUP($A133,A:AL,37,FALSE)-50))</f>
        <v>1121</v>
      </c>
      <c r="AM133" s="71" t="str">
        <f>VLOOKUP(A133,Classification!A:B,2,FALSE)</f>
        <v>B2</v>
      </c>
      <c r="AN133" s="71" t="b">
        <f t="shared" si="69"/>
        <v>1</v>
      </c>
      <c r="AO133" s="3">
        <f t="shared" si="70"/>
        <v>1</v>
      </c>
      <c r="AP133" s="3">
        <f t="shared" si="71"/>
        <v>1</v>
      </c>
      <c r="AQ133" s="3" t="str">
        <f t="shared" si="72"/>
        <v>-</v>
      </c>
      <c r="AR133" s="3" t="str">
        <f t="shared" si="73"/>
        <v>-</v>
      </c>
      <c r="AS133" s="3" t="str">
        <f t="shared" si="74"/>
        <v>-</v>
      </c>
      <c r="AT133" s="3" t="str">
        <f t="shared" si="75"/>
        <v>-</v>
      </c>
      <c r="AU133" s="3">
        <f t="shared" si="76"/>
        <v>6</v>
      </c>
      <c r="AV133" s="3">
        <f t="shared" si="77"/>
        <v>3</v>
      </c>
      <c r="AW133" s="3">
        <f t="shared" si="78"/>
        <v>12</v>
      </c>
      <c r="AX133" s="3">
        <f t="shared" si="79"/>
        <v>6</v>
      </c>
      <c r="AY133" s="3">
        <f t="shared" si="80"/>
        <v>1</v>
      </c>
      <c r="AZ133" s="3">
        <f>IF(ISERROR(LEN(VLOOKUP(A133,Seqs!A:E,2,FALSE))-AL133),"-",LEN(VLOOKUP(A133,Seqs!A:E,2,FALSE))-AL133)</f>
        <v>326</v>
      </c>
      <c r="BA133" s="35">
        <f t="shared" si="81"/>
        <v>28</v>
      </c>
      <c r="BB133" s="3" t="str">
        <f t="shared" si="82"/>
        <v>-</v>
      </c>
      <c r="BC133" s="3">
        <f t="shared" si="83"/>
        <v>28</v>
      </c>
      <c r="BD133" s="3">
        <f t="shared" si="84"/>
        <v>52</v>
      </c>
    </row>
    <row r="134" spans="1:57" s="3" customFormat="1" x14ac:dyDescent="0.2">
      <c r="A134" s="3" t="s">
        <v>1418</v>
      </c>
      <c r="B134" s="3" t="str">
        <f>LOWER(VLOOKUP(A134,Xtal_Templ!A:B,2,FALSE))</f>
        <v>crfr1_human</v>
      </c>
      <c r="C134" s="3">
        <f>VLOOKUP($A134,'NonXtal_SegEnds_BW#'!$A:$Z,3,FALSE)+D134-50</f>
        <v>848</v>
      </c>
      <c r="D134" s="3">
        <v>875</v>
      </c>
      <c r="E134" s="3">
        <f>IF(ISERROR(VLOOKUP($A134,'NonXtal_SegEnds_BW#'!$A:$Z,4,FALSE)+VLOOKUP($A134,A:AL,4,FALSE)-50),"-",(VLOOKUP($A134,'NonXtal_SegEnds_BW#'!$A:$Z,4,FALSE)+VLOOKUP($A134,A:AL,4,FALSE)-50))</f>
        <v>885</v>
      </c>
      <c r="F134" s="3">
        <f>G134-2</f>
        <v>886</v>
      </c>
      <c r="G134" s="3">
        <v>888</v>
      </c>
      <c r="H134" s="3">
        <f t="shared" si="85"/>
        <v>889</v>
      </c>
      <c r="I134" s="3">
        <f t="shared" si="85"/>
        <v>890</v>
      </c>
      <c r="J134" s="3">
        <v>903</v>
      </c>
      <c r="K134" s="3">
        <f>VLOOKUP($A134,'NonXtal_SegEnds_BW#'!$A:$Z,8,FALSE)+VLOOKUP($A134,A:AL,10,FALSE)-50</f>
        <v>916</v>
      </c>
      <c r="L134" s="3" t="str">
        <f>IF(ISERROR(VLOOKUP($A134,'NonXtal_SegEnds_BW#'!$A:$Z,9,FALSE)+VLOOKUP($A134,A:AL,13,FALSE)-50),"-",(VLOOKUP($A134,'NonXtal_SegEnds_BW#'!$A:$Z,9,FALSE)+VLOOKUP($A134,A:AL,13,FALSE)-50))</f>
        <v>-</v>
      </c>
      <c r="M134" s="3" t="s">
        <v>129</v>
      </c>
      <c r="N134" s="3" t="str">
        <f>IF(ISERROR(VLOOKUP($A134,'NonXtal_SegEnds_BW#'!$A:$Z,10,FALSE)+VLOOKUP($A134,A:AL,13,FALSE)-50),"-",(VLOOKUP($A134,'NonXtal_SegEnds_BW#'!$A:$Z,10,FALSE)+VLOOKUP($A134,A:AL,13,FALSE)-50))</f>
        <v>-</v>
      </c>
      <c r="O134" s="3">
        <f>VLOOKUP($A134,'NonXtal_SegEnds_BW#'!$A:$Z,11,FALSE)+VLOOKUP($A134,A:AL,16,FALSE)-50</f>
        <v>921</v>
      </c>
      <c r="P134" s="3">
        <v>948</v>
      </c>
      <c r="Q134" s="3">
        <f>VLOOKUP($A134,'NonXtal_SegEnds_BW#'!$A:$Z,12,FALSE)+VLOOKUP($A134,A:AL,16,FALSE)-50</f>
        <v>954</v>
      </c>
      <c r="R134" s="3" t="str">
        <f>IF(ISERROR(VLOOKUP($A134,'NonXtal_SegEnds_BW#'!$A:$Z,13,FALSE)+VLOOKUP($A134,A:AL,19,FALSE)-50),"-",VLOOKUP($A134,'NonXtal_SegEnds_BW#'!$A:$Z,13,FALSE)+VLOOKUP($A134,A:AL,19,FALSE)-50)</f>
        <v>-</v>
      </c>
      <c r="S134" s="3" t="s">
        <v>129</v>
      </c>
      <c r="T134" s="3" t="str">
        <f>IF(ISERROR(VLOOKUP($A134,'NonXtal_SegEnds_BW#'!$A:$Z,14,FALSE)+VLOOKUP($A134,A:AL,19,FALSE)-50),"-",(VLOOKUP($A134,'NonXtal_SegEnds_BW#'!$A:$Z,14,FALSE)+VLOOKUP($A134,A:AL,19,FALSE)-50))</f>
        <v>-</v>
      </c>
      <c r="U134" s="3">
        <f>IF(ISERROR(VLOOKUP($A134,'NonXtal_SegEnds_BW#'!$A:$Z,15,FALSE)+VLOOKUP($A134,A:AL,22,FALSE)-50),"-",VLOOKUP($A134,'NonXtal_SegEnds_BW#'!$A:$Z,15,FALSE)+VLOOKUP($A134,A:AL,22,FALSE)-50)</f>
        <v>961</v>
      </c>
      <c r="V134" s="3">
        <v>971</v>
      </c>
      <c r="W134" s="3">
        <f>IF(ISERROR(VLOOKUP($A134,'NonXtal_SegEnds_BW#'!$A:$Z,16,FALSE)+VLOOKUP($A134,A:AL,22,FALSE)-50),"-",(VLOOKUP($A134,'NonXtal_SegEnds_BW#'!$A:$Z,16,FALSE)+VLOOKUP($A134,A:AL,22,FALSE)-50))</f>
        <v>989</v>
      </c>
      <c r="X134" s="3">
        <f>IF(ISERROR(VLOOKUP($A134,'NonXtal_SegEnds_BW#'!$A:$Z,17,FALSE)+VLOOKUP($A134,A:AL,25,FALSE)-50),"-",(VLOOKUP($A134,'NonXtal_SegEnds_BW#'!$A:$Z,17,FALSE)+VLOOKUP($A134,A:AL,25,FALSE)-50))</f>
        <v>995</v>
      </c>
      <c r="Y134" s="3">
        <v>995</v>
      </c>
      <c r="Z134" s="3">
        <f t="shared" si="67"/>
        <v>997</v>
      </c>
      <c r="AA134" s="3">
        <f>IF(ISERROR(VLOOKUP($A134,'NonXtal_SegEnds_BW#'!$A:$Z,19,FALSE)+VLOOKUP($A134,A:AL,28,FALSE)-50),"-",(VLOOKUP($A134,'NonXtal_SegEnds_BW#'!$A:$Z,19,FALSE)+VLOOKUP($A134,A:AL,28,FALSE)-50))</f>
        <v>1000</v>
      </c>
      <c r="AB134" s="3">
        <v>1014</v>
      </c>
      <c r="AC134" s="3">
        <f>IF(ISERROR((VLOOKUP($A134,'NonXtal_SegEnds_BW#'!$A:$Z,20,FALSE)+VLOOKUP($A134,A:AL,28,FALSE)-50)),"-",(VLOOKUP($A134,'NonXtal_SegEnds_BW#'!$A:$Z,20,FALSE)+VLOOKUP($A134,A:AL,28,FALSE)-50))</f>
        <v>1033</v>
      </c>
      <c r="AD134" s="3">
        <f>IF(ISERROR(VLOOKUP($A134,'NonXtal_SegEnds_BW#'!$A:$Z,21,FALSE)+VLOOKUP($A134,A:AL,31,FALSE)-50),"-",(VLOOKUP($A134,'NonXtal_SegEnds_BW#'!$A:$Z,21,FALSE)+VLOOKUP($A134,A:AL,31,FALSE)-50))</f>
        <v>1045</v>
      </c>
      <c r="AE134" s="3">
        <v>1066</v>
      </c>
      <c r="AF134" s="3">
        <f>IF(ISERROR((VLOOKUP($A134,'NonXtal_SegEnds_BW#'!$A:$Z,22,FALSE)+VLOOKUP($A134,A:AL,31,FALSE)-50)),"-",(VLOOKUP($A134,'NonXtal_SegEnds_BW#'!$A:$Z,22,FALSE)+VLOOKUP($A134,A:AL,31,FALSE)-50))</f>
        <v>1069</v>
      </c>
      <c r="AG134" s="3">
        <f>IF(ISERROR(VLOOKUP($A134,'NonXtal_SegEnds_BW#'!$A:$Z,23,FALSE)+VLOOKUP($A134,A:AL,34,FALSE)-50),"-",(VLOOKUP($A134,'NonXtal_SegEnds_BW#'!$A:$Z,23,FALSE)+VLOOKUP($A134,A:AL,34,FALSE)-50))</f>
        <v>1075</v>
      </c>
      <c r="AH134" s="3">
        <v>1094</v>
      </c>
      <c r="AI134" s="3">
        <f>IF(ISERROR((VLOOKUP($A134,'NonXtal_SegEnds_BW#'!$A:$Z,24,FALSE)+VLOOKUP($A134,A:AL,34,FALSE)-50)),"-",(VLOOKUP($A134,'NonXtal_SegEnds_BW#'!$A:$Z,24,FALSE)+VLOOKUP($A134,A:AL,34,FALSE)-50))</f>
        <v>1100</v>
      </c>
      <c r="AJ134" s="3">
        <f>IF(ISERROR(VLOOKUP($A134,'NonXtal_SegEnds_BW#'!$A:$Z,25,FALSE)+VLOOKUP($A134,A:AL,37,FALSE)-50),"-",(VLOOKUP($A134,'NonXtal_SegEnds_BW#'!$A:$Z,25,FALSE)+VLOOKUP($A134,A:AL,37,FALSE)-50))</f>
        <v>1101</v>
      </c>
      <c r="AK134" s="3">
        <v>1104</v>
      </c>
      <c r="AL134" s="3">
        <f>IF(ISERROR((VLOOKUP($A134,'NonXtal_SegEnds_BW#'!$A:$Z,26,FALSE)+VLOOKUP($A134,A:AL,37,FALSE)-50)),"-",(VLOOKUP($A134,'NonXtal_SegEnds_BW#'!$A:$Z,26,FALSE)+VLOOKUP($A134,A:AL,37,FALSE)-50))</f>
        <v>1117</v>
      </c>
      <c r="AM134" s="71" t="str">
        <f>VLOOKUP(A134,Classification!A:B,2,FALSE)</f>
        <v>B2</v>
      </c>
      <c r="AN134" s="71" t="b">
        <f t="shared" si="69"/>
        <v>1</v>
      </c>
      <c r="AO134" s="3">
        <f t="shared" si="70"/>
        <v>1</v>
      </c>
      <c r="AP134" s="3">
        <f t="shared" si="71"/>
        <v>1</v>
      </c>
      <c r="AQ134" s="3" t="str">
        <f t="shared" si="72"/>
        <v>-</v>
      </c>
      <c r="AR134" s="3" t="str">
        <f t="shared" si="73"/>
        <v>-</v>
      </c>
      <c r="AS134" s="3" t="str">
        <f t="shared" si="74"/>
        <v>-</v>
      </c>
      <c r="AT134" s="3" t="str">
        <f t="shared" si="75"/>
        <v>-</v>
      </c>
      <c r="AU134" s="3">
        <f t="shared" si="76"/>
        <v>6</v>
      </c>
      <c r="AV134" s="3">
        <f t="shared" si="77"/>
        <v>3</v>
      </c>
      <c r="AW134" s="3">
        <f t="shared" si="78"/>
        <v>12</v>
      </c>
      <c r="AX134" s="3">
        <f t="shared" si="79"/>
        <v>6</v>
      </c>
      <c r="AY134" s="3">
        <f t="shared" si="80"/>
        <v>1</v>
      </c>
      <c r="AZ134" s="3">
        <f>IF(ISERROR(LEN(VLOOKUP(A134,Seqs!A:E,2,FALSE))-AL134),"-",LEN(VLOOKUP(A134,Seqs!A:E,2,FALSE))-AL134)</f>
        <v>357</v>
      </c>
      <c r="BA134" s="35">
        <f t="shared" si="81"/>
        <v>28</v>
      </c>
      <c r="BB134" s="3" t="str">
        <f t="shared" si="82"/>
        <v>-</v>
      </c>
      <c r="BC134" s="3">
        <f t="shared" si="83"/>
        <v>28</v>
      </c>
      <c r="BD134" s="3">
        <f t="shared" si="84"/>
        <v>52</v>
      </c>
    </row>
    <row r="135" spans="1:57" s="3" customFormat="1" x14ac:dyDescent="0.2">
      <c r="A135" s="3" t="s">
        <v>1419</v>
      </c>
      <c r="B135" s="3" t="str">
        <f>LOWER(VLOOKUP(A135,Xtal_Templ!A:B,2,FALSE))</f>
        <v>crfr1_human</v>
      </c>
      <c r="C135" s="3">
        <f>VLOOKUP($A135,'NonXtal_SegEnds_BW#'!$A:$Z,3,FALSE)+D135-50</f>
        <v>835</v>
      </c>
      <c r="D135" s="3">
        <v>862</v>
      </c>
      <c r="E135" s="3">
        <f>IF(ISERROR(VLOOKUP($A135,'NonXtal_SegEnds_BW#'!$A:$Z,4,FALSE)+VLOOKUP($A135,A:AL,4,FALSE)-50),"-",(VLOOKUP($A135,'NonXtal_SegEnds_BW#'!$A:$Z,4,FALSE)+VLOOKUP($A135,A:AL,4,FALSE)-50))</f>
        <v>872</v>
      </c>
      <c r="F135" s="3" t="s">
        <v>129</v>
      </c>
      <c r="G135" s="3" t="s">
        <v>129</v>
      </c>
      <c r="H135" s="3" t="s">
        <v>129</v>
      </c>
      <c r="I135" s="3">
        <f>VLOOKUP($A135,'NonXtal_SegEnds_BW#'!$A:$Z,7,FALSE)+J135-50</f>
        <v>877</v>
      </c>
      <c r="J135" s="3">
        <v>890</v>
      </c>
      <c r="K135" s="3">
        <f>VLOOKUP($A135,'NonXtal_SegEnds_BW#'!$A:$Z,8,FALSE)+VLOOKUP($A135,A:AL,10,FALSE)-50</f>
        <v>903</v>
      </c>
      <c r="L135" s="3" t="str">
        <f>IF(ISERROR(VLOOKUP($A135,'NonXtal_SegEnds_BW#'!$A:$Z,9,FALSE)+VLOOKUP($A135,A:AL,13,FALSE)-50),"-",(VLOOKUP($A135,'NonXtal_SegEnds_BW#'!$A:$Z,9,FALSE)+VLOOKUP($A135,A:AL,13,FALSE)-50))</f>
        <v>-</v>
      </c>
      <c r="M135" s="3" t="s">
        <v>129</v>
      </c>
      <c r="N135" s="3" t="str">
        <f>IF(ISERROR(VLOOKUP($A135,'NonXtal_SegEnds_BW#'!$A:$Z,10,FALSE)+VLOOKUP($A135,A:AL,13,FALSE)-50),"-",(VLOOKUP($A135,'NonXtal_SegEnds_BW#'!$A:$Z,10,FALSE)+VLOOKUP($A135,A:AL,13,FALSE)-50))</f>
        <v>-</v>
      </c>
      <c r="O135" s="3">
        <f>VLOOKUP($A135,'NonXtal_SegEnds_BW#'!$A:$Z,11,FALSE)+VLOOKUP($A135,A:AL,16,FALSE)-50</f>
        <v>908</v>
      </c>
      <c r="P135" s="3">
        <v>935</v>
      </c>
      <c r="Q135" s="3">
        <f>VLOOKUP($A135,'NonXtal_SegEnds_BW#'!$A:$Z,12,FALSE)+VLOOKUP($A135,A:AL,16,FALSE)-50</f>
        <v>941</v>
      </c>
      <c r="R135" s="3" t="str">
        <f>IF(ISERROR(VLOOKUP($A135,'NonXtal_SegEnds_BW#'!$A:$Z,13,FALSE)+VLOOKUP($A135,A:AL,19,FALSE)-50),"-",VLOOKUP($A135,'NonXtal_SegEnds_BW#'!$A:$Z,13,FALSE)+VLOOKUP($A135,A:AL,19,FALSE)-50)</f>
        <v>-</v>
      </c>
      <c r="S135" s="3" t="s">
        <v>129</v>
      </c>
      <c r="T135" s="3" t="str">
        <f>IF(ISERROR(VLOOKUP($A135,'NonXtal_SegEnds_BW#'!$A:$Z,14,FALSE)+VLOOKUP($A135,A:AL,19,FALSE)-50),"-",(VLOOKUP($A135,'NonXtal_SegEnds_BW#'!$A:$Z,14,FALSE)+VLOOKUP($A135,A:AL,19,FALSE)-50))</f>
        <v>-</v>
      </c>
      <c r="U135" s="3">
        <f>IF(ISERROR(VLOOKUP($A135,'NonXtal_SegEnds_BW#'!$A:$Z,15,FALSE)+VLOOKUP($A135,A:AL,22,FALSE)-50),"-",VLOOKUP($A135,'NonXtal_SegEnds_BW#'!$A:$Z,15,FALSE)+VLOOKUP($A135,A:AL,22,FALSE)-50)</f>
        <v>948</v>
      </c>
      <c r="V135" s="3">
        <v>958</v>
      </c>
      <c r="W135" s="3">
        <f>IF(ISERROR(VLOOKUP($A135,'NonXtal_SegEnds_BW#'!$A:$Z,16,FALSE)+VLOOKUP($A135,A:AL,22,FALSE)-50),"-",(VLOOKUP($A135,'NonXtal_SegEnds_BW#'!$A:$Z,16,FALSE)+VLOOKUP($A135,A:AL,22,FALSE)-50))</f>
        <v>976</v>
      </c>
      <c r="X135" s="3">
        <f>IF(ISERROR(VLOOKUP($A135,'NonXtal_SegEnds_BW#'!$A:$Z,17,FALSE)+VLOOKUP($A135,A:AL,25,FALSE)-50),"-",(VLOOKUP($A135,'NonXtal_SegEnds_BW#'!$A:$Z,17,FALSE)+VLOOKUP($A135,A:AL,25,FALSE)-50))</f>
        <v>982</v>
      </c>
      <c r="Y135" s="3">
        <v>982</v>
      </c>
      <c r="Z135" s="3">
        <f t="shared" si="67"/>
        <v>984</v>
      </c>
      <c r="AA135" s="3">
        <f>IF(ISERROR(VLOOKUP($A135,'NonXtal_SegEnds_BW#'!$A:$Z,19,FALSE)+VLOOKUP($A135,A:AL,28,FALSE)-50),"-",(VLOOKUP($A135,'NonXtal_SegEnds_BW#'!$A:$Z,19,FALSE)+VLOOKUP($A135,A:AL,28,FALSE)-50))</f>
        <v>987</v>
      </c>
      <c r="AB135" s="3">
        <v>1001</v>
      </c>
      <c r="AC135" s="3">
        <f>IF(ISERROR((VLOOKUP($A135,'NonXtal_SegEnds_BW#'!$A:$Z,20,FALSE)+VLOOKUP($A135,A:AL,28,FALSE)-50)),"-",(VLOOKUP($A135,'NonXtal_SegEnds_BW#'!$A:$Z,20,FALSE)+VLOOKUP($A135,A:AL,28,FALSE)-50))</f>
        <v>1020</v>
      </c>
      <c r="AD135" s="3">
        <f>IF(ISERROR(VLOOKUP($A135,'NonXtal_SegEnds_BW#'!$A:$Z,21,FALSE)+VLOOKUP($A135,A:AL,31,FALSE)-50),"-",(VLOOKUP($A135,'NonXtal_SegEnds_BW#'!$A:$Z,21,FALSE)+VLOOKUP($A135,A:AL,31,FALSE)-50))</f>
        <v>1032</v>
      </c>
      <c r="AE135" s="3">
        <v>1053</v>
      </c>
      <c r="AF135" s="3">
        <f>IF(ISERROR((VLOOKUP($A135,'NonXtal_SegEnds_BW#'!$A:$Z,22,FALSE)+VLOOKUP($A135,A:AL,31,FALSE)-50)),"-",(VLOOKUP($A135,'NonXtal_SegEnds_BW#'!$A:$Z,22,FALSE)+VLOOKUP($A135,A:AL,31,FALSE)-50))</f>
        <v>1056</v>
      </c>
      <c r="AG135" s="3">
        <f>IF(ISERROR(VLOOKUP($A135,'NonXtal_SegEnds_BW#'!$A:$Z,23,FALSE)+VLOOKUP($A135,A:AL,34,FALSE)-50),"-",(VLOOKUP($A135,'NonXtal_SegEnds_BW#'!$A:$Z,23,FALSE)+VLOOKUP($A135,A:AL,34,FALSE)-50))</f>
        <v>1062</v>
      </c>
      <c r="AH135" s="3">
        <v>1081</v>
      </c>
      <c r="AI135" s="3">
        <f>IF(ISERROR((VLOOKUP($A135,'NonXtal_SegEnds_BW#'!$A:$Z,24,FALSE)+VLOOKUP($A135,A:AL,34,FALSE)-50)),"-",(VLOOKUP($A135,'NonXtal_SegEnds_BW#'!$A:$Z,24,FALSE)+VLOOKUP($A135,A:AL,34,FALSE)-50))</f>
        <v>1087</v>
      </c>
      <c r="AJ135" s="3">
        <f>IF(ISERROR(VLOOKUP($A135,'NonXtal_SegEnds_BW#'!$A:$Z,25,FALSE)+VLOOKUP($A135,A:AL,37,FALSE)-50),"-",(VLOOKUP($A135,'NonXtal_SegEnds_BW#'!$A:$Z,25,FALSE)+VLOOKUP($A135,A:AL,37,FALSE)-50))</f>
        <v>1088</v>
      </c>
      <c r="AK135" s="3">
        <v>1091</v>
      </c>
      <c r="AL135" s="3">
        <f>IF(ISERROR((VLOOKUP($A135,'NonXtal_SegEnds_BW#'!$A:$Z,26,FALSE)+VLOOKUP($A135,A:AL,37,FALSE)-50)),"-",(VLOOKUP($A135,'NonXtal_SegEnds_BW#'!$A:$Z,26,FALSE)+VLOOKUP($A135,A:AL,37,FALSE)-50))</f>
        <v>1104</v>
      </c>
      <c r="AM135" s="71" t="str">
        <f>VLOOKUP(A135,Classification!A:B,2,FALSE)</f>
        <v>B2</v>
      </c>
      <c r="AN135" s="71" t="b">
        <f t="shared" si="69"/>
        <v>1</v>
      </c>
      <c r="AO135" s="3" t="str">
        <f t="shared" si="70"/>
        <v>-</v>
      </c>
      <c r="AP135" s="3" t="str">
        <f t="shared" si="71"/>
        <v>-</v>
      </c>
      <c r="AQ135" s="3" t="str">
        <f t="shared" si="72"/>
        <v>-</v>
      </c>
      <c r="AR135" s="3" t="str">
        <f t="shared" si="73"/>
        <v>-</v>
      </c>
      <c r="AS135" s="3" t="str">
        <f t="shared" si="74"/>
        <v>-</v>
      </c>
      <c r="AT135" s="3" t="str">
        <f t="shared" si="75"/>
        <v>-</v>
      </c>
      <c r="AU135" s="3">
        <f t="shared" si="76"/>
        <v>6</v>
      </c>
      <c r="AV135" s="3">
        <f t="shared" si="77"/>
        <v>3</v>
      </c>
      <c r="AW135" s="3">
        <f t="shared" si="78"/>
        <v>12</v>
      </c>
      <c r="AX135" s="3">
        <f t="shared" si="79"/>
        <v>6</v>
      </c>
      <c r="AY135" s="3">
        <f t="shared" si="80"/>
        <v>1</v>
      </c>
      <c r="AZ135" s="3">
        <f>IF(ISERROR(LEN(VLOOKUP(A135,Seqs!A:E,2,FALSE))-AL135),"-",LEN(VLOOKUP(A135,Seqs!A:E,2,FALSE))-AL135)</f>
        <v>355</v>
      </c>
      <c r="BA135" s="35">
        <f t="shared" si="81"/>
        <v>28</v>
      </c>
      <c r="BB135" s="3" t="str">
        <f t="shared" si="82"/>
        <v>-</v>
      </c>
      <c r="BC135" s="3">
        <f t="shared" si="83"/>
        <v>28</v>
      </c>
      <c r="BD135" s="3">
        <f t="shared" si="84"/>
        <v>52</v>
      </c>
    </row>
    <row r="136" spans="1:57" s="3" customFormat="1" x14ac:dyDescent="0.2">
      <c r="A136" s="3" t="s">
        <v>1397</v>
      </c>
      <c r="B136" s="3" t="str">
        <f>LOWER(VLOOKUP(A136,Xtal_Templ!A:B,2,FALSE))</f>
        <v>crfr1_human</v>
      </c>
      <c r="C136" s="3">
        <f>VLOOKUP($A136,'NonXtal_SegEnds_BW#'!$A:$Z,3,FALSE)+D136-50</f>
        <v>760</v>
      </c>
      <c r="D136" s="3">
        <v>787</v>
      </c>
      <c r="E136" s="3">
        <f>IF(ISERROR(VLOOKUP($A136,'NonXtal_SegEnds_BW#'!$A:$Z,4,FALSE)+VLOOKUP($A136,A:AL,4,FALSE)-50),"-",(VLOOKUP($A136,'NonXtal_SegEnds_BW#'!$A:$Z,4,FALSE)+VLOOKUP($A136,A:AL,4,FALSE)-50))</f>
        <v>797</v>
      </c>
      <c r="F136" s="3" t="s">
        <v>129</v>
      </c>
      <c r="G136" s="3" t="s">
        <v>129</v>
      </c>
      <c r="H136" s="3" t="s">
        <v>129</v>
      </c>
      <c r="I136" s="3">
        <f>VLOOKUP($A136,'NonXtal_SegEnds_BW#'!$A:$Z,7,FALSE)+J136-50</f>
        <v>800</v>
      </c>
      <c r="J136" s="3">
        <v>813</v>
      </c>
      <c r="K136" s="3">
        <f>VLOOKUP($A136,'NonXtal_SegEnds_BW#'!$A:$Z,8,FALSE)+VLOOKUP($A136,A:AL,10,FALSE)-50</f>
        <v>826</v>
      </c>
      <c r="L136" s="3" t="str">
        <f>IF(ISERROR(VLOOKUP($A136,'NonXtal_SegEnds_BW#'!$A:$Z,9,FALSE)+VLOOKUP($A136,A:AL,13,FALSE)-50),"-",(VLOOKUP($A136,'NonXtal_SegEnds_BW#'!$A:$Z,9,FALSE)+VLOOKUP($A136,A:AL,13,FALSE)-50))</f>
        <v>-</v>
      </c>
      <c r="M136" s="3" t="s">
        <v>129</v>
      </c>
      <c r="N136" s="3" t="str">
        <f>IF(ISERROR(VLOOKUP($A136,'NonXtal_SegEnds_BW#'!$A:$Z,10,FALSE)+VLOOKUP($A136,A:AL,13,FALSE)-50),"-",(VLOOKUP($A136,'NonXtal_SegEnds_BW#'!$A:$Z,10,FALSE)+VLOOKUP($A136,A:AL,13,FALSE)-50))</f>
        <v>-</v>
      </c>
      <c r="O136" s="3">
        <f>VLOOKUP($A136,'NonXtal_SegEnds_BW#'!$A:$Z,11,FALSE)+VLOOKUP($A136,A:AL,16,FALSE)-50</f>
        <v>833</v>
      </c>
      <c r="P136" s="3">
        <v>860</v>
      </c>
      <c r="Q136" s="3">
        <f>VLOOKUP($A136,'NonXtal_SegEnds_BW#'!$A:$Z,12,FALSE)+VLOOKUP($A136,A:AL,16,FALSE)-50</f>
        <v>866</v>
      </c>
      <c r="R136" s="3" t="str">
        <f>IF(ISERROR(VLOOKUP($A136,'NonXtal_SegEnds_BW#'!$A:$Z,13,FALSE)+VLOOKUP($A136,A:AL,19,FALSE)-50),"-",VLOOKUP($A136,'NonXtal_SegEnds_BW#'!$A:$Z,13,FALSE)+VLOOKUP($A136,A:AL,19,FALSE)-50)</f>
        <v>-</v>
      </c>
      <c r="S136" s="3" t="s">
        <v>129</v>
      </c>
      <c r="T136" s="3" t="str">
        <f>IF(ISERROR(VLOOKUP($A136,'NonXtal_SegEnds_BW#'!$A:$Z,14,FALSE)+VLOOKUP($A136,A:AL,19,FALSE)-50),"-",(VLOOKUP($A136,'NonXtal_SegEnds_BW#'!$A:$Z,14,FALSE)+VLOOKUP($A136,A:AL,19,FALSE)-50))</f>
        <v>-</v>
      </c>
      <c r="U136" s="3">
        <f>IF(ISERROR(VLOOKUP($A136,'NonXtal_SegEnds_BW#'!$A:$Z,15,FALSE)+VLOOKUP($A136,A:AL,22,FALSE)-50),"-",VLOOKUP($A136,'NonXtal_SegEnds_BW#'!$A:$Z,15,FALSE)+VLOOKUP($A136,A:AL,22,FALSE)-50)</f>
        <v>882</v>
      </c>
      <c r="V136" s="3">
        <v>892</v>
      </c>
      <c r="W136" s="3">
        <f>IF(ISERROR(VLOOKUP($A136,'NonXtal_SegEnds_BW#'!$A:$Z,16,FALSE)+VLOOKUP($A136,A:AL,22,FALSE)-50),"-",(VLOOKUP($A136,'NonXtal_SegEnds_BW#'!$A:$Z,16,FALSE)+VLOOKUP($A136,A:AL,22,FALSE)-50))</f>
        <v>910</v>
      </c>
      <c r="X136" s="3">
        <f>IF(ISERROR(VLOOKUP($A136,'NonXtal_SegEnds_BW#'!$A:$Z,17,FALSE)+VLOOKUP($A136,A:AL,25,FALSE)-50),"-",(VLOOKUP($A136,'NonXtal_SegEnds_BW#'!$A:$Z,17,FALSE)+VLOOKUP($A136,A:AL,25,FALSE)-50))</f>
        <v>917</v>
      </c>
      <c r="Y136" s="3">
        <v>917</v>
      </c>
      <c r="Z136" s="3">
        <f t="shared" si="67"/>
        <v>919</v>
      </c>
      <c r="AA136" s="3">
        <f>IF(ISERROR(VLOOKUP($A136,'NonXtal_SegEnds_BW#'!$A:$Z,19,FALSE)+VLOOKUP($A136,A:AL,28,FALSE)-50),"-",(VLOOKUP($A136,'NonXtal_SegEnds_BW#'!$A:$Z,19,FALSE)+VLOOKUP($A136,A:AL,28,FALSE)-50))</f>
        <v>921</v>
      </c>
      <c r="AB136" s="3">
        <v>935</v>
      </c>
      <c r="AC136" s="3">
        <f>IF(ISERROR((VLOOKUP($A136,'NonXtal_SegEnds_BW#'!$A:$Z,20,FALSE)+VLOOKUP($A136,A:AL,28,FALSE)-50)),"-",(VLOOKUP($A136,'NonXtal_SegEnds_BW#'!$A:$Z,20,FALSE)+VLOOKUP($A136,A:AL,28,FALSE)-50))</f>
        <v>954</v>
      </c>
      <c r="AD136" s="3">
        <f>IF(ISERROR(VLOOKUP($A136,'NonXtal_SegEnds_BW#'!$A:$Z,21,FALSE)+VLOOKUP($A136,A:AL,31,FALSE)-50),"-",(VLOOKUP($A136,'NonXtal_SegEnds_BW#'!$A:$Z,21,FALSE)+VLOOKUP($A136,A:AL,31,FALSE)-50))</f>
        <v>1014</v>
      </c>
      <c r="AE136" s="3">
        <v>1035</v>
      </c>
      <c r="AF136" s="3">
        <f>IF(ISERROR((VLOOKUP($A136,'NonXtal_SegEnds_BW#'!$A:$Z,22,FALSE)+VLOOKUP($A136,A:AL,31,FALSE)-50)),"-",(VLOOKUP($A136,'NonXtal_SegEnds_BW#'!$A:$Z,22,FALSE)+VLOOKUP($A136,A:AL,31,FALSE)-50))</f>
        <v>1038</v>
      </c>
      <c r="AG136" s="3">
        <f>IF(ISERROR(VLOOKUP($A136,'NonXtal_SegEnds_BW#'!$A:$Z,23,FALSE)+VLOOKUP($A136,A:AL,34,FALSE)-50),"-",(VLOOKUP($A136,'NonXtal_SegEnds_BW#'!$A:$Z,23,FALSE)+VLOOKUP($A136,A:AL,34,FALSE)-50))</f>
        <v>1045</v>
      </c>
      <c r="AH136" s="3">
        <v>1066</v>
      </c>
      <c r="AI136" s="3">
        <f>IF(ISERROR((VLOOKUP($A136,'NonXtal_SegEnds_BW#'!$A:$Z,24,FALSE)+VLOOKUP($A136,A:AL,34,FALSE)-50)),"-",(VLOOKUP($A136,'NonXtal_SegEnds_BW#'!$A:$Z,24,FALSE)+VLOOKUP($A136,A:AL,34,FALSE)-50))</f>
        <v>1072</v>
      </c>
      <c r="AJ136" s="3">
        <f>IF(ISERROR(VLOOKUP($A136,'NonXtal_SegEnds_BW#'!$A:$Z,25,FALSE)+VLOOKUP($A136,A:AL,37,FALSE)-50),"-",(VLOOKUP($A136,'NonXtal_SegEnds_BW#'!$A:$Z,25,FALSE)+VLOOKUP($A136,A:AL,37,FALSE)-50))</f>
        <v>1073</v>
      </c>
      <c r="AK136" s="3">
        <v>1076</v>
      </c>
      <c r="AL136" s="3">
        <f>IF(ISERROR((VLOOKUP($A136,'NonXtal_SegEnds_BW#'!$A:$Z,26,FALSE)+VLOOKUP($A136,A:AL,37,FALSE)-50)),"-",(VLOOKUP($A136,'NonXtal_SegEnds_BW#'!$A:$Z,26,FALSE)+VLOOKUP($A136,A:AL,37,FALSE)-50))</f>
        <v>1089</v>
      </c>
      <c r="AM136" s="71" t="str">
        <f>VLOOKUP(A136,Classification!A:B,2,FALSE)</f>
        <v>B2</v>
      </c>
      <c r="AN136" s="71" t="b">
        <f t="shared" si="69"/>
        <v>1</v>
      </c>
      <c r="AO136" s="3" t="str">
        <f t="shared" si="70"/>
        <v>-</v>
      </c>
      <c r="AP136" s="3" t="str">
        <f t="shared" si="71"/>
        <v>-</v>
      </c>
      <c r="AQ136" s="3" t="str">
        <f t="shared" si="72"/>
        <v>-</v>
      </c>
      <c r="AR136" s="3" t="str">
        <f t="shared" si="73"/>
        <v>-</v>
      </c>
      <c r="AS136" s="3" t="str">
        <f t="shared" si="74"/>
        <v>-</v>
      </c>
      <c r="AT136" s="3" t="str">
        <f t="shared" si="75"/>
        <v>-</v>
      </c>
      <c r="AU136" s="3">
        <f t="shared" si="76"/>
        <v>7</v>
      </c>
      <c r="AV136" s="3">
        <f t="shared" si="77"/>
        <v>2</v>
      </c>
      <c r="AW136" s="3">
        <f t="shared" si="78"/>
        <v>60</v>
      </c>
      <c r="AX136" s="3">
        <f t="shared" si="79"/>
        <v>7</v>
      </c>
      <c r="AY136" s="3">
        <f t="shared" si="80"/>
        <v>1</v>
      </c>
      <c r="AZ136" s="3">
        <f>IF(ISERROR(LEN(VLOOKUP(A136,Seqs!A:E,2,FALSE))-AL136),"-",LEN(VLOOKUP(A136,Seqs!A:E,2,FALSE))-AL136)</f>
        <v>249</v>
      </c>
      <c r="BA136" s="35">
        <f t="shared" si="81"/>
        <v>26</v>
      </c>
      <c r="BB136" s="3" t="str">
        <f t="shared" si="82"/>
        <v>-</v>
      </c>
      <c r="BC136" s="3">
        <f t="shared" si="83"/>
        <v>26</v>
      </c>
      <c r="BD136" s="3">
        <f t="shared" si="84"/>
        <v>100</v>
      </c>
    </row>
    <row r="137" spans="1:57" s="3" customFormat="1" x14ac:dyDescent="0.2">
      <c r="A137" s="3" t="s">
        <v>1409</v>
      </c>
      <c r="B137" s="3" t="str">
        <f>LOWER(VLOOKUP(A137,Xtal_Templ!A:B,2,FALSE))</f>
        <v>crfr1_human</v>
      </c>
      <c r="C137" s="3">
        <f>VLOOKUP($A137,'NonXtal_SegEnds_BW#'!$A:$Z,3,FALSE)+D137-50</f>
        <v>758</v>
      </c>
      <c r="D137" s="3">
        <v>785</v>
      </c>
      <c r="E137" s="3">
        <f>IF(ISERROR(VLOOKUP($A137,'NonXtal_SegEnds_BW#'!$A:$Z,4,FALSE)+VLOOKUP($A137,A:AL,4,FALSE)-50),"-",(VLOOKUP($A137,'NonXtal_SegEnds_BW#'!$A:$Z,4,FALSE)+VLOOKUP($A137,A:AL,4,FALSE)-50))</f>
        <v>795</v>
      </c>
      <c r="F137" s="3" t="s">
        <v>129</v>
      </c>
      <c r="G137" s="3" t="s">
        <v>129</v>
      </c>
      <c r="H137" s="3" t="s">
        <v>129</v>
      </c>
      <c r="I137" s="3">
        <f>VLOOKUP($A137,'NonXtal_SegEnds_BW#'!$A:$Z,7,FALSE)+J137-50</f>
        <v>803</v>
      </c>
      <c r="J137" s="3">
        <v>816</v>
      </c>
      <c r="K137" s="3">
        <f>VLOOKUP($A137,'NonXtal_SegEnds_BW#'!$A:$Z,8,FALSE)+VLOOKUP($A137,A:AL,10,FALSE)-50</f>
        <v>829</v>
      </c>
      <c r="L137" s="3" t="str">
        <f>IF(ISERROR(VLOOKUP($A137,'NonXtal_SegEnds_BW#'!$A:$Z,9,FALSE)+VLOOKUP($A137,A:AL,13,FALSE)-50),"-",(VLOOKUP($A137,'NonXtal_SegEnds_BW#'!$A:$Z,9,FALSE)+VLOOKUP($A137,A:AL,13,FALSE)-50))</f>
        <v>-</v>
      </c>
      <c r="M137" s="3" t="s">
        <v>129</v>
      </c>
      <c r="N137" s="3" t="str">
        <f>IF(ISERROR(VLOOKUP($A137,'NonXtal_SegEnds_BW#'!$A:$Z,10,FALSE)+VLOOKUP($A137,A:AL,13,FALSE)-50),"-",(VLOOKUP($A137,'NonXtal_SegEnds_BW#'!$A:$Z,10,FALSE)+VLOOKUP($A137,A:AL,13,FALSE)-50))</f>
        <v>-</v>
      </c>
      <c r="O137" s="3">
        <f>VLOOKUP($A137,'NonXtal_SegEnds_BW#'!$A:$Z,11,FALSE)+VLOOKUP($A137,A:AL,16,FALSE)-50</f>
        <v>839</v>
      </c>
      <c r="P137" s="3">
        <v>866</v>
      </c>
      <c r="Q137" s="3">
        <f>VLOOKUP($A137,'NonXtal_SegEnds_BW#'!$A:$Z,12,FALSE)+VLOOKUP($A137,A:AL,16,FALSE)-50</f>
        <v>872</v>
      </c>
      <c r="R137" s="3" t="str">
        <f>IF(ISERROR(VLOOKUP($A137,'NonXtal_SegEnds_BW#'!$A:$Z,13,FALSE)+VLOOKUP($A137,A:AL,19,FALSE)-50),"-",VLOOKUP($A137,'NonXtal_SegEnds_BW#'!$A:$Z,13,FALSE)+VLOOKUP($A137,A:AL,19,FALSE)-50)</f>
        <v>-</v>
      </c>
      <c r="S137" s="3" t="s">
        <v>129</v>
      </c>
      <c r="T137" s="3" t="str">
        <f>IF(ISERROR(VLOOKUP($A137,'NonXtal_SegEnds_BW#'!$A:$Z,14,FALSE)+VLOOKUP($A137,A:AL,19,FALSE)-50),"-",(VLOOKUP($A137,'NonXtal_SegEnds_BW#'!$A:$Z,14,FALSE)+VLOOKUP($A137,A:AL,19,FALSE)-50))</f>
        <v>-</v>
      </c>
      <c r="U137" s="3">
        <f>IF(ISERROR(VLOOKUP($A137,'NonXtal_SegEnds_BW#'!$A:$Z,15,FALSE)+VLOOKUP($A137,A:AL,22,FALSE)-50),"-",VLOOKUP($A137,'NonXtal_SegEnds_BW#'!$A:$Z,15,FALSE)+VLOOKUP($A137,A:AL,22,FALSE)-50)</f>
        <v>881</v>
      </c>
      <c r="V137" s="3">
        <v>891</v>
      </c>
      <c r="W137" s="3">
        <f>IF(ISERROR(VLOOKUP($A137,'NonXtal_SegEnds_BW#'!$A:$Z,16,FALSE)+VLOOKUP($A137,A:AL,22,FALSE)-50),"-",(VLOOKUP($A137,'NonXtal_SegEnds_BW#'!$A:$Z,16,FALSE)+VLOOKUP($A137,A:AL,22,FALSE)-50))</f>
        <v>909</v>
      </c>
      <c r="X137" s="3">
        <f>IF(ISERROR(VLOOKUP($A137,'NonXtal_SegEnds_BW#'!$A:$Z,17,FALSE)+VLOOKUP($A137,A:AL,25,FALSE)-50),"-",(VLOOKUP($A137,'NonXtal_SegEnds_BW#'!$A:$Z,17,FALSE)+VLOOKUP($A137,A:AL,25,FALSE)-50))</f>
        <v>917</v>
      </c>
      <c r="Y137" s="3">
        <v>917</v>
      </c>
      <c r="Z137" s="3">
        <f t="shared" si="67"/>
        <v>919</v>
      </c>
      <c r="AA137" s="3">
        <f>IF(ISERROR(VLOOKUP($A137,'NonXtal_SegEnds_BW#'!$A:$Z,19,FALSE)+VLOOKUP($A137,A:AL,28,FALSE)-50),"-",(VLOOKUP($A137,'NonXtal_SegEnds_BW#'!$A:$Z,19,FALSE)+VLOOKUP($A137,A:AL,28,FALSE)-50))</f>
        <v>922</v>
      </c>
      <c r="AB137" s="3">
        <v>936</v>
      </c>
      <c r="AC137" s="3">
        <f>IF(ISERROR((VLOOKUP($A137,'NonXtal_SegEnds_BW#'!$A:$Z,20,FALSE)+VLOOKUP($A137,A:AL,28,FALSE)-50)),"-",(VLOOKUP($A137,'NonXtal_SegEnds_BW#'!$A:$Z,20,FALSE)+VLOOKUP($A137,A:AL,28,FALSE)-50))</f>
        <v>955</v>
      </c>
      <c r="AD137" s="3">
        <f>IF(ISERROR(VLOOKUP($A137,'NonXtal_SegEnds_BW#'!$A:$Z,21,FALSE)+VLOOKUP($A137,A:AL,31,FALSE)-50),"-",(VLOOKUP($A137,'NonXtal_SegEnds_BW#'!$A:$Z,21,FALSE)+VLOOKUP($A137,A:AL,31,FALSE)-50))</f>
        <v>967</v>
      </c>
      <c r="AE137" s="3">
        <v>988</v>
      </c>
      <c r="AF137" s="3">
        <f>IF(ISERROR((VLOOKUP($A137,'NonXtal_SegEnds_BW#'!$A:$Z,22,FALSE)+VLOOKUP($A137,A:AL,31,FALSE)-50)),"-",(VLOOKUP($A137,'NonXtal_SegEnds_BW#'!$A:$Z,22,FALSE)+VLOOKUP($A137,A:AL,31,FALSE)-50))</f>
        <v>991</v>
      </c>
      <c r="AG137" s="3">
        <f>IF(ISERROR(VLOOKUP($A137,'NonXtal_SegEnds_BW#'!$A:$Z,23,FALSE)+VLOOKUP($A137,A:AL,34,FALSE)-50),"-",(VLOOKUP($A137,'NonXtal_SegEnds_BW#'!$A:$Z,23,FALSE)+VLOOKUP($A137,A:AL,34,FALSE)-50))</f>
        <v>998</v>
      </c>
      <c r="AH137" s="3">
        <v>1017</v>
      </c>
      <c r="AI137" s="3">
        <f>IF(ISERROR((VLOOKUP($A137,'NonXtal_SegEnds_BW#'!$A:$Z,24,FALSE)+VLOOKUP($A137,A:AL,34,FALSE)-50)),"-",(VLOOKUP($A137,'NonXtal_SegEnds_BW#'!$A:$Z,24,FALSE)+VLOOKUP($A137,A:AL,34,FALSE)-50))</f>
        <v>1023</v>
      </c>
      <c r="AJ137" s="3">
        <f>IF(ISERROR(VLOOKUP($A137,'NonXtal_SegEnds_BW#'!$A:$Z,25,FALSE)+VLOOKUP($A137,A:AL,37,FALSE)-50),"-",(VLOOKUP($A137,'NonXtal_SegEnds_BW#'!$A:$Z,25,FALSE)+VLOOKUP($A137,A:AL,37,FALSE)-50))</f>
        <v>1024</v>
      </c>
      <c r="AK137" s="3">
        <v>1027</v>
      </c>
      <c r="AL137" s="3">
        <f>IF(ISERROR((VLOOKUP($A137,'NonXtal_SegEnds_BW#'!$A:$Z,26,FALSE)+VLOOKUP($A137,A:AL,37,FALSE)-50)),"-",(VLOOKUP($A137,'NonXtal_SegEnds_BW#'!$A:$Z,26,FALSE)+VLOOKUP($A137,A:AL,37,FALSE)-50))</f>
        <v>1040</v>
      </c>
      <c r="AM137" s="71" t="str">
        <f>VLOOKUP(A137,Classification!A:B,2,FALSE)</f>
        <v>B2</v>
      </c>
      <c r="AN137" s="71" t="b">
        <f t="shared" si="69"/>
        <v>1</v>
      </c>
      <c r="AO137" s="3" t="str">
        <f t="shared" si="70"/>
        <v>-</v>
      </c>
      <c r="AP137" s="3" t="str">
        <f t="shared" si="71"/>
        <v>-</v>
      </c>
      <c r="AQ137" s="3" t="str">
        <f t="shared" si="72"/>
        <v>-</v>
      </c>
      <c r="AR137" s="3" t="str">
        <f t="shared" si="73"/>
        <v>-</v>
      </c>
      <c r="AS137" s="3" t="str">
        <f t="shared" si="74"/>
        <v>-</v>
      </c>
      <c r="AT137" s="3" t="str">
        <f t="shared" si="75"/>
        <v>-</v>
      </c>
      <c r="AU137" s="3">
        <f t="shared" si="76"/>
        <v>8</v>
      </c>
      <c r="AV137" s="3">
        <f t="shared" si="77"/>
        <v>3</v>
      </c>
      <c r="AW137" s="3">
        <f t="shared" si="78"/>
        <v>12</v>
      </c>
      <c r="AX137" s="3">
        <f t="shared" si="79"/>
        <v>7</v>
      </c>
      <c r="AY137" s="3">
        <f t="shared" si="80"/>
        <v>1</v>
      </c>
      <c r="AZ137" s="3">
        <f>IF(ISERROR(LEN(VLOOKUP(A137,Seqs!A:E,2,FALSE))-AL137),"-",LEN(VLOOKUP(A137,Seqs!A:E,2,FALSE))-AL137)</f>
        <v>39</v>
      </c>
      <c r="BA137" s="35">
        <f t="shared" si="81"/>
        <v>31</v>
      </c>
      <c r="BB137" s="3" t="str">
        <f t="shared" si="82"/>
        <v>-</v>
      </c>
      <c r="BC137" s="3">
        <f t="shared" si="83"/>
        <v>31</v>
      </c>
      <c r="BD137" s="3">
        <f t="shared" si="84"/>
        <v>52</v>
      </c>
    </row>
    <row r="138" spans="1:57" s="3" customFormat="1" x14ac:dyDescent="0.2">
      <c r="A138" s="3" t="s">
        <v>1398</v>
      </c>
      <c r="B138" s="3" t="str">
        <f>LOWER(VLOOKUP(A138,Xtal_Templ!A:B,2,FALSE))</f>
        <v>crfr1_human</v>
      </c>
      <c r="C138" s="3">
        <f>VLOOKUP($A138,'NonXtal_SegEnds_BW#'!$A:$Z,3,FALSE)+D138-50</f>
        <v>750</v>
      </c>
      <c r="D138" s="3">
        <v>777</v>
      </c>
      <c r="E138" s="3">
        <f>IF(ISERROR(VLOOKUP($A138,'NonXtal_SegEnds_BW#'!$A:$Z,4,FALSE)+VLOOKUP($A138,A:AL,4,FALSE)-50),"-",(VLOOKUP($A138,'NonXtal_SegEnds_BW#'!$A:$Z,4,FALSE)+VLOOKUP($A138,A:AL,4,FALSE)-50))</f>
        <v>787</v>
      </c>
      <c r="F138" s="3" t="s">
        <v>129</v>
      </c>
      <c r="G138" s="3" t="s">
        <v>129</v>
      </c>
      <c r="H138" s="3" t="s">
        <v>129</v>
      </c>
      <c r="I138" s="3">
        <f>VLOOKUP($A138,'NonXtal_SegEnds_BW#'!$A:$Z,7,FALSE)+J138-50</f>
        <v>790</v>
      </c>
      <c r="J138" s="3">
        <v>803</v>
      </c>
      <c r="K138" s="3">
        <f>VLOOKUP($A138,'NonXtal_SegEnds_BW#'!$A:$Z,8,FALSE)+VLOOKUP($A138,A:AL,10,FALSE)-50</f>
        <v>816</v>
      </c>
      <c r="L138" s="3" t="str">
        <f>IF(ISERROR(VLOOKUP($A138,'NonXtal_SegEnds_BW#'!$A:$Z,9,FALSE)+VLOOKUP($A138,A:AL,13,FALSE)-50),"-",(VLOOKUP($A138,'NonXtal_SegEnds_BW#'!$A:$Z,9,FALSE)+VLOOKUP($A138,A:AL,13,FALSE)-50))</f>
        <v>-</v>
      </c>
      <c r="M138" s="3" t="s">
        <v>129</v>
      </c>
      <c r="N138" s="3" t="str">
        <f>IF(ISERROR(VLOOKUP($A138,'NonXtal_SegEnds_BW#'!$A:$Z,10,FALSE)+VLOOKUP($A138,A:AL,13,FALSE)-50),"-",(VLOOKUP($A138,'NonXtal_SegEnds_BW#'!$A:$Z,10,FALSE)+VLOOKUP($A138,A:AL,13,FALSE)-50))</f>
        <v>-</v>
      </c>
      <c r="O138" s="3">
        <f>VLOOKUP($A138,'NonXtal_SegEnds_BW#'!$A:$Z,11,FALSE)+VLOOKUP($A138,A:AL,16,FALSE)-50</f>
        <v>823</v>
      </c>
      <c r="P138" s="3">
        <v>850</v>
      </c>
      <c r="Q138" s="3">
        <f>VLOOKUP($A138,'NonXtal_SegEnds_BW#'!$A:$Z,12,FALSE)+VLOOKUP($A138,A:AL,16,FALSE)-50</f>
        <v>856</v>
      </c>
      <c r="R138" s="3" t="str">
        <f>IF(ISERROR(VLOOKUP($A138,'NonXtal_SegEnds_BW#'!$A:$Z,13,FALSE)+VLOOKUP($A138,A:AL,19,FALSE)-50),"-",VLOOKUP($A138,'NonXtal_SegEnds_BW#'!$A:$Z,13,FALSE)+VLOOKUP($A138,A:AL,19,FALSE)-50)</f>
        <v>-</v>
      </c>
      <c r="S138" s="3" t="s">
        <v>129</v>
      </c>
      <c r="T138" s="3" t="str">
        <f>IF(ISERROR(VLOOKUP($A138,'NonXtal_SegEnds_BW#'!$A:$Z,14,FALSE)+VLOOKUP($A138,A:AL,19,FALSE)-50),"-",(VLOOKUP($A138,'NonXtal_SegEnds_BW#'!$A:$Z,14,FALSE)+VLOOKUP($A138,A:AL,19,FALSE)-50))</f>
        <v>-</v>
      </c>
      <c r="U138" s="3">
        <f>IF(ISERROR(VLOOKUP($A138,'NonXtal_SegEnds_BW#'!$A:$Z,15,FALSE)+VLOOKUP($A138,A:AL,22,FALSE)-50),"-",VLOOKUP($A138,'NonXtal_SegEnds_BW#'!$A:$Z,15,FALSE)+VLOOKUP($A138,A:AL,22,FALSE)-50)</f>
        <v>872</v>
      </c>
      <c r="V138" s="3">
        <v>882</v>
      </c>
      <c r="W138" s="3">
        <f>IF(ISERROR(VLOOKUP($A138,'NonXtal_SegEnds_BW#'!$A:$Z,16,FALSE)+VLOOKUP($A138,A:AL,22,FALSE)-50),"-",(VLOOKUP($A138,'NonXtal_SegEnds_BW#'!$A:$Z,16,FALSE)+VLOOKUP($A138,A:AL,22,FALSE)-50))</f>
        <v>900</v>
      </c>
      <c r="X138" s="3">
        <f>IF(ISERROR(VLOOKUP($A138,'NonXtal_SegEnds_BW#'!$A:$Z,17,FALSE)+VLOOKUP($A138,A:AL,25,FALSE)-50),"-",(VLOOKUP($A138,'NonXtal_SegEnds_BW#'!$A:$Z,17,FALSE)+VLOOKUP($A138,A:AL,25,FALSE)-50))</f>
        <v>909</v>
      </c>
      <c r="Y138" s="3">
        <v>909</v>
      </c>
      <c r="Z138" s="3">
        <f t="shared" si="67"/>
        <v>911</v>
      </c>
      <c r="AA138" s="3">
        <f>IF(ISERROR(VLOOKUP($A138,'NonXtal_SegEnds_BW#'!$A:$Z,19,FALSE)+VLOOKUP($A138,A:AL,28,FALSE)-50),"-",(VLOOKUP($A138,'NonXtal_SegEnds_BW#'!$A:$Z,19,FALSE)+VLOOKUP($A138,A:AL,28,FALSE)-50))</f>
        <v>913</v>
      </c>
      <c r="AB138" s="3">
        <v>927</v>
      </c>
      <c r="AC138" s="3">
        <f>IF(ISERROR((VLOOKUP($A138,'NonXtal_SegEnds_BW#'!$A:$Z,20,FALSE)+VLOOKUP($A138,A:AL,28,FALSE)-50)),"-",(VLOOKUP($A138,'NonXtal_SegEnds_BW#'!$A:$Z,20,FALSE)+VLOOKUP($A138,A:AL,28,FALSE)-50))</f>
        <v>946</v>
      </c>
      <c r="AD138" s="3">
        <f>IF(ISERROR(VLOOKUP($A138,'NonXtal_SegEnds_BW#'!$A:$Z,21,FALSE)+VLOOKUP($A138,A:AL,31,FALSE)-50),"-",(VLOOKUP($A138,'NonXtal_SegEnds_BW#'!$A:$Z,21,FALSE)+VLOOKUP($A138,A:AL,31,FALSE)-50))</f>
        <v>991</v>
      </c>
      <c r="AE138" s="3">
        <v>1012</v>
      </c>
      <c r="AF138" s="3">
        <f>IF(ISERROR((VLOOKUP($A138,'NonXtal_SegEnds_BW#'!$A:$Z,22,FALSE)+VLOOKUP($A138,A:AL,31,FALSE)-50)),"-",(VLOOKUP($A138,'NonXtal_SegEnds_BW#'!$A:$Z,22,FALSE)+VLOOKUP($A138,A:AL,31,FALSE)-50))</f>
        <v>1015</v>
      </c>
      <c r="AG138" s="3">
        <f>IF(ISERROR(VLOOKUP($A138,'NonXtal_SegEnds_BW#'!$A:$Z,23,FALSE)+VLOOKUP($A138,A:AL,34,FALSE)-50),"-",(VLOOKUP($A138,'NonXtal_SegEnds_BW#'!$A:$Z,23,FALSE)+VLOOKUP($A138,A:AL,34,FALSE)-50))</f>
        <v>1022</v>
      </c>
      <c r="AH138" s="3">
        <v>1043</v>
      </c>
      <c r="AI138" s="3">
        <f>IF(ISERROR((VLOOKUP($A138,'NonXtal_SegEnds_BW#'!$A:$Z,24,FALSE)+VLOOKUP($A138,A:AL,34,FALSE)-50)),"-",(VLOOKUP($A138,'NonXtal_SegEnds_BW#'!$A:$Z,24,FALSE)+VLOOKUP($A138,A:AL,34,FALSE)-50))</f>
        <v>1049</v>
      </c>
      <c r="AJ138" s="3">
        <f>IF(ISERROR(VLOOKUP($A138,'NonXtal_SegEnds_BW#'!$A:$Z,25,FALSE)+VLOOKUP($A138,A:AL,37,FALSE)-50),"-",(VLOOKUP($A138,'NonXtal_SegEnds_BW#'!$A:$Z,25,FALSE)+VLOOKUP($A138,A:AL,37,FALSE)-50))</f>
        <v>1050</v>
      </c>
      <c r="AK138" s="3">
        <v>1053</v>
      </c>
      <c r="AL138" s="3">
        <f>IF(ISERROR((VLOOKUP($A138,'NonXtal_SegEnds_BW#'!$A:$Z,26,FALSE)+VLOOKUP($A138,A:AL,37,FALSE)-50)),"-",(VLOOKUP($A138,'NonXtal_SegEnds_BW#'!$A:$Z,26,FALSE)+VLOOKUP($A138,A:AL,37,FALSE)-50))</f>
        <v>1066</v>
      </c>
      <c r="AM138" s="71" t="str">
        <f>VLOOKUP(A138,Classification!A:B,2,FALSE)</f>
        <v>B2</v>
      </c>
      <c r="AN138" s="71" t="b">
        <f t="shared" si="69"/>
        <v>1</v>
      </c>
      <c r="AO138" s="3" t="str">
        <f t="shared" si="70"/>
        <v>-</v>
      </c>
      <c r="AP138" s="3" t="str">
        <f t="shared" si="71"/>
        <v>-</v>
      </c>
      <c r="AQ138" s="3" t="str">
        <f t="shared" si="72"/>
        <v>-</v>
      </c>
      <c r="AR138" s="3" t="str">
        <f t="shared" si="73"/>
        <v>-</v>
      </c>
      <c r="AS138" s="3" t="str">
        <f t="shared" si="74"/>
        <v>-</v>
      </c>
      <c r="AT138" s="3" t="str">
        <f t="shared" si="75"/>
        <v>-</v>
      </c>
      <c r="AU138" s="3">
        <f t="shared" si="76"/>
        <v>9</v>
      </c>
      <c r="AV138" s="3">
        <f t="shared" si="77"/>
        <v>2</v>
      </c>
      <c r="AW138" s="3">
        <f t="shared" si="78"/>
        <v>45</v>
      </c>
      <c r="AX138" s="3">
        <f t="shared" si="79"/>
        <v>7</v>
      </c>
      <c r="AY138" s="3">
        <f t="shared" si="80"/>
        <v>1</v>
      </c>
      <c r="AZ138" s="3">
        <f>IF(ISERROR(LEN(VLOOKUP(A138,Seqs!A:E,2,FALSE))-AL138),"-",LEN(VLOOKUP(A138,Seqs!A:E,2,FALSE))-AL138)</f>
        <v>255</v>
      </c>
      <c r="BA138" s="35">
        <f t="shared" si="81"/>
        <v>26</v>
      </c>
      <c r="BB138" s="3" t="str">
        <f t="shared" si="82"/>
        <v>-</v>
      </c>
      <c r="BC138" s="3">
        <f t="shared" si="83"/>
        <v>26</v>
      </c>
      <c r="BD138" s="3">
        <f t="shared" si="84"/>
        <v>85</v>
      </c>
    </row>
    <row r="139" spans="1:57" s="3" customFormat="1" x14ac:dyDescent="0.2">
      <c r="A139" s="3" t="s">
        <v>1402</v>
      </c>
      <c r="B139" s="3" t="str">
        <f>LOWER(VLOOKUP(A139,Xtal_Templ!A:B,2,FALSE))</f>
        <v>crfr1_human</v>
      </c>
      <c r="C139" s="3">
        <f>VLOOKUP($A139,'NonXtal_SegEnds_BW#'!$A:$Z,3,FALSE)+D139-50</f>
        <v>646</v>
      </c>
      <c r="D139" s="3">
        <v>673</v>
      </c>
      <c r="E139" s="3">
        <f>IF(ISERROR(VLOOKUP($A139,'NonXtal_SegEnds_BW#'!$A:$Z,4,FALSE)+VLOOKUP($A139,A:AL,4,FALSE)-50),"-",(VLOOKUP($A139,'NonXtal_SegEnds_BW#'!$A:$Z,4,FALSE)+VLOOKUP($A139,A:AL,4,FALSE)-50))</f>
        <v>683</v>
      </c>
      <c r="F139" s="3" t="s">
        <v>129</v>
      </c>
      <c r="G139" s="3" t="s">
        <v>129</v>
      </c>
      <c r="H139" s="3" t="s">
        <v>129</v>
      </c>
      <c r="I139" s="3">
        <f>VLOOKUP($A139,'NonXtal_SegEnds_BW#'!$A:$Z,7,FALSE)+J139-50</f>
        <v>688</v>
      </c>
      <c r="J139" s="3">
        <v>701</v>
      </c>
      <c r="K139" s="3">
        <f>VLOOKUP($A139,'NonXtal_SegEnds_BW#'!$A:$Z,8,FALSE)+VLOOKUP($A139,A:AL,10,FALSE)-50</f>
        <v>714</v>
      </c>
      <c r="L139" s="3" t="str">
        <f>IF(ISERROR(VLOOKUP($A139,'NonXtal_SegEnds_BW#'!$A:$Z,9,FALSE)+VLOOKUP($A139,A:AL,13,FALSE)-50),"-",(VLOOKUP($A139,'NonXtal_SegEnds_BW#'!$A:$Z,9,FALSE)+VLOOKUP($A139,A:AL,13,FALSE)-50))</f>
        <v>-</v>
      </c>
      <c r="M139" s="3" t="s">
        <v>129</v>
      </c>
      <c r="N139" s="3" t="str">
        <f>IF(ISERROR(VLOOKUP($A139,'NonXtal_SegEnds_BW#'!$A:$Z,10,FALSE)+VLOOKUP($A139,A:AL,13,FALSE)-50),"-",(VLOOKUP($A139,'NonXtal_SegEnds_BW#'!$A:$Z,10,FALSE)+VLOOKUP($A139,A:AL,13,FALSE)-50))</f>
        <v>-</v>
      </c>
      <c r="O139" s="3">
        <f>VLOOKUP($A139,'NonXtal_SegEnds_BW#'!$A:$Z,11,FALSE)+VLOOKUP($A139,A:AL,16,FALSE)-50</f>
        <v>719</v>
      </c>
      <c r="P139" s="3">
        <v>746</v>
      </c>
      <c r="Q139" s="3">
        <f>VLOOKUP($A139,'NonXtal_SegEnds_BW#'!$A:$Z,12,FALSE)+VLOOKUP($A139,A:AL,16,FALSE)-50</f>
        <v>752</v>
      </c>
      <c r="R139" s="3" t="str">
        <f>IF(ISERROR(VLOOKUP($A139,'NonXtal_SegEnds_BW#'!$A:$Z,13,FALSE)+VLOOKUP($A139,A:AL,19,FALSE)-50),"-",VLOOKUP($A139,'NonXtal_SegEnds_BW#'!$A:$Z,13,FALSE)+VLOOKUP($A139,A:AL,19,FALSE)-50)</f>
        <v>-</v>
      </c>
      <c r="S139" s="3" t="s">
        <v>129</v>
      </c>
      <c r="T139" s="3" t="str">
        <f>IF(ISERROR(VLOOKUP($A139,'NonXtal_SegEnds_BW#'!$A:$Z,14,FALSE)+VLOOKUP($A139,A:AL,19,FALSE)-50),"-",(VLOOKUP($A139,'NonXtal_SegEnds_BW#'!$A:$Z,14,FALSE)+VLOOKUP($A139,A:AL,19,FALSE)-50))</f>
        <v>-</v>
      </c>
      <c r="U139" s="3">
        <f>IF(ISERROR(VLOOKUP($A139,'NonXtal_SegEnds_BW#'!$A:$Z,15,FALSE)+VLOOKUP($A139,A:AL,22,FALSE)-50),"-",VLOOKUP($A139,'NonXtal_SegEnds_BW#'!$A:$Z,15,FALSE)+VLOOKUP($A139,A:AL,22,FALSE)-50)</f>
        <v>759</v>
      </c>
      <c r="V139" s="3">
        <v>769</v>
      </c>
      <c r="W139" s="3">
        <f>IF(ISERROR(VLOOKUP($A139,'NonXtal_SegEnds_BW#'!$A:$Z,16,FALSE)+VLOOKUP($A139,A:AL,22,FALSE)-50),"-",(VLOOKUP($A139,'NonXtal_SegEnds_BW#'!$A:$Z,16,FALSE)+VLOOKUP($A139,A:AL,22,FALSE)-50))</f>
        <v>787</v>
      </c>
      <c r="X139" s="3">
        <f>IF(ISERROR(VLOOKUP($A139,'NonXtal_SegEnds_BW#'!$A:$Z,17,FALSE)+VLOOKUP($A139,A:AL,25,FALSE)-50),"-",(VLOOKUP($A139,'NonXtal_SegEnds_BW#'!$A:$Z,17,FALSE)+VLOOKUP($A139,A:AL,25,FALSE)-50))</f>
        <v>793</v>
      </c>
      <c r="Y139" s="3">
        <v>793</v>
      </c>
      <c r="Z139" s="3">
        <f t="shared" si="67"/>
        <v>795</v>
      </c>
      <c r="AA139" s="3">
        <f>IF(ISERROR(VLOOKUP($A139,'NonXtal_SegEnds_BW#'!$A:$Z,19,FALSE)+VLOOKUP($A139,A:AL,28,FALSE)-50),"-",(VLOOKUP($A139,'NonXtal_SegEnds_BW#'!$A:$Z,19,FALSE)+VLOOKUP($A139,A:AL,28,FALSE)-50))</f>
        <v>798</v>
      </c>
      <c r="AB139" s="3">
        <v>812</v>
      </c>
      <c r="AC139" s="3">
        <f>IF(ISERROR((VLOOKUP($A139,'NonXtal_SegEnds_BW#'!$A:$Z,20,FALSE)+VLOOKUP($A139,A:AL,28,FALSE)-50)),"-",(VLOOKUP($A139,'NonXtal_SegEnds_BW#'!$A:$Z,20,FALSE)+VLOOKUP($A139,A:AL,28,FALSE)-50))</f>
        <v>831</v>
      </c>
      <c r="AD139" s="3">
        <f>IF(ISERROR(VLOOKUP($A139,'NonXtal_SegEnds_BW#'!$A:$Z,21,FALSE)+VLOOKUP($A139,A:AL,31,FALSE)-50),"-",(VLOOKUP($A139,'NonXtal_SegEnds_BW#'!$A:$Z,21,FALSE)+VLOOKUP($A139,A:AL,31,FALSE)-50))</f>
        <v>857</v>
      </c>
      <c r="AE139" s="3">
        <v>878</v>
      </c>
      <c r="AF139" s="3">
        <f>IF(ISERROR((VLOOKUP($A139,'NonXtal_SegEnds_BW#'!$A:$Z,22,FALSE)+VLOOKUP($A139,A:AL,31,FALSE)-50)),"-",(VLOOKUP($A139,'NonXtal_SegEnds_BW#'!$A:$Z,22,FALSE)+VLOOKUP($A139,A:AL,31,FALSE)-50))</f>
        <v>878</v>
      </c>
      <c r="AG139" s="3">
        <f>IF(ISERROR(VLOOKUP($A139,'NonXtal_SegEnds_BW#'!$A:$Z,23,FALSE)+VLOOKUP($A139,A:AL,34,FALSE)-50),"-",(VLOOKUP($A139,'NonXtal_SegEnds_BW#'!$A:$Z,23,FALSE)+VLOOKUP($A139,A:AL,34,FALSE)-50))</f>
        <v>881</v>
      </c>
      <c r="AH139" s="3">
        <v>898</v>
      </c>
      <c r="AI139" s="3">
        <f>IF(ISERROR((VLOOKUP($A139,'NonXtal_SegEnds_BW#'!$A:$Z,24,FALSE)+VLOOKUP($A139,A:AL,34,FALSE)-50)),"-",(VLOOKUP($A139,'NonXtal_SegEnds_BW#'!$A:$Z,24,FALSE)+VLOOKUP($A139,A:AL,34,FALSE)-50))</f>
        <v>904</v>
      </c>
      <c r="AJ139" s="3">
        <f>IF(ISERROR(VLOOKUP($A139,'NonXtal_SegEnds_BW#'!$A:$Z,25,FALSE)+VLOOKUP($A139,A:AL,37,FALSE)-50),"-",(VLOOKUP($A139,'NonXtal_SegEnds_BW#'!$A:$Z,25,FALSE)+VLOOKUP($A139,A:AL,37,FALSE)-50))</f>
        <v>905</v>
      </c>
      <c r="AK139" s="3">
        <v>908</v>
      </c>
      <c r="AL139" s="3">
        <f>IF(ISERROR((VLOOKUP($A139,'NonXtal_SegEnds_BW#'!$A:$Z,26,FALSE)+VLOOKUP($A139,A:AL,37,FALSE)-50)),"-",(VLOOKUP($A139,'NonXtal_SegEnds_BW#'!$A:$Z,26,FALSE)+VLOOKUP($A139,A:AL,37,FALSE)-50))</f>
        <v>921</v>
      </c>
      <c r="AM139" s="71" t="str">
        <f>VLOOKUP(A139,Classification!A:B,2,FALSE)</f>
        <v>B2</v>
      </c>
      <c r="AN139" s="71" t="b">
        <f t="shared" si="69"/>
        <v>1</v>
      </c>
      <c r="AO139" s="3" t="str">
        <f t="shared" si="70"/>
        <v>-</v>
      </c>
      <c r="AP139" s="3" t="str">
        <f t="shared" si="71"/>
        <v>-</v>
      </c>
      <c r="AQ139" s="3" t="str">
        <f t="shared" si="72"/>
        <v>-</v>
      </c>
      <c r="AR139" s="3" t="str">
        <f t="shared" si="73"/>
        <v>-</v>
      </c>
      <c r="AS139" s="3" t="str">
        <f t="shared" si="74"/>
        <v>-</v>
      </c>
      <c r="AT139" s="3" t="str">
        <f t="shared" si="75"/>
        <v>-</v>
      </c>
      <c r="AU139" s="3">
        <f t="shared" si="76"/>
        <v>6</v>
      </c>
      <c r="AV139" s="3">
        <f t="shared" si="77"/>
        <v>3</v>
      </c>
      <c r="AW139" s="3">
        <f t="shared" si="78"/>
        <v>26</v>
      </c>
      <c r="AX139" s="3">
        <f t="shared" si="79"/>
        <v>3</v>
      </c>
      <c r="AY139" s="3">
        <f t="shared" si="80"/>
        <v>1</v>
      </c>
      <c r="AZ139" s="3">
        <f>IF(ISERROR(LEN(VLOOKUP(A139,Seqs!A:E,2,FALSE))-AL139),"-",LEN(VLOOKUP(A139,Seqs!A:E,2,FALSE))-AL139)</f>
        <v>42</v>
      </c>
      <c r="BA139" s="35">
        <f t="shared" si="81"/>
        <v>28</v>
      </c>
      <c r="BB139" s="3" t="str">
        <f t="shared" si="82"/>
        <v>-</v>
      </c>
      <c r="BC139" s="3">
        <f t="shared" si="83"/>
        <v>28</v>
      </c>
      <c r="BD139" s="3">
        <f t="shared" si="84"/>
        <v>66</v>
      </c>
    </row>
    <row r="140" spans="1:57" s="3" customFormat="1" x14ac:dyDescent="0.2">
      <c r="A140" s="3" t="s">
        <v>1413</v>
      </c>
      <c r="B140" s="3" t="str">
        <f>LOWER(VLOOKUP(A140,Xtal_Templ!A:B,2,FALSE))</f>
        <v>crfr1_human</v>
      </c>
      <c r="C140" s="3">
        <f>VLOOKUP($A140,'NonXtal_SegEnds_BW#'!$A:$Z,3,FALSE)+D140-50</f>
        <v>616</v>
      </c>
      <c r="D140" s="3">
        <v>643</v>
      </c>
      <c r="E140" s="3">
        <f>IF(ISERROR(VLOOKUP($A140,'NonXtal_SegEnds_BW#'!$A:$Z,4,FALSE)+VLOOKUP($A140,A:AL,4,FALSE)-50),"-",(VLOOKUP($A140,'NonXtal_SegEnds_BW#'!$A:$Z,4,FALSE)+VLOOKUP($A140,A:AL,4,FALSE)-50))</f>
        <v>653</v>
      </c>
      <c r="F140" s="3" t="s">
        <v>129</v>
      </c>
      <c r="G140" s="3" t="s">
        <v>129</v>
      </c>
      <c r="H140" s="3" t="s">
        <v>129</v>
      </c>
      <c r="I140" s="3">
        <f>VLOOKUP($A140,'NonXtal_SegEnds_BW#'!$A:$Z,7,FALSE)+J140-50</f>
        <v>659</v>
      </c>
      <c r="J140" s="3">
        <v>672</v>
      </c>
      <c r="K140" s="3">
        <f>VLOOKUP($A140,'NonXtal_SegEnds_BW#'!$A:$Z,8,FALSE)+VLOOKUP($A140,A:AL,10,FALSE)-50</f>
        <v>685</v>
      </c>
      <c r="L140" s="3" t="str">
        <f>IF(ISERROR(VLOOKUP($A140,'NonXtal_SegEnds_BW#'!$A:$Z,9,FALSE)+VLOOKUP($A140,A:AL,13,FALSE)-50),"-",(VLOOKUP($A140,'NonXtal_SegEnds_BW#'!$A:$Z,9,FALSE)+VLOOKUP($A140,A:AL,13,FALSE)-50))</f>
        <v>-</v>
      </c>
      <c r="M140" s="3" t="s">
        <v>129</v>
      </c>
      <c r="N140" s="3" t="str">
        <f>IF(ISERROR(VLOOKUP($A140,'NonXtal_SegEnds_BW#'!$A:$Z,10,FALSE)+VLOOKUP($A140,A:AL,13,FALSE)-50),"-",(VLOOKUP($A140,'NonXtal_SegEnds_BW#'!$A:$Z,10,FALSE)+VLOOKUP($A140,A:AL,13,FALSE)-50))</f>
        <v>-</v>
      </c>
      <c r="O140" s="3">
        <f>VLOOKUP($A140,'NonXtal_SegEnds_BW#'!$A:$Z,11,FALSE)+VLOOKUP($A140,A:AL,16,FALSE)-50</f>
        <v>692</v>
      </c>
      <c r="P140" s="3">
        <v>719</v>
      </c>
      <c r="Q140" s="3">
        <f>VLOOKUP($A140,'NonXtal_SegEnds_BW#'!$A:$Z,12,FALSE)+VLOOKUP($A140,A:AL,16,FALSE)-50</f>
        <v>725</v>
      </c>
      <c r="R140" s="3" t="str">
        <f>IF(ISERROR(VLOOKUP($A140,'NonXtal_SegEnds_BW#'!$A:$Z,13,FALSE)+VLOOKUP($A140,A:AL,19,FALSE)-50),"-",VLOOKUP($A140,'NonXtal_SegEnds_BW#'!$A:$Z,13,FALSE)+VLOOKUP($A140,A:AL,19,FALSE)-50)</f>
        <v>-</v>
      </c>
      <c r="S140" s="3" t="s">
        <v>129</v>
      </c>
      <c r="T140" s="3" t="str">
        <f>IF(ISERROR(VLOOKUP($A140,'NonXtal_SegEnds_BW#'!$A:$Z,14,FALSE)+VLOOKUP($A140,A:AL,19,FALSE)-50),"-",(VLOOKUP($A140,'NonXtal_SegEnds_BW#'!$A:$Z,14,FALSE)+VLOOKUP($A140,A:AL,19,FALSE)-50))</f>
        <v>-</v>
      </c>
      <c r="U140" s="3">
        <f>IF(ISERROR(VLOOKUP($A140,'NonXtal_SegEnds_BW#'!$A:$Z,15,FALSE)+VLOOKUP($A140,A:AL,22,FALSE)-50),"-",VLOOKUP($A140,'NonXtal_SegEnds_BW#'!$A:$Z,15,FALSE)+VLOOKUP($A140,A:AL,22,FALSE)-50)</f>
        <v>733</v>
      </c>
      <c r="V140" s="3">
        <v>743</v>
      </c>
      <c r="W140" s="3">
        <f>IF(ISERROR(VLOOKUP($A140,'NonXtal_SegEnds_BW#'!$A:$Z,16,FALSE)+VLOOKUP($A140,A:AL,22,FALSE)-50),"-",(VLOOKUP($A140,'NonXtal_SegEnds_BW#'!$A:$Z,16,FALSE)+VLOOKUP($A140,A:AL,22,FALSE)-50))</f>
        <v>761</v>
      </c>
      <c r="X140" s="3">
        <f>IF(ISERROR(VLOOKUP($A140,'NonXtal_SegEnds_BW#'!$A:$Z,17,FALSE)+VLOOKUP($A140,A:AL,25,FALSE)-50),"-",(VLOOKUP($A140,'NonXtal_SegEnds_BW#'!$A:$Z,17,FALSE)+VLOOKUP($A140,A:AL,25,FALSE)-50))</f>
        <v>778</v>
      </c>
      <c r="Y140" s="3">
        <v>778</v>
      </c>
      <c r="Z140" s="3">
        <f t="shared" si="67"/>
        <v>780</v>
      </c>
      <c r="AA140" s="3">
        <f>IF(ISERROR(VLOOKUP($A140,'NonXtal_SegEnds_BW#'!$A:$Z,19,FALSE)+VLOOKUP($A140,A:AL,28,FALSE)-50),"-",(VLOOKUP($A140,'NonXtal_SegEnds_BW#'!$A:$Z,19,FALSE)+VLOOKUP($A140,A:AL,28,FALSE)-50))</f>
        <v>783</v>
      </c>
      <c r="AB140" s="3">
        <v>797</v>
      </c>
      <c r="AC140" s="3">
        <f>IF(ISERROR((VLOOKUP($A140,'NonXtal_SegEnds_BW#'!$A:$Z,20,FALSE)+VLOOKUP($A140,A:AL,28,FALSE)-50)),"-",(VLOOKUP($A140,'NonXtal_SegEnds_BW#'!$A:$Z,20,FALSE)+VLOOKUP($A140,A:AL,28,FALSE)-50))</f>
        <v>816</v>
      </c>
      <c r="AD140" s="3">
        <f>IF(ISERROR(VLOOKUP($A140,'NonXtal_SegEnds_BW#'!$A:$Z,21,FALSE)+VLOOKUP($A140,A:AL,31,FALSE)-50),"-",(VLOOKUP($A140,'NonXtal_SegEnds_BW#'!$A:$Z,21,FALSE)+VLOOKUP($A140,A:AL,31,FALSE)-50))</f>
        <v>827</v>
      </c>
      <c r="AE140" s="3">
        <v>848</v>
      </c>
      <c r="AF140" s="3">
        <f>IF(ISERROR((VLOOKUP($A140,'NonXtal_SegEnds_BW#'!$A:$Z,22,FALSE)+VLOOKUP($A140,A:AL,31,FALSE)-50)),"-",(VLOOKUP($A140,'NonXtal_SegEnds_BW#'!$A:$Z,22,FALSE)+VLOOKUP($A140,A:AL,31,FALSE)-50))</f>
        <v>851</v>
      </c>
      <c r="AG140" s="3">
        <f>IF(ISERROR(VLOOKUP($A140,'NonXtal_SegEnds_BW#'!$A:$Z,23,FALSE)+VLOOKUP($A140,A:AL,34,FALSE)-50),"-",(VLOOKUP($A140,'NonXtal_SegEnds_BW#'!$A:$Z,23,FALSE)+VLOOKUP($A140,A:AL,34,FALSE)-50))</f>
        <v>857</v>
      </c>
      <c r="AH140" s="3">
        <v>876</v>
      </c>
      <c r="AI140" s="3">
        <f>IF(ISERROR((VLOOKUP($A140,'NonXtal_SegEnds_BW#'!$A:$Z,24,FALSE)+VLOOKUP($A140,A:AL,34,FALSE)-50)),"-",(VLOOKUP($A140,'NonXtal_SegEnds_BW#'!$A:$Z,24,FALSE)+VLOOKUP($A140,A:AL,34,FALSE)-50))</f>
        <v>882</v>
      </c>
      <c r="AJ140" s="3">
        <f>IF(ISERROR(VLOOKUP($A140,'NonXtal_SegEnds_BW#'!$A:$Z,25,FALSE)+VLOOKUP($A140,A:AL,37,FALSE)-50),"-",(VLOOKUP($A140,'NonXtal_SegEnds_BW#'!$A:$Z,25,FALSE)+VLOOKUP($A140,A:AL,37,FALSE)-50))</f>
        <v>883</v>
      </c>
      <c r="AK140" s="3">
        <v>886</v>
      </c>
      <c r="AL140" s="3">
        <f>IF(ISERROR((VLOOKUP($A140,'NonXtal_SegEnds_BW#'!$A:$Z,26,FALSE)+VLOOKUP($A140,A:AL,37,FALSE)-50)),"-",(VLOOKUP($A140,'NonXtal_SegEnds_BW#'!$A:$Z,26,FALSE)+VLOOKUP($A140,A:AL,37,FALSE)-50))</f>
        <v>899</v>
      </c>
      <c r="AM140" s="71" t="str">
        <f>VLOOKUP(A140,Classification!A:B,2,FALSE)</f>
        <v>B2</v>
      </c>
      <c r="AN140" s="71" t="b">
        <f t="shared" si="69"/>
        <v>1</v>
      </c>
      <c r="AO140" s="3" t="str">
        <f t="shared" si="70"/>
        <v>-</v>
      </c>
      <c r="AP140" s="3" t="str">
        <f t="shared" si="71"/>
        <v>-</v>
      </c>
      <c r="AQ140" s="3" t="str">
        <f t="shared" si="72"/>
        <v>-</v>
      </c>
      <c r="AR140" s="3" t="str">
        <f t="shared" si="73"/>
        <v>-</v>
      </c>
      <c r="AS140" s="3" t="str">
        <f t="shared" si="74"/>
        <v>-</v>
      </c>
      <c r="AT140" s="3" t="str">
        <f t="shared" si="75"/>
        <v>-</v>
      </c>
      <c r="AU140" s="3">
        <f t="shared" si="76"/>
        <v>17</v>
      </c>
      <c r="AV140" s="3">
        <f t="shared" si="77"/>
        <v>3</v>
      </c>
      <c r="AW140" s="3">
        <f t="shared" si="78"/>
        <v>11</v>
      </c>
      <c r="AX140" s="3">
        <f t="shared" si="79"/>
        <v>6</v>
      </c>
      <c r="AY140" s="3">
        <f t="shared" si="80"/>
        <v>1</v>
      </c>
      <c r="AZ140" s="3">
        <f>IF(ISERROR(LEN(VLOOKUP(A140,Seqs!A:E,2,FALSE))-AL140),"-",LEN(VLOOKUP(A140,Seqs!A:E,2,FALSE))-AL140)</f>
        <v>118</v>
      </c>
      <c r="BA140" s="35">
        <f t="shared" si="81"/>
        <v>29</v>
      </c>
      <c r="BB140" s="3" t="str">
        <f t="shared" si="82"/>
        <v>-</v>
      </c>
      <c r="BC140" s="3">
        <f t="shared" si="83"/>
        <v>29</v>
      </c>
      <c r="BD140" s="3">
        <f t="shared" si="84"/>
        <v>51</v>
      </c>
    </row>
    <row r="141" spans="1:57" s="3" customFormat="1" x14ac:dyDescent="0.2">
      <c r="A141" s="3" t="s">
        <v>1403</v>
      </c>
      <c r="B141" s="3" t="str">
        <f>LOWER(VLOOKUP(A141,Xtal_Templ!A:B,2,FALSE))</f>
        <v>crfr1_human</v>
      </c>
      <c r="C141" s="3">
        <f>VLOOKUP($A141,'NonXtal_SegEnds_BW#'!$A:$Z,3,FALSE)+D141-50</f>
        <v>590</v>
      </c>
      <c r="D141" s="3">
        <v>617</v>
      </c>
      <c r="E141" s="3">
        <f>IF(ISERROR(VLOOKUP($A141,'NonXtal_SegEnds_BW#'!$A:$Z,4,FALSE)+VLOOKUP($A141,A:AL,4,FALSE)-50),"-",(VLOOKUP($A141,'NonXtal_SegEnds_BW#'!$A:$Z,4,FALSE)+VLOOKUP($A141,A:AL,4,FALSE)-50))</f>
        <v>627</v>
      </c>
      <c r="F141" s="3" t="s">
        <v>129</v>
      </c>
      <c r="G141" s="3" t="s">
        <v>129</v>
      </c>
      <c r="H141" s="3" t="s">
        <v>129</v>
      </c>
      <c r="I141" s="3">
        <f>VLOOKUP($A141,'NonXtal_SegEnds_BW#'!$A:$Z,7,FALSE)+J141-50</f>
        <v>632</v>
      </c>
      <c r="J141" s="3">
        <v>645</v>
      </c>
      <c r="K141" s="3">
        <f>VLOOKUP($A141,'NonXtal_SegEnds_BW#'!$A:$Z,8,FALSE)+VLOOKUP($A141,A:AL,10,FALSE)-50</f>
        <v>658</v>
      </c>
      <c r="L141" s="3" t="str">
        <f>IF(ISERROR(VLOOKUP($A141,'NonXtal_SegEnds_BW#'!$A:$Z,9,FALSE)+VLOOKUP($A141,A:AL,13,FALSE)-50),"-",(VLOOKUP($A141,'NonXtal_SegEnds_BW#'!$A:$Z,9,FALSE)+VLOOKUP($A141,A:AL,13,FALSE)-50))</f>
        <v>-</v>
      </c>
      <c r="M141" s="3" t="s">
        <v>129</v>
      </c>
      <c r="N141" s="3" t="str">
        <f>IF(ISERROR(VLOOKUP($A141,'NonXtal_SegEnds_BW#'!$A:$Z,10,FALSE)+VLOOKUP($A141,A:AL,13,FALSE)-50),"-",(VLOOKUP($A141,'NonXtal_SegEnds_BW#'!$A:$Z,10,FALSE)+VLOOKUP($A141,A:AL,13,FALSE)-50))</f>
        <v>-</v>
      </c>
      <c r="O141" s="3">
        <f>VLOOKUP($A141,'NonXtal_SegEnds_BW#'!$A:$Z,11,FALSE)+VLOOKUP($A141,A:AL,16,FALSE)-50</f>
        <v>663</v>
      </c>
      <c r="P141" s="3">
        <v>690</v>
      </c>
      <c r="Q141" s="3">
        <f>VLOOKUP($A141,'NonXtal_SegEnds_BW#'!$A:$Z,12,FALSE)+VLOOKUP($A141,A:AL,16,FALSE)-50</f>
        <v>696</v>
      </c>
      <c r="R141" s="3" t="str">
        <f>IF(ISERROR(VLOOKUP($A141,'NonXtal_SegEnds_BW#'!$A:$Z,13,FALSE)+VLOOKUP($A141,A:AL,19,FALSE)-50),"-",VLOOKUP($A141,'NonXtal_SegEnds_BW#'!$A:$Z,13,FALSE)+VLOOKUP($A141,A:AL,19,FALSE)-50)</f>
        <v>-</v>
      </c>
      <c r="S141" s="3" t="s">
        <v>129</v>
      </c>
      <c r="T141" s="3" t="str">
        <f>IF(ISERROR(VLOOKUP($A141,'NonXtal_SegEnds_BW#'!$A:$Z,14,FALSE)+VLOOKUP($A141,A:AL,19,FALSE)-50),"-",(VLOOKUP($A141,'NonXtal_SegEnds_BW#'!$A:$Z,14,FALSE)+VLOOKUP($A141,A:AL,19,FALSE)-50))</f>
        <v>-</v>
      </c>
      <c r="U141" s="3">
        <f>IF(ISERROR(VLOOKUP($A141,'NonXtal_SegEnds_BW#'!$A:$Z,15,FALSE)+VLOOKUP($A141,A:AL,22,FALSE)-50),"-",VLOOKUP($A141,'NonXtal_SegEnds_BW#'!$A:$Z,15,FALSE)+VLOOKUP($A141,A:AL,22,FALSE)-50)</f>
        <v>708</v>
      </c>
      <c r="V141" s="3">
        <v>718</v>
      </c>
      <c r="W141" s="3">
        <f>IF(ISERROR(VLOOKUP($A141,'NonXtal_SegEnds_BW#'!$A:$Z,16,FALSE)+VLOOKUP($A141,A:AL,22,FALSE)-50),"-",(VLOOKUP($A141,'NonXtal_SegEnds_BW#'!$A:$Z,16,FALSE)+VLOOKUP($A141,A:AL,22,FALSE)-50))</f>
        <v>736</v>
      </c>
      <c r="X141" s="3">
        <f>IF(ISERROR(VLOOKUP($A141,'NonXtal_SegEnds_BW#'!$A:$Z,17,FALSE)+VLOOKUP($A141,A:AL,25,FALSE)-50),"-",(VLOOKUP($A141,'NonXtal_SegEnds_BW#'!$A:$Z,17,FALSE)+VLOOKUP($A141,A:AL,25,FALSE)-50))</f>
        <v>742</v>
      </c>
      <c r="Y141" s="3">
        <v>742</v>
      </c>
      <c r="Z141" s="3">
        <f t="shared" si="67"/>
        <v>744</v>
      </c>
      <c r="AA141" s="3">
        <f>IF(ISERROR(VLOOKUP($A141,'NonXtal_SegEnds_BW#'!$A:$Z,19,FALSE)+VLOOKUP($A141,A:AL,28,FALSE)-50),"-",(VLOOKUP($A141,'NonXtal_SegEnds_BW#'!$A:$Z,19,FALSE)+VLOOKUP($A141,A:AL,28,FALSE)-50))</f>
        <v>747</v>
      </c>
      <c r="AB141" s="3">
        <v>761</v>
      </c>
      <c r="AC141" s="3">
        <f>IF(ISERROR((VLOOKUP($A141,'NonXtal_SegEnds_BW#'!$A:$Z,20,FALSE)+VLOOKUP($A141,A:AL,28,FALSE)-50)),"-",(VLOOKUP($A141,'NonXtal_SegEnds_BW#'!$A:$Z,20,FALSE)+VLOOKUP($A141,A:AL,28,FALSE)-50))</f>
        <v>780</v>
      </c>
      <c r="AD141" s="3">
        <f>IF(ISERROR(VLOOKUP($A141,'NonXtal_SegEnds_BW#'!$A:$Z,21,FALSE)+VLOOKUP($A141,A:AL,31,FALSE)-50),"-",(VLOOKUP($A141,'NonXtal_SegEnds_BW#'!$A:$Z,21,FALSE)+VLOOKUP($A141,A:AL,31,FALSE)-50))</f>
        <v>792</v>
      </c>
      <c r="AE141" s="3">
        <v>813</v>
      </c>
      <c r="AF141" s="3">
        <f>IF(ISERROR((VLOOKUP($A141,'NonXtal_SegEnds_BW#'!$A:$Z,22,FALSE)+VLOOKUP($A141,A:AL,31,FALSE)-50)),"-",(VLOOKUP($A141,'NonXtal_SegEnds_BW#'!$A:$Z,22,FALSE)+VLOOKUP($A141,A:AL,31,FALSE)-50))</f>
        <v>816</v>
      </c>
      <c r="AG141" s="3">
        <f>IF(ISERROR(VLOOKUP($A141,'NonXtal_SegEnds_BW#'!$A:$Z,23,FALSE)+VLOOKUP($A141,A:AL,34,FALSE)-50),"-",(VLOOKUP($A141,'NonXtal_SegEnds_BW#'!$A:$Z,23,FALSE)+VLOOKUP($A141,A:AL,34,FALSE)-50))</f>
        <v>822</v>
      </c>
      <c r="AH141" s="3">
        <v>841</v>
      </c>
      <c r="AI141" s="3">
        <f>IF(ISERROR((VLOOKUP($A141,'NonXtal_SegEnds_BW#'!$A:$Z,24,FALSE)+VLOOKUP($A141,A:AL,34,FALSE)-50)),"-",(VLOOKUP($A141,'NonXtal_SegEnds_BW#'!$A:$Z,24,FALSE)+VLOOKUP($A141,A:AL,34,FALSE)-50))</f>
        <v>847</v>
      </c>
      <c r="AJ141" s="3">
        <f>IF(ISERROR(VLOOKUP($A141,'NonXtal_SegEnds_BW#'!$A:$Z,25,FALSE)+VLOOKUP($A141,A:AL,37,FALSE)-50),"-",(VLOOKUP($A141,'NonXtal_SegEnds_BW#'!$A:$Z,25,FALSE)+VLOOKUP($A141,A:AL,37,FALSE)-50))</f>
        <v>848</v>
      </c>
      <c r="AK141" s="3">
        <v>851</v>
      </c>
      <c r="AL141" s="3">
        <f>IF(ISERROR((VLOOKUP($A141,'NonXtal_SegEnds_BW#'!$A:$Z,26,FALSE)+VLOOKUP($A141,A:AL,37,FALSE)-50)),"-",(VLOOKUP($A141,'NonXtal_SegEnds_BW#'!$A:$Z,26,FALSE)+VLOOKUP($A141,A:AL,37,FALSE)-50))</f>
        <v>864</v>
      </c>
      <c r="AM141" s="71" t="str">
        <f>VLOOKUP(A141,Classification!A:B,2,FALSE)</f>
        <v>B2</v>
      </c>
      <c r="AN141" s="71" t="b">
        <f t="shared" si="69"/>
        <v>1</v>
      </c>
      <c r="AO141" s="3" t="str">
        <f t="shared" si="70"/>
        <v>-</v>
      </c>
      <c r="AP141" s="3" t="str">
        <f t="shared" si="71"/>
        <v>-</v>
      </c>
      <c r="AQ141" s="3" t="str">
        <f t="shared" si="72"/>
        <v>-</v>
      </c>
      <c r="AR141" s="3" t="str">
        <f t="shared" si="73"/>
        <v>-</v>
      </c>
      <c r="AS141" s="3" t="str">
        <f t="shared" si="74"/>
        <v>-</v>
      </c>
      <c r="AT141" s="3" t="str">
        <f t="shared" si="75"/>
        <v>-</v>
      </c>
      <c r="AU141" s="3">
        <f t="shared" si="76"/>
        <v>6</v>
      </c>
      <c r="AV141" s="3">
        <f t="shared" si="77"/>
        <v>3</v>
      </c>
      <c r="AW141" s="3">
        <f t="shared" si="78"/>
        <v>12</v>
      </c>
      <c r="AX141" s="3">
        <f t="shared" si="79"/>
        <v>6</v>
      </c>
      <c r="AY141" s="3">
        <f t="shared" si="80"/>
        <v>1</v>
      </c>
      <c r="AZ141" s="3">
        <f>IF(ISERROR(LEN(VLOOKUP(A141,Seqs!A:E,2,FALSE))-AL141),"-",LEN(VLOOKUP(A141,Seqs!A:E,2,FALSE))-AL141)</f>
        <v>22</v>
      </c>
      <c r="BA141" s="35">
        <f t="shared" si="81"/>
        <v>28</v>
      </c>
      <c r="BB141" s="3" t="str">
        <f t="shared" si="82"/>
        <v>-</v>
      </c>
      <c r="BC141" s="3">
        <f t="shared" si="83"/>
        <v>28</v>
      </c>
      <c r="BD141" s="3">
        <f t="shared" si="84"/>
        <v>52</v>
      </c>
      <c r="BE141" s="3">
        <f>AH141-AE141</f>
        <v>28</v>
      </c>
    </row>
    <row r="142" spans="1:57" s="3" customFormat="1" x14ac:dyDescent="0.2">
      <c r="A142" s="3" t="s">
        <v>1407</v>
      </c>
      <c r="B142" s="3" t="str">
        <f>LOWER(VLOOKUP(A142,Xtal_Templ!A:B,2,FALSE))</f>
        <v>crfr1_human</v>
      </c>
      <c r="C142" s="3">
        <f>VLOOKUP($A142,'NonXtal_SegEnds_BW#'!$A:$Z,3,FALSE)+D142-50</f>
        <v>573</v>
      </c>
      <c r="D142" s="3">
        <v>600</v>
      </c>
      <c r="E142" s="3">
        <f>IF(ISERROR(VLOOKUP($A142,'NonXtal_SegEnds_BW#'!$A:$Z,4,FALSE)+VLOOKUP($A142,A:AL,4,FALSE)-50),"-",(VLOOKUP($A142,'NonXtal_SegEnds_BW#'!$A:$Z,4,FALSE)+VLOOKUP($A142,A:AL,4,FALSE)-50))</f>
        <v>610</v>
      </c>
      <c r="F142" s="3" t="s">
        <v>129</v>
      </c>
      <c r="G142" s="3" t="s">
        <v>129</v>
      </c>
      <c r="H142" s="3" t="s">
        <v>129</v>
      </c>
      <c r="I142" s="3">
        <f>VLOOKUP($A142,'NonXtal_SegEnds_BW#'!$A:$Z,7,FALSE)+J142-50</f>
        <v>618</v>
      </c>
      <c r="J142" s="3">
        <v>631</v>
      </c>
      <c r="K142" s="3">
        <f>VLOOKUP($A142,'NonXtal_SegEnds_BW#'!$A:$Z,8,FALSE)+VLOOKUP($A142,A:AL,10,FALSE)-50</f>
        <v>644</v>
      </c>
      <c r="L142" s="3" t="str">
        <f>IF(ISERROR(VLOOKUP($A142,'NonXtal_SegEnds_BW#'!$A:$Z,9,FALSE)+VLOOKUP($A142,A:AL,13,FALSE)-50),"-",(VLOOKUP($A142,'NonXtal_SegEnds_BW#'!$A:$Z,9,FALSE)+VLOOKUP($A142,A:AL,13,FALSE)-50))</f>
        <v>-</v>
      </c>
      <c r="M142" s="3" t="s">
        <v>129</v>
      </c>
      <c r="N142" s="3" t="str">
        <f>IF(ISERROR(VLOOKUP($A142,'NonXtal_SegEnds_BW#'!$A:$Z,10,FALSE)+VLOOKUP($A142,A:AL,13,FALSE)-50),"-",(VLOOKUP($A142,'NonXtal_SegEnds_BW#'!$A:$Z,10,FALSE)+VLOOKUP($A142,A:AL,13,FALSE)-50))</f>
        <v>-</v>
      </c>
      <c r="O142" s="3">
        <f>VLOOKUP($A142,'NonXtal_SegEnds_BW#'!$A:$Z,11,FALSE)+VLOOKUP($A142,A:AL,16,FALSE)-50</f>
        <v>655</v>
      </c>
      <c r="P142" s="3">
        <v>682</v>
      </c>
      <c r="Q142" s="3">
        <f>VLOOKUP($A142,'NonXtal_SegEnds_BW#'!$A:$Z,12,FALSE)+VLOOKUP($A142,A:AL,16,FALSE)-50</f>
        <v>688</v>
      </c>
      <c r="R142" s="3" t="str">
        <f>IF(ISERROR(VLOOKUP($A142,'NonXtal_SegEnds_BW#'!$A:$Z,13,FALSE)+VLOOKUP($A142,A:AL,19,FALSE)-50),"-",VLOOKUP($A142,'NonXtal_SegEnds_BW#'!$A:$Z,13,FALSE)+VLOOKUP($A142,A:AL,19,FALSE)-50)</f>
        <v>-</v>
      </c>
      <c r="S142" s="3" t="s">
        <v>129</v>
      </c>
      <c r="T142" s="3" t="str">
        <f>IF(ISERROR(VLOOKUP($A142,'NonXtal_SegEnds_BW#'!$A:$Z,14,FALSE)+VLOOKUP($A142,A:AL,19,FALSE)-50),"-",(VLOOKUP($A142,'NonXtal_SegEnds_BW#'!$A:$Z,14,FALSE)+VLOOKUP($A142,A:AL,19,FALSE)-50))</f>
        <v>-</v>
      </c>
      <c r="U142" s="3">
        <f>IF(ISERROR(VLOOKUP($A142,'NonXtal_SegEnds_BW#'!$A:$Z,15,FALSE)+VLOOKUP($A142,A:AL,22,FALSE)-50),"-",VLOOKUP($A142,'NonXtal_SegEnds_BW#'!$A:$Z,15,FALSE)+VLOOKUP($A142,A:AL,22,FALSE)-50)</f>
        <v>697</v>
      </c>
      <c r="V142" s="3">
        <v>707</v>
      </c>
      <c r="W142" s="3">
        <f>IF(ISERROR(VLOOKUP($A142,'NonXtal_SegEnds_BW#'!$A:$Z,16,FALSE)+VLOOKUP($A142,A:AL,22,FALSE)-50),"-",(VLOOKUP($A142,'NonXtal_SegEnds_BW#'!$A:$Z,16,FALSE)+VLOOKUP($A142,A:AL,22,FALSE)-50))</f>
        <v>725</v>
      </c>
      <c r="X142" s="3">
        <f>IF(ISERROR(VLOOKUP($A142,'NonXtal_SegEnds_BW#'!$A:$Z,17,FALSE)+VLOOKUP($A142,A:AL,25,FALSE)-50),"-",(VLOOKUP($A142,'NonXtal_SegEnds_BW#'!$A:$Z,17,FALSE)+VLOOKUP($A142,A:AL,25,FALSE)-50))</f>
        <v>733</v>
      </c>
      <c r="Y142" s="3">
        <v>733</v>
      </c>
      <c r="Z142" s="3">
        <f t="shared" si="67"/>
        <v>735</v>
      </c>
      <c r="AA142" s="3">
        <f>IF(ISERROR(VLOOKUP($A142,'NonXtal_SegEnds_BW#'!$A:$Z,19,FALSE)+VLOOKUP($A142,A:AL,28,FALSE)-50),"-",(VLOOKUP($A142,'NonXtal_SegEnds_BW#'!$A:$Z,19,FALSE)+VLOOKUP($A142,A:AL,28,FALSE)-50))</f>
        <v>740</v>
      </c>
      <c r="AB142" s="3">
        <v>754</v>
      </c>
      <c r="AC142" s="3">
        <f>IF(ISERROR((VLOOKUP($A142,'NonXtal_SegEnds_BW#'!$A:$Z,20,FALSE)+VLOOKUP($A142,A:AL,28,FALSE)-50)),"-",(VLOOKUP($A142,'NonXtal_SegEnds_BW#'!$A:$Z,20,FALSE)+VLOOKUP($A142,A:AL,28,FALSE)-50))</f>
        <v>773</v>
      </c>
      <c r="AD142" s="3">
        <f>IF(ISERROR(VLOOKUP($A142,'NonXtal_SegEnds_BW#'!$A:$Z,21,FALSE)+VLOOKUP($A142,A:AL,31,FALSE)-50),"-",(VLOOKUP($A142,'NonXtal_SegEnds_BW#'!$A:$Z,21,FALSE)+VLOOKUP($A142,A:AL,31,FALSE)-50))</f>
        <v>785</v>
      </c>
      <c r="AE142" s="3">
        <v>806</v>
      </c>
      <c r="AF142" s="3">
        <f>IF(ISERROR((VLOOKUP($A142,'NonXtal_SegEnds_BW#'!$A:$Z,22,FALSE)+VLOOKUP($A142,A:AL,31,FALSE)-50)),"-",(VLOOKUP($A142,'NonXtal_SegEnds_BW#'!$A:$Z,22,FALSE)+VLOOKUP($A142,A:AL,31,FALSE)-50))</f>
        <v>809</v>
      </c>
      <c r="AG142" s="3">
        <f>IF(ISERROR(VLOOKUP($A142,'NonXtal_SegEnds_BW#'!$A:$Z,23,FALSE)+VLOOKUP($A142,A:AL,34,FALSE)-50),"-",(VLOOKUP($A142,'NonXtal_SegEnds_BW#'!$A:$Z,23,FALSE)+VLOOKUP($A142,A:AL,34,FALSE)-50))</f>
        <v>816</v>
      </c>
      <c r="AH142" s="3">
        <v>835</v>
      </c>
      <c r="AI142" s="3">
        <f>IF(ISERROR((VLOOKUP($A142,'NonXtal_SegEnds_BW#'!$A:$Z,24,FALSE)+VLOOKUP($A142,A:AL,34,FALSE)-50)),"-",(VLOOKUP($A142,'NonXtal_SegEnds_BW#'!$A:$Z,24,FALSE)+VLOOKUP($A142,A:AL,34,FALSE)-50))</f>
        <v>841</v>
      </c>
      <c r="AJ142" s="3">
        <f>IF(ISERROR(VLOOKUP($A142,'NonXtal_SegEnds_BW#'!$A:$Z,25,FALSE)+VLOOKUP($A142,A:AL,37,FALSE)-50),"-",(VLOOKUP($A142,'NonXtal_SegEnds_BW#'!$A:$Z,25,FALSE)+VLOOKUP($A142,A:AL,37,FALSE)-50))</f>
        <v>842</v>
      </c>
      <c r="AK142" s="3">
        <v>845</v>
      </c>
      <c r="AL142" s="3">
        <f>IF(ISERROR((VLOOKUP($A142,'NonXtal_SegEnds_BW#'!$A:$Z,26,FALSE)+VLOOKUP($A142,A:AL,37,FALSE)-50)),"-",(VLOOKUP($A142,'NonXtal_SegEnds_BW#'!$A:$Z,26,FALSE)+VLOOKUP($A142,A:AL,37,FALSE)-50))</f>
        <v>858</v>
      </c>
      <c r="AM142" s="71" t="str">
        <f>VLOOKUP(A142,Classification!A:B,2,FALSE)</f>
        <v>B2</v>
      </c>
      <c r="AN142" s="71" t="b">
        <f t="shared" si="69"/>
        <v>1</v>
      </c>
      <c r="AO142" s="3" t="str">
        <f t="shared" si="70"/>
        <v>-</v>
      </c>
      <c r="AP142" s="3" t="str">
        <f t="shared" si="71"/>
        <v>-</v>
      </c>
      <c r="AQ142" s="3" t="str">
        <f t="shared" si="72"/>
        <v>-</v>
      </c>
      <c r="AR142" s="3" t="str">
        <f t="shared" si="73"/>
        <v>-</v>
      </c>
      <c r="AS142" s="3" t="str">
        <f t="shared" si="74"/>
        <v>-</v>
      </c>
      <c r="AT142" s="3" t="str">
        <f t="shared" si="75"/>
        <v>-</v>
      </c>
      <c r="AU142" s="3">
        <f t="shared" si="76"/>
        <v>8</v>
      </c>
      <c r="AV142" s="3">
        <f t="shared" si="77"/>
        <v>5</v>
      </c>
      <c r="AW142" s="3">
        <f t="shared" si="78"/>
        <v>12</v>
      </c>
      <c r="AX142" s="3">
        <f t="shared" si="79"/>
        <v>7</v>
      </c>
      <c r="AY142" s="3">
        <f t="shared" si="80"/>
        <v>1</v>
      </c>
      <c r="AZ142" s="3">
        <f>IF(ISERROR(LEN(VLOOKUP(A142,Seqs!A:E,2,FALSE))-AL142),"-",LEN(VLOOKUP(A142,Seqs!A:E,2,FALSE))-AL142)</f>
        <v>52</v>
      </c>
      <c r="BA142" s="35">
        <f t="shared" si="81"/>
        <v>31</v>
      </c>
      <c r="BB142" s="3" t="str">
        <f t="shared" si="82"/>
        <v>-</v>
      </c>
      <c r="BC142" s="3">
        <f t="shared" si="83"/>
        <v>31</v>
      </c>
      <c r="BD142" s="3">
        <f t="shared" si="84"/>
        <v>52</v>
      </c>
    </row>
    <row r="143" spans="1:57" s="3" customFormat="1" x14ac:dyDescent="0.2">
      <c r="A143" s="3" t="s">
        <v>1401</v>
      </c>
      <c r="B143" s="3" t="str">
        <f>LOWER(VLOOKUP(A143,Xtal_Templ!A:B,2,FALSE))</f>
        <v>crfr1_human</v>
      </c>
      <c r="C143" s="3">
        <f>VLOOKUP($A143,'NonXtal_SegEnds_BW#'!$A:$Z,3,FALSE)+D143-50</f>
        <v>554</v>
      </c>
      <c r="D143" s="3">
        <v>581</v>
      </c>
      <c r="E143" s="3">
        <f>IF(ISERROR(VLOOKUP($A143,'NonXtal_SegEnds_BW#'!$A:$Z,4,FALSE)+VLOOKUP($A143,A:AL,4,FALSE)-50),"-",(VLOOKUP($A143,'NonXtal_SegEnds_BW#'!$A:$Z,4,FALSE)+VLOOKUP($A143,A:AL,4,FALSE)-50))</f>
        <v>591</v>
      </c>
      <c r="F143" s="3">
        <f>G143-2</f>
        <v>592</v>
      </c>
      <c r="G143" s="3">
        <v>594</v>
      </c>
      <c r="H143" s="3">
        <f>G143+1</f>
        <v>595</v>
      </c>
      <c r="I143" s="3">
        <f>H143+1</f>
        <v>596</v>
      </c>
      <c r="J143" s="3">
        <v>612</v>
      </c>
      <c r="K143" s="3">
        <f>VLOOKUP($A143,'NonXtal_SegEnds_BW#'!$A:$Z,8,FALSE)+VLOOKUP($A143,A:AL,10,FALSE)-50</f>
        <v>625</v>
      </c>
      <c r="L143" s="3" t="str">
        <f>IF(ISERROR(VLOOKUP($A143,'NonXtal_SegEnds_BW#'!$A:$Z,9,FALSE)+VLOOKUP($A143,A:AL,13,FALSE)-50),"-",(VLOOKUP($A143,'NonXtal_SegEnds_BW#'!$A:$Z,9,FALSE)+VLOOKUP($A143,A:AL,13,FALSE)-50))</f>
        <v>-</v>
      </c>
      <c r="M143" s="3" t="s">
        <v>129</v>
      </c>
      <c r="N143" s="3" t="str">
        <f>IF(ISERROR(VLOOKUP($A143,'NonXtal_SegEnds_BW#'!$A:$Z,10,FALSE)+VLOOKUP($A143,A:AL,13,FALSE)-50),"-",(VLOOKUP($A143,'NonXtal_SegEnds_BW#'!$A:$Z,10,FALSE)+VLOOKUP($A143,A:AL,13,FALSE)-50))</f>
        <v>-</v>
      </c>
      <c r="O143" s="3">
        <f>VLOOKUP($A143,'NonXtal_SegEnds_BW#'!$A:$Z,11,FALSE)+VLOOKUP($A143,A:AL,16,FALSE)-50</f>
        <v>630</v>
      </c>
      <c r="P143" s="3">
        <v>657</v>
      </c>
      <c r="Q143" s="3">
        <f>VLOOKUP($A143,'NonXtal_SegEnds_BW#'!$A:$Z,12,FALSE)+VLOOKUP($A143,A:AL,16,FALSE)-50</f>
        <v>663</v>
      </c>
      <c r="R143" s="3" t="str">
        <f>IF(ISERROR(VLOOKUP($A143,'NonXtal_SegEnds_BW#'!$A:$Z,13,FALSE)+VLOOKUP($A143,A:AL,19,FALSE)-50),"-",VLOOKUP($A143,'NonXtal_SegEnds_BW#'!$A:$Z,13,FALSE)+VLOOKUP($A143,A:AL,19,FALSE)-50)</f>
        <v>-</v>
      </c>
      <c r="S143" s="3" t="s">
        <v>129</v>
      </c>
      <c r="T143" s="3" t="str">
        <f>IF(ISERROR(VLOOKUP($A143,'NonXtal_SegEnds_BW#'!$A:$Z,14,FALSE)+VLOOKUP($A143,A:AL,19,FALSE)-50),"-",(VLOOKUP($A143,'NonXtal_SegEnds_BW#'!$A:$Z,14,FALSE)+VLOOKUP($A143,A:AL,19,FALSE)-50))</f>
        <v>-</v>
      </c>
      <c r="U143" s="3">
        <f>IF(ISERROR(VLOOKUP($A143,'NonXtal_SegEnds_BW#'!$A:$Z,15,FALSE)+VLOOKUP($A143,A:AL,22,FALSE)-50),"-",VLOOKUP($A143,'NonXtal_SegEnds_BW#'!$A:$Z,15,FALSE)+VLOOKUP($A143,A:AL,22,FALSE)-50)</f>
        <v>670</v>
      </c>
      <c r="V143" s="3">
        <v>680</v>
      </c>
      <c r="W143" s="3">
        <f>IF(ISERROR(VLOOKUP($A143,'NonXtal_SegEnds_BW#'!$A:$Z,16,FALSE)+VLOOKUP($A143,A:AL,22,FALSE)-50),"-",(VLOOKUP($A143,'NonXtal_SegEnds_BW#'!$A:$Z,16,FALSE)+VLOOKUP($A143,A:AL,22,FALSE)-50))</f>
        <v>698</v>
      </c>
      <c r="X143" s="3">
        <f>IF(ISERROR(VLOOKUP($A143,'NonXtal_SegEnds_BW#'!$A:$Z,17,FALSE)+VLOOKUP($A143,A:AL,25,FALSE)-50),"-",(VLOOKUP($A143,'NonXtal_SegEnds_BW#'!$A:$Z,17,FALSE)+VLOOKUP($A143,A:AL,25,FALSE)-50))</f>
        <v>704</v>
      </c>
      <c r="Y143" s="3">
        <v>704</v>
      </c>
      <c r="Z143" s="3">
        <f t="shared" si="67"/>
        <v>706</v>
      </c>
      <c r="AA143" s="3">
        <f>IF(ISERROR(VLOOKUP($A143,'NonXtal_SegEnds_BW#'!$A:$Z,19,FALSE)+VLOOKUP($A143,A:AL,28,FALSE)-50),"-",(VLOOKUP($A143,'NonXtal_SegEnds_BW#'!$A:$Z,19,FALSE)+VLOOKUP($A143,A:AL,28,FALSE)-50))</f>
        <v>709</v>
      </c>
      <c r="AB143" s="3">
        <v>723</v>
      </c>
      <c r="AC143" s="3">
        <f>IF(ISERROR((VLOOKUP($A143,'NonXtal_SegEnds_BW#'!$A:$Z,20,FALSE)+VLOOKUP($A143,A:AL,28,FALSE)-50)),"-",(VLOOKUP($A143,'NonXtal_SegEnds_BW#'!$A:$Z,20,FALSE)+VLOOKUP($A143,A:AL,28,FALSE)-50))</f>
        <v>742</v>
      </c>
      <c r="AD143" s="3">
        <f>IF(ISERROR(VLOOKUP($A143,'NonXtal_SegEnds_BW#'!$A:$Z,21,FALSE)+VLOOKUP($A143,A:AL,31,FALSE)-50),"-",(VLOOKUP($A143,'NonXtal_SegEnds_BW#'!$A:$Z,21,FALSE)+VLOOKUP($A143,A:AL,31,FALSE)-50))</f>
        <v>754</v>
      </c>
      <c r="AE143" s="3">
        <v>775</v>
      </c>
      <c r="AF143" s="3">
        <f>IF(ISERROR((VLOOKUP($A143,'NonXtal_SegEnds_BW#'!$A:$Z,22,FALSE)+VLOOKUP($A143,A:AL,31,FALSE)-50)),"-",(VLOOKUP($A143,'NonXtal_SegEnds_BW#'!$A:$Z,22,FALSE)+VLOOKUP($A143,A:AL,31,FALSE)-50))</f>
        <v>778</v>
      </c>
      <c r="AG143" s="3">
        <f>IF(ISERROR(VLOOKUP($A143,'NonXtal_SegEnds_BW#'!$A:$Z,23,FALSE)+VLOOKUP($A143,A:AL,34,FALSE)-50),"-",(VLOOKUP($A143,'NonXtal_SegEnds_BW#'!$A:$Z,23,FALSE)+VLOOKUP($A143,A:AL,34,FALSE)-50))</f>
        <v>784</v>
      </c>
      <c r="AH143" s="3">
        <v>803</v>
      </c>
      <c r="AI143" s="3">
        <f>IF(ISERROR((VLOOKUP($A143,'NonXtal_SegEnds_BW#'!$A:$Z,24,FALSE)+VLOOKUP($A143,A:AL,34,FALSE)-50)),"-",(VLOOKUP($A143,'NonXtal_SegEnds_BW#'!$A:$Z,24,FALSE)+VLOOKUP($A143,A:AL,34,FALSE)-50))</f>
        <v>809</v>
      </c>
      <c r="AJ143" s="3">
        <f>IF(ISERROR(VLOOKUP($A143,'NonXtal_SegEnds_BW#'!$A:$Z,25,FALSE)+VLOOKUP($A143,A:AL,37,FALSE)-50),"-",(VLOOKUP($A143,'NonXtal_SegEnds_BW#'!$A:$Z,25,FALSE)+VLOOKUP($A143,A:AL,37,FALSE)-50))</f>
        <v>810</v>
      </c>
      <c r="AK143" s="3">
        <v>813</v>
      </c>
      <c r="AL143" s="3">
        <f>IF(ISERROR((VLOOKUP($A143,'NonXtal_SegEnds_BW#'!$A:$Z,26,FALSE)+VLOOKUP($A143,A:AL,37,FALSE)-50)),"-",(VLOOKUP($A143,'NonXtal_SegEnds_BW#'!$A:$Z,26,FALSE)+VLOOKUP($A143,A:AL,37,FALSE)-50))</f>
        <v>826</v>
      </c>
      <c r="AM143" s="71" t="str">
        <f>VLOOKUP(A143,Classification!A:B,2,FALSE)</f>
        <v>B2</v>
      </c>
      <c r="AN143" s="71" t="b">
        <f t="shared" si="69"/>
        <v>1</v>
      </c>
      <c r="AO143" s="3">
        <f t="shared" si="70"/>
        <v>1</v>
      </c>
      <c r="AP143" s="3">
        <f t="shared" si="71"/>
        <v>1</v>
      </c>
      <c r="AQ143" s="3" t="str">
        <f t="shared" si="72"/>
        <v>-</v>
      </c>
      <c r="AR143" s="3" t="str">
        <f t="shared" si="73"/>
        <v>-</v>
      </c>
      <c r="AS143" s="3" t="str">
        <f t="shared" si="74"/>
        <v>-</v>
      </c>
      <c r="AT143" s="3" t="str">
        <f t="shared" si="75"/>
        <v>-</v>
      </c>
      <c r="AU143" s="3">
        <f t="shared" si="76"/>
        <v>6</v>
      </c>
      <c r="AV143" s="3">
        <f t="shared" si="77"/>
        <v>3</v>
      </c>
      <c r="AW143" s="3">
        <f t="shared" si="78"/>
        <v>12</v>
      </c>
      <c r="AX143" s="3">
        <f t="shared" si="79"/>
        <v>6</v>
      </c>
      <c r="AY143" s="3">
        <f t="shared" si="80"/>
        <v>1</v>
      </c>
      <c r="AZ143" s="3">
        <f>IF(ISERROR(LEN(VLOOKUP(A143,Seqs!A:E,2,FALSE))-AL143),"-",LEN(VLOOKUP(A143,Seqs!A:E,2,FALSE))-AL143)</f>
        <v>48</v>
      </c>
      <c r="BA143" s="35">
        <f t="shared" si="81"/>
        <v>31</v>
      </c>
      <c r="BB143" s="3" t="str">
        <f t="shared" si="82"/>
        <v>-</v>
      </c>
      <c r="BC143" s="3">
        <f t="shared" si="83"/>
        <v>31</v>
      </c>
      <c r="BD143" s="3">
        <f t="shared" si="84"/>
        <v>52</v>
      </c>
    </row>
    <row r="144" spans="1:57" s="3" customFormat="1" x14ac:dyDescent="0.2">
      <c r="A144" s="3" t="s">
        <v>1404</v>
      </c>
      <c r="B144" s="3" t="str">
        <f>LOWER(VLOOKUP(A144,Xtal_Templ!A:B,2,FALSE))</f>
        <v>crfr1_human</v>
      </c>
      <c r="C144" s="3">
        <f>VLOOKUP($A144,'NonXtal_SegEnds_BW#'!$A:$Z,3,FALSE)+D144-50</f>
        <v>524</v>
      </c>
      <c r="D144" s="3">
        <v>551</v>
      </c>
      <c r="E144" s="3">
        <f>IF(ISERROR(VLOOKUP($A144,'NonXtal_SegEnds_BW#'!$A:$Z,4,FALSE)+VLOOKUP($A144,A:AL,4,FALSE)-50),"-",(VLOOKUP($A144,'NonXtal_SegEnds_BW#'!$A:$Z,4,FALSE)+VLOOKUP($A144,A:AL,4,FALSE)-50))</f>
        <v>561</v>
      </c>
      <c r="F144" s="3">
        <f>G144-2</f>
        <v>562</v>
      </c>
      <c r="G144" s="3">
        <v>564</v>
      </c>
      <c r="H144" s="3">
        <f>G144+1</f>
        <v>565</v>
      </c>
      <c r="I144" s="3">
        <f>H144+1</f>
        <v>566</v>
      </c>
      <c r="J144" s="3">
        <v>579</v>
      </c>
      <c r="K144" s="3">
        <f>VLOOKUP($A144,'NonXtal_SegEnds_BW#'!$A:$Z,8,FALSE)+VLOOKUP($A144,A:AL,10,FALSE)-50</f>
        <v>592</v>
      </c>
      <c r="L144" s="3" t="str">
        <f>IF(ISERROR(VLOOKUP($A144,'NonXtal_SegEnds_BW#'!$A:$Z,9,FALSE)+VLOOKUP($A144,A:AL,13,FALSE)-50),"-",(VLOOKUP($A144,'NonXtal_SegEnds_BW#'!$A:$Z,9,FALSE)+VLOOKUP($A144,A:AL,13,FALSE)-50))</f>
        <v>-</v>
      </c>
      <c r="M144" s="3" t="s">
        <v>129</v>
      </c>
      <c r="N144" s="3" t="str">
        <f>IF(ISERROR(VLOOKUP($A144,'NonXtal_SegEnds_BW#'!$A:$Z,10,FALSE)+VLOOKUP($A144,A:AL,13,FALSE)-50),"-",(VLOOKUP($A144,'NonXtal_SegEnds_BW#'!$A:$Z,10,FALSE)+VLOOKUP($A144,A:AL,13,FALSE)-50))</f>
        <v>-</v>
      </c>
      <c r="O144" s="3">
        <f>VLOOKUP($A144,'NonXtal_SegEnds_BW#'!$A:$Z,11,FALSE)+VLOOKUP($A144,A:AL,16,FALSE)-50</f>
        <v>597</v>
      </c>
      <c r="P144" s="3">
        <v>624</v>
      </c>
      <c r="Q144" s="3">
        <f>VLOOKUP($A144,'NonXtal_SegEnds_BW#'!$A:$Z,12,FALSE)+VLOOKUP($A144,A:AL,16,FALSE)-50</f>
        <v>630</v>
      </c>
      <c r="R144" s="3" t="str">
        <f>IF(ISERROR(VLOOKUP($A144,'NonXtal_SegEnds_BW#'!$A:$Z,13,FALSE)+VLOOKUP($A144,A:AL,19,FALSE)-50),"-",VLOOKUP($A144,'NonXtal_SegEnds_BW#'!$A:$Z,13,FALSE)+VLOOKUP($A144,A:AL,19,FALSE)-50)</f>
        <v>-</v>
      </c>
      <c r="S144" s="3" t="s">
        <v>129</v>
      </c>
      <c r="T144" s="3" t="str">
        <f>IF(ISERROR(VLOOKUP($A144,'NonXtal_SegEnds_BW#'!$A:$Z,14,FALSE)+VLOOKUP($A144,A:AL,19,FALSE)-50),"-",(VLOOKUP($A144,'NonXtal_SegEnds_BW#'!$A:$Z,14,FALSE)+VLOOKUP($A144,A:AL,19,FALSE)-50))</f>
        <v>-</v>
      </c>
      <c r="U144" s="3">
        <f>IF(ISERROR(VLOOKUP($A144,'NonXtal_SegEnds_BW#'!$A:$Z,15,FALSE)+VLOOKUP($A144,A:AL,22,FALSE)-50),"-",VLOOKUP($A144,'NonXtal_SegEnds_BW#'!$A:$Z,15,FALSE)+VLOOKUP($A144,A:AL,22,FALSE)-50)</f>
        <v>642</v>
      </c>
      <c r="V144" s="3">
        <v>652</v>
      </c>
      <c r="W144" s="3">
        <f>IF(ISERROR(VLOOKUP($A144,'NonXtal_SegEnds_BW#'!$A:$Z,16,FALSE)+VLOOKUP($A144,A:AL,22,FALSE)-50),"-",(VLOOKUP($A144,'NonXtal_SegEnds_BW#'!$A:$Z,16,FALSE)+VLOOKUP($A144,A:AL,22,FALSE)-50))</f>
        <v>670</v>
      </c>
      <c r="X144" s="3">
        <f>IF(ISERROR(VLOOKUP($A144,'NonXtal_SegEnds_BW#'!$A:$Z,17,FALSE)+VLOOKUP($A144,A:AL,25,FALSE)-50),"-",(VLOOKUP($A144,'NonXtal_SegEnds_BW#'!$A:$Z,17,FALSE)+VLOOKUP($A144,A:AL,25,FALSE)-50))</f>
        <v>676</v>
      </c>
      <c r="Y144" s="3">
        <v>676</v>
      </c>
      <c r="Z144" s="3">
        <f t="shared" si="67"/>
        <v>678</v>
      </c>
      <c r="AA144" s="3">
        <f>IF(ISERROR(VLOOKUP($A144,'NonXtal_SegEnds_BW#'!$A:$Z,19,FALSE)+VLOOKUP($A144,A:AL,28,FALSE)-50),"-",(VLOOKUP($A144,'NonXtal_SegEnds_BW#'!$A:$Z,19,FALSE)+VLOOKUP($A144,A:AL,28,FALSE)-50))</f>
        <v>681</v>
      </c>
      <c r="AB144" s="3">
        <v>695</v>
      </c>
      <c r="AC144" s="3">
        <f>IF(ISERROR((VLOOKUP($A144,'NonXtal_SegEnds_BW#'!$A:$Z,20,FALSE)+VLOOKUP($A144,A:AL,28,FALSE)-50)),"-",(VLOOKUP($A144,'NonXtal_SegEnds_BW#'!$A:$Z,20,FALSE)+VLOOKUP($A144,A:AL,28,FALSE)-50))</f>
        <v>714</v>
      </c>
      <c r="AD144" s="3">
        <f>IF(ISERROR(VLOOKUP($A144,'NonXtal_SegEnds_BW#'!$A:$Z,21,FALSE)+VLOOKUP($A144,A:AL,31,FALSE)-50),"-",(VLOOKUP($A144,'NonXtal_SegEnds_BW#'!$A:$Z,21,FALSE)+VLOOKUP($A144,A:AL,31,FALSE)-50))</f>
        <v>726</v>
      </c>
      <c r="AE144" s="3">
        <v>747</v>
      </c>
      <c r="AF144" s="3">
        <f>IF(ISERROR((VLOOKUP($A144,'NonXtal_SegEnds_BW#'!$A:$Z,22,FALSE)+VLOOKUP($A144,A:AL,31,FALSE)-50)),"-",(VLOOKUP($A144,'NonXtal_SegEnds_BW#'!$A:$Z,22,FALSE)+VLOOKUP($A144,A:AL,31,FALSE)-50))</f>
        <v>750</v>
      </c>
      <c r="AG144" s="3">
        <f>IF(ISERROR(VLOOKUP($A144,'NonXtal_SegEnds_BW#'!$A:$Z,23,FALSE)+VLOOKUP($A144,A:AL,34,FALSE)-50),"-",(VLOOKUP($A144,'NonXtal_SegEnds_BW#'!$A:$Z,23,FALSE)+VLOOKUP($A144,A:AL,34,FALSE)-50))</f>
        <v>756</v>
      </c>
      <c r="AH144" s="3">
        <v>775</v>
      </c>
      <c r="AI144" s="3">
        <f>IF(ISERROR((VLOOKUP($A144,'NonXtal_SegEnds_BW#'!$A:$Z,24,FALSE)+VLOOKUP($A144,A:AL,34,FALSE)-50)),"-",(VLOOKUP($A144,'NonXtal_SegEnds_BW#'!$A:$Z,24,FALSE)+VLOOKUP($A144,A:AL,34,FALSE)-50))</f>
        <v>781</v>
      </c>
      <c r="AJ144" s="3">
        <f>IF(ISERROR(VLOOKUP($A144,'NonXtal_SegEnds_BW#'!$A:$Z,25,FALSE)+VLOOKUP($A144,A:AL,37,FALSE)-50),"-",(VLOOKUP($A144,'NonXtal_SegEnds_BW#'!$A:$Z,25,FALSE)+VLOOKUP($A144,A:AL,37,FALSE)-50))</f>
        <v>782</v>
      </c>
      <c r="AK144" s="3">
        <v>785</v>
      </c>
      <c r="AL144" s="3">
        <f>IF(ISERROR((VLOOKUP($A144,'NonXtal_SegEnds_BW#'!$A:$Z,26,FALSE)+VLOOKUP($A144,A:AL,37,FALSE)-50)),"-",(VLOOKUP($A144,'NonXtal_SegEnds_BW#'!$A:$Z,26,FALSE)+VLOOKUP($A144,A:AL,37,FALSE)-50))</f>
        <v>798</v>
      </c>
      <c r="AM144" s="71" t="str">
        <f>VLOOKUP(A144,Classification!A:B,2,FALSE)</f>
        <v>B2</v>
      </c>
      <c r="AN144" s="71" t="b">
        <f t="shared" si="69"/>
        <v>1</v>
      </c>
      <c r="AO144" s="3">
        <f t="shared" si="70"/>
        <v>1</v>
      </c>
      <c r="AP144" s="3">
        <f t="shared" si="71"/>
        <v>1</v>
      </c>
      <c r="AQ144" s="3" t="str">
        <f t="shared" si="72"/>
        <v>-</v>
      </c>
      <c r="AR144" s="3" t="str">
        <f t="shared" si="73"/>
        <v>-</v>
      </c>
      <c r="AS144" s="3" t="str">
        <f t="shared" si="74"/>
        <v>-</v>
      </c>
      <c r="AT144" s="3" t="str">
        <f t="shared" si="75"/>
        <v>-</v>
      </c>
      <c r="AU144" s="3">
        <f t="shared" si="76"/>
        <v>6</v>
      </c>
      <c r="AV144" s="3">
        <f t="shared" si="77"/>
        <v>3</v>
      </c>
      <c r="AW144" s="3">
        <f t="shared" si="78"/>
        <v>12</v>
      </c>
      <c r="AX144" s="3">
        <f t="shared" si="79"/>
        <v>6</v>
      </c>
      <c r="AY144" s="3">
        <f t="shared" si="80"/>
        <v>1</v>
      </c>
      <c r="AZ144" s="3">
        <f>IF(ISERROR(LEN(VLOOKUP(A144,Seqs!A:E,2,FALSE))-AL144),"-",LEN(VLOOKUP(A144,Seqs!A:E,2,FALSE))-AL144)</f>
        <v>25</v>
      </c>
      <c r="BA144" s="35">
        <f t="shared" si="81"/>
        <v>28</v>
      </c>
      <c r="BB144" s="3" t="str">
        <f t="shared" si="82"/>
        <v>-</v>
      </c>
      <c r="BC144" s="3">
        <f t="shared" si="83"/>
        <v>28</v>
      </c>
      <c r="BD144" s="3">
        <f t="shared" si="84"/>
        <v>52</v>
      </c>
      <c r="BE144" s="3">
        <f>AH144-AE144</f>
        <v>28</v>
      </c>
    </row>
    <row r="145" spans="1:58" s="3" customFormat="1" x14ac:dyDescent="0.2">
      <c r="A145" s="3" t="s">
        <v>1417</v>
      </c>
      <c r="B145" s="3" t="str">
        <f>LOWER(VLOOKUP(A145,Xtal_Templ!A:B,2,FALSE))</f>
        <v>crfr1_human</v>
      </c>
      <c r="C145" s="3">
        <f>VLOOKUP($A145,'NonXtal_SegEnds_BW#'!$A:$Z,3,FALSE)+D145-50</f>
        <v>422</v>
      </c>
      <c r="D145" s="3">
        <v>449</v>
      </c>
      <c r="E145" s="3">
        <f>IF(ISERROR(VLOOKUP($A145,'NonXtal_SegEnds_BW#'!$A:$Z,4,FALSE)+VLOOKUP($A145,A:AL,4,FALSE)-50),"-",(VLOOKUP($A145,'NonXtal_SegEnds_BW#'!$A:$Z,4,FALSE)+VLOOKUP($A145,A:AL,4,FALSE)-50))</f>
        <v>459</v>
      </c>
      <c r="F145" s="3" t="s">
        <v>129</v>
      </c>
      <c r="G145" s="3" t="s">
        <v>129</v>
      </c>
      <c r="H145" s="3" t="s">
        <v>129</v>
      </c>
      <c r="I145" s="3">
        <f>VLOOKUP($A145,'NonXtal_SegEnds_BW#'!$A:$Z,7,FALSE)+J145-50</f>
        <v>465</v>
      </c>
      <c r="J145" s="3">
        <v>478</v>
      </c>
      <c r="K145" s="3">
        <f>VLOOKUP($A145,'NonXtal_SegEnds_BW#'!$A:$Z,8,FALSE)+VLOOKUP($A145,A:AL,10,FALSE)-50</f>
        <v>493</v>
      </c>
      <c r="L145" s="3" t="str">
        <f>IF(ISERROR(VLOOKUP($A145,'NonXtal_SegEnds_BW#'!$A:$Z,9,FALSE)+VLOOKUP($A145,A:AL,13,FALSE)-50),"-",(VLOOKUP($A145,'NonXtal_SegEnds_BW#'!$A:$Z,9,FALSE)+VLOOKUP($A145,A:AL,13,FALSE)-50))</f>
        <v>-</v>
      </c>
      <c r="M145" s="3" t="s">
        <v>129</v>
      </c>
      <c r="N145" s="3" t="str">
        <f>IF(ISERROR(VLOOKUP($A145,'NonXtal_SegEnds_BW#'!$A:$Z,10,FALSE)+VLOOKUP($A145,A:AL,13,FALSE)-50),"-",(VLOOKUP($A145,'NonXtal_SegEnds_BW#'!$A:$Z,10,FALSE)+VLOOKUP($A145,A:AL,13,FALSE)-50))</f>
        <v>-</v>
      </c>
      <c r="O145" s="3">
        <f>VLOOKUP($A145,'NonXtal_SegEnds_BW#'!$A:$Z,11,FALSE)+VLOOKUP($A145,A:AL,16,FALSE)-50</f>
        <v>519</v>
      </c>
      <c r="P145" s="3">
        <v>551</v>
      </c>
      <c r="Q145" s="3">
        <f>VLOOKUP($A145,'NonXtal_SegEnds_BW#'!$A:$Z,12,FALSE)+VLOOKUP($A145,A:AL,16,FALSE)-50</f>
        <v>557</v>
      </c>
      <c r="R145" s="3" t="str">
        <f>IF(ISERROR(VLOOKUP($A145,'NonXtal_SegEnds_BW#'!$A:$Z,13,FALSE)+VLOOKUP($A145,A:AL,19,FALSE)-50),"-",VLOOKUP($A145,'NonXtal_SegEnds_BW#'!$A:$Z,13,FALSE)+VLOOKUP($A145,A:AL,19,FALSE)-50)</f>
        <v>-</v>
      </c>
      <c r="S145" s="3" t="s">
        <v>129</v>
      </c>
      <c r="T145" s="3" t="str">
        <f>IF(ISERROR(VLOOKUP($A145,'NonXtal_SegEnds_BW#'!$A:$Z,14,FALSE)+VLOOKUP($A145,A:AL,19,FALSE)-50),"-",(VLOOKUP($A145,'NonXtal_SegEnds_BW#'!$A:$Z,14,FALSE)+VLOOKUP($A145,A:AL,19,FALSE)-50))</f>
        <v>-</v>
      </c>
      <c r="U145" s="3">
        <f>IF(ISERROR(VLOOKUP($A145,'NonXtal_SegEnds_BW#'!$A:$Z,15,FALSE)+VLOOKUP($A145,A:AL,22,FALSE)-50),"-",VLOOKUP($A145,'NonXtal_SegEnds_BW#'!$A:$Z,15,FALSE)+VLOOKUP($A145,A:AL,22,FALSE)-50)</f>
        <v>565</v>
      </c>
      <c r="V145" s="3">
        <v>575</v>
      </c>
      <c r="W145" s="3">
        <f>IF(ISERROR(VLOOKUP($A145,'NonXtal_SegEnds_BW#'!$A:$Z,16,FALSE)+VLOOKUP($A145,A:AL,22,FALSE)-50),"-",(VLOOKUP($A145,'NonXtal_SegEnds_BW#'!$A:$Z,16,FALSE)+VLOOKUP($A145,A:AL,22,FALSE)-50))</f>
        <v>593</v>
      </c>
      <c r="X145" s="3">
        <f>IF(ISERROR(VLOOKUP($A145,'NonXtal_SegEnds_BW#'!$A:$Z,17,FALSE)+VLOOKUP($A145,A:AL,25,FALSE)-50),"-",(VLOOKUP($A145,'NonXtal_SegEnds_BW#'!$A:$Z,17,FALSE)+VLOOKUP($A145,A:AL,25,FALSE)-50))</f>
        <v>609</v>
      </c>
      <c r="Y145" s="3">
        <v>609</v>
      </c>
      <c r="Z145" s="3">
        <f t="shared" si="67"/>
        <v>611</v>
      </c>
      <c r="AA145" s="3">
        <f>IF(ISERROR(VLOOKUP($A145,'NonXtal_SegEnds_BW#'!$A:$Z,19,FALSE)+VLOOKUP($A145,A:AL,28,FALSE)-50),"-",(VLOOKUP($A145,'NonXtal_SegEnds_BW#'!$A:$Z,19,FALSE)+VLOOKUP($A145,A:AL,28,FALSE)-50))</f>
        <v>621</v>
      </c>
      <c r="AB145" s="3">
        <v>635</v>
      </c>
      <c r="AC145" s="3">
        <f>IF(ISERROR((VLOOKUP($A145,'NonXtal_SegEnds_BW#'!$A:$Z,20,FALSE)+VLOOKUP($A145,A:AL,28,FALSE)-50)),"-",(VLOOKUP($A145,'NonXtal_SegEnds_BW#'!$A:$Z,20,FALSE)+VLOOKUP($A145,A:AL,28,FALSE)-50))</f>
        <v>654</v>
      </c>
      <c r="AD145" s="3">
        <f>IF(ISERROR(VLOOKUP($A145,'NonXtal_SegEnds_BW#'!$A:$Z,21,FALSE)+VLOOKUP($A145,A:AL,31,FALSE)-50),"-",(VLOOKUP($A145,'NonXtal_SegEnds_BW#'!$A:$Z,21,FALSE)+VLOOKUP($A145,A:AL,31,FALSE)-50))</f>
        <v>665</v>
      </c>
      <c r="AE145" s="3">
        <v>686</v>
      </c>
      <c r="AF145" s="3">
        <f>IF(ISERROR((VLOOKUP($A145,'NonXtal_SegEnds_BW#'!$A:$Z,22,FALSE)+VLOOKUP($A145,A:AL,31,FALSE)-50)),"-",(VLOOKUP($A145,'NonXtal_SegEnds_BW#'!$A:$Z,22,FALSE)+VLOOKUP($A145,A:AL,31,FALSE)-50))</f>
        <v>689</v>
      </c>
      <c r="AG145" s="3">
        <f>IF(ISERROR(VLOOKUP($A145,'NonXtal_SegEnds_BW#'!$A:$Z,23,FALSE)+VLOOKUP($A145,A:AL,34,FALSE)-50),"-",(VLOOKUP($A145,'NonXtal_SegEnds_BW#'!$A:$Z,23,FALSE)+VLOOKUP($A145,A:AL,34,FALSE)-50))</f>
        <v>696</v>
      </c>
      <c r="AH145" s="3">
        <v>717</v>
      </c>
      <c r="AI145" s="3">
        <f>IF(ISERROR((VLOOKUP($A145,'NonXtal_SegEnds_BW#'!$A:$Z,24,FALSE)+VLOOKUP($A145,A:AL,34,FALSE)-50)),"-",(VLOOKUP($A145,'NonXtal_SegEnds_BW#'!$A:$Z,24,FALSE)+VLOOKUP($A145,A:AL,34,FALSE)-50))</f>
        <v>723</v>
      </c>
      <c r="AJ145" s="3">
        <f>IF(ISERROR(VLOOKUP($A145,'NonXtal_SegEnds_BW#'!$A:$Z,25,FALSE)+VLOOKUP($A145,A:AL,37,FALSE)-50),"-",(VLOOKUP($A145,'NonXtal_SegEnds_BW#'!$A:$Z,25,FALSE)+VLOOKUP($A145,A:AL,37,FALSE)-50))</f>
        <v>724</v>
      </c>
      <c r="AK145" s="3">
        <v>727</v>
      </c>
      <c r="AL145" s="3">
        <f>IF(ISERROR((VLOOKUP($A145,'NonXtal_SegEnds_BW#'!$A:$Z,26,FALSE)+VLOOKUP($A145,A:AL,37,FALSE)-50)),"-",(VLOOKUP($A145,'NonXtal_SegEnds_BW#'!$A:$Z,26,FALSE)+VLOOKUP($A145,A:AL,37,FALSE)-50))</f>
        <v>740</v>
      </c>
      <c r="AM145" s="71" t="str">
        <f>VLOOKUP(A145,Classification!A:B,2,FALSE)</f>
        <v>B2</v>
      </c>
      <c r="AN145" s="71" t="b">
        <f t="shared" si="69"/>
        <v>1</v>
      </c>
      <c r="AO145" s="3" t="str">
        <f t="shared" si="70"/>
        <v>-</v>
      </c>
      <c r="AP145" s="3" t="str">
        <f t="shared" si="71"/>
        <v>-</v>
      </c>
      <c r="AQ145" s="3" t="str">
        <f t="shared" si="72"/>
        <v>-</v>
      </c>
      <c r="AR145" s="3" t="str">
        <f t="shared" si="73"/>
        <v>-</v>
      </c>
      <c r="AS145" s="3" t="str">
        <f t="shared" si="74"/>
        <v>-</v>
      </c>
      <c r="AT145" s="3" t="str">
        <f t="shared" si="75"/>
        <v>-</v>
      </c>
      <c r="AU145" s="3">
        <f t="shared" si="76"/>
        <v>16</v>
      </c>
      <c r="AV145" s="3">
        <f t="shared" si="77"/>
        <v>10</v>
      </c>
      <c r="AW145" s="3">
        <f t="shared" si="78"/>
        <v>11</v>
      </c>
      <c r="AX145" s="3">
        <f t="shared" si="79"/>
        <v>7</v>
      </c>
      <c r="AY145" s="3">
        <f t="shared" si="80"/>
        <v>1</v>
      </c>
      <c r="AZ145" s="3">
        <f>IF(ISERROR(LEN(VLOOKUP(A145,Seqs!A:E,2,FALSE))-AL145),"-",LEN(VLOOKUP(A145,Seqs!A:E,2,FALSE))-AL145)</f>
        <v>57</v>
      </c>
      <c r="BA145" s="35">
        <f t="shared" si="81"/>
        <v>29</v>
      </c>
      <c r="BB145" s="3" t="str">
        <f t="shared" si="82"/>
        <v>-</v>
      </c>
      <c r="BC145" s="3">
        <f t="shared" si="83"/>
        <v>29</v>
      </c>
      <c r="BD145" s="3">
        <f t="shared" si="84"/>
        <v>51</v>
      </c>
    </row>
    <row r="146" spans="1:58" s="3" customFormat="1" x14ac:dyDescent="0.2">
      <c r="A146" s="3" t="s">
        <v>1408</v>
      </c>
      <c r="B146" s="3" t="str">
        <f>LOWER(VLOOKUP(A146,Xtal_Templ!A:B,2,FALSE))</f>
        <v>crfr1_human</v>
      </c>
      <c r="C146" s="3">
        <f>VLOOKUP($A146,'NonXtal_SegEnds_BW#'!$A:$Z,3,FALSE)+D146-50</f>
        <v>434</v>
      </c>
      <c r="D146" s="3">
        <v>461</v>
      </c>
      <c r="E146" s="3">
        <f>IF(ISERROR(VLOOKUP($A146,'NonXtal_SegEnds_BW#'!$A:$Z,4,FALSE)+VLOOKUP($A146,A:AL,4,FALSE)-50),"-",(VLOOKUP($A146,'NonXtal_SegEnds_BW#'!$A:$Z,4,FALSE)+VLOOKUP($A146,A:AL,4,FALSE)-50))</f>
        <v>471</v>
      </c>
      <c r="F146" s="3" t="s">
        <v>129</v>
      </c>
      <c r="G146" s="3" t="s">
        <v>129</v>
      </c>
      <c r="H146" s="3" t="s">
        <v>129</v>
      </c>
      <c r="I146" s="3">
        <f>VLOOKUP($A146,'NonXtal_SegEnds_BW#'!$A:$Z,7,FALSE)+J146-50</f>
        <v>479</v>
      </c>
      <c r="J146" s="3">
        <v>492</v>
      </c>
      <c r="K146" s="3">
        <f>VLOOKUP($A146,'NonXtal_SegEnds_BW#'!$A:$Z,8,FALSE)+VLOOKUP($A146,A:AL,10,FALSE)-50</f>
        <v>505</v>
      </c>
      <c r="L146" s="3" t="str">
        <f>IF(ISERROR(VLOOKUP($A146,'NonXtal_SegEnds_BW#'!$A:$Z,9,FALSE)+VLOOKUP($A146,A:AL,13,FALSE)-50),"-",(VLOOKUP($A146,'NonXtal_SegEnds_BW#'!$A:$Z,9,FALSE)+VLOOKUP($A146,A:AL,13,FALSE)-50))</f>
        <v>-</v>
      </c>
      <c r="M146" s="3" t="s">
        <v>129</v>
      </c>
      <c r="N146" s="3" t="str">
        <f>IF(ISERROR(VLOOKUP($A146,'NonXtal_SegEnds_BW#'!$A:$Z,10,FALSE)+VLOOKUP($A146,A:AL,13,FALSE)-50),"-",(VLOOKUP($A146,'NonXtal_SegEnds_BW#'!$A:$Z,10,FALSE)+VLOOKUP($A146,A:AL,13,FALSE)-50))</f>
        <v>-</v>
      </c>
      <c r="O146" s="3">
        <f>VLOOKUP($A146,'NonXtal_SegEnds_BW#'!$A:$Z,11,FALSE)+VLOOKUP($A146,A:AL,16,FALSE)-50</f>
        <v>516</v>
      </c>
      <c r="P146" s="3">
        <v>543</v>
      </c>
      <c r="Q146" s="3">
        <f>VLOOKUP($A146,'NonXtal_SegEnds_BW#'!$A:$Z,12,FALSE)+VLOOKUP($A146,A:AL,16,FALSE)-50</f>
        <v>549</v>
      </c>
      <c r="R146" s="3" t="str">
        <f>IF(ISERROR(VLOOKUP($A146,'NonXtal_SegEnds_BW#'!$A:$Z,13,FALSE)+VLOOKUP($A146,A:AL,19,FALSE)-50),"-",VLOOKUP($A146,'NonXtal_SegEnds_BW#'!$A:$Z,13,FALSE)+VLOOKUP($A146,A:AL,19,FALSE)-50)</f>
        <v>-</v>
      </c>
      <c r="S146" s="3" t="s">
        <v>129</v>
      </c>
      <c r="T146" s="3" t="str">
        <f>IF(ISERROR(VLOOKUP($A146,'NonXtal_SegEnds_BW#'!$A:$Z,14,FALSE)+VLOOKUP($A146,A:AL,19,FALSE)-50),"-",(VLOOKUP($A146,'NonXtal_SegEnds_BW#'!$A:$Z,14,FALSE)+VLOOKUP($A146,A:AL,19,FALSE)-50))</f>
        <v>-</v>
      </c>
      <c r="U146" s="3">
        <f>IF(ISERROR(VLOOKUP($A146,'NonXtal_SegEnds_BW#'!$A:$Z,15,FALSE)+VLOOKUP($A146,A:AL,22,FALSE)-50),"-",VLOOKUP($A146,'NonXtal_SegEnds_BW#'!$A:$Z,15,FALSE)+VLOOKUP($A146,A:AL,22,FALSE)-50)</f>
        <v>558</v>
      </c>
      <c r="V146" s="3">
        <v>568</v>
      </c>
      <c r="W146" s="3">
        <f>IF(ISERROR(VLOOKUP($A146,'NonXtal_SegEnds_BW#'!$A:$Z,16,FALSE)+VLOOKUP($A146,A:AL,22,FALSE)-50),"-",(VLOOKUP($A146,'NonXtal_SegEnds_BW#'!$A:$Z,16,FALSE)+VLOOKUP($A146,A:AL,22,FALSE)-50))</f>
        <v>586</v>
      </c>
      <c r="X146" s="3">
        <f>IF(ISERROR(VLOOKUP($A146,'NonXtal_SegEnds_BW#'!$A:$Z,17,FALSE)+VLOOKUP($A146,A:AL,25,FALSE)-50),"-",(VLOOKUP($A146,'NonXtal_SegEnds_BW#'!$A:$Z,17,FALSE)+VLOOKUP($A146,A:AL,25,FALSE)-50))</f>
        <v>594</v>
      </c>
      <c r="Y146" s="3">
        <v>594</v>
      </c>
      <c r="Z146" s="3">
        <f t="shared" si="67"/>
        <v>596</v>
      </c>
      <c r="AA146" s="3">
        <f>IF(ISERROR(VLOOKUP($A146,'NonXtal_SegEnds_BW#'!$A:$Z,19,FALSE)+VLOOKUP($A146,A:AL,28,FALSE)-50),"-",(VLOOKUP($A146,'NonXtal_SegEnds_BW#'!$A:$Z,19,FALSE)+VLOOKUP($A146,A:AL,28,FALSE)-50))</f>
        <v>600</v>
      </c>
      <c r="AB146" s="3">
        <v>614</v>
      </c>
      <c r="AC146" s="3">
        <f>IF(ISERROR((VLOOKUP($A146,'NonXtal_SegEnds_BW#'!$A:$Z,20,FALSE)+VLOOKUP($A146,A:AL,28,FALSE)-50)),"-",(VLOOKUP($A146,'NonXtal_SegEnds_BW#'!$A:$Z,20,FALSE)+VLOOKUP($A146,A:AL,28,FALSE)-50))</f>
        <v>633</v>
      </c>
      <c r="AD146" s="3">
        <f>IF(ISERROR(VLOOKUP($A146,'NonXtal_SegEnds_BW#'!$A:$Z,21,FALSE)+VLOOKUP($A146,A:AL,31,FALSE)-50),"-",(VLOOKUP($A146,'NonXtal_SegEnds_BW#'!$A:$Z,21,FALSE)+VLOOKUP($A146,A:AL,31,FALSE)-50))</f>
        <v>650</v>
      </c>
      <c r="AE146" s="3">
        <v>671</v>
      </c>
      <c r="AF146" s="3">
        <f>IF(ISERROR((VLOOKUP($A146,'NonXtal_SegEnds_BW#'!$A:$Z,22,FALSE)+VLOOKUP($A146,A:AL,31,FALSE)-50)),"-",(VLOOKUP($A146,'NonXtal_SegEnds_BW#'!$A:$Z,22,FALSE)+VLOOKUP($A146,A:AL,31,FALSE)-50))</f>
        <v>674</v>
      </c>
      <c r="AG146" s="3">
        <f>IF(ISERROR(VLOOKUP($A146,'NonXtal_SegEnds_BW#'!$A:$Z,23,FALSE)+VLOOKUP($A146,A:AL,34,FALSE)-50),"-",(VLOOKUP($A146,'NonXtal_SegEnds_BW#'!$A:$Z,23,FALSE)+VLOOKUP($A146,A:AL,34,FALSE)-50))</f>
        <v>675</v>
      </c>
      <c r="AH146" s="3">
        <v>694</v>
      </c>
      <c r="AI146" s="3">
        <f>IF(ISERROR((VLOOKUP($A146,'NonXtal_SegEnds_BW#'!$A:$Z,24,FALSE)+VLOOKUP($A146,A:AL,34,FALSE)-50)),"-",(VLOOKUP($A146,'NonXtal_SegEnds_BW#'!$A:$Z,24,FALSE)+VLOOKUP($A146,A:AL,34,FALSE)-50))</f>
        <v>700</v>
      </c>
      <c r="AJ146" s="3" t="s">
        <v>129</v>
      </c>
      <c r="AK146" s="3" t="s">
        <v>129</v>
      </c>
      <c r="AL146" s="3" t="s">
        <v>129</v>
      </c>
      <c r="AM146" s="71" t="str">
        <f>VLOOKUP(A146,Classification!A:B,2,FALSE)</f>
        <v>B2</v>
      </c>
      <c r="AN146" s="71" t="b">
        <f t="shared" si="69"/>
        <v>1</v>
      </c>
      <c r="AO146" s="3" t="str">
        <f t="shared" si="70"/>
        <v>-</v>
      </c>
      <c r="AP146" s="3" t="str">
        <f t="shared" si="71"/>
        <v>-</v>
      </c>
      <c r="AQ146" s="3" t="str">
        <f t="shared" si="72"/>
        <v>-</v>
      </c>
      <c r="AR146" s="3" t="str">
        <f t="shared" si="73"/>
        <v>-</v>
      </c>
      <c r="AS146" s="3" t="str">
        <f t="shared" si="74"/>
        <v>-</v>
      </c>
      <c r="AT146" s="3" t="str">
        <f t="shared" si="75"/>
        <v>-</v>
      </c>
      <c r="AU146" s="3">
        <f t="shared" si="76"/>
        <v>8</v>
      </c>
      <c r="AV146" s="3">
        <f t="shared" si="77"/>
        <v>4</v>
      </c>
      <c r="AW146" s="3">
        <f t="shared" si="78"/>
        <v>17</v>
      </c>
      <c r="AX146" s="3">
        <f t="shared" si="79"/>
        <v>1</v>
      </c>
      <c r="AY146" s="3" t="str">
        <f t="shared" si="80"/>
        <v>-</v>
      </c>
      <c r="AZ146" s="3" t="str">
        <f>IF(ISERROR(LEN(VLOOKUP(A146,Seqs!A:E,2,FALSE))-AL146),"-",LEN(VLOOKUP(A146,Seqs!A:E,2,FALSE))-AL146)</f>
        <v>-</v>
      </c>
      <c r="BA146" s="35">
        <f t="shared" si="81"/>
        <v>31</v>
      </c>
      <c r="BB146" s="3" t="str">
        <f t="shared" si="82"/>
        <v>-</v>
      </c>
      <c r="BC146" s="3">
        <f t="shared" si="83"/>
        <v>31</v>
      </c>
      <c r="BD146" s="3">
        <f t="shared" si="84"/>
        <v>57</v>
      </c>
      <c r="BE146" s="3">
        <f t="shared" ref="BE146:BE153" si="86">AH146-AE146</f>
        <v>23</v>
      </c>
      <c r="BF146" s="3" t="s">
        <v>1533</v>
      </c>
    </row>
    <row r="147" spans="1:58" s="3" customFormat="1" x14ac:dyDescent="0.2">
      <c r="A147" s="3" t="s">
        <v>1412</v>
      </c>
      <c r="B147" s="3" t="str">
        <f>LOWER(VLOOKUP(A147,Xtal_Templ!A:B,2,FALSE))</f>
        <v>crfr1_human</v>
      </c>
      <c r="C147" s="3">
        <f>VLOOKUP($A147,'NonXtal_SegEnds_BW#'!$A:$Z,3,FALSE)+D147-50</f>
        <v>391</v>
      </c>
      <c r="D147" s="3">
        <v>418</v>
      </c>
      <c r="E147" s="3">
        <f>IF(ISERROR(VLOOKUP($A147,'NonXtal_SegEnds_BW#'!$A:$Z,4,FALSE)+VLOOKUP($A147,A:AL,4,FALSE)-50),"-",(VLOOKUP($A147,'NonXtal_SegEnds_BW#'!$A:$Z,4,FALSE)+VLOOKUP($A147,A:AL,4,FALSE)-50))</f>
        <v>428</v>
      </c>
      <c r="F147" s="3">
        <f>G147-2</f>
        <v>430</v>
      </c>
      <c r="G147" s="3">
        <v>432</v>
      </c>
      <c r="H147" s="3">
        <f>G147+1</f>
        <v>433</v>
      </c>
      <c r="I147" s="3">
        <f>H147+1</f>
        <v>434</v>
      </c>
      <c r="J147" s="3">
        <v>453</v>
      </c>
      <c r="K147" s="3">
        <f>VLOOKUP($A147,'NonXtal_SegEnds_BW#'!$A:$Z,8,FALSE)+VLOOKUP($A147,A:AL,10,FALSE)-50</f>
        <v>466</v>
      </c>
      <c r="L147" s="3" t="str">
        <f>IF(ISERROR(VLOOKUP($A147,'NonXtal_SegEnds_BW#'!$A:$Z,9,FALSE)+VLOOKUP($A147,A:AL,13,FALSE)-50),"-",(VLOOKUP($A147,'NonXtal_SegEnds_BW#'!$A:$Z,9,FALSE)+VLOOKUP($A147,A:AL,13,FALSE)-50))</f>
        <v>-</v>
      </c>
      <c r="M147" s="3" t="s">
        <v>129</v>
      </c>
      <c r="N147" s="3" t="str">
        <f>IF(ISERROR(VLOOKUP($A147,'NonXtal_SegEnds_BW#'!$A:$Z,10,FALSE)+VLOOKUP($A147,A:AL,13,FALSE)-50),"-",(VLOOKUP($A147,'NonXtal_SegEnds_BW#'!$A:$Z,10,FALSE)+VLOOKUP($A147,A:AL,13,FALSE)-50))</f>
        <v>-</v>
      </c>
      <c r="O147" s="3">
        <f>VLOOKUP($A147,'NonXtal_SegEnds_BW#'!$A:$Z,11,FALSE)+VLOOKUP($A147,A:AL,16,FALSE)-50</f>
        <v>473</v>
      </c>
      <c r="P147" s="3">
        <v>500</v>
      </c>
      <c r="Q147" s="3">
        <f>VLOOKUP($A147,'NonXtal_SegEnds_BW#'!$A:$Z,12,FALSE)+VLOOKUP($A147,A:AL,16,FALSE)-50</f>
        <v>506</v>
      </c>
      <c r="R147" s="3" t="str">
        <f>IF(ISERROR(VLOOKUP($A147,'NonXtal_SegEnds_BW#'!$A:$Z,13,FALSE)+VLOOKUP($A147,A:AL,19,FALSE)-50),"-",VLOOKUP($A147,'NonXtal_SegEnds_BW#'!$A:$Z,13,FALSE)+VLOOKUP($A147,A:AL,19,FALSE)-50)</f>
        <v>-</v>
      </c>
      <c r="S147" s="3" t="s">
        <v>129</v>
      </c>
      <c r="T147" s="3" t="str">
        <f>IF(ISERROR(VLOOKUP($A147,'NonXtal_SegEnds_BW#'!$A:$Z,14,FALSE)+VLOOKUP($A147,A:AL,19,FALSE)-50),"-",(VLOOKUP($A147,'NonXtal_SegEnds_BW#'!$A:$Z,14,FALSE)+VLOOKUP($A147,A:AL,19,FALSE)-50))</f>
        <v>-</v>
      </c>
      <c r="U147" s="3">
        <f>IF(ISERROR(VLOOKUP($A147,'NonXtal_SegEnds_BW#'!$A:$Z,15,FALSE)+VLOOKUP($A147,A:AL,22,FALSE)-50),"-",VLOOKUP($A147,'NonXtal_SegEnds_BW#'!$A:$Z,15,FALSE)+VLOOKUP($A147,A:AL,22,FALSE)-50)</f>
        <v>514</v>
      </c>
      <c r="V147" s="3">
        <v>524</v>
      </c>
      <c r="W147" s="3">
        <f>IF(ISERROR(VLOOKUP($A147,'NonXtal_SegEnds_BW#'!$A:$Z,16,FALSE)+VLOOKUP($A147,A:AL,22,FALSE)-50),"-",(VLOOKUP($A147,'NonXtal_SegEnds_BW#'!$A:$Z,16,FALSE)+VLOOKUP($A147,A:AL,22,FALSE)-50))</f>
        <v>542</v>
      </c>
      <c r="X147" s="3">
        <f>IF(ISERROR(VLOOKUP($A147,'NonXtal_SegEnds_BW#'!$A:$Z,17,FALSE)+VLOOKUP($A147,A:AL,25,FALSE)-50),"-",(VLOOKUP($A147,'NonXtal_SegEnds_BW#'!$A:$Z,17,FALSE)+VLOOKUP($A147,A:AL,25,FALSE)-50))</f>
        <v>562</v>
      </c>
      <c r="Y147" s="3">
        <v>562</v>
      </c>
      <c r="Z147" s="3">
        <f t="shared" si="67"/>
        <v>564</v>
      </c>
      <c r="AA147" s="3">
        <f>IF(ISERROR(VLOOKUP($A147,'NonXtal_SegEnds_BW#'!$A:$Z,19,FALSE)+VLOOKUP($A147,A:AL,28,FALSE)-50),"-",(VLOOKUP($A147,'NonXtal_SegEnds_BW#'!$A:$Z,19,FALSE)+VLOOKUP($A147,A:AL,28,FALSE)-50))</f>
        <v>567</v>
      </c>
      <c r="AB147" s="3">
        <v>581</v>
      </c>
      <c r="AC147" s="3">
        <f>IF(ISERROR((VLOOKUP($A147,'NonXtal_SegEnds_BW#'!$A:$Z,20,FALSE)+VLOOKUP($A147,A:AL,28,FALSE)-50)),"-",(VLOOKUP($A147,'NonXtal_SegEnds_BW#'!$A:$Z,20,FALSE)+VLOOKUP($A147,A:AL,28,FALSE)-50))</f>
        <v>600</v>
      </c>
      <c r="AD147" s="3">
        <f>IF(ISERROR(VLOOKUP($A147,'NonXtal_SegEnds_BW#'!$A:$Z,21,FALSE)+VLOOKUP($A147,A:AL,31,FALSE)-50),"-",(VLOOKUP($A147,'NonXtal_SegEnds_BW#'!$A:$Z,21,FALSE)+VLOOKUP($A147,A:AL,31,FALSE)-50))</f>
        <v>604</v>
      </c>
      <c r="AE147" s="3">
        <v>625</v>
      </c>
      <c r="AF147" s="3">
        <f>IF(ISERROR((VLOOKUP($A147,'NonXtal_SegEnds_BW#'!$A:$Z,22,FALSE)+VLOOKUP($A147,A:AL,31,FALSE)-50)),"-",(VLOOKUP($A147,'NonXtal_SegEnds_BW#'!$A:$Z,22,FALSE)+VLOOKUP($A147,A:AL,31,FALSE)-50))</f>
        <v>628</v>
      </c>
      <c r="AG147" s="3">
        <f>IF(ISERROR(VLOOKUP($A147,'NonXtal_SegEnds_BW#'!$A:$Z,23,FALSE)+VLOOKUP($A147,A:AL,34,FALSE)-50),"-",(VLOOKUP($A147,'NonXtal_SegEnds_BW#'!$A:$Z,23,FALSE)+VLOOKUP($A147,A:AL,34,FALSE)-50))</f>
        <v>635</v>
      </c>
      <c r="AH147" s="3">
        <v>655</v>
      </c>
      <c r="AI147" s="3">
        <f>IF(ISERROR((VLOOKUP($A147,'NonXtal_SegEnds_BW#'!$A:$Z,24,FALSE)+VLOOKUP($A147,A:AL,34,FALSE)-50)),"-",(VLOOKUP($A147,'NonXtal_SegEnds_BW#'!$A:$Z,24,FALSE)+VLOOKUP($A147,A:AL,34,FALSE)-50))</f>
        <v>661</v>
      </c>
      <c r="AJ147" s="3">
        <f>IF(ISERROR(VLOOKUP($A147,'NonXtal_SegEnds_BW#'!$A:$Z,25,FALSE)+VLOOKUP($A147,A:AL,37,FALSE)-50),"-",(VLOOKUP($A147,'NonXtal_SegEnds_BW#'!$A:$Z,25,FALSE)+VLOOKUP($A147,A:AL,37,FALSE)-50))</f>
        <v>662</v>
      </c>
      <c r="AK147" s="3">
        <v>665</v>
      </c>
      <c r="AL147" s="3">
        <f>IF(ISERROR((VLOOKUP($A147,'NonXtal_SegEnds_BW#'!$A:$Z,26,FALSE)+VLOOKUP($A147,A:AL,37,FALSE)-50)),"-",(VLOOKUP($A147,'NonXtal_SegEnds_BW#'!$A:$Z,26,FALSE)+VLOOKUP($A147,A:AL,37,FALSE)-50))</f>
        <v>678</v>
      </c>
      <c r="AM147" s="71" t="str">
        <f>VLOOKUP(A147,Classification!A:B,2,FALSE)</f>
        <v>B2</v>
      </c>
      <c r="AN147" s="71" t="b">
        <f t="shared" si="69"/>
        <v>1</v>
      </c>
      <c r="AO147" s="3">
        <f t="shared" si="70"/>
        <v>2</v>
      </c>
      <c r="AP147" s="3">
        <f t="shared" si="71"/>
        <v>1</v>
      </c>
      <c r="AQ147" s="3" t="str">
        <f t="shared" si="72"/>
        <v>-</v>
      </c>
      <c r="AR147" s="3" t="str">
        <f t="shared" si="73"/>
        <v>-</v>
      </c>
      <c r="AS147" s="3" t="str">
        <f t="shared" si="74"/>
        <v>-</v>
      </c>
      <c r="AT147" s="3" t="str">
        <f t="shared" si="75"/>
        <v>-</v>
      </c>
      <c r="AU147" s="3">
        <f t="shared" si="76"/>
        <v>20</v>
      </c>
      <c r="AV147" s="3">
        <f t="shared" si="77"/>
        <v>3</v>
      </c>
      <c r="AW147" s="3">
        <f t="shared" si="78"/>
        <v>4</v>
      </c>
      <c r="AX147" s="3">
        <f t="shared" si="79"/>
        <v>7</v>
      </c>
      <c r="AY147" s="3">
        <f t="shared" si="80"/>
        <v>1</v>
      </c>
      <c r="AZ147" s="3">
        <f>IF(ISERROR(LEN(VLOOKUP(A147,Seqs!A:E,2,FALSE))-AL147),"-",LEN(VLOOKUP(A147,Seqs!A:E,2,FALSE))-AL147)</f>
        <v>15</v>
      </c>
      <c r="BA147" s="35">
        <f t="shared" si="81"/>
        <v>35</v>
      </c>
      <c r="BB147" s="3" t="str">
        <f t="shared" si="82"/>
        <v>-</v>
      </c>
      <c r="BC147" s="3">
        <f t="shared" si="83"/>
        <v>35</v>
      </c>
      <c r="BD147" s="3">
        <f t="shared" si="84"/>
        <v>44</v>
      </c>
      <c r="BE147" s="3">
        <f t="shared" si="86"/>
        <v>30</v>
      </c>
    </row>
    <row r="148" spans="1:58" s="3" customFormat="1" x14ac:dyDescent="0.2">
      <c r="A148" s="3" t="s">
        <v>1421</v>
      </c>
      <c r="B148" s="3" t="str">
        <f>LOWER(VLOOKUP(A148,Xtal_Templ!A:B,2,FALSE))</f>
        <v>crfr1_human</v>
      </c>
      <c r="C148" s="3">
        <f>VLOOKUP($A148,'NonXtal_SegEnds_BW#'!$A:$Z,3,FALSE)+D148-50</f>
        <v>415</v>
      </c>
      <c r="D148" s="3">
        <v>442</v>
      </c>
      <c r="E148" s="3">
        <f>IF(ISERROR(VLOOKUP($A148,'NonXtal_SegEnds_BW#'!$A:$Z,4,FALSE)+VLOOKUP($A148,A:AL,4,FALSE)-50),"-",(VLOOKUP($A148,'NonXtal_SegEnds_BW#'!$A:$Z,4,FALSE)+VLOOKUP($A148,A:AL,4,FALSE)-50))</f>
        <v>452</v>
      </c>
      <c r="F148" s="3" t="s">
        <v>129</v>
      </c>
      <c r="G148" s="3" t="s">
        <v>129</v>
      </c>
      <c r="H148" s="3" t="s">
        <v>129</v>
      </c>
      <c r="I148" s="3">
        <f>VLOOKUP($A148,'NonXtal_SegEnds_BW#'!$A:$Z,7,FALSE)+J148-50</f>
        <v>457</v>
      </c>
      <c r="J148" s="3">
        <v>470</v>
      </c>
      <c r="K148" s="3">
        <f>VLOOKUP($A148,'NonXtal_SegEnds_BW#'!$A:$Z,8,FALSE)+VLOOKUP($A148,A:AL,10,FALSE)-50</f>
        <v>483</v>
      </c>
      <c r="L148" s="3" t="str">
        <f>IF(ISERROR(VLOOKUP($A148,'NonXtal_SegEnds_BW#'!$A:$Z,9,FALSE)+VLOOKUP($A148,A:AL,13,FALSE)-50),"-",(VLOOKUP($A148,'NonXtal_SegEnds_BW#'!$A:$Z,9,FALSE)+VLOOKUP($A148,A:AL,13,FALSE)-50))</f>
        <v>-</v>
      </c>
      <c r="M148" s="3" t="s">
        <v>129</v>
      </c>
      <c r="N148" s="3" t="str">
        <f>IF(ISERROR(VLOOKUP($A148,'NonXtal_SegEnds_BW#'!$A:$Z,10,FALSE)+VLOOKUP($A148,A:AL,13,FALSE)-50),"-",(VLOOKUP($A148,'NonXtal_SegEnds_BW#'!$A:$Z,10,FALSE)+VLOOKUP($A148,A:AL,13,FALSE)-50))</f>
        <v>-</v>
      </c>
      <c r="O148" s="3">
        <f>VLOOKUP($A148,'NonXtal_SegEnds_BW#'!$A:$Z,11,FALSE)+VLOOKUP($A148,A:AL,16,FALSE)-50</f>
        <v>488</v>
      </c>
      <c r="P148" s="3">
        <v>515</v>
      </c>
      <c r="Q148" s="3">
        <f>VLOOKUP($A148,'NonXtal_SegEnds_BW#'!$A:$Z,12,FALSE)+VLOOKUP($A148,A:AL,16,FALSE)-50</f>
        <v>521</v>
      </c>
      <c r="R148" s="3" t="str">
        <f>IF(ISERROR(VLOOKUP($A148,'NonXtal_SegEnds_BW#'!$A:$Z,13,FALSE)+VLOOKUP($A148,A:AL,19,FALSE)-50),"-",VLOOKUP($A148,'NonXtal_SegEnds_BW#'!$A:$Z,13,FALSE)+VLOOKUP($A148,A:AL,19,FALSE)-50)</f>
        <v>-</v>
      </c>
      <c r="S148" s="3" t="s">
        <v>129</v>
      </c>
      <c r="T148" s="3" t="str">
        <f>IF(ISERROR(VLOOKUP($A148,'NonXtal_SegEnds_BW#'!$A:$Z,14,FALSE)+VLOOKUP($A148,A:AL,19,FALSE)-50),"-",(VLOOKUP($A148,'NonXtal_SegEnds_BW#'!$A:$Z,14,FALSE)+VLOOKUP($A148,A:AL,19,FALSE)-50))</f>
        <v>-</v>
      </c>
      <c r="U148" s="3">
        <f>IF(ISERROR(VLOOKUP($A148,'NonXtal_SegEnds_BW#'!$A:$Z,15,FALSE)+VLOOKUP($A148,A:AL,22,FALSE)-50),"-",VLOOKUP($A148,'NonXtal_SegEnds_BW#'!$A:$Z,15,FALSE)+VLOOKUP($A148,A:AL,22,FALSE)-50)</f>
        <v>528</v>
      </c>
      <c r="V148" s="3">
        <v>538</v>
      </c>
      <c r="W148" s="3">
        <f>IF(ISERROR(VLOOKUP($A148,'NonXtal_SegEnds_BW#'!$A:$Z,16,FALSE)+VLOOKUP($A148,A:AL,22,FALSE)-50),"-",(VLOOKUP($A148,'NonXtal_SegEnds_BW#'!$A:$Z,16,FALSE)+VLOOKUP($A148,A:AL,22,FALSE)-50))</f>
        <v>556</v>
      </c>
      <c r="X148" s="3">
        <f>IF(ISERROR(VLOOKUP($A148,'NonXtal_SegEnds_BW#'!$A:$Z,17,FALSE)+VLOOKUP($A148,A:AL,25,FALSE)-50),"-",(VLOOKUP($A148,'NonXtal_SegEnds_BW#'!$A:$Z,17,FALSE)+VLOOKUP($A148,A:AL,25,FALSE)-50))</f>
        <v>562</v>
      </c>
      <c r="Y148" s="3">
        <v>562</v>
      </c>
      <c r="Z148" s="3">
        <f t="shared" si="67"/>
        <v>564</v>
      </c>
      <c r="AA148" s="3">
        <f>IF(ISERROR(VLOOKUP($A148,'NonXtal_SegEnds_BW#'!$A:$Z,19,FALSE)+VLOOKUP($A148,A:AL,28,FALSE)-50),"-",(VLOOKUP($A148,'NonXtal_SegEnds_BW#'!$A:$Z,19,FALSE)+VLOOKUP($A148,A:AL,28,FALSE)-50))</f>
        <v>567</v>
      </c>
      <c r="AB148" s="3">
        <v>581</v>
      </c>
      <c r="AC148" s="3">
        <f>IF(ISERROR((VLOOKUP($A148,'NonXtal_SegEnds_BW#'!$A:$Z,20,FALSE)+VLOOKUP($A148,A:AL,28,FALSE)-50)),"-",(VLOOKUP($A148,'NonXtal_SegEnds_BW#'!$A:$Z,20,FALSE)+VLOOKUP($A148,A:AL,28,FALSE)-50))</f>
        <v>600</v>
      </c>
      <c r="AD148" s="3">
        <f>IF(ISERROR(VLOOKUP($A148,'NonXtal_SegEnds_BW#'!$A:$Z,21,FALSE)+VLOOKUP($A148,A:AL,31,FALSE)-50),"-",(VLOOKUP($A148,'NonXtal_SegEnds_BW#'!$A:$Z,21,FALSE)+VLOOKUP($A148,A:AL,31,FALSE)-50))</f>
        <v>612</v>
      </c>
      <c r="AE148" s="3">
        <v>633</v>
      </c>
      <c r="AF148" s="3">
        <f>IF(ISERROR((VLOOKUP($A148,'NonXtal_SegEnds_BW#'!$A:$Z,22,FALSE)+VLOOKUP($A148,A:AL,31,FALSE)-50)),"-",(VLOOKUP($A148,'NonXtal_SegEnds_BW#'!$A:$Z,22,FALSE)+VLOOKUP($A148,A:AL,31,FALSE)-50))</f>
        <v>636</v>
      </c>
      <c r="AG148" s="3">
        <f>IF(ISERROR(VLOOKUP($A148,'NonXtal_SegEnds_BW#'!$A:$Z,23,FALSE)+VLOOKUP($A148,A:AL,34,FALSE)-50),"-",(VLOOKUP($A148,'NonXtal_SegEnds_BW#'!$A:$Z,23,FALSE)+VLOOKUP($A148,A:AL,34,FALSE)-50))</f>
        <v>642</v>
      </c>
      <c r="AH148" s="3">
        <v>661</v>
      </c>
      <c r="AI148" s="3">
        <f>IF(ISERROR((VLOOKUP($A148,'NonXtal_SegEnds_BW#'!$A:$Z,24,FALSE)+VLOOKUP($A148,A:AL,34,FALSE)-50)),"-",(VLOOKUP($A148,'NonXtal_SegEnds_BW#'!$A:$Z,24,FALSE)+VLOOKUP($A148,A:AL,34,FALSE)-50))</f>
        <v>667</v>
      </c>
      <c r="AJ148" s="3">
        <f>IF(ISERROR(VLOOKUP($A148,'NonXtal_SegEnds_BW#'!$A:$Z,25,FALSE)+VLOOKUP($A148,A:AL,37,FALSE)-50),"-",(VLOOKUP($A148,'NonXtal_SegEnds_BW#'!$A:$Z,25,FALSE)+VLOOKUP($A148,A:AL,37,FALSE)-50))</f>
        <v>668</v>
      </c>
      <c r="AK148" s="3">
        <v>671</v>
      </c>
      <c r="AL148" s="3">
        <f>IF(ISERROR((VLOOKUP($A148,'NonXtal_SegEnds_BW#'!$A:$Z,26,FALSE)+VLOOKUP($A148,A:AL,37,FALSE)-50)),"-",(VLOOKUP($A148,'NonXtal_SegEnds_BW#'!$A:$Z,26,FALSE)+VLOOKUP($A148,A:AL,37,FALSE)-50))</f>
        <v>684</v>
      </c>
      <c r="AM148" s="71" t="str">
        <f>VLOOKUP(A148,Classification!A:B,2,FALSE)</f>
        <v>B2</v>
      </c>
      <c r="AN148" s="71" t="b">
        <f t="shared" si="69"/>
        <v>1</v>
      </c>
      <c r="AO148" s="3" t="str">
        <f t="shared" si="70"/>
        <v>-</v>
      </c>
      <c r="AP148" s="3" t="str">
        <f t="shared" si="71"/>
        <v>-</v>
      </c>
      <c r="AQ148" s="3" t="str">
        <f t="shared" si="72"/>
        <v>-</v>
      </c>
      <c r="AR148" s="3" t="str">
        <f t="shared" si="73"/>
        <v>-</v>
      </c>
      <c r="AS148" s="3" t="str">
        <f t="shared" si="74"/>
        <v>-</v>
      </c>
      <c r="AT148" s="3" t="str">
        <f t="shared" si="75"/>
        <v>-</v>
      </c>
      <c r="AU148" s="3">
        <f t="shared" si="76"/>
        <v>6</v>
      </c>
      <c r="AV148" s="3">
        <f t="shared" si="77"/>
        <v>3</v>
      </c>
      <c r="AW148" s="3">
        <f t="shared" si="78"/>
        <v>12</v>
      </c>
      <c r="AX148" s="3">
        <f t="shared" si="79"/>
        <v>6</v>
      </c>
      <c r="AY148" s="3">
        <f t="shared" si="80"/>
        <v>1</v>
      </c>
      <c r="AZ148" s="3">
        <f>IF(ISERROR(LEN(VLOOKUP(A148,Seqs!A:E,2,FALSE))-AL148),"-",LEN(VLOOKUP(A148,Seqs!A:E,2,FALSE))-AL148)</f>
        <v>6</v>
      </c>
      <c r="BA148" s="35">
        <f t="shared" si="81"/>
        <v>28</v>
      </c>
      <c r="BB148" s="3" t="str">
        <f t="shared" si="82"/>
        <v>-</v>
      </c>
      <c r="BC148" s="3">
        <f t="shared" si="83"/>
        <v>28</v>
      </c>
      <c r="BD148" s="3">
        <f t="shared" si="84"/>
        <v>52</v>
      </c>
      <c r="BE148" s="3">
        <f t="shared" si="86"/>
        <v>28</v>
      </c>
    </row>
    <row r="149" spans="1:58" s="3" customFormat="1" x14ac:dyDescent="0.2">
      <c r="A149" s="3" t="s">
        <v>1410</v>
      </c>
      <c r="B149" s="3" t="str">
        <f>LOWER(VLOOKUP(A149,Xtal_Templ!A:B,2,FALSE))</f>
        <v>crfr1_human</v>
      </c>
      <c r="C149" s="3">
        <f>VLOOKUP($A149,'NonXtal_SegEnds_BW#'!$A:$Z,3,FALSE)+D149-50</f>
        <v>389</v>
      </c>
      <c r="D149" s="3">
        <v>416</v>
      </c>
      <c r="E149" s="3">
        <f>IF(ISERROR(VLOOKUP($A149,'NonXtal_SegEnds_BW#'!$A:$Z,4,FALSE)+VLOOKUP($A149,A:AL,4,FALSE)-50),"-",(VLOOKUP($A149,'NonXtal_SegEnds_BW#'!$A:$Z,4,FALSE)+VLOOKUP($A149,A:AL,4,FALSE)-50))</f>
        <v>426</v>
      </c>
      <c r="F149" s="3" t="s">
        <v>129</v>
      </c>
      <c r="G149" s="3" t="s">
        <v>129</v>
      </c>
      <c r="H149" s="3" t="s">
        <v>129</v>
      </c>
      <c r="I149" s="3">
        <f>VLOOKUP($A149,'NonXtal_SegEnds_BW#'!$A:$Z,7,FALSE)+J149-50</f>
        <v>434</v>
      </c>
      <c r="J149" s="3">
        <v>447</v>
      </c>
      <c r="K149" s="3">
        <f>VLOOKUP($A149,'NonXtal_SegEnds_BW#'!$A:$Z,8,FALSE)+VLOOKUP($A149,A:AL,10,FALSE)-50</f>
        <v>460</v>
      </c>
      <c r="L149" s="3" t="str">
        <f>IF(ISERROR(VLOOKUP($A149,'NonXtal_SegEnds_BW#'!$A:$Z,9,FALSE)+VLOOKUP($A149,A:AL,13,FALSE)-50),"-",(VLOOKUP($A149,'NonXtal_SegEnds_BW#'!$A:$Z,9,FALSE)+VLOOKUP($A149,A:AL,13,FALSE)-50))</f>
        <v>-</v>
      </c>
      <c r="M149" s="3" t="s">
        <v>129</v>
      </c>
      <c r="N149" s="3" t="str">
        <f>IF(ISERROR(VLOOKUP($A149,'NonXtal_SegEnds_BW#'!$A:$Z,10,FALSE)+VLOOKUP($A149,A:AL,13,FALSE)-50),"-",(VLOOKUP($A149,'NonXtal_SegEnds_BW#'!$A:$Z,10,FALSE)+VLOOKUP($A149,A:AL,13,FALSE)-50))</f>
        <v>-</v>
      </c>
      <c r="O149" s="3">
        <f>VLOOKUP($A149,'NonXtal_SegEnds_BW#'!$A:$Z,11,FALSE)+VLOOKUP($A149,A:AL,16,FALSE)-50</f>
        <v>471</v>
      </c>
      <c r="P149" s="3">
        <v>498</v>
      </c>
      <c r="Q149" s="3">
        <f>VLOOKUP($A149,'NonXtal_SegEnds_BW#'!$A:$Z,12,FALSE)+VLOOKUP($A149,A:AL,16,FALSE)-50</f>
        <v>504</v>
      </c>
      <c r="R149" s="3" t="str">
        <f>IF(ISERROR(VLOOKUP($A149,'NonXtal_SegEnds_BW#'!$A:$Z,13,FALSE)+VLOOKUP($A149,A:AL,19,FALSE)-50),"-",VLOOKUP($A149,'NonXtal_SegEnds_BW#'!$A:$Z,13,FALSE)+VLOOKUP($A149,A:AL,19,FALSE)-50)</f>
        <v>-</v>
      </c>
      <c r="S149" s="3" t="s">
        <v>129</v>
      </c>
      <c r="T149" s="3" t="str">
        <f>IF(ISERROR(VLOOKUP($A149,'NonXtal_SegEnds_BW#'!$A:$Z,14,FALSE)+VLOOKUP($A149,A:AL,19,FALSE)-50),"-",(VLOOKUP($A149,'NonXtal_SegEnds_BW#'!$A:$Z,14,FALSE)+VLOOKUP($A149,A:AL,19,FALSE)-50))</f>
        <v>-</v>
      </c>
      <c r="U149" s="3">
        <f>IF(ISERROR(VLOOKUP($A149,'NonXtal_SegEnds_BW#'!$A:$Z,15,FALSE)+VLOOKUP($A149,A:AL,22,FALSE)-50),"-",VLOOKUP($A149,'NonXtal_SegEnds_BW#'!$A:$Z,15,FALSE)+VLOOKUP($A149,A:AL,22,FALSE)-50)</f>
        <v>513</v>
      </c>
      <c r="V149" s="3">
        <v>523</v>
      </c>
      <c r="W149" s="3">
        <f>IF(ISERROR(VLOOKUP($A149,'NonXtal_SegEnds_BW#'!$A:$Z,16,FALSE)+VLOOKUP($A149,A:AL,22,FALSE)-50),"-",(VLOOKUP($A149,'NonXtal_SegEnds_BW#'!$A:$Z,16,FALSE)+VLOOKUP($A149,A:AL,22,FALSE)-50))</f>
        <v>541</v>
      </c>
      <c r="X149" s="3">
        <f>IF(ISERROR(VLOOKUP($A149,'NonXtal_SegEnds_BW#'!$A:$Z,17,FALSE)+VLOOKUP($A149,A:AL,25,FALSE)-50),"-",(VLOOKUP($A149,'NonXtal_SegEnds_BW#'!$A:$Z,17,FALSE)+VLOOKUP($A149,A:AL,25,FALSE)-50))</f>
        <v>549</v>
      </c>
      <c r="Y149" s="3">
        <v>549</v>
      </c>
      <c r="Z149" s="3">
        <f t="shared" si="67"/>
        <v>551</v>
      </c>
      <c r="AA149" s="3">
        <f>IF(ISERROR(VLOOKUP($A149,'NonXtal_SegEnds_BW#'!$A:$Z,19,FALSE)+VLOOKUP($A149,A:AL,28,FALSE)-50),"-",(VLOOKUP($A149,'NonXtal_SegEnds_BW#'!$A:$Z,19,FALSE)+VLOOKUP($A149,A:AL,28,FALSE)-50))</f>
        <v>555</v>
      </c>
      <c r="AB149" s="3">
        <v>569</v>
      </c>
      <c r="AC149" s="3">
        <f>IF(ISERROR((VLOOKUP($A149,'NonXtal_SegEnds_BW#'!$A:$Z,20,FALSE)+VLOOKUP($A149,A:AL,28,FALSE)-50)),"-",(VLOOKUP($A149,'NonXtal_SegEnds_BW#'!$A:$Z,20,FALSE)+VLOOKUP($A149,A:AL,28,FALSE)-50))</f>
        <v>588</v>
      </c>
      <c r="AD149" s="3">
        <f>IF(ISERROR(VLOOKUP($A149,'NonXtal_SegEnds_BW#'!$A:$Z,21,FALSE)+VLOOKUP($A149,A:AL,31,FALSE)-50),"-",(VLOOKUP($A149,'NonXtal_SegEnds_BW#'!$A:$Z,21,FALSE)+VLOOKUP($A149,A:AL,31,FALSE)-50))</f>
        <v>599</v>
      </c>
      <c r="AE149" s="3">
        <v>620</v>
      </c>
      <c r="AF149" s="3">
        <f>IF(ISERROR((VLOOKUP($A149,'NonXtal_SegEnds_BW#'!$A:$Z,22,FALSE)+VLOOKUP($A149,A:AL,31,FALSE)-50)),"-",(VLOOKUP($A149,'NonXtal_SegEnds_BW#'!$A:$Z,22,FALSE)+VLOOKUP($A149,A:AL,31,FALSE)-50))</f>
        <v>623</v>
      </c>
      <c r="AG149" s="3">
        <f>IF(ISERROR(VLOOKUP($A149,'NonXtal_SegEnds_BW#'!$A:$Z,23,FALSE)+VLOOKUP($A149,A:AL,34,FALSE)-50),"-",(VLOOKUP($A149,'NonXtal_SegEnds_BW#'!$A:$Z,23,FALSE)+VLOOKUP($A149,A:AL,34,FALSE)-50))</f>
        <v>630</v>
      </c>
      <c r="AH149" s="3">
        <v>649</v>
      </c>
      <c r="AI149" s="3">
        <f>IF(ISERROR((VLOOKUP($A149,'NonXtal_SegEnds_BW#'!$A:$Z,24,FALSE)+VLOOKUP($A149,A:AL,34,FALSE)-50)),"-",(VLOOKUP($A149,'NonXtal_SegEnds_BW#'!$A:$Z,24,FALSE)+VLOOKUP($A149,A:AL,34,FALSE)-50))</f>
        <v>655</v>
      </c>
      <c r="AJ149" s="3">
        <f>IF(ISERROR(VLOOKUP($A149,'NonXtal_SegEnds_BW#'!$A:$Z,25,FALSE)+VLOOKUP($A149,A:AL,37,FALSE)-50),"-",(VLOOKUP($A149,'NonXtal_SegEnds_BW#'!$A:$Z,25,FALSE)+VLOOKUP($A149,A:AL,37,FALSE)-50))</f>
        <v>656</v>
      </c>
      <c r="AK149" s="3">
        <v>659</v>
      </c>
      <c r="AL149" s="3">
        <f>IF(ISERROR((VLOOKUP($A149,'NonXtal_SegEnds_BW#'!$A:$Z,26,FALSE)+VLOOKUP($A149,A:AL,37,FALSE)-50)),"-",(VLOOKUP($A149,'NonXtal_SegEnds_BW#'!$A:$Z,26,FALSE)+VLOOKUP($A149,A:AL,37,FALSE)-50))</f>
        <v>672</v>
      </c>
      <c r="AM149" s="71" t="str">
        <f>VLOOKUP(A149,Classification!A:B,2,FALSE)</f>
        <v>B2</v>
      </c>
      <c r="AN149" s="71" t="b">
        <f t="shared" si="69"/>
        <v>1</v>
      </c>
      <c r="AO149" s="3" t="str">
        <f t="shared" si="70"/>
        <v>-</v>
      </c>
      <c r="AP149" s="3" t="str">
        <f t="shared" si="71"/>
        <v>-</v>
      </c>
      <c r="AQ149" s="3" t="str">
        <f t="shared" si="72"/>
        <v>-</v>
      </c>
      <c r="AR149" s="3" t="str">
        <f t="shared" si="73"/>
        <v>-</v>
      </c>
      <c r="AS149" s="3" t="str">
        <f t="shared" si="74"/>
        <v>-</v>
      </c>
      <c r="AT149" s="3" t="str">
        <f t="shared" si="75"/>
        <v>-</v>
      </c>
      <c r="AU149" s="3">
        <f t="shared" si="76"/>
        <v>8</v>
      </c>
      <c r="AV149" s="3">
        <f t="shared" si="77"/>
        <v>4</v>
      </c>
      <c r="AW149" s="3">
        <f t="shared" si="78"/>
        <v>11</v>
      </c>
      <c r="AX149" s="3">
        <f t="shared" si="79"/>
        <v>7</v>
      </c>
      <c r="AY149" s="3">
        <f t="shared" si="80"/>
        <v>1</v>
      </c>
      <c r="AZ149" s="3">
        <f>IF(ISERROR(LEN(VLOOKUP(A149,Seqs!A:E,2,FALSE))-AL149),"-",LEN(VLOOKUP(A149,Seqs!A:E,2,FALSE))-AL149)</f>
        <v>23</v>
      </c>
      <c r="BA149" s="35">
        <f t="shared" si="81"/>
        <v>31</v>
      </c>
      <c r="BB149" s="3" t="str">
        <f t="shared" si="82"/>
        <v>-</v>
      </c>
      <c r="BC149" s="3">
        <f t="shared" si="83"/>
        <v>31</v>
      </c>
      <c r="BD149" s="3">
        <f t="shared" si="84"/>
        <v>51</v>
      </c>
      <c r="BE149" s="3">
        <f t="shared" si="86"/>
        <v>29</v>
      </c>
    </row>
    <row r="150" spans="1:58" s="3" customFormat="1" x14ac:dyDescent="0.2">
      <c r="A150" s="3" t="s">
        <v>1405</v>
      </c>
      <c r="B150" s="3" t="str">
        <f>LOWER(VLOOKUP(A150,Xtal_Templ!A:B,2,FALSE))</f>
        <v>crfr1_human</v>
      </c>
      <c r="C150" s="3">
        <f>VLOOKUP($A150,'NonXtal_SegEnds_BW#'!$A:$Z,3,FALSE)+D150-50</f>
        <v>344</v>
      </c>
      <c r="D150" s="3">
        <v>371</v>
      </c>
      <c r="E150" s="3">
        <f>IF(ISERROR(VLOOKUP($A150,'NonXtal_SegEnds_BW#'!$A:$Z,4,FALSE)+VLOOKUP($A150,A:AL,4,FALSE)-50),"-",(VLOOKUP($A150,'NonXtal_SegEnds_BW#'!$A:$Z,4,FALSE)+VLOOKUP($A150,A:AL,4,FALSE)-50))</f>
        <v>381</v>
      </c>
      <c r="F150" s="3">
        <f>G150-2</f>
        <v>382</v>
      </c>
      <c r="G150" s="3">
        <v>384</v>
      </c>
      <c r="H150" s="3">
        <f>G150+1</f>
        <v>385</v>
      </c>
      <c r="I150" s="3">
        <f>H150+1</f>
        <v>386</v>
      </c>
      <c r="J150" s="3">
        <v>399</v>
      </c>
      <c r="K150" s="3">
        <f>VLOOKUP($A150,'NonXtal_SegEnds_BW#'!$A:$Z,8,FALSE)+VLOOKUP($A150,A:AL,10,FALSE)-50</f>
        <v>412</v>
      </c>
      <c r="L150" s="3" t="str">
        <f>IF(ISERROR(VLOOKUP($A150,'NonXtal_SegEnds_BW#'!$A:$Z,9,FALSE)+VLOOKUP($A150,A:AL,13,FALSE)-50),"-",(VLOOKUP($A150,'NonXtal_SegEnds_BW#'!$A:$Z,9,FALSE)+VLOOKUP($A150,A:AL,13,FALSE)-50))</f>
        <v>-</v>
      </c>
      <c r="M150" s="3" t="s">
        <v>129</v>
      </c>
      <c r="N150" s="3" t="str">
        <f>IF(ISERROR(VLOOKUP($A150,'NonXtal_SegEnds_BW#'!$A:$Z,10,FALSE)+VLOOKUP($A150,A:AL,13,FALSE)-50),"-",(VLOOKUP($A150,'NonXtal_SegEnds_BW#'!$A:$Z,10,FALSE)+VLOOKUP($A150,A:AL,13,FALSE)-50))</f>
        <v>-</v>
      </c>
      <c r="O150" s="3">
        <f>VLOOKUP($A150,'NonXtal_SegEnds_BW#'!$A:$Z,11,FALSE)+VLOOKUP($A150,A:AL,16,FALSE)-50</f>
        <v>417</v>
      </c>
      <c r="P150" s="3">
        <v>444</v>
      </c>
      <c r="Q150" s="3">
        <f>VLOOKUP($A150,'NonXtal_SegEnds_BW#'!$A:$Z,12,FALSE)+VLOOKUP($A150,A:AL,16,FALSE)-50</f>
        <v>450</v>
      </c>
      <c r="R150" s="3" t="str">
        <f>IF(ISERROR(VLOOKUP($A150,'NonXtal_SegEnds_BW#'!$A:$Z,13,FALSE)+VLOOKUP($A150,A:AL,19,FALSE)-50),"-",VLOOKUP($A150,'NonXtal_SegEnds_BW#'!$A:$Z,13,FALSE)+VLOOKUP($A150,A:AL,19,FALSE)-50)</f>
        <v>-</v>
      </c>
      <c r="S150" s="3" t="s">
        <v>129</v>
      </c>
      <c r="T150" s="3" t="str">
        <f>IF(ISERROR(VLOOKUP($A150,'NonXtal_SegEnds_BW#'!$A:$Z,14,FALSE)+VLOOKUP($A150,A:AL,19,FALSE)-50),"-",(VLOOKUP($A150,'NonXtal_SegEnds_BW#'!$A:$Z,14,FALSE)+VLOOKUP($A150,A:AL,19,FALSE)-50))</f>
        <v>-</v>
      </c>
      <c r="U150" s="3">
        <f>IF(ISERROR(VLOOKUP($A150,'NonXtal_SegEnds_BW#'!$A:$Z,15,FALSE)+VLOOKUP($A150,A:AL,22,FALSE)-50),"-",VLOOKUP($A150,'NonXtal_SegEnds_BW#'!$A:$Z,15,FALSE)+VLOOKUP($A150,A:AL,22,FALSE)-50)</f>
        <v>462</v>
      </c>
      <c r="V150" s="3">
        <v>472</v>
      </c>
      <c r="W150" s="3">
        <f>IF(ISERROR(VLOOKUP($A150,'NonXtal_SegEnds_BW#'!$A:$Z,16,FALSE)+VLOOKUP($A150,A:AL,22,FALSE)-50),"-",(VLOOKUP($A150,'NonXtal_SegEnds_BW#'!$A:$Z,16,FALSE)+VLOOKUP($A150,A:AL,22,FALSE)-50))</f>
        <v>490</v>
      </c>
      <c r="X150" s="3">
        <f>IF(ISERROR(VLOOKUP($A150,'NonXtal_SegEnds_BW#'!$A:$Z,17,FALSE)+VLOOKUP($A150,A:AL,25,FALSE)-50),"-",(VLOOKUP($A150,'NonXtal_SegEnds_BW#'!$A:$Z,17,FALSE)+VLOOKUP($A150,A:AL,25,FALSE)-50))</f>
        <v>496</v>
      </c>
      <c r="Y150" s="3">
        <v>496</v>
      </c>
      <c r="Z150" s="3">
        <f t="shared" ref="Z150:Z158" si="87">Y150+2</f>
        <v>498</v>
      </c>
      <c r="AA150" s="3">
        <f>IF(ISERROR(VLOOKUP($A150,'NonXtal_SegEnds_BW#'!$A:$Z,19,FALSE)+VLOOKUP($A150,A:AL,28,FALSE)-50),"-",(VLOOKUP($A150,'NonXtal_SegEnds_BW#'!$A:$Z,19,FALSE)+VLOOKUP($A150,A:AL,28,FALSE)-50))</f>
        <v>501</v>
      </c>
      <c r="AB150" s="3">
        <v>515</v>
      </c>
      <c r="AC150" s="3">
        <f>IF(ISERROR((VLOOKUP($A150,'NonXtal_SegEnds_BW#'!$A:$Z,20,FALSE)+VLOOKUP($A150,A:AL,28,FALSE)-50)),"-",(VLOOKUP($A150,'NonXtal_SegEnds_BW#'!$A:$Z,20,FALSE)+VLOOKUP($A150,A:AL,28,FALSE)-50))</f>
        <v>534</v>
      </c>
      <c r="AD150" s="3">
        <f>IF(ISERROR(VLOOKUP($A150,'NonXtal_SegEnds_BW#'!$A:$Z,21,FALSE)+VLOOKUP($A150,A:AL,31,FALSE)-50),"-",(VLOOKUP($A150,'NonXtal_SegEnds_BW#'!$A:$Z,21,FALSE)+VLOOKUP($A150,A:AL,31,FALSE)-50))</f>
        <v>546</v>
      </c>
      <c r="AE150" s="3">
        <v>567</v>
      </c>
      <c r="AF150" s="3">
        <f>IF(ISERROR((VLOOKUP($A150,'NonXtal_SegEnds_BW#'!$A:$Z,22,FALSE)+VLOOKUP($A150,A:AL,31,FALSE)-50)),"-",(VLOOKUP($A150,'NonXtal_SegEnds_BW#'!$A:$Z,22,FALSE)+VLOOKUP($A150,A:AL,31,FALSE)-50))</f>
        <v>570</v>
      </c>
      <c r="AG150" s="3">
        <f>IF(ISERROR(VLOOKUP($A150,'NonXtal_SegEnds_BW#'!$A:$Z,23,FALSE)+VLOOKUP($A150,A:AL,34,FALSE)-50),"-",(VLOOKUP($A150,'NonXtal_SegEnds_BW#'!$A:$Z,23,FALSE)+VLOOKUP($A150,A:AL,34,FALSE)-50))</f>
        <v>576</v>
      </c>
      <c r="AH150" s="3">
        <v>595</v>
      </c>
      <c r="AI150" s="3">
        <f>IF(ISERROR((VLOOKUP($A150,'NonXtal_SegEnds_BW#'!$A:$Z,24,FALSE)+VLOOKUP($A150,A:AL,34,FALSE)-50)),"-",(VLOOKUP($A150,'NonXtal_SegEnds_BW#'!$A:$Z,24,FALSE)+VLOOKUP($A150,A:AL,34,FALSE)-50))</f>
        <v>601</v>
      </c>
      <c r="AJ150" s="3">
        <f>IF(ISERROR(VLOOKUP($A150,'NonXtal_SegEnds_BW#'!$A:$Z,25,FALSE)+VLOOKUP($A150,A:AL,37,FALSE)-50),"-",(VLOOKUP($A150,'NonXtal_SegEnds_BW#'!$A:$Z,25,FALSE)+VLOOKUP($A150,A:AL,37,FALSE)-50))</f>
        <v>602</v>
      </c>
      <c r="AK150" s="3">
        <v>605</v>
      </c>
      <c r="AL150" s="3">
        <f>IF(ISERROR((VLOOKUP($A150,'NonXtal_SegEnds_BW#'!$A:$Z,26,FALSE)+VLOOKUP($A150,A:AL,37,FALSE)-50)),"-",(VLOOKUP($A150,'NonXtal_SegEnds_BW#'!$A:$Z,26,FALSE)+VLOOKUP($A150,A:AL,37,FALSE)-50))</f>
        <v>618</v>
      </c>
      <c r="AM150" s="71" t="str">
        <f>VLOOKUP(A150,Classification!A:B,2,FALSE)</f>
        <v>B2</v>
      </c>
      <c r="AN150" s="71" t="b">
        <f t="shared" si="69"/>
        <v>1</v>
      </c>
      <c r="AO150" s="3">
        <f t="shared" si="70"/>
        <v>1</v>
      </c>
      <c r="AP150" s="3">
        <f t="shared" si="71"/>
        <v>1</v>
      </c>
      <c r="AQ150" s="3" t="str">
        <f t="shared" si="72"/>
        <v>-</v>
      </c>
      <c r="AR150" s="3" t="str">
        <f t="shared" si="73"/>
        <v>-</v>
      </c>
      <c r="AS150" s="3" t="str">
        <f t="shared" si="74"/>
        <v>-</v>
      </c>
      <c r="AT150" s="3" t="str">
        <f t="shared" si="75"/>
        <v>-</v>
      </c>
      <c r="AU150" s="3">
        <f t="shared" si="76"/>
        <v>6</v>
      </c>
      <c r="AV150" s="3">
        <f t="shared" si="77"/>
        <v>3</v>
      </c>
      <c r="AW150" s="3">
        <f t="shared" si="78"/>
        <v>12</v>
      </c>
      <c r="AX150" s="3">
        <f t="shared" si="79"/>
        <v>6</v>
      </c>
      <c r="AY150" s="3">
        <f t="shared" si="80"/>
        <v>1</v>
      </c>
      <c r="AZ150" s="3">
        <f>IF(ISERROR(LEN(VLOOKUP(A150,Seqs!A:E,2,FALSE))-AL150),"-",LEN(VLOOKUP(A150,Seqs!A:E,2,FALSE))-AL150)</f>
        <v>34</v>
      </c>
      <c r="BA150" s="35">
        <f t="shared" si="81"/>
        <v>28</v>
      </c>
      <c r="BB150" s="3" t="str">
        <f t="shared" si="82"/>
        <v>-</v>
      </c>
      <c r="BC150" s="3">
        <f t="shared" si="83"/>
        <v>28</v>
      </c>
      <c r="BD150" s="3">
        <f t="shared" si="84"/>
        <v>52</v>
      </c>
      <c r="BE150" s="3">
        <f t="shared" si="86"/>
        <v>28</v>
      </c>
    </row>
    <row r="151" spans="1:58" s="3" customFormat="1" x14ac:dyDescent="0.2">
      <c r="A151" s="3" t="s">
        <v>1414</v>
      </c>
      <c r="B151" s="3" t="str">
        <f>LOWER(VLOOKUP(A151,Xtal_Templ!A:B,2,FALSE))</f>
        <v>crfr1_human</v>
      </c>
      <c r="C151" s="3">
        <f>VLOOKUP($A151,'NonXtal_SegEnds_BW#'!$A:$Z,3,FALSE)+D151-50</f>
        <v>256</v>
      </c>
      <c r="D151" s="3">
        <v>283</v>
      </c>
      <c r="E151" s="3">
        <f>IF(ISERROR(VLOOKUP($A151,'NonXtal_SegEnds_BW#'!$A:$Z,4,FALSE)+VLOOKUP($A151,A:AL,4,FALSE)-50),"-",(VLOOKUP($A151,'NonXtal_SegEnds_BW#'!$A:$Z,4,FALSE)+VLOOKUP($A151,A:AL,4,FALSE)-50))</f>
        <v>293</v>
      </c>
      <c r="F151" s="3" t="s">
        <v>129</v>
      </c>
      <c r="G151" s="3" t="s">
        <v>129</v>
      </c>
      <c r="H151" s="3" t="s">
        <v>129</v>
      </c>
      <c r="I151" s="3">
        <f>VLOOKUP($A151,'NonXtal_SegEnds_BW#'!$A:$Z,7,FALSE)+J151-50</f>
        <v>303</v>
      </c>
      <c r="J151" s="3">
        <v>316</v>
      </c>
      <c r="K151" s="3">
        <f>VLOOKUP($A151,'NonXtal_SegEnds_BW#'!$A:$Z,8,FALSE)+VLOOKUP($A151,A:AL,10,FALSE)-50</f>
        <v>329</v>
      </c>
      <c r="L151" s="3" t="str">
        <f>IF(ISERROR(VLOOKUP($A151,'NonXtal_SegEnds_BW#'!$A:$Z,9,FALSE)+VLOOKUP($A151,A:AL,13,FALSE)-50),"-",(VLOOKUP($A151,'NonXtal_SegEnds_BW#'!$A:$Z,9,FALSE)+VLOOKUP($A151,A:AL,13,FALSE)-50))</f>
        <v>-</v>
      </c>
      <c r="M151" s="3" t="s">
        <v>129</v>
      </c>
      <c r="N151" s="3" t="str">
        <f>IF(ISERROR(VLOOKUP($A151,'NonXtal_SegEnds_BW#'!$A:$Z,10,FALSE)+VLOOKUP($A151,A:AL,13,FALSE)-50),"-",(VLOOKUP($A151,'NonXtal_SegEnds_BW#'!$A:$Z,10,FALSE)+VLOOKUP($A151,A:AL,13,FALSE)-50))</f>
        <v>-</v>
      </c>
      <c r="O151" s="3">
        <f>VLOOKUP($A151,'NonXtal_SegEnds_BW#'!$A:$Z,11,FALSE)+VLOOKUP($A151,A:AL,16,FALSE)-50</f>
        <v>336</v>
      </c>
      <c r="P151" s="3">
        <v>363</v>
      </c>
      <c r="Q151" s="3">
        <f>VLOOKUP($A151,'NonXtal_SegEnds_BW#'!$A:$Z,12,FALSE)+VLOOKUP($A151,A:AL,16,FALSE)-50</f>
        <v>369</v>
      </c>
      <c r="R151" s="3" t="str">
        <f>IF(ISERROR(VLOOKUP($A151,'NonXtal_SegEnds_BW#'!$A:$Z,13,FALSE)+VLOOKUP($A151,A:AL,19,FALSE)-50),"-",VLOOKUP($A151,'NonXtal_SegEnds_BW#'!$A:$Z,13,FALSE)+VLOOKUP($A151,A:AL,19,FALSE)-50)</f>
        <v>-</v>
      </c>
      <c r="S151" s="3" t="s">
        <v>129</v>
      </c>
      <c r="T151" s="3" t="str">
        <f>IF(ISERROR(VLOOKUP($A151,'NonXtal_SegEnds_BW#'!$A:$Z,14,FALSE)+VLOOKUP($A151,A:AL,19,FALSE)-50),"-",(VLOOKUP($A151,'NonXtal_SegEnds_BW#'!$A:$Z,14,FALSE)+VLOOKUP($A151,A:AL,19,FALSE)-50))</f>
        <v>-</v>
      </c>
      <c r="U151" s="3">
        <f>IF(ISERROR(VLOOKUP($A151,'NonXtal_SegEnds_BW#'!$A:$Z,15,FALSE)+VLOOKUP($A151,A:AL,22,FALSE)-50),"-",VLOOKUP($A151,'NonXtal_SegEnds_BW#'!$A:$Z,15,FALSE)+VLOOKUP($A151,A:AL,22,FALSE)-50)</f>
        <v>377</v>
      </c>
      <c r="V151" s="3">
        <v>387</v>
      </c>
      <c r="W151" s="3">
        <f>IF(ISERROR(VLOOKUP($A151,'NonXtal_SegEnds_BW#'!$A:$Z,16,FALSE)+VLOOKUP($A151,A:AL,22,FALSE)-50),"-",(VLOOKUP($A151,'NonXtal_SegEnds_BW#'!$A:$Z,16,FALSE)+VLOOKUP($A151,A:AL,22,FALSE)-50))</f>
        <v>405</v>
      </c>
      <c r="X151" s="3">
        <f>IF(ISERROR(VLOOKUP($A151,'NonXtal_SegEnds_BW#'!$A:$Z,17,FALSE)+VLOOKUP($A151,A:AL,25,FALSE)-50),"-",(VLOOKUP($A151,'NonXtal_SegEnds_BW#'!$A:$Z,17,FALSE)+VLOOKUP($A151,A:AL,25,FALSE)-50))</f>
        <v>420</v>
      </c>
      <c r="Y151" s="3">
        <v>420</v>
      </c>
      <c r="Z151" s="3">
        <f t="shared" si="87"/>
        <v>422</v>
      </c>
      <c r="AA151" s="3">
        <f>IF(ISERROR(VLOOKUP($A151,'NonXtal_SegEnds_BW#'!$A:$Z,19,FALSE)+VLOOKUP($A151,A:AL,28,FALSE)-50),"-",(VLOOKUP($A151,'NonXtal_SegEnds_BW#'!$A:$Z,19,FALSE)+VLOOKUP($A151,A:AL,28,FALSE)-50))</f>
        <v>424</v>
      </c>
      <c r="AB151" s="3">
        <v>438</v>
      </c>
      <c r="AC151" s="3">
        <f>IF(ISERROR((VLOOKUP($A151,'NonXtal_SegEnds_BW#'!$A:$Z,20,FALSE)+VLOOKUP($A151,A:AL,28,FALSE)-50)),"-",(VLOOKUP($A151,'NonXtal_SegEnds_BW#'!$A:$Z,20,FALSE)+VLOOKUP($A151,A:AL,28,FALSE)-50))</f>
        <v>457</v>
      </c>
      <c r="AD151" s="3">
        <f>IF(ISERROR(VLOOKUP($A151,'NonXtal_SegEnds_BW#'!$A:$Z,21,FALSE)+VLOOKUP($A151,A:AL,31,FALSE)-50),"-",(VLOOKUP($A151,'NonXtal_SegEnds_BW#'!$A:$Z,21,FALSE)+VLOOKUP($A151,A:AL,31,FALSE)-50))</f>
        <v>471</v>
      </c>
      <c r="AE151" s="3">
        <v>492</v>
      </c>
      <c r="AF151" s="3">
        <f>IF(ISERROR((VLOOKUP($A151,'NonXtal_SegEnds_BW#'!$A:$Z,22,FALSE)+VLOOKUP($A151,A:AL,31,FALSE)-50)),"-",(VLOOKUP($A151,'NonXtal_SegEnds_BW#'!$A:$Z,22,FALSE)+VLOOKUP($A151,A:AL,31,FALSE)-50))</f>
        <v>492</v>
      </c>
      <c r="AG151" s="3">
        <f>IF(ISERROR(VLOOKUP($A151,'NonXtal_SegEnds_BW#'!$A:$Z,23,FALSE)+VLOOKUP($A151,A:AL,34,FALSE)-50),"-",(VLOOKUP($A151,'NonXtal_SegEnds_BW#'!$A:$Z,23,FALSE)+VLOOKUP($A151,A:AL,34,FALSE)-50))</f>
        <v>499</v>
      </c>
      <c r="AH151" s="3">
        <v>518</v>
      </c>
      <c r="AI151" s="3">
        <f>IF(ISERROR((VLOOKUP($A151,'NonXtal_SegEnds_BW#'!$A:$Z,24,FALSE)+VLOOKUP($A151,A:AL,34,FALSE)-50)),"-",(VLOOKUP($A151,'NonXtal_SegEnds_BW#'!$A:$Z,24,FALSE)+VLOOKUP($A151,A:AL,34,FALSE)-50))</f>
        <v>524</v>
      </c>
      <c r="AJ151" s="3">
        <f>IF(ISERROR(VLOOKUP($A151,'NonXtal_SegEnds_BW#'!$A:$Z,25,FALSE)+VLOOKUP($A151,A:AL,37,FALSE)-50),"-",(VLOOKUP($A151,'NonXtal_SegEnds_BW#'!$A:$Z,25,FALSE)+VLOOKUP($A151,A:AL,37,FALSE)-50))</f>
        <v>525</v>
      </c>
      <c r="AK151" s="3">
        <v>528</v>
      </c>
      <c r="AL151" s="3">
        <f>IF(ISERROR((VLOOKUP($A151,'NonXtal_SegEnds_BW#'!$A:$Z,26,FALSE)+VLOOKUP($A151,A:AL,37,FALSE)-50)),"-",(VLOOKUP($A151,'NonXtal_SegEnds_BW#'!$A:$Z,26,FALSE)+VLOOKUP($A151,A:AL,37,FALSE)-50))</f>
        <v>541</v>
      </c>
      <c r="AM151" s="71" t="str">
        <f>VLOOKUP(A151,Classification!A:B,2,FALSE)</f>
        <v>B2</v>
      </c>
      <c r="AN151" s="71" t="b">
        <f t="shared" si="69"/>
        <v>1</v>
      </c>
      <c r="AO151" s="3" t="str">
        <f t="shared" si="70"/>
        <v>-</v>
      </c>
      <c r="AP151" s="3" t="str">
        <f t="shared" si="71"/>
        <v>-</v>
      </c>
      <c r="AQ151" s="3" t="str">
        <f t="shared" si="72"/>
        <v>-</v>
      </c>
      <c r="AR151" s="3" t="str">
        <f t="shared" si="73"/>
        <v>-</v>
      </c>
      <c r="AS151" s="3" t="str">
        <f t="shared" si="74"/>
        <v>-</v>
      </c>
      <c r="AT151" s="3" t="str">
        <f t="shared" si="75"/>
        <v>-</v>
      </c>
      <c r="AU151" s="3">
        <f t="shared" si="76"/>
        <v>15</v>
      </c>
      <c r="AV151" s="3">
        <f t="shared" si="77"/>
        <v>2</v>
      </c>
      <c r="AW151" s="3">
        <f t="shared" si="78"/>
        <v>14</v>
      </c>
      <c r="AX151" s="3">
        <f t="shared" si="79"/>
        <v>7</v>
      </c>
      <c r="AY151" s="3">
        <f t="shared" si="80"/>
        <v>1</v>
      </c>
      <c r="AZ151" s="3">
        <f>IF(ISERROR(LEN(VLOOKUP(A151,Seqs!A:E,2,FALSE))-AL151),"-",LEN(VLOOKUP(A151,Seqs!A:E,2,FALSE))-AL151)</f>
        <v>8</v>
      </c>
      <c r="BA151" s="35">
        <f t="shared" si="81"/>
        <v>33</v>
      </c>
      <c r="BB151" s="3" t="str">
        <f t="shared" si="82"/>
        <v>-</v>
      </c>
      <c r="BC151" s="3">
        <f t="shared" si="83"/>
        <v>33</v>
      </c>
      <c r="BD151" s="3">
        <f t="shared" si="84"/>
        <v>54</v>
      </c>
      <c r="BE151" s="3">
        <f t="shared" si="86"/>
        <v>26</v>
      </c>
    </row>
    <row r="152" spans="1:58" s="3" customFormat="1" x14ac:dyDescent="0.2">
      <c r="A152" s="3" t="s">
        <v>1416</v>
      </c>
      <c r="B152" s="3" t="str">
        <f>LOWER(VLOOKUP(A152,Xtal_Templ!A:B,2,FALSE))</f>
        <v>crfr1_human</v>
      </c>
      <c r="C152" s="3">
        <f>VLOOKUP($A152,'NonXtal_SegEnds_BW#'!$A:$Z,3,FALSE)+D152-50</f>
        <v>236</v>
      </c>
      <c r="D152" s="3">
        <v>263</v>
      </c>
      <c r="E152" s="3">
        <f>IF(ISERROR(VLOOKUP($A152,'NonXtal_SegEnds_BW#'!$A:$Z,4,FALSE)+VLOOKUP($A152,A:AL,4,FALSE)-50),"-",(VLOOKUP($A152,'NonXtal_SegEnds_BW#'!$A:$Z,4,FALSE)+VLOOKUP($A152,A:AL,4,FALSE)-50))</f>
        <v>273</v>
      </c>
      <c r="F152" s="3" t="s">
        <v>129</v>
      </c>
      <c r="G152" s="3" t="s">
        <v>129</v>
      </c>
      <c r="H152" s="3" t="s">
        <v>129</v>
      </c>
      <c r="I152" s="3">
        <f>VLOOKUP($A152,'NonXtal_SegEnds_BW#'!$A:$Z,7,FALSE)+J152-50</f>
        <v>278</v>
      </c>
      <c r="J152" s="3">
        <v>291</v>
      </c>
      <c r="K152" s="3">
        <f>VLOOKUP($A152,'NonXtal_SegEnds_BW#'!$A:$Z,8,FALSE)+VLOOKUP($A152,A:AL,10,FALSE)-50</f>
        <v>304</v>
      </c>
      <c r="L152" s="3" t="str">
        <f>IF(ISERROR(VLOOKUP($A152,'NonXtal_SegEnds_BW#'!$A:$Z,9,FALSE)+VLOOKUP($A152,A:AL,13,FALSE)-50),"-",(VLOOKUP($A152,'NonXtal_SegEnds_BW#'!$A:$Z,9,FALSE)+VLOOKUP($A152,A:AL,13,FALSE)-50))</f>
        <v>-</v>
      </c>
      <c r="M152" s="3" t="s">
        <v>129</v>
      </c>
      <c r="N152" s="3" t="str">
        <f>IF(ISERROR(VLOOKUP($A152,'NonXtal_SegEnds_BW#'!$A:$Z,10,FALSE)+VLOOKUP($A152,A:AL,13,FALSE)-50),"-",(VLOOKUP($A152,'NonXtal_SegEnds_BW#'!$A:$Z,10,FALSE)+VLOOKUP($A152,A:AL,13,FALSE)-50))</f>
        <v>-</v>
      </c>
      <c r="O152" s="3">
        <f>VLOOKUP($A152,'NonXtal_SegEnds_BW#'!$A:$Z,11,FALSE)+VLOOKUP($A152,A:AL,16,FALSE)-50</f>
        <v>312</v>
      </c>
      <c r="P152" s="3">
        <v>339</v>
      </c>
      <c r="Q152" s="3">
        <f>VLOOKUP($A152,'NonXtal_SegEnds_BW#'!$A:$Z,12,FALSE)+VLOOKUP($A152,A:AL,16,FALSE)-50</f>
        <v>345</v>
      </c>
      <c r="R152" s="3" t="str">
        <f>IF(ISERROR(VLOOKUP($A152,'NonXtal_SegEnds_BW#'!$A:$Z,13,FALSE)+VLOOKUP($A152,A:AL,19,FALSE)-50),"-",VLOOKUP($A152,'NonXtal_SegEnds_BW#'!$A:$Z,13,FALSE)+VLOOKUP($A152,A:AL,19,FALSE)-50)</f>
        <v>-</v>
      </c>
      <c r="S152" s="3" t="s">
        <v>129</v>
      </c>
      <c r="T152" s="3" t="str">
        <f>IF(ISERROR(VLOOKUP($A152,'NonXtal_SegEnds_BW#'!$A:$Z,14,FALSE)+VLOOKUP($A152,A:AL,19,FALSE)-50),"-",(VLOOKUP($A152,'NonXtal_SegEnds_BW#'!$A:$Z,14,FALSE)+VLOOKUP($A152,A:AL,19,FALSE)-50))</f>
        <v>-</v>
      </c>
      <c r="U152" s="3">
        <f>IF(ISERROR(VLOOKUP($A152,'NonXtal_SegEnds_BW#'!$A:$Z,15,FALSE)+VLOOKUP($A152,A:AL,22,FALSE)-50),"-",VLOOKUP($A152,'NonXtal_SegEnds_BW#'!$A:$Z,15,FALSE)+VLOOKUP($A152,A:AL,22,FALSE)-50)</f>
        <v>353</v>
      </c>
      <c r="V152" s="3">
        <v>363</v>
      </c>
      <c r="W152" s="3">
        <f>IF(ISERROR(VLOOKUP($A152,'NonXtal_SegEnds_BW#'!$A:$Z,16,FALSE)+VLOOKUP($A152,A:AL,22,FALSE)-50),"-",(VLOOKUP($A152,'NonXtal_SegEnds_BW#'!$A:$Z,16,FALSE)+VLOOKUP($A152,A:AL,22,FALSE)-50))</f>
        <v>381</v>
      </c>
      <c r="X152" s="3">
        <f>IF(ISERROR(VLOOKUP($A152,'NonXtal_SegEnds_BW#'!$A:$Z,17,FALSE)+VLOOKUP($A152,A:AL,25,FALSE)-50),"-",(VLOOKUP($A152,'NonXtal_SegEnds_BW#'!$A:$Z,17,FALSE)+VLOOKUP($A152,A:AL,25,FALSE)-50))</f>
        <v>404</v>
      </c>
      <c r="Y152" s="3">
        <v>404</v>
      </c>
      <c r="Z152" s="3">
        <f t="shared" si="87"/>
        <v>406</v>
      </c>
      <c r="AA152" s="3">
        <f>IF(ISERROR(VLOOKUP($A152,'NonXtal_SegEnds_BW#'!$A:$Z,19,FALSE)+VLOOKUP($A152,A:AL,28,FALSE)-50),"-",(VLOOKUP($A152,'NonXtal_SegEnds_BW#'!$A:$Z,19,FALSE)+VLOOKUP($A152,A:AL,28,FALSE)-50))</f>
        <v>409</v>
      </c>
      <c r="AB152" s="3">
        <v>423</v>
      </c>
      <c r="AC152" s="3">
        <f>IF(ISERROR((VLOOKUP($A152,'NonXtal_SegEnds_BW#'!$A:$Z,20,FALSE)+VLOOKUP($A152,A:AL,28,FALSE)-50)),"-",(VLOOKUP($A152,'NonXtal_SegEnds_BW#'!$A:$Z,20,FALSE)+VLOOKUP($A152,A:AL,28,FALSE)-50))</f>
        <v>442</v>
      </c>
      <c r="AD152" s="3">
        <f>IF(ISERROR(VLOOKUP($A152,'NonXtal_SegEnds_BW#'!$A:$Z,21,FALSE)+VLOOKUP($A152,A:AL,31,FALSE)-50),"-",(VLOOKUP($A152,'NonXtal_SegEnds_BW#'!$A:$Z,21,FALSE)+VLOOKUP($A152,A:AL,31,FALSE)-50))</f>
        <v>451</v>
      </c>
      <c r="AE152" s="3">
        <v>472</v>
      </c>
      <c r="AF152" s="3">
        <f>IF(ISERROR((VLOOKUP($A152,'NonXtal_SegEnds_BW#'!$A:$Z,22,FALSE)+VLOOKUP($A152,A:AL,31,FALSE)-50)),"-",(VLOOKUP($A152,'NonXtal_SegEnds_BW#'!$A:$Z,22,FALSE)+VLOOKUP($A152,A:AL,31,FALSE)-50))</f>
        <v>475</v>
      </c>
      <c r="AG152" s="3">
        <f>IF(ISERROR(VLOOKUP($A152,'NonXtal_SegEnds_BW#'!$A:$Z,23,FALSE)+VLOOKUP($A152,A:AL,34,FALSE)-50),"-",(VLOOKUP($A152,'NonXtal_SegEnds_BW#'!$A:$Z,23,FALSE)+VLOOKUP($A152,A:AL,34,FALSE)-50))</f>
        <v>481</v>
      </c>
      <c r="AH152" s="3">
        <v>500</v>
      </c>
      <c r="AI152" s="3">
        <f>IF(ISERROR((VLOOKUP($A152,'NonXtal_SegEnds_BW#'!$A:$Z,24,FALSE)+VLOOKUP($A152,A:AL,34,FALSE)-50)),"-",(VLOOKUP($A152,'NonXtal_SegEnds_BW#'!$A:$Z,24,FALSE)+VLOOKUP($A152,A:AL,34,FALSE)-50))</f>
        <v>506</v>
      </c>
      <c r="AJ152" s="3">
        <f>IF(ISERROR(VLOOKUP($A152,'NonXtal_SegEnds_BW#'!$A:$Z,25,FALSE)+VLOOKUP($A152,A:AL,37,FALSE)-50),"-",(VLOOKUP($A152,'NonXtal_SegEnds_BW#'!$A:$Z,25,FALSE)+VLOOKUP($A152,A:AL,37,FALSE)-50))</f>
        <v>507</v>
      </c>
      <c r="AK152" s="3">
        <v>510</v>
      </c>
      <c r="AL152" s="3">
        <f>IF(ISERROR((VLOOKUP($A152,'NonXtal_SegEnds_BW#'!$A:$Z,26,FALSE)+VLOOKUP($A152,A:AL,37,FALSE)-50)),"-",(VLOOKUP($A152,'NonXtal_SegEnds_BW#'!$A:$Z,26,FALSE)+VLOOKUP($A152,A:AL,37,FALSE)-50))</f>
        <v>523</v>
      </c>
      <c r="AM152" s="71" t="str">
        <f>VLOOKUP(A152,Classification!A:B,2,FALSE)</f>
        <v>B2</v>
      </c>
      <c r="AN152" s="71" t="b">
        <f t="shared" si="69"/>
        <v>1</v>
      </c>
      <c r="AO152" s="3" t="str">
        <f t="shared" si="70"/>
        <v>-</v>
      </c>
      <c r="AP152" s="3" t="str">
        <f t="shared" si="71"/>
        <v>-</v>
      </c>
      <c r="AQ152" s="3" t="str">
        <f t="shared" si="72"/>
        <v>-</v>
      </c>
      <c r="AR152" s="3" t="str">
        <f t="shared" si="73"/>
        <v>-</v>
      </c>
      <c r="AS152" s="3" t="str">
        <f t="shared" si="74"/>
        <v>-</v>
      </c>
      <c r="AT152" s="3" t="str">
        <f t="shared" si="75"/>
        <v>-</v>
      </c>
      <c r="AU152" s="3">
        <f t="shared" si="76"/>
        <v>23</v>
      </c>
      <c r="AV152" s="3">
        <f t="shared" si="77"/>
        <v>3</v>
      </c>
      <c r="AW152" s="3">
        <f t="shared" si="78"/>
        <v>9</v>
      </c>
      <c r="AX152" s="3">
        <f t="shared" si="79"/>
        <v>6</v>
      </c>
      <c r="AY152" s="3">
        <f t="shared" si="80"/>
        <v>1</v>
      </c>
      <c r="AZ152" s="3">
        <f>IF(ISERROR(LEN(VLOOKUP(A152,Seqs!A:E,2,FALSE))-AL152),"-",LEN(VLOOKUP(A152,Seqs!A:E,2,FALSE))-AL152)</f>
        <v>5</v>
      </c>
      <c r="BA152" s="35">
        <f t="shared" si="81"/>
        <v>28</v>
      </c>
      <c r="BB152" s="3" t="str">
        <f t="shared" si="82"/>
        <v>-</v>
      </c>
      <c r="BC152" s="3">
        <f t="shared" si="83"/>
        <v>28</v>
      </c>
      <c r="BD152" s="3">
        <f t="shared" si="84"/>
        <v>49</v>
      </c>
      <c r="BE152" s="3">
        <f t="shared" si="86"/>
        <v>28</v>
      </c>
    </row>
    <row r="153" spans="1:58" s="3" customFormat="1" x14ac:dyDescent="0.2">
      <c r="A153" s="3" t="s">
        <v>1406</v>
      </c>
      <c r="B153" s="3" t="str">
        <f>LOWER(VLOOKUP(A153,Xtal_Templ!A:B,2,FALSE))</f>
        <v>crfr1_human</v>
      </c>
      <c r="C153" s="3">
        <f>VLOOKUP($A153,'NonXtal_SegEnds_BW#'!$A:$Z,3,FALSE)+D153-50</f>
        <v>178</v>
      </c>
      <c r="D153" s="3">
        <v>205</v>
      </c>
      <c r="E153" s="3">
        <f>IF(ISERROR(VLOOKUP($A153,'NonXtal_SegEnds_BW#'!$A:$Z,4,FALSE)+VLOOKUP($A153,A:AL,4,FALSE)-50),"-",(VLOOKUP($A153,'NonXtal_SegEnds_BW#'!$A:$Z,4,FALSE)+VLOOKUP($A153,A:AL,4,FALSE)-50))</f>
        <v>215</v>
      </c>
      <c r="F153" s="3">
        <f>G153-2</f>
        <v>216</v>
      </c>
      <c r="G153" s="3">
        <v>218</v>
      </c>
      <c r="H153" s="3">
        <f t="shared" ref="H153:I157" si="88">G153+1</f>
        <v>219</v>
      </c>
      <c r="I153" s="3">
        <f t="shared" si="88"/>
        <v>220</v>
      </c>
      <c r="J153" s="3">
        <v>233</v>
      </c>
      <c r="K153" s="3">
        <f>VLOOKUP($A153,'NonXtal_SegEnds_BW#'!$A:$Z,8,FALSE)+VLOOKUP($A153,A:AL,10,FALSE)-50</f>
        <v>246</v>
      </c>
      <c r="L153" s="3" t="str">
        <f>IF(ISERROR(VLOOKUP($A153,'NonXtal_SegEnds_BW#'!$A:$Z,9,FALSE)+VLOOKUP($A153,A:AL,13,FALSE)-50),"-",(VLOOKUP($A153,'NonXtal_SegEnds_BW#'!$A:$Z,9,FALSE)+VLOOKUP($A153,A:AL,13,FALSE)-50))</f>
        <v>-</v>
      </c>
      <c r="M153" s="3" t="s">
        <v>129</v>
      </c>
      <c r="N153" s="3" t="str">
        <f>IF(ISERROR(VLOOKUP($A153,'NonXtal_SegEnds_BW#'!$A:$Z,10,FALSE)+VLOOKUP($A153,A:AL,13,FALSE)-50),"-",(VLOOKUP($A153,'NonXtal_SegEnds_BW#'!$A:$Z,10,FALSE)+VLOOKUP($A153,A:AL,13,FALSE)-50))</f>
        <v>-</v>
      </c>
      <c r="O153" s="3">
        <f>VLOOKUP($A153,'NonXtal_SegEnds_BW#'!$A:$Z,11,FALSE)+VLOOKUP($A153,A:AL,16,FALSE)-50</f>
        <v>251</v>
      </c>
      <c r="P153" s="3">
        <v>278</v>
      </c>
      <c r="Q153" s="3">
        <f>VLOOKUP($A153,'NonXtal_SegEnds_BW#'!$A:$Z,12,FALSE)+VLOOKUP($A153,A:AL,16,FALSE)-50</f>
        <v>284</v>
      </c>
      <c r="R153" s="3" t="str">
        <f>IF(ISERROR(VLOOKUP($A153,'NonXtal_SegEnds_BW#'!$A:$Z,13,FALSE)+VLOOKUP($A153,A:AL,19,FALSE)-50),"-",VLOOKUP($A153,'NonXtal_SegEnds_BW#'!$A:$Z,13,FALSE)+VLOOKUP($A153,A:AL,19,FALSE)-50)</f>
        <v>-</v>
      </c>
      <c r="S153" s="3" t="s">
        <v>129</v>
      </c>
      <c r="T153" s="3" t="str">
        <f>IF(ISERROR(VLOOKUP($A153,'NonXtal_SegEnds_BW#'!$A:$Z,14,FALSE)+VLOOKUP($A153,A:AL,19,FALSE)-50),"-",(VLOOKUP($A153,'NonXtal_SegEnds_BW#'!$A:$Z,14,FALSE)+VLOOKUP($A153,A:AL,19,FALSE)-50))</f>
        <v>-</v>
      </c>
      <c r="U153" s="3">
        <f>IF(ISERROR(VLOOKUP($A153,'NonXtal_SegEnds_BW#'!$A:$Z,15,FALSE)+VLOOKUP($A153,A:AL,22,FALSE)-50),"-",VLOOKUP($A153,'NonXtal_SegEnds_BW#'!$A:$Z,15,FALSE)+VLOOKUP($A153,A:AL,22,FALSE)-50)</f>
        <v>296</v>
      </c>
      <c r="V153" s="3">
        <v>306</v>
      </c>
      <c r="W153" s="3">
        <f>IF(ISERROR(VLOOKUP($A153,'NonXtal_SegEnds_BW#'!$A:$Z,16,FALSE)+VLOOKUP($A153,A:AL,22,FALSE)-50),"-",(VLOOKUP($A153,'NonXtal_SegEnds_BW#'!$A:$Z,16,FALSE)+VLOOKUP($A153,A:AL,22,FALSE)-50))</f>
        <v>324</v>
      </c>
      <c r="X153" s="3">
        <f>IF(ISERROR(VLOOKUP($A153,'NonXtal_SegEnds_BW#'!$A:$Z,17,FALSE)+VLOOKUP($A153,A:AL,25,FALSE)-50),"-",(VLOOKUP($A153,'NonXtal_SegEnds_BW#'!$A:$Z,17,FALSE)+VLOOKUP($A153,A:AL,25,FALSE)-50))</f>
        <v>329</v>
      </c>
      <c r="Y153" s="3">
        <v>329</v>
      </c>
      <c r="Z153" s="3">
        <f t="shared" si="87"/>
        <v>331</v>
      </c>
      <c r="AA153" s="3">
        <f>IF(ISERROR(VLOOKUP($A153,'NonXtal_SegEnds_BW#'!$A:$Z,19,FALSE)+VLOOKUP($A153,A:AL,28,FALSE)-50),"-",(VLOOKUP($A153,'NonXtal_SegEnds_BW#'!$A:$Z,19,FALSE)+VLOOKUP($A153,A:AL,28,FALSE)-50))</f>
        <v>334</v>
      </c>
      <c r="AB153" s="3">
        <v>348</v>
      </c>
      <c r="AC153" s="3">
        <f>IF(ISERROR((VLOOKUP($A153,'NonXtal_SegEnds_BW#'!$A:$Z,20,FALSE)+VLOOKUP($A153,A:AL,28,FALSE)-50)),"-",(VLOOKUP($A153,'NonXtal_SegEnds_BW#'!$A:$Z,20,FALSE)+VLOOKUP($A153,A:AL,28,FALSE)-50))</f>
        <v>367</v>
      </c>
      <c r="AD153" s="3">
        <f>IF(ISERROR(VLOOKUP($A153,'NonXtal_SegEnds_BW#'!$A:$Z,21,FALSE)+VLOOKUP($A153,A:AL,31,FALSE)-50),"-",(VLOOKUP($A153,'NonXtal_SegEnds_BW#'!$A:$Z,21,FALSE)+VLOOKUP($A153,A:AL,31,FALSE)-50))</f>
        <v>379</v>
      </c>
      <c r="AE153" s="3">
        <v>400</v>
      </c>
      <c r="AF153" s="3">
        <f>IF(ISERROR((VLOOKUP($A153,'NonXtal_SegEnds_BW#'!$A:$Z,22,FALSE)+VLOOKUP($A153,A:AL,31,FALSE)-50)),"-",(VLOOKUP($A153,'NonXtal_SegEnds_BW#'!$A:$Z,22,FALSE)+VLOOKUP($A153,A:AL,31,FALSE)-50))</f>
        <v>403</v>
      </c>
      <c r="AG153" s="3">
        <f>IF(ISERROR(VLOOKUP($A153,'NonXtal_SegEnds_BW#'!$A:$Z,23,FALSE)+VLOOKUP($A153,A:AL,34,FALSE)-50),"-",(VLOOKUP($A153,'NonXtal_SegEnds_BW#'!$A:$Z,23,FALSE)+VLOOKUP($A153,A:AL,34,FALSE)-50))</f>
        <v>409</v>
      </c>
      <c r="AH153" s="3">
        <v>432</v>
      </c>
      <c r="AI153" s="3">
        <f>IF(ISERROR((VLOOKUP($A153,'NonXtal_SegEnds_BW#'!$A:$Z,24,FALSE)+VLOOKUP($A153,A:AL,34,FALSE)-50)),"-",(VLOOKUP($A153,'NonXtal_SegEnds_BW#'!$A:$Z,24,FALSE)+VLOOKUP($A153,A:AL,34,FALSE)-50))</f>
        <v>438</v>
      </c>
      <c r="AJ153" s="3">
        <f>IF(ISERROR(VLOOKUP($A153,'NonXtal_SegEnds_BW#'!$A:$Z,25,FALSE)+VLOOKUP($A153,A:AL,37,FALSE)-50),"-",(VLOOKUP($A153,'NonXtal_SegEnds_BW#'!$A:$Z,25,FALSE)+VLOOKUP($A153,A:AL,37,FALSE)-50))</f>
        <v>439</v>
      </c>
      <c r="AK153" s="3">
        <v>442</v>
      </c>
      <c r="AL153" s="3">
        <f>IF(ISERROR((VLOOKUP($A153,'NonXtal_SegEnds_BW#'!$A:$Z,26,FALSE)+VLOOKUP($A153,A:AL,37,FALSE)-50)),"-",(VLOOKUP($A153,'NonXtal_SegEnds_BW#'!$A:$Z,26,FALSE)+VLOOKUP($A153,A:AL,37,FALSE)-50))</f>
        <v>455</v>
      </c>
      <c r="AM153" s="71" t="str">
        <f>VLOOKUP(A153,Classification!A:B,2,FALSE)</f>
        <v>B2</v>
      </c>
      <c r="AN153" s="71" t="b">
        <f t="shared" si="69"/>
        <v>1</v>
      </c>
      <c r="AO153" s="3">
        <f t="shared" si="70"/>
        <v>1</v>
      </c>
      <c r="AP153" s="3">
        <f t="shared" si="71"/>
        <v>1</v>
      </c>
      <c r="AQ153" s="3" t="str">
        <f t="shared" si="72"/>
        <v>-</v>
      </c>
      <c r="AR153" s="3" t="str">
        <f t="shared" si="73"/>
        <v>-</v>
      </c>
      <c r="AS153" s="3" t="str">
        <f t="shared" si="74"/>
        <v>-</v>
      </c>
      <c r="AT153" s="3" t="str">
        <f t="shared" si="75"/>
        <v>-</v>
      </c>
      <c r="AU153" s="3">
        <f t="shared" si="76"/>
        <v>5</v>
      </c>
      <c r="AV153" s="3">
        <f t="shared" si="77"/>
        <v>3</v>
      </c>
      <c r="AW153" s="3">
        <f t="shared" si="78"/>
        <v>12</v>
      </c>
      <c r="AX153" s="3">
        <f t="shared" si="79"/>
        <v>6</v>
      </c>
      <c r="AY153" s="3">
        <f t="shared" si="80"/>
        <v>1</v>
      </c>
      <c r="AZ153" s="3">
        <f>IF(ISERROR(LEN(VLOOKUP(A153,Seqs!A:E,2,FALSE))-AL153),"-",LEN(VLOOKUP(A153,Seqs!A:E,2,FALSE))-AL153)</f>
        <v>2</v>
      </c>
      <c r="BA153" s="35">
        <f t="shared" si="81"/>
        <v>28</v>
      </c>
      <c r="BB153" s="3" t="str">
        <f t="shared" si="82"/>
        <v>-</v>
      </c>
      <c r="BC153" s="3">
        <f t="shared" si="83"/>
        <v>28</v>
      </c>
      <c r="BD153" s="3">
        <f t="shared" si="84"/>
        <v>52</v>
      </c>
      <c r="BE153" s="3">
        <f t="shared" si="86"/>
        <v>32</v>
      </c>
    </row>
    <row r="154" spans="1:58" s="3" customFormat="1" x14ac:dyDescent="0.2">
      <c r="A154" s="3" t="s">
        <v>595</v>
      </c>
      <c r="B154" s="3" t="str">
        <f>LOWER(VLOOKUP(A154,Xtal_Templ!A:B,2,FALSE))</f>
        <v>crfr1_human</v>
      </c>
      <c r="C154" s="3">
        <f>VLOOKUP($A154,'NonXtal_SegEnds_BW#'!$A:$Z,3,FALSE)+D154-50</f>
        <v>150</v>
      </c>
      <c r="D154" s="3">
        <v>181</v>
      </c>
      <c r="E154" s="3">
        <f>IF(ISERROR(VLOOKUP($A154,'NonXtal_SegEnds_BW#'!$A:$Z,4,FALSE)+VLOOKUP($A154,A:AL,4,FALSE)-50),"-",(VLOOKUP($A154,'NonXtal_SegEnds_BW#'!$A:$Z,4,FALSE)+VLOOKUP($A154,A:AL,4,FALSE)-50))</f>
        <v>191</v>
      </c>
      <c r="F154" s="3">
        <f>G154-2</f>
        <v>208</v>
      </c>
      <c r="G154" s="3">
        <v>210</v>
      </c>
      <c r="H154" s="3">
        <f t="shared" si="88"/>
        <v>211</v>
      </c>
      <c r="I154" s="3">
        <f t="shared" si="88"/>
        <v>212</v>
      </c>
      <c r="J154" s="3">
        <v>225</v>
      </c>
      <c r="K154" s="3">
        <f>VLOOKUP($A154,'NonXtal_SegEnds_BW#'!$A:$Z,8,FALSE)+VLOOKUP($A154,A:AL,10,FALSE)-50</f>
        <v>238</v>
      </c>
      <c r="L154" s="3" t="str">
        <f>IF(ISERROR(VLOOKUP($A154,'NonXtal_SegEnds_BW#'!$A:$Z,9,FALSE)+VLOOKUP($A154,A:AL,13,FALSE)-50),"-",(VLOOKUP($A154,'NonXtal_SegEnds_BW#'!$A:$Z,9,FALSE)+VLOOKUP($A154,A:AL,13,FALSE)-50))</f>
        <v>-</v>
      </c>
      <c r="M154" s="3" t="s">
        <v>129</v>
      </c>
      <c r="N154" s="3" t="str">
        <f>IF(ISERROR(VLOOKUP($A154,'NonXtal_SegEnds_BW#'!$A:$Z,10,FALSE)+VLOOKUP($A154,A:AL,13,FALSE)-50),"-",(VLOOKUP($A154,'NonXtal_SegEnds_BW#'!$A:$Z,10,FALSE)+VLOOKUP($A154,A:AL,13,FALSE)-50))</f>
        <v>-</v>
      </c>
      <c r="O154" s="3">
        <f>VLOOKUP($A154,'NonXtal_SegEnds_BW#'!$A:$Z,11,FALSE)+VLOOKUP($A154,A:AL,16,FALSE)-50</f>
        <v>251</v>
      </c>
      <c r="P154" s="3">
        <v>278</v>
      </c>
      <c r="Q154" s="3">
        <f>VLOOKUP($A154,'NonXtal_SegEnds_BW#'!$A:$Z,12,FALSE)+VLOOKUP($A154,A:AL,16,FALSE)-50</f>
        <v>284</v>
      </c>
      <c r="R154" s="3" t="str">
        <f>IF(ISERROR(VLOOKUP($A154,'NonXtal_SegEnds_BW#'!$A:$Z,13,FALSE)+VLOOKUP($A154,A:AL,19,FALSE)-50),"-",VLOOKUP($A154,'NonXtal_SegEnds_BW#'!$A:$Z,13,FALSE)+VLOOKUP($A154,A:AL,19,FALSE)-50)</f>
        <v>-</v>
      </c>
      <c r="S154" s="3" t="s">
        <v>129</v>
      </c>
      <c r="T154" s="3" t="str">
        <f>IF(ISERROR(VLOOKUP($A154,'NonXtal_SegEnds_BW#'!$A:$Z,14,FALSE)+VLOOKUP($A154,A:AL,19,FALSE)-50),"-",(VLOOKUP($A154,'NonXtal_SegEnds_BW#'!$A:$Z,14,FALSE)+VLOOKUP($A154,A:AL,19,FALSE)-50))</f>
        <v>-</v>
      </c>
      <c r="U154" s="3">
        <f>IF(ISERROR(VLOOKUP($A154,'NonXtal_SegEnds_BW#'!$A:$Z,15,FALSE)+VLOOKUP($A154,A:AL,22,FALSE)-50),"-",VLOOKUP($A154,'NonXtal_SegEnds_BW#'!$A:$Z,15,FALSE)+VLOOKUP($A154,A:AL,22,FALSE)-50)</f>
        <v>291</v>
      </c>
      <c r="V154" s="3">
        <v>301</v>
      </c>
      <c r="W154" s="3">
        <f>IF(ISERROR(VLOOKUP($A154,'NonXtal_SegEnds_BW#'!$A:$Z,16,FALSE)+VLOOKUP($A154,A:AL,22,FALSE)-50),"-",(VLOOKUP($A154,'NonXtal_SegEnds_BW#'!$A:$Z,16,FALSE)+VLOOKUP($A154,A:AL,22,FALSE)-50))</f>
        <v>319</v>
      </c>
      <c r="X154" s="3">
        <f>IF(ISERROR(VLOOKUP($A154,'NonXtal_SegEnds_BW#'!$A:$Z,17,FALSE)+VLOOKUP($A154,A:AL,25,FALSE)-50),"-",(VLOOKUP($A154,'NonXtal_SegEnds_BW#'!$A:$Z,17,FALSE)+VLOOKUP($A154,A:AL,25,FALSE)-50))</f>
        <v>323</v>
      </c>
      <c r="Y154" s="3">
        <v>323</v>
      </c>
      <c r="Z154" s="3">
        <f t="shared" si="87"/>
        <v>325</v>
      </c>
      <c r="AA154" s="3">
        <f>IF(ISERROR(VLOOKUP($A154,'NonXtal_SegEnds_BW#'!$A:$Z,19,FALSE)+VLOOKUP($A154,A:AL,28,FALSE)-50),"-",(VLOOKUP($A154,'NonXtal_SegEnds_BW#'!$A:$Z,19,FALSE)+VLOOKUP($A154,A:AL,28,FALSE)-50))</f>
        <v>328</v>
      </c>
      <c r="AB154" s="3">
        <v>342</v>
      </c>
      <c r="AC154" s="3">
        <f>IF(ISERROR((VLOOKUP($A154,'NonXtal_SegEnds_BW#'!$A:$Z,20,FALSE)+VLOOKUP($A154,A:AL,28,FALSE)-50)),"-",(VLOOKUP($A154,'NonXtal_SegEnds_BW#'!$A:$Z,20,FALSE)+VLOOKUP($A154,A:AL,28,FALSE)-50))</f>
        <v>361</v>
      </c>
      <c r="AD154" s="3">
        <f>IF(ISERROR(VLOOKUP($A154,'NonXtal_SegEnds_BW#'!$A:$Z,21,FALSE)+VLOOKUP($A154,A:AL,31,FALSE)-50),"-",(VLOOKUP($A154,'NonXtal_SegEnds_BW#'!$A:$Z,21,FALSE)+VLOOKUP($A154,A:AL,31,FALSE)-50))</f>
        <v>367</v>
      </c>
      <c r="AE154" s="3">
        <v>392</v>
      </c>
      <c r="AF154" s="3">
        <f>IF(ISERROR((VLOOKUP($A154,'NonXtal_SegEnds_BW#'!$A:$Z,22,FALSE)+VLOOKUP($A154,A:AL,31,FALSE)-50)),"-",(VLOOKUP($A154,'NonXtal_SegEnds_BW#'!$A:$Z,22,FALSE)+VLOOKUP($A154,A:AL,31,FALSE)-50))</f>
        <v>395</v>
      </c>
      <c r="AG154" s="3">
        <f>IF(ISERROR(VLOOKUP($A154,'NonXtal_SegEnds_BW#'!$A:$Z,23,FALSE)+VLOOKUP($A154,A:AL,34,FALSE)-50),"-",(VLOOKUP($A154,'NonXtal_SegEnds_BW#'!$A:$Z,23,FALSE)+VLOOKUP($A154,A:AL,34,FALSE)-50))</f>
        <v>402</v>
      </c>
      <c r="AH154" s="3">
        <v>422</v>
      </c>
      <c r="AI154" s="3">
        <f>IF(ISERROR((VLOOKUP($A154,'NonXtal_SegEnds_BW#'!$A:$Z,24,FALSE)+VLOOKUP($A154,A:AL,34,FALSE)-50)),"-",(VLOOKUP($A154,'NonXtal_SegEnds_BW#'!$A:$Z,24,FALSE)+VLOOKUP($A154,A:AL,34,FALSE)-50))</f>
        <v>428</v>
      </c>
      <c r="AJ154" s="3">
        <f>IF(ISERROR(VLOOKUP($A154,'NonXtal_SegEnds_BW#'!$A:$Z,25,FALSE)+VLOOKUP($A154,A:AL,37,FALSE)-50),"-",(VLOOKUP($A154,'NonXtal_SegEnds_BW#'!$A:$Z,25,FALSE)+VLOOKUP($A154,A:AL,37,FALSE)-50))</f>
        <v>429</v>
      </c>
      <c r="AK154" s="3">
        <v>432</v>
      </c>
      <c r="AL154" s="3">
        <f>IF(ISERROR((VLOOKUP($A154,'NonXtal_SegEnds_BW#'!$A:$Z,26,FALSE)+VLOOKUP($A154,A:AL,37,FALSE)-50)),"-",(VLOOKUP($A154,'NonXtal_SegEnds_BW#'!$A:$Z,26,FALSE)+VLOOKUP($A154,A:AL,37,FALSE)-50))</f>
        <v>454</v>
      </c>
      <c r="AM154" s="71" t="str">
        <f>VLOOKUP(A154,Classification!A:B,2,FALSE)</f>
        <v>B1</v>
      </c>
      <c r="AN154" s="71" t="b">
        <f t="shared" si="69"/>
        <v>1</v>
      </c>
      <c r="AO154" s="3">
        <f t="shared" si="70"/>
        <v>17</v>
      </c>
      <c r="AP154" s="3">
        <f t="shared" si="71"/>
        <v>1</v>
      </c>
      <c r="AQ154" s="3" t="str">
        <f t="shared" si="72"/>
        <v>-</v>
      </c>
      <c r="AR154" s="3" t="str">
        <f t="shared" si="73"/>
        <v>-</v>
      </c>
      <c r="AS154" s="3" t="str">
        <f t="shared" si="74"/>
        <v>-</v>
      </c>
      <c r="AT154" s="3" t="str">
        <f t="shared" si="75"/>
        <v>-</v>
      </c>
      <c r="AU154" s="3">
        <f t="shared" si="76"/>
        <v>4</v>
      </c>
      <c r="AV154" s="3">
        <f t="shared" si="77"/>
        <v>3</v>
      </c>
      <c r="AW154" s="3">
        <f t="shared" si="78"/>
        <v>6</v>
      </c>
      <c r="AX154" s="3">
        <f t="shared" si="79"/>
        <v>7</v>
      </c>
      <c r="AY154" s="3">
        <f t="shared" si="80"/>
        <v>1</v>
      </c>
      <c r="AZ154" s="3">
        <f>IF(ISERROR(LEN(VLOOKUP(A154,Seqs!A:E,2,FALSE))-AL154),"-",LEN(VLOOKUP(A154,Seqs!A:E,2,FALSE))-AL154)</f>
        <v>54</v>
      </c>
      <c r="BA154" s="35">
        <f t="shared" si="81"/>
        <v>44</v>
      </c>
      <c r="BB154" s="3" t="str">
        <f t="shared" si="82"/>
        <v>-</v>
      </c>
      <c r="BC154" s="3">
        <f t="shared" si="83"/>
        <v>44</v>
      </c>
      <c r="BD154" s="3">
        <f t="shared" si="84"/>
        <v>50</v>
      </c>
    </row>
    <row r="155" spans="1:58" s="3" customFormat="1" x14ac:dyDescent="0.2">
      <c r="A155" s="3" t="s">
        <v>596</v>
      </c>
      <c r="B155" s="3" t="str">
        <f>LOWER(VLOOKUP(A155,Xtal_Templ!A:B,2,FALSE))</f>
        <v>crfr1_human</v>
      </c>
      <c r="C155" s="3">
        <f>VLOOKUP($A155,'NonXtal_SegEnds_BW#'!$A:$Z,3,FALSE)+D155-50</f>
        <v>125</v>
      </c>
      <c r="D155" s="3">
        <v>156</v>
      </c>
      <c r="E155" s="3">
        <f>IF(ISERROR(VLOOKUP($A155,'NonXtal_SegEnds_BW#'!$A:$Z,4,FALSE)+VLOOKUP($A155,A:AL,4,FALSE)-50),"-",(VLOOKUP($A155,'NonXtal_SegEnds_BW#'!$A:$Z,4,FALSE)+VLOOKUP($A155,A:AL,4,FALSE)-50))</f>
        <v>166</v>
      </c>
      <c r="F155" s="3">
        <f>G155-2</f>
        <v>167</v>
      </c>
      <c r="G155" s="3">
        <v>169</v>
      </c>
      <c r="H155" s="3">
        <f t="shared" si="88"/>
        <v>170</v>
      </c>
      <c r="I155" s="3">
        <f t="shared" si="88"/>
        <v>171</v>
      </c>
      <c r="J155" s="3">
        <v>184</v>
      </c>
      <c r="K155" s="3">
        <f>VLOOKUP($A155,'NonXtal_SegEnds_BW#'!$A:$Z,8,FALSE)+VLOOKUP($A155,A:AL,10,FALSE)-50</f>
        <v>197</v>
      </c>
      <c r="L155" s="3" t="str">
        <f>IF(ISERROR(VLOOKUP($A155,'NonXtal_SegEnds_BW#'!$A:$Z,9,FALSE)+VLOOKUP($A155,A:AL,13,FALSE)-50),"-",(VLOOKUP($A155,'NonXtal_SegEnds_BW#'!$A:$Z,9,FALSE)+VLOOKUP($A155,A:AL,13,FALSE)-50))</f>
        <v>-</v>
      </c>
      <c r="M155" s="3" t="s">
        <v>129</v>
      </c>
      <c r="N155" s="3" t="str">
        <f>IF(ISERROR(VLOOKUP($A155,'NonXtal_SegEnds_BW#'!$A:$Z,10,FALSE)+VLOOKUP($A155,A:AL,13,FALSE)-50),"-",(VLOOKUP($A155,'NonXtal_SegEnds_BW#'!$A:$Z,10,FALSE)+VLOOKUP($A155,A:AL,13,FALSE)-50))</f>
        <v>-</v>
      </c>
      <c r="O155" s="3">
        <f>VLOOKUP($A155,'NonXtal_SegEnds_BW#'!$A:$Z,11,FALSE)+VLOOKUP($A155,A:AL,16,FALSE)-50</f>
        <v>210</v>
      </c>
      <c r="P155" s="3">
        <v>237</v>
      </c>
      <c r="Q155" s="3">
        <f>VLOOKUP($A155,'NonXtal_SegEnds_BW#'!$A:$Z,12,FALSE)+VLOOKUP($A155,A:AL,16,FALSE)-50</f>
        <v>243</v>
      </c>
      <c r="R155" s="3" t="str">
        <f>IF(ISERROR(VLOOKUP($A155,'NonXtal_SegEnds_BW#'!$A:$Z,13,FALSE)+VLOOKUP($A155,A:AL,19,FALSE)-50),"-",VLOOKUP($A155,'NonXtal_SegEnds_BW#'!$A:$Z,13,FALSE)+VLOOKUP($A155,A:AL,19,FALSE)-50)</f>
        <v>-</v>
      </c>
      <c r="S155" s="3" t="s">
        <v>129</v>
      </c>
      <c r="T155" s="3" t="str">
        <f>IF(ISERROR(VLOOKUP($A155,'NonXtal_SegEnds_BW#'!$A:$Z,14,FALSE)+VLOOKUP($A155,A:AL,19,FALSE)-50),"-",(VLOOKUP($A155,'NonXtal_SegEnds_BW#'!$A:$Z,14,FALSE)+VLOOKUP($A155,A:AL,19,FALSE)-50))</f>
        <v>-</v>
      </c>
      <c r="U155" s="3">
        <f>IF(ISERROR(VLOOKUP($A155,'NonXtal_SegEnds_BW#'!$A:$Z,15,FALSE)+VLOOKUP($A155,A:AL,22,FALSE)-50),"-",VLOOKUP($A155,'NonXtal_SegEnds_BW#'!$A:$Z,15,FALSE)+VLOOKUP($A155,A:AL,22,FALSE)-50)</f>
        <v>250</v>
      </c>
      <c r="V155" s="3">
        <v>260</v>
      </c>
      <c r="W155" s="3">
        <f>IF(ISERROR(VLOOKUP($A155,'NonXtal_SegEnds_BW#'!$A:$Z,16,FALSE)+VLOOKUP($A155,A:AL,22,FALSE)-50),"-",(VLOOKUP($A155,'NonXtal_SegEnds_BW#'!$A:$Z,16,FALSE)+VLOOKUP($A155,A:AL,22,FALSE)-50))</f>
        <v>278</v>
      </c>
      <c r="X155" s="3">
        <f>IF(ISERROR(VLOOKUP($A155,'NonXtal_SegEnds_BW#'!$A:$Z,17,FALSE)+VLOOKUP($A155,A:AL,25,FALSE)-50),"-",(VLOOKUP($A155,'NonXtal_SegEnds_BW#'!$A:$Z,17,FALSE)+VLOOKUP($A155,A:AL,25,FALSE)-50))</f>
        <v>282</v>
      </c>
      <c r="Y155" s="3">
        <v>282</v>
      </c>
      <c r="Z155" s="3">
        <f t="shared" si="87"/>
        <v>284</v>
      </c>
      <c r="AA155" s="3">
        <f>IF(ISERROR(VLOOKUP($A155,'NonXtal_SegEnds_BW#'!$A:$Z,19,FALSE)+VLOOKUP($A155,A:AL,28,FALSE)-50),"-",(VLOOKUP($A155,'NonXtal_SegEnds_BW#'!$A:$Z,19,FALSE)+VLOOKUP($A155,A:AL,28,FALSE)-50))</f>
        <v>287</v>
      </c>
      <c r="AB155" s="3">
        <v>301</v>
      </c>
      <c r="AC155" s="3">
        <f>IF(ISERROR((VLOOKUP($A155,'NonXtal_SegEnds_BW#'!$A:$Z,20,FALSE)+VLOOKUP($A155,A:AL,28,FALSE)-50)),"-",(VLOOKUP($A155,'NonXtal_SegEnds_BW#'!$A:$Z,20,FALSE)+VLOOKUP($A155,A:AL,28,FALSE)-50))</f>
        <v>320</v>
      </c>
      <c r="AD155" s="3">
        <f>IF(ISERROR(VLOOKUP($A155,'NonXtal_SegEnds_BW#'!$A:$Z,21,FALSE)+VLOOKUP($A155,A:AL,31,FALSE)-50),"-",(VLOOKUP($A155,'NonXtal_SegEnds_BW#'!$A:$Z,21,FALSE)+VLOOKUP($A155,A:AL,31,FALSE)-50))</f>
        <v>326</v>
      </c>
      <c r="AE155" s="3">
        <v>351</v>
      </c>
      <c r="AF155" s="3">
        <f>IF(ISERROR((VLOOKUP($A155,'NonXtal_SegEnds_BW#'!$A:$Z,22,FALSE)+VLOOKUP($A155,A:AL,31,FALSE)-50)),"-",(VLOOKUP($A155,'NonXtal_SegEnds_BW#'!$A:$Z,22,FALSE)+VLOOKUP($A155,A:AL,31,FALSE)-50))</f>
        <v>354</v>
      </c>
      <c r="AG155" s="3">
        <f>IF(ISERROR(VLOOKUP($A155,'NonXtal_SegEnds_BW#'!$A:$Z,23,FALSE)+VLOOKUP($A155,A:AL,34,FALSE)-50),"-",(VLOOKUP($A155,'NonXtal_SegEnds_BW#'!$A:$Z,23,FALSE)+VLOOKUP($A155,A:AL,34,FALSE)-50))</f>
        <v>361</v>
      </c>
      <c r="AH155" s="3">
        <v>381</v>
      </c>
      <c r="AI155" s="3">
        <f>IF(ISERROR((VLOOKUP($A155,'NonXtal_SegEnds_BW#'!$A:$Z,24,FALSE)+VLOOKUP($A155,A:AL,34,FALSE)-50)),"-",(VLOOKUP($A155,'NonXtal_SegEnds_BW#'!$A:$Z,24,FALSE)+VLOOKUP($A155,A:AL,34,FALSE)-50))</f>
        <v>387</v>
      </c>
      <c r="AJ155" s="3">
        <f>IF(ISERROR(VLOOKUP($A155,'NonXtal_SegEnds_BW#'!$A:$Z,25,FALSE)+VLOOKUP($A155,A:AL,37,FALSE)-50),"-",(VLOOKUP($A155,'NonXtal_SegEnds_BW#'!$A:$Z,25,FALSE)+VLOOKUP($A155,A:AL,37,FALSE)-50))</f>
        <v>388</v>
      </c>
      <c r="AK155" s="3">
        <v>391</v>
      </c>
      <c r="AL155" s="3">
        <f>IF(ISERROR((VLOOKUP($A155,'NonXtal_SegEnds_BW#'!$A:$Z,26,FALSE)+VLOOKUP($A155,A:AL,37,FALSE)-50)),"-",(VLOOKUP($A155,'NonXtal_SegEnds_BW#'!$A:$Z,26,FALSE)+VLOOKUP($A155,A:AL,37,FALSE)-50))</f>
        <v>413</v>
      </c>
      <c r="AM155" s="71" t="str">
        <f>VLOOKUP(A155,Classification!A:B,2,FALSE)</f>
        <v>B1</v>
      </c>
      <c r="AN155" s="71" t="b">
        <f t="shared" si="69"/>
        <v>1</v>
      </c>
      <c r="AO155" s="3">
        <f t="shared" si="70"/>
        <v>1</v>
      </c>
      <c r="AP155" s="3">
        <f t="shared" si="71"/>
        <v>1</v>
      </c>
      <c r="AQ155" s="3" t="str">
        <f t="shared" si="72"/>
        <v>-</v>
      </c>
      <c r="AR155" s="3" t="str">
        <f t="shared" si="73"/>
        <v>-</v>
      </c>
      <c r="AS155" s="3" t="str">
        <f t="shared" si="74"/>
        <v>-</v>
      </c>
      <c r="AT155" s="3" t="str">
        <f t="shared" si="75"/>
        <v>-</v>
      </c>
      <c r="AU155" s="3">
        <f t="shared" si="76"/>
        <v>4</v>
      </c>
      <c r="AV155" s="3">
        <f t="shared" si="77"/>
        <v>3</v>
      </c>
      <c r="AW155" s="3">
        <f t="shared" si="78"/>
        <v>6</v>
      </c>
      <c r="AX155" s="3">
        <f t="shared" si="79"/>
        <v>7</v>
      </c>
      <c r="AY155" s="3">
        <f t="shared" si="80"/>
        <v>1</v>
      </c>
      <c r="AZ155" s="3">
        <f>IF(ISERROR(LEN(VLOOKUP(A155,Seqs!A:E,2,FALSE))-AL155),"-",LEN(VLOOKUP(A155,Seqs!A:E,2,FALSE))-AL155)</f>
        <v>48</v>
      </c>
      <c r="BA155" s="35">
        <f t="shared" si="81"/>
        <v>28</v>
      </c>
      <c r="BB155" s="3" t="str">
        <f t="shared" si="82"/>
        <v>-</v>
      </c>
      <c r="BC155" s="3">
        <f t="shared" si="83"/>
        <v>28</v>
      </c>
      <c r="BD155" s="3">
        <f t="shared" si="84"/>
        <v>50</v>
      </c>
    </row>
    <row r="156" spans="1:58" s="3" customFormat="1" x14ac:dyDescent="0.2">
      <c r="A156" s="3" t="s">
        <v>213</v>
      </c>
      <c r="B156" s="3" t="str">
        <f>LOWER(VLOOKUP(A156,Xtal_Templ!A:B,2,FALSE))</f>
        <v>crfr1_human</v>
      </c>
      <c r="C156" s="3">
        <f>VLOOKUP($A156,'NonXtal_SegEnds_BW#'!$A:$Z,3,FALSE)+D156-50</f>
        <v>103</v>
      </c>
      <c r="D156" s="3">
        <v>134</v>
      </c>
      <c r="E156" s="3">
        <f>IF(ISERROR(VLOOKUP($A156,'NonXtal_SegEnds_BW#'!$A:$Z,4,FALSE)+VLOOKUP($A156,A:AL,4,FALSE)-50),"-",(VLOOKUP($A156,'NonXtal_SegEnds_BW#'!$A:$Z,4,FALSE)+VLOOKUP($A156,A:AL,4,FALSE)-50))</f>
        <v>144</v>
      </c>
      <c r="F156" s="3">
        <f>G156-2</f>
        <v>145</v>
      </c>
      <c r="G156" s="3">
        <v>147</v>
      </c>
      <c r="H156" s="3">
        <f t="shared" si="88"/>
        <v>148</v>
      </c>
      <c r="I156" s="3">
        <f t="shared" si="88"/>
        <v>149</v>
      </c>
      <c r="J156" s="3">
        <v>162</v>
      </c>
      <c r="K156" s="3">
        <f>VLOOKUP($A156,'NonXtal_SegEnds_BW#'!$A:$Z,8,FALSE)+VLOOKUP($A156,A:AL,10,FALSE)-50</f>
        <v>175</v>
      </c>
      <c r="L156" s="3" t="str">
        <f>IF(ISERROR(VLOOKUP($A156,'NonXtal_SegEnds_BW#'!$A:$Z,9,FALSE)+VLOOKUP($A156,A:AL,13,FALSE)-50),"-",(VLOOKUP($A156,'NonXtal_SegEnds_BW#'!$A:$Z,9,FALSE)+VLOOKUP($A156,A:AL,13,FALSE)-50))</f>
        <v>-</v>
      </c>
      <c r="M156" s="3" t="s">
        <v>129</v>
      </c>
      <c r="N156" s="3" t="str">
        <f>IF(ISERROR(VLOOKUP($A156,'NonXtal_SegEnds_BW#'!$A:$Z,10,FALSE)+VLOOKUP($A156,A:AL,13,FALSE)-50),"-",(VLOOKUP($A156,'NonXtal_SegEnds_BW#'!$A:$Z,10,FALSE)+VLOOKUP($A156,A:AL,13,FALSE)-50))</f>
        <v>-</v>
      </c>
      <c r="O156" s="3">
        <f>VLOOKUP($A156,'NonXtal_SegEnds_BW#'!$A:$Z,11,FALSE)+VLOOKUP($A156,A:AL,16,FALSE)-50</f>
        <v>186</v>
      </c>
      <c r="P156" s="3">
        <v>213</v>
      </c>
      <c r="Q156" s="3">
        <f>VLOOKUP($A156,'NonXtal_SegEnds_BW#'!$A:$Z,12,FALSE)+VLOOKUP($A156,A:AL,16,FALSE)-50</f>
        <v>219</v>
      </c>
      <c r="R156" s="3" t="str">
        <f>IF(ISERROR(VLOOKUP($A156,'NonXtal_SegEnds_BW#'!$A:$Z,13,FALSE)+VLOOKUP($A156,A:AL,19,FALSE)-50),"-",VLOOKUP($A156,'NonXtal_SegEnds_BW#'!$A:$Z,13,FALSE)+VLOOKUP($A156,A:AL,19,FALSE)-50)</f>
        <v>-</v>
      </c>
      <c r="S156" s="3" t="s">
        <v>129</v>
      </c>
      <c r="T156" s="3" t="str">
        <f>IF(ISERROR(VLOOKUP($A156,'NonXtal_SegEnds_BW#'!$A:$Z,14,FALSE)+VLOOKUP($A156,A:AL,19,FALSE)-50),"-",(VLOOKUP($A156,'NonXtal_SegEnds_BW#'!$A:$Z,14,FALSE)+VLOOKUP($A156,A:AL,19,FALSE)-50))</f>
        <v>-</v>
      </c>
      <c r="U156" s="3">
        <f>IF(ISERROR(VLOOKUP($A156,'NonXtal_SegEnds_BW#'!$A:$Z,15,FALSE)+VLOOKUP($A156,A:AL,22,FALSE)-50),"-",VLOOKUP($A156,'NonXtal_SegEnds_BW#'!$A:$Z,15,FALSE)+VLOOKUP($A156,A:AL,22,FALSE)-50)</f>
        <v>226</v>
      </c>
      <c r="V156" s="3">
        <v>236</v>
      </c>
      <c r="W156" s="3">
        <f>IF(ISERROR(VLOOKUP($A156,'NonXtal_SegEnds_BW#'!$A:$Z,16,FALSE)+VLOOKUP($A156,A:AL,22,FALSE)-50),"-",(VLOOKUP($A156,'NonXtal_SegEnds_BW#'!$A:$Z,16,FALSE)+VLOOKUP($A156,A:AL,22,FALSE)-50))</f>
        <v>254</v>
      </c>
      <c r="X156" s="3">
        <f>IF(ISERROR(VLOOKUP($A156,'NonXtal_SegEnds_BW#'!$A:$Z,17,FALSE)+VLOOKUP($A156,A:AL,25,FALSE)-50),"-",(VLOOKUP($A156,'NonXtal_SegEnds_BW#'!$A:$Z,17,FALSE)+VLOOKUP($A156,A:AL,25,FALSE)-50))</f>
        <v>258</v>
      </c>
      <c r="Y156" s="3">
        <v>258</v>
      </c>
      <c r="Z156" s="3">
        <f t="shared" si="87"/>
        <v>260</v>
      </c>
      <c r="AA156" s="3">
        <f>IF(ISERROR(VLOOKUP($A156,'NonXtal_SegEnds_BW#'!$A:$Z,19,FALSE)+AB156-50),"-",(VLOOKUP($A156,'NonXtal_SegEnds_BW#'!$A:$Z,19,FALSE)+AB156-50))</f>
        <v>268</v>
      </c>
      <c r="AB156" s="3">
        <v>279</v>
      </c>
      <c r="AC156" s="3">
        <f>IF(ISERROR((VLOOKUP($A156,'NonXtal_SegEnds_BW#'!$A:$Z,20,FALSE)+VLOOKUP($A156,A:AL,28,FALSE)-50)),"-",(VLOOKUP($A156,'NonXtal_SegEnds_BW#'!$A:$Z,20,FALSE)+VLOOKUP($A156,A:AL,28,FALSE)-50))</f>
        <v>298</v>
      </c>
      <c r="AD156" s="3">
        <f>IF(ISERROR(VLOOKUP($A156,'NonXtal_SegEnds_BW#'!$A:$Z,21,FALSE)+AE156-50),"-",(VLOOKUP($A156,'NonXtal_SegEnds_BW#'!$A:$Z,21,FALSE)+AE156-50))</f>
        <v>304</v>
      </c>
      <c r="AE156" s="3">
        <v>329</v>
      </c>
      <c r="AF156" s="3">
        <f>IF(ISERROR((VLOOKUP($A156,'NonXtal_SegEnds_BW#'!$A:$Z,22,FALSE)+AE156-50)),"-",(VLOOKUP($A156,'NonXtal_SegEnds_BW#'!$A:$Z,22,FALSE)+AE156-50))</f>
        <v>332</v>
      </c>
      <c r="AG156" s="3">
        <f>IF(ISERROR(VLOOKUP($A156,'NonXtal_SegEnds_BW#'!$A:$Z,23,FALSE)+VLOOKUP($A156,A:AL,34,FALSE)-50),"-",(VLOOKUP($A156,'NonXtal_SegEnds_BW#'!$A:$Z,23,FALSE)+VLOOKUP($A156,A:AL,34,FALSE)-50))</f>
        <v>339</v>
      </c>
      <c r="AH156" s="3">
        <v>360</v>
      </c>
      <c r="AI156" s="3">
        <f>IF(ISERROR((VLOOKUP($A156,'NonXtal_SegEnds_BW#'!$A:$Z,24,FALSE)+VLOOKUP($A156,A:AL,34,FALSE)-50)),"-",(VLOOKUP($A156,'NonXtal_SegEnds_BW#'!$A:$Z,24,FALSE)+VLOOKUP($A156,A:AL,34,FALSE)-50))</f>
        <v>366</v>
      </c>
      <c r="AJ156" s="3">
        <f>IF(ISERROR(VLOOKUP($A156,'NonXtal_SegEnds_BW#'!$A:$Z,25,FALSE)+VLOOKUP($A156,A:AL,37,FALSE)-50),"-",(VLOOKUP($A156,'NonXtal_SegEnds_BW#'!$A:$Z,25,FALSE)+VLOOKUP($A156,A:AL,37,FALSE)-50))</f>
        <v>367</v>
      </c>
      <c r="AK156" s="3">
        <v>370</v>
      </c>
      <c r="AL156" s="3">
        <f>IF(ISERROR((VLOOKUP($A156,'NonXtal_SegEnds_BW#'!$A:$Z,26,FALSE)+VLOOKUP($A156,A:AL,37,FALSE)-50)),"-",(VLOOKUP($A156,'NonXtal_SegEnds_BW#'!$A:$Z,26,FALSE)+VLOOKUP($A156,A:AL,37,FALSE)-50))</f>
        <v>392</v>
      </c>
      <c r="AM156" s="71" t="str">
        <f>VLOOKUP(A156,Classification!A:B,2,FALSE)</f>
        <v>B1</v>
      </c>
      <c r="AN156" s="71" t="b">
        <f t="shared" si="69"/>
        <v>1</v>
      </c>
      <c r="AO156" s="3">
        <f t="shared" si="70"/>
        <v>1</v>
      </c>
      <c r="AP156" s="3">
        <f t="shared" si="71"/>
        <v>1</v>
      </c>
      <c r="AQ156" s="3" t="str">
        <f t="shared" si="72"/>
        <v>-</v>
      </c>
      <c r="AR156" s="3" t="str">
        <f t="shared" si="73"/>
        <v>-</v>
      </c>
      <c r="AS156" s="3" t="str">
        <f t="shared" si="74"/>
        <v>-</v>
      </c>
      <c r="AT156" s="3" t="str">
        <f t="shared" si="75"/>
        <v>-</v>
      </c>
      <c r="AU156" s="3">
        <f t="shared" si="76"/>
        <v>4</v>
      </c>
      <c r="AV156" s="3">
        <f t="shared" si="77"/>
        <v>8</v>
      </c>
      <c r="AW156" s="3">
        <f t="shared" si="78"/>
        <v>6</v>
      </c>
      <c r="AX156" s="3">
        <f t="shared" si="79"/>
        <v>7</v>
      </c>
      <c r="AY156" s="3">
        <f t="shared" si="80"/>
        <v>1</v>
      </c>
      <c r="AZ156" s="3">
        <f>IF(ISERROR(LEN(VLOOKUP(A156,Seqs!A:E,2,FALSE))-AL156),"-",LEN(VLOOKUP(A156,Seqs!A:E,2,FALSE))-AL156)</f>
        <v>23</v>
      </c>
      <c r="BA156" s="35">
        <f t="shared" si="81"/>
        <v>28</v>
      </c>
      <c r="BB156" s="3" t="str">
        <f t="shared" si="82"/>
        <v>-</v>
      </c>
      <c r="BC156" s="3">
        <f t="shared" si="83"/>
        <v>28</v>
      </c>
      <c r="BD156" s="3">
        <f t="shared" si="84"/>
        <v>50</v>
      </c>
      <c r="BE156" s="3">
        <f>AH156-AE156</f>
        <v>31</v>
      </c>
    </row>
    <row r="157" spans="1:58" s="3" customFormat="1" x14ac:dyDescent="0.2">
      <c r="A157" s="3" t="s">
        <v>597</v>
      </c>
      <c r="B157" s="3" t="str">
        <f>LOWER(VLOOKUP(A157,Xtal_Templ!A:B,2,FALSE))</f>
        <v>crfr1_human</v>
      </c>
      <c r="C157" s="3">
        <f>VLOOKUP($A157,'NonXtal_SegEnds_BW#'!$A:$Z,3,FALSE)+D157-50</f>
        <v>100</v>
      </c>
      <c r="D157" s="3">
        <v>131</v>
      </c>
      <c r="E157" s="3">
        <f>IF(ISERROR(VLOOKUP($A157,'NonXtal_SegEnds_BW#'!$A:$Z,4,FALSE)+VLOOKUP($A157,A:AL,4,FALSE)-50),"-",(VLOOKUP($A157,'NonXtal_SegEnds_BW#'!$A:$Z,4,FALSE)+VLOOKUP($A157,A:AL,4,FALSE)-50))</f>
        <v>141</v>
      </c>
      <c r="F157" s="3">
        <f>G157-2</f>
        <v>142</v>
      </c>
      <c r="G157" s="3">
        <v>144</v>
      </c>
      <c r="H157" s="3">
        <f t="shared" si="88"/>
        <v>145</v>
      </c>
      <c r="I157" s="3">
        <f t="shared" si="88"/>
        <v>146</v>
      </c>
      <c r="J157" s="3">
        <v>159</v>
      </c>
      <c r="K157" s="3">
        <f>VLOOKUP($A157,'NonXtal_SegEnds_BW#'!$A:$Z,8,FALSE)+VLOOKUP($A157,A:AL,10,FALSE)-50</f>
        <v>172</v>
      </c>
      <c r="L157" s="3" t="str">
        <f>IF(ISERROR(VLOOKUP($A157,'NonXtal_SegEnds_BW#'!$A:$Z,9,FALSE)+VLOOKUP($A157,A:AL,13,FALSE)-50),"-",(VLOOKUP($A157,'NonXtal_SegEnds_BW#'!$A:$Z,9,FALSE)+VLOOKUP($A157,A:AL,13,FALSE)-50))</f>
        <v>-</v>
      </c>
      <c r="M157" s="3" t="s">
        <v>129</v>
      </c>
      <c r="N157" s="3" t="str">
        <f>IF(ISERROR(VLOOKUP($A157,'NonXtal_SegEnds_BW#'!$A:$Z,10,FALSE)+VLOOKUP($A157,A:AL,13,FALSE)-50),"-",(VLOOKUP($A157,'NonXtal_SegEnds_BW#'!$A:$Z,10,FALSE)+VLOOKUP($A157,A:AL,13,FALSE)-50))</f>
        <v>-</v>
      </c>
      <c r="O157" s="3">
        <f>VLOOKUP($A157,'NonXtal_SegEnds_BW#'!$A:$Z,11,FALSE)+VLOOKUP($A157,A:AL,16,FALSE)-50</f>
        <v>182</v>
      </c>
      <c r="P157" s="3">
        <v>209</v>
      </c>
      <c r="Q157" s="3">
        <f>VLOOKUP($A157,'NonXtal_SegEnds_BW#'!$A:$Z,12,FALSE)+VLOOKUP($A157,A:AL,16,FALSE)-50</f>
        <v>215</v>
      </c>
      <c r="R157" s="3" t="str">
        <f>IF(ISERROR(VLOOKUP($A157,'NonXtal_SegEnds_BW#'!$A:$Z,13,FALSE)+VLOOKUP($A157,A:AL,19,FALSE)-50),"-",VLOOKUP($A157,'NonXtal_SegEnds_BW#'!$A:$Z,13,FALSE)+VLOOKUP($A157,A:AL,19,FALSE)-50)</f>
        <v>-</v>
      </c>
      <c r="S157" s="3" t="s">
        <v>129</v>
      </c>
      <c r="T157" s="3" t="str">
        <f>IF(ISERROR(VLOOKUP($A157,'NonXtal_SegEnds_BW#'!$A:$Z,14,FALSE)+VLOOKUP($A157,A:AL,19,FALSE)-50),"-",(VLOOKUP($A157,'NonXtal_SegEnds_BW#'!$A:$Z,14,FALSE)+VLOOKUP($A157,A:AL,19,FALSE)-50))</f>
        <v>-</v>
      </c>
      <c r="U157" s="3">
        <f>IF(ISERROR(VLOOKUP($A157,'NonXtal_SegEnds_BW#'!$A:$Z,15,FALSE)+VLOOKUP($A157,A:AL,22,FALSE)-50),"-",VLOOKUP($A157,'NonXtal_SegEnds_BW#'!$A:$Z,15,FALSE)+VLOOKUP($A157,A:AL,22,FALSE)-50)</f>
        <v>222</v>
      </c>
      <c r="V157" s="3">
        <v>232</v>
      </c>
      <c r="W157" s="3">
        <f>IF(ISERROR(VLOOKUP($A157,'NonXtal_SegEnds_BW#'!$A:$Z,16,FALSE)+VLOOKUP($A157,A:AL,22,FALSE)-50),"-",(VLOOKUP($A157,'NonXtal_SegEnds_BW#'!$A:$Z,16,FALSE)+VLOOKUP($A157,A:AL,22,FALSE)-50))</f>
        <v>250</v>
      </c>
      <c r="X157" s="3">
        <f>IF(ISERROR(VLOOKUP($A157,'NonXtal_SegEnds_BW#'!$A:$Z,17,FALSE)+VLOOKUP($A157,A:AL,25,FALSE)-50),"-",(VLOOKUP($A157,'NonXtal_SegEnds_BW#'!$A:$Z,17,FALSE)+VLOOKUP($A157,A:AL,25,FALSE)-50))</f>
        <v>254</v>
      </c>
      <c r="Y157" s="3">
        <v>254</v>
      </c>
      <c r="Z157" s="3">
        <f t="shared" si="87"/>
        <v>256</v>
      </c>
      <c r="AA157" s="3">
        <f>IF(ISERROR(VLOOKUP($A157,'NonXtal_SegEnds_BW#'!$A:$Z,19,FALSE)+VLOOKUP($A157,A:AL,28,FALSE)-50),"-",(VLOOKUP($A157,'NonXtal_SegEnds_BW#'!$A:$Z,19,FALSE)+VLOOKUP($A157,A:AL,28,FALSE)-50))</f>
        <v>264</v>
      </c>
      <c r="AB157" s="3">
        <v>275</v>
      </c>
      <c r="AC157" s="3">
        <f>IF(ISERROR((VLOOKUP($A157,'NonXtal_SegEnds_BW#'!$A:$Z,20,FALSE)+VLOOKUP($A157,A:AL,28,FALSE)-50)),"-",(VLOOKUP($A157,'NonXtal_SegEnds_BW#'!$A:$Z,20,FALSE)+VLOOKUP($A157,A:AL,28,FALSE)-50))</f>
        <v>294</v>
      </c>
      <c r="AD157" s="3">
        <f>IF(ISERROR(VLOOKUP($A157,'NonXtal_SegEnds_BW#'!$A:$Z,21,FALSE)+VLOOKUP($A157,A:AL,31,FALSE)-50),"-",(VLOOKUP($A157,'NonXtal_SegEnds_BW#'!$A:$Z,21,FALSE)+VLOOKUP($A157,A:AL,31,FALSE)-50))</f>
        <v>300</v>
      </c>
      <c r="AE157" s="3">
        <v>325</v>
      </c>
      <c r="AF157" s="3">
        <f>IF(ISERROR((VLOOKUP($A157,'NonXtal_SegEnds_BW#'!$A:$Z,22,FALSE)+VLOOKUP($A157,A:AL,31,FALSE)-50)),"-",(VLOOKUP($A157,'NonXtal_SegEnds_BW#'!$A:$Z,22,FALSE)+VLOOKUP($A157,A:AL,31,FALSE)-50))</f>
        <v>328</v>
      </c>
      <c r="AG157" s="3">
        <f>IF(ISERROR(VLOOKUP($A157,'NonXtal_SegEnds_BW#'!$A:$Z,23,FALSE)+VLOOKUP($A157,A:AL,34,FALSE)-50),"-",(VLOOKUP($A157,'NonXtal_SegEnds_BW#'!$A:$Z,23,FALSE)+VLOOKUP($A157,A:AL,34,FALSE)-50))</f>
        <v>335</v>
      </c>
      <c r="AH157" s="3">
        <v>356</v>
      </c>
      <c r="AI157" s="3">
        <f>IF(ISERROR((VLOOKUP($A157,'NonXtal_SegEnds_BW#'!$A:$Z,24,FALSE)+VLOOKUP($A157,A:AL,34,FALSE)-50)),"-",(VLOOKUP($A157,'NonXtal_SegEnds_BW#'!$A:$Z,24,FALSE)+VLOOKUP($A157,A:AL,34,FALSE)-50))</f>
        <v>362</v>
      </c>
      <c r="AJ157" s="3">
        <f>IF(ISERROR(VLOOKUP($A157,'NonXtal_SegEnds_BW#'!$A:$Z,25,FALSE)+VLOOKUP($A157,A:AL,37,FALSE)-50),"-",(VLOOKUP($A157,'NonXtal_SegEnds_BW#'!$A:$Z,25,FALSE)+VLOOKUP($A157,A:AL,37,FALSE)-50))</f>
        <v>363</v>
      </c>
      <c r="AK157" s="3">
        <v>366</v>
      </c>
      <c r="AL157" s="3">
        <f>IF(ISERROR((VLOOKUP($A157,'NonXtal_SegEnds_BW#'!$A:$Z,26,FALSE)+VLOOKUP($A157,A:AL,37,FALSE)-50)),"-",(VLOOKUP($A157,'NonXtal_SegEnds_BW#'!$A:$Z,26,FALSE)+VLOOKUP($A157,A:AL,37,FALSE)-50))</f>
        <v>388</v>
      </c>
      <c r="AM157" s="71" t="str">
        <f>VLOOKUP(A157,Classification!A:B,2,FALSE)</f>
        <v>B1</v>
      </c>
      <c r="AN157" s="71" t="b">
        <f t="shared" si="69"/>
        <v>1</v>
      </c>
      <c r="AO157" s="3">
        <f t="shared" si="70"/>
        <v>1</v>
      </c>
      <c r="AP157" s="3">
        <f t="shared" si="71"/>
        <v>1</v>
      </c>
      <c r="AQ157" s="3" t="str">
        <f t="shared" si="72"/>
        <v>-</v>
      </c>
      <c r="AR157" s="3" t="str">
        <f t="shared" si="73"/>
        <v>-</v>
      </c>
      <c r="AS157" s="3" t="str">
        <f t="shared" si="74"/>
        <v>-</v>
      </c>
      <c r="AT157" s="3" t="str">
        <f t="shared" si="75"/>
        <v>-</v>
      </c>
      <c r="AU157" s="3">
        <f t="shared" si="76"/>
        <v>4</v>
      </c>
      <c r="AV157" s="3">
        <f t="shared" si="77"/>
        <v>8</v>
      </c>
      <c r="AW157" s="3">
        <f t="shared" si="78"/>
        <v>6</v>
      </c>
      <c r="AX157" s="3">
        <f t="shared" si="79"/>
        <v>7</v>
      </c>
      <c r="AY157" s="3">
        <f t="shared" si="80"/>
        <v>1</v>
      </c>
      <c r="AZ157" s="3">
        <f>IF(ISERROR(LEN(VLOOKUP(A157,Seqs!A:E,2,FALSE))-AL157),"-",LEN(VLOOKUP(A157,Seqs!A:E,2,FALSE))-AL157)</f>
        <v>23</v>
      </c>
      <c r="BA157" s="35">
        <f t="shared" si="81"/>
        <v>28</v>
      </c>
      <c r="BB157" s="3" t="str">
        <f t="shared" si="82"/>
        <v>-</v>
      </c>
      <c r="BC157" s="3">
        <f t="shared" si="83"/>
        <v>28</v>
      </c>
      <c r="BD157" s="3">
        <f t="shared" si="84"/>
        <v>50</v>
      </c>
      <c r="BE157" s="3">
        <f>AH157-AE157</f>
        <v>31</v>
      </c>
    </row>
    <row r="158" spans="1:58" s="3" customFormat="1" x14ac:dyDescent="0.2">
      <c r="A158" s="3" t="s">
        <v>1396</v>
      </c>
      <c r="B158" s="3" t="str">
        <f>LOWER(VLOOKUP(A158,Xtal_Templ!A:B,2,FALSE))</f>
        <v>crfr1_human</v>
      </c>
      <c r="C158" s="3">
        <f>VLOOKUP($A158,'NonXtal_SegEnds_BW#'!$A:$Z,3,FALSE)+D158-50</f>
        <v>8</v>
      </c>
      <c r="D158" s="3">
        <v>35</v>
      </c>
      <c r="E158" s="3">
        <f>IF(ISERROR(VLOOKUP($A158,'NonXtal_SegEnds_BW#'!$A:$Z,4,FALSE)+VLOOKUP($A158,A:AL,4,FALSE)-50),"-",(VLOOKUP($A158,'NonXtal_SegEnds_BW#'!$A:$Z,4,FALSE)+VLOOKUP($A158,A:AL,4,FALSE)-50))</f>
        <v>45</v>
      </c>
      <c r="F158" s="3" t="s">
        <v>129</v>
      </c>
      <c r="G158" s="3" t="s">
        <v>129</v>
      </c>
      <c r="H158" s="3" t="s">
        <v>129</v>
      </c>
      <c r="I158" s="3">
        <f>VLOOKUP($A158,'NonXtal_SegEnds_BW#'!$A:$Z,7,FALSE)+J158-50</f>
        <v>48</v>
      </c>
      <c r="J158" s="3">
        <v>61</v>
      </c>
      <c r="K158" s="3">
        <f>VLOOKUP($A158,'NonXtal_SegEnds_BW#'!$A:$Z,8,FALSE)+VLOOKUP($A158,A:AL,10,FALSE)-50</f>
        <v>74</v>
      </c>
      <c r="L158" s="3" t="str">
        <f>IF(ISERROR(VLOOKUP($A158,'NonXtal_SegEnds_BW#'!$A:$Z,9,FALSE)+VLOOKUP($A158,A:AL,13,FALSE)-50),"-",(VLOOKUP($A158,'NonXtal_SegEnds_BW#'!$A:$Z,9,FALSE)+VLOOKUP($A158,A:AL,13,FALSE)-50))</f>
        <v>-</v>
      </c>
      <c r="M158" s="3" t="s">
        <v>129</v>
      </c>
      <c r="N158" s="3" t="str">
        <f>IF(ISERROR(VLOOKUP($A158,'NonXtal_SegEnds_BW#'!$A:$Z,10,FALSE)+VLOOKUP($A158,A:AL,13,FALSE)-50),"-",(VLOOKUP($A158,'NonXtal_SegEnds_BW#'!$A:$Z,10,FALSE)+VLOOKUP($A158,A:AL,13,FALSE)-50))</f>
        <v>-</v>
      </c>
      <c r="O158" s="3">
        <f>VLOOKUP($A158,'NonXtal_SegEnds_BW#'!$A:$Z,11,FALSE)+VLOOKUP($A158,A:AL,16,FALSE)-50</f>
        <v>81</v>
      </c>
      <c r="P158" s="3">
        <v>108</v>
      </c>
      <c r="Q158" s="3">
        <f>VLOOKUP($A158,'NonXtal_SegEnds_BW#'!$A:$Z,12,FALSE)+VLOOKUP($A158,A:AL,16,FALSE)-50</f>
        <v>114</v>
      </c>
      <c r="R158" s="3" t="str">
        <f>IF(ISERROR(VLOOKUP($A158,'NonXtal_SegEnds_BW#'!$A:$Z,13,FALSE)+VLOOKUP($A158,A:AL,19,FALSE)-50),"-",VLOOKUP($A158,'NonXtal_SegEnds_BW#'!$A:$Z,13,FALSE)+VLOOKUP($A158,A:AL,19,FALSE)-50)</f>
        <v>-</v>
      </c>
      <c r="S158" s="3" t="s">
        <v>129</v>
      </c>
      <c r="T158" s="3" t="str">
        <f>IF(ISERROR(VLOOKUP($A158,'NonXtal_SegEnds_BW#'!$A:$Z,14,FALSE)+VLOOKUP($A158,A:AL,19,FALSE)-50),"-",(VLOOKUP($A158,'NonXtal_SegEnds_BW#'!$A:$Z,14,FALSE)+VLOOKUP($A158,A:AL,19,FALSE)-50))</f>
        <v>-</v>
      </c>
      <c r="U158" s="3">
        <f>IF(ISERROR(VLOOKUP($A158,'NonXtal_SegEnds_BW#'!$A:$Z,15,FALSE)+VLOOKUP($A158,A:AL,22,FALSE)-50),"-",VLOOKUP($A158,'NonXtal_SegEnds_BW#'!$A:$Z,15,FALSE)+VLOOKUP($A158,A:AL,22,FALSE)-50)</f>
        <v>130</v>
      </c>
      <c r="V158" s="3">
        <v>140</v>
      </c>
      <c r="W158" s="3">
        <f>IF(ISERROR(VLOOKUP($A158,'NonXtal_SegEnds_BW#'!$A:$Z,16,FALSE)+VLOOKUP($A158,A:AL,22,FALSE)-50),"-",(VLOOKUP($A158,'NonXtal_SegEnds_BW#'!$A:$Z,16,FALSE)+VLOOKUP($A158,A:AL,22,FALSE)-50))</f>
        <v>158</v>
      </c>
      <c r="X158" s="3">
        <f>IF(ISERROR(VLOOKUP($A158,'NonXtal_SegEnds_BW#'!$A:$Z,17,FALSE)+VLOOKUP($A158,A:AL,25,FALSE)-50),"-",(VLOOKUP($A158,'NonXtal_SegEnds_BW#'!$A:$Z,17,FALSE)+VLOOKUP($A158,A:AL,25,FALSE)-50))</f>
        <v>168</v>
      </c>
      <c r="Y158" s="3">
        <v>168</v>
      </c>
      <c r="Z158" s="3">
        <f t="shared" si="87"/>
        <v>170</v>
      </c>
      <c r="AA158" s="3">
        <f>IF(ISERROR(VLOOKUP($A158,'NonXtal_SegEnds_BW#'!$A:$Z,19,FALSE)+VLOOKUP($A158,A:AL,28,FALSE)-50),"-",(VLOOKUP($A158,'NonXtal_SegEnds_BW#'!$A:$Z,19,FALSE)+VLOOKUP($A158,A:AL,28,FALSE)-50))</f>
        <v>172</v>
      </c>
      <c r="AB158" s="3">
        <v>186</v>
      </c>
      <c r="AC158" s="3">
        <f>IF(ISERROR((VLOOKUP($A158,'NonXtal_SegEnds_BW#'!$A:$Z,20,FALSE)+VLOOKUP($A158,A:AL,28,FALSE)-50)),"-",(VLOOKUP($A158,'NonXtal_SegEnds_BW#'!$A:$Z,20,FALSE)+VLOOKUP($A158,A:AL,28,FALSE)-50))</f>
        <v>205</v>
      </c>
      <c r="AD158" s="3">
        <f>IF(ISERROR(VLOOKUP($A158,'NonXtal_SegEnds_BW#'!$A:$Z,21,FALSE)+VLOOKUP($A158,A:AL,31,FALSE)-50),"-",(VLOOKUP($A158,'NonXtal_SegEnds_BW#'!$A:$Z,21,FALSE)+VLOOKUP($A158,A:AL,31,FALSE)-50))</f>
        <v>251</v>
      </c>
      <c r="AE158" s="3">
        <v>272</v>
      </c>
      <c r="AF158" s="3">
        <f>IF(ISERROR((VLOOKUP($A158,'NonXtal_SegEnds_BW#'!$A:$Z,22,FALSE)+VLOOKUP($A158,A:AL,31,FALSE)-50)),"-",(VLOOKUP($A158,'NonXtal_SegEnds_BW#'!$A:$Z,22,FALSE)+VLOOKUP($A158,A:AL,31,FALSE)-50))</f>
        <v>275</v>
      </c>
      <c r="AG158" s="3">
        <f>IF(ISERROR(VLOOKUP($A158,'NonXtal_SegEnds_BW#'!$A:$Z,23,FALSE)+VLOOKUP($A158,A:AL,34,FALSE)-50),"-",(VLOOKUP($A158,'NonXtal_SegEnds_BW#'!$A:$Z,23,FALSE)+VLOOKUP($A158,A:AL,34,FALSE)-50))</f>
        <v>282</v>
      </c>
      <c r="AH158" s="3">
        <v>303</v>
      </c>
      <c r="AI158" s="3">
        <f>IF(ISERROR((VLOOKUP($A158,'NonXtal_SegEnds_BW#'!$A:$Z,24,FALSE)+VLOOKUP($A158,A:AL,34,FALSE)-50)),"-",(VLOOKUP($A158,'NonXtal_SegEnds_BW#'!$A:$Z,24,FALSE)+VLOOKUP($A158,A:AL,34,FALSE)-50))</f>
        <v>309</v>
      </c>
      <c r="AJ158" s="3">
        <f>IF(ISERROR(VLOOKUP($A158,'NonXtal_SegEnds_BW#'!$A:$Z,25,FALSE)+VLOOKUP($A158,A:AL,37,FALSE)-50),"-",(VLOOKUP($A158,'NonXtal_SegEnds_BW#'!$A:$Z,25,FALSE)+VLOOKUP($A158,A:AL,37,FALSE)-50))</f>
        <v>310</v>
      </c>
      <c r="AK158" s="3">
        <v>313</v>
      </c>
      <c r="AL158" s="3">
        <f>IF(ISERROR((VLOOKUP($A158,'NonXtal_SegEnds_BW#'!$A:$Z,26,FALSE)+VLOOKUP($A158,A:AL,37,FALSE)-50)),"-",(VLOOKUP($A158,'NonXtal_SegEnds_BW#'!$A:$Z,26,FALSE)+VLOOKUP($A158,A:AL,37,FALSE)-50))</f>
        <v>326</v>
      </c>
      <c r="AM158" s="71" t="str">
        <f>VLOOKUP(A158,Classification!A:B,2,FALSE)</f>
        <v>B2</v>
      </c>
      <c r="AN158" s="71" t="b">
        <f t="shared" si="69"/>
        <v>1</v>
      </c>
      <c r="AO158" s="3" t="str">
        <f t="shared" si="70"/>
        <v>-</v>
      </c>
      <c r="AP158" s="3" t="str">
        <f t="shared" si="71"/>
        <v>-</v>
      </c>
      <c r="AQ158" s="3" t="str">
        <f t="shared" si="72"/>
        <v>-</v>
      </c>
      <c r="AR158" s="3" t="str">
        <f t="shared" si="73"/>
        <v>-</v>
      </c>
      <c r="AS158" s="3" t="str">
        <f t="shared" si="74"/>
        <v>-</v>
      </c>
      <c r="AT158" s="3" t="str">
        <f t="shared" si="75"/>
        <v>-</v>
      </c>
      <c r="AU158" s="3">
        <f t="shared" si="76"/>
        <v>10</v>
      </c>
      <c r="AV158" s="3">
        <f t="shared" si="77"/>
        <v>2</v>
      </c>
      <c r="AW158" s="3">
        <f t="shared" si="78"/>
        <v>46</v>
      </c>
      <c r="AX158" s="3">
        <f t="shared" si="79"/>
        <v>7</v>
      </c>
      <c r="AY158" s="3">
        <f t="shared" si="80"/>
        <v>1</v>
      </c>
      <c r="AZ158" s="3">
        <f>IF(ISERROR(LEN(VLOOKUP(A158,Seqs!A:E,2,FALSE))-AL158),"-",LEN(VLOOKUP(A158,Seqs!A:E,2,FALSE))-AL158)</f>
        <v>234</v>
      </c>
      <c r="BA158" s="35">
        <f t="shared" si="81"/>
        <v>26</v>
      </c>
      <c r="BB158" s="3" t="str">
        <f t="shared" si="82"/>
        <v>-</v>
      </c>
      <c r="BC158" s="3">
        <f t="shared" si="83"/>
        <v>26</v>
      </c>
      <c r="BD158" s="3">
        <f t="shared" si="84"/>
        <v>86</v>
      </c>
    </row>
    <row r="159" spans="1:58" s="3" customFormat="1" x14ac:dyDescent="0.2">
      <c r="A159" s="3" t="s">
        <v>676</v>
      </c>
      <c r="B159" s="3" t="str">
        <f>LOWER(VLOOKUP(A159,Xtal_Templ!A:B,2,FALSE))</f>
        <v>cxcr4_human</v>
      </c>
      <c r="C159" s="3">
        <v>20</v>
      </c>
      <c r="D159" s="3">
        <v>53</v>
      </c>
      <c r="E159" s="3">
        <f>IF(ISERROR(VLOOKUP($A159,'NonXtal_SegEnds_BW#'!$A:$Z,4,FALSE)+VLOOKUP($A159,A:AL,4,FALSE)-50),"-",(VLOOKUP($A159,'NonXtal_SegEnds_BW#'!$A:$Z,4,FALSE)+VLOOKUP($A159,A:AL,4,FALSE)-50))</f>
        <v>63</v>
      </c>
      <c r="F159" s="3" t="str">
        <f>IF(ISERROR(VLOOKUP($A159,'NonXtal_SegEnds_BW#'!$A:$Z,5,FALSE)+VLOOKUP($A159,A:AL,7,FALSE)-50),"-",(VLOOKUP($A159,'NonXtal_SegEnds_BW#'!$A:$Z,5,FALSE)+VLOOKUP($A159,A:AL,7,FALSE)-50))</f>
        <v>-</v>
      </c>
      <c r="G159" s="3" t="s">
        <v>129</v>
      </c>
      <c r="H159" s="3" t="str">
        <f>IF(ISERROR(VLOOKUP($A159,'NonXtal_SegEnds_BW#'!$A:$Z,6,FALSE)+VLOOKUP($A159,A:AL,7,FALSE)-50),"-",(VLOOKUP($A159,'NonXtal_SegEnds_BW#'!$A:$Z,6,FALSE)+VLOOKUP($A159,A:AL,7,FALSE)-50))</f>
        <v>-</v>
      </c>
      <c r="I159" s="3">
        <f>VLOOKUP($A159,'NonXtal_SegEnds_BW#'!$A:$Z,7,FALSE)+J159-50</f>
        <v>60</v>
      </c>
      <c r="J159" s="3">
        <v>71</v>
      </c>
      <c r="K159" s="3">
        <f>VLOOKUP($A159,'NonXtal_SegEnds_BW#'!$A:$Z,8,FALSE)+VLOOKUP($A159,A:AL,10,FALSE)-50</f>
        <v>84</v>
      </c>
      <c r="L159" s="3" t="str">
        <f>IF(ISERROR(VLOOKUP($A159,'NonXtal_SegEnds_BW#'!$A:$Z,9,FALSE)+VLOOKUP($A159,A:AL,13,FALSE)-50),"-",(VLOOKUP($A159,'NonXtal_SegEnds_BW#'!$A:$Z,9,FALSE)+VLOOKUP($A159,A:AL,13,FALSE)-50))</f>
        <v>-</v>
      </c>
      <c r="M159" s="3" t="s">
        <v>129</v>
      </c>
      <c r="N159" s="3" t="str">
        <f>IF(ISERROR(VLOOKUP($A159,'NonXtal_SegEnds_BW#'!$A:$Z,10,FALSE)+VLOOKUP($A159,A:AL,13,FALSE)-50),"-",(VLOOKUP($A159,'NonXtal_SegEnds_BW#'!$A:$Z,10,FALSE)+VLOOKUP($A159,A:AL,13,FALSE)-50))</f>
        <v>-</v>
      </c>
      <c r="O159" s="3">
        <f>VLOOKUP($A159,'NonXtal_SegEnds_BW#'!$A:$Z,11,FALSE)+VLOOKUP($A159,A:AL,16,FALSE)-50</f>
        <v>125</v>
      </c>
      <c r="P159" s="3">
        <v>152</v>
      </c>
      <c r="Q159" s="3">
        <f>VLOOKUP($A159,'NonXtal_SegEnds_BW#'!$A:$Z,12,FALSE)+VLOOKUP($A159,A:AL,16,FALSE)-50</f>
        <v>158</v>
      </c>
      <c r="R159" s="3" t="str">
        <f>IF(ISERROR(VLOOKUP($A159,'NonXtal_SegEnds_BW#'!$A:$Z,13,FALSE)+VLOOKUP($A159,A:AL,19,FALSE)-50),"-",VLOOKUP($A159,'NonXtal_SegEnds_BW#'!$A:$Z,13,FALSE)+VLOOKUP($A159,A:AL,19,FALSE)-50)</f>
        <v>-</v>
      </c>
      <c r="S159" s="3" t="s">
        <v>129</v>
      </c>
      <c r="T159" s="3" t="str">
        <f>IF(ISERROR(VLOOKUP($A159,'NonXtal_SegEnds_BW#'!$A:$Z,14,FALSE)+VLOOKUP($A159,A:AL,19,FALSE)-50),"-",(VLOOKUP($A159,'NonXtal_SegEnds_BW#'!$A:$Z,14,FALSE)+VLOOKUP($A159,A:AL,19,FALSE)-50))</f>
        <v>-</v>
      </c>
      <c r="U159" s="3">
        <f>IF(ISERROR(VLOOKUP($A159,'NonXtal_SegEnds_BW#'!$A:$Z,15,FALSE)+VLOOKUP($A159,A:AL,22,FALSE)-50),"-",VLOOKUP($A159,'NonXtal_SegEnds_BW#'!$A:$Z,15,FALSE)+VLOOKUP($A159,A:AL,22,FALSE)-50)</f>
        <v>175</v>
      </c>
      <c r="V159" s="3">
        <v>185</v>
      </c>
      <c r="W159" s="3">
        <f>IF(ISERROR(VLOOKUP($A159,'NonXtal_SegEnds_BW#'!$A:$Z,16,FALSE)+VLOOKUP($A159,A:AL,22,FALSE)-50),"-",(VLOOKUP($A159,'NonXtal_SegEnds_BW#'!$A:$Z,16,FALSE)+VLOOKUP($A159,A:AL,22,FALSE)-50))</f>
        <v>199</v>
      </c>
      <c r="X159" s="3" t="str">
        <f>IF(ISERROR(VLOOKUP($A159,'NonXtal_SegEnds_BW#'!$A:$Z,17,FALSE)+VLOOKUP($A159,A:AL,25,FALSE)-50),"-",(VLOOKUP($A159,'NonXtal_SegEnds_BW#'!$A:$Z,17,FALSE)+VLOOKUP($A159,A:AL,25,FALSE)-50))</f>
        <v>-</v>
      </c>
      <c r="Y159" s="3" t="s">
        <v>129</v>
      </c>
      <c r="Z159" s="3" t="str">
        <f>IF(ISERROR(VLOOKUP($A159,'NonXtal_SegEnds_BW#'!$A:$Z,18,FALSE)+VLOOKUP($A159,A:AL,25,FALSE)-50),"-",(VLOOKUP($A159,'NonXtal_SegEnds_BW#'!$A:$Z,18,FALSE)+VLOOKUP($A159,A:AL,25,FALSE)-50))</f>
        <v>-</v>
      </c>
      <c r="AA159" s="3">
        <f>IF(ISERROR(VLOOKUP($A159,'NonXtal_SegEnds_BW#'!$A:$Z,19,FALSE)+VLOOKUP($A159,A:AL,28,FALSE)-50),"-",(VLOOKUP($A159,'NonXtal_SegEnds_BW#'!$A:$Z,19,FALSE)+VLOOKUP($A159,A:AL,28,FALSE)-50))</f>
        <v>257</v>
      </c>
      <c r="AB159" s="3">
        <v>268</v>
      </c>
      <c r="AC159" s="3">
        <f>IF(ISERROR((VLOOKUP($A159,'NonXtal_SegEnds_BW#'!$A:$Z,20,FALSE)+VLOOKUP($A159,A:AL,28,FALSE)-50)),"-",(VLOOKUP($A159,'NonXtal_SegEnds_BW#'!$A:$Z,20,FALSE)+VLOOKUP($A159,A:AL,28,FALSE)-50))</f>
        <v>279</v>
      </c>
      <c r="AD159" s="3">
        <f>IF(ISERROR(VLOOKUP($A159,'NonXtal_SegEnds_BW#'!$A:$Z,21,FALSE)+VLOOKUP($A159,A:AL,31,FALSE)-50),"-",(VLOOKUP($A159,'NonXtal_SegEnds_BW#'!$A:$Z,21,FALSE)+VLOOKUP($A159,A:AL,31,FALSE)-50))</f>
        <v>326</v>
      </c>
      <c r="AE159" s="3">
        <v>347</v>
      </c>
      <c r="AF159" s="3">
        <f>IF(ISERROR((VLOOKUP($A159,'NonXtal_SegEnds_BW#'!$A:$Z,22,FALSE)+VLOOKUP($A159,A:AL,31,FALSE)-50)),"-",(VLOOKUP($A159,'NonXtal_SegEnds_BW#'!$A:$Z,22,FALSE)+VLOOKUP($A159,A:AL,31,FALSE)-50))</f>
        <v>350</v>
      </c>
      <c r="AG159" s="3">
        <f>IF(ISERROR(VLOOKUP($A159,'NonXtal_SegEnds_BW#'!$A:$Z,23,FALSE)+VLOOKUP($A159,A:AL,34,FALSE)-50),"-",(VLOOKUP($A159,'NonXtal_SegEnds_BW#'!$A:$Z,23,FALSE)+VLOOKUP($A159,A:AL,34,FALSE)-50))</f>
        <v>365</v>
      </c>
      <c r="AH159" s="3">
        <v>380</v>
      </c>
      <c r="AI159" s="3">
        <f>IF(ISERROR((VLOOKUP($A159,'NonXtal_SegEnds_BW#'!$A:$Z,24,FALSE)+VLOOKUP($A159,A:AL,34,FALSE)-50)),"-",(VLOOKUP($A159,'NonXtal_SegEnds_BW#'!$A:$Z,24,FALSE)+VLOOKUP($A159,A:AL,34,FALSE)-50))</f>
        <v>386</v>
      </c>
      <c r="AJ159" s="3">
        <f>IF(ISERROR(VLOOKUP($A159,'NonXtal_SegEnds_BW#'!$A:$Z,25,FALSE)+VLOOKUP($A159,A:AL,37,FALSE)-50),"-",(VLOOKUP($A159,'NonXtal_SegEnds_BW#'!$A:$Z,25,FALSE)+VLOOKUP($A159,A:AL,37,FALSE)-50))</f>
        <v>387</v>
      </c>
      <c r="AK159" s="3">
        <v>390</v>
      </c>
      <c r="AL159" s="3">
        <f>IF(ISERROR((VLOOKUP($A159,'NonXtal_SegEnds_BW#'!$A:$Z,26,FALSE)+VLOOKUP($A159,A:AL,37,FALSE)-50)),"-",(VLOOKUP($A159,'NonXtal_SegEnds_BW#'!$A:$Z,26,FALSE)+VLOOKUP($A159,A:AL,37,FALSE)-50))</f>
        <v>397</v>
      </c>
      <c r="AM159" s="71" t="str">
        <f>VLOOKUP(A159,Classification!A:B,2,FALSE)</f>
        <v>O</v>
      </c>
      <c r="AN159" s="71" t="b">
        <f t="shared" si="69"/>
        <v>1</v>
      </c>
      <c r="AO159" s="3" t="str">
        <f t="shared" si="70"/>
        <v>-</v>
      </c>
      <c r="AP159" s="3" t="str">
        <f t="shared" si="71"/>
        <v>-</v>
      </c>
      <c r="AQ159" s="3" t="str">
        <f t="shared" si="72"/>
        <v>-</v>
      </c>
      <c r="AR159" s="3" t="str">
        <f t="shared" si="73"/>
        <v>-</v>
      </c>
      <c r="AS159" s="3" t="str">
        <f t="shared" si="74"/>
        <v>-</v>
      </c>
      <c r="AT159" s="3" t="str">
        <f t="shared" si="75"/>
        <v>-</v>
      </c>
      <c r="AU159" s="3" t="str">
        <f t="shared" si="76"/>
        <v>-</v>
      </c>
      <c r="AV159" s="3" t="str">
        <f t="shared" si="77"/>
        <v>-</v>
      </c>
      <c r="AW159" s="3">
        <f t="shared" si="78"/>
        <v>47</v>
      </c>
      <c r="AX159" s="3">
        <f t="shared" si="79"/>
        <v>15</v>
      </c>
      <c r="AY159" s="3">
        <f t="shared" si="80"/>
        <v>1</v>
      </c>
      <c r="AZ159" s="3">
        <f>IF(ISERROR(LEN(VLOOKUP(A159,Seqs!A:E,2,FALSE))-AL159),"-",LEN(VLOOKUP(A159,Seqs!A:E,2,FALSE))-AL159)</f>
        <v>20</v>
      </c>
      <c r="BA159" s="35">
        <f t="shared" si="81"/>
        <v>18</v>
      </c>
      <c r="BB159" s="3" t="str">
        <f t="shared" si="82"/>
        <v>-</v>
      </c>
      <c r="BC159" s="3">
        <f t="shared" si="83"/>
        <v>18</v>
      </c>
      <c r="BD159" s="3">
        <f t="shared" si="84"/>
        <v>79</v>
      </c>
      <c r="BE159" s="3">
        <f>AH159-AE159</f>
        <v>33</v>
      </c>
    </row>
    <row r="160" spans="1:58" s="3" customFormat="1" x14ac:dyDescent="0.2">
      <c r="A160" s="3" t="s">
        <v>679</v>
      </c>
      <c r="B160" s="3" t="str">
        <f>LOWER(VLOOKUP(A160,Xtal_Templ!A:B,2,FALSE))</f>
        <v>cxcr4_human</v>
      </c>
      <c r="C160" s="3">
        <v>27</v>
      </c>
      <c r="D160" s="3">
        <v>64</v>
      </c>
      <c r="E160" s="3">
        <f>IF(ISERROR(VLOOKUP($A160,'NonXtal_SegEnds_BW#'!$A:$Z,4,FALSE)+VLOOKUP($A160,A:AL,4,FALSE)-50),"-",(VLOOKUP($A160,'NonXtal_SegEnds_BW#'!$A:$Z,4,FALSE)+VLOOKUP($A160,A:AL,4,FALSE)-50))</f>
        <v>74</v>
      </c>
      <c r="F160" s="3" t="str">
        <f>IF(ISERROR(VLOOKUP($A160,'NonXtal_SegEnds_BW#'!$A:$Z,5,FALSE)+VLOOKUP($A160,A:AL,7,FALSE)-50),"-",(VLOOKUP($A160,'NonXtal_SegEnds_BW#'!$A:$Z,5,FALSE)+VLOOKUP($A160,A:AL,7,FALSE)-50))</f>
        <v>-</v>
      </c>
      <c r="G160" s="3" t="s">
        <v>129</v>
      </c>
      <c r="H160" s="3" t="str">
        <f>IF(ISERROR(VLOOKUP($A160,'NonXtal_SegEnds_BW#'!$A:$Z,6,FALSE)+VLOOKUP($A160,A:AL,7,FALSE)-50),"-",(VLOOKUP($A160,'NonXtal_SegEnds_BW#'!$A:$Z,6,FALSE)+VLOOKUP($A160,A:AL,7,FALSE)-50))</f>
        <v>-</v>
      </c>
      <c r="I160" s="3">
        <f>VLOOKUP($A160,'NonXtal_SegEnds_BW#'!$A:$Z,7,FALSE)+J160-50</f>
        <v>85</v>
      </c>
      <c r="J160" s="3">
        <v>96</v>
      </c>
      <c r="K160" s="3">
        <f>VLOOKUP($A160,'NonXtal_SegEnds_BW#'!$A:$Z,8,FALSE)+VLOOKUP($A160,A:AL,10,FALSE)-50</f>
        <v>109</v>
      </c>
      <c r="L160" s="3" t="str">
        <f>IF(ISERROR(VLOOKUP($A160,'NonXtal_SegEnds_BW#'!$A:$Z,9,FALSE)+VLOOKUP($A160,A:AL,13,FALSE)-50),"-",(VLOOKUP($A160,'NonXtal_SegEnds_BW#'!$A:$Z,9,FALSE)+VLOOKUP($A160,A:AL,13,FALSE)-50))</f>
        <v>-</v>
      </c>
      <c r="M160" s="3" t="s">
        <v>129</v>
      </c>
      <c r="N160" s="3" t="str">
        <f>IF(ISERROR(VLOOKUP($A160,'NonXtal_SegEnds_BW#'!$A:$Z,10,FALSE)+VLOOKUP($A160,A:AL,13,FALSE)-50),"-",(VLOOKUP($A160,'NonXtal_SegEnds_BW#'!$A:$Z,10,FALSE)+VLOOKUP($A160,A:AL,13,FALSE)-50))</f>
        <v>-</v>
      </c>
      <c r="O160" s="3">
        <f>VLOOKUP($A160,'NonXtal_SegEnds_BW#'!$A:$Z,11,FALSE)+VLOOKUP($A160,A:AL,16,FALSE)-50</f>
        <v>114</v>
      </c>
      <c r="P160" s="3">
        <v>141</v>
      </c>
      <c r="Q160" s="3">
        <f>VLOOKUP($A160,'NonXtal_SegEnds_BW#'!$A:$Z,12,FALSE)+VLOOKUP($A160,A:AL,16,FALSE)-50</f>
        <v>147</v>
      </c>
      <c r="R160" s="3" t="str">
        <f>IF(ISERROR(VLOOKUP($A160,'NonXtal_SegEnds_BW#'!$A:$Z,13,FALSE)+VLOOKUP($A160,A:AL,19,FALSE)-50),"-",VLOOKUP($A160,'NonXtal_SegEnds_BW#'!$A:$Z,13,FALSE)+VLOOKUP($A160,A:AL,19,FALSE)-50)</f>
        <v>-</v>
      </c>
      <c r="S160" s="3" t="s">
        <v>129</v>
      </c>
      <c r="T160" s="3" t="str">
        <f>IF(ISERROR(VLOOKUP($A160,'NonXtal_SegEnds_BW#'!$A:$Z,14,FALSE)+VLOOKUP($A160,A:AL,19,FALSE)-50),"-",(VLOOKUP($A160,'NonXtal_SegEnds_BW#'!$A:$Z,14,FALSE)+VLOOKUP($A160,A:AL,19,FALSE)-50))</f>
        <v>-</v>
      </c>
      <c r="U160" s="3">
        <f>IF(ISERROR(VLOOKUP($A160,'NonXtal_SegEnds_BW#'!$A:$Z,15,FALSE)+VLOOKUP($A160,A:AL,22,FALSE)-50),"-",VLOOKUP($A160,'NonXtal_SegEnds_BW#'!$A:$Z,15,FALSE)+VLOOKUP($A160,A:AL,22,FALSE)-50)</f>
        <v>162</v>
      </c>
      <c r="V160" s="3">
        <v>172</v>
      </c>
      <c r="W160" s="3">
        <f>IF(ISERROR(VLOOKUP($A160,'NonXtal_SegEnds_BW#'!$A:$Z,16,FALSE)+VLOOKUP($A160,A:AL,22,FALSE)-50),"-",(VLOOKUP($A160,'NonXtal_SegEnds_BW#'!$A:$Z,16,FALSE)+VLOOKUP($A160,A:AL,22,FALSE)-50))</f>
        <v>186</v>
      </c>
      <c r="X160" s="3" t="str">
        <f>IF(ISERROR(VLOOKUP($A160,'NonXtal_SegEnds_BW#'!$A:$Z,17,FALSE)+VLOOKUP($A160,A:AL,25,FALSE)-50),"-",(VLOOKUP($A160,'NonXtal_SegEnds_BW#'!$A:$Z,17,FALSE)+VLOOKUP($A160,A:AL,25,FALSE)-50))</f>
        <v>-</v>
      </c>
      <c r="Y160" s="3" t="s">
        <v>129</v>
      </c>
      <c r="Z160" s="3" t="str">
        <f>IF(ISERROR(VLOOKUP($A160,'NonXtal_SegEnds_BW#'!$A:$Z,18,FALSE)+VLOOKUP($A160,A:AL,25,FALSE)-50),"-",(VLOOKUP($A160,'NonXtal_SegEnds_BW#'!$A:$Z,18,FALSE)+VLOOKUP($A160,A:AL,25,FALSE)-50))</f>
        <v>-</v>
      </c>
      <c r="AA160" s="3">
        <f>IF(ISERROR(VLOOKUP($A160,'NonXtal_SegEnds_BW#'!$A:$Z,19,FALSE)+VLOOKUP($A160,A:AL,28,FALSE)-50),"-",(VLOOKUP($A160,'NonXtal_SegEnds_BW#'!$A:$Z,19,FALSE)+VLOOKUP($A160,A:AL,28,FALSE)-50))</f>
        <v>186</v>
      </c>
      <c r="AB160" s="3">
        <v>197</v>
      </c>
      <c r="AC160" s="3">
        <f>IF(ISERROR((VLOOKUP($A160,'NonXtal_SegEnds_BW#'!$A:$Z,20,FALSE)+VLOOKUP($A160,A:AL,28,FALSE)-50)),"-",(VLOOKUP($A160,'NonXtal_SegEnds_BW#'!$A:$Z,20,FALSE)+VLOOKUP($A160,A:AL,28,FALSE)-50))</f>
        <v>208</v>
      </c>
      <c r="AD160" s="3">
        <f>IF(ISERROR(VLOOKUP($A160,'NonXtal_SegEnds_BW#'!$A:$Z,21,FALSE)+VLOOKUP($A160,A:AL,31,FALSE)-50),"-",(VLOOKUP($A160,'NonXtal_SegEnds_BW#'!$A:$Z,21,FALSE)+VLOOKUP($A160,A:AL,31,FALSE)-50))</f>
        <v>252</v>
      </c>
      <c r="AE160" s="3">
        <v>273</v>
      </c>
      <c r="AF160" s="3">
        <f>IF(ISERROR((VLOOKUP($A160,'NonXtal_SegEnds_BW#'!$A:$Z,22,FALSE)+VLOOKUP($A160,A:AL,31,FALSE)-50)),"-",(VLOOKUP($A160,'NonXtal_SegEnds_BW#'!$A:$Z,22,FALSE)+VLOOKUP($A160,A:AL,31,FALSE)-50))</f>
        <v>276</v>
      </c>
      <c r="AG160" s="3">
        <f>IF(ISERROR(VLOOKUP($A160,'NonXtal_SegEnds_BW#'!$A:$Z,23,FALSE)+VLOOKUP($A160,A:AL,34,FALSE)-50),"-",(VLOOKUP($A160,'NonXtal_SegEnds_BW#'!$A:$Z,23,FALSE)+VLOOKUP($A160,A:AL,34,FALSE)-50))</f>
        <v>294</v>
      </c>
      <c r="AH160" s="3">
        <v>309</v>
      </c>
      <c r="AI160" s="3">
        <f>IF(ISERROR((VLOOKUP($A160,'NonXtal_SegEnds_BW#'!$A:$Z,24,FALSE)+VLOOKUP($A160,A:AL,34,FALSE)-50)),"-",(VLOOKUP($A160,'NonXtal_SegEnds_BW#'!$A:$Z,24,FALSE)+VLOOKUP($A160,A:AL,34,FALSE)-50))</f>
        <v>315</v>
      </c>
      <c r="AJ160" s="3">
        <v>320</v>
      </c>
      <c r="AK160" s="3">
        <v>333</v>
      </c>
      <c r="AL160" s="3">
        <f>IF(ISERROR((VLOOKUP($A160,'NonXtal_SegEnds_BW#'!$A:$Z,26,FALSE)+VLOOKUP($A160,A:AL,37,FALSE)-50)),"-",(VLOOKUP($A160,'NonXtal_SegEnds_BW#'!$A:$Z,26,FALSE)+VLOOKUP($A160,A:AL,37,FALSE)-50))</f>
        <v>340</v>
      </c>
      <c r="AM160" s="71" t="str">
        <f>VLOOKUP(A160,Classification!A:B,2,FALSE)</f>
        <v>O</v>
      </c>
      <c r="AN160" s="71" t="b">
        <f t="shared" si="69"/>
        <v>1</v>
      </c>
      <c r="AO160" s="3" t="str">
        <f t="shared" si="70"/>
        <v>-</v>
      </c>
      <c r="AP160" s="3" t="str">
        <f t="shared" si="71"/>
        <v>-</v>
      </c>
      <c r="AQ160" s="3" t="str">
        <f t="shared" si="72"/>
        <v>-</v>
      </c>
      <c r="AR160" s="3" t="str">
        <f t="shared" si="73"/>
        <v>-</v>
      </c>
      <c r="AS160" s="3" t="str">
        <f t="shared" si="74"/>
        <v>-</v>
      </c>
      <c r="AT160" s="3" t="str">
        <f t="shared" si="75"/>
        <v>-</v>
      </c>
      <c r="AU160" s="3" t="str">
        <f t="shared" si="76"/>
        <v>-</v>
      </c>
      <c r="AV160" s="3" t="str">
        <f t="shared" si="77"/>
        <v>-</v>
      </c>
      <c r="AW160" s="3">
        <f t="shared" si="78"/>
        <v>44</v>
      </c>
      <c r="AX160" s="3">
        <f t="shared" si="79"/>
        <v>18</v>
      </c>
      <c r="AY160" s="3">
        <f t="shared" si="80"/>
        <v>5</v>
      </c>
      <c r="AZ160" s="3">
        <f>IF(ISERROR(LEN(VLOOKUP(A160,Seqs!A:E,2,FALSE))-AL160),"-",LEN(VLOOKUP(A160,Seqs!A:E,2,FALSE))-AL160)</f>
        <v>33</v>
      </c>
      <c r="BA160" s="35">
        <f t="shared" si="81"/>
        <v>32</v>
      </c>
      <c r="BB160" s="3" t="str">
        <f t="shared" si="82"/>
        <v>-</v>
      </c>
      <c r="BC160" s="3">
        <f t="shared" si="83"/>
        <v>32</v>
      </c>
      <c r="BD160" s="3">
        <f t="shared" si="84"/>
        <v>76</v>
      </c>
    </row>
    <row r="161" spans="1:57" s="3" customFormat="1" x14ac:dyDescent="0.2">
      <c r="A161" s="3" t="s">
        <v>381</v>
      </c>
      <c r="B161" s="3" t="str">
        <f>LOWER(VLOOKUP(A161,Xtal_Templ!A:B,2,FALSE))</f>
        <v>cxcr4_human</v>
      </c>
      <c r="C161" s="3">
        <f>VLOOKUP($A161,'NonXtal_SegEnds_BW#'!$A:$Z,3,FALSE)+D161-50</f>
        <v>45</v>
      </c>
      <c r="D161" s="3">
        <v>71</v>
      </c>
      <c r="E161" s="3">
        <f>IF(ISERROR(VLOOKUP($A161,'NonXtal_SegEnds_BW#'!$A:$Z,4,FALSE)+VLOOKUP($A161,A:AL,4,FALSE)-50),"-",(VLOOKUP($A161,'NonXtal_SegEnds_BW#'!$A:$Z,4,FALSE)+VLOOKUP($A161,A:AL,4,FALSE)-50))</f>
        <v>81</v>
      </c>
      <c r="F161" s="3">
        <f>G161-2</f>
        <v>82</v>
      </c>
      <c r="G161" s="3">
        <v>84</v>
      </c>
      <c r="H161" s="3">
        <f t="shared" ref="H161:I163" si="89">G161+1</f>
        <v>85</v>
      </c>
      <c r="I161" s="3">
        <f t="shared" si="89"/>
        <v>86</v>
      </c>
      <c r="J161" s="3">
        <v>99</v>
      </c>
      <c r="K161" s="3">
        <f>VLOOKUP($A161,'NonXtal_SegEnds_BW#'!$A:$Z,8,FALSE)+VLOOKUP($A161,A:AL,10,FALSE)-50</f>
        <v>115</v>
      </c>
      <c r="L161" s="3">
        <f t="shared" ref="L161:L168" si="90">M161-1</f>
        <v>116</v>
      </c>
      <c r="M161" s="3">
        <v>117</v>
      </c>
      <c r="N161" s="3">
        <f t="shared" ref="N161:N168" si="91">M161+2</f>
        <v>119</v>
      </c>
      <c r="O161" s="3">
        <f t="shared" ref="O161:O168" si="92">N161+1</f>
        <v>120</v>
      </c>
      <c r="P161" s="3">
        <v>149</v>
      </c>
      <c r="Q161" s="3">
        <f>VLOOKUP($A161,'NonXtal_SegEnds_BW#'!$A:$Z,12,FALSE)+VLOOKUP($A161,A:AL,16,FALSE)-50</f>
        <v>155</v>
      </c>
      <c r="R161" s="3">
        <f>IF(ISERROR(VLOOKUP($A161,'NonXtal_SegEnds_BW#'!$A:$Z,13,FALSE)+VLOOKUP($A161,A:AL,19,FALSE)-50),"-",VLOOKUP($A161,'NonXtal_SegEnds_BW#'!$A:$Z,13,FALSE)+VLOOKUP($A161,A:AL,19,FALSE)-50)</f>
        <v>156</v>
      </c>
      <c r="S161" s="3">
        <v>156</v>
      </c>
      <c r="T161" s="3">
        <f>IF(ISERROR(VLOOKUP($A161,'NonXtal_SegEnds_BW#'!$A:$Z,14,FALSE)+VLOOKUP($A161,A:AL,19,FALSE)-50),"-",(VLOOKUP($A161,'NonXtal_SegEnds_BW#'!$A:$Z,14,FALSE)+VLOOKUP($A161,A:AL,19,FALSE)-50))</f>
        <v>163</v>
      </c>
      <c r="U161" s="3">
        <f>IF(ISERROR(VLOOKUP($A161,'NonXtal_SegEnds_BW#'!$A:$Z,15,FALSE)+VLOOKUP($A161,A:AL,22,FALSE)-50),"-",VLOOKUP($A161,'NonXtal_SegEnds_BW#'!$A:$Z,15,FALSE)+VLOOKUP($A161,A:AL,22,FALSE)-50)</f>
        <v>165</v>
      </c>
      <c r="V161" s="3">
        <v>176</v>
      </c>
      <c r="W161" s="3">
        <f>IF(ISERROR(VLOOKUP($A161,'NonXtal_SegEnds_BW#'!$A:$Z,16,FALSE)+VLOOKUP($A161,A:AL,22,FALSE)-50),"-",(VLOOKUP($A161,'NonXtal_SegEnds_BW#'!$A:$Z,16,FALSE)+VLOOKUP($A161,A:AL,22,FALSE)-50))</f>
        <v>190</v>
      </c>
      <c r="X161" s="3">
        <f>IF(ISERROR(VLOOKUP($A161,'NonXtal_SegEnds_BW#'!$A:$Z,17,FALSE)+VLOOKUP($A161,A:AL,25,FALSE)-50),"-",(VLOOKUP($A161,'NonXtal_SegEnds_BW#'!$A:$Z,17,FALSE)+VLOOKUP($A161,A:AL,25,FALSE)-50))</f>
        <v>203</v>
      </c>
      <c r="Y161" s="3">
        <v>203</v>
      </c>
      <c r="Z161" s="3">
        <f t="shared" ref="Z161:Z168" si="93">Y161+2</f>
        <v>205</v>
      </c>
      <c r="AA161" s="3">
        <f>IF(ISERROR(VLOOKUP($A161,'NonXtal_SegEnds_BW#'!$A:$Z,19,FALSE)+VLOOKUP($A161,A:AL,28,FALSE)-50),"-",(VLOOKUP($A161,'NonXtal_SegEnds_BW#'!$A:$Z,19,FALSE)+VLOOKUP($A161,A:AL,28,FALSE)-50))</f>
        <v>209</v>
      </c>
      <c r="AB161" s="3">
        <v>227</v>
      </c>
      <c r="AC161" s="3">
        <f>IF(ISERROR((VLOOKUP($A161,'NonXtal_SegEnds_BW#'!$A:$Z,20,FALSE)+VLOOKUP($A161,A:AL,28,FALSE)-50)),"-",(VLOOKUP($A161,'NonXtal_SegEnds_BW#'!$A:$Z,20,FALSE)+VLOOKUP($A161,A:AL,28,FALSE)-50))</f>
        <v>245</v>
      </c>
      <c r="AD161" s="3">
        <f>IF(ISERROR(VLOOKUP($A161,'NonXtal_SegEnds_BW#'!$A:$Z,21,FALSE)+VLOOKUP($A161,A:AL,31,FALSE)-50),"-",(VLOOKUP($A161,'NonXtal_SegEnds_BW#'!$A:$Z,21,FALSE)+VLOOKUP($A161,A:AL,31,FALSE)-50))</f>
        <v>250</v>
      </c>
      <c r="AE161" s="3">
        <v>270</v>
      </c>
      <c r="AF161" s="3">
        <f>IF(ISERROR((VLOOKUP($A161,'NonXtal_SegEnds_BW#'!$A:$Z,22,FALSE)+VLOOKUP($A161,A:AL,31,FALSE)-50)),"-",(VLOOKUP($A161,'NonXtal_SegEnds_BW#'!$A:$Z,22,FALSE)+VLOOKUP($A161,A:AL,31,FALSE)-50))</f>
        <v>284</v>
      </c>
      <c r="AG161" s="3">
        <f>IF(ISERROR(VLOOKUP($A161,'NonXtal_SegEnds_BW#'!$A:$Z,23,FALSE)+VLOOKUP($A161,A:AL,34,FALSE)-50),"-",(VLOOKUP($A161,'NonXtal_SegEnds_BW#'!$A:$Z,23,FALSE)+VLOOKUP($A161,A:AL,34,FALSE)-50))</f>
        <v>289</v>
      </c>
      <c r="AH161" s="3">
        <v>315</v>
      </c>
      <c r="AI161" s="3">
        <f>IF(ISERROR((VLOOKUP($A161,'NonXtal_SegEnds_BW#'!$A:$Z,24,FALSE)+VLOOKUP($A161,A:AL,34,FALSE)-50)),"-",(VLOOKUP($A161,'NonXtal_SegEnds_BW#'!$A:$Z,24,FALSE)+VLOOKUP($A161,A:AL,34,FALSE)-50))</f>
        <v>321</v>
      </c>
      <c r="AJ161" s="3">
        <f>IF(ISERROR(VLOOKUP($A161,'NonXtal_SegEnds_BW#'!$A:$Z,25,FALSE)+VLOOKUP($A161,A:AL,37,FALSE)-50),"-",(VLOOKUP($A161,'NonXtal_SegEnds_BW#'!$A:$Z,25,FALSE)+VLOOKUP($A161,A:AL,37,FALSE)-50))</f>
        <v>322</v>
      </c>
      <c r="AK161" s="3">
        <v>325</v>
      </c>
      <c r="AL161" s="3">
        <f>IF(ISERROR((VLOOKUP($A161,'NonXtal_SegEnds_BW#'!$A:$Z,26,FALSE)+VLOOKUP($A161,A:AL,37,FALSE)-50)),"-",(VLOOKUP($A161,'NonXtal_SegEnds_BW#'!$A:$Z,26,FALSE)+VLOOKUP($A161,A:AL,37,FALSE)-50))</f>
        <v>334</v>
      </c>
      <c r="AM161" s="71" t="str">
        <f>VLOOKUP(A161,Classification!A:B,2,FALSE)</f>
        <v>A</v>
      </c>
      <c r="AN161" s="71" t="b">
        <f t="shared" si="69"/>
        <v>1</v>
      </c>
      <c r="AO161" s="3">
        <f t="shared" si="70"/>
        <v>1</v>
      </c>
      <c r="AP161" s="3">
        <f t="shared" si="71"/>
        <v>1</v>
      </c>
      <c r="AQ161" s="3">
        <f t="shared" si="72"/>
        <v>1</v>
      </c>
      <c r="AR161" s="3">
        <f t="shared" si="73"/>
        <v>1</v>
      </c>
      <c r="AS161" s="3">
        <f t="shared" si="74"/>
        <v>1</v>
      </c>
      <c r="AT161" s="3">
        <f t="shared" si="75"/>
        <v>2</v>
      </c>
      <c r="AU161" s="3">
        <f t="shared" si="76"/>
        <v>13</v>
      </c>
      <c r="AV161" s="3">
        <f t="shared" si="77"/>
        <v>4</v>
      </c>
      <c r="AW161" s="3">
        <f t="shared" si="78"/>
        <v>5</v>
      </c>
      <c r="AX161" s="3">
        <f t="shared" si="79"/>
        <v>5</v>
      </c>
      <c r="AY161" s="3">
        <f t="shared" si="80"/>
        <v>1</v>
      </c>
      <c r="AZ161" s="3">
        <f>IF(ISERROR(LEN(VLOOKUP(A161,Seqs!A:E,2,FALSE))-AL161),"-",LEN(VLOOKUP(A161,Seqs!A:E,2,FALSE))-AL161)</f>
        <v>34</v>
      </c>
      <c r="BA161" s="35">
        <f t="shared" si="81"/>
        <v>28</v>
      </c>
      <c r="BB161" s="3">
        <f t="shared" si="82"/>
        <v>20</v>
      </c>
      <c r="BC161" s="3">
        <f t="shared" si="83"/>
        <v>28</v>
      </c>
      <c r="BD161" s="3">
        <f t="shared" si="84"/>
        <v>43</v>
      </c>
    </row>
    <row r="162" spans="1:57" s="3" customFormat="1" x14ac:dyDescent="0.2">
      <c r="A162" s="3" t="s">
        <v>382</v>
      </c>
      <c r="B162" s="3" t="str">
        <f>LOWER(VLOOKUP(A162,Xtal_Templ!A:B,2,FALSE))</f>
        <v>cxcr4_human</v>
      </c>
      <c r="C162" s="3">
        <f>VLOOKUP($A162,'NonXtal_SegEnds_BW#'!$A:$Z,3,FALSE)+D162-50</f>
        <v>43</v>
      </c>
      <c r="D162" s="3">
        <v>69</v>
      </c>
      <c r="E162" s="3">
        <f>IF(ISERROR(VLOOKUP($A162,'NonXtal_SegEnds_BW#'!$A:$Z,4,FALSE)+VLOOKUP($A162,A:AL,4,FALSE)-50),"-",(VLOOKUP($A162,'NonXtal_SegEnds_BW#'!$A:$Z,4,FALSE)+VLOOKUP($A162,A:AL,4,FALSE)-50))</f>
        <v>79</v>
      </c>
      <c r="F162" s="3">
        <f>G162-2</f>
        <v>80</v>
      </c>
      <c r="G162" s="3">
        <v>82</v>
      </c>
      <c r="H162" s="3">
        <f t="shared" si="89"/>
        <v>83</v>
      </c>
      <c r="I162" s="3">
        <f t="shared" si="89"/>
        <v>84</v>
      </c>
      <c r="J162" s="3">
        <v>97</v>
      </c>
      <c r="K162" s="3">
        <f>VLOOKUP($A162,'NonXtal_SegEnds_BW#'!$A:$Z,8,FALSE)+VLOOKUP($A162,A:AL,10,FALSE)-50</f>
        <v>113</v>
      </c>
      <c r="L162" s="3">
        <f t="shared" si="90"/>
        <v>114</v>
      </c>
      <c r="M162" s="3">
        <v>115</v>
      </c>
      <c r="N162" s="3">
        <f t="shared" si="91"/>
        <v>117</v>
      </c>
      <c r="O162" s="3">
        <f t="shared" si="92"/>
        <v>118</v>
      </c>
      <c r="P162" s="3">
        <v>147</v>
      </c>
      <c r="Q162" s="3">
        <f>VLOOKUP($A162,'NonXtal_SegEnds_BW#'!$A:$Z,12,FALSE)+VLOOKUP($A162,A:AL,16,FALSE)-50</f>
        <v>153</v>
      </c>
      <c r="R162" s="3">
        <f>IF(ISERROR(VLOOKUP($A162,'NonXtal_SegEnds_BW#'!$A:$Z,13,FALSE)+VLOOKUP($A162,A:AL,19,FALSE)-50),"-",VLOOKUP($A162,'NonXtal_SegEnds_BW#'!$A:$Z,13,FALSE)+VLOOKUP($A162,A:AL,19,FALSE)-50)</f>
        <v>154</v>
      </c>
      <c r="S162" s="3">
        <v>154</v>
      </c>
      <c r="T162" s="3">
        <f>IF(ISERROR(VLOOKUP($A162,'NonXtal_SegEnds_BW#'!$A:$Z,14,FALSE)+VLOOKUP($A162,A:AL,19,FALSE)-50),"-",(VLOOKUP($A162,'NonXtal_SegEnds_BW#'!$A:$Z,14,FALSE)+VLOOKUP($A162,A:AL,19,FALSE)-50))</f>
        <v>161</v>
      </c>
      <c r="U162" s="3">
        <f>IF(ISERROR(VLOOKUP($A162,'NonXtal_SegEnds_BW#'!$A:$Z,15,FALSE)+VLOOKUP($A162,A:AL,22,FALSE)-50),"-",VLOOKUP($A162,'NonXtal_SegEnds_BW#'!$A:$Z,15,FALSE)+VLOOKUP($A162,A:AL,22,FALSE)-50)</f>
        <v>163</v>
      </c>
      <c r="V162" s="3">
        <v>174</v>
      </c>
      <c r="W162" s="3">
        <f>IF(ISERROR(VLOOKUP($A162,'NonXtal_SegEnds_BW#'!$A:$Z,16,FALSE)+VLOOKUP($A162,A:AL,22,FALSE)-50),"-",(VLOOKUP($A162,'NonXtal_SegEnds_BW#'!$A:$Z,16,FALSE)+VLOOKUP($A162,A:AL,22,FALSE)-50))</f>
        <v>188</v>
      </c>
      <c r="X162" s="3">
        <f>IF(ISERROR(VLOOKUP($A162,'NonXtal_SegEnds_BW#'!$A:$Z,17,FALSE)+VLOOKUP($A162,A:AL,25,FALSE)-50),"-",(VLOOKUP($A162,'NonXtal_SegEnds_BW#'!$A:$Z,17,FALSE)+VLOOKUP($A162,A:AL,25,FALSE)-50))</f>
        <v>202</v>
      </c>
      <c r="Y162" s="3">
        <v>202</v>
      </c>
      <c r="Z162" s="3">
        <f t="shared" si="93"/>
        <v>204</v>
      </c>
      <c r="AA162" s="3">
        <f>IF(ISERROR(VLOOKUP($A162,'NonXtal_SegEnds_BW#'!$A:$Z,19,FALSE)+VLOOKUP($A162,A:AL,28,FALSE)-50),"-",(VLOOKUP($A162,'NonXtal_SegEnds_BW#'!$A:$Z,19,FALSE)+VLOOKUP($A162,A:AL,28,FALSE)-50))</f>
        <v>212</v>
      </c>
      <c r="AB162" s="3">
        <v>230</v>
      </c>
      <c r="AC162" s="3">
        <f>IF(ISERROR((VLOOKUP($A162,'NonXtal_SegEnds_BW#'!$A:$Z,20,FALSE)+VLOOKUP($A162,A:AL,28,FALSE)-50)),"-",(VLOOKUP($A162,'NonXtal_SegEnds_BW#'!$A:$Z,20,FALSE)+VLOOKUP($A162,A:AL,28,FALSE)-50))</f>
        <v>248</v>
      </c>
      <c r="AD162" s="3">
        <f>IF(ISERROR(VLOOKUP($A162,'NonXtal_SegEnds_BW#'!$A:$Z,21,FALSE)+VLOOKUP($A162,A:AL,31,FALSE)-50),"-",(VLOOKUP($A162,'NonXtal_SegEnds_BW#'!$A:$Z,21,FALSE)+VLOOKUP($A162,A:AL,31,FALSE)-50))</f>
        <v>254</v>
      </c>
      <c r="AE162" s="3">
        <v>274</v>
      </c>
      <c r="AF162" s="3">
        <f>IF(ISERROR((VLOOKUP($A162,'NonXtal_SegEnds_BW#'!$A:$Z,22,FALSE)+VLOOKUP($A162,A:AL,31,FALSE)-50)),"-",(VLOOKUP($A162,'NonXtal_SegEnds_BW#'!$A:$Z,22,FALSE)+VLOOKUP($A162,A:AL,31,FALSE)-50))</f>
        <v>288</v>
      </c>
      <c r="AG162" s="3">
        <f>IF(ISERROR(VLOOKUP($A162,'NonXtal_SegEnds_BW#'!$A:$Z,23,FALSE)+VLOOKUP($A162,A:AL,34,FALSE)-50),"-",(VLOOKUP($A162,'NonXtal_SegEnds_BW#'!$A:$Z,23,FALSE)+VLOOKUP($A162,A:AL,34,FALSE)-50))</f>
        <v>293</v>
      </c>
      <c r="AH162" s="3">
        <v>319</v>
      </c>
      <c r="AI162" s="3">
        <f>IF(ISERROR((VLOOKUP($A162,'NonXtal_SegEnds_BW#'!$A:$Z,24,FALSE)+VLOOKUP($A162,A:AL,34,FALSE)-50)),"-",(VLOOKUP($A162,'NonXtal_SegEnds_BW#'!$A:$Z,24,FALSE)+VLOOKUP($A162,A:AL,34,FALSE)-50))</f>
        <v>325</v>
      </c>
      <c r="AJ162" s="3">
        <f>IF(ISERROR(VLOOKUP($A162,'NonXtal_SegEnds_BW#'!$A:$Z,25,FALSE)+VLOOKUP($A162,A:AL,37,FALSE)-50),"-",(VLOOKUP($A162,'NonXtal_SegEnds_BW#'!$A:$Z,25,FALSE)+VLOOKUP($A162,A:AL,37,FALSE)-50))</f>
        <v>326</v>
      </c>
      <c r="AK162" s="3">
        <v>329</v>
      </c>
      <c r="AL162" s="3">
        <f>IF(ISERROR((VLOOKUP($A162,'NonXtal_SegEnds_BW#'!$A:$Z,26,FALSE)+VLOOKUP($A162,A:AL,37,FALSE)-50)),"-",(VLOOKUP($A162,'NonXtal_SegEnds_BW#'!$A:$Z,26,FALSE)+VLOOKUP($A162,A:AL,37,FALSE)-50))</f>
        <v>338</v>
      </c>
      <c r="AM162" s="71" t="str">
        <f>VLOOKUP(A162,Classification!A:B,2,FALSE)</f>
        <v>A</v>
      </c>
      <c r="AN162" s="71" t="b">
        <f t="shared" si="69"/>
        <v>1</v>
      </c>
      <c r="AO162" s="3">
        <f t="shared" si="70"/>
        <v>1</v>
      </c>
      <c r="AP162" s="3">
        <f t="shared" si="71"/>
        <v>1</v>
      </c>
      <c r="AQ162" s="3">
        <f t="shared" si="72"/>
        <v>1</v>
      </c>
      <c r="AR162" s="3">
        <f t="shared" si="73"/>
        <v>1</v>
      </c>
      <c r="AS162" s="3">
        <f t="shared" si="74"/>
        <v>1</v>
      </c>
      <c r="AT162" s="3">
        <f t="shared" si="75"/>
        <v>2</v>
      </c>
      <c r="AU162" s="3">
        <f t="shared" si="76"/>
        <v>14</v>
      </c>
      <c r="AV162" s="3">
        <f t="shared" si="77"/>
        <v>8</v>
      </c>
      <c r="AW162" s="3">
        <f t="shared" si="78"/>
        <v>6</v>
      </c>
      <c r="AX162" s="3">
        <f t="shared" si="79"/>
        <v>5</v>
      </c>
      <c r="AY162" s="3">
        <f t="shared" si="80"/>
        <v>1</v>
      </c>
      <c r="AZ162" s="3">
        <f>IF(ISERROR(LEN(VLOOKUP(A162,Seqs!A:E,2,FALSE))-AL162),"-",LEN(VLOOKUP(A162,Seqs!A:E,2,FALSE))-AL162)</f>
        <v>34</v>
      </c>
      <c r="BA162" s="35">
        <f t="shared" si="81"/>
        <v>28</v>
      </c>
      <c r="BB162" s="3">
        <f t="shared" si="82"/>
        <v>20</v>
      </c>
      <c r="BC162" s="3">
        <f t="shared" si="83"/>
        <v>28</v>
      </c>
      <c r="BD162" s="3">
        <f t="shared" si="84"/>
        <v>44</v>
      </c>
    </row>
    <row r="163" spans="1:57" s="3" customFormat="1" x14ac:dyDescent="0.2">
      <c r="A163" s="3" t="s">
        <v>487</v>
      </c>
      <c r="B163" s="3" t="str">
        <f>LOWER(VLOOKUP(A163,Xtal_Templ!A:B,2,FALSE))</f>
        <v>cxcr4_human</v>
      </c>
      <c r="C163" s="3">
        <f>VLOOKUP($A163,'NonXtal_SegEnds_BW#'!$A:$Z,3,FALSE)+D163-50</f>
        <v>43</v>
      </c>
      <c r="D163" s="3">
        <v>69</v>
      </c>
      <c r="E163" s="3">
        <f>IF(ISERROR(VLOOKUP($A163,'NonXtal_SegEnds_BW#'!$A:$Z,4,FALSE)+VLOOKUP($A163,A:AL,4,FALSE)-50),"-",(VLOOKUP($A163,'NonXtal_SegEnds_BW#'!$A:$Z,4,FALSE)+VLOOKUP($A163,A:AL,4,FALSE)-50))</f>
        <v>79</v>
      </c>
      <c r="F163" s="3">
        <f>G163-2</f>
        <v>80</v>
      </c>
      <c r="G163" s="3">
        <v>82</v>
      </c>
      <c r="H163" s="3">
        <f t="shared" si="89"/>
        <v>83</v>
      </c>
      <c r="I163" s="3">
        <f t="shared" si="89"/>
        <v>84</v>
      </c>
      <c r="J163" s="3">
        <v>99</v>
      </c>
      <c r="K163" s="3">
        <f>VLOOKUP($A163,'NonXtal_SegEnds_BW#'!$A:$Z,8,FALSE)+VLOOKUP($A163,A:AL,10,FALSE)-50</f>
        <v>115</v>
      </c>
      <c r="L163" s="3">
        <f t="shared" si="90"/>
        <v>117</v>
      </c>
      <c r="M163" s="3">
        <v>118</v>
      </c>
      <c r="N163" s="3">
        <f t="shared" si="91"/>
        <v>120</v>
      </c>
      <c r="O163" s="3">
        <f t="shared" si="92"/>
        <v>121</v>
      </c>
      <c r="P163" s="3">
        <v>150</v>
      </c>
      <c r="Q163" s="3">
        <f>VLOOKUP($A163,'NonXtal_SegEnds_BW#'!$A:$Z,12,FALSE)+VLOOKUP($A163,A:AL,16,FALSE)-50</f>
        <v>156</v>
      </c>
      <c r="R163" s="3">
        <f>IF(ISERROR(VLOOKUP($A163,'NonXtal_SegEnds_BW#'!$A:$Z,13,FALSE)+VLOOKUP($A163,A:AL,19,FALSE)-50),"-",VLOOKUP($A163,'NonXtal_SegEnds_BW#'!$A:$Z,13,FALSE)+VLOOKUP($A163,A:AL,19,FALSE)-50)</f>
        <v>157</v>
      </c>
      <c r="S163" s="3">
        <v>157</v>
      </c>
      <c r="T163" s="3">
        <f>IF(ISERROR(VLOOKUP($A163,'NonXtal_SegEnds_BW#'!$A:$Z,14,FALSE)+VLOOKUP($A163,A:AL,19,FALSE)-50),"-",(VLOOKUP($A163,'NonXtal_SegEnds_BW#'!$A:$Z,14,FALSE)+VLOOKUP($A163,A:AL,19,FALSE)-50))</f>
        <v>164</v>
      </c>
      <c r="U163" s="3">
        <f>IF(ISERROR(VLOOKUP($A163,'NonXtal_SegEnds_BW#'!$A:$Z,15,FALSE)+VLOOKUP($A163,A:AL,22,FALSE)-50),"-",VLOOKUP($A163,'NonXtal_SegEnds_BW#'!$A:$Z,15,FALSE)+VLOOKUP($A163,A:AL,22,FALSE)-50)</f>
        <v>166</v>
      </c>
      <c r="V163" s="3">
        <v>177</v>
      </c>
      <c r="W163" s="3">
        <f>IF(ISERROR(VLOOKUP($A163,'NonXtal_SegEnds_BW#'!$A:$Z,16,FALSE)+VLOOKUP($A163,A:AL,22,FALSE)-50),"-",(VLOOKUP($A163,'NonXtal_SegEnds_BW#'!$A:$Z,16,FALSE)+VLOOKUP($A163,A:AL,22,FALSE)-50))</f>
        <v>191</v>
      </c>
      <c r="X163" s="3">
        <f>IF(ISERROR(VLOOKUP($A163,'NonXtal_SegEnds_BW#'!$A:$Z,17,FALSE)+VLOOKUP($A163,A:AL,25,FALSE)-50),"-",(VLOOKUP($A163,'NonXtal_SegEnds_BW#'!$A:$Z,17,FALSE)+VLOOKUP($A163,A:AL,25,FALSE)-50))</f>
        <v>202</v>
      </c>
      <c r="Y163" s="3">
        <v>202</v>
      </c>
      <c r="Z163" s="3">
        <f t="shared" si="93"/>
        <v>204</v>
      </c>
      <c r="AA163" s="3">
        <f>IF(ISERROR(VLOOKUP($A163,'NonXtal_SegEnds_BW#'!$A:$Z,19,FALSE)+VLOOKUP($A163,A:AL,28,FALSE)-50),"-",(VLOOKUP($A163,'NonXtal_SegEnds_BW#'!$A:$Z,19,FALSE)+VLOOKUP($A163,A:AL,28,FALSE)-50))</f>
        <v>209</v>
      </c>
      <c r="AB163" s="3">
        <v>224</v>
      </c>
      <c r="AC163" s="3">
        <f>IF(ISERROR((VLOOKUP($A163,'NonXtal_SegEnds_BW#'!$A:$Z,20,FALSE)+VLOOKUP($A163,A:AL,28,FALSE)-50)),"-",(VLOOKUP($A163,'NonXtal_SegEnds_BW#'!$A:$Z,20,FALSE)+VLOOKUP($A163,A:AL,28,FALSE)-50))</f>
        <v>241</v>
      </c>
      <c r="AD163" s="3">
        <f>IF(ISERROR(VLOOKUP($A163,'NonXtal_SegEnds_BW#'!$A:$Z,21,FALSE)+VLOOKUP($A163,A:AL,31,FALSE)-50),"-",(VLOOKUP($A163,'NonXtal_SegEnds_BW#'!$A:$Z,21,FALSE)+VLOOKUP($A163,A:AL,31,FALSE)-50))</f>
        <v>246</v>
      </c>
      <c r="AE163" s="3">
        <v>270</v>
      </c>
      <c r="AF163" s="3">
        <f>IF(ISERROR((VLOOKUP($A163,'NonXtal_SegEnds_BW#'!$A:$Z,22,FALSE)+VLOOKUP($A163,A:AL,31,FALSE)-50)),"-",(VLOOKUP($A163,'NonXtal_SegEnds_BW#'!$A:$Z,22,FALSE)+VLOOKUP($A163,A:AL,31,FALSE)-50))</f>
        <v>284</v>
      </c>
      <c r="AG163" s="3">
        <f>IF(ISERROR(VLOOKUP($A163,'NonXtal_SegEnds_BW#'!$A:$Z,23,FALSE)+VLOOKUP($A163,A:AL,34,FALSE)-50),"-",(VLOOKUP($A163,'NonXtal_SegEnds_BW#'!$A:$Z,23,FALSE)+VLOOKUP($A163,A:AL,34,FALSE)-50))</f>
        <v>290</v>
      </c>
      <c r="AH163" s="3">
        <v>316</v>
      </c>
      <c r="AI163" s="3">
        <f>IF(ISERROR((VLOOKUP($A163,'NonXtal_SegEnds_BW#'!$A:$Z,24,FALSE)+VLOOKUP($A163,A:AL,34,FALSE)-50)),"-",(VLOOKUP($A163,'NonXtal_SegEnds_BW#'!$A:$Z,24,FALSE)+VLOOKUP($A163,A:AL,34,FALSE)-50))</f>
        <v>322</v>
      </c>
      <c r="AJ163" s="3">
        <f>IF(ISERROR(VLOOKUP($A163,'NonXtal_SegEnds_BW#'!$A:$Z,25,FALSE)+VLOOKUP($A163,A:AL,37,FALSE)-50),"-",(VLOOKUP($A163,'NonXtal_SegEnds_BW#'!$A:$Z,25,FALSE)+VLOOKUP($A163,A:AL,37,FALSE)-50))</f>
        <v>323</v>
      </c>
      <c r="AK163" s="3">
        <v>326</v>
      </c>
      <c r="AL163" s="3">
        <f>IF(ISERROR((VLOOKUP($A163,'NonXtal_SegEnds_BW#'!$A:$Z,26,FALSE)+VLOOKUP($A163,A:AL,37,FALSE)-50)),"-",(VLOOKUP($A163,'NonXtal_SegEnds_BW#'!$A:$Z,26,FALSE)+VLOOKUP($A163,A:AL,37,FALSE)-50))</f>
        <v>335</v>
      </c>
      <c r="AM163" s="71" t="str">
        <f>VLOOKUP(A163,Classification!A:B,2,FALSE)</f>
        <v>A</v>
      </c>
      <c r="AN163" s="71" t="b">
        <f t="shared" si="69"/>
        <v>1</v>
      </c>
      <c r="AO163" s="3">
        <f t="shared" si="70"/>
        <v>1</v>
      </c>
      <c r="AP163" s="3">
        <f t="shared" si="71"/>
        <v>1</v>
      </c>
      <c r="AQ163" s="3">
        <f t="shared" si="72"/>
        <v>2</v>
      </c>
      <c r="AR163" s="3">
        <f t="shared" si="73"/>
        <v>1</v>
      </c>
      <c r="AS163" s="3">
        <f t="shared" si="74"/>
        <v>1</v>
      </c>
      <c r="AT163" s="3">
        <f t="shared" si="75"/>
        <v>2</v>
      </c>
      <c r="AU163" s="3">
        <f t="shared" si="76"/>
        <v>11</v>
      </c>
      <c r="AV163" s="3">
        <f t="shared" si="77"/>
        <v>5</v>
      </c>
      <c r="AW163" s="3">
        <f t="shared" si="78"/>
        <v>5</v>
      </c>
      <c r="AX163" s="3">
        <f t="shared" si="79"/>
        <v>6</v>
      </c>
      <c r="AY163" s="3">
        <f t="shared" si="80"/>
        <v>1</v>
      </c>
      <c r="AZ163" s="3">
        <f>IF(ISERROR(LEN(VLOOKUP(A163,Seqs!A:E,2,FALSE))-AL163),"-",LEN(VLOOKUP(A163,Seqs!A:E,2,FALSE))-AL163)</f>
        <v>54</v>
      </c>
      <c r="BA163" s="35">
        <f t="shared" si="81"/>
        <v>30</v>
      </c>
      <c r="BB163" s="3">
        <f t="shared" si="82"/>
        <v>20</v>
      </c>
      <c r="BC163" s="3">
        <f t="shared" si="83"/>
        <v>30</v>
      </c>
      <c r="BD163" s="3">
        <f t="shared" si="84"/>
        <v>46</v>
      </c>
    </row>
    <row r="164" spans="1:57" s="3" customFormat="1" x14ac:dyDescent="0.2">
      <c r="A164" s="3" t="s">
        <v>360</v>
      </c>
      <c r="B164" s="3" t="str">
        <f>LOWER(VLOOKUP(A164,Xtal_Templ!A:B,2,FALSE))</f>
        <v>cxcr4_human</v>
      </c>
      <c r="C164" s="3">
        <f>VLOOKUP($A164,'NonXtal_SegEnds_BW#'!$A:$Z,3,FALSE)+D164-50</f>
        <v>27</v>
      </c>
      <c r="D164" s="3">
        <v>53</v>
      </c>
      <c r="E164" s="3">
        <f>IF(ISERROR(VLOOKUP($A164,'NonXtal_SegEnds_BW#'!$A:$Z,4,FALSE)+VLOOKUP($A164,A:AL,4,FALSE)-50),"-",(VLOOKUP($A164,'NonXtal_SegEnds_BW#'!$A:$Z,4,FALSE)+VLOOKUP($A164,A:AL,4,FALSE)-50))</f>
        <v>63</v>
      </c>
      <c r="F164" s="3" t="str">
        <f>IF(ISERROR(VLOOKUP($A164,'NonXtal_SegEnds_BW#'!$A:$Z,5,FALSE)+VLOOKUP($A164,A:AL,7,FALSE)-50),"-",(VLOOKUP($A164,'NonXtal_SegEnds_BW#'!$A:$Z,5,FALSE)+VLOOKUP($A164,A:AL,7,FALSE)-50))</f>
        <v>-</v>
      </c>
      <c r="G164" s="3" t="s">
        <v>129</v>
      </c>
      <c r="H164" s="3" t="str">
        <f>IF(ISERROR(VLOOKUP($A164,'NonXtal_SegEnds_BW#'!$A:$Z,6,FALSE)+VLOOKUP($A164,A:AL,7,FALSE)-50),"-",(VLOOKUP($A164,'NonXtal_SegEnds_BW#'!$A:$Z,6,FALSE)+VLOOKUP($A164,A:AL,7,FALSE)-50))</f>
        <v>-</v>
      </c>
      <c r="I164" s="3">
        <f>VLOOKUP($A164,'NonXtal_SegEnds_BW#'!$A:$Z,7,FALSE)+J164-50</f>
        <v>67</v>
      </c>
      <c r="J164" s="3">
        <v>80</v>
      </c>
      <c r="K164" s="3">
        <f>VLOOKUP($A164,'NonXtal_SegEnds_BW#'!$A:$Z,8,FALSE)+VLOOKUP($A164,A:AL,10,FALSE)-50</f>
        <v>96</v>
      </c>
      <c r="L164" s="3">
        <f t="shared" si="90"/>
        <v>99</v>
      </c>
      <c r="M164" s="3">
        <v>100</v>
      </c>
      <c r="N164" s="3">
        <f t="shared" si="91"/>
        <v>102</v>
      </c>
      <c r="O164" s="3">
        <f t="shared" si="92"/>
        <v>103</v>
      </c>
      <c r="P164" s="3">
        <v>132</v>
      </c>
      <c r="Q164" s="3">
        <f>VLOOKUP($A164,'NonXtal_SegEnds_BW#'!$A:$Z,12,FALSE)+VLOOKUP($A164,A:AL,16,FALSE)-50</f>
        <v>138</v>
      </c>
      <c r="R164" s="3">
        <f>IF(ISERROR(VLOOKUP($A164,'NonXtal_SegEnds_BW#'!$A:$Z,13,FALSE)+VLOOKUP($A164,A:AL,19,FALSE)-50),"-",VLOOKUP($A164,'NonXtal_SegEnds_BW#'!$A:$Z,13,FALSE)+VLOOKUP($A164,A:AL,19,FALSE)-50)</f>
        <v>139</v>
      </c>
      <c r="S164" s="3">
        <v>139</v>
      </c>
      <c r="T164" s="3">
        <f>IF(ISERROR(VLOOKUP($A164,'NonXtal_SegEnds_BW#'!$A:$Z,14,FALSE)+VLOOKUP($A164,A:AL,19,FALSE)-50),"-",(VLOOKUP($A164,'NonXtal_SegEnds_BW#'!$A:$Z,14,FALSE)+VLOOKUP($A164,A:AL,19,FALSE)-50))</f>
        <v>146</v>
      </c>
      <c r="U164" s="3">
        <f>IF(ISERROR(VLOOKUP($A164,'NonXtal_SegEnds_BW#'!$A:$Z,15,FALSE)+VLOOKUP($A164,A:AL,22,FALSE)-50),"-",VLOOKUP($A164,'NonXtal_SegEnds_BW#'!$A:$Z,15,FALSE)+VLOOKUP($A164,A:AL,22,FALSE)-50)</f>
        <v>148</v>
      </c>
      <c r="V164" s="3">
        <v>159</v>
      </c>
      <c r="W164" s="3">
        <f>IF(ISERROR(VLOOKUP($A164,'NonXtal_SegEnds_BW#'!$A:$Z,16,FALSE)+VLOOKUP($A164,A:AL,22,FALSE)-50),"-",(VLOOKUP($A164,'NonXtal_SegEnds_BW#'!$A:$Z,16,FALSE)+VLOOKUP($A164,A:AL,22,FALSE)-50))</f>
        <v>173</v>
      </c>
      <c r="X164" s="3">
        <f>IF(ISERROR(VLOOKUP($A164,'NonXtal_SegEnds_BW#'!$A:$Z,17,FALSE)+VLOOKUP($A164,A:AL,25,FALSE)-50),"-",(VLOOKUP($A164,'NonXtal_SegEnds_BW#'!$A:$Z,17,FALSE)+VLOOKUP($A164,A:AL,25,FALSE)-50))</f>
        <v>186</v>
      </c>
      <c r="Y164" s="3">
        <v>186</v>
      </c>
      <c r="Z164" s="3">
        <f t="shared" si="93"/>
        <v>188</v>
      </c>
      <c r="AA164" s="3">
        <f>IF(ISERROR(VLOOKUP($A164,'NonXtal_SegEnds_BW#'!$A:$Z,19,FALSE)+VLOOKUP($A164,A:AL,28,FALSE)-50),"-",(VLOOKUP($A164,'NonXtal_SegEnds_BW#'!$A:$Z,19,FALSE)+VLOOKUP($A164,A:AL,28,FALSE)-50))</f>
        <v>194</v>
      </c>
      <c r="AB164" s="3">
        <v>212</v>
      </c>
      <c r="AC164" s="3">
        <f>IF(ISERROR((VLOOKUP($A164,'NonXtal_SegEnds_BW#'!$A:$Z,20,FALSE)+VLOOKUP($A164,A:AL,28,FALSE)-50)),"-",(VLOOKUP($A164,'NonXtal_SegEnds_BW#'!$A:$Z,20,FALSE)+VLOOKUP($A164,A:AL,28,FALSE)-50))</f>
        <v>226</v>
      </c>
      <c r="AD164" s="3">
        <f>IF(ISERROR(VLOOKUP($A164,'NonXtal_SegEnds_BW#'!$A:$Z,21,FALSE)+VLOOKUP($A164,A:AL,31,FALSE)-50),"-",(VLOOKUP($A164,'NonXtal_SegEnds_BW#'!$A:$Z,21,FALSE)+VLOOKUP($A164,A:AL,31,FALSE)-50))</f>
        <v>232</v>
      </c>
      <c r="AE164" s="3">
        <v>248</v>
      </c>
      <c r="AF164" s="3">
        <f>IF(ISERROR((VLOOKUP($A164,'NonXtal_SegEnds_BW#'!$A:$Z,22,FALSE)+VLOOKUP($A164,A:AL,31,FALSE)-50)),"-",(VLOOKUP($A164,'NonXtal_SegEnds_BW#'!$A:$Z,22,FALSE)+VLOOKUP($A164,A:AL,31,FALSE)-50))</f>
        <v>259</v>
      </c>
      <c r="AG164" s="3">
        <f>IF(ISERROR(VLOOKUP($A164,'NonXtal_SegEnds_BW#'!$A:$Z,23,FALSE)+VLOOKUP($A164,A:AL,34,FALSE)-50),"-",(VLOOKUP($A164,'NonXtal_SegEnds_BW#'!$A:$Z,23,FALSE)+VLOOKUP($A164,A:AL,34,FALSE)-50))</f>
        <v>266</v>
      </c>
      <c r="AH164" s="3">
        <v>288</v>
      </c>
      <c r="AI164" s="3">
        <f>IF(ISERROR((VLOOKUP($A164,'NonXtal_SegEnds_BW#'!$A:$Z,24,FALSE)+VLOOKUP($A164,A:AL,34,FALSE)-50)),"-",(VLOOKUP($A164,'NonXtal_SegEnds_BW#'!$A:$Z,24,FALSE)+VLOOKUP($A164,A:AL,34,FALSE)-50))</f>
        <v>294</v>
      </c>
      <c r="AJ164" s="3">
        <f>IF(ISERROR(VLOOKUP($A164,'NonXtal_SegEnds_BW#'!$A:$Z,25,FALSE)+VLOOKUP($A164,A:AL,37,FALSE)-50),"-",(VLOOKUP($A164,'NonXtal_SegEnds_BW#'!$A:$Z,25,FALSE)+VLOOKUP($A164,A:AL,37,FALSE)-50))</f>
        <v>295</v>
      </c>
      <c r="AK164" s="3">
        <v>298</v>
      </c>
      <c r="AL164" s="3">
        <f>IF(ISERROR((VLOOKUP($A164,'NonXtal_SegEnds_BW#'!$A:$Z,26,FALSE)+VLOOKUP($A164,A:AL,37,FALSE)-50)),"-",(VLOOKUP($A164,'NonXtal_SegEnds_BW#'!$A:$Z,26,FALSE)+VLOOKUP($A164,A:AL,37,FALSE)-50))</f>
        <v>307</v>
      </c>
      <c r="AM164" s="71" t="str">
        <f>VLOOKUP(A164,Classification!A:B,2,FALSE)</f>
        <v>A</v>
      </c>
      <c r="AN164" s="71" t="b">
        <f t="shared" si="69"/>
        <v>1</v>
      </c>
      <c r="AO164" s="3" t="str">
        <f t="shared" si="70"/>
        <v>-</v>
      </c>
      <c r="AP164" s="3" t="str">
        <f t="shared" si="71"/>
        <v>-</v>
      </c>
      <c r="AQ164" s="3">
        <f t="shared" si="72"/>
        <v>3</v>
      </c>
      <c r="AR164" s="3">
        <f t="shared" si="73"/>
        <v>1</v>
      </c>
      <c r="AS164" s="3">
        <f t="shared" si="74"/>
        <v>1</v>
      </c>
      <c r="AT164" s="3">
        <f t="shared" si="75"/>
        <v>2</v>
      </c>
      <c r="AU164" s="3">
        <f t="shared" si="76"/>
        <v>13</v>
      </c>
      <c r="AV164" s="3">
        <f t="shared" si="77"/>
        <v>6</v>
      </c>
      <c r="AW164" s="3">
        <f t="shared" si="78"/>
        <v>6</v>
      </c>
      <c r="AX164" s="3">
        <f t="shared" si="79"/>
        <v>7</v>
      </c>
      <c r="AY164" s="3">
        <f t="shared" si="80"/>
        <v>1</v>
      </c>
      <c r="AZ164" s="3">
        <f>IF(ISERROR(LEN(VLOOKUP(A164,Seqs!A:E,2,FALSE))-AL164),"-",LEN(VLOOKUP(A164,Seqs!A:E,2,FALSE))-AL164)</f>
        <v>30</v>
      </c>
      <c r="BA164" s="35">
        <f t="shared" si="81"/>
        <v>27</v>
      </c>
      <c r="BB164" s="3">
        <f t="shared" si="82"/>
        <v>20</v>
      </c>
      <c r="BC164" s="3">
        <f t="shared" si="83"/>
        <v>27</v>
      </c>
      <c r="BD164" s="3">
        <f t="shared" si="84"/>
        <v>36</v>
      </c>
      <c r="BE164" s="3">
        <f>MIN(ABS(BD164-'ICL3'!F2:F223))</f>
        <v>36</v>
      </c>
    </row>
    <row r="165" spans="1:57" s="3" customFormat="1" x14ac:dyDescent="0.2">
      <c r="A165" s="3" t="s">
        <v>1391</v>
      </c>
      <c r="B165" s="3" t="str">
        <f>LOWER(VLOOKUP(A165,Xtal_Templ!A:B,2,FALSE))</f>
        <v>cxcr4_human</v>
      </c>
      <c r="C165" s="3">
        <f>VLOOKUP($A165,'NonXtal_SegEnds_BW#'!$A:$Z,3,FALSE)+D165-50</f>
        <v>30</v>
      </c>
      <c r="D165" s="3">
        <v>56</v>
      </c>
      <c r="E165" s="3">
        <f>IF(ISERROR(VLOOKUP($A165,'NonXtal_SegEnds_BW#'!$A:$Z,4,FALSE)+VLOOKUP($A165,A:AL,4,FALSE)-50),"-",(VLOOKUP($A165,'NonXtal_SegEnds_BW#'!$A:$Z,4,FALSE)+VLOOKUP($A165,A:AL,4,FALSE)-50))</f>
        <v>66</v>
      </c>
      <c r="F165" s="3">
        <f>G165-2</f>
        <v>67</v>
      </c>
      <c r="G165" s="3">
        <v>69</v>
      </c>
      <c r="H165" s="3">
        <f>G165+1</f>
        <v>70</v>
      </c>
      <c r="I165" s="3">
        <f>H165+1</f>
        <v>71</v>
      </c>
      <c r="J165" s="3">
        <v>84</v>
      </c>
      <c r="K165" s="3">
        <f>VLOOKUP($A165,'NonXtal_SegEnds_BW#'!$A:$Z,8,FALSE)+VLOOKUP($A165,A:AL,10,FALSE)-50</f>
        <v>100</v>
      </c>
      <c r="L165" s="3">
        <f t="shared" si="90"/>
        <v>101</v>
      </c>
      <c r="M165" s="3">
        <v>102</v>
      </c>
      <c r="N165" s="3">
        <f t="shared" si="91"/>
        <v>104</v>
      </c>
      <c r="O165" s="3">
        <f t="shared" si="92"/>
        <v>105</v>
      </c>
      <c r="P165" s="3">
        <v>134</v>
      </c>
      <c r="Q165" s="3">
        <f>VLOOKUP($A165,'NonXtal_SegEnds_BW#'!$A:$Z,12,FALSE)+VLOOKUP($A165,A:AL,16,FALSE)-50</f>
        <v>140</v>
      </c>
      <c r="R165" s="3">
        <f>IF(ISERROR(VLOOKUP($A165,'NonXtal_SegEnds_BW#'!$A:$Z,13,FALSE)+VLOOKUP($A165,A:AL,19,FALSE)-50),"-",VLOOKUP($A165,'NonXtal_SegEnds_BW#'!$A:$Z,13,FALSE)+VLOOKUP($A165,A:AL,19,FALSE)-50)</f>
        <v>141</v>
      </c>
      <c r="S165" s="3">
        <v>141</v>
      </c>
      <c r="T165" s="3">
        <f>IF(ISERROR(VLOOKUP($A165,'NonXtal_SegEnds_BW#'!$A:$Z,14,FALSE)+VLOOKUP($A165,A:AL,19,FALSE)-50),"-",(VLOOKUP($A165,'NonXtal_SegEnds_BW#'!$A:$Z,14,FALSE)+VLOOKUP($A165,A:AL,19,FALSE)-50))</f>
        <v>148</v>
      </c>
      <c r="U165" s="3">
        <f>IF(ISERROR(VLOOKUP($A165,'NonXtal_SegEnds_BW#'!$A:$Z,15,FALSE)+VLOOKUP($A165,A:AL,22,FALSE)-50),"-",VLOOKUP($A165,'NonXtal_SegEnds_BW#'!$A:$Z,15,FALSE)+VLOOKUP($A165,A:AL,22,FALSE)-50)</f>
        <v>150</v>
      </c>
      <c r="V165" s="3">
        <v>161</v>
      </c>
      <c r="W165" s="3">
        <f>IF(ISERROR(VLOOKUP($A165,'NonXtal_SegEnds_BW#'!$A:$Z,16,FALSE)+VLOOKUP($A165,A:AL,22,FALSE)-50),"-",(VLOOKUP($A165,'NonXtal_SegEnds_BW#'!$A:$Z,16,FALSE)+VLOOKUP($A165,A:AL,22,FALSE)-50))</f>
        <v>175</v>
      </c>
      <c r="X165" s="3">
        <f>IF(ISERROR(VLOOKUP($A165,'NonXtal_SegEnds_BW#'!$A:$Z,17,FALSE)+VLOOKUP($A165,A:AL,25,FALSE)-50),"-",(VLOOKUP($A165,'NonXtal_SegEnds_BW#'!$A:$Z,17,FALSE)+VLOOKUP($A165,A:AL,25,FALSE)-50))</f>
        <v>186</v>
      </c>
      <c r="Y165" s="3">
        <v>186</v>
      </c>
      <c r="Z165" s="3">
        <f t="shared" si="93"/>
        <v>188</v>
      </c>
      <c r="AA165" s="3">
        <f>IF(ISERROR(VLOOKUP($A165,'NonXtal_SegEnds_BW#'!$A:$Z,19,FALSE)+VLOOKUP($A165,A:AL,28,FALSE)-50),"-",(VLOOKUP($A165,'NonXtal_SegEnds_BW#'!$A:$Z,19,FALSE)+VLOOKUP($A165,A:AL,28,FALSE)-50))</f>
        <v>193</v>
      </c>
      <c r="AB165" s="3">
        <v>211</v>
      </c>
      <c r="AC165" s="3">
        <f>IF(ISERROR((VLOOKUP($A165,'NonXtal_SegEnds_BW#'!$A:$Z,20,FALSE)+VLOOKUP($A165,A:AL,28,FALSE)-50)),"-",(VLOOKUP($A165,'NonXtal_SegEnds_BW#'!$A:$Z,20,FALSE)+VLOOKUP($A165,A:AL,28,FALSE)-50))</f>
        <v>229</v>
      </c>
      <c r="AD165" s="3">
        <f>IF(ISERROR(VLOOKUP($A165,'NonXtal_SegEnds_BW#'!$A:$Z,21,FALSE)+VLOOKUP($A165,A:AL,31,FALSE)-50),"-",(VLOOKUP($A165,'NonXtal_SegEnds_BW#'!$A:$Z,21,FALSE)+VLOOKUP($A165,A:AL,31,FALSE)-50))</f>
        <v>234</v>
      </c>
      <c r="AE165" s="3">
        <v>254</v>
      </c>
      <c r="AF165" s="3">
        <f>IF(ISERROR((VLOOKUP($A165,'NonXtal_SegEnds_BW#'!$A:$Z,22,FALSE)+VLOOKUP($A165,A:AL,31,FALSE)-50)),"-",(VLOOKUP($A165,'NonXtal_SegEnds_BW#'!$A:$Z,22,FALSE)+VLOOKUP($A165,A:AL,31,FALSE)-50))</f>
        <v>268</v>
      </c>
      <c r="AG165" s="3">
        <f>IF(ISERROR(VLOOKUP($A165,'NonXtal_SegEnds_BW#'!$A:$Z,23,FALSE)+VLOOKUP($A165,A:AL,34,FALSE)-50),"-",(VLOOKUP($A165,'NonXtal_SegEnds_BW#'!$A:$Z,23,FALSE)+VLOOKUP($A165,A:AL,34,FALSE)-50))</f>
        <v>273</v>
      </c>
      <c r="AH165" s="3">
        <v>299</v>
      </c>
      <c r="AI165" s="3">
        <f>IF(ISERROR((VLOOKUP($A165,'NonXtal_SegEnds_BW#'!$A:$Z,24,FALSE)+VLOOKUP($A165,A:AL,34,FALSE)-50)),"-",(VLOOKUP($A165,'NonXtal_SegEnds_BW#'!$A:$Z,24,FALSE)+VLOOKUP($A165,A:AL,34,FALSE)-50))</f>
        <v>305</v>
      </c>
      <c r="AJ165" s="3">
        <f>IF(ISERROR(VLOOKUP($A165,'NonXtal_SegEnds_BW#'!$A:$Z,25,FALSE)+VLOOKUP($A165,A:AL,37,FALSE)-50),"-",(VLOOKUP($A165,'NonXtal_SegEnds_BW#'!$A:$Z,25,FALSE)+VLOOKUP($A165,A:AL,37,FALSE)-50))</f>
        <v>306</v>
      </c>
      <c r="AK165" s="3">
        <v>309</v>
      </c>
      <c r="AL165" s="3">
        <f>IF(ISERROR((VLOOKUP($A165,'NonXtal_SegEnds_BW#'!$A:$Z,26,FALSE)+VLOOKUP($A165,A:AL,37,FALSE)-50)),"-",(VLOOKUP($A165,'NonXtal_SegEnds_BW#'!$A:$Z,26,FALSE)+VLOOKUP($A165,A:AL,37,FALSE)-50))</f>
        <v>318</v>
      </c>
      <c r="AM165" s="71" t="str">
        <f>VLOOKUP(A165,Classification!A:B,2,FALSE)</f>
        <v>A</v>
      </c>
      <c r="AN165" s="71" t="b">
        <f t="shared" si="69"/>
        <v>1</v>
      </c>
      <c r="AO165" s="3">
        <f t="shared" si="70"/>
        <v>1</v>
      </c>
      <c r="AP165" s="3">
        <f t="shared" si="71"/>
        <v>1</v>
      </c>
      <c r="AQ165" s="3">
        <f t="shared" si="72"/>
        <v>1</v>
      </c>
      <c r="AR165" s="3">
        <f t="shared" si="73"/>
        <v>1</v>
      </c>
      <c r="AS165" s="3">
        <f t="shared" si="74"/>
        <v>1</v>
      </c>
      <c r="AT165" s="3">
        <f t="shared" si="75"/>
        <v>2</v>
      </c>
      <c r="AU165" s="3">
        <f t="shared" si="76"/>
        <v>11</v>
      </c>
      <c r="AV165" s="3">
        <f t="shared" si="77"/>
        <v>5</v>
      </c>
      <c r="AW165" s="3">
        <f t="shared" si="78"/>
        <v>5</v>
      </c>
      <c r="AX165" s="3">
        <f t="shared" si="79"/>
        <v>5</v>
      </c>
      <c r="AY165" s="3">
        <f t="shared" si="80"/>
        <v>1</v>
      </c>
      <c r="AZ165" s="3">
        <f>IF(ISERROR(LEN(VLOOKUP(A165,Seqs!A:E,2,FALSE))-AL165),"-",LEN(VLOOKUP(A165,Seqs!A:E,2,FALSE))-AL165)</f>
        <v>34</v>
      </c>
      <c r="BA165" s="35">
        <f t="shared" si="81"/>
        <v>28</v>
      </c>
      <c r="BB165" s="3">
        <f t="shared" si="82"/>
        <v>20</v>
      </c>
      <c r="BC165" s="3">
        <f t="shared" si="83"/>
        <v>28</v>
      </c>
      <c r="BD165" s="3">
        <f t="shared" si="84"/>
        <v>43</v>
      </c>
    </row>
    <row r="166" spans="1:57" s="3" customFormat="1" x14ac:dyDescent="0.2">
      <c r="A166" s="3" t="s">
        <v>395</v>
      </c>
      <c r="B166" s="3" t="str">
        <f>LOWER(VLOOKUP(A166,Xtal_Templ!A:B,2,FALSE))</f>
        <v>cxcr4_human</v>
      </c>
      <c r="C166" s="3">
        <f>VLOOKUP($A166,'NonXtal_SegEnds_BW#'!$A:$Z,3,FALSE)+D166-50</f>
        <v>18</v>
      </c>
      <c r="D166" s="3">
        <v>44</v>
      </c>
      <c r="E166" s="3">
        <f>IF(ISERROR(VLOOKUP($A166,'NonXtal_SegEnds_BW#'!$A:$Z,4,FALSE)+VLOOKUP($A166,A:AL,4,FALSE)-50),"-",(VLOOKUP($A166,'NonXtal_SegEnds_BW#'!$A:$Z,4,FALSE)+VLOOKUP($A166,A:AL,4,FALSE)-50))</f>
        <v>54</v>
      </c>
      <c r="F166" s="3" t="str">
        <f>IF(ISERROR(VLOOKUP($A166,'NonXtal_SegEnds_BW#'!$A:$Z,5,FALSE)+VLOOKUP($A166,A:AL,7,FALSE)-50),"-",(VLOOKUP($A166,'NonXtal_SegEnds_BW#'!$A:$Z,5,FALSE)+VLOOKUP($A166,A:AL,7,FALSE)-50))</f>
        <v>-</v>
      </c>
      <c r="G166" s="3" t="s">
        <v>129</v>
      </c>
      <c r="H166" s="3" t="str">
        <f>IF(ISERROR(VLOOKUP($A166,'NonXtal_SegEnds_BW#'!$A:$Z,6,FALSE)+VLOOKUP($A166,A:AL,7,FALSE)-50),"-",(VLOOKUP($A166,'NonXtal_SegEnds_BW#'!$A:$Z,6,FALSE)+VLOOKUP($A166,A:AL,7,FALSE)-50))</f>
        <v>-</v>
      </c>
      <c r="I166" s="3">
        <f>VLOOKUP($A166,'NonXtal_SegEnds_BW#'!$A:$Z,7,FALSE)+J166-50</f>
        <v>58</v>
      </c>
      <c r="J166" s="3">
        <v>71</v>
      </c>
      <c r="K166" s="3">
        <f>VLOOKUP($A166,'NonXtal_SegEnds_BW#'!$A:$Z,8,FALSE)+VLOOKUP($A166,A:AL,10,FALSE)-50</f>
        <v>87</v>
      </c>
      <c r="L166" s="3">
        <f t="shared" si="90"/>
        <v>90</v>
      </c>
      <c r="M166" s="3">
        <v>91</v>
      </c>
      <c r="N166" s="3">
        <f t="shared" si="91"/>
        <v>93</v>
      </c>
      <c r="O166" s="3">
        <f t="shared" si="92"/>
        <v>94</v>
      </c>
      <c r="P166" s="3">
        <v>123</v>
      </c>
      <c r="Q166" s="3">
        <f>VLOOKUP($A166,'NonXtal_SegEnds_BW#'!$A:$Z,12,FALSE)+VLOOKUP($A166,A:AL,16,FALSE)-50</f>
        <v>129</v>
      </c>
      <c r="R166" s="3">
        <f>IF(ISERROR(VLOOKUP($A166,'NonXtal_SegEnds_BW#'!$A:$Z,13,FALSE)+VLOOKUP($A166,A:AL,19,FALSE)-50),"-",VLOOKUP($A166,'NonXtal_SegEnds_BW#'!$A:$Z,13,FALSE)+VLOOKUP($A166,A:AL,19,FALSE)-50)</f>
        <v>130</v>
      </c>
      <c r="S166" s="3">
        <v>130</v>
      </c>
      <c r="T166" s="3">
        <f>IF(ISERROR(VLOOKUP($A166,'NonXtal_SegEnds_BW#'!$A:$Z,14,FALSE)+VLOOKUP($A166,A:AL,19,FALSE)-50),"-",(VLOOKUP($A166,'NonXtal_SegEnds_BW#'!$A:$Z,14,FALSE)+VLOOKUP($A166,A:AL,19,FALSE)-50))</f>
        <v>137</v>
      </c>
      <c r="U166" s="3">
        <f>IF(ISERROR(VLOOKUP($A166,'NonXtal_SegEnds_BW#'!$A:$Z,15,FALSE)+VLOOKUP($A166,A:AL,22,FALSE)-50),"-",VLOOKUP($A166,'NonXtal_SegEnds_BW#'!$A:$Z,15,FALSE)+VLOOKUP($A166,A:AL,22,FALSE)-50)</f>
        <v>139</v>
      </c>
      <c r="V166" s="3">
        <v>150</v>
      </c>
      <c r="W166" s="3">
        <f>IF(ISERROR(VLOOKUP($A166,'NonXtal_SegEnds_BW#'!$A:$Z,16,FALSE)+VLOOKUP($A166,A:AL,22,FALSE)-50),"-",(VLOOKUP($A166,'NonXtal_SegEnds_BW#'!$A:$Z,16,FALSE)+VLOOKUP($A166,A:AL,22,FALSE)-50))</f>
        <v>164</v>
      </c>
      <c r="X166" s="3">
        <f>IF(ISERROR(VLOOKUP($A166,'NonXtal_SegEnds_BW#'!$A:$Z,17,FALSE)+VLOOKUP($A166,A:AL,25,FALSE)-50),"-",(VLOOKUP($A166,'NonXtal_SegEnds_BW#'!$A:$Z,17,FALSE)+VLOOKUP($A166,A:AL,25,FALSE)-50))</f>
        <v>176</v>
      </c>
      <c r="Y166" s="3">
        <v>176</v>
      </c>
      <c r="Z166" s="3">
        <f t="shared" si="93"/>
        <v>178</v>
      </c>
      <c r="AA166" s="3">
        <f>IF(ISERROR(VLOOKUP($A166,'NonXtal_SegEnds_BW#'!$A:$Z,19,FALSE)+VLOOKUP($A166,A:AL,28,FALSE)-50),"-",(VLOOKUP($A166,'NonXtal_SegEnds_BW#'!$A:$Z,19,FALSE)+VLOOKUP($A166,A:AL,28,FALSE)-50))</f>
        <v>195</v>
      </c>
      <c r="AB166" s="3">
        <v>213</v>
      </c>
      <c r="AC166" s="3">
        <f>IF(ISERROR((VLOOKUP($A166,'NonXtal_SegEnds_BW#'!$A:$Z,20,FALSE)+VLOOKUP($A166,A:AL,28,FALSE)-50)),"-",(VLOOKUP($A166,'NonXtal_SegEnds_BW#'!$A:$Z,20,FALSE)+VLOOKUP($A166,A:AL,28,FALSE)-50))</f>
        <v>231</v>
      </c>
      <c r="AD166" s="3">
        <f>IF(ISERROR(VLOOKUP($A166,'NonXtal_SegEnds_BW#'!$A:$Z,21,FALSE)+VLOOKUP($A166,A:AL,31,FALSE)-50),"-",(VLOOKUP($A166,'NonXtal_SegEnds_BW#'!$A:$Z,21,FALSE)+VLOOKUP($A166,A:AL,31,FALSE)-50))</f>
        <v>236</v>
      </c>
      <c r="AE166" s="3">
        <v>256</v>
      </c>
      <c r="AF166" s="3">
        <f>IF(ISERROR((VLOOKUP($A166,'NonXtal_SegEnds_BW#'!$A:$Z,22,FALSE)+VLOOKUP($A166,A:AL,31,FALSE)-50)),"-",(VLOOKUP($A166,'NonXtal_SegEnds_BW#'!$A:$Z,22,FALSE)+VLOOKUP($A166,A:AL,31,FALSE)-50))</f>
        <v>267</v>
      </c>
      <c r="AG166" s="3">
        <f>IF(ISERROR(VLOOKUP($A166,'NonXtal_SegEnds_BW#'!$A:$Z,23,FALSE)+VLOOKUP($A166,A:AL,34,FALSE)-50),"-",(VLOOKUP($A166,'NonXtal_SegEnds_BW#'!$A:$Z,23,FALSE)+VLOOKUP($A166,A:AL,34,FALSE)-50))</f>
        <v>276</v>
      </c>
      <c r="AH166" s="3">
        <v>298</v>
      </c>
      <c r="AI166" s="3">
        <f>IF(ISERROR((VLOOKUP($A166,'NonXtal_SegEnds_BW#'!$A:$Z,24,FALSE)+VLOOKUP($A166,A:AL,34,FALSE)-50)),"-",(VLOOKUP($A166,'NonXtal_SegEnds_BW#'!$A:$Z,24,FALSE)+VLOOKUP($A166,A:AL,34,FALSE)-50))</f>
        <v>304</v>
      </c>
      <c r="AJ166" s="3">
        <f>IF(ISERROR(VLOOKUP($A166,'NonXtal_SegEnds_BW#'!$A:$Z,25,FALSE)+VLOOKUP($A166,A:AL,37,FALSE)-50),"-",(VLOOKUP($A166,'NonXtal_SegEnds_BW#'!$A:$Z,25,FALSE)+VLOOKUP($A166,A:AL,37,FALSE)-50))</f>
        <v>305</v>
      </c>
      <c r="AK166" s="3">
        <v>308</v>
      </c>
      <c r="AL166" s="3">
        <f>IF(ISERROR((VLOOKUP($A166,'NonXtal_SegEnds_BW#'!$A:$Z,26,FALSE)+VLOOKUP($A166,A:AL,37,FALSE)-50)),"-",(VLOOKUP($A166,'NonXtal_SegEnds_BW#'!$A:$Z,26,FALSE)+VLOOKUP($A166,A:AL,37,FALSE)-50))</f>
        <v>317</v>
      </c>
      <c r="AM166" s="71" t="str">
        <f>VLOOKUP(A166,Classification!A:B,2,FALSE)</f>
        <v>A</v>
      </c>
      <c r="AN166" s="71" t="b">
        <f t="shared" si="69"/>
        <v>1</v>
      </c>
      <c r="AO166" s="3" t="str">
        <f t="shared" si="70"/>
        <v>-</v>
      </c>
      <c r="AP166" s="3" t="str">
        <f t="shared" si="71"/>
        <v>-</v>
      </c>
      <c r="AQ166" s="3">
        <f t="shared" si="72"/>
        <v>3</v>
      </c>
      <c r="AR166" s="3">
        <f t="shared" si="73"/>
        <v>1</v>
      </c>
      <c r="AS166" s="3">
        <f t="shared" si="74"/>
        <v>1</v>
      </c>
      <c r="AT166" s="3">
        <f t="shared" si="75"/>
        <v>2</v>
      </c>
      <c r="AU166" s="3">
        <f t="shared" si="76"/>
        <v>12</v>
      </c>
      <c r="AV166" s="3">
        <f t="shared" si="77"/>
        <v>17</v>
      </c>
      <c r="AW166" s="3">
        <f t="shared" si="78"/>
        <v>5</v>
      </c>
      <c r="AX166" s="3">
        <f t="shared" si="79"/>
        <v>9</v>
      </c>
      <c r="AY166" s="3">
        <f t="shared" si="80"/>
        <v>1</v>
      </c>
      <c r="AZ166" s="3">
        <f>IF(ISERROR(LEN(VLOOKUP(A166,Seqs!A:E,2,FALSE))-AL166),"-",LEN(VLOOKUP(A166,Seqs!A:E,2,FALSE))-AL166)</f>
        <v>33</v>
      </c>
      <c r="BA166" s="35">
        <f t="shared" si="81"/>
        <v>27</v>
      </c>
      <c r="BB166" s="3">
        <f t="shared" si="82"/>
        <v>20</v>
      </c>
      <c r="BC166" s="3">
        <f t="shared" si="83"/>
        <v>27</v>
      </c>
      <c r="BD166" s="3">
        <f t="shared" si="84"/>
        <v>43</v>
      </c>
    </row>
    <row r="167" spans="1:57" s="3" customFormat="1" x14ac:dyDescent="0.2">
      <c r="A167" s="3" t="s">
        <v>396</v>
      </c>
      <c r="B167" s="3" t="str">
        <f>LOWER(VLOOKUP(A167,Xtal_Templ!A:B,2,FALSE))</f>
        <v>cxcr4_human</v>
      </c>
      <c r="C167" s="3">
        <f>VLOOKUP($A167,'NonXtal_SegEnds_BW#'!$A:$Z,3,FALSE)+D167-50</f>
        <v>18</v>
      </c>
      <c r="D167" s="3">
        <v>44</v>
      </c>
      <c r="E167" s="3">
        <f>IF(ISERROR(VLOOKUP($A167,'NonXtal_SegEnds_BW#'!$A:$Z,4,FALSE)+VLOOKUP($A167,A:AL,4,FALSE)-50),"-",(VLOOKUP($A167,'NonXtal_SegEnds_BW#'!$A:$Z,4,FALSE)+VLOOKUP($A167,A:AL,4,FALSE)-50))</f>
        <v>54</v>
      </c>
      <c r="F167" s="3" t="str">
        <f>IF(ISERROR(VLOOKUP($A167,'NonXtal_SegEnds_BW#'!$A:$Z,5,FALSE)+VLOOKUP($A167,A:AL,7,FALSE)-50),"-",(VLOOKUP($A167,'NonXtal_SegEnds_BW#'!$A:$Z,5,FALSE)+VLOOKUP($A167,A:AL,7,FALSE)-50))</f>
        <v>-</v>
      </c>
      <c r="G167" s="3" t="s">
        <v>129</v>
      </c>
      <c r="H167" s="3" t="str">
        <f>IF(ISERROR(VLOOKUP($A167,'NonXtal_SegEnds_BW#'!$A:$Z,6,FALSE)+VLOOKUP($A167,A:AL,7,FALSE)-50),"-",(VLOOKUP($A167,'NonXtal_SegEnds_BW#'!$A:$Z,6,FALSE)+VLOOKUP($A167,A:AL,7,FALSE)-50))</f>
        <v>-</v>
      </c>
      <c r="I167" s="3">
        <f>VLOOKUP($A167,'NonXtal_SegEnds_BW#'!$A:$Z,7,FALSE)+J167-50</f>
        <v>58</v>
      </c>
      <c r="J167" s="3">
        <v>71</v>
      </c>
      <c r="K167" s="3">
        <f>VLOOKUP($A167,'NonXtal_SegEnds_BW#'!$A:$Z,8,FALSE)+VLOOKUP($A167,A:AL,10,FALSE)-50</f>
        <v>87</v>
      </c>
      <c r="L167" s="3">
        <f t="shared" si="90"/>
        <v>90</v>
      </c>
      <c r="M167" s="3">
        <v>91</v>
      </c>
      <c r="N167" s="3">
        <f t="shared" si="91"/>
        <v>93</v>
      </c>
      <c r="O167" s="3">
        <f t="shared" si="92"/>
        <v>94</v>
      </c>
      <c r="P167" s="3">
        <v>123</v>
      </c>
      <c r="Q167" s="3">
        <f>VLOOKUP($A167,'NonXtal_SegEnds_BW#'!$A:$Z,12,FALSE)+VLOOKUP($A167,A:AL,16,FALSE)-50</f>
        <v>129</v>
      </c>
      <c r="R167" s="3">
        <f>IF(ISERROR(VLOOKUP($A167,'NonXtal_SegEnds_BW#'!$A:$Z,13,FALSE)+VLOOKUP($A167,A:AL,19,FALSE)-50),"-",VLOOKUP($A167,'NonXtal_SegEnds_BW#'!$A:$Z,13,FALSE)+VLOOKUP($A167,A:AL,19,FALSE)-50)</f>
        <v>130</v>
      </c>
      <c r="S167" s="3">
        <v>130</v>
      </c>
      <c r="T167" s="3">
        <f>IF(ISERROR(VLOOKUP($A167,'NonXtal_SegEnds_BW#'!$A:$Z,14,FALSE)+VLOOKUP($A167,A:AL,19,FALSE)-50),"-",(VLOOKUP($A167,'NonXtal_SegEnds_BW#'!$A:$Z,14,FALSE)+VLOOKUP($A167,A:AL,19,FALSE)-50))</f>
        <v>137</v>
      </c>
      <c r="U167" s="3">
        <f>IF(ISERROR(VLOOKUP($A167,'NonXtal_SegEnds_BW#'!$A:$Z,15,FALSE)+VLOOKUP($A167,A:AL,22,FALSE)-50),"-",VLOOKUP($A167,'NonXtal_SegEnds_BW#'!$A:$Z,15,FALSE)+VLOOKUP($A167,A:AL,22,FALSE)-50)</f>
        <v>139</v>
      </c>
      <c r="V167" s="3">
        <v>150</v>
      </c>
      <c r="W167" s="3">
        <f>IF(ISERROR(VLOOKUP($A167,'NonXtal_SegEnds_BW#'!$A:$Z,16,FALSE)+VLOOKUP($A167,A:AL,22,FALSE)-50),"-",(VLOOKUP($A167,'NonXtal_SegEnds_BW#'!$A:$Z,16,FALSE)+VLOOKUP($A167,A:AL,22,FALSE)-50))</f>
        <v>164</v>
      </c>
      <c r="X167" s="3">
        <f>IF(ISERROR(VLOOKUP($A167,'NonXtal_SegEnds_BW#'!$A:$Z,17,FALSE)+VLOOKUP($A167,A:AL,25,FALSE)-50),"-",(VLOOKUP($A167,'NonXtal_SegEnds_BW#'!$A:$Z,17,FALSE)+VLOOKUP($A167,A:AL,25,FALSE)-50))</f>
        <v>176</v>
      </c>
      <c r="Y167" s="3">
        <v>176</v>
      </c>
      <c r="Z167" s="3">
        <f t="shared" si="93"/>
        <v>178</v>
      </c>
      <c r="AA167" s="3">
        <f>IF(ISERROR(VLOOKUP($A167,'NonXtal_SegEnds_BW#'!$A:$Z,19,FALSE)+VLOOKUP($A167,A:AL,28,FALSE)-50),"-",(VLOOKUP($A167,'NonXtal_SegEnds_BW#'!$A:$Z,19,FALSE)+VLOOKUP($A167,A:AL,28,FALSE)-50))</f>
        <v>195</v>
      </c>
      <c r="AB167" s="3">
        <v>213</v>
      </c>
      <c r="AC167" s="3">
        <f>IF(ISERROR((VLOOKUP($A167,'NonXtal_SegEnds_BW#'!$A:$Z,20,FALSE)+VLOOKUP($A167,A:AL,28,FALSE)-50)),"-",(VLOOKUP($A167,'NonXtal_SegEnds_BW#'!$A:$Z,20,FALSE)+VLOOKUP($A167,A:AL,28,FALSE)-50))</f>
        <v>231</v>
      </c>
      <c r="AD167" s="3">
        <f>IF(ISERROR(VLOOKUP($A167,'NonXtal_SegEnds_BW#'!$A:$Z,21,FALSE)+VLOOKUP($A167,A:AL,31,FALSE)-50),"-",(VLOOKUP($A167,'NonXtal_SegEnds_BW#'!$A:$Z,21,FALSE)+VLOOKUP($A167,A:AL,31,FALSE)-50))</f>
        <v>236</v>
      </c>
      <c r="AE167" s="3">
        <v>256</v>
      </c>
      <c r="AF167" s="3">
        <f>IF(ISERROR((VLOOKUP($A167,'NonXtal_SegEnds_BW#'!$A:$Z,22,FALSE)+VLOOKUP($A167,A:AL,31,FALSE)-50)),"-",(VLOOKUP($A167,'NonXtal_SegEnds_BW#'!$A:$Z,22,FALSE)+VLOOKUP($A167,A:AL,31,FALSE)-50))</f>
        <v>267</v>
      </c>
      <c r="AG167" s="3">
        <f>IF(ISERROR(VLOOKUP($A167,'NonXtal_SegEnds_BW#'!$A:$Z,23,FALSE)+VLOOKUP($A167,A:AL,34,FALSE)-50),"-",(VLOOKUP($A167,'NonXtal_SegEnds_BW#'!$A:$Z,23,FALSE)+VLOOKUP($A167,A:AL,34,FALSE)-50))</f>
        <v>273</v>
      </c>
      <c r="AH167" s="3">
        <v>299</v>
      </c>
      <c r="AI167" s="3">
        <f>IF(ISERROR((VLOOKUP($A167,'NonXtal_SegEnds_BW#'!$A:$Z,24,FALSE)+VLOOKUP($A167,A:AL,34,FALSE)-50)),"-",(VLOOKUP($A167,'NonXtal_SegEnds_BW#'!$A:$Z,24,FALSE)+VLOOKUP($A167,A:AL,34,FALSE)-50))</f>
        <v>305</v>
      </c>
      <c r="AJ167" s="3">
        <f>IF(ISERROR(VLOOKUP($A167,'NonXtal_SegEnds_BW#'!$A:$Z,25,FALSE)+VLOOKUP($A167,A:AL,37,FALSE)-50),"-",(VLOOKUP($A167,'NonXtal_SegEnds_BW#'!$A:$Z,25,FALSE)+VLOOKUP($A167,A:AL,37,FALSE)-50))</f>
        <v>306</v>
      </c>
      <c r="AK167" s="3">
        <v>309</v>
      </c>
      <c r="AL167" s="3">
        <f>IF(ISERROR((VLOOKUP($A167,'NonXtal_SegEnds_BW#'!$A:$Z,26,FALSE)+VLOOKUP($A167,A:AL,37,FALSE)-50)),"-",(VLOOKUP($A167,'NonXtal_SegEnds_BW#'!$A:$Z,26,FALSE)+VLOOKUP($A167,A:AL,37,FALSE)-50))</f>
        <v>318</v>
      </c>
      <c r="AM167" s="71" t="str">
        <f>VLOOKUP(A167,Classification!A:B,2,FALSE)</f>
        <v>A</v>
      </c>
      <c r="AN167" s="71" t="b">
        <f t="shared" si="69"/>
        <v>1</v>
      </c>
      <c r="AO167" s="3" t="str">
        <f t="shared" si="70"/>
        <v>-</v>
      </c>
      <c r="AP167" s="3" t="str">
        <f t="shared" si="71"/>
        <v>-</v>
      </c>
      <c r="AQ167" s="3">
        <f t="shared" si="72"/>
        <v>3</v>
      </c>
      <c r="AR167" s="3">
        <f t="shared" si="73"/>
        <v>1</v>
      </c>
      <c r="AS167" s="3">
        <f t="shared" si="74"/>
        <v>1</v>
      </c>
      <c r="AT167" s="3">
        <f t="shared" si="75"/>
        <v>2</v>
      </c>
      <c r="AU167" s="3">
        <f t="shared" si="76"/>
        <v>12</v>
      </c>
      <c r="AV167" s="3">
        <f t="shared" si="77"/>
        <v>17</v>
      </c>
      <c r="AW167" s="3">
        <f t="shared" si="78"/>
        <v>5</v>
      </c>
      <c r="AX167" s="3">
        <f t="shared" si="79"/>
        <v>6</v>
      </c>
      <c r="AY167" s="3">
        <f t="shared" si="80"/>
        <v>1</v>
      </c>
      <c r="AZ167" s="3">
        <f>IF(ISERROR(LEN(VLOOKUP(A167,Seqs!A:E,2,FALSE))-AL167),"-",LEN(VLOOKUP(A167,Seqs!A:E,2,FALSE))-AL167)</f>
        <v>33</v>
      </c>
      <c r="BA167" s="35">
        <f t="shared" si="81"/>
        <v>27</v>
      </c>
      <c r="BB167" s="3">
        <f t="shared" si="82"/>
        <v>20</v>
      </c>
      <c r="BC167" s="3">
        <f t="shared" si="83"/>
        <v>27</v>
      </c>
      <c r="BD167" s="3">
        <f t="shared" si="84"/>
        <v>43</v>
      </c>
    </row>
    <row r="168" spans="1:57" s="3" customFormat="1" x14ac:dyDescent="0.2">
      <c r="A168" s="3" t="s">
        <v>397</v>
      </c>
      <c r="B168" s="3" t="str">
        <f>LOWER(VLOOKUP(A168,Xtal_Templ!A:B,2,FALSE))</f>
        <v>cxcr4_human</v>
      </c>
      <c r="C168" s="3">
        <f>VLOOKUP($A168,'NonXtal_SegEnds_BW#'!$A:$Z,3,FALSE)+D168-50</f>
        <v>18</v>
      </c>
      <c r="D168" s="3">
        <v>44</v>
      </c>
      <c r="E168" s="3">
        <f>IF(ISERROR(VLOOKUP($A168,'NonXtal_SegEnds_BW#'!$A:$Z,4,FALSE)+VLOOKUP($A168,A:AL,4,FALSE)-50),"-",(VLOOKUP($A168,'NonXtal_SegEnds_BW#'!$A:$Z,4,FALSE)+VLOOKUP($A168,A:AL,4,FALSE)-50))</f>
        <v>54</v>
      </c>
      <c r="F168" s="3" t="str">
        <f>IF(ISERROR(VLOOKUP($A168,'NonXtal_SegEnds_BW#'!$A:$Z,5,FALSE)+VLOOKUP($A168,A:AL,7,FALSE)-50),"-",(VLOOKUP($A168,'NonXtal_SegEnds_BW#'!$A:$Z,5,FALSE)+VLOOKUP($A168,A:AL,7,FALSE)-50))</f>
        <v>-</v>
      </c>
      <c r="G168" s="3" t="s">
        <v>129</v>
      </c>
      <c r="H168" s="3" t="str">
        <f>IF(ISERROR(VLOOKUP($A168,'NonXtal_SegEnds_BW#'!$A:$Z,6,FALSE)+VLOOKUP($A168,A:AL,7,FALSE)-50),"-",(VLOOKUP($A168,'NonXtal_SegEnds_BW#'!$A:$Z,6,FALSE)+VLOOKUP($A168,A:AL,7,FALSE)-50))</f>
        <v>-</v>
      </c>
      <c r="I168" s="3">
        <f>VLOOKUP($A168,'NonXtal_SegEnds_BW#'!$A:$Z,7,FALSE)+J168-50</f>
        <v>58</v>
      </c>
      <c r="J168" s="3">
        <v>71</v>
      </c>
      <c r="K168" s="3">
        <f>VLOOKUP($A168,'NonXtal_SegEnds_BW#'!$A:$Z,8,FALSE)+VLOOKUP($A168,A:AL,10,FALSE)-50</f>
        <v>87</v>
      </c>
      <c r="L168" s="3">
        <f t="shared" si="90"/>
        <v>90</v>
      </c>
      <c r="M168" s="3">
        <v>91</v>
      </c>
      <c r="N168" s="3">
        <f t="shared" si="91"/>
        <v>93</v>
      </c>
      <c r="O168" s="3">
        <f t="shared" si="92"/>
        <v>94</v>
      </c>
      <c r="P168" s="3">
        <v>123</v>
      </c>
      <c r="Q168" s="3">
        <f>VLOOKUP($A168,'NonXtal_SegEnds_BW#'!$A:$Z,12,FALSE)+VLOOKUP($A168,A:AL,16,FALSE)-50</f>
        <v>129</v>
      </c>
      <c r="R168" s="3">
        <f>IF(ISERROR(VLOOKUP($A168,'NonXtal_SegEnds_BW#'!$A:$Z,13,FALSE)+VLOOKUP($A168,A:AL,19,FALSE)-50),"-",VLOOKUP($A168,'NonXtal_SegEnds_BW#'!$A:$Z,13,FALSE)+VLOOKUP($A168,A:AL,19,FALSE)-50)</f>
        <v>130</v>
      </c>
      <c r="S168" s="3">
        <v>130</v>
      </c>
      <c r="T168" s="3">
        <f>IF(ISERROR(VLOOKUP($A168,'NonXtal_SegEnds_BW#'!$A:$Z,14,FALSE)+VLOOKUP($A168,A:AL,19,FALSE)-50),"-",(VLOOKUP($A168,'NonXtal_SegEnds_BW#'!$A:$Z,14,FALSE)+VLOOKUP($A168,A:AL,19,FALSE)-50))</f>
        <v>137</v>
      </c>
      <c r="U168" s="3">
        <f>IF(ISERROR(VLOOKUP($A168,'NonXtal_SegEnds_BW#'!$A:$Z,15,FALSE)+VLOOKUP($A168,A:AL,22,FALSE)-50),"-",VLOOKUP($A168,'NonXtal_SegEnds_BW#'!$A:$Z,15,FALSE)+VLOOKUP($A168,A:AL,22,FALSE)-50)</f>
        <v>139</v>
      </c>
      <c r="V168" s="3">
        <v>150</v>
      </c>
      <c r="W168" s="3">
        <f>IF(ISERROR(VLOOKUP($A168,'NonXtal_SegEnds_BW#'!$A:$Z,16,FALSE)+VLOOKUP($A168,A:AL,22,FALSE)-50),"-",(VLOOKUP($A168,'NonXtal_SegEnds_BW#'!$A:$Z,16,FALSE)+VLOOKUP($A168,A:AL,22,FALSE)-50))</f>
        <v>164</v>
      </c>
      <c r="X168" s="3">
        <f>IF(ISERROR(VLOOKUP($A168,'NonXtal_SegEnds_BW#'!$A:$Z,17,FALSE)+VLOOKUP($A168,A:AL,25,FALSE)-50),"-",(VLOOKUP($A168,'NonXtal_SegEnds_BW#'!$A:$Z,17,FALSE)+VLOOKUP($A168,A:AL,25,FALSE)-50))</f>
        <v>176</v>
      </c>
      <c r="Y168" s="3">
        <v>176</v>
      </c>
      <c r="Z168" s="3">
        <f t="shared" si="93"/>
        <v>178</v>
      </c>
      <c r="AA168" s="3">
        <f>IF(ISERROR(VLOOKUP($A168,'NonXtal_SegEnds_BW#'!$A:$Z,19,FALSE)+VLOOKUP($A168,A:AL,28,FALSE)-50),"-",(VLOOKUP($A168,'NonXtal_SegEnds_BW#'!$A:$Z,19,FALSE)+VLOOKUP($A168,A:AL,28,FALSE)-50))</f>
        <v>195</v>
      </c>
      <c r="AB168" s="3">
        <v>213</v>
      </c>
      <c r="AC168" s="3">
        <f>IF(ISERROR((VLOOKUP($A168,'NonXtal_SegEnds_BW#'!$A:$Z,20,FALSE)+VLOOKUP($A168,A:AL,28,FALSE)-50)),"-",(VLOOKUP($A168,'NonXtal_SegEnds_BW#'!$A:$Z,20,FALSE)+VLOOKUP($A168,A:AL,28,FALSE)-50))</f>
        <v>231</v>
      </c>
      <c r="AD168" s="3">
        <f>IF(ISERROR(VLOOKUP($A168,'NonXtal_SegEnds_BW#'!$A:$Z,21,FALSE)+VLOOKUP($A168,A:AL,31,FALSE)-50),"-",(VLOOKUP($A168,'NonXtal_SegEnds_BW#'!$A:$Z,21,FALSE)+VLOOKUP($A168,A:AL,31,FALSE)-50))</f>
        <v>236</v>
      </c>
      <c r="AE168" s="3">
        <v>256</v>
      </c>
      <c r="AF168" s="3">
        <f>IF(ISERROR((VLOOKUP($A168,'NonXtal_SegEnds_BW#'!$A:$Z,22,FALSE)+VLOOKUP($A168,A:AL,31,FALSE)-50)),"-",(VLOOKUP($A168,'NonXtal_SegEnds_BW#'!$A:$Z,22,FALSE)+VLOOKUP($A168,A:AL,31,FALSE)-50))</f>
        <v>267</v>
      </c>
      <c r="AG168" s="3">
        <f>IF(ISERROR(VLOOKUP($A168,'NonXtal_SegEnds_BW#'!$A:$Z,23,FALSE)+VLOOKUP($A168,A:AL,34,FALSE)-50),"-",(VLOOKUP($A168,'NonXtal_SegEnds_BW#'!$A:$Z,23,FALSE)+VLOOKUP($A168,A:AL,34,FALSE)-50))</f>
        <v>273</v>
      </c>
      <c r="AH168" s="3">
        <v>299</v>
      </c>
      <c r="AI168" s="3">
        <f>IF(ISERROR((VLOOKUP($A168,'NonXtal_SegEnds_BW#'!$A:$Z,24,FALSE)+VLOOKUP($A168,A:AL,34,FALSE)-50)),"-",(VLOOKUP($A168,'NonXtal_SegEnds_BW#'!$A:$Z,24,FALSE)+VLOOKUP($A168,A:AL,34,FALSE)-50))</f>
        <v>305</v>
      </c>
      <c r="AJ168" s="3">
        <f>IF(ISERROR(VLOOKUP($A168,'NonXtal_SegEnds_BW#'!$A:$Z,25,FALSE)+VLOOKUP($A168,A:AL,37,FALSE)-50),"-",(VLOOKUP($A168,'NonXtal_SegEnds_BW#'!$A:$Z,25,FALSE)+VLOOKUP($A168,A:AL,37,FALSE)-50))</f>
        <v>306</v>
      </c>
      <c r="AK168" s="3">
        <v>309</v>
      </c>
      <c r="AL168" s="3">
        <f>IF(ISERROR((VLOOKUP($A168,'NonXtal_SegEnds_BW#'!$A:$Z,26,FALSE)+VLOOKUP($A168,A:AL,37,FALSE)-50)),"-",(VLOOKUP($A168,'NonXtal_SegEnds_BW#'!$A:$Z,26,FALSE)+VLOOKUP($A168,A:AL,37,FALSE)-50))</f>
        <v>318</v>
      </c>
      <c r="AM168" s="71" t="str">
        <f>VLOOKUP(A168,Classification!A:B,2,FALSE)</f>
        <v>A</v>
      </c>
      <c r="AN168" s="71" t="b">
        <f t="shared" si="69"/>
        <v>1</v>
      </c>
      <c r="AO168" s="3" t="str">
        <f t="shared" si="70"/>
        <v>-</v>
      </c>
      <c r="AP168" s="3" t="str">
        <f t="shared" si="71"/>
        <v>-</v>
      </c>
      <c r="AQ168" s="3">
        <f t="shared" si="72"/>
        <v>3</v>
      </c>
      <c r="AR168" s="3">
        <f t="shared" si="73"/>
        <v>1</v>
      </c>
      <c r="AS168" s="3">
        <f t="shared" si="74"/>
        <v>1</v>
      </c>
      <c r="AT168" s="3">
        <f t="shared" si="75"/>
        <v>2</v>
      </c>
      <c r="AU168" s="3">
        <f t="shared" si="76"/>
        <v>12</v>
      </c>
      <c r="AV168" s="3">
        <f t="shared" si="77"/>
        <v>17</v>
      </c>
      <c r="AW168" s="3">
        <f t="shared" si="78"/>
        <v>5</v>
      </c>
      <c r="AX168" s="3">
        <f t="shared" si="79"/>
        <v>6</v>
      </c>
      <c r="AY168" s="3">
        <f t="shared" si="80"/>
        <v>1</v>
      </c>
      <c r="AZ168" s="3">
        <f>IF(ISERROR(LEN(VLOOKUP(A168,Seqs!A:E,2,FALSE))-AL168),"-",LEN(VLOOKUP(A168,Seqs!A:E,2,FALSE))-AL168)</f>
        <v>35</v>
      </c>
      <c r="BA168" s="35">
        <f t="shared" si="81"/>
        <v>27</v>
      </c>
      <c r="BB168" s="3">
        <f t="shared" si="82"/>
        <v>20</v>
      </c>
      <c r="BC168" s="3">
        <f t="shared" si="83"/>
        <v>27</v>
      </c>
      <c r="BD168" s="3">
        <f t="shared" si="84"/>
        <v>43</v>
      </c>
    </row>
    <row r="169" spans="1:57" s="3" customFormat="1" x14ac:dyDescent="0.2">
      <c r="A169" s="3" t="s">
        <v>467</v>
      </c>
      <c r="B169" s="3" t="str">
        <f>LOWER(VLOOKUP(A169,Xtal_Templ!A:B,2,FALSE))</f>
        <v>drd3_human</v>
      </c>
      <c r="C169" s="3">
        <f>VLOOKUP($A169,'NonXtal_SegEnds_BW#'!$A:$Z,3,FALSE)+D169-50</f>
        <v>28</v>
      </c>
      <c r="D169" s="3">
        <v>49</v>
      </c>
      <c r="E169" s="3">
        <f>IF(ISERROR(VLOOKUP($A169,'NonXtal_SegEnds_BW#'!$A:$Z,4,FALSE)+VLOOKUP($A169,A:AL,4,FALSE)-50),"-",(VLOOKUP($A169,'NonXtal_SegEnds_BW#'!$A:$Z,4,FALSE)+VLOOKUP($A169,A:AL,4,FALSE)-50))</f>
        <v>59</v>
      </c>
      <c r="F169" s="3">
        <f>G169-2</f>
        <v>60</v>
      </c>
      <c r="G169" s="3">
        <v>62</v>
      </c>
      <c r="H169" s="3">
        <f>G169+1</f>
        <v>63</v>
      </c>
      <c r="I169" s="3">
        <f>H169+1</f>
        <v>64</v>
      </c>
      <c r="J169" s="3">
        <v>77</v>
      </c>
      <c r="K169" s="3">
        <f>VLOOKUP($A169,'NonXtal_SegEnds_BW#'!$A:$Z,8,FALSE)+VLOOKUP($A169,A:AL,10,FALSE)-50</f>
        <v>94</v>
      </c>
      <c r="L169" s="3" t="str">
        <f>IF(ISERROR(VLOOKUP($A169,'NonXtal_SegEnds_BW#'!$A:$Z,9,FALSE)+VLOOKUP($A169,A:AL,13,FALSE)-50),"-",(VLOOKUP($A169,'NonXtal_SegEnds_BW#'!$A:$Z,9,FALSE)+VLOOKUP($A169,A:AL,13,FALSE)-50))</f>
        <v>-</v>
      </c>
      <c r="M169" s="3" t="s">
        <v>129</v>
      </c>
      <c r="N169" s="3" t="str">
        <f>IF(ISERROR(VLOOKUP($A169,'NonXtal_SegEnds_BW#'!$A:$Z,10,FALSE)+VLOOKUP($A169,A:AL,13,FALSE)-50),"-",(VLOOKUP($A169,'NonXtal_SegEnds_BW#'!$A:$Z,10,FALSE)+VLOOKUP($A169,A:AL,13,FALSE)-50))</f>
        <v>-</v>
      </c>
      <c r="O169" s="3">
        <f>VLOOKUP($A169,'NonXtal_SegEnds_BW#'!$A:$Z,11,FALSE)+VLOOKUP($A169,A:AL,16,FALSE)-50</f>
        <v>106</v>
      </c>
      <c r="P169" s="3">
        <v>138</v>
      </c>
      <c r="Q169" s="3">
        <f>VLOOKUP($A169,'NonXtal_SegEnds_BW#'!$A:$Z,12,FALSE)+VLOOKUP($A169,A:AL,16,FALSE)-50</f>
        <v>144</v>
      </c>
      <c r="R169" s="3">
        <f>IF(ISERROR(VLOOKUP($A169,'NonXtal_SegEnds_BW#'!$A:$Z,13,FALSE)+VLOOKUP($A169,A:AL,19,FALSE)-50),"-",VLOOKUP($A169,'NonXtal_SegEnds_BW#'!$A:$Z,13,FALSE)+VLOOKUP($A169,A:AL,19,FALSE)-50)</f>
        <v>146</v>
      </c>
      <c r="S169" s="3">
        <v>146</v>
      </c>
      <c r="T169" s="3">
        <f>IF(ISERROR(VLOOKUP($A169,'NonXtal_SegEnds_BW#'!$A:$Z,14,FALSE)+VLOOKUP($A169,A:AL,19,FALSE)-50),"-",(VLOOKUP($A169,'NonXtal_SegEnds_BW#'!$A:$Z,14,FALSE)+VLOOKUP($A169,A:AL,19,FALSE)-50))</f>
        <v>153</v>
      </c>
      <c r="U169" s="3">
        <f>IF(ISERROR(VLOOKUP($A169,'NonXtal_SegEnds_BW#'!$A:$Z,15,FALSE)+VLOOKUP($A169,A:AL,22,FALSE)-50),"-",VLOOKUP($A169,'NonXtal_SegEnds_BW#'!$A:$Z,15,FALSE)+VLOOKUP($A169,A:AL,22,FALSE)-50)</f>
        <v>155</v>
      </c>
      <c r="V169" s="3">
        <v>166</v>
      </c>
      <c r="W169" s="3">
        <f>IF(ISERROR(VLOOKUP($A169,'NonXtal_SegEnds_BW#'!$A:$Z,16,FALSE)+VLOOKUP($A169,A:AL,22,FALSE)-50),"-",(VLOOKUP($A169,'NonXtal_SegEnds_BW#'!$A:$Z,16,FALSE)+VLOOKUP($A169,A:AL,22,FALSE)-50))</f>
        <v>179</v>
      </c>
      <c r="X169" s="3" t="str">
        <f>IF(ISERROR(VLOOKUP($A169,'NonXtal_SegEnds_BW#'!$A:$Z,17,FALSE)+VLOOKUP($A169,A:AL,25,FALSE)-50),"-",(VLOOKUP($A169,'NonXtal_SegEnds_BW#'!$A:$Z,17,FALSE)+VLOOKUP($A169,A:AL,25,FALSE)-50))</f>
        <v>-</v>
      </c>
      <c r="Y169" s="3" t="s">
        <v>129</v>
      </c>
      <c r="Z169" s="3" t="str">
        <f>IF(ISERROR(VLOOKUP($A169,'NonXtal_SegEnds_BW#'!$A:$Z,18,FALSE)+VLOOKUP($A169,A:AL,25,FALSE)-50),"-",(VLOOKUP($A169,'NonXtal_SegEnds_BW#'!$A:$Z,18,FALSE)+VLOOKUP($A169,A:AL,25,FALSE)-50))</f>
        <v>-</v>
      </c>
      <c r="AA169" s="3">
        <f>IF(ISERROR(VLOOKUP($A169,'NonXtal_SegEnds_BW#'!$A:$Z,19,FALSE)+VLOOKUP($A169,A:AL,28,FALSE)-50),"-",(VLOOKUP($A169,'NonXtal_SegEnds_BW#'!$A:$Z,19,FALSE)+VLOOKUP($A169,A:AL,28,FALSE)-50))</f>
        <v>223</v>
      </c>
      <c r="AB169" s="3">
        <v>238</v>
      </c>
      <c r="AC169" s="3">
        <f>IF(ISERROR((VLOOKUP($A169,'NonXtal_SegEnds_BW#'!$A:$Z,20,FALSE)+VLOOKUP($A169,A:AL,28,FALSE)-50)),"-",(VLOOKUP($A169,'NonXtal_SegEnds_BW#'!$A:$Z,20,FALSE)+VLOOKUP($A169,A:AL,28,FALSE)-50))</f>
        <v>262</v>
      </c>
      <c r="AD169" s="3">
        <f>IF(ISERROR(VLOOKUP($A169,'NonXtal_SegEnds_BW#'!$A:$Z,21,FALSE)+VLOOKUP($A169,A:AL,31,FALSE)-50),"-",(VLOOKUP($A169,'NonXtal_SegEnds_BW#'!$A:$Z,21,FALSE)+VLOOKUP($A169,A:AL,31,FALSE)-50))</f>
        <v>270</v>
      </c>
      <c r="AE169" s="3">
        <v>299</v>
      </c>
      <c r="AF169" s="3">
        <f>IF(ISERROR((VLOOKUP($A169,'NonXtal_SegEnds_BW#'!$A:$Z,22,FALSE)+VLOOKUP($A169,A:AL,31,FALSE)-50)),"-",(VLOOKUP($A169,'NonXtal_SegEnds_BW#'!$A:$Z,22,FALSE)+VLOOKUP($A169,A:AL,31,FALSE)-50))</f>
        <v>310</v>
      </c>
      <c r="AG169" s="3">
        <f>IF(ISERROR(VLOOKUP($A169,'NonXtal_SegEnds_BW#'!$A:$Z,23,FALSE)+VLOOKUP($A169,A:AL,34,FALSE)-50),"-",(VLOOKUP($A169,'NonXtal_SegEnds_BW#'!$A:$Z,23,FALSE)+VLOOKUP($A169,A:AL,34,FALSE)-50))</f>
        <v>315</v>
      </c>
      <c r="AH169" s="3">
        <v>333</v>
      </c>
      <c r="AI169" s="3">
        <f>IF(ISERROR((VLOOKUP($A169,'NonXtal_SegEnds_BW#'!$A:$Z,24,FALSE)+VLOOKUP($A169,A:AL,34,FALSE)-50)),"-",(VLOOKUP($A169,'NonXtal_SegEnds_BW#'!$A:$Z,24,FALSE)+VLOOKUP($A169,A:AL,34,FALSE)-50))</f>
        <v>339</v>
      </c>
      <c r="AJ169" s="3">
        <f>IF(ISERROR(VLOOKUP($A169,'NonXtal_SegEnds_BW#'!$A:$Z,25,FALSE)+VLOOKUP($A169,A:AL,37,FALSE)-50),"-",(VLOOKUP($A169,'NonXtal_SegEnds_BW#'!$A:$Z,25,FALSE)+VLOOKUP($A169,A:AL,37,FALSE)-50))</f>
        <v>340</v>
      </c>
      <c r="AK169" s="3">
        <v>343</v>
      </c>
      <c r="AL169" s="3">
        <f>IF(ISERROR((VLOOKUP($A169,'NonXtal_SegEnds_BW#'!$A:$Z,26,FALSE)+VLOOKUP($A169,A:AL,37,FALSE)-50)),"-",(VLOOKUP($A169,'NonXtal_SegEnds_BW#'!$A:$Z,26,FALSE)+VLOOKUP($A169,A:AL,37,FALSE)-50))</f>
        <v>352</v>
      </c>
      <c r="AM169" s="71" t="str">
        <f>VLOOKUP(A169,Classification!A:B,2,FALSE)</f>
        <v>A</v>
      </c>
      <c r="AN169" s="71" t="b">
        <f t="shared" si="69"/>
        <v>1</v>
      </c>
      <c r="AO169" s="3">
        <f t="shared" si="70"/>
        <v>1</v>
      </c>
      <c r="AP169" s="3">
        <f t="shared" si="71"/>
        <v>1</v>
      </c>
      <c r="AQ169" s="3" t="str">
        <f t="shared" si="72"/>
        <v>-</v>
      </c>
      <c r="AR169" s="3" t="str">
        <f t="shared" si="73"/>
        <v>-</v>
      </c>
      <c r="AS169" s="3">
        <f t="shared" si="74"/>
        <v>2</v>
      </c>
      <c r="AT169" s="3">
        <f t="shared" si="75"/>
        <v>2</v>
      </c>
      <c r="AU169" s="3" t="str">
        <f t="shared" si="76"/>
        <v>-</v>
      </c>
      <c r="AV169" s="3" t="str">
        <f t="shared" si="77"/>
        <v>-</v>
      </c>
      <c r="AW169" s="3">
        <f t="shared" si="78"/>
        <v>8</v>
      </c>
      <c r="AX169" s="3">
        <f t="shared" si="79"/>
        <v>5</v>
      </c>
      <c r="AY169" s="3">
        <f t="shared" si="80"/>
        <v>1</v>
      </c>
      <c r="AZ169" s="3">
        <f>IF(ISERROR(LEN(VLOOKUP(A169,Seqs!A:E,2,FALSE))-AL169),"-",LEN(VLOOKUP(A169,Seqs!A:E,2,FALSE))-AL169)</f>
        <v>32</v>
      </c>
      <c r="BA169" s="35">
        <f t="shared" si="81"/>
        <v>28</v>
      </c>
      <c r="BB169" s="3">
        <f t="shared" si="82"/>
        <v>20</v>
      </c>
      <c r="BC169" s="3">
        <f t="shared" si="83"/>
        <v>28</v>
      </c>
      <c r="BD169" s="3">
        <f t="shared" si="84"/>
        <v>61</v>
      </c>
    </row>
    <row r="170" spans="1:57" s="3" customFormat="1" x14ac:dyDescent="0.2">
      <c r="A170" s="3" t="s">
        <v>457</v>
      </c>
      <c r="B170" s="3" t="str">
        <f>LOWER(VLOOKUP(A170,Xtal_Templ!A:B,2,FALSE))</f>
        <v>drd3_human</v>
      </c>
      <c r="C170" s="3">
        <f>VLOOKUP($A170,'NonXtal_SegEnds_BW#'!$A:$Z,3,FALSE)+D170-50</f>
        <v>39</v>
      </c>
      <c r="D170" s="3">
        <v>60</v>
      </c>
      <c r="E170" s="3">
        <f>IF(ISERROR(VLOOKUP($A170,'NonXtal_SegEnds_BW#'!$A:$Z,4,FALSE)+VLOOKUP($A170,A:AL,4,FALSE)-50),"-",(VLOOKUP($A170,'NonXtal_SegEnds_BW#'!$A:$Z,4,FALSE)+VLOOKUP($A170,A:AL,4,FALSE)-50))</f>
        <v>70</v>
      </c>
      <c r="F170" s="3" t="str">
        <f>IF(ISERROR(VLOOKUP($A170,'NonXtal_SegEnds_BW#'!$A:$Z,5,FALSE)+VLOOKUP($A170,A:AL,7,FALSE)-50),"-",(VLOOKUP($A170,'NonXtal_SegEnds_BW#'!$A:$Z,5,FALSE)+VLOOKUP($A170,A:AL,7,FALSE)-50))</f>
        <v>-</v>
      </c>
      <c r="G170" s="3" t="s">
        <v>129</v>
      </c>
      <c r="H170" s="3" t="str">
        <f>IF(ISERROR(VLOOKUP($A170,'NonXtal_SegEnds_BW#'!$A:$Z,6,FALSE)+VLOOKUP($A170,A:AL,7,FALSE)-50),"-",(VLOOKUP($A170,'NonXtal_SegEnds_BW#'!$A:$Z,6,FALSE)+VLOOKUP($A170,A:AL,7,FALSE)-50))</f>
        <v>-</v>
      </c>
      <c r="I170" s="3">
        <f>VLOOKUP($A170,'NonXtal_SegEnds_BW#'!$A:$Z,7,FALSE)+J170-50</f>
        <v>73</v>
      </c>
      <c r="J170" s="3">
        <v>86</v>
      </c>
      <c r="K170" s="3">
        <f>VLOOKUP($A170,'NonXtal_SegEnds_BW#'!$A:$Z,8,FALSE)+VLOOKUP($A170,A:AL,10,FALSE)-50</f>
        <v>103</v>
      </c>
      <c r="L170" s="3">
        <f>M170-1</f>
        <v>106</v>
      </c>
      <c r="M170" s="3">
        <v>107</v>
      </c>
      <c r="N170" s="3">
        <f>M170+2</f>
        <v>109</v>
      </c>
      <c r="O170" s="3">
        <f>N170+1</f>
        <v>110</v>
      </c>
      <c r="P170" s="3">
        <v>140</v>
      </c>
      <c r="Q170" s="3">
        <f>VLOOKUP($A170,'NonXtal_SegEnds_BW#'!$A:$Z,12,FALSE)+VLOOKUP($A170,A:AL,16,FALSE)-50</f>
        <v>146</v>
      </c>
      <c r="R170" s="3">
        <f>IF(ISERROR(VLOOKUP($A170,'NonXtal_SegEnds_BW#'!$A:$Z,13,FALSE)+VLOOKUP($A170,A:AL,19,FALSE)-50),"-",VLOOKUP($A170,'NonXtal_SegEnds_BW#'!$A:$Z,13,FALSE)+VLOOKUP($A170,A:AL,19,FALSE)-50)</f>
        <v>147</v>
      </c>
      <c r="S170" s="3">
        <v>147</v>
      </c>
      <c r="T170" s="3">
        <f>IF(ISERROR(VLOOKUP($A170,'NonXtal_SegEnds_BW#'!$A:$Z,14,FALSE)+VLOOKUP($A170,A:AL,19,FALSE)-50),"-",(VLOOKUP($A170,'NonXtal_SegEnds_BW#'!$A:$Z,14,FALSE)+VLOOKUP($A170,A:AL,19,FALSE)-50))</f>
        <v>154</v>
      </c>
      <c r="U170" s="3">
        <f>IF(ISERROR(VLOOKUP($A170,'NonXtal_SegEnds_BW#'!$A:$Z,15,FALSE)+VLOOKUP($A170,A:AL,22,FALSE)-50),"-",VLOOKUP($A170,'NonXtal_SegEnds_BW#'!$A:$Z,15,FALSE)+VLOOKUP($A170,A:AL,22,FALSE)-50)</f>
        <v>156</v>
      </c>
      <c r="V170" s="3">
        <v>167</v>
      </c>
      <c r="W170" s="3">
        <f>IF(ISERROR(VLOOKUP($A170,'NonXtal_SegEnds_BW#'!$A:$Z,16,FALSE)+VLOOKUP($A170,A:AL,22,FALSE)-50),"-",(VLOOKUP($A170,'NonXtal_SegEnds_BW#'!$A:$Z,16,FALSE)+VLOOKUP($A170,A:AL,22,FALSE)-50))</f>
        <v>180</v>
      </c>
      <c r="X170" s="3">
        <f>IF(ISERROR(VLOOKUP($A170,'NonXtal_SegEnds_BW#'!$A:$Z,17,FALSE)+VLOOKUP($A170,A:AL,25,FALSE)-50),"-",(VLOOKUP($A170,'NonXtal_SegEnds_BW#'!$A:$Z,17,FALSE)+VLOOKUP($A170,A:AL,25,FALSE)-50))</f>
        <v>195</v>
      </c>
      <c r="Y170" s="3">
        <v>195</v>
      </c>
      <c r="Z170" s="3">
        <f t="shared" ref="Z170:Z198" si="94">Y170+2</f>
        <v>197</v>
      </c>
      <c r="AA170" s="3">
        <f>IF(ISERROR(VLOOKUP($A170,'NonXtal_SegEnds_BW#'!$A:$Z,19,FALSE)+VLOOKUP($A170,A:AL,28,FALSE)-50),"-",(VLOOKUP($A170,'NonXtal_SegEnds_BW#'!$A:$Z,19,FALSE)+VLOOKUP($A170,A:AL,28,FALSE)-50))</f>
        <v>205</v>
      </c>
      <c r="AB170" s="3">
        <v>220</v>
      </c>
      <c r="AC170" s="3">
        <f>IF(ISERROR((VLOOKUP($A170,'NonXtal_SegEnds_BW#'!$A:$Z,20,FALSE)+VLOOKUP($A170,A:AL,28,FALSE)-50)),"-",(VLOOKUP($A170,'NonXtal_SegEnds_BW#'!$A:$Z,20,FALSE)+VLOOKUP($A170,A:AL,28,FALSE)-50))</f>
        <v>246</v>
      </c>
      <c r="AD170" s="3">
        <f>IF(ISERROR(VLOOKUP($A170,'NonXtal_SegEnds_BW#'!$A:$Z,21,FALSE)+VLOOKUP($A170,A:AL,31,FALSE)-50),"-",(VLOOKUP($A170,'NonXtal_SegEnds_BW#'!$A:$Z,21,FALSE)+VLOOKUP($A170,A:AL,31,FALSE)-50))</f>
        <v>276</v>
      </c>
      <c r="AE170" s="3">
        <v>302</v>
      </c>
      <c r="AF170" s="3">
        <f>IF(ISERROR((VLOOKUP($A170,'NonXtal_SegEnds_BW#'!$A:$Z,22,FALSE)+VLOOKUP($A170,A:AL,31,FALSE)-50)),"-",(VLOOKUP($A170,'NonXtal_SegEnds_BW#'!$A:$Z,22,FALSE)+VLOOKUP($A170,A:AL,31,FALSE)-50))</f>
        <v>313</v>
      </c>
      <c r="AG170" s="3">
        <f>IF(ISERROR(VLOOKUP($A170,'NonXtal_SegEnds_BW#'!$A:$Z,23,FALSE)+VLOOKUP($A170,A:AL,34,FALSE)-50),"-",(VLOOKUP($A170,'NonXtal_SegEnds_BW#'!$A:$Z,23,FALSE)+VLOOKUP($A170,A:AL,34,FALSE)-50))</f>
        <v>319</v>
      </c>
      <c r="AH170" s="3">
        <v>338</v>
      </c>
      <c r="AI170" s="3">
        <f>IF(ISERROR((VLOOKUP($A170,'NonXtal_SegEnds_BW#'!$A:$Z,24,FALSE)+VLOOKUP($A170,A:AL,34,FALSE)-50)),"-",(VLOOKUP($A170,'NonXtal_SegEnds_BW#'!$A:$Z,24,FALSE)+VLOOKUP($A170,A:AL,34,FALSE)-50))</f>
        <v>344</v>
      </c>
      <c r="AJ170" s="3">
        <f>IF(ISERROR(VLOOKUP($A170,'NonXtal_SegEnds_BW#'!$A:$Z,25,FALSE)+VLOOKUP($A170,A:AL,37,FALSE)-50),"-",(VLOOKUP($A170,'NonXtal_SegEnds_BW#'!$A:$Z,25,FALSE)+VLOOKUP($A170,A:AL,37,FALSE)-50))</f>
        <v>345</v>
      </c>
      <c r="AK170" s="3">
        <v>348</v>
      </c>
      <c r="AL170" s="3">
        <f>IF(ISERROR((VLOOKUP($A170,'NonXtal_SegEnds_BW#'!$A:$Z,26,FALSE)+VLOOKUP($A170,A:AL,37,FALSE)-50)),"-",(VLOOKUP($A170,'NonXtal_SegEnds_BW#'!$A:$Z,26,FALSE)+VLOOKUP($A170,A:AL,37,FALSE)-50))</f>
        <v>357</v>
      </c>
      <c r="AM170" s="71" t="str">
        <f>VLOOKUP(A170,Classification!A:B,2,FALSE)</f>
        <v>A</v>
      </c>
      <c r="AN170" s="71" t="b">
        <f t="shared" si="69"/>
        <v>1</v>
      </c>
      <c r="AO170" s="3" t="str">
        <f t="shared" si="70"/>
        <v>-</v>
      </c>
      <c r="AP170" s="3" t="str">
        <f t="shared" si="71"/>
        <v>-</v>
      </c>
      <c r="AQ170" s="3">
        <f t="shared" si="72"/>
        <v>3</v>
      </c>
      <c r="AR170" s="3">
        <f t="shared" si="73"/>
        <v>1</v>
      </c>
      <c r="AS170" s="3">
        <f t="shared" si="74"/>
        <v>1</v>
      </c>
      <c r="AT170" s="3">
        <f t="shared" si="75"/>
        <v>2</v>
      </c>
      <c r="AU170" s="3">
        <f t="shared" si="76"/>
        <v>15</v>
      </c>
      <c r="AV170" s="3">
        <f t="shared" si="77"/>
        <v>8</v>
      </c>
      <c r="AW170" s="3">
        <f t="shared" si="78"/>
        <v>30</v>
      </c>
      <c r="AX170" s="3">
        <f t="shared" si="79"/>
        <v>6</v>
      </c>
      <c r="AY170" s="3">
        <f t="shared" si="80"/>
        <v>1</v>
      </c>
      <c r="AZ170" s="3">
        <f>IF(ISERROR(LEN(VLOOKUP(A170,Seqs!A:E,2,FALSE))-AL170),"-",LEN(VLOOKUP(A170,Seqs!A:E,2,FALSE))-AL170)</f>
        <v>94</v>
      </c>
      <c r="BA170" s="35">
        <f t="shared" si="81"/>
        <v>26</v>
      </c>
      <c r="BB170" s="3">
        <f t="shared" si="82"/>
        <v>20</v>
      </c>
      <c r="BC170" s="3">
        <f t="shared" si="83"/>
        <v>26</v>
      </c>
      <c r="BD170" s="3">
        <f t="shared" si="84"/>
        <v>82</v>
      </c>
    </row>
    <row r="171" spans="1:57" s="3" customFormat="1" x14ac:dyDescent="0.2">
      <c r="A171" s="3" t="s">
        <v>460</v>
      </c>
      <c r="B171" s="3" t="str">
        <f>LOWER(VLOOKUP(A171,Xtal_Templ!A:B,2,FALSE))</f>
        <v>drd3_human</v>
      </c>
      <c r="C171" s="3">
        <f>VLOOKUP($A171,'NonXtal_SegEnds_BW#'!$A:$Z,3,FALSE)+D171-50</f>
        <v>39</v>
      </c>
      <c r="D171" s="3">
        <v>60</v>
      </c>
      <c r="E171" s="3">
        <f>IF(ISERROR(VLOOKUP($A171,'NonXtal_SegEnds_BW#'!$A:$Z,4,FALSE)+VLOOKUP($A171,A:AL,4,FALSE)-50),"-",(VLOOKUP($A171,'NonXtal_SegEnds_BW#'!$A:$Z,4,FALSE)+VLOOKUP($A171,A:AL,4,FALSE)-50))</f>
        <v>70</v>
      </c>
      <c r="F171" s="3">
        <f>G171-2</f>
        <v>73</v>
      </c>
      <c r="G171" s="3">
        <v>75</v>
      </c>
      <c r="H171" s="3">
        <f t="shared" ref="H171:I174" si="95">G171+1</f>
        <v>76</v>
      </c>
      <c r="I171" s="3">
        <f t="shared" si="95"/>
        <v>77</v>
      </c>
      <c r="J171" s="3">
        <v>90</v>
      </c>
      <c r="K171" s="3">
        <f>VLOOKUP($A171,'NonXtal_SegEnds_BW#'!$A:$Z,8,FALSE)+VLOOKUP($A171,A:AL,10,FALSE)-50</f>
        <v>107</v>
      </c>
      <c r="L171" s="3" t="str">
        <f>IF(ISERROR(VLOOKUP($A171,'NonXtal_SegEnds_BW#'!$A:$Z,9,FALSE)+VLOOKUP($A171,A:AL,13,FALSE)-50),"-",(VLOOKUP($A171,'NonXtal_SegEnds_BW#'!$A:$Z,9,FALSE)+VLOOKUP($A171,A:AL,13,FALSE)-50))</f>
        <v>-</v>
      </c>
      <c r="M171" s="3" t="s">
        <v>129</v>
      </c>
      <c r="N171" s="3" t="str">
        <f>IF(ISERROR(VLOOKUP($A171,'NonXtal_SegEnds_BW#'!$A:$Z,10,FALSE)+VLOOKUP($A171,A:AL,13,FALSE)-50),"-",(VLOOKUP($A171,'NonXtal_SegEnds_BW#'!$A:$Z,10,FALSE)+VLOOKUP($A171,A:AL,13,FALSE)-50))</f>
        <v>-</v>
      </c>
      <c r="O171" s="3">
        <f>VLOOKUP($A171,'NonXtal_SegEnds_BW#'!$A:$Z,11,FALSE)+VLOOKUP($A171,A:AL,16,FALSE)-50</f>
        <v>111</v>
      </c>
      <c r="P171" s="3">
        <v>143</v>
      </c>
      <c r="Q171" s="3">
        <f>VLOOKUP($A171,'NonXtal_SegEnds_BW#'!$A:$Z,12,FALSE)+VLOOKUP($A171,A:AL,16,FALSE)-50</f>
        <v>149</v>
      </c>
      <c r="R171" s="3" t="str">
        <f>IF(ISERROR(VLOOKUP($A171,'NonXtal_SegEnds_BW#'!$A:$Z,13,FALSE)+VLOOKUP($A171,A:AL,19,FALSE)-50),"-",VLOOKUP($A171,'NonXtal_SegEnds_BW#'!$A:$Z,13,FALSE)+VLOOKUP($A171,A:AL,19,FALSE)-50)</f>
        <v>-</v>
      </c>
      <c r="S171" s="3" t="s">
        <v>129</v>
      </c>
      <c r="T171" s="3" t="str">
        <f>IF(ISERROR(VLOOKUP($A171,'NonXtal_SegEnds_BW#'!$A:$Z,14,FALSE)+VLOOKUP($A171,A:AL,19,FALSE)-50),"-",(VLOOKUP($A171,'NonXtal_SegEnds_BW#'!$A:$Z,14,FALSE)+VLOOKUP($A171,A:AL,19,FALSE)-50))</f>
        <v>-</v>
      </c>
      <c r="U171" s="3">
        <f>IF(ISERROR(VLOOKUP($A171,'NonXtal_SegEnds_BW#'!$A:$Z,15,FALSE)+VLOOKUP($A171,A:AL,22,FALSE)-50),"-",VLOOKUP($A171,'NonXtal_SegEnds_BW#'!$A:$Z,15,FALSE)+VLOOKUP($A171,A:AL,22,FALSE)-50)</f>
        <v>158</v>
      </c>
      <c r="V171" s="3">
        <v>169</v>
      </c>
      <c r="W171" s="3">
        <f>IF(ISERROR(VLOOKUP($A171,'NonXtal_SegEnds_BW#'!$A:$Z,16,FALSE)+VLOOKUP($A171,A:AL,22,FALSE)-50),"-",(VLOOKUP($A171,'NonXtal_SegEnds_BW#'!$A:$Z,16,FALSE)+VLOOKUP($A171,A:AL,22,FALSE)-50))</f>
        <v>182</v>
      </c>
      <c r="X171" s="3">
        <f>IF(ISERROR(VLOOKUP($A171,'NonXtal_SegEnds_BW#'!$A:$Z,17,FALSE)+VLOOKUP($A171,A:AL,25,FALSE)-50),"-",(VLOOKUP($A171,'NonXtal_SegEnds_BW#'!$A:$Z,17,FALSE)+VLOOKUP($A171,A:AL,25,FALSE)-50))</f>
        <v>189</v>
      </c>
      <c r="Y171" s="3">
        <v>189</v>
      </c>
      <c r="Z171" s="3">
        <f t="shared" si="94"/>
        <v>191</v>
      </c>
      <c r="AA171" s="3">
        <f>IF(ISERROR(VLOOKUP($A171,'NonXtal_SegEnds_BW#'!$A:$Z,19,FALSE)+VLOOKUP($A171,A:AL,28,FALSE)-50),"-",(VLOOKUP($A171,'NonXtal_SegEnds_BW#'!$A:$Z,19,FALSE)+VLOOKUP($A171,A:AL,28,FALSE)-50))</f>
        <v>199</v>
      </c>
      <c r="AB171" s="3">
        <v>214</v>
      </c>
      <c r="AC171" s="3">
        <f>IF(ISERROR((VLOOKUP($A171,'NonXtal_SegEnds_BW#'!$A:$Z,20,FALSE)+VLOOKUP($A171,A:AL,28,FALSE)-50)),"-",(VLOOKUP($A171,'NonXtal_SegEnds_BW#'!$A:$Z,20,FALSE)+VLOOKUP($A171,A:AL,28,FALSE)-50))</f>
        <v>240</v>
      </c>
      <c r="AD171" s="3">
        <f>IF(ISERROR(VLOOKUP($A171,'NonXtal_SegEnds_BW#'!$A:$Z,21,FALSE)+VLOOKUP($A171,A:AL,31,FALSE)-50),"-",(VLOOKUP($A171,'NonXtal_SegEnds_BW#'!$A:$Z,21,FALSE)+VLOOKUP($A171,A:AL,31,FALSE)-50))</f>
        <v>310</v>
      </c>
      <c r="AE171" s="3">
        <v>336</v>
      </c>
      <c r="AF171" s="3">
        <f>IF(ISERROR((VLOOKUP($A171,'NonXtal_SegEnds_BW#'!$A:$Z,22,FALSE)+VLOOKUP($A171,A:AL,31,FALSE)-50)),"-",(VLOOKUP($A171,'NonXtal_SegEnds_BW#'!$A:$Z,22,FALSE)+VLOOKUP($A171,A:AL,31,FALSE)-50))</f>
        <v>347</v>
      </c>
      <c r="AG171" s="3">
        <f>IF(ISERROR(VLOOKUP($A171,'NonXtal_SegEnds_BW#'!$A:$Z,23,FALSE)+VLOOKUP($A171,A:AL,34,FALSE)-50),"-",(VLOOKUP($A171,'NonXtal_SegEnds_BW#'!$A:$Z,23,FALSE)+VLOOKUP($A171,A:AL,34,FALSE)-50))</f>
        <v>354</v>
      </c>
      <c r="AH171" s="3">
        <v>373</v>
      </c>
      <c r="AI171" s="3">
        <f>IF(ISERROR((VLOOKUP($A171,'NonXtal_SegEnds_BW#'!$A:$Z,24,FALSE)+VLOOKUP($A171,A:AL,34,FALSE)-50)),"-",(VLOOKUP($A171,'NonXtal_SegEnds_BW#'!$A:$Z,24,FALSE)+VLOOKUP($A171,A:AL,34,FALSE)-50))</f>
        <v>379</v>
      </c>
      <c r="AJ171" s="3">
        <f>IF(ISERROR(VLOOKUP($A171,'NonXtal_SegEnds_BW#'!$A:$Z,25,FALSE)+VLOOKUP($A171,A:AL,37,FALSE)-50),"-",(VLOOKUP($A171,'NonXtal_SegEnds_BW#'!$A:$Z,25,FALSE)+VLOOKUP($A171,A:AL,37,FALSE)-50))</f>
        <v>380</v>
      </c>
      <c r="AK171" s="3">
        <v>383</v>
      </c>
      <c r="AL171" s="3">
        <f>IF(ISERROR((VLOOKUP($A171,'NonXtal_SegEnds_BW#'!$A:$Z,26,FALSE)+VLOOKUP($A171,A:AL,37,FALSE)-50)),"-",(VLOOKUP($A171,'NonXtal_SegEnds_BW#'!$A:$Z,26,FALSE)+VLOOKUP($A171,A:AL,37,FALSE)-50))</f>
        <v>392</v>
      </c>
      <c r="AM171" s="71" t="str">
        <f>VLOOKUP(A171,Classification!A:B,2,FALSE)</f>
        <v>A</v>
      </c>
      <c r="AN171" s="71" t="b">
        <f t="shared" si="69"/>
        <v>1</v>
      </c>
      <c r="AO171" s="3">
        <f t="shared" si="70"/>
        <v>3</v>
      </c>
      <c r="AP171" s="3">
        <f t="shared" si="71"/>
        <v>1</v>
      </c>
      <c r="AQ171" s="3" t="str">
        <f t="shared" si="72"/>
        <v>-</v>
      </c>
      <c r="AR171" s="3" t="str">
        <f t="shared" si="73"/>
        <v>-</v>
      </c>
      <c r="AS171" s="3" t="str">
        <f t="shared" si="74"/>
        <v>-</v>
      </c>
      <c r="AT171" s="3" t="str">
        <f t="shared" si="75"/>
        <v>-</v>
      </c>
      <c r="AU171" s="3">
        <f t="shared" si="76"/>
        <v>7</v>
      </c>
      <c r="AV171" s="3">
        <f t="shared" si="77"/>
        <v>8</v>
      </c>
      <c r="AW171" s="3">
        <f t="shared" si="78"/>
        <v>70</v>
      </c>
      <c r="AX171" s="3">
        <f t="shared" si="79"/>
        <v>7</v>
      </c>
      <c r="AY171" s="3">
        <f t="shared" si="80"/>
        <v>1</v>
      </c>
      <c r="AZ171" s="3">
        <f>IF(ISERROR(LEN(VLOOKUP(A171,Seqs!A:E,2,FALSE))-AL171),"-",LEN(VLOOKUP(A171,Seqs!A:E,2,FALSE))-AL171)</f>
        <v>148</v>
      </c>
      <c r="BA171" s="35">
        <f t="shared" si="81"/>
        <v>30</v>
      </c>
      <c r="BB171" s="3" t="str">
        <f t="shared" si="82"/>
        <v>-</v>
      </c>
      <c r="BC171" s="3">
        <f t="shared" si="83"/>
        <v>30</v>
      </c>
      <c r="BD171" s="3">
        <f t="shared" si="84"/>
        <v>122</v>
      </c>
    </row>
    <row r="172" spans="1:57" s="3" customFormat="1" x14ac:dyDescent="0.2">
      <c r="A172" s="3" t="s">
        <v>387</v>
      </c>
      <c r="B172" s="3" t="str">
        <f>LOWER(VLOOKUP(A172,Xtal_Templ!A:B,2,FALSE))</f>
        <v>drd3_human</v>
      </c>
      <c r="C172" s="3">
        <f>VLOOKUP($A172,'NonXtal_SegEnds_BW#'!$A:$Z,3,FALSE)+D172-50</f>
        <v>31</v>
      </c>
      <c r="D172" s="3">
        <v>52</v>
      </c>
      <c r="E172" s="3">
        <f>IF(ISERROR(VLOOKUP($A172,'NonXtal_SegEnds_BW#'!$A:$Z,4,FALSE)+VLOOKUP($A172,A:AL,4,FALSE)-50),"-",(VLOOKUP($A172,'NonXtal_SegEnds_BW#'!$A:$Z,4,FALSE)+VLOOKUP($A172,A:AL,4,FALSE)-50))</f>
        <v>62</v>
      </c>
      <c r="F172" s="3">
        <f>G172-2</f>
        <v>63</v>
      </c>
      <c r="G172" s="3">
        <v>65</v>
      </c>
      <c r="H172" s="3">
        <f t="shared" si="95"/>
        <v>66</v>
      </c>
      <c r="I172" s="3">
        <f t="shared" si="95"/>
        <v>67</v>
      </c>
      <c r="J172" s="3">
        <v>80</v>
      </c>
      <c r="K172" s="3">
        <f>VLOOKUP($A172,'NonXtal_SegEnds_BW#'!$A:$Z,8,FALSE)+VLOOKUP($A172,A:AL,10,FALSE)-50</f>
        <v>97</v>
      </c>
      <c r="L172" s="3">
        <f>M172-1</f>
        <v>100</v>
      </c>
      <c r="M172" s="3">
        <v>101</v>
      </c>
      <c r="N172" s="3">
        <f>M172+2</f>
        <v>103</v>
      </c>
      <c r="O172" s="3">
        <f>N172+1</f>
        <v>104</v>
      </c>
      <c r="P172" s="3">
        <v>133</v>
      </c>
      <c r="Q172" s="3">
        <f>VLOOKUP($A172,'NonXtal_SegEnds_BW#'!$A:$Z,12,FALSE)+VLOOKUP($A172,A:AL,16,FALSE)-50</f>
        <v>139</v>
      </c>
      <c r="R172" s="3">
        <f>IF(ISERROR(VLOOKUP($A172,'NonXtal_SegEnds_BW#'!$A:$Z,13,FALSE)+VLOOKUP($A172,A:AL,19,FALSE)-50),"-",VLOOKUP($A172,'NonXtal_SegEnds_BW#'!$A:$Z,13,FALSE)+VLOOKUP($A172,A:AL,19,FALSE)-50)</f>
        <v>140</v>
      </c>
      <c r="S172" s="3">
        <v>140</v>
      </c>
      <c r="T172" s="3">
        <f>IF(ISERROR(VLOOKUP($A172,'NonXtal_SegEnds_BW#'!$A:$Z,14,FALSE)+VLOOKUP($A172,A:AL,19,FALSE)-50),"-",(VLOOKUP($A172,'NonXtal_SegEnds_BW#'!$A:$Z,14,FALSE)+VLOOKUP($A172,A:AL,19,FALSE)-50))</f>
        <v>147</v>
      </c>
      <c r="U172" s="3">
        <f>IF(ISERROR(VLOOKUP($A172,'NonXtal_SegEnds_BW#'!$A:$Z,15,FALSE)+VLOOKUP($A172,A:AL,22,FALSE)-50),"-",VLOOKUP($A172,'NonXtal_SegEnds_BW#'!$A:$Z,15,FALSE)+VLOOKUP($A172,A:AL,22,FALSE)-50)</f>
        <v>149</v>
      </c>
      <c r="V172" s="3">
        <v>160</v>
      </c>
      <c r="W172" s="3">
        <f>IF(ISERROR(VLOOKUP($A172,'NonXtal_SegEnds_BW#'!$A:$Z,16,FALSE)+VLOOKUP($A172,A:AL,22,FALSE)-50),"-",(VLOOKUP($A172,'NonXtal_SegEnds_BW#'!$A:$Z,16,FALSE)+VLOOKUP($A172,A:AL,22,FALSE)-50))</f>
        <v>173</v>
      </c>
      <c r="X172" s="3">
        <f>IF(ISERROR(VLOOKUP($A172,'NonXtal_SegEnds_BW#'!$A:$Z,17,FALSE)+VLOOKUP($A172,A:AL,25,FALSE)-50),"-",(VLOOKUP($A172,'NonXtal_SegEnds_BW#'!$A:$Z,17,FALSE)+VLOOKUP($A172,A:AL,25,FALSE)-50))</f>
        <v>185</v>
      </c>
      <c r="Y172" s="3">
        <v>185</v>
      </c>
      <c r="Z172" s="3">
        <f t="shared" si="94"/>
        <v>187</v>
      </c>
      <c r="AA172" s="3">
        <f>IF(ISERROR(VLOOKUP($A172,'NonXtal_SegEnds_BW#'!$A:$Z,19,FALSE)+VLOOKUP($A172,A:AL,28,FALSE)-50),"-",(VLOOKUP($A172,'NonXtal_SegEnds_BW#'!$A:$Z,19,FALSE)+VLOOKUP($A172,A:AL,28,FALSE)-50))</f>
        <v>189</v>
      </c>
      <c r="AB172" s="3">
        <v>204</v>
      </c>
      <c r="AC172" s="3">
        <f>IF(ISERROR((VLOOKUP($A172,'NonXtal_SegEnds_BW#'!$A:$Z,20,FALSE)+VLOOKUP($A172,A:AL,28,FALSE)-50)),"-",(VLOOKUP($A172,'NonXtal_SegEnds_BW#'!$A:$Z,20,FALSE)+VLOOKUP($A172,A:AL,28,FALSE)-50))</f>
        <v>229</v>
      </c>
      <c r="AD172" s="3">
        <f>IF(ISERROR(VLOOKUP($A172,'NonXtal_SegEnds_BW#'!$A:$Z,21,FALSE)+VLOOKUP($A172,A:AL,31,FALSE)-50),"-",(VLOOKUP($A172,'NonXtal_SegEnds_BW#'!$A:$Z,21,FALSE)+VLOOKUP($A172,A:AL,31,FALSE)-50))</f>
        <v>383</v>
      </c>
      <c r="AE172" s="3">
        <v>409</v>
      </c>
      <c r="AF172" s="3">
        <f>IF(ISERROR((VLOOKUP($A172,'NonXtal_SegEnds_BW#'!$A:$Z,22,FALSE)+VLOOKUP($A172,A:AL,31,FALSE)-50)),"-",(VLOOKUP($A172,'NonXtal_SegEnds_BW#'!$A:$Z,22,FALSE)+VLOOKUP($A172,A:AL,31,FALSE)-50))</f>
        <v>419</v>
      </c>
      <c r="AG172" s="3">
        <f>IF(ISERROR(VLOOKUP($A172,'NonXtal_SegEnds_BW#'!$A:$Z,23,FALSE)+VLOOKUP($A172,A:AL,34,FALSE)-50),"-",(VLOOKUP($A172,'NonXtal_SegEnds_BW#'!$A:$Z,23,FALSE)+VLOOKUP($A172,A:AL,34,FALSE)-50))</f>
        <v>426</v>
      </c>
      <c r="AH172" s="3">
        <v>445</v>
      </c>
      <c r="AI172" s="3">
        <f>IF(ISERROR((VLOOKUP($A172,'NonXtal_SegEnds_BW#'!$A:$Z,24,FALSE)+VLOOKUP($A172,A:AL,34,FALSE)-50)),"-",(VLOOKUP($A172,'NonXtal_SegEnds_BW#'!$A:$Z,24,FALSE)+VLOOKUP($A172,A:AL,34,FALSE)-50))</f>
        <v>451</v>
      </c>
      <c r="AJ172" s="3">
        <f>IF(ISERROR(VLOOKUP($A172,'NonXtal_SegEnds_BW#'!$A:$Z,25,FALSE)+VLOOKUP($A172,A:AL,37,FALSE)-50),"-",(VLOOKUP($A172,'NonXtal_SegEnds_BW#'!$A:$Z,25,FALSE)+VLOOKUP($A172,A:AL,37,FALSE)-50))</f>
        <v>452</v>
      </c>
      <c r="AK172" s="3">
        <v>455</v>
      </c>
      <c r="AL172" s="3">
        <f>IF(ISERROR((VLOOKUP($A172,'NonXtal_SegEnds_BW#'!$A:$Z,26,FALSE)+VLOOKUP($A172,A:AL,37,FALSE)-50)),"-",(VLOOKUP($A172,'NonXtal_SegEnds_BW#'!$A:$Z,26,FALSE)+VLOOKUP($A172,A:AL,37,FALSE)-50))</f>
        <v>464</v>
      </c>
      <c r="AM172" s="71" t="str">
        <f>VLOOKUP(A172,Classification!A:B,2,FALSE)</f>
        <v>A</v>
      </c>
      <c r="AN172" s="71" t="b">
        <f t="shared" si="69"/>
        <v>1</v>
      </c>
      <c r="AO172" s="3">
        <f t="shared" si="70"/>
        <v>1</v>
      </c>
      <c r="AP172" s="3">
        <f t="shared" si="71"/>
        <v>1</v>
      </c>
      <c r="AQ172" s="3">
        <f t="shared" si="72"/>
        <v>3</v>
      </c>
      <c r="AR172" s="3">
        <f t="shared" si="73"/>
        <v>1</v>
      </c>
      <c r="AS172" s="3">
        <f t="shared" si="74"/>
        <v>1</v>
      </c>
      <c r="AT172" s="3">
        <f t="shared" si="75"/>
        <v>2</v>
      </c>
      <c r="AU172" s="3">
        <f t="shared" si="76"/>
        <v>12</v>
      </c>
      <c r="AV172" s="3">
        <f t="shared" si="77"/>
        <v>2</v>
      </c>
      <c r="AW172" s="3">
        <f t="shared" si="78"/>
        <v>154</v>
      </c>
      <c r="AX172" s="3">
        <f t="shared" si="79"/>
        <v>7</v>
      </c>
      <c r="AY172" s="3">
        <f t="shared" si="80"/>
        <v>1</v>
      </c>
      <c r="AZ172" s="3">
        <f>IF(ISERROR(LEN(VLOOKUP(A172,Seqs!A:E,2,FALSE))-AL172),"-",LEN(VLOOKUP(A172,Seqs!A:E,2,FALSE))-AL172)</f>
        <v>3</v>
      </c>
      <c r="BA172" s="35">
        <f t="shared" si="81"/>
        <v>28</v>
      </c>
      <c r="BB172" s="3">
        <f t="shared" si="82"/>
        <v>20</v>
      </c>
      <c r="BC172" s="3">
        <f t="shared" si="83"/>
        <v>28</v>
      </c>
      <c r="BD172" s="3">
        <f t="shared" si="84"/>
        <v>205</v>
      </c>
      <c r="BE172" s="3">
        <f>AH172-AE172</f>
        <v>36</v>
      </c>
    </row>
    <row r="173" spans="1:57" s="3" customFormat="1" x14ac:dyDescent="0.2">
      <c r="A173" s="3" t="s">
        <v>385</v>
      </c>
      <c r="B173" s="3" t="str">
        <f>LOWER(VLOOKUP(A173,Xtal_Templ!A:B,2,FALSE))</f>
        <v>drd3_human</v>
      </c>
      <c r="C173" s="3">
        <f>VLOOKUP($A173,'NonXtal_SegEnds_BW#'!$A:$Z,3,FALSE)+D173-50</f>
        <v>31</v>
      </c>
      <c r="D173" s="3">
        <v>52</v>
      </c>
      <c r="E173" s="3">
        <f>IF(ISERROR(VLOOKUP($A173,'NonXtal_SegEnds_BW#'!$A:$Z,4,FALSE)+VLOOKUP($A173,A:AL,4,FALSE)-50),"-",(VLOOKUP($A173,'NonXtal_SegEnds_BW#'!$A:$Z,4,FALSE)+VLOOKUP($A173,A:AL,4,FALSE)-50))</f>
        <v>62</v>
      </c>
      <c r="F173" s="3">
        <f>G173-2</f>
        <v>63</v>
      </c>
      <c r="G173" s="3">
        <v>65</v>
      </c>
      <c r="H173" s="3">
        <f t="shared" si="95"/>
        <v>66</v>
      </c>
      <c r="I173" s="3">
        <f t="shared" si="95"/>
        <v>67</v>
      </c>
      <c r="J173" s="3">
        <v>80</v>
      </c>
      <c r="K173" s="3">
        <f>VLOOKUP($A173,'NonXtal_SegEnds_BW#'!$A:$Z,8,FALSE)+VLOOKUP($A173,A:AL,10,FALSE)-50</f>
        <v>97</v>
      </c>
      <c r="L173" s="3">
        <f>M173-1</f>
        <v>99</v>
      </c>
      <c r="M173" s="3">
        <v>100</v>
      </c>
      <c r="N173" s="3">
        <f>M173+2</f>
        <v>102</v>
      </c>
      <c r="O173" s="3">
        <f>N173+1</f>
        <v>103</v>
      </c>
      <c r="P173" s="3">
        <v>132</v>
      </c>
      <c r="Q173" s="3">
        <f>VLOOKUP($A173,'NonXtal_SegEnds_BW#'!$A:$Z,12,FALSE)+VLOOKUP($A173,A:AL,16,FALSE)-50</f>
        <v>138</v>
      </c>
      <c r="R173" s="3">
        <f>IF(ISERROR(VLOOKUP($A173,'NonXtal_SegEnds_BW#'!$A:$Z,13,FALSE)+VLOOKUP($A173,A:AL,19,FALSE)-50),"-",VLOOKUP($A173,'NonXtal_SegEnds_BW#'!$A:$Z,13,FALSE)+VLOOKUP($A173,A:AL,19,FALSE)-50)</f>
        <v>139</v>
      </c>
      <c r="S173" s="3">
        <v>139</v>
      </c>
      <c r="T173" s="3">
        <f>IF(ISERROR(VLOOKUP($A173,'NonXtal_SegEnds_BW#'!$A:$Z,14,FALSE)+VLOOKUP($A173,A:AL,19,FALSE)-50),"-",(VLOOKUP($A173,'NonXtal_SegEnds_BW#'!$A:$Z,14,FALSE)+VLOOKUP($A173,A:AL,19,FALSE)-50))</f>
        <v>147</v>
      </c>
      <c r="U173" s="3">
        <f>IF(ISERROR(VLOOKUP($A173,'NonXtal_SegEnds_BW#'!$A:$Z,15,FALSE)+VLOOKUP($A173,A:AL,22,FALSE)-50),"-",VLOOKUP($A173,'NonXtal_SegEnds_BW#'!$A:$Z,15,FALSE)+VLOOKUP($A173,A:AL,22,FALSE)-50)</f>
        <v>149</v>
      </c>
      <c r="V173" s="3">
        <v>160</v>
      </c>
      <c r="W173" s="3">
        <f>IF(ISERROR(VLOOKUP($A173,'NonXtal_SegEnds_BW#'!$A:$Z,16,FALSE)+VLOOKUP($A173,A:AL,22,FALSE)-50),"-",(VLOOKUP($A173,'NonXtal_SegEnds_BW#'!$A:$Z,16,FALSE)+VLOOKUP($A173,A:AL,22,FALSE)-50))</f>
        <v>173</v>
      </c>
      <c r="X173" s="3">
        <f>IF(ISERROR(VLOOKUP($A173,'NonXtal_SegEnds_BW#'!$A:$Z,17,FALSE)+VLOOKUP($A173,A:AL,25,FALSE)-50),"-",(VLOOKUP($A173,'NonXtal_SegEnds_BW#'!$A:$Z,17,FALSE)+VLOOKUP($A173,A:AL,25,FALSE)-50))</f>
        <v>182</v>
      </c>
      <c r="Y173" s="3">
        <v>182</v>
      </c>
      <c r="Z173" s="3">
        <f t="shared" si="94"/>
        <v>184</v>
      </c>
      <c r="AA173" s="3">
        <f>IF(ISERROR(VLOOKUP($A173,'NonXtal_SegEnds_BW#'!$A:$Z,19,FALSE)+VLOOKUP($A173,A:AL,28,FALSE)-50),"-",(VLOOKUP($A173,'NonXtal_SegEnds_BW#'!$A:$Z,19,FALSE)+VLOOKUP($A173,A:AL,28,FALSE)-50))</f>
        <v>186</v>
      </c>
      <c r="AB173" s="3">
        <v>201</v>
      </c>
      <c r="AC173" s="3">
        <f>IF(ISERROR((VLOOKUP($A173,'NonXtal_SegEnds_BW#'!$A:$Z,20,FALSE)+VLOOKUP($A173,A:AL,28,FALSE)-50)),"-",(VLOOKUP($A173,'NonXtal_SegEnds_BW#'!$A:$Z,20,FALSE)+VLOOKUP($A173,A:AL,28,FALSE)-50))</f>
        <v>226</v>
      </c>
      <c r="AD173" s="3">
        <f>IF(ISERROR(VLOOKUP($A173,'NonXtal_SegEnds_BW#'!$A:$Z,21,FALSE)+VLOOKUP($A173,A:AL,31,FALSE)-50),"-",(VLOOKUP($A173,'NonXtal_SegEnds_BW#'!$A:$Z,21,FALSE)+VLOOKUP($A173,A:AL,31,FALSE)-50))</f>
        <v>362</v>
      </c>
      <c r="AE173" s="3">
        <v>388</v>
      </c>
      <c r="AF173" s="3">
        <f>IF(ISERROR((VLOOKUP($A173,'NonXtal_SegEnds_BW#'!$A:$Z,22,FALSE)+VLOOKUP($A173,A:AL,31,FALSE)-50)),"-",(VLOOKUP($A173,'NonXtal_SegEnds_BW#'!$A:$Z,22,FALSE)+VLOOKUP($A173,A:AL,31,FALSE)-50))</f>
        <v>399</v>
      </c>
      <c r="AG173" s="3">
        <f>IF(ISERROR(VLOOKUP($A173,'NonXtal_SegEnds_BW#'!$A:$Z,23,FALSE)+VLOOKUP($A173,A:AL,34,FALSE)-50),"-",(VLOOKUP($A173,'NonXtal_SegEnds_BW#'!$A:$Z,23,FALSE)+VLOOKUP($A173,A:AL,34,FALSE)-50))</f>
        <v>404</v>
      </c>
      <c r="AH173" s="3">
        <v>423</v>
      </c>
      <c r="AI173" s="3">
        <f>IF(ISERROR((VLOOKUP($A173,'NonXtal_SegEnds_BW#'!$A:$Z,24,FALSE)+VLOOKUP($A173,A:AL,34,FALSE)-50)),"-",(VLOOKUP($A173,'NonXtal_SegEnds_BW#'!$A:$Z,24,FALSE)+VLOOKUP($A173,A:AL,34,FALSE)-50))</f>
        <v>429</v>
      </c>
      <c r="AJ173" s="3">
        <f>IF(ISERROR(VLOOKUP($A173,'NonXtal_SegEnds_BW#'!$A:$Z,25,FALSE)+VLOOKUP($A173,A:AL,37,FALSE)-50),"-",(VLOOKUP($A173,'NonXtal_SegEnds_BW#'!$A:$Z,25,FALSE)+VLOOKUP($A173,A:AL,37,FALSE)-50))</f>
        <v>430</v>
      </c>
      <c r="AK173" s="3">
        <v>433</v>
      </c>
      <c r="AL173" s="3">
        <f>IF(ISERROR((VLOOKUP($A173,'NonXtal_SegEnds_BW#'!$A:$Z,26,FALSE)+VLOOKUP($A173,A:AL,37,FALSE)-50)),"-",(VLOOKUP($A173,'NonXtal_SegEnds_BW#'!$A:$Z,26,FALSE)+VLOOKUP($A173,A:AL,37,FALSE)-50))</f>
        <v>442</v>
      </c>
      <c r="AM173" s="71" t="str">
        <f>VLOOKUP(A173,Classification!A:B,2,FALSE)</f>
        <v>A</v>
      </c>
      <c r="AN173" s="71" t="b">
        <f t="shared" si="69"/>
        <v>1</v>
      </c>
      <c r="AO173" s="3">
        <f t="shared" si="70"/>
        <v>1</v>
      </c>
      <c r="AP173" s="3">
        <f t="shared" si="71"/>
        <v>1</v>
      </c>
      <c r="AQ173" s="3">
        <f t="shared" si="72"/>
        <v>2</v>
      </c>
      <c r="AR173" s="3">
        <f t="shared" si="73"/>
        <v>1</v>
      </c>
      <c r="AS173" s="3">
        <f t="shared" si="74"/>
        <v>1</v>
      </c>
      <c r="AT173" s="3">
        <f t="shared" si="75"/>
        <v>2</v>
      </c>
      <c r="AU173" s="3">
        <f t="shared" si="76"/>
        <v>9</v>
      </c>
      <c r="AV173" s="3">
        <f t="shared" si="77"/>
        <v>2</v>
      </c>
      <c r="AW173" s="3">
        <f t="shared" si="78"/>
        <v>136</v>
      </c>
      <c r="AX173" s="3">
        <f t="shared" si="79"/>
        <v>5</v>
      </c>
      <c r="AY173" s="3">
        <f t="shared" si="80"/>
        <v>1</v>
      </c>
      <c r="AZ173" s="3">
        <f>IF(ISERROR(LEN(VLOOKUP(A173,Seqs!A:E,2,FALSE))-AL173),"-",LEN(VLOOKUP(A173,Seqs!A:E,2,FALSE))-AL173)</f>
        <v>1</v>
      </c>
      <c r="BA173" s="35">
        <f t="shared" si="81"/>
        <v>28</v>
      </c>
      <c r="BB173" s="3">
        <f t="shared" si="82"/>
        <v>21</v>
      </c>
      <c r="BC173" s="3">
        <f t="shared" si="83"/>
        <v>28</v>
      </c>
      <c r="BD173" s="3">
        <f t="shared" si="84"/>
        <v>187</v>
      </c>
      <c r="BE173" s="3">
        <f>AH173-AE173</f>
        <v>35</v>
      </c>
    </row>
    <row r="174" spans="1:57" s="3" customFormat="1" x14ac:dyDescent="0.2">
      <c r="A174" s="3" t="s">
        <v>386</v>
      </c>
      <c r="B174" s="3" t="str">
        <f>LOWER(VLOOKUP(A174,Xtal_Templ!A:B,2,FALSE))</f>
        <v>drd3_human</v>
      </c>
      <c r="C174" s="3">
        <f>VLOOKUP($A174,'NonXtal_SegEnds_BW#'!$A:$Z,3,FALSE)+D174-50</f>
        <v>26</v>
      </c>
      <c r="D174" s="3">
        <v>47</v>
      </c>
      <c r="E174" s="3">
        <f>IF(ISERROR(VLOOKUP($A174,'NonXtal_SegEnds_BW#'!$A:$Z,4,FALSE)+VLOOKUP($A174,A:AL,4,FALSE)-50),"-",(VLOOKUP($A174,'NonXtal_SegEnds_BW#'!$A:$Z,4,FALSE)+VLOOKUP($A174,A:AL,4,FALSE)-50))</f>
        <v>57</v>
      </c>
      <c r="F174" s="3">
        <f>G174-2</f>
        <v>58</v>
      </c>
      <c r="G174" s="3">
        <v>60</v>
      </c>
      <c r="H174" s="3">
        <f t="shared" si="95"/>
        <v>61</v>
      </c>
      <c r="I174" s="3">
        <f t="shared" si="95"/>
        <v>62</v>
      </c>
      <c r="J174" s="3">
        <v>75</v>
      </c>
      <c r="K174" s="3">
        <f>VLOOKUP($A174,'NonXtal_SegEnds_BW#'!$A:$Z,8,FALSE)+VLOOKUP($A174,A:AL,10,FALSE)-50</f>
        <v>92</v>
      </c>
      <c r="L174" s="3">
        <f>M174-1</f>
        <v>95</v>
      </c>
      <c r="M174" s="3">
        <v>96</v>
      </c>
      <c r="N174" s="3">
        <f>M174+2</f>
        <v>98</v>
      </c>
      <c r="O174" s="3">
        <f>N174+1</f>
        <v>99</v>
      </c>
      <c r="P174" s="3">
        <v>128</v>
      </c>
      <c r="Q174" s="3">
        <f>VLOOKUP($A174,'NonXtal_SegEnds_BW#'!$A:$Z,12,FALSE)+VLOOKUP($A174,A:AL,16,FALSE)-50</f>
        <v>134</v>
      </c>
      <c r="R174" s="3">
        <f>IF(ISERROR(VLOOKUP($A174,'NonXtal_SegEnds_BW#'!$A:$Z,13,FALSE)+VLOOKUP($A174,A:AL,19,FALSE)-50),"-",VLOOKUP($A174,'NonXtal_SegEnds_BW#'!$A:$Z,13,FALSE)+VLOOKUP($A174,A:AL,19,FALSE)-50)</f>
        <v>135</v>
      </c>
      <c r="S174" s="3">
        <v>135</v>
      </c>
      <c r="T174" s="3">
        <f>IF(ISERROR(VLOOKUP($A174,'NonXtal_SegEnds_BW#'!$A:$Z,14,FALSE)+VLOOKUP($A174,A:AL,19,FALSE)-50),"-",(VLOOKUP($A174,'NonXtal_SegEnds_BW#'!$A:$Z,14,FALSE)+VLOOKUP($A174,A:AL,19,FALSE)-50))</f>
        <v>143</v>
      </c>
      <c r="U174" s="3">
        <f>IF(ISERROR(VLOOKUP($A174,'NonXtal_SegEnds_BW#'!$A:$Z,15,FALSE)+VLOOKUP($A174,A:AL,22,FALSE)-50),"-",VLOOKUP($A174,'NonXtal_SegEnds_BW#'!$A:$Z,15,FALSE)+VLOOKUP($A174,A:AL,22,FALSE)-50)</f>
        <v>146</v>
      </c>
      <c r="V174" s="3">
        <v>158</v>
      </c>
      <c r="W174" s="3">
        <f>IF(ISERROR(VLOOKUP($A174,'NonXtal_SegEnds_BW#'!$A:$Z,16,FALSE)+VLOOKUP($A174,A:AL,22,FALSE)-50),"-",(VLOOKUP($A174,'NonXtal_SegEnds_BW#'!$A:$Z,16,FALSE)+VLOOKUP($A174,A:AL,22,FALSE)-50))</f>
        <v>171</v>
      </c>
      <c r="X174" s="3">
        <f>IF(ISERROR(VLOOKUP($A174,'NonXtal_SegEnds_BW#'!$A:$Z,17,FALSE)+VLOOKUP($A174,A:AL,25,FALSE)-50),"-",(VLOOKUP($A174,'NonXtal_SegEnds_BW#'!$A:$Z,17,FALSE)+VLOOKUP($A174,A:AL,25,FALSE)-50))</f>
        <v>181</v>
      </c>
      <c r="Y174" s="3">
        <v>181</v>
      </c>
      <c r="Z174" s="3">
        <f t="shared" si="94"/>
        <v>183</v>
      </c>
      <c r="AA174" s="3">
        <f>IF(ISERROR(VLOOKUP($A174,'NonXtal_SegEnds_BW#'!$A:$Z,19,FALSE)+VLOOKUP($A174,A:AL,28,FALSE)-50),"-",(VLOOKUP($A174,'NonXtal_SegEnds_BW#'!$A:$Z,19,FALSE)+VLOOKUP($A174,A:AL,28,FALSE)-50))</f>
        <v>185</v>
      </c>
      <c r="AB174" s="3">
        <v>200</v>
      </c>
      <c r="AC174" s="3">
        <f>IF(ISERROR((VLOOKUP($A174,'NonXtal_SegEnds_BW#'!$A:$Z,20,FALSE)+VLOOKUP($A174,A:AL,28,FALSE)-50)),"-",(VLOOKUP($A174,'NonXtal_SegEnds_BW#'!$A:$Z,20,FALSE)+VLOOKUP($A174,A:AL,28,FALSE)-50))</f>
        <v>226</v>
      </c>
      <c r="AD174" s="3">
        <f>IF(ISERROR(VLOOKUP($A174,'NonXtal_SegEnds_BW#'!$A:$Z,21,FALSE)+VLOOKUP($A174,A:AL,31,FALSE)-50),"-",(VLOOKUP($A174,'NonXtal_SegEnds_BW#'!$A:$Z,21,FALSE)+VLOOKUP($A174,A:AL,31,FALSE)-50))</f>
        <v>318</v>
      </c>
      <c r="AE174" s="3">
        <v>344</v>
      </c>
      <c r="AF174" s="3">
        <f>IF(ISERROR((VLOOKUP($A174,'NonXtal_SegEnds_BW#'!$A:$Z,22,FALSE)+VLOOKUP($A174,A:AL,31,FALSE)-50)),"-",(VLOOKUP($A174,'NonXtal_SegEnds_BW#'!$A:$Z,22,FALSE)+VLOOKUP($A174,A:AL,31,FALSE)-50))</f>
        <v>354</v>
      </c>
      <c r="AG174" s="3">
        <f>IF(ISERROR(VLOOKUP($A174,'NonXtal_SegEnds_BW#'!$A:$Z,23,FALSE)+VLOOKUP($A174,A:AL,34,FALSE)-50),"-",(VLOOKUP($A174,'NonXtal_SegEnds_BW#'!$A:$Z,23,FALSE)+VLOOKUP($A174,A:AL,34,FALSE)-50))</f>
        <v>361</v>
      </c>
      <c r="AH174" s="3">
        <v>380</v>
      </c>
      <c r="AI174" s="3">
        <f>IF(ISERROR((VLOOKUP($A174,'NonXtal_SegEnds_BW#'!$A:$Z,24,FALSE)+VLOOKUP($A174,A:AL,34,FALSE)-50)),"-",(VLOOKUP($A174,'NonXtal_SegEnds_BW#'!$A:$Z,24,FALSE)+VLOOKUP($A174,A:AL,34,FALSE)-50))</f>
        <v>386</v>
      </c>
      <c r="AJ174" s="3">
        <f>IF(ISERROR(VLOOKUP($A174,'NonXtal_SegEnds_BW#'!$A:$Z,25,FALSE)+VLOOKUP($A174,A:AL,37,FALSE)-50),"-",(VLOOKUP($A174,'NonXtal_SegEnds_BW#'!$A:$Z,25,FALSE)+VLOOKUP($A174,A:AL,37,FALSE)-50))</f>
        <v>387</v>
      </c>
      <c r="AK174" s="3">
        <v>390</v>
      </c>
      <c r="AL174" s="3">
        <f>IF(ISERROR((VLOOKUP($A174,'NonXtal_SegEnds_BW#'!$A:$Z,26,FALSE)+VLOOKUP($A174,A:AL,37,FALSE)-50)),"-",(VLOOKUP($A174,'NonXtal_SegEnds_BW#'!$A:$Z,26,FALSE)+VLOOKUP($A174,A:AL,37,FALSE)-50))</f>
        <v>399</v>
      </c>
      <c r="AM174" s="71" t="str">
        <f>VLOOKUP(A174,Classification!A:B,2,FALSE)</f>
        <v>A</v>
      </c>
      <c r="AN174" s="71" t="b">
        <f t="shared" si="69"/>
        <v>1</v>
      </c>
      <c r="AO174" s="3">
        <f t="shared" si="70"/>
        <v>1</v>
      </c>
      <c r="AP174" s="3">
        <f t="shared" si="71"/>
        <v>1</v>
      </c>
      <c r="AQ174" s="3">
        <f t="shared" si="72"/>
        <v>3</v>
      </c>
      <c r="AR174" s="3">
        <f t="shared" si="73"/>
        <v>1</v>
      </c>
      <c r="AS174" s="3">
        <f t="shared" si="74"/>
        <v>1</v>
      </c>
      <c r="AT174" s="3">
        <f t="shared" si="75"/>
        <v>3</v>
      </c>
      <c r="AU174" s="3">
        <f t="shared" si="76"/>
        <v>10</v>
      </c>
      <c r="AV174" s="3">
        <f t="shared" si="77"/>
        <v>2</v>
      </c>
      <c r="AW174" s="3">
        <f t="shared" si="78"/>
        <v>92</v>
      </c>
      <c r="AX174" s="3">
        <f t="shared" si="79"/>
        <v>7</v>
      </c>
      <c r="AY174" s="3">
        <f t="shared" si="80"/>
        <v>1</v>
      </c>
      <c r="AZ174" s="3">
        <f>IF(ISERROR(LEN(VLOOKUP(A174,Seqs!A:E,2,FALSE))-AL174),"-",LEN(VLOOKUP(A174,Seqs!A:E,2,FALSE))-AL174)</f>
        <v>1</v>
      </c>
      <c r="BA174" s="35">
        <f t="shared" si="81"/>
        <v>28</v>
      </c>
      <c r="BB174" s="3">
        <f t="shared" si="82"/>
        <v>23</v>
      </c>
      <c r="BC174" s="3">
        <f t="shared" si="83"/>
        <v>28</v>
      </c>
      <c r="BD174" s="3">
        <f t="shared" si="84"/>
        <v>144</v>
      </c>
      <c r="BE174" s="3">
        <f>AH174-AE174</f>
        <v>36</v>
      </c>
    </row>
    <row r="175" spans="1:57" s="3" customFormat="1" x14ac:dyDescent="0.2">
      <c r="A175" s="3" t="s">
        <v>560</v>
      </c>
      <c r="B175" s="3" t="str">
        <f>LOWER(VLOOKUP(A175,Xtal_Templ!A:B,2,FALSE))</f>
        <v>drd3_human</v>
      </c>
      <c r="C175" s="3">
        <f>VLOOKUP($A175,'NonXtal_SegEnds_BW#'!$A:$Z,3,FALSE)+D175-50</f>
        <v>10</v>
      </c>
      <c r="D175" s="3">
        <v>31</v>
      </c>
      <c r="E175" s="3">
        <f>IF(ISERROR(VLOOKUP($A175,'NonXtal_SegEnds_BW#'!$A:$Z,4,FALSE)+VLOOKUP($A175,A:AL,4,FALSE)-50),"-",(VLOOKUP($A175,'NonXtal_SegEnds_BW#'!$A:$Z,4,FALSE)+VLOOKUP($A175,A:AL,4,FALSE)-50))</f>
        <v>41</v>
      </c>
      <c r="F175" s="3" t="str">
        <f>IF(ISERROR(VLOOKUP($A175,'NonXtal_SegEnds_BW#'!$A:$Z,5,FALSE)+VLOOKUP($A175,A:AL,7,FALSE)-50),"-",(VLOOKUP($A175,'NonXtal_SegEnds_BW#'!$A:$Z,5,FALSE)+VLOOKUP($A175,A:AL,7,FALSE)-50))</f>
        <v>-</v>
      </c>
      <c r="G175" s="3" t="s">
        <v>129</v>
      </c>
      <c r="H175" s="3" t="str">
        <f>IF(ISERROR(VLOOKUP($A175,'NonXtal_SegEnds_BW#'!$A:$Z,6,FALSE)+VLOOKUP($A175,A:AL,7,FALSE)-50),"-",(VLOOKUP($A175,'NonXtal_SegEnds_BW#'!$A:$Z,6,FALSE)+VLOOKUP($A175,A:AL,7,FALSE)-50))</f>
        <v>-</v>
      </c>
      <c r="I175" s="3">
        <f>VLOOKUP($A175,'NonXtal_SegEnds_BW#'!$A:$Z,7,FALSE)+J175-50</f>
        <v>47</v>
      </c>
      <c r="J175" s="3">
        <v>60</v>
      </c>
      <c r="K175" s="3">
        <f>VLOOKUP($A175,'NonXtal_SegEnds_BW#'!$A:$Z,8,FALSE)+VLOOKUP($A175,A:AL,10,FALSE)-50</f>
        <v>77</v>
      </c>
      <c r="L175" s="3" t="str">
        <f>IF(ISERROR(VLOOKUP($A175,'NonXtal_SegEnds_BW#'!$A:$Z,9,FALSE)+VLOOKUP($A175,A:AL,13,FALSE)-50),"-",(VLOOKUP($A175,'NonXtal_SegEnds_BW#'!$A:$Z,9,FALSE)+VLOOKUP($A175,A:AL,13,FALSE)-50))</f>
        <v>-</v>
      </c>
      <c r="M175" s="3" t="s">
        <v>129</v>
      </c>
      <c r="N175" s="3" t="str">
        <f>IF(ISERROR(VLOOKUP($A175,'NonXtal_SegEnds_BW#'!$A:$Z,10,FALSE)+VLOOKUP($A175,A:AL,13,FALSE)-50),"-",(VLOOKUP($A175,'NonXtal_SegEnds_BW#'!$A:$Z,10,FALSE)+VLOOKUP($A175,A:AL,13,FALSE)-50))</f>
        <v>-</v>
      </c>
      <c r="O175" s="3">
        <f>VLOOKUP($A175,'NonXtal_SegEnds_BW#'!$A:$Z,11,FALSE)+VLOOKUP($A175,A:AL,16,FALSE)-50</f>
        <v>85</v>
      </c>
      <c r="P175" s="3">
        <v>117</v>
      </c>
      <c r="Q175" s="3">
        <f>VLOOKUP($A175,'NonXtal_SegEnds_BW#'!$A:$Z,12,FALSE)+VLOOKUP($A175,A:AL,16,FALSE)-50</f>
        <v>123</v>
      </c>
      <c r="R175" s="3">
        <f>IF(ISERROR(VLOOKUP($A175,'NonXtal_SegEnds_BW#'!$A:$Z,13,FALSE)+VLOOKUP($A175,A:AL,19,FALSE)-50),"-",VLOOKUP($A175,'NonXtal_SegEnds_BW#'!$A:$Z,13,FALSE)+VLOOKUP($A175,A:AL,19,FALSE)-50)</f>
        <v>124</v>
      </c>
      <c r="S175" s="3">
        <v>124</v>
      </c>
      <c r="T175" s="3">
        <f>IF(ISERROR(VLOOKUP($A175,'NonXtal_SegEnds_BW#'!$A:$Z,14,FALSE)+VLOOKUP($A175,A:AL,19,FALSE)-50),"-",(VLOOKUP($A175,'NonXtal_SegEnds_BW#'!$A:$Z,14,FALSE)+VLOOKUP($A175,A:AL,19,FALSE)-50))</f>
        <v>131</v>
      </c>
      <c r="U175" s="3">
        <f>IF(ISERROR(VLOOKUP($A175,'NonXtal_SegEnds_BW#'!$A:$Z,15,FALSE)+VLOOKUP($A175,A:AL,22,FALSE)-50),"-",VLOOKUP($A175,'NonXtal_SegEnds_BW#'!$A:$Z,15,FALSE)+VLOOKUP($A175,A:AL,22,FALSE)-50)</f>
        <v>133</v>
      </c>
      <c r="V175" s="3">
        <v>144</v>
      </c>
      <c r="W175" s="3">
        <f>IF(ISERROR(VLOOKUP($A175,'NonXtal_SegEnds_BW#'!$A:$Z,16,FALSE)+VLOOKUP($A175,A:AL,22,FALSE)-50),"-",(VLOOKUP($A175,'NonXtal_SegEnds_BW#'!$A:$Z,16,FALSE)+VLOOKUP($A175,A:AL,22,FALSE)-50))</f>
        <v>157</v>
      </c>
      <c r="X175" s="3">
        <f>IF(ISERROR(VLOOKUP($A175,'NonXtal_SegEnds_BW#'!$A:$Z,17,FALSE)+VLOOKUP($A175,A:AL,25,FALSE)-50),"-",(VLOOKUP($A175,'NonXtal_SegEnds_BW#'!$A:$Z,17,FALSE)+VLOOKUP($A175,A:AL,25,FALSE)-50))</f>
        <v>170</v>
      </c>
      <c r="Y175" s="3">
        <v>170</v>
      </c>
      <c r="Z175" s="3">
        <f t="shared" si="94"/>
        <v>172</v>
      </c>
      <c r="AA175" s="3">
        <f>IF(ISERROR(VLOOKUP($A175,'NonXtal_SegEnds_BW#'!$A:$Z,19,FALSE)+VLOOKUP($A175,A:AL,28,FALSE)-50),"-",(VLOOKUP($A175,'NonXtal_SegEnds_BW#'!$A:$Z,19,FALSE)+VLOOKUP($A175,A:AL,28,FALSE)-50))</f>
        <v>182</v>
      </c>
      <c r="AB175" s="3">
        <v>197</v>
      </c>
      <c r="AC175" s="3">
        <f>IF(ISERROR((VLOOKUP($A175,'NonXtal_SegEnds_BW#'!$A:$Z,20,FALSE)+VLOOKUP($A175,A:AL,28,FALSE)-50)),"-",(VLOOKUP($A175,'NonXtal_SegEnds_BW#'!$A:$Z,20,FALSE)+VLOOKUP($A175,A:AL,28,FALSE)-50))</f>
        <v>220</v>
      </c>
      <c r="AD175" s="3">
        <f>IF(ISERROR(VLOOKUP($A175,'NonXtal_SegEnds_BW#'!$A:$Z,21,FALSE)+VLOOKUP($A175,A:AL,31,FALSE)-50),"-",(VLOOKUP($A175,'NonXtal_SegEnds_BW#'!$A:$Z,21,FALSE)+VLOOKUP($A175,A:AL,31,FALSE)-50))</f>
        <v>226</v>
      </c>
      <c r="AE175" s="3">
        <v>254</v>
      </c>
      <c r="AF175" s="3">
        <f>IF(ISERROR((VLOOKUP($A175,'NonXtal_SegEnds_BW#'!$A:$Z,22,FALSE)+VLOOKUP($A175,A:AL,31,FALSE)-50)),"-",(VLOOKUP($A175,'NonXtal_SegEnds_BW#'!$A:$Z,22,FALSE)+VLOOKUP($A175,A:AL,31,FALSE)-50))</f>
        <v>265</v>
      </c>
      <c r="AG175" s="3">
        <f>IF(ISERROR(VLOOKUP($A175,'NonXtal_SegEnds_BW#'!$A:$Z,23,FALSE)+VLOOKUP($A175,A:AL,34,FALSE)-50),"-",(VLOOKUP($A175,'NonXtal_SegEnds_BW#'!$A:$Z,23,FALSE)+VLOOKUP($A175,A:AL,34,FALSE)-50))</f>
        <v>270</v>
      </c>
      <c r="AH175" s="3">
        <v>289</v>
      </c>
      <c r="AI175" s="3">
        <f>IF(ISERROR((VLOOKUP($A175,'NonXtal_SegEnds_BW#'!$A:$Z,24,FALSE)+VLOOKUP($A175,A:AL,34,FALSE)-50)),"-",(VLOOKUP($A175,'NonXtal_SegEnds_BW#'!$A:$Z,24,FALSE)+VLOOKUP($A175,A:AL,34,FALSE)-50))</f>
        <v>295</v>
      </c>
      <c r="AJ175" s="3">
        <f>IF(ISERROR(VLOOKUP($A175,'NonXtal_SegEnds_BW#'!$A:$Z,25,FALSE)+VLOOKUP($A175,A:AL,37,FALSE)-50),"-",(VLOOKUP($A175,'NonXtal_SegEnds_BW#'!$A:$Z,25,FALSE)+VLOOKUP($A175,A:AL,37,FALSE)-50))</f>
        <v>296</v>
      </c>
      <c r="AK175" s="3">
        <v>299</v>
      </c>
      <c r="AL175" s="3">
        <f>IF(ISERROR((VLOOKUP($A175,'NonXtal_SegEnds_BW#'!$A:$Z,26,FALSE)+VLOOKUP($A175,A:AL,37,FALSE)-50)),"-",(VLOOKUP($A175,'NonXtal_SegEnds_BW#'!$A:$Z,26,FALSE)+VLOOKUP($A175,A:AL,37,FALSE)-50))</f>
        <v>308</v>
      </c>
      <c r="AM175" s="71" t="str">
        <f>VLOOKUP(A175,Classification!A:B,2,FALSE)</f>
        <v>A</v>
      </c>
      <c r="AN175" s="71" t="b">
        <f t="shared" si="69"/>
        <v>1</v>
      </c>
      <c r="AO175" s="3" t="str">
        <f t="shared" si="70"/>
        <v>-</v>
      </c>
      <c r="AP175" s="3" t="str">
        <f t="shared" si="71"/>
        <v>-</v>
      </c>
      <c r="AQ175" s="3" t="str">
        <f t="shared" si="72"/>
        <v>-</v>
      </c>
      <c r="AR175" s="3" t="str">
        <f t="shared" si="73"/>
        <v>-</v>
      </c>
      <c r="AS175" s="3">
        <f t="shared" si="74"/>
        <v>1</v>
      </c>
      <c r="AT175" s="3">
        <f t="shared" si="75"/>
        <v>2</v>
      </c>
      <c r="AU175" s="3">
        <f t="shared" si="76"/>
        <v>13</v>
      </c>
      <c r="AV175" s="3">
        <f t="shared" si="77"/>
        <v>10</v>
      </c>
      <c r="AW175" s="3">
        <f t="shared" si="78"/>
        <v>6</v>
      </c>
      <c r="AX175" s="3">
        <f t="shared" si="79"/>
        <v>5</v>
      </c>
      <c r="AY175" s="3">
        <f t="shared" si="80"/>
        <v>1</v>
      </c>
      <c r="AZ175" s="3">
        <f>IF(ISERROR(LEN(VLOOKUP(A175,Seqs!A:E,2,FALSE))-AL175),"-",LEN(VLOOKUP(A175,Seqs!A:E,2,FALSE))-AL175)</f>
        <v>78</v>
      </c>
      <c r="BA175" s="35">
        <f t="shared" si="81"/>
        <v>29</v>
      </c>
      <c r="BB175" s="3">
        <f t="shared" si="82"/>
        <v>20</v>
      </c>
      <c r="BC175" s="3">
        <f t="shared" si="83"/>
        <v>29</v>
      </c>
      <c r="BD175" s="3">
        <f t="shared" si="84"/>
        <v>57</v>
      </c>
    </row>
    <row r="176" spans="1:57" s="3" customFormat="1" x14ac:dyDescent="0.2">
      <c r="A176" s="3" t="s">
        <v>350</v>
      </c>
      <c r="B176" s="3" t="str">
        <f>LOWER(VLOOKUP(A176,Xtal_Templ!A:B,2,FALSE))</f>
        <v>drd3_human</v>
      </c>
      <c r="C176" s="3">
        <f>VLOOKUP($A176,'NonXtal_SegEnds_BW#'!$A:$Z,3,FALSE)+D176-50</f>
        <v>9</v>
      </c>
      <c r="D176" s="3">
        <v>30</v>
      </c>
      <c r="E176" s="3">
        <f>IF(ISERROR(VLOOKUP($A176,'NonXtal_SegEnds_BW#'!$A:$Z,4,FALSE)+VLOOKUP($A176,A:AL,4,FALSE)-50),"-",(VLOOKUP($A176,'NonXtal_SegEnds_BW#'!$A:$Z,4,FALSE)+VLOOKUP($A176,A:AL,4,FALSE)-50))</f>
        <v>40</v>
      </c>
      <c r="F176" s="3">
        <f>G176-2</f>
        <v>41</v>
      </c>
      <c r="G176" s="3">
        <v>43</v>
      </c>
      <c r="H176" s="3">
        <f>G176+1</f>
        <v>44</v>
      </c>
      <c r="I176" s="3">
        <f>H176+1</f>
        <v>45</v>
      </c>
      <c r="J176" s="3">
        <v>58</v>
      </c>
      <c r="K176" s="3">
        <f>VLOOKUP($A176,'NonXtal_SegEnds_BW#'!$A:$Z,8,FALSE)+VLOOKUP($A176,A:AL,10,FALSE)-50</f>
        <v>75</v>
      </c>
      <c r="L176" s="3">
        <f>M176-1</f>
        <v>77</v>
      </c>
      <c r="M176" s="3">
        <v>78</v>
      </c>
      <c r="N176" s="3">
        <f>M176+2</f>
        <v>80</v>
      </c>
      <c r="O176" s="3">
        <f>N176+1</f>
        <v>81</v>
      </c>
      <c r="P176" s="3">
        <v>110</v>
      </c>
      <c r="Q176" s="3">
        <f>VLOOKUP($A176,'NonXtal_SegEnds_BW#'!$A:$Z,12,FALSE)+VLOOKUP($A176,A:AL,16,FALSE)-50</f>
        <v>116</v>
      </c>
      <c r="R176" s="3">
        <f>IF(ISERROR(VLOOKUP($A176,'NonXtal_SegEnds_BW#'!$A:$Z,13,FALSE)+VLOOKUP($A176,A:AL,19,FALSE)-50),"-",VLOOKUP($A176,'NonXtal_SegEnds_BW#'!$A:$Z,13,FALSE)+VLOOKUP($A176,A:AL,19,FALSE)-50)</f>
        <v>117</v>
      </c>
      <c r="S176" s="3">
        <v>117</v>
      </c>
      <c r="T176" s="3">
        <f>IF(ISERROR(VLOOKUP($A176,'NonXtal_SegEnds_BW#'!$A:$Z,14,FALSE)+VLOOKUP($A176,A:AL,19,FALSE)-50),"-",(VLOOKUP($A176,'NonXtal_SegEnds_BW#'!$A:$Z,14,FALSE)+VLOOKUP($A176,A:AL,19,FALSE)-50))</f>
        <v>124</v>
      </c>
      <c r="U176" s="3">
        <f>IF(ISERROR(VLOOKUP($A176,'NonXtal_SegEnds_BW#'!$A:$Z,15,FALSE)+VLOOKUP($A176,A:AL,22,FALSE)-50),"-",VLOOKUP($A176,'NonXtal_SegEnds_BW#'!$A:$Z,15,FALSE)+VLOOKUP($A176,A:AL,22,FALSE)-50)</f>
        <v>126</v>
      </c>
      <c r="V176" s="3">
        <v>137</v>
      </c>
      <c r="W176" s="3">
        <f>IF(ISERROR(VLOOKUP($A176,'NonXtal_SegEnds_BW#'!$A:$Z,16,FALSE)+VLOOKUP($A176,A:AL,22,FALSE)-50),"-",(VLOOKUP($A176,'NonXtal_SegEnds_BW#'!$A:$Z,16,FALSE)+VLOOKUP($A176,A:AL,22,FALSE)-50))</f>
        <v>150</v>
      </c>
      <c r="X176" s="3">
        <f>IF(ISERROR(VLOOKUP($A176,'NonXtal_SegEnds_BW#'!$A:$Z,17,FALSE)+VLOOKUP($A176,A:AL,25,FALSE)-50),"-",(VLOOKUP($A176,'NonXtal_SegEnds_BW#'!$A:$Z,17,FALSE)+VLOOKUP($A176,A:AL,25,FALSE)-50))</f>
        <v>164</v>
      </c>
      <c r="Y176" s="3">
        <v>164</v>
      </c>
      <c r="Z176" s="3">
        <f t="shared" si="94"/>
        <v>166</v>
      </c>
      <c r="AA176" s="3">
        <f>IF(ISERROR(VLOOKUP($A176,'NonXtal_SegEnds_BW#'!$A:$Z,19,FALSE)+VLOOKUP($A176,A:AL,28,FALSE)-50),"-",(VLOOKUP($A176,'NonXtal_SegEnds_BW#'!$A:$Z,19,FALSE)+VLOOKUP($A176,A:AL,28,FALSE)-50))</f>
        <v>169</v>
      </c>
      <c r="AB176" s="3">
        <v>184</v>
      </c>
      <c r="AC176" s="3">
        <f>IF(ISERROR((VLOOKUP($A176,'NonXtal_SegEnds_BW#'!$A:$Z,20,FALSE)+VLOOKUP($A176,A:AL,28,FALSE)-50)),"-",(VLOOKUP($A176,'NonXtal_SegEnds_BW#'!$A:$Z,20,FALSE)+VLOOKUP($A176,A:AL,28,FALSE)-50))</f>
        <v>209</v>
      </c>
      <c r="AD176" s="3">
        <f>IF(ISERROR(VLOOKUP($A176,'NonXtal_SegEnds_BW#'!$A:$Z,21,FALSE)+VLOOKUP($A176,A:AL,31,FALSE)-50),"-",(VLOOKUP($A176,'NonXtal_SegEnds_BW#'!$A:$Z,21,FALSE)+VLOOKUP($A176,A:AL,31,FALSE)-50))</f>
        <v>357</v>
      </c>
      <c r="AE176" s="3">
        <v>383</v>
      </c>
      <c r="AF176" s="3">
        <f>IF(ISERROR((VLOOKUP($A176,'NonXtal_SegEnds_BW#'!$A:$Z,22,FALSE)+VLOOKUP($A176,A:AL,31,FALSE)-50)),"-",(VLOOKUP($A176,'NonXtal_SegEnds_BW#'!$A:$Z,22,FALSE)+VLOOKUP($A176,A:AL,31,FALSE)-50))</f>
        <v>394</v>
      </c>
      <c r="AG176" s="3">
        <f>IF(ISERROR(VLOOKUP($A176,'NonXtal_SegEnds_BW#'!$A:$Z,23,FALSE)+VLOOKUP($A176,A:AL,34,FALSE)-50),"-",(VLOOKUP($A176,'NonXtal_SegEnds_BW#'!$A:$Z,23,FALSE)+VLOOKUP($A176,A:AL,34,FALSE)-50))</f>
        <v>401</v>
      </c>
      <c r="AH176" s="3">
        <v>420</v>
      </c>
      <c r="AI176" s="3">
        <f>IF(ISERROR((VLOOKUP($A176,'NonXtal_SegEnds_BW#'!$A:$Z,24,FALSE)+VLOOKUP($A176,A:AL,34,FALSE)-50)),"-",(VLOOKUP($A176,'NonXtal_SegEnds_BW#'!$A:$Z,24,FALSE)+VLOOKUP($A176,A:AL,34,FALSE)-50))</f>
        <v>426</v>
      </c>
      <c r="AJ176" s="3">
        <f>IF(ISERROR(VLOOKUP($A176,'NonXtal_SegEnds_BW#'!$A:$Z,25,FALSE)+VLOOKUP($A176,A:AL,37,FALSE)-50),"-",(VLOOKUP($A176,'NonXtal_SegEnds_BW#'!$A:$Z,25,FALSE)+VLOOKUP($A176,A:AL,37,FALSE)-50))</f>
        <v>427</v>
      </c>
      <c r="AK176" s="3">
        <v>430</v>
      </c>
      <c r="AL176" s="3">
        <f>IF(ISERROR((VLOOKUP($A176,'NonXtal_SegEnds_BW#'!$A:$Z,26,FALSE)+VLOOKUP($A176,A:AL,37,FALSE)-50)),"-",(VLOOKUP($A176,'NonXtal_SegEnds_BW#'!$A:$Z,26,FALSE)+VLOOKUP($A176,A:AL,37,FALSE)-50))</f>
        <v>439</v>
      </c>
      <c r="AM176" s="71" t="str">
        <f>VLOOKUP(A176,Classification!A:B,2,FALSE)</f>
        <v>A</v>
      </c>
      <c r="AN176" s="71" t="b">
        <f t="shared" si="69"/>
        <v>1</v>
      </c>
      <c r="AO176" s="3">
        <f t="shared" si="70"/>
        <v>1</v>
      </c>
      <c r="AP176" s="3">
        <f t="shared" si="71"/>
        <v>1</v>
      </c>
      <c r="AQ176" s="3">
        <f t="shared" si="72"/>
        <v>2</v>
      </c>
      <c r="AR176" s="3">
        <f t="shared" si="73"/>
        <v>1</v>
      </c>
      <c r="AS176" s="3">
        <f t="shared" si="74"/>
        <v>1</v>
      </c>
      <c r="AT176" s="3">
        <f t="shared" si="75"/>
        <v>2</v>
      </c>
      <c r="AU176" s="3">
        <f t="shared" si="76"/>
        <v>14</v>
      </c>
      <c r="AV176" s="3">
        <f t="shared" si="77"/>
        <v>3</v>
      </c>
      <c r="AW176" s="3">
        <f t="shared" si="78"/>
        <v>148</v>
      </c>
      <c r="AX176" s="3">
        <f t="shared" si="79"/>
        <v>7</v>
      </c>
      <c r="AY176" s="3">
        <f t="shared" si="80"/>
        <v>1</v>
      </c>
      <c r="AZ176" s="3">
        <f>IF(ISERROR(LEN(VLOOKUP(A176,Seqs!A:E,2,FALSE))-AL176),"-",LEN(VLOOKUP(A176,Seqs!A:E,2,FALSE))-AL176)</f>
        <v>8</v>
      </c>
      <c r="BA176" s="35">
        <f t="shared" si="81"/>
        <v>28</v>
      </c>
      <c r="BB176" s="3">
        <f t="shared" si="82"/>
        <v>20</v>
      </c>
      <c r="BC176" s="3">
        <f t="shared" si="83"/>
        <v>28</v>
      </c>
      <c r="BD176" s="3">
        <f t="shared" si="84"/>
        <v>199</v>
      </c>
      <c r="BE176" s="3">
        <f>AH176-AE176</f>
        <v>37</v>
      </c>
    </row>
    <row r="177" spans="1:57" s="3" customFormat="1" x14ac:dyDescent="0.2">
      <c r="A177" s="3" t="s">
        <v>458</v>
      </c>
      <c r="B177" s="3" t="str">
        <f>LOWER(VLOOKUP(A177,Xtal_Templ!A:B,2,FALSE))</f>
        <v>drd3_human</v>
      </c>
      <c r="C177" s="3">
        <f>VLOOKUP($A177,'NonXtal_SegEnds_BW#'!$A:$Z,3,FALSE)+D177-50</f>
        <v>11</v>
      </c>
      <c r="D177" s="3">
        <v>32</v>
      </c>
      <c r="E177" s="3">
        <f>IF(ISERROR(VLOOKUP($A177,'NonXtal_SegEnds_BW#'!$A:$Z,4,FALSE)+VLOOKUP($A177,A:AL,4,FALSE)-50),"-",(VLOOKUP($A177,'NonXtal_SegEnds_BW#'!$A:$Z,4,FALSE)+VLOOKUP($A177,A:AL,4,FALSE)-50))</f>
        <v>42</v>
      </c>
      <c r="F177" s="3" t="str">
        <f>IF(ISERROR(VLOOKUP($A177,'NonXtal_SegEnds_BW#'!$A:$Z,5,FALSE)+VLOOKUP($A177,A:AL,7,FALSE)-50),"-",(VLOOKUP($A177,'NonXtal_SegEnds_BW#'!$A:$Z,5,FALSE)+VLOOKUP($A177,A:AL,7,FALSE)-50))</f>
        <v>-</v>
      </c>
      <c r="G177" s="3" t="s">
        <v>129</v>
      </c>
      <c r="H177" s="3" t="str">
        <f>IF(ISERROR(VLOOKUP($A177,'NonXtal_SegEnds_BW#'!$A:$Z,6,FALSE)+VLOOKUP($A177,A:AL,7,FALSE)-50),"-",(VLOOKUP($A177,'NonXtal_SegEnds_BW#'!$A:$Z,6,FALSE)+VLOOKUP($A177,A:AL,7,FALSE)-50))</f>
        <v>-</v>
      </c>
      <c r="I177" s="3">
        <f>VLOOKUP($A177,'NonXtal_SegEnds_BW#'!$A:$Z,7,FALSE)+J177-50</f>
        <v>45</v>
      </c>
      <c r="J177" s="3">
        <v>58</v>
      </c>
      <c r="K177" s="3">
        <f>VLOOKUP($A177,'NonXtal_SegEnds_BW#'!$A:$Z,8,FALSE)+VLOOKUP($A177,A:AL,10,FALSE)-50</f>
        <v>75</v>
      </c>
      <c r="L177" s="3" t="str">
        <f>IF(ISERROR(VLOOKUP($A177,'NonXtal_SegEnds_BW#'!$A:$Z,9,FALSE)+VLOOKUP($A177,A:AL,13,FALSE)-50),"-",(VLOOKUP($A177,'NonXtal_SegEnds_BW#'!$A:$Z,9,FALSE)+VLOOKUP($A177,A:AL,13,FALSE)-50))</f>
        <v>-</v>
      </c>
      <c r="M177" s="3" t="s">
        <v>129</v>
      </c>
      <c r="N177" s="3" t="str">
        <f>IF(ISERROR(VLOOKUP($A177,'NonXtal_SegEnds_BW#'!$A:$Z,10,FALSE)+VLOOKUP($A177,A:AL,13,FALSE)-50),"-",(VLOOKUP($A177,'NonXtal_SegEnds_BW#'!$A:$Z,10,FALSE)+VLOOKUP($A177,A:AL,13,FALSE)-50))</f>
        <v>-</v>
      </c>
      <c r="O177" s="3">
        <f>VLOOKUP($A177,'NonXtal_SegEnds_BW#'!$A:$Z,11,FALSE)+VLOOKUP($A177,A:AL,16,FALSE)-50</f>
        <v>81</v>
      </c>
      <c r="P177" s="3">
        <v>113</v>
      </c>
      <c r="Q177" s="3">
        <f>VLOOKUP($A177,'NonXtal_SegEnds_BW#'!$A:$Z,12,FALSE)+VLOOKUP($A177,A:AL,16,FALSE)-50</f>
        <v>119</v>
      </c>
      <c r="R177" s="3" t="str">
        <f>IF(ISERROR(VLOOKUP($A177,'NonXtal_SegEnds_BW#'!$A:$Z,13,FALSE)+VLOOKUP($A177,A:AL,19,FALSE)-50),"-",VLOOKUP($A177,'NonXtal_SegEnds_BW#'!$A:$Z,13,FALSE)+VLOOKUP($A177,A:AL,19,FALSE)-50)</f>
        <v>-</v>
      </c>
      <c r="S177" s="3" t="s">
        <v>129</v>
      </c>
      <c r="T177" s="3" t="str">
        <f>IF(ISERROR(VLOOKUP($A177,'NonXtal_SegEnds_BW#'!$A:$Z,14,FALSE)+VLOOKUP($A177,A:AL,19,FALSE)-50),"-",(VLOOKUP($A177,'NonXtal_SegEnds_BW#'!$A:$Z,14,FALSE)+VLOOKUP($A177,A:AL,19,FALSE)-50))</f>
        <v>-</v>
      </c>
      <c r="U177" s="3">
        <f>IF(ISERROR(VLOOKUP($A177,'NonXtal_SegEnds_BW#'!$A:$Z,15,FALSE)+VLOOKUP($A177,A:AL,22,FALSE)-50),"-",VLOOKUP($A177,'NonXtal_SegEnds_BW#'!$A:$Z,15,FALSE)+VLOOKUP($A177,A:AL,22,FALSE)-50)</f>
        <v>126</v>
      </c>
      <c r="V177" s="3">
        <v>137</v>
      </c>
      <c r="W177" s="3">
        <f>IF(ISERROR(VLOOKUP($A177,'NonXtal_SegEnds_BW#'!$A:$Z,16,FALSE)+VLOOKUP($A177,A:AL,22,FALSE)-50),"-",(VLOOKUP($A177,'NonXtal_SegEnds_BW#'!$A:$Z,16,FALSE)+VLOOKUP($A177,A:AL,22,FALSE)-50))</f>
        <v>150</v>
      </c>
      <c r="X177" s="3">
        <f>IF(ISERROR(VLOOKUP($A177,'NonXtal_SegEnds_BW#'!$A:$Z,17,FALSE)+VLOOKUP($A177,A:AL,25,FALSE)-50),"-",(VLOOKUP($A177,'NonXtal_SegEnds_BW#'!$A:$Z,17,FALSE)+VLOOKUP($A177,A:AL,25,FALSE)-50))</f>
        <v>162</v>
      </c>
      <c r="Y177" s="3">
        <v>162</v>
      </c>
      <c r="Z177" s="3">
        <f t="shared" si="94"/>
        <v>164</v>
      </c>
      <c r="AA177" s="3">
        <f>IF(ISERROR(VLOOKUP($A177,'NonXtal_SegEnds_BW#'!$A:$Z,19,FALSE)+VLOOKUP($A177,A:AL,28,FALSE)-50),"-",(VLOOKUP($A177,'NonXtal_SegEnds_BW#'!$A:$Z,19,FALSE)+VLOOKUP($A177,A:AL,28,FALSE)-50))</f>
        <v>169</v>
      </c>
      <c r="AB177" s="3">
        <v>184</v>
      </c>
      <c r="AC177" s="3">
        <f>IF(ISERROR((VLOOKUP($A177,'NonXtal_SegEnds_BW#'!$A:$Z,20,FALSE)+VLOOKUP($A177,A:AL,28,FALSE)-50)),"-",(VLOOKUP($A177,'NonXtal_SegEnds_BW#'!$A:$Z,20,FALSE)+VLOOKUP($A177,A:AL,28,FALSE)-50))</f>
        <v>210</v>
      </c>
      <c r="AD177" s="3">
        <f>IF(ISERROR(VLOOKUP($A177,'NonXtal_SegEnds_BW#'!$A:$Z,21,FALSE)+VLOOKUP($A177,A:AL,31,FALSE)-50),"-",(VLOOKUP($A177,'NonXtal_SegEnds_BW#'!$A:$Z,21,FALSE)+VLOOKUP($A177,A:AL,31,FALSE)-50))</f>
        <v>230</v>
      </c>
      <c r="AE177" s="3">
        <v>256</v>
      </c>
      <c r="AF177" s="3">
        <f>IF(ISERROR((VLOOKUP($A177,'NonXtal_SegEnds_BW#'!$A:$Z,22,FALSE)+VLOOKUP($A177,A:AL,31,FALSE)-50)),"-",(VLOOKUP($A177,'NonXtal_SegEnds_BW#'!$A:$Z,22,FALSE)+VLOOKUP($A177,A:AL,31,FALSE)-50))</f>
        <v>264</v>
      </c>
      <c r="AG177" s="3">
        <f>IF(ISERROR(VLOOKUP($A177,'NonXtal_SegEnds_BW#'!$A:$Z,23,FALSE)+VLOOKUP($A177,A:AL,34,FALSE)-50),"-",(VLOOKUP($A177,'NonXtal_SegEnds_BW#'!$A:$Z,23,FALSE)+VLOOKUP($A177,A:AL,34,FALSE)-50))</f>
        <v>272</v>
      </c>
      <c r="AH177" s="3">
        <v>287</v>
      </c>
      <c r="AI177" s="3">
        <f>IF(ISERROR((VLOOKUP($A177,'NonXtal_SegEnds_BW#'!$A:$Z,24,FALSE)+VLOOKUP($A177,A:AL,34,FALSE)-50)),"-",(VLOOKUP($A177,'NonXtal_SegEnds_BW#'!$A:$Z,24,FALSE)+VLOOKUP($A177,A:AL,34,FALSE)-50))</f>
        <v>293</v>
      </c>
      <c r="AJ177" s="3">
        <f>IF(ISERROR(VLOOKUP($A177,'NonXtal_SegEnds_BW#'!$A:$Z,25,FALSE)+VLOOKUP($A177,A:AL,37,FALSE)-50),"-",(VLOOKUP($A177,'NonXtal_SegEnds_BW#'!$A:$Z,25,FALSE)+VLOOKUP($A177,A:AL,37,FALSE)-50))</f>
        <v>294</v>
      </c>
      <c r="AK177" s="3">
        <v>297</v>
      </c>
      <c r="AL177" s="3">
        <f>IF(ISERROR((VLOOKUP($A177,'NonXtal_SegEnds_BW#'!$A:$Z,26,FALSE)+VLOOKUP($A177,A:AL,37,FALSE)-50)),"-",(VLOOKUP($A177,'NonXtal_SegEnds_BW#'!$A:$Z,26,FALSE)+VLOOKUP($A177,A:AL,37,FALSE)-50))</f>
        <v>306</v>
      </c>
      <c r="AM177" s="71" t="str">
        <f>VLOOKUP(A177,Classification!A:B,2,FALSE)</f>
        <v>A</v>
      </c>
      <c r="AN177" s="71" t="b">
        <f t="shared" si="69"/>
        <v>1</v>
      </c>
      <c r="AO177" s="3" t="str">
        <f t="shared" si="70"/>
        <v>-</v>
      </c>
      <c r="AP177" s="3" t="str">
        <f t="shared" si="71"/>
        <v>-</v>
      </c>
      <c r="AQ177" s="3" t="str">
        <f t="shared" si="72"/>
        <v>-</v>
      </c>
      <c r="AR177" s="3" t="str">
        <f t="shared" si="73"/>
        <v>-</v>
      </c>
      <c r="AS177" s="3" t="str">
        <f t="shared" si="74"/>
        <v>-</v>
      </c>
      <c r="AT177" s="3" t="str">
        <f t="shared" si="75"/>
        <v>-</v>
      </c>
      <c r="AU177" s="3">
        <f t="shared" si="76"/>
        <v>12</v>
      </c>
      <c r="AV177" s="3">
        <f t="shared" si="77"/>
        <v>5</v>
      </c>
      <c r="AW177" s="3">
        <f t="shared" si="78"/>
        <v>20</v>
      </c>
      <c r="AX177" s="3">
        <f t="shared" si="79"/>
        <v>8</v>
      </c>
      <c r="AY177" s="3">
        <f t="shared" si="80"/>
        <v>1</v>
      </c>
      <c r="AZ177" s="3">
        <f>IF(ISERROR(LEN(VLOOKUP(A177,Seqs!A:E,2,FALSE))-AL177),"-",LEN(VLOOKUP(A177,Seqs!A:E,2,FALSE))-AL177)</f>
        <v>62</v>
      </c>
      <c r="BA177" s="35">
        <f t="shared" si="81"/>
        <v>26</v>
      </c>
      <c r="BB177" s="3" t="str">
        <f t="shared" si="82"/>
        <v>-</v>
      </c>
      <c r="BC177" s="3">
        <f t="shared" si="83"/>
        <v>26</v>
      </c>
      <c r="BD177" s="3">
        <f t="shared" si="84"/>
        <v>72</v>
      </c>
    </row>
    <row r="178" spans="1:57" s="3" customFormat="1" x14ac:dyDescent="0.2">
      <c r="A178" s="3" t="s">
        <v>449</v>
      </c>
      <c r="B178" s="3" t="str">
        <f>LOWER(VLOOKUP(A178,Xtal_Templ!A:B,2,FALSE))</f>
        <v>ednrb_human</v>
      </c>
      <c r="C178" s="3">
        <f>VLOOKUP($A178,'NonXtal_SegEnds_BW#'!$A:$Z,3,FALSE)+D178-50</f>
        <v>251</v>
      </c>
      <c r="D178" s="3">
        <v>279</v>
      </c>
      <c r="E178" s="3">
        <f>IF(ISERROR(VLOOKUP($A178,'NonXtal_SegEnds_BW#'!$A:$Z,4,FALSE)+VLOOKUP($A178,A:AL,4,FALSE)-50),"-",(VLOOKUP($A178,'NonXtal_SegEnds_BW#'!$A:$Z,4,FALSE)+VLOOKUP($A178,A:AL,4,FALSE)-50))</f>
        <v>289</v>
      </c>
      <c r="F178" s="3">
        <f t="shared" ref="F178:F183" si="96">G178-2</f>
        <v>290</v>
      </c>
      <c r="G178" s="3">
        <v>292</v>
      </c>
      <c r="H178" s="3">
        <f>G178+1</f>
        <v>293</v>
      </c>
      <c r="I178" s="3">
        <f>H178+1</f>
        <v>294</v>
      </c>
      <c r="J178" s="3">
        <v>307</v>
      </c>
      <c r="K178" s="3">
        <f>VLOOKUP($A178,'NonXtal_SegEnds_BW#'!$A:$Z,8,FALSE)+VLOOKUP($A178,A:AL,10,FALSE)-50</f>
        <v>324</v>
      </c>
      <c r="L178" s="3">
        <f>M178-1</f>
        <v>326</v>
      </c>
      <c r="M178" s="3">
        <v>327</v>
      </c>
      <c r="N178" s="3">
        <f>M178+2</f>
        <v>329</v>
      </c>
      <c r="O178" s="3">
        <f>N178+1</f>
        <v>330</v>
      </c>
      <c r="P178" s="3">
        <v>359</v>
      </c>
      <c r="Q178" s="3">
        <f>VLOOKUP($A178,'NonXtal_SegEnds_BW#'!$A:$Z,12,FALSE)+VLOOKUP($A178,A:AL,16,FALSE)-50</f>
        <v>365</v>
      </c>
      <c r="R178" s="3">
        <f>IF(ISERROR(VLOOKUP($A178,'NonXtal_SegEnds_BW#'!$A:$Z,13,FALSE)+VLOOKUP($A178,A:AL,19,FALSE)-50),"-",VLOOKUP($A178,'NonXtal_SegEnds_BW#'!$A:$Z,13,FALSE)+VLOOKUP($A178,A:AL,19,FALSE)-50)</f>
        <v>367</v>
      </c>
      <c r="S178" s="3">
        <v>367</v>
      </c>
      <c r="T178" s="3">
        <f>IF(ISERROR(VLOOKUP($A178,'NonXtal_SegEnds_BW#'!$A:$Z,14,FALSE)+VLOOKUP($A178,A:AL,19,FALSE)-50),"-",(VLOOKUP($A178,'NonXtal_SegEnds_BW#'!$A:$Z,14,FALSE)+VLOOKUP($A178,A:AL,19,FALSE)-50))</f>
        <v>374</v>
      </c>
      <c r="U178" s="3">
        <f>IF(ISERROR(VLOOKUP($A178,'NonXtal_SegEnds_BW#'!$A:$Z,15,FALSE)+VLOOKUP($A178,A:AL,22,FALSE)-50),"-",VLOOKUP($A178,'NonXtal_SegEnds_BW#'!$A:$Z,15,FALSE)+VLOOKUP($A178,A:AL,22,FALSE)-50)</f>
        <v>376</v>
      </c>
      <c r="V178" s="3">
        <v>387</v>
      </c>
      <c r="W178" s="3">
        <f>IF(ISERROR(VLOOKUP($A178,'NonXtal_SegEnds_BW#'!$A:$Z,16,FALSE)+VLOOKUP($A178,A:AL,22,FALSE)-50),"-",(VLOOKUP($A178,'NonXtal_SegEnds_BW#'!$A:$Z,16,FALSE)+VLOOKUP($A178,A:AL,22,FALSE)-50))</f>
        <v>401</v>
      </c>
      <c r="X178" s="3">
        <f>IF(ISERROR(VLOOKUP($A178,'NonXtal_SegEnds_BW#'!$A:$Z,17,FALSE)+VLOOKUP($A178,A:AL,25,FALSE)-50),"-",(VLOOKUP($A178,'NonXtal_SegEnds_BW#'!$A:$Z,17,FALSE)+VLOOKUP($A178,A:AL,25,FALSE)-50))</f>
        <v>419</v>
      </c>
      <c r="Y178" s="3">
        <v>419</v>
      </c>
      <c r="Z178" s="3">
        <f t="shared" si="94"/>
        <v>421</v>
      </c>
      <c r="AA178" s="3">
        <f>IF(ISERROR(VLOOKUP($A178,'NonXtal_SegEnds_BW#'!$A:$Z,19,FALSE)+VLOOKUP($A178,A:AL,28,FALSE)-50),"-",(VLOOKUP($A178,'NonXtal_SegEnds_BW#'!$A:$Z,19,FALSE)+VLOOKUP($A178,A:AL,28,FALSE)-50))</f>
        <v>433</v>
      </c>
      <c r="AB178" s="3">
        <v>454</v>
      </c>
      <c r="AC178" s="3">
        <f>IF(ISERROR((VLOOKUP($A178,'NonXtal_SegEnds_BW#'!$A:$Z,20,FALSE)+VLOOKUP($A178,A:AL,28,FALSE)-50)),"-",(VLOOKUP($A178,'NonXtal_SegEnds_BW#'!$A:$Z,20,FALSE)+VLOOKUP($A178,A:AL,28,FALSE)-50))</f>
        <v>476</v>
      </c>
      <c r="AD178" s="3">
        <f>IF(ISERROR(VLOOKUP($A178,'NonXtal_SegEnds_BW#'!$A:$Z,21,FALSE)+VLOOKUP($A178,A:AL,31,FALSE)-50),"-",(VLOOKUP($A178,'NonXtal_SegEnds_BW#'!$A:$Z,21,FALSE)+VLOOKUP($A178,A:AL,31,FALSE)-50))</f>
        <v>481</v>
      </c>
      <c r="AE178" s="3">
        <v>507</v>
      </c>
      <c r="AF178" s="3">
        <f>IF(ISERROR((VLOOKUP($A178,'NonXtal_SegEnds_BW#'!$A:$Z,22,FALSE)+VLOOKUP($A178,A:AL,31,FALSE)-50)),"-",(VLOOKUP($A178,'NonXtal_SegEnds_BW#'!$A:$Z,22,FALSE)+VLOOKUP($A178,A:AL,31,FALSE)-50))</f>
        <v>518</v>
      </c>
      <c r="AG178" s="3">
        <f>IF(ISERROR(VLOOKUP($A178,'NonXtal_SegEnds_BW#'!$A:$Z,23,FALSE)+VLOOKUP($A178,A:AL,34,FALSE)-50),"-",(VLOOKUP($A178,'NonXtal_SegEnds_BW#'!$A:$Z,23,FALSE)+VLOOKUP($A178,A:AL,34,FALSE)-50))</f>
        <v>524</v>
      </c>
      <c r="AH178" s="3">
        <v>546</v>
      </c>
      <c r="AI178" s="3">
        <f>IF(ISERROR((VLOOKUP($A178,'NonXtal_SegEnds_BW#'!$A:$Z,24,FALSE)+VLOOKUP($A178,A:AL,34,FALSE)-50)),"-",(VLOOKUP($A178,'NonXtal_SegEnds_BW#'!$A:$Z,24,FALSE)+VLOOKUP($A178,A:AL,34,FALSE)-50))</f>
        <v>552</v>
      </c>
      <c r="AJ178" s="3">
        <f>IF(ISERROR(VLOOKUP($A178,'NonXtal_SegEnds_BW#'!$A:$Z,25,FALSE)+VLOOKUP($A178,A:AL,37,FALSE)-50),"-",(VLOOKUP($A178,'NonXtal_SegEnds_BW#'!$A:$Z,25,FALSE)+VLOOKUP($A178,A:AL,37,FALSE)-50))</f>
        <v>553</v>
      </c>
      <c r="AK178" s="3">
        <v>556</v>
      </c>
      <c r="AL178" s="3">
        <f>IF(ISERROR((VLOOKUP($A178,'NonXtal_SegEnds_BW#'!$A:$Z,26,FALSE)+VLOOKUP($A178,A:AL,37,FALSE)-50)),"-",(VLOOKUP($A178,'NonXtal_SegEnds_BW#'!$A:$Z,26,FALSE)+VLOOKUP($A178,A:AL,37,FALSE)-50))</f>
        <v>566</v>
      </c>
      <c r="AM178" s="71" t="str">
        <f>VLOOKUP(A178,Classification!A:B,2,FALSE)</f>
        <v>A</v>
      </c>
      <c r="AN178" s="71" t="b">
        <f t="shared" si="69"/>
        <v>1</v>
      </c>
      <c r="AO178" s="3">
        <f t="shared" si="70"/>
        <v>1</v>
      </c>
      <c r="AP178" s="3">
        <f t="shared" si="71"/>
        <v>1</v>
      </c>
      <c r="AQ178" s="3">
        <f t="shared" si="72"/>
        <v>2</v>
      </c>
      <c r="AR178" s="3">
        <f t="shared" si="73"/>
        <v>1</v>
      </c>
      <c r="AS178" s="3">
        <f t="shared" si="74"/>
        <v>2</v>
      </c>
      <c r="AT178" s="3">
        <f t="shared" si="75"/>
        <v>2</v>
      </c>
      <c r="AU178" s="3">
        <f t="shared" si="76"/>
        <v>18</v>
      </c>
      <c r="AV178" s="3">
        <f t="shared" si="77"/>
        <v>12</v>
      </c>
      <c r="AW178" s="3">
        <f t="shared" si="78"/>
        <v>5</v>
      </c>
      <c r="AX178" s="3">
        <f t="shared" si="79"/>
        <v>6</v>
      </c>
      <c r="AY178" s="3">
        <f t="shared" si="80"/>
        <v>1</v>
      </c>
      <c r="AZ178" s="3">
        <f>IF(ISERROR(LEN(VLOOKUP(A178,Seqs!A:E,2,FALSE))-AL178),"-",LEN(VLOOKUP(A178,Seqs!A:E,2,FALSE))-AL178)</f>
        <v>47</v>
      </c>
      <c r="BA178" s="35">
        <f t="shared" si="81"/>
        <v>28</v>
      </c>
      <c r="BB178" s="3">
        <f t="shared" si="82"/>
        <v>20</v>
      </c>
      <c r="BC178" s="3">
        <f t="shared" si="83"/>
        <v>28</v>
      </c>
      <c r="BD178" s="3">
        <f t="shared" si="84"/>
        <v>53</v>
      </c>
    </row>
    <row r="179" spans="1:57" s="3" customFormat="1" x14ac:dyDescent="0.2">
      <c r="A179" s="3" t="s">
        <v>391</v>
      </c>
      <c r="B179" s="3" t="str">
        <f>LOWER(VLOOKUP(A179,Xtal_Templ!A:B,2,FALSE))</f>
        <v>ednrb_human</v>
      </c>
      <c r="C179" s="3">
        <f>VLOOKUP($A179,'NonXtal_SegEnds_BW#'!$A:$Z,3,FALSE)+D179-50</f>
        <v>120</v>
      </c>
      <c r="D179" s="3">
        <v>148</v>
      </c>
      <c r="E179" s="3">
        <f>IF(ISERROR(VLOOKUP($A179,'NonXtal_SegEnds_BW#'!$A:$Z,4,FALSE)+VLOOKUP($A179,A:AL,4,FALSE)-50),"-",(VLOOKUP($A179,'NonXtal_SegEnds_BW#'!$A:$Z,4,FALSE)+VLOOKUP($A179,A:AL,4,FALSE)-50))</f>
        <v>158</v>
      </c>
      <c r="F179" s="3">
        <f t="shared" si="96"/>
        <v>159</v>
      </c>
      <c r="G179" s="3">
        <v>161</v>
      </c>
      <c r="H179" s="3">
        <f>G179+1</f>
        <v>162</v>
      </c>
      <c r="I179" s="3">
        <f>H179+1</f>
        <v>163</v>
      </c>
      <c r="J179" s="3">
        <v>176</v>
      </c>
      <c r="K179" s="3">
        <f>VLOOKUP($A179,'NonXtal_SegEnds_BW#'!$A:$Z,8,FALSE)+VLOOKUP($A179,A:AL,10,FALSE)-50</f>
        <v>193</v>
      </c>
      <c r="L179" s="3" t="str">
        <f>IF(ISERROR(VLOOKUP($A179,'NonXtal_SegEnds_BW#'!$A:$Z,9,FALSE)+VLOOKUP($A179,A:AL,13,FALSE)-50),"-",(VLOOKUP($A179,'NonXtal_SegEnds_BW#'!$A:$Z,9,FALSE)+VLOOKUP($A179,A:AL,13,FALSE)-50))</f>
        <v>-</v>
      </c>
      <c r="M179" s="3" t="s">
        <v>129</v>
      </c>
      <c r="N179" s="3" t="str">
        <f>IF(ISERROR(VLOOKUP($A179,'NonXtal_SegEnds_BW#'!$A:$Z,10,FALSE)+VLOOKUP($A179,A:AL,13,FALSE)-50),"-",(VLOOKUP($A179,'NonXtal_SegEnds_BW#'!$A:$Z,10,FALSE)+VLOOKUP($A179,A:AL,13,FALSE)-50))</f>
        <v>-</v>
      </c>
      <c r="O179" s="3">
        <f>VLOOKUP($A179,'NonXtal_SegEnds_BW#'!$A:$Z,11,FALSE)+VLOOKUP($A179,A:AL,16,FALSE)-50</f>
        <v>196</v>
      </c>
      <c r="P179" s="3">
        <v>228</v>
      </c>
      <c r="Q179" s="3">
        <f>VLOOKUP($A179,'NonXtal_SegEnds_BW#'!$A:$Z,12,FALSE)+VLOOKUP($A179,A:AL,16,FALSE)-50</f>
        <v>234</v>
      </c>
      <c r="R179" s="3">
        <f>IF(ISERROR(VLOOKUP($A179,'NonXtal_SegEnds_BW#'!$A:$Z,13,FALSE)+VLOOKUP($A179,A:AL,19,FALSE)-50),"-",VLOOKUP($A179,'NonXtal_SegEnds_BW#'!$A:$Z,13,FALSE)+VLOOKUP($A179,A:AL,19,FALSE)-50)</f>
        <v>236</v>
      </c>
      <c r="S179" s="3">
        <v>236</v>
      </c>
      <c r="T179" s="3">
        <f>IF(ISERROR(VLOOKUP($A179,'NonXtal_SegEnds_BW#'!$A:$Z,14,FALSE)+VLOOKUP($A179,A:AL,19,FALSE)-50),"-",(VLOOKUP($A179,'NonXtal_SegEnds_BW#'!$A:$Z,14,FALSE)+VLOOKUP($A179,A:AL,19,FALSE)-50))</f>
        <v>243</v>
      </c>
      <c r="U179" s="3">
        <f>IF(ISERROR(VLOOKUP($A179,'NonXtal_SegEnds_BW#'!$A:$Z,15,FALSE)+VLOOKUP($A179,A:AL,22,FALSE)-50),"-",VLOOKUP($A179,'NonXtal_SegEnds_BW#'!$A:$Z,15,FALSE)+VLOOKUP($A179,A:AL,22,FALSE)-50)</f>
        <v>245</v>
      </c>
      <c r="V179" s="3">
        <v>256</v>
      </c>
      <c r="W179" s="3">
        <f>IF(ISERROR(VLOOKUP($A179,'NonXtal_SegEnds_BW#'!$A:$Z,16,FALSE)+VLOOKUP($A179,A:AL,22,FALSE)-50),"-",(VLOOKUP($A179,'NonXtal_SegEnds_BW#'!$A:$Z,16,FALSE)+VLOOKUP($A179,A:AL,22,FALSE)-50))</f>
        <v>270</v>
      </c>
      <c r="X179" s="3">
        <f>IF(ISERROR(VLOOKUP($A179,'NonXtal_SegEnds_BW#'!$A:$Z,17,FALSE)+VLOOKUP($A179,A:AL,25,FALSE)-50),"-",(VLOOKUP($A179,'NonXtal_SegEnds_BW#'!$A:$Z,17,FALSE)+VLOOKUP($A179,A:AL,25,FALSE)-50))</f>
        <v>286</v>
      </c>
      <c r="Y179" s="3">
        <v>286</v>
      </c>
      <c r="Z179" s="3">
        <f t="shared" si="94"/>
        <v>288</v>
      </c>
      <c r="AA179" s="3">
        <f>IF(ISERROR(VLOOKUP($A179,'NonXtal_SegEnds_BW#'!$A:$Z,19,FALSE)+VLOOKUP($A179,A:AL,28,FALSE)-50),"-",(VLOOKUP($A179,'NonXtal_SegEnds_BW#'!$A:$Z,19,FALSE)+VLOOKUP($A179,A:AL,28,FALSE)-50))</f>
        <v>300</v>
      </c>
      <c r="AB179" s="3">
        <v>321</v>
      </c>
      <c r="AC179" s="3">
        <f>IF(ISERROR((VLOOKUP($A179,'NonXtal_SegEnds_BW#'!$A:$Z,20,FALSE)+VLOOKUP($A179,A:AL,28,FALSE)-50)),"-",(VLOOKUP($A179,'NonXtal_SegEnds_BW#'!$A:$Z,20,FALSE)+VLOOKUP($A179,A:AL,28,FALSE)-50))</f>
        <v>343</v>
      </c>
      <c r="AD179" s="3">
        <f>IF(ISERROR(VLOOKUP($A179,'NonXtal_SegEnds_BW#'!$A:$Z,21,FALSE)+VLOOKUP($A179,A:AL,31,FALSE)-50),"-",(VLOOKUP($A179,'NonXtal_SegEnds_BW#'!$A:$Z,21,FALSE)+VLOOKUP($A179,A:AL,31,FALSE)-50))</f>
        <v>348</v>
      </c>
      <c r="AE179" s="3">
        <v>374</v>
      </c>
      <c r="AF179" s="3">
        <f>IF(ISERROR((VLOOKUP($A179,'NonXtal_SegEnds_BW#'!$A:$Z,22,FALSE)+VLOOKUP($A179,A:AL,31,FALSE)-50)),"-",(VLOOKUP($A179,'NonXtal_SegEnds_BW#'!$A:$Z,22,FALSE)+VLOOKUP($A179,A:AL,31,FALSE)-50))</f>
        <v>385</v>
      </c>
      <c r="AG179" s="3">
        <f>IF(ISERROR(VLOOKUP($A179,'NonXtal_SegEnds_BW#'!$A:$Z,23,FALSE)+VLOOKUP($A179,A:AL,34,FALSE)-50),"-",(VLOOKUP($A179,'NonXtal_SegEnds_BW#'!$A:$Z,23,FALSE)+VLOOKUP($A179,A:AL,34,FALSE)-50))</f>
        <v>391</v>
      </c>
      <c r="AH179" s="3">
        <v>413</v>
      </c>
      <c r="AI179" s="3">
        <f>IF(ISERROR((VLOOKUP($A179,'NonXtal_SegEnds_BW#'!$A:$Z,24,FALSE)+VLOOKUP($A179,A:AL,34,FALSE)-50)),"-",(VLOOKUP($A179,'NonXtal_SegEnds_BW#'!$A:$Z,24,FALSE)+VLOOKUP($A179,A:AL,34,FALSE)-50))</f>
        <v>419</v>
      </c>
      <c r="AJ179" s="3">
        <f>IF(ISERROR(VLOOKUP($A179,'NonXtal_SegEnds_BW#'!$A:$Z,25,FALSE)+VLOOKUP($A179,A:AL,37,FALSE)-50),"-",(VLOOKUP($A179,'NonXtal_SegEnds_BW#'!$A:$Z,25,FALSE)+VLOOKUP($A179,A:AL,37,FALSE)-50))</f>
        <v>420</v>
      </c>
      <c r="AK179" s="3">
        <v>423</v>
      </c>
      <c r="AL179" s="3">
        <f>IF(ISERROR((VLOOKUP($A179,'NonXtal_SegEnds_BW#'!$A:$Z,26,FALSE)+VLOOKUP($A179,A:AL,37,FALSE)-50)),"-",(VLOOKUP($A179,'NonXtal_SegEnds_BW#'!$A:$Z,26,FALSE)+VLOOKUP($A179,A:AL,37,FALSE)-50))</f>
        <v>433</v>
      </c>
      <c r="AM179" s="71" t="str">
        <f>VLOOKUP(A179,Classification!A:B,2,FALSE)</f>
        <v>A</v>
      </c>
      <c r="AN179" s="71" t="b">
        <f t="shared" si="69"/>
        <v>1</v>
      </c>
      <c r="AO179" s="3">
        <f t="shared" si="70"/>
        <v>1</v>
      </c>
      <c r="AP179" s="3">
        <f t="shared" si="71"/>
        <v>1</v>
      </c>
      <c r="AQ179" s="3" t="str">
        <f t="shared" si="72"/>
        <v>-</v>
      </c>
      <c r="AR179" s="3" t="str">
        <f t="shared" si="73"/>
        <v>-</v>
      </c>
      <c r="AS179" s="3">
        <f t="shared" si="74"/>
        <v>2</v>
      </c>
      <c r="AT179" s="3">
        <f t="shared" si="75"/>
        <v>2</v>
      </c>
      <c r="AU179" s="3">
        <f t="shared" si="76"/>
        <v>16</v>
      </c>
      <c r="AV179" s="3">
        <f t="shared" si="77"/>
        <v>12</v>
      </c>
      <c r="AW179" s="3">
        <f t="shared" si="78"/>
        <v>5</v>
      </c>
      <c r="AX179" s="3">
        <f t="shared" si="79"/>
        <v>6</v>
      </c>
      <c r="AY179" s="3">
        <f t="shared" si="80"/>
        <v>1</v>
      </c>
      <c r="AZ179" s="3">
        <f>IF(ISERROR(LEN(VLOOKUP(A179,Seqs!A:E,2,FALSE))-AL179),"-",LEN(VLOOKUP(A179,Seqs!A:E,2,FALSE))-AL179)</f>
        <v>48</v>
      </c>
      <c r="BA179" s="35">
        <f t="shared" si="81"/>
        <v>28</v>
      </c>
      <c r="BB179" s="3">
        <f t="shared" si="82"/>
        <v>20</v>
      </c>
      <c r="BC179" s="3">
        <f t="shared" si="83"/>
        <v>28</v>
      </c>
      <c r="BD179" s="3">
        <f t="shared" si="84"/>
        <v>53</v>
      </c>
    </row>
    <row r="180" spans="1:57" s="3" customFormat="1" x14ac:dyDescent="0.2">
      <c r="A180" s="3" t="s">
        <v>390</v>
      </c>
      <c r="B180" s="3" t="str">
        <f>LOWER(VLOOKUP(A180,Xtal_Templ!A:B,2,FALSE))</f>
        <v>ednrb_human</v>
      </c>
      <c r="C180" s="3">
        <f>VLOOKUP($A180,'NonXtal_SegEnds_BW#'!$A:$Z,3,FALSE)+D180-50</f>
        <v>91</v>
      </c>
      <c r="D180" s="3">
        <v>119</v>
      </c>
      <c r="E180" s="3">
        <f>IF(ISERROR(VLOOKUP($A180,'NonXtal_SegEnds_BW#'!$A:$Z,4,FALSE)+VLOOKUP($A180,A:AL,4,FALSE)-50),"-",(VLOOKUP($A180,'NonXtal_SegEnds_BW#'!$A:$Z,4,FALSE)+VLOOKUP($A180,A:AL,4,FALSE)-50))</f>
        <v>129</v>
      </c>
      <c r="F180" s="3">
        <f t="shared" si="96"/>
        <v>130</v>
      </c>
      <c r="G180" s="3">
        <v>132</v>
      </c>
      <c r="H180" s="3">
        <v>134</v>
      </c>
      <c r="I180" s="3">
        <f>H180+1</f>
        <v>135</v>
      </c>
      <c r="J180" s="3">
        <v>147</v>
      </c>
      <c r="K180" s="3">
        <f>VLOOKUP($A180,'NonXtal_SegEnds_BW#'!$A:$Z,8,FALSE)+VLOOKUP($A180,A:AL,10,FALSE)-50</f>
        <v>164</v>
      </c>
      <c r="L180" s="3">
        <f t="shared" ref="L180:L185" si="97">M180-1</f>
        <v>166</v>
      </c>
      <c r="M180" s="3">
        <v>167</v>
      </c>
      <c r="N180" s="3">
        <f t="shared" ref="N180:N185" si="98">M180+2</f>
        <v>169</v>
      </c>
      <c r="O180" s="3">
        <f t="shared" ref="O180:O185" si="99">N180+1</f>
        <v>170</v>
      </c>
      <c r="P180" s="3">
        <v>199</v>
      </c>
      <c r="Q180" s="3">
        <f>VLOOKUP($A180,'NonXtal_SegEnds_BW#'!$A:$Z,12,FALSE)+VLOOKUP($A180,A:AL,16,FALSE)-50</f>
        <v>205</v>
      </c>
      <c r="R180" s="3">
        <f>IF(ISERROR(VLOOKUP($A180,'NonXtal_SegEnds_BW#'!$A:$Z,13,FALSE)+VLOOKUP($A180,A:AL,19,FALSE)-50),"-",VLOOKUP($A180,'NonXtal_SegEnds_BW#'!$A:$Z,13,FALSE)+VLOOKUP($A180,A:AL,19,FALSE)-50)</f>
        <v>206</v>
      </c>
      <c r="S180" s="3">
        <v>206</v>
      </c>
      <c r="T180" s="3">
        <f>IF(ISERROR(VLOOKUP($A180,'NonXtal_SegEnds_BW#'!$A:$Z,14,FALSE)+VLOOKUP($A180,A:AL,19,FALSE)-50),"-",(VLOOKUP($A180,'NonXtal_SegEnds_BW#'!$A:$Z,14,FALSE)+VLOOKUP($A180,A:AL,19,FALSE)-50))</f>
        <v>213</v>
      </c>
      <c r="U180" s="3">
        <f>IF(ISERROR(VLOOKUP($A180,'NonXtal_SegEnds_BW#'!$A:$Z,15,FALSE)+VLOOKUP($A180,A:AL,22,FALSE)-50),"-",VLOOKUP($A180,'NonXtal_SegEnds_BW#'!$A:$Z,15,FALSE)+VLOOKUP($A180,A:AL,22,FALSE)-50)</f>
        <v>215</v>
      </c>
      <c r="V180" s="3">
        <v>226</v>
      </c>
      <c r="W180" s="3">
        <f>IF(ISERROR(VLOOKUP($A180,'NonXtal_SegEnds_BW#'!$A:$Z,16,FALSE)+VLOOKUP($A180,A:AL,22,FALSE)-50),"-",(VLOOKUP($A180,'NonXtal_SegEnds_BW#'!$A:$Z,16,FALSE)+VLOOKUP($A180,A:AL,22,FALSE)-50))</f>
        <v>240</v>
      </c>
      <c r="X180" s="3">
        <f>IF(ISERROR(VLOOKUP($A180,'NonXtal_SegEnds_BW#'!$A:$Z,17,FALSE)+VLOOKUP($A180,A:AL,25,FALSE)-50),"-",(VLOOKUP($A180,'NonXtal_SegEnds_BW#'!$A:$Z,17,FALSE)+VLOOKUP($A180,A:AL,25,FALSE)-50))</f>
        <v>255</v>
      </c>
      <c r="Y180" s="3">
        <v>255</v>
      </c>
      <c r="Z180" s="3">
        <f t="shared" si="94"/>
        <v>257</v>
      </c>
      <c r="AA180" s="3">
        <f>IF(ISERROR(VLOOKUP($A180,'NonXtal_SegEnds_BW#'!$A:$Z,19,FALSE)+VLOOKUP($A180,A:AL,28,FALSE)-50),"-",(VLOOKUP($A180,'NonXtal_SegEnds_BW#'!$A:$Z,19,FALSE)+VLOOKUP($A180,A:AL,28,FALSE)-50))</f>
        <v>264</v>
      </c>
      <c r="AB180" s="3">
        <v>285</v>
      </c>
      <c r="AC180" s="3">
        <f>IF(ISERROR((VLOOKUP($A180,'NonXtal_SegEnds_BW#'!$A:$Z,20,FALSE)+VLOOKUP($A180,A:AL,28,FALSE)-50)),"-",(VLOOKUP($A180,'NonXtal_SegEnds_BW#'!$A:$Z,20,FALSE)+VLOOKUP($A180,A:AL,28,FALSE)-50))</f>
        <v>307</v>
      </c>
      <c r="AD180" s="3">
        <f>IF(ISERROR(VLOOKUP($A180,'NonXtal_SegEnds_BW#'!$A:$Z,21,FALSE)+VLOOKUP($A180,A:AL,31,FALSE)-50),"-",(VLOOKUP($A180,'NonXtal_SegEnds_BW#'!$A:$Z,21,FALSE)+VLOOKUP($A180,A:AL,31,FALSE)-50))</f>
        <v>312</v>
      </c>
      <c r="AE180" s="3">
        <v>338</v>
      </c>
      <c r="AF180" s="3">
        <f>IF(ISERROR((VLOOKUP($A180,'NonXtal_SegEnds_BW#'!$A:$Z,22,FALSE)+VLOOKUP($A180,A:AL,31,FALSE)-50)),"-",(VLOOKUP($A180,'NonXtal_SegEnds_BW#'!$A:$Z,22,FALSE)+VLOOKUP($A180,A:AL,31,FALSE)-50))</f>
        <v>350</v>
      </c>
      <c r="AG180" s="3">
        <f>IF(ISERROR(VLOOKUP($A180,'NonXtal_SegEnds_BW#'!$A:$Z,23,FALSE)+VLOOKUP($A180,A:AL,34,FALSE)-50),"-",(VLOOKUP($A180,'NonXtal_SegEnds_BW#'!$A:$Z,23,FALSE)+VLOOKUP($A180,A:AL,34,FALSE)-50))</f>
        <v>357</v>
      </c>
      <c r="AH180" s="3">
        <v>383</v>
      </c>
      <c r="AI180" s="3">
        <f>IF(ISERROR((VLOOKUP($A180,'NonXtal_SegEnds_BW#'!$A:$Z,24,FALSE)+VLOOKUP($A180,A:AL,34,FALSE)-50)),"-",(VLOOKUP($A180,'NonXtal_SegEnds_BW#'!$A:$Z,24,FALSE)+VLOOKUP($A180,A:AL,34,FALSE)-50))</f>
        <v>389</v>
      </c>
      <c r="AJ180" s="3">
        <f>IF(ISERROR(VLOOKUP($A180,'NonXtal_SegEnds_BW#'!$A:$Z,25,FALSE)+VLOOKUP($A180,A:AL,37,FALSE)-50),"-",(VLOOKUP($A180,'NonXtal_SegEnds_BW#'!$A:$Z,25,FALSE)+VLOOKUP($A180,A:AL,37,FALSE)-50))</f>
        <v>390</v>
      </c>
      <c r="AK180" s="3">
        <v>393</v>
      </c>
      <c r="AL180" s="3">
        <f>IF(ISERROR((VLOOKUP($A180,'NonXtal_SegEnds_BW#'!$A:$Z,26,FALSE)+VLOOKUP($A180,A:AL,37,FALSE)-50)),"-",(VLOOKUP($A180,'NonXtal_SegEnds_BW#'!$A:$Z,26,FALSE)+VLOOKUP($A180,A:AL,37,FALSE)-50))</f>
        <v>403</v>
      </c>
      <c r="AM180" s="71" t="str">
        <f>VLOOKUP(A180,Classification!A:B,2,FALSE)</f>
        <v>A</v>
      </c>
      <c r="AN180" s="71" t="b">
        <f t="shared" si="69"/>
        <v>1</v>
      </c>
      <c r="AO180" s="3">
        <f t="shared" si="70"/>
        <v>1</v>
      </c>
      <c r="AP180" s="3">
        <f t="shared" si="71"/>
        <v>1</v>
      </c>
      <c r="AQ180" s="3">
        <f t="shared" si="72"/>
        <v>2</v>
      </c>
      <c r="AR180" s="3">
        <f t="shared" si="73"/>
        <v>1</v>
      </c>
      <c r="AS180" s="3">
        <f t="shared" si="74"/>
        <v>1</v>
      </c>
      <c r="AT180" s="3">
        <f t="shared" si="75"/>
        <v>2</v>
      </c>
      <c r="AU180" s="3">
        <f t="shared" si="76"/>
        <v>15</v>
      </c>
      <c r="AV180" s="3">
        <f t="shared" si="77"/>
        <v>7</v>
      </c>
      <c r="AW180" s="3">
        <f t="shared" si="78"/>
        <v>5</v>
      </c>
      <c r="AX180" s="3">
        <f t="shared" si="79"/>
        <v>7</v>
      </c>
      <c r="AY180" s="3">
        <f t="shared" si="80"/>
        <v>1</v>
      </c>
      <c r="AZ180" s="3">
        <f>IF(ISERROR(LEN(VLOOKUP(A180,Seqs!A:E,2,FALSE))-AL180),"-",LEN(VLOOKUP(A180,Seqs!A:E,2,FALSE))-AL180)</f>
        <v>39</v>
      </c>
      <c r="BA180" s="35">
        <f t="shared" si="81"/>
        <v>28</v>
      </c>
      <c r="BB180" s="3">
        <f t="shared" si="82"/>
        <v>20</v>
      </c>
      <c r="BC180" s="3">
        <f t="shared" si="83"/>
        <v>28</v>
      </c>
      <c r="BD180" s="3">
        <f t="shared" si="84"/>
        <v>53</v>
      </c>
    </row>
    <row r="181" spans="1:57" s="3" customFormat="1" x14ac:dyDescent="0.2">
      <c r="A181" s="3" t="s">
        <v>389</v>
      </c>
      <c r="B181" s="3" t="str">
        <f>LOWER(VLOOKUP(A181,Xtal_Templ!A:B,2,FALSE))</f>
        <v>ednrb_human</v>
      </c>
      <c r="C181" s="3">
        <f>VLOOKUP($A181,'NonXtal_SegEnds_BW#'!$A:$Z,3,FALSE)+D181-50</f>
        <v>70</v>
      </c>
      <c r="D181" s="3">
        <v>98</v>
      </c>
      <c r="E181" s="3">
        <f>IF(ISERROR(VLOOKUP($A181,'NonXtal_SegEnds_BW#'!$A:$Z,4,FALSE)+VLOOKUP($A181,A:AL,4,FALSE)-50),"-",(VLOOKUP($A181,'NonXtal_SegEnds_BW#'!$A:$Z,4,FALSE)+VLOOKUP($A181,A:AL,4,FALSE)-50))</f>
        <v>108</v>
      </c>
      <c r="F181" s="3">
        <f t="shared" si="96"/>
        <v>109</v>
      </c>
      <c r="G181" s="3">
        <v>111</v>
      </c>
      <c r="H181" s="3">
        <v>113</v>
      </c>
      <c r="I181" s="3">
        <f>H181+1</f>
        <v>114</v>
      </c>
      <c r="J181" s="3">
        <v>126</v>
      </c>
      <c r="K181" s="3">
        <f>VLOOKUP($A181,'NonXtal_SegEnds_BW#'!$A:$Z,8,FALSE)+VLOOKUP($A181,A:AL,10,FALSE)-50</f>
        <v>143</v>
      </c>
      <c r="L181" s="3">
        <f t="shared" si="97"/>
        <v>145</v>
      </c>
      <c r="M181" s="3">
        <v>146</v>
      </c>
      <c r="N181" s="3">
        <f t="shared" si="98"/>
        <v>148</v>
      </c>
      <c r="O181" s="3">
        <f t="shared" si="99"/>
        <v>149</v>
      </c>
      <c r="P181" s="3">
        <v>183</v>
      </c>
      <c r="Q181" s="3">
        <f>VLOOKUP($A181,'NonXtal_SegEnds_BW#'!$A:$Z,12,FALSE)+VLOOKUP($A181,A:AL,16,FALSE)-50</f>
        <v>189</v>
      </c>
      <c r="R181" s="3">
        <f>IF(ISERROR(VLOOKUP($A181,'NonXtal_SegEnds_BW#'!$A:$Z,13,FALSE)+VLOOKUP($A181,A:AL,19,FALSE)-50),"-",VLOOKUP($A181,'NonXtal_SegEnds_BW#'!$A:$Z,13,FALSE)+VLOOKUP($A181,A:AL,19,FALSE)-50)</f>
        <v>190</v>
      </c>
      <c r="S181" s="3">
        <v>190</v>
      </c>
      <c r="T181" s="3">
        <f>IF(ISERROR(VLOOKUP($A181,'NonXtal_SegEnds_BW#'!$A:$Z,14,FALSE)+VLOOKUP($A181,A:AL,19,FALSE)-50),"-",(VLOOKUP($A181,'NonXtal_SegEnds_BW#'!$A:$Z,14,FALSE)+VLOOKUP($A181,A:AL,19,FALSE)-50))</f>
        <v>197</v>
      </c>
      <c r="U181" s="3">
        <f>IF(ISERROR(VLOOKUP($A181,'NonXtal_SegEnds_BW#'!$A:$Z,15,FALSE)+VLOOKUP($A181,A:AL,22,FALSE)-50),"-",VLOOKUP($A181,'NonXtal_SegEnds_BW#'!$A:$Z,15,FALSE)+VLOOKUP($A181,A:AL,22,FALSE)-50)</f>
        <v>199</v>
      </c>
      <c r="V181" s="3">
        <v>210</v>
      </c>
      <c r="W181" s="3">
        <f>IF(ISERROR(VLOOKUP($A181,'NonXtal_SegEnds_BW#'!$A:$Z,16,FALSE)+VLOOKUP($A181,A:AL,22,FALSE)-50),"-",(VLOOKUP($A181,'NonXtal_SegEnds_BW#'!$A:$Z,16,FALSE)+VLOOKUP($A181,A:AL,22,FALSE)-50))</f>
        <v>224</v>
      </c>
      <c r="X181" s="3">
        <f>IF(ISERROR(VLOOKUP($A181,'NonXtal_SegEnds_BW#'!$A:$Z,17,FALSE)+VLOOKUP($A181,A:AL,25,FALSE)-50),"-",(VLOOKUP($A181,'NonXtal_SegEnds_BW#'!$A:$Z,17,FALSE)+VLOOKUP($A181,A:AL,25,FALSE)-50))</f>
        <v>239</v>
      </c>
      <c r="Y181" s="3">
        <v>239</v>
      </c>
      <c r="Z181" s="3">
        <f t="shared" si="94"/>
        <v>241</v>
      </c>
      <c r="AA181" s="3">
        <f>IF(ISERROR(VLOOKUP($A181,'NonXtal_SegEnds_BW#'!$A:$Z,19,FALSE)+VLOOKUP($A181,A:AL,28,FALSE)-50),"-",(VLOOKUP($A181,'NonXtal_SegEnds_BW#'!$A:$Z,19,FALSE)+VLOOKUP($A181,A:AL,28,FALSE)-50))</f>
        <v>246</v>
      </c>
      <c r="AB181" s="3">
        <v>267</v>
      </c>
      <c r="AC181" s="3">
        <f>IF(ISERROR((VLOOKUP($A181,'NonXtal_SegEnds_BW#'!$A:$Z,20,FALSE)+VLOOKUP($A181,A:AL,28,FALSE)-50)),"-",(VLOOKUP($A181,'NonXtal_SegEnds_BW#'!$A:$Z,20,FALSE)+VLOOKUP($A181,A:AL,28,FALSE)-50))</f>
        <v>289</v>
      </c>
      <c r="AD181" s="3">
        <f>IF(ISERROR(VLOOKUP($A181,'NonXtal_SegEnds_BW#'!$A:$Z,21,FALSE)+VLOOKUP($A181,A:AL,31,FALSE)-50),"-",(VLOOKUP($A181,'NonXtal_SegEnds_BW#'!$A:$Z,21,FALSE)+VLOOKUP($A181,A:AL,31,FALSE)-50))</f>
        <v>295</v>
      </c>
      <c r="AE181" s="3">
        <v>321</v>
      </c>
      <c r="AF181" s="3">
        <f>IF(ISERROR((VLOOKUP($A181,'NonXtal_SegEnds_BW#'!$A:$Z,22,FALSE)+VLOOKUP($A181,A:AL,31,FALSE)-50)),"-",(VLOOKUP($A181,'NonXtal_SegEnds_BW#'!$A:$Z,22,FALSE)+VLOOKUP($A181,A:AL,31,FALSE)-50))</f>
        <v>333</v>
      </c>
      <c r="AG181" s="3">
        <f>IF(ISERROR(VLOOKUP($A181,'NonXtal_SegEnds_BW#'!$A:$Z,23,FALSE)+VLOOKUP($A181,A:AL,34,FALSE)-50),"-",(VLOOKUP($A181,'NonXtal_SegEnds_BW#'!$A:$Z,23,FALSE)+VLOOKUP($A181,A:AL,34,FALSE)-50))</f>
        <v>340</v>
      </c>
      <c r="AH181" s="3">
        <v>366</v>
      </c>
      <c r="AI181" s="3">
        <f>IF(ISERROR((VLOOKUP($A181,'NonXtal_SegEnds_BW#'!$A:$Z,24,FALSE)+VLOOKUP($A181,A:AL,34,FALSE)-50)),"-",(VLOOKUP($A181,'NonXtal_SegEnds_BW#'!$A:$Z,24,FALSE)+VLOOKUP($A181,A:AL,34,FALSE)-50))</f>
        <v>372</v>
      </c>
      <c r="AJ181" s="3">
        <f>IF(ISERROR(VLOOKUP($A181,'NonXtal_SegEnds_BW#'!$A:$Z,25,FALSE)+VLOOKUP($A181,A:AL,37,FALSE)-50),"-",(VLOOKUP($A181,'NonXtal_SegEnds_BW#'!$A:$Z,25,FALSE)+VLOOKUP($A181,A:AL,37,FALSE)-50))</f>
        <v>373</v>
      </c>
      <c r="AK181" s="3">
        <v>376</v>
      </c>
      <c r="AL181" s="3">
        <f>IF(ISERROR((VLOOKUP($A181,'NonXtal_SegEnds_BW#'!$A:$Z,26,FALSE)+VLOOKUP($A181,A:AL,37,FALSE)-50)),"-",(VLOOKUP($A181,'NonXtal_SegEnds_BW#'!$A:$Z,26,FALSE)+VLOOKUP($A181,A:AL,37,FALSE)-50))</f>
        <v>386</v>
      </c>
      <c r="AM181" s="71" t="str">
        <f>VLOOKUP(A181,Classification!A:B,2,FALSE)</f>
        <v>A</v>
      </c>
      <c r="AN181" s="71" t="b">
        <f t="shared" si="69"/>
        <v>1</v>
      </c>
      <c r="AO181" s="3">
        <f t="shared" si="70"/>
        <v>1</v>
      </c>
      <c r="AP181" s="3">
        <f t="shared" si="71"/>
        <v>1</v>
      </c>
      <c r="AQ181" s="3">
        <f t="shared" si="72"/>
        <v>2</v>
      </c>
      <c r="AR181" s="3">
        <f t="shared" si="73"/>
        <v>1</v>
      </c>
      <c r="AS181" s="3">
        <f t="shared" si="74"/>
        <v>1</v>
      </c>
      <c r="AT181" s="3">
        <f t="shared" si="75"/>
        <v>2</v>
      </c>
      <c r="AU181" s="3">
        <f t="shared" si="76"/>
        <v>15</v>
      </c>
      <c r="AV181" s="3">
        <f t="shared" si="77"/>
        <v>5</v>
      </c>
      <c r="AW181" s="3">
        <f t="shared" si="78"/>
        <v>6</v>
      </c>
      <c r="AX181" s="3">
        <f t="shared" si="79"/>
        <v>7</v>
      </c>
      <c r="AY181" s="3">
        <f t="shared" si="80"/>
        <v>1</v>
      </c>
      <c r="AZ181" s="3">
        <f>IF(ISERROR(LEN(VLOOKUP(A181,Seqs!A:E,2,FALSE))-AL181),"-",LEN(VLOOKUP(A181,Seqs!A:E,2,FALSE))-AL181)</f>
        <v>41</v>
      </c>
      <c r="BA181" s="35">
        <f t="shared" si="81"/>
        <v>28</v>
      </c>
      <c r="BB181" s="3">
        <f t="shared" si="82"/>
        <v>20</v>
      </c>
      <c r="BC181" s="3">
        <f t="shared" si="83"/>
        <v>28</v>
      </c>
      <c r="BD181" s="3">
        <f t="shared" si="84"/>
        <v>54</v>
      </c>
    </row>
    <row r="182" spans="1:57" s="3" customFormat="1" x14ac:dyDescent="0.2">
      <c r="A182" s="3" t="s">
        <v>511</v>
      </c>
      <c r="B182" s="3" t="str">
        <f>LOWER(VLOOKUP(A182,Xtal_Templ!A:B,2,FALSE))</f>
        <v>ednrb_human</v>
      </c>
      <c r="C182" s="3">
        <f>VLOOKUP($A182,'NonXtal_SegEnds_BW#'!$A:$Z,3,FALSE)+D182-50</f>
        <v>33</v>
      </c>
      <c r="D182" s="3">
        <v>61</v>
      </c>
      <c r="E182" s="3">
        <f>IF(ISERROR(VLOOKUP($A182,'NonXtal_SegEnds_BW#'!$A:$Z,4,FALSE)+VLOOKUP($A182,A:AL,4,FALSE)-50),"-",(VLOOKUP($A182,'NonXtal_SegEnds_BW#'!$A:$Z,4,FALSE)+VLOOKUP($A182,A:AL,4,FALSE)-50))</f>
        <v>71</v>
      </c>
      <c r="F182" s="3">
        <f t="shared" si="96"/>
        <v>72</v>
      </c>
      <c r="G182" s="3">
        <v>74</v>
      </c>
      <c r="H182" s="3">
        <f>G182+1</f>
        <v>75</v>
      </c>
      <c r="I182" s="3">
        <f>H182+1</f>
        <v>76</v>
      </c>
      <c r="J182" s="3">
        <v>89</v>
      </c>
      <c r="K182" s="3">
        <f>VLOOKUP($A182,'NonXtal_SegEnds_BW#'!$A:$Z,8,FALSE)+VLOOKUP($A182,A:AL,10,FALSE)-50</f>
        <v>106</v>
      </c>
      <c r="L182" s="3">
        <f t="shared" si="97"/>
        <v>108</v>
      </c>
      <c r="M182" s="3">
        <v>109</v>
      </c>
      <c r="N182" s="3">
        <f t="shared" si="98"/>
        <v>111</v>
      </c>
      <c r="O182" s="3">
        <f t="shared" si="99"/>
        <v>112</v>
      </c>
      <c r="P182" s="3">
        <v>141</v>
      </c>
      <c r="Q182" s="3">
        <f>VLOOKUP($A182,'NonXtal_SegEnds_BW#'!$A:$Z,12,FALSE)+VLOOKUP($A182,A:AL,16,FALSE)-50</f>
        <v>147</v>
      </c>
      <c r="R182" s="3">
        <f>IF(ISERROR(VLOOKUP($A182,'NonXtal_SegEnds_BW#'!$A:$Z,13,FALSE)+VLOOKUP($A182,A:AL,19,FALSE)-50),"-",VLOOKUP($A182,'NonXtal_SegEnds_BW#'!$A:$Z,13,FALSE)+VLOOKUP($A182,A:AL,19,FALSE)-50)</f>
        <v>148</v>
      </c>
      <c r="S182" s="3">
        <v>148</v>
      </c>
      <c r="T182" s="3">
        <f>IF(ISERROR(VLOOKUP($A182,'NonXtal_SegEnds_BW#'!$A:$Z,14,FALSE)+VLOOKUP($A182,A:AL,19,FALSE)-50),"-",(VLOOKUP($A182,'NonXtal_SegEnds_BW#'!$A:$Z,14,FALSE)+VLOOKUP($A182,A:AL,19,FALSE)-50))</f>
        <v>155</v>
      </c>
      <c r="U182" s="3">
        <f>IF(ISERROR(VLOOKUP($A182,'NonXtal_SegEnds_BW#'!$A:$Z,15,FALSE)+VLOOKUP($A182,A:AL,22,FALSE)-50),"-",VLOOKUP($A182,'NonXtal_SegEnds_BW#'!$A:$Z,15,FALSE)+VLOOKUP($A182,A:AL,22,FALSE)-50)</f>
        <v>157</v>
      </c>
      <c r="V182" s="3">
        <v>168</v>
      </c>
      <c r="W182" s="3">
        <f>IF(ISERROR(VLOOKUP($A182,'NonXtal_SegEnds_BW#'!$A:$Z,16,FALSE)+VLOOKUP($A182,A:AL,22,FALSE)-50),"-",(VLOOKUP($A182,'NonXtal_SegEnds_BW#'!$A:$Z,16,FALSE)+VLOOKUP($A182,A:AL,22,FALSE)-50))</f>
        <v>182</v>
      </c>
      <c r="X182" s="3">
        <f>IF(ISERROR(VLOOKUP($A182,'NonXtal_SegEnds_BW#'!$A:$Z,17,FALSE)+VLOOKUP($A182,A:AL,25,FALSE)-50),"-",(VLOOKUP($A182,'NonXtal_SegEnds_BW#'!$A:$Z,17,FALSE)+VLOOKUP($A182,A:AL,25,FALSE)-50))</f>
        <v>198</v>
      </c>
      <c r="Y182" s="3">
        <v>198</v>
      </c>
      <c r="Z182" s="3">
        <f t="shared" si="94"/>
        <v>200</v>
      </c>
      <c r="AA182" s="3">
        <f>IF(ISERROR(VLOOKUP($A182,'NonXtal_SegEnds_BW#'!$A:$Z,19,FALSE)+VLOOKUP($A182,A:AL,28,FALSE)-50),"-",(VLOOKUP($A182,'NonXtal_SegEnds_BW#'!$A:$Z,19,FALSE)+VLOOKUP($A182,A:AL,28,FALSE)-50))</f>
        <v>203</v>
      </c>
      <c r="AB182" s="3">
        <v>224</v>
      </c>
      <c r="AC182" s="3">
        <f>IF(ISERROR((VLOOKUP($A182,'NonXtal_SegEnds_BW#'!$A:$Z,20,FALSE)+VLOOKUP($A182,A:AL,28,FALSE)-50)),"-",(VLOOKUP($A182,'NonXtal_SegEnds_BW#'!$A:$Z,20,FALSE)+VLOOKUP($A182,A:AL,28,FALSE)-50))</f>
        <v>247</v>
      </c>
      <c r="AD182" s="3">
        <f>IF(ISERROR(VLOOKUP($A182,'NonXtal_SegEnds_BW#'!$A:$Z,21,FALSE)+VLOOKUP($A182,A:AL,31,FALSE)-50),"-",(VLOOKUP($A182,'NonXtal_SegEnds_BW#'!$A:$Z,21,FALSE)+VLOOKUP($A182,A:AL,31,FALSE)-50))</f>
        <v>253</v>
      </c>
      <c r="AE182" s="3">
        <v>281</v>
      </c>
      <c r="AF182" s="3">
        <f>IF(ISERROR((VLOOKUP($A182,'NonXtal_SegEnds_BW#'!$A:$Z,22,FALSE)+VLOOKUP($A182,A:AL,31,FALSE)-50)),"-",(VLOOKUP($A182,'NonXtal_SegEnds_BW#'!$A:$Z,22,FALSE)+VLOOKUP($A182,A:AL,31,FALSE)-50))</f>
        <v>292</v>
      </c>
      <c r="AG182" s="3">
        <f>IF(ISERROR(VLOOKUP($A182,'NonXtal_SegEnds_BW#'!$A:$Z,23,FALSE)+VLOOKUP($A182,A:AL,34,FALSE)-50),"-",(VLOOKUP($A182,'NonXtal_SegEnds_BW#'!$A:$Z,23,FALSE)+VLOOKUP($A182,A:AL,34,FALSE)-50))</f>
        <v>299</v>
      </c>
      <c r="AH182" s="3">
        <v>321</v>
      </c>
      <c r="AI182" s="3">
        <f>IF(ISERROR((VLOOKUP($A182,'NonXtal_SegEnds_BW#'!$A:$Z,24,FALSE)+VLOOKUP($A182,A:AL,34,FALSE)-50)),"-",(VLOOKUP($A182,'NonXtal_SegEnds_BW#'!$A:$Z,24,FALSE)+VLOOKUP($A182,A:AL,34,FALSE)-50))</f>
        <v>327</v>
      </c>
      <c r="AJ182" s="3">
        <f>IF(ISERROR(VLOOKUP($A182,'NonXtal_SegEnds_BW#'!$A:$Z,25,FALSE)+VLOOKUP($A182,A:AL,37,FALSE)-50),"-",(VLOOKUP($A182,'NonXtal_SegEnds_BW#'!$A:$Z,25,FALSE)+VLOOKUP($A182,A:AL,37,FALSE)-50))</f>
        <v>328</v>
      </c>
      <c r="AK182" s="3">
        <v>331</v>
      </c>
      <c r="AL182" s="3">
        <f>IF(ISERROR((VLOOKUP($A182,'NonXtal_SegEnds_BW#'!$A:$Z,26,FALSE)+VLOOKUP($A182,A:AL,37,FALSE)-50)),"-",(VLOOKUP($A182,'NonXtal_SegEnds_BW#'!$A:$Z,26,FALSE)+VLOOKUP($A182,A:AL,37,FALSE)-50))</f>
        <v>341</v>
      </c>
      <c r="AM182" s="71" t="str">
        <f>VLOOKUP(A182,Classification!A:B,2,FALSE)</f>
        <v>A</v>
      </c>
      <c r="AN182" s="71" t="b">
        <f t="shared" si="69"/>
        <v>1</v>
      </c>
      <c r="AO182" s="3">
        <f t="shared" si="70"/>
        <v>1</v>
      </c>
      <c r="AP182" s="3">
        <f t="shared" si="71"/>
        <v>1</v>
      </c>
      <c r="AQ182" s="3">
        <f t="shared" si="72"/>
        <v>2</v>
      </c>
      <c r="AR182" s="3">
        <f t="shared" si="73"/>
        <v>1</v>
      </c>
      <c r="AS182" s="3">
        <f t="shared" si="74"/>
        <v>1</v>
      </c>
      <c r="AT182" s="3">
        <f t="shared" si="75"/>
        <v>2</v>
      </c>
      <c r="AU182" s="3">
        <f t="shared" si="76"/>
        <v>16</v>
      </c>
      <c r="AV182" s="3">
        <f t="shared" si="77"/>
        <v>3</v>
      </c>
      <c r="AW182" s="3">
        <f t="shared" si="78"/>
        <v>6</v>
      </c>
      <c r="AX182" s="3">
        <f t="shared" si="79"/>
        <v>7</v>
      </c>
      <c r="AY182" s="3">
        <f t="shared" si="80"/>
        <v>1</v>
      </c>
      <c r="AZ182" s="3">
        <f>IF(ISERROR(LEN(VLOOKUP(A182,Seqs!A:E,2,FALSE))-AL182),"-",LEN(VLOOKUP(A182,Seqs!A:E,2,FALSE))-AL182)</f>
        <v>49</v>
      </c>
      <c r="BA182" s="35">
        <f t="shared" si="81"/>
        <v>28</v>
      </c>
      <c r="BB182" s="3">
        <f t="shared" si="82"/>
        <v>20</v>
      </c>
      <c r="BC182" s="3">
        <f t="shared" si="83"/>
        <v>28</v>
      </c>
      <c r="BD182" s="3">
        <f t="shared" si="84"/>
        <v>57</v>
      </c>
    </row>
    <row r="183" spans="1:57" s="3" customFormat="1" x14ac:dyDescent="0.2">
      <c r="A183" s="3" t="s">
        <v>468</v>
      </c>
      <c r="B183" s="3" t="str">
        <f>LOWER(VLOOKUP(A183,Xtal_Templ!A:B,2,FALSE))</f>
        <v>ednrb_human</v>
      </c>
      <c r="C183" s="3">
        <f>VLOOKUP($A183,'NonXtal_SegEnds_BW#'!$A:$Z,3,FALSE)+D183-50</f>
        <v>30</v>
      </c>
      <c r="D183" s="3">
        <v>58</v>
      </c>
      <c r="E183" s="3">
        <f>IF(ISERROR(VLOOKUP($A183,'NonXtal_SegEnds_BW#'!$A:$Z,4,FALSE)+VLOOKUP($A183,A:AL,4,FALSE)-50),"-",(VLOOKUP($A183,'NonXtal_SegEnds_BW#'!$A:$Z,4,FALSE)+VLOOKUP($A183,A:AL,4,FALSE)-50))</f>
        <v>68</v>
      </c>
      <c r="F183" s="3">
        <f t="shared" si="96"/>
        <v>69</v>
      </c>
      <c r="G183" s="3">
        <v>71</v>
      </c>
      <c r="H183" s="3">
        <f>G183+1</f>
        <v>72</v>
      </c>
      <c r="I183" s="3">
        <f>H183+1</f>
        <v>73</v>
      </c>
      <c r="J183" s="3">
        <v>86</v>
      </c>
      <c r="K183" s="3">
        <f>VLOOKUP($A183,'NonXtal_SegEnds_BW#'!$A:$Z,8,FALSE)+VLOOKUP($A183,A:AL,10,FALSE)-50</f>
        <v>103</v>
      </c>
      <c r="L183" s="3">
        <f t="shared" si="97"/>
        <v>105</v>
      </c>
      <c r="M183" s="3">
        <v>106</v>
      </c>
      <c r="N183" s="3">
        <f t="shared" si="98"/>
        <v>108</v>
      </c>
      <c r="O183" s="3">
        <f t="shared" si="99"/>
        <v>109</v>
      </c>
      <c r="P183" s="3">
        <v>138</v>
      </c>
      <c r="Q183" s="3">
        <f>VLOOKUP($A183,'NonXtal_SegEnds_BW#'!$A:$Z,12,FALSE)+VLOOKUP($A183,A:AL,16,FALSE)-50</f>
        <v>144</v>
      </c>
      <c r="R183" s="3">
        <f>IF(ISERROR(VLOOKUP($A183,'NonXtal_SegEnds_BW#'!$A:$Z,13,FALSE)+VLOOKUP($A183,A:AL,19,FALSE)-50),"-",VLOOKUP($A183,'NonXtal_SegEnds_BW#'!$A:$Z,13,FALSE)+VLOOKUP($A183,A:AL,19,FALSE)-50)</f>
        <v>145</v>
      </c>
      <c r="S183" s="3">
        <v>145</v>
      </c>
      <c r="T183" s="3">
        <f>IF(ISERROR(VLOOKUP($A183,'NonXtal_SegEnds_BW#'!$A:$Z,14,FALSE)+VLOOKUP($A183,A:AL,19,FALSE)-50),"-",(VLOOKUP($A183,'NonXtal_SegEnds_BW#'!$A:$Z,14,FALSE)+VLOOKUP($A183,A:AL,19,FALSE)-50))</f>
        <v>152</v>
      </c>
      <c r="U183" s="3">
        <f>IF(ISERROR(VLOOKUP($A183,'NonXtal_SegEnds_BW#'!$A:$Z,15,FALSE)+VLOOKUP($A183,A:AL,22,FALSE)-50),"-",VLOOKUP($A183,'NonXtal_SegEnds_BW#'!$A:$Z,15,FALSE)+VLOOKUP($A183,A:AL,22,FALSE)-50)</f>
        <v>154</v>
      </c>
      <c r="V183" s="3">
        <v>165</v>
      </c>
      <c r="W183" s="3">
        <f>IF(ISERROR(VLOOKUP($A183,'NonXtal_SegEnds_BW#'!$A:$Z,16,FALSE)+VLOOKUP($A183,A:AL,22,FALSE)-50),"-",(VLOOKUP($A183,'NonXtal_SegEnds_BW#'!$A:$Z,16,FALSE)+VLOOKUP($A183,A:AL,22,FALSE)-50))</f>
        <v>179</v>
      </c>
      <c r="X183" s="3">
        <f>IF(ISERROR(VLOOKUP($A183,'NonXtal_SegEnds_BW#'!$A:$Z,17,FALSE)+VLOOKUP($A183,A:AL,25,FALSE)-50),"-",(VLOOKUP($A183,'NonXtal_SegEnds_BW#'!$A:$Z,17,FALSE)+VLOOKUP($A183,A:AL,25,FALSE)-50))</f>
        <v>196</v>
      </c>
      <c r="Y183" s="3">
        <v>196</v>
      </c>
      <c r="Z183" s="3">
        <f t="shared" si="94"/>
        <v>198</v>
      </c>
      <c r="AA183" s="3">
        <f>IF(ISERROR(VLOOKUP($A183,'NonXtal_SegEnds_BW#'!$A:$Z,19,FALSE)+VLOOKUP($A183,A:AL,28,FALSE)-50),"-",(VLOOKUP($A183,'NonXtal_SegEnds_BW#'!$A:$Z,19,FALSE)+VLOOKUP($A183,A:AL,28,FALSE)-50))</f>
        <v>201</v>
      </c>
      <c r="AB183" s="3">
        <v>222</v>
      </c>
      <c r="AC183" s="3">
        <f>IF(ISERROR((VLOOKUP($A183,'NonXtal_SegEnds_BW#'!$A:$Z,20,FALSE)+VLOOKUP($A183,A:AL,28,FALSE)-50)),"-",(VLOOKUP($A183,'NonXtal_SegEnds_BW#'!$A:$Z,20,FALSE)+VLOOKUP($A183,A:AL,28,FALSE)-50))</f>
        <v>245</v>
      </c>
      <c r="AD183" s="3">
        <f>IF(ISERROR(VLOOKUP($A183,'NonXtal_SegEnds_BW#'!$A:$Z,21,FALSE)+VLOOKUP($A183,A:AL,31,FALSE)-50),"-",(VLOOKUP($A183,'NonXtal_SegEnds_BW#'!$A:$Z,21,FALSE)+VLOOKUP($A183,A:AL,31,FALSE)-50))</f>
        <v>251</v>
      </c>
      <c r="AE183" s="3">
        <v>279</v>
      </c>
      <c r="AF183" s="3">
        <f>IF(ISERROR((VLOOKUP($A183,'NonXtal_SegEnds_BW#'!$A:$Z,22,FALSE)+VLOOKUP($A183,A:AL,31,FALSE)-50)),"-",(VLOOKUP($A183,'NonXtal_SegEnds_BW#'!$A:$Z,22,FALSE)+VLOOKUP($A183,A:AL,31,FALSE)-50))</f>
        <v>290</v>
      </c>
      <c r="AG183" s="3">
        <f>IF(ISERROR(VLOOKUP($A183,'NonXtal_SegEnds_BW#'!$A:$Z,23,FALSE)+VLOOKUP($A183,A:AL,34,FALSE)-50),"-",(VLOOKUP($A183,'NonXtal_SegEnds_BW#'!$A:$Z,23,FALSE)+VLOOKUP($A183,A:AL,34,FALSE)-50))</f>
        <v>297</v>
      </c>
      <c r="AH183" s="3">
        <v>319</v>
      </c>
      <c r="AI183" s="3">
        <f>IF(ISERROR((VLOOKUP($A183,'NonXtal_SegEnds_BW#'!$A:$Z,24,FALSE)+VLOOKUP($A183,A:AL,34,FALSE)-50)),"-",(VLOOKUP($A183,'NonXtal_SegEnds_BW#'!$A:$Z,24,FALSE)+VLOOKUP($A183,A:AL,34,FALSE)-50))</f>
        <v>325</v>
      </c>
      <c r="AJ183" s="3">
        <f>IF(ISERROR(VLOOKUP($A183,'NonXtal_SegEnds_BW#'!$A:$Z,25,FALSE)+VLOOKUP($A183,A:AL,37,FALSE)-50),"-",(VLOOKUP($A183,'NonXtal_SegEnds_BW#'!$A:$Z,25,FALSE)+VLOOKUP($A183,A:AL,37,FALSE)-50))</f>
        <v>326</v>
      </c>
      <c r="AK183" s="3">
        <v>329</v>
      </c>
      <c r="AL183" s="3">
        <f>IF(ISERROR((VLOOKUP($A183,'NonXtal_SegEnds_BW#'!$A:$Z,26,FALSE)+VLOOKUP($A183,A:AL,37,FALSE)-50)),"-",(VLOOKUP($A183,'NonXtal_SegEnds_BW#'!$A:$Z,26,FALSE)+VLOOKUP($A183,A:AL,37,FALSE)-50))</f>
        <v>339</v>
      </c>
      <c r="AM183" s="71" t="str">
        <f>VLOOKUP(A183,Classification!A:B,2,FALSE)</f>
        <v>A</v>
      </c>
      <c r="AN183" s="71" t="b">
        <f t="shared" si="69"/>
        <v>1</v>
      </c>
      <c r="AO183" s="3">
        <f t="shared" si="70"/>
        <v>1</v>
      </c>
      <c r="AP183" s="3">
        <f t="shared" si="71"/>
        <v>1</v>
      </c>
      <c r="AQ183" s="3">
        <f t="shared" si="72"/>
        <v>2</v>
      </c>
      <c r="AR183" s="3">
        <f t="shared" si="73"/>
        <v>1</v>
      </c>
      <c r="AS183" s="3">
        <f t="shared" si="74"/>
        <v>1</v>
      </c>
      <c r="AT183" s="3">
        <f t="shared" si="75"/>
        <v>2</v>
      </c>
      <c r="AU183" s="3">
        <f t="shared" si="76"/>
        <v>17</v>
      </c>
      <c r="AV183" s="3">
        <f t="shared" si="77"/>
        <v>3</v>
      </c>
      <c r="AW183" s="3">
        <f t="shared" si="78"/>
        <v>6</v>
      </c>
      <c r="AX183" s="3">
        <f t="shared" si="79"/>
        <v>7</v>
      </c>
      <c r="AY183" s="3">
        <f t="shared" si="80"/>
        <v>1</v>
      </c>
      <c r="AZ183" s="3">
        <f>IF(ISERROR(LEN(VLOOKUP(A183,Seqs!A:E,2,FALSE))-AL183),"-",LEN(VLOOKUP(A183,Seqs!A:E,2,FALSE))-AL183)</f>
        <v>45</v>
      </c>
      <c r="BA183" s="35">
        <f t="shared" si="81"/>
        <v>28</v>
      </c>
      <c r="BB183" s="3">
        <f t="shared" si="82"/>
        <v>20</v>
      </c>
      <c r="BC183" s="3">
        <f t="shared" si="83"/>
        <v>28</v>
      </c>
      <c r="BD183" s="3">
        <f t="shared" si="84"/>
        <v>57</v>
      </c>
    </row>
    <row r="184" spans="1:57" s="3" customFormat="1" x14ac:dyDescent="0.2">
      <c r="A184" s="3" t="s">
        <v>1392</v>
      </c>
      <c r="B184" s="3" t="str">
        <f>LOWER(VLOOKUP(A184,Xtal_Templ!A:B,2,FALSE))</f>
        <v>ffar1_human</v>
      </c>
      <c r="C184" s="3">
        <f>VLOOKUP($A184,'NonXtal_SegEnds_BW#'!$A:$Z,3,FALSE)+D184-50</f>
        <v>6</v>
      </c>
      <c r="D184" s="3">
        <v>23</v>
      </c>
      <c r="E184" s="3">
        <f>IF(ISERROR(VLOOKUP($A184,'NonXtal_SegEnds_BW#'!$A:$Z,4,FALSE)+VLOOKUP($A184,A:AL,4,FALSE)-50),"-",(VLOOKUP($A184,'NonXtal_SegEnds_BW#'!$A:$Z,4,FALSE)+VLOOKUP($A184,A:AL,4,FALSE)-50))</f>
        <v>37</v>
      </c>
      <c r="F184" s="3" t="str">
        <f>IF(ISERROR(VLOOKUP($A184,'NonXtal_SegEnds_BW#'!$A:$Z,5,FALSE)+VLOOKUP($A184,A:AL,7,FALSE)-50),"-",(VLOOKUP($A184,'NonXtal_SegEnds_BW#'!$A:$Z,5,FALSE)+VLOOKUP($A184,A:AL,7,FALSE)-50))</f>
        <v>-</v>
      </c>
      <c r="G184" s="3" t="s">
        <v>129</v>
      </c>
      <c r="H184" s="3" t="str">
        <f>IF(ISERROR(VLOOKUP($A184,'NonXtal_SegEnds_BW#'!$A:$Z,6,FALSE)+VLOOKUP($A184,A:AL,7,FALSE)-50),"-",(VLOOKUP($A184,'NonXtal_SegEnds_BW#'!$A:$Z,6,FALSE)+VLOOKUP($A184,A:AL,7,FALSE)-50))</f>
        <v>-</v>
      </c>
      <c r="I184" s="3">
        <f>VLOOKUP($A184,'NonXtal_SegEnds_BW#'!$A:$Z,7,FALSE)+J184-50</f>
        <v>39</v>
      </c>
      <c r="J184" s="3">
        <v>52</v>
      </c>
      <c r="K184" s="3">
        <f>VLOOKUP($A184,'NonXtal_SegEnds_BW#'!$A:$Z,8,FALSE)+VLOOKUP($A184,A:AL,10,FALSE)-50</f>
        <v>68</v>
      </c>
      <c r="L184" s="3">
        <f t="shared" si="97"/>
        <v>71</v>
      </c>
      <c r="M184" s="3">
        <v>72</v>
      </c>
      <c r="N184" s="3">
        <f t="shared" si="98"/>
        <v>74</v>
      </c>
      <c r="O184" s="3">
        <f t="shared" si="99"/>
        <v>75</v>
      </c>
      <c r="P184" s="3">
        <v>104</v>
      </c>
      <c r="Q184" s="3">
        <f>VLOOKUP($A184,'NonXtal_SegEnds_BW#'!$A:$Z,12,FALSE)+VLOOKUP($A184,A:AL,16,FALSE)-50</f>
        <v>110</v>
      </c>
      <c r="R184" s="3">
        <f>IF(ISERROR(VLOOKUP($A184,'NonXtal_SegEnds_BW#'!$A:$Z,13,FALSE)+VLOOKUP($A184,A:AL,19,FALSE)-50),"-",VLOOKUP($A184,'NonXtal_SegEnds_BW#'!$A:$Z,13,FALSE)+VLOOKUP($A184,A:AL,19,FALSE)-50)</f>
        <v>111</v>
      </c>
      <c r="S184" s="3">
        <v>111</v>
      </c>
      <c r="T184" s="3">
        <f>IF(ISERROR(VLOOKUP($A184,'NonXtal_SegEnds_BW#'!$A:$Z,14,FALSE)+VLOOKUP($A184,A:AL,19,FALSE)-50),"-",(VLOOKUP($A184,'NonXtal_SegEnds_BW#'!$A:$Z,14,FALSE)+VLOOKUP($A184,A:AL,19,FALSE)-50))</f>
        <v>118</v>
      </c>
      <c r="U184" s="3">
        <f>IF(ISERROR(VLOOKUP($A184,'NonXtal_SegEnds_BW#'!$A:$Z,15,FALSE)+VLOOKUP($A184,A:AL,22,FALSE)-50),"-",VLOOKUP($A184,'NonXtal_SegEnds_BW#'!$A:$Z,15,FALSE)+VLOOKUP($A184,A:AL,22,FALSE)-50)</f>
        <v>120</v>
      </c>
      <c r="V184" s="3">
        <v>131</v>
      </c>
      <c r="W184" s="3">
        <f>IF(ISERROR(VLOOKUP($A184,'NonXtal_SegEnds_BW#'!$A:$Z,16,FALSE)+VLOOKUP($A184,A:AL,22,FALSE)-50),"-",(VLOOKUP($A184,'NonXtal_SegEnds_BW#'!$A:$Z,16,FALSE)+VLOOKUP($A184,A:AL,22,FALSE)-50))</f>
        <v>145</v>
      </c>
      <c r="X184" s="3">
        <f>IF(ISERROR(VLOOKUP($A184,'NonXtal_SegEnds_BW#'!$A:$Z,17,FALSE)+VLOOKUP($A184,A:AL,25,FALSE)-50),"-",(VLOOKUP($A184,'NonXtal_SegEnds_BW#'!$A:$Z,17,FALSE)+VLOOKUP($A184,A:AL,25,FALSE)-50))</f>
        <v>170</v>
      </c>
      <c r="Y184" s="3">
        <v>170</v>
      </c>
      <c r="Z184" s="3">
        <f t="shared" si="94"/>
        <v>172</v>
      </c>
      <c r="AA184" s="3">
        <f>IF(ISERROR(VLOOKUP($A184,'NonXtal_SegEnds_BW#'!$A:$Z,19,FALSE)+VLOOKUP($A184,A:AL,28,FALSE)-50),"-",(VLOOKUP($A184,'NonXtal_SegEnds_BW#'!$A:$Z,19,FALSE)+VLOOKUP($A184,A:AL,28,FALSE)-50))</f>
        <v>176</v>
      </c>
      <c r="AB184" s="3">
        <v>194</v>
      </c>
      <c r="AC184" s="3">
        <f>IF(ISERROR((VLOOKUP($A184,'NonXtal_SegEnds_BW#'!$A:$Z,20,FALSE)+VLOOKUP($A184,A:AL,28,FALSE)-50)),"-",(VLOOKUP($A184,'NonXtal_SegEnds_BW#'!$A:$Z,20,FALSE)+VLOOKUP($A184,A:AL,28,FALSE)-50))</f>
        <v>211</v>
      </c>
      <c r="AD184" s="3">
        <f>IF(ISERROR(VLOOKUP($A184,'NonXtal_SegEnds_BW#'!$A:$Z,21,FALSE)+VLOOKUP($A184,A:AL,31,FALSE)-50),"-",(VLOOKUP($A184,'NonXtal_SegEnds_BW#'!$A:$Z,21,FALSE)+VLOOKUP($A184,A:AL,31,FALSE)-50))</f>
        <v>217</v>
      </c>
      <c r="AE184" s="3">
        <v>239</v>
      </c>
      <c r="AF184" s="3">
        <f>IF(ISERROR((VLOOKUP($A184,'NonXtal_SegEnds_BW#'!$A:$Z,22,FALSE)+VLOOKUP($A184,A:AL,31,FALSE)-50)),"-",(VLOOKUP($A184,'NonXtal_SegEnds_BW#'!$A:$Z,22,FALSE)+VLOOKUP($A184,A:AL,31,FALSE)-50))</f>
        <v>250</v>
      </c>
      <c r="AG184" s="3">
        <f>IF(ISERROR(VLOOKUP($A184,'NonXtal_SegEnds_BW#'!$A:$Z,23,FALSE)+VLOOKUP($A184,A:AL,34,FALSE)-50),"-",(VLOOKUP($A184,'NonXtal_SegEnds_BW#'!$A:$Z,23,FALSE)+VLOOKUP($A184,A:AL,34,FALSE)-50))</f>
        <v>255</v>
      </c>
      <c r="AH184" s="3">
        <v>273</v>
      </c>
      <c r="AI184" s="3">
        <f>IF(ISERROR((VLOOKUP($A184,'NonXtal_SegEnds_BW#'!$A:$Z,24,FALSE)+VLOOKUP($A184,A:AL,34,FALSE)-50)),"-",(VLOOKUP($A184,'NonXtal_SegEnds_BW#'!$A:$Z,24,FALSE)+VLOOKUP($A184,A:AL,34,FALSE)-50))</f>
        <v>279</v>
      </c>
      <c r="AJ184" s="3">
        <f>IF(ISERROR(VLOOKUP($A184,'NonXtal_SegEnds_BW#'!$A:$Z,25,FALSE)+VLOOKUP($A184,A:AL,37,FALSE)-50),"-",(VLOOKUP($A184,'NonXtal_SegEnds_BW#'!$A:$Z,25,FALSE)+VLOOKUP($A184,A:AL,37,FALSE)-50))</f>
        <v>280</v>
      </c>
      <c r="AK184" s="3">
        <v>283</v>
      </c>
      <c r="AL184" s="3">
        <f>IF(ISERROR((VLOOKUP($A184,'NonXtal_SegEnds_BW#'!$A:$Z,26,FALSE)+VLOOKUP($A184,A:AL,37,FALSE)-50)),"-",(VLOOKUP($A184,'NonXtal_SegEnds_BW#'!$A:$Z,26,FALSE)+VLOOKUP($A184,A:AL,37,FALSE)-50))</f>
        <v>294</v>
      </c>
      <c r="AM184" s="71" t="str">
        <f>VLOOKUP(A184,Classification!A:B,2,FALSE)</f>
        <v>A</v>
      </c>
      <c r="AN184" s="71" t="b">
        <f t="shared" si="69"/>
        <v>1</v>
      </c>
      <c r="AO184" s="3" t="str">
        <f t="shared" si="70"/>
        <v>-</v>
      </c>
      <c r="AP184" s="3" t="str">
        <f t="shared" si="71"/>
        <v>-</v>
      </c>
      <c r="AQ184" s="3">
        <f t="shared" si="72"/>
        <v>3</v>
      </c>
      <c r="AR184" s="3">
        <f t="shared" si="73"/>
        <v>1</v>
      </c>
      <c r="AS184" s="3">
        <f t="shared" si="74"/>
        <v>1</v>
      </c>
      <c r="AT184" s="3">
        <f t="shared" si="75"/>
        <v>2</v>
      </c>
      <c r="AU184" s="3">
        <f t="shared" si="76"/>
        <v>25</v>
      </c>
      <c r="AV184" s="3">
        <f t="shared" si="77"/>
        <v>4</v>
      </c>
      <c r="AW184" s="3">
        <f t="shared" si="78"/>
        <v>6</v>
      </c>
      <c r="AX184" s="3">
        <f t="shared" si="79"/>
        <v>5</v>
      </c>
      <c r="AY184" s="3">
        <f t="shared" si="80"/>
        <v>1</v>
      </c>
      <c r="AZ184" s="3">
        <f>IF(ISERROR(LEN(VLOOKUP(A184,Seqs!A:E,2,FALSE))-AL184),"-",LEN(VLOOKUP(A184,Seqs!A:E,2,FALSE))-AL184)</f>
        <v>6</v>
      </c>
      <c r="BA184" s="35">
        <f t="shared" si="81"/>
        <v>29</v>
      </c>
      <c r="BB184" s="3">
        <f t="shared" si="82"/>
        <v>20</v>
      </c>
      <c r="BC184" s="3">
        <f t="shared" si="83"/>
        <v>29</v>
      </c>
      <c r="BD184" s="3">
        <f t="shared" si="84"/>
        <v>45</v>
      </c>
      <c r="BE184" s="3">
        <f>AH184-AE184</f>
        <v>34</v>
      </c>
    </row>
    <row r="185" spans="1:57" s="3" customFormat="1" x14ac:dyDescent="0.2">
      <c r="A185" s="3" t="s">
        <v>392</v>
      </c>
      <c r="B185" s="3" t="str">
        <f>LOWER(VLOOKUP(A185,Xtal_Templ!A:B,2,FALSE))</f>
        <v>ffar1_human</v>
      </c>
      <c r="C185" s="3">
        <f>VLOOKUP($A185,'NonXtal_SegEnds_BW#'!$A:$Z,3,FALSE)+D185-50</f>
        <v>8</v>
      </c>
      <c r="D185" s="3">
        <v>25</v>
      </c>
      <c r="E185" s="3">
        <f>IF(ISERROR(VLOOKUP($A185,'NonXtal_SegEnds_BW#'!$A:$Z,4,FALSE)+VLOOKUP($A185,A:AL,4,FALSE)-50),"-",(VLOOKUP($A185,'NonXtal_SegEnds_BW#'!$A:$Z,4,FALSE)+VLOOKUP($A185,A:AL,4,FALSE)-50))</f>
        <v>39</v>
      </c>
      <c r="F185" s="3" t="str">
        <f>IF(ISERROR(VLOOKUP($A185,'NonXtal_SegEnds_BW#'!$A:$Z,5,FALSE)+VLOOKUP($A185,A:AL,7,FALSE)-50),"-",(VLOOKUP($A185,'NonXtal_SegEnds_BW#'!$A:$Z,5,FALSE)+VLOOKUP($A185,A:AL,7,FALSE)-50))</f>
        <v>-</v>
      </c>
      <c r="G185" s="3" t="s">
        <v>129</v>
      </c>
      <c r="H185" s="3" t="str">
        <f>IF(ISERROR(VLOOKUP($A185,'NonXtal_SegEnds_BW#'!$A:$Z,6,FALSE)+VLOOKUP($A185,A:AL,7,FALSE)-50),"-",(VLOOKUP($A185,'NonXtal_SegEnds_BW#'!$A:$Z,6,FALSE)+VLOOKUP($A185,A:AL,7,FALSE)-50))</f>
        <v>-</v>
      </c>
      <c r="I185" s="3">
        <f>VLOOKUP($A185,'NonXtal_SegEnds_BW#'!$A:$Z,7,FALSE)+J185-50</f>
        <v>42</v>
      </c>
      <c r="J185" s="3">
        <v>55</v>
      </c>
      <c r="K185" s="3">
        <f>VLOOKUP($A185,'NonXtal_SegEnds_BW#'!$A:$Z,8,FALSE)+VLOOKUP($A185,A:AL,10,FALSE)-50</f>
        <v>71</v>
      </c>
      <c r="L185" s="3">
        <f t="shared" si="97"/>
        <v>74</v>
      </c>
      <c r="M185" s="3">
        <v>75</v>
      </c>
      <c r="N185" s="3">
        <f t="shared" si="98"/>
        <v>77</v>
      </c>
      <c r="O185" s="3">
        <f t="shared" si="99"/>
        <v>78</v>
      </c>
      <c r="P185" s="3">
        <v>107</v>
      </c>
      <c r="Q185" s="3">
        <f>VLOOKUP($A185,'NonXtal_SegEnds_BW#'!$A:$Z,12,FALSE)+VLOOKUP($A185,A:AL,16,FALSE)-50</f>
        <v>113</v>
      </c>
      <c r="R185" s="3">
        <f>IF(ISERROR(VLOOKUP($A185,'NonXtal_SegEnds_BW#'!$A:$Z,13,FALSE)+VLOOKUP($A185,A:AL,19,FALSE)-50),"-",VLOOKUP($A185,'NonXtal_SegEnds_BW#'!$A:$Z,13,FALSE)+VLOOKUP($A185,A:AL,19,FALSE)-50)</f>
        <v>114</v>
      </c>
      <c r="S185" s="3">
        <v>114</v>
      </c>
      <c r="T185" s="3">
        <f>IF(ISERROR(VLOOKUP($A185,'NonXtal_SegEnds_BW#'!$A:$Z,14,FALSE)+VLOOKUP($A185,A:AL,19,FALSE)-50),"-",(VLOOKUP($A185,'NonXtal_SegEnds_BW#'!$A:$Z,14,FALSE)+VLOOKUP($A185,A:AL,19,FALSE)-50))</f>
        <v>121</v>
      </c>
      <c r="U185" s="3">
        <f>IF(ISERROR(VLOOKUP($A185,'NonXtal_SegEnds_BW#'!$A:$Z,15,FALSE)+VLOOKUP($A185,A:AL,22,FALSE)-50),"-",VLOOKUP($A185,'NonXtal_SegEnds_BW#'!$A:$Z,15,FALSE)+VLOOKUP($A185,A:AL,22,FALSE)-50)</f>
        <v>123</v>
      </c>
      <c r="V185" s="3">
        <v>134</v>
      </c>
      <c r="W185" s="3">
        <f>IF(ISERROR(VLOOKUP($A185,'NonXtal_SegEnds_BW#'!$A:$Z,16,FALSE)+VLOOKUP($A185,A:AL,22,FALSE)-50),"-",(VLOOKUP($A185,'NonXtal_SegEnds_BW#'!$A:$Z,16,FALSE)+VLOOKUP($A185,A:AL,22,FALSE)-50))</f>
        <v>148</v>
      </c>
      <c r="X185" s="3">
        <f>IF(ISERROR(VLOOKUP($A185,'NonXtal_SegEnds_BW#'!$A:$Z,17,FALSE)+VLOOKUP($A185,A:AL,25,FALSE)-50),"-",(VLOOKUP($A185,'NonXtal_SegEnds_BW#'!$A:$Z,17,FALSE)+VLOOKUP($A185,A:AL,25,FALSE)-50))</f>
        <v>164</v>
      </c>
      <c r="Y185" s="3">
        <v>164</v>
      </c>
      <c r="Z185" s="3">
        <f t="shared" si="94"/>
        <v>166</v>
      </c>
      <c r="AA185" s="3">
        <f>IF(ISERROR(VLOOKUP($A185,'NonXtal_SegEnds_BW#'!$A:$Z,19,FALSE)+VLOOKUP($A185,A:AL,28,FALSE)-50),"-",(VLOOKUP($A185,'NonXtal_SegEnds_BW#'!$A:$Z,19,FALSE)+VLOOKUP($A185,A:AL,28,FALSE)-50))</f>
        <v>173</v>
      </c>
      <c r="AB185" s="3">
        <v>191</v>
      </c>
      <c r="AC185" s="3">
        <f>IF(ISERROR((VLOOKUP($A185,'NonXtal_SegEnds_BW#'!$A:$Z,20,FALSE)+VLOOKUP($A185,A:AL,28,FALSE)-50)),"-",(VLOOKUP($A185,'NonXtal_SegEnds_BW#'!$A:$Z,20,FALSE)+VLOOKUP($A185,A:AL,28,FALSE)-50))</f>
        <v>208</v>
      </c>
      <c r="AD185" s="3">
        <f>IF(ISERROR(VLOOKUP($A185,'NonXtal_SegEnds_BW#'!$A:$Z,21,FALSE)+VLOOKUP($A185,A:AL,31,FALSE)-50),"-",(VLOOKUP($A185,'NonXtal_SegEnds_BW#'!$A:$Z,21,FALSE)+VLOOKUP($A185,A:AL,31,FALSE)-50))</f>
        <v>213</v>
      </c>
      <c r="AE185" s="3">
        <v>237</v>
      </c>
      <c r="AF185" s="3">
        <f>IF(ISERROR((VLOOKUP($A185,'NonXtal_SegEnds_BW#'!$A:$Z,22,FALSE)+VLOOKUP($A185,A:AL,31,FALSE)-50)),"-",(VLOOKUP($A185,'NonXtal_SegEnds_BW#'!$A:$Z,22,FALSE)+VLOOKUP($A185,A:AL,31,FALSE)-50))</f>
        <v>248</v>
      </c>
      <c r="AG185" s="3">
        <f>IF(ISERROR(VLOOKUP($A185,'NonXtal_SegEnds_BW#'!$A:$Z,23,FALSE)+VLOOKUP($A185,A:AL,34,FALSE)-50),"-",(VLOOKUP($A185,'NonXtal_SegEnds_BW#'!$A:$Z,23,FALSE)+VLOOKUP($A185,A:AL,34,FALSE)-50))</f>
        <v>253</v>
      </c>
      <c r="AH185" s="3">
        <v>270</v>
      </c>
      <c r="AI185" s="3">
        <f>IF(ISERROR((VLOOKUP($A185,'NonXtal_SegEnds_BW#'!$A:$Z,24,FALSE)+VLOOKUP($A185,A:AL,34,FALSE)-50)),"-",(VLOOKUP($A185,'NonXtal_SegEnds_BW#'!$A:$Z,24,FALSE)+VLOOKUP($A185,A:AL,34,FALSE)-50))</f>
        <v>276</v>
      </c>
      <c r="AJ185" s="3">
        <f>IF(ISERROR(VLOOKUP($A185,'NonXtal_SegEnds_BW#'!$A:$Z,25,FALSE)+VLOOKUP($A185,A:AL,37,FALSE)-50),"-",(VLOOKUP($A185,'NonXtal_SegEnds_BW#'!$A:$Z,25,FALSE)+VLOOKUP($A185,A:AL,37,FALSE)-50))</f>
        <v>277</v>
      </c>
      <c r="AK185" s="3">
        <v>280</v>
      </c>
      <c r="AL185" s="3">
        <f>IF(ISERROR((VLOOKUP($A185,'NonXtal_SegEnds_BW#'!$A:$Z,26,FALSE)+VLOOKUP($A185,A:AL,37,FALSE)-50)),"-",(VLOOKUP($A185,'NonXtal_SegEnds_BW#'!$A:$Z,26,FALSE)+VLOOKUP($A185,A:AL,37,FALSE)-50))</f>
        <v>291</v>
      </c>
      <c r="AM185" s="71" t="str">
        <f>VLOOKUP(A185,Classification!A:B,2,FALSE)</f>
        <v>A</v>
      </c>
      <c r="AN185" s="71" t="b">
        <f t="shared" si="69"/>
        <v>1</v>
      </c>
      <c r="AO185" s="3" t="str">
        <f t="shared" si="70"/>
        <v>-</v>
      </c>
      <c r="AP185" s="3" t="str">
        <f t="shared" si="71"/>
        <v>-</v>
      </c>
      <c r="AQ185" s="3">
        <f t="shared" si="72"/>
        <v>3</v>
      </c>
      <c r="AR185" s="3">
        <f t="shared" si="73"/>
        <v>1</v>
      </c>
      <c r="AS185" s="3">
        <f t="shared" si="74"/>
        <v>1</v>
      </c>
      <c r="AT185" s="3">
        <f t="shared" si="75"/>
        <v>2</v>
      </c>
      <c r="AU185" s="3">
        <f t="shared" si="76"/>
        <v>16</v>
      </c>
      <c r="AV185" s="3">
        <f t="shared" si="77"/>
        <v>7</v>
      </c>
      <c r="AW185" s="3">
        <f t="shared" si="78"/>
        <v>5</v>
      </c>
      <c r="AX185" s="3">
        <f t="shared" si="79"/>
        <v>5</v>
      </c>
      <c r="AY185" s="3">
        <f t="shared" si="80"/>
        <v>1</v>
      </c>
      <c r="AZ185" s="3">
        <f>IF(ISERROR(LEN(VLOOKUP(A185,Seqs!A:E,2,FALSE))-AL185),"-",LEN(VLOOKUP(A185,Seqs!A:E,2,FALSE))-AL185)</f>
        <v>39</v>
      </c>
      <c r="BA185" s="35">
        <f t="shared" si="81"/>
        <v>30</v>
      </c>
      <c r="BB185" s="3">
        <f t="shared" si="82"/>
        <v>20</v>
      </c>
      <c r="BC185" s="3">
        <f t="shared" si="83"/>
        <v>30</v>
      </c>
      <c r="BD185" s="3">
        <f t="shared" si="84"/>
        <v>46</v>
      </c>
    </row>
    <row r="186" spans="1:57" s="3" customFormat="1" x14ac:dyDescent="0.2">
      <c r="A186" s="3" t="s">
        <v>614</v>
      </c>
      <c r="B186" s="3" t="str">
        <f>LOWER(VLOOKUP(A186,Xtal_Templ!A:B,2,FALSE))</f>
        <v>glr_human</v>
      </c>
      <c r="C186" s="3">
        <f>VLOOKUP($A186,'NonXtal_SegEnds_BW#'!$A:$Z,3,FALSE)+D186-50</f>
        <v>2527</v>
      </c>
      <c r="D186" s="3">
        <v>2554</v>
      </c>
      <c r="E186" s="3">
        <f>IF(ISERROR(VLOOKUP($A186,'NonXtal_SegEnds_BW#'!$A:$Z,4,FALSE)+VLOOKUP($A186,A:AL,4,FALSE)-50),"-",(VLOOKUP($A186,'NonXtal_SegEnds_BW#'!$A:$Z,4,FALSE)+VLOOKUP($A186,A:AL,4,FALSE)-50))</f>
        <v>2564</v>
      </c>
      <c r="F186" s="3">
        <f>G186-2</f>
        <v>2565</v>
      </c>
      <c r="G186" s="3">
        <v>2567</v>
      </c>
      <c r="H186" s="3">
        <f>G186+1</f>
        <v>2568</v>
      </c>
      <c r="I186" s="3">
        <f>H186+1</f>
        <v>2569</v>
      </c>
      <c r="J186" s="3">
        <v>2582</v>
      </c>
      <c r="K186" s="3">
        <f>VLOOKUP($A186,'NonXtal_SegEnds_BW#'!$A:$Z,8,FALSE)+VLOOKUP($A186,A:AL,10,FALSE)-50</f>
        <v>2595</v>
      </c>
      <c r="L186" s="3" t="str">
        <f>IF(ISERROR(VLOOKUP($A186,'NonXtal_SegEnds_BW#'!$A:$Z,9,FALSE)+VLOOKUP($A186,A:AL,13,FALSE)-50),"-",(VLOOKUP($A186,'NonXtal_SegEnds_BW#'!$A:$Z,9,FALSE)+VLOOKUP($A186,A:AL,13,FALSE)-50))</f>
        <v>-</v>
      </c>
      <c r="M186" s="3" t="s">
        <v>129</v>
      </c>
      <c r="N186" s="3" t="str">
        <f>IF(ISERROR(VLOOKUP($A186,'NonXtal_SegEnds_BW#'!$A:$Z,10,FALSE)+VLOOKUP($A186,A:AL,13,FALSE)-50),"-",(VLOOKUP($A186,'NonXtal_SegEnds_BW#'!$A:$Z,10,FALSE)+VLOOKUP($A186,A:AL,13,FALSE)-50))</f>
        <v>-</v>
      </c>
      <c r="O186" s="3">
        <f>VLOOKUP($A186,'NonXtal_SegEnds_BW#'!$A:$Z,11,FALSE)+VLOOKUP($A186,A:AL,16,FALSE)-50</f>
        <v>2600</v>
      </c>
      <c r="P186" s="3">
        <v>2627</v>
      </c>
      <c r="Q186" s="3">
        <f>VLOOKUP($A186,'NonXtal_SegEnds_BW#'!$A:$Z,12,FALSE)+VLOOKUP($A186,A:AL,16,FALSE)-50</f>
        <v>2633</v>
      </c>
      <c r="R186" s="3" t="str">
        <f>IF(ISERROR(VLOOKUP($A186,'NonXtal_SegEnds_BW#'!$A:$Z,13,FALSE)+VLOOKUP($A186,A:AL,19,FALSE)-50),"-",VLOOKUP($A186,'NonXtal_SegEnds_BW#'!$A:$Z,13,FALSE)+VLOOKUP($A186,A:AL,19,FALSE)-50)</f>
        <v>-</v>
      </c>
      <c r="S186" s="3" t="s">
        <v>129</v>
      </c>
      <c r="T186" s="3" t="str">
        <f>IF(ISERROR(VLOOKUP($A186,'NonXtal_SegEnds_BW#'!$A:$Z,14,FALSE)+VLOOKUP($A186,A:AL,19,FALSE)-50),"-",(VLOOKUP($A186,'NonXtal_SegEnds_BW#'!$A:$Z,14,FALSE)+VLOOKUP($A186,A:AL,19,FALSE)-50))</f>
        <v>-</v>
      </c>
      <c r="U186" s="3">
        <f>IF(ISERROR(VLOOKUP($A186,'NonXtal_SegEnds_BW#'!$A:$Z,15,FALSE)+VLOOKUP($A186,A:AL,22,FALSE)-50),"-",VLOOKUP($A186,'NonXtal_SegEnds_BW#'!$A:$Z,15,FALSE)+VLOOKUP($A186,A:AL,22,FALSE)-50)</f>
        <v>2640</v>
      </c>
      <c r="V186" s="3">
        <v>2650</v>
      </c>
      <c r="W186" s="3">
        <f>IF(ISERROR(VLOOKUP($A186,'NonXtal_SegEnds_BW#'!$A:$Z,16,FALSE)+VLOOKUP($A186,A:AL,22,FALSE)-50),"-",(VLOOKUP($A186,'NonXtal_SegEnds_BW#'!$A:$Z,16,FALSE)+VLOOKUP($A186,A:AL,22,FALSE)-50))</f>
        <v>2668</v>
      </c>
      <c r="X186" s="3">
        <f>IF(ISERROR(VLOOKUP($A186,'NonXtal_SegEnds_BW#'!$A:$Z,17,FALSE)+VLOOKUP($A186,A:AL,25,FALSE)-50),"-",(VLOOKUP($A186,'NonXtal_SegEnds_BW#'!$A:$Z,17,FALSE)+VLOOKUP($A186,A:AL,25,FALSE)-50))</f>
        <v>2674</v>
      </c>
      <c r="Y186" s="3">
        <v>2674</v>
      </c>
      <c r="Z186" s="3">
        <f t="shared" si="94"/>
        <v>2676</v>
      </c>
      <c r="AA186" s="3">
        <f>IF(ISERROR(VLOOKUP($A186,'NonXtal_SegEnds_BW#'!$A:$Z,19,FALSE)+VLOOKUP($A186,A:AL,28,FALSE)-50),"-",(VLOOKUP($A186,'NonXtal_SegEnds_BW#'!$A:$Z,19,FALSE)+VLOOKUP($A186,A:AL,28,FALSE)-50))</f>
        <v>2679</v>
      </c>
      <c r="AB186" s="3">
        <v>2693</v>
      </c>
      <c r="AC186" s="3">
        <f>IF(ISERROR((VLOOKUP($A186,'NonXtal_SegEnds_BW#'!$A:$Z,20,FALSE)+VLOOKUP($A186,A:AL,28,FALSE)-50)),"-",(VLOOKUP($A186,'NonXtal_SegEnds_BW#'!$A:$Z,20,FALSE)+VLOOKUP($A186,A:AL,28,FALSE)-50))</f>
        <v>2712</v>
      </c>
      <c r="AD186" s="3">
        <f>IF(ISERROR(VLOOKUP($A186,'NonXtal_SegEnds_BW#'!$A:$Z,21,FALSE)+VLOOKUP($A186,A:AL,31,FALSE)-50),"-",(VLOOKUP($A186,'NonXtal_SegEnds_BW#'!$A:$Z,21,FALSE)+VLOOKUP($A186,A:AL,31,FALSE)-50))</f>
        <v>2719</v>
      </c>
      <c r="AE186" s="3">
        <v>2740</v>
      </c>
      <c r="AF186" s="3">
        <f>IF(ISERROR((VLOOKUP($A186,'NonXtal_SegEnds_BW#'!$A:$Z,22,FALSE)+VLOOKUP($A186,A:AL,31,FALSE)-50)),"-",(VLOOKUP($A186,'NonXtal_SegEnds_BW#'!$A:$Z,22,FALSE)+VLOOKUP($A186,A:AL,31,FALSE)-50))</f>
        <v>2743</v>
      </c>
      <c r="AG186" s="3">
        <f>IF(ISERROR(VLOOKUP($A186,'NonXtal_SegEnds_BW#'!$A:$Z,23,FALSE)+VLOOKUP($A186,A:AL,34,FALSE)-50),"-",(VLOOKUP($A186,'NonXtal_SegEnds_BW#'!$A:$Z,23,FALSE)+VLOOKUP($A186,A:AL,34,FALSE)-50))</f>
        <v>2749</v>
      </c>
      <c r="AH186" s="3">
        <v>2768</v>
      </c>
      <c r="AI186" s="3">
        <f>IF(ISERROR((VLOOKUP($A186,'NonXtal_SegEnds_BW#'!$A:$Z,24,FALSE)+VLOOKUP($A186,A:AL,34,FALSE)-50)),"-",(VLOOKUP($A186,'NonXtal_SegEnds_BW#'!$A:$Z,24,FALSE)+VLOOKUP($A186,A:AL,34,FALSE)-50))</f>
        <v>2774</v>
      </c>
      <c r="AJ186" s="3">
        <f>IF(ISERROR(VLOOKUP($A186,'NonXtal_SegEnds_BW#'!$A:$Z,25,FALSE)+VLOOKUP($A186,A:AL,37,FALSE)-50),"-",(VLOOKUP($A186,'NonXtal_SegEnds_BW#'!$A:$Z,25,FALSE)+VLOOKUP($A186,A:AL,37,FALSE)-50))</f>
        <v>2775</v>
      </c>
      <c r="AK186" s="3">
        <v>2778</v>
      </c>
      <c r="AL186" s="3">
        <f>IF(ISERROR((VLOOKUP($A186,'NonXtal_SegEnds_BW#'!$A:$Z,26,FALSE)+VLOOKUP($A186,A:AL,37,FALSE)-50)),"-",(VLOOKUP($A186,'NonXtal_SegEnds_BW#'!$A:$Z,26,FALSE)+VLOOKUP($A186,A:AL,37,FALSE)-50))</f>
        <v>2791</v>
      </c>
      <c r="AM186" s="71" t="str">
        <f>VLOOKUP(A186,Classification!A:B,2,FALSE)</f>
        <v>B2</v>
      </c>
      <c r="AN186" s="71" t="b">
        <f t="shared" si="69"/>
        <v>1</v>
      </c>
      <c r="AO186" s="3">
        <f t="shared" si="70"/>
        <v>1</v>
      </c>
      <c r="AP186" s="3">
        <f t="shared" si="71"/>
        <v>1</v>
      </c>
      <c r="AQ186" s="3" t="str">
        <f t="shared" si="72"/>
        <v>-</v>
      </c>
      <c r="AR186" s="3" t="str">
        <f t="shared" si="73"/>
        <v>-</v>
      </c>
      <c r="AS186" s="3" t="str">
        <f t="shared" si="74"/>
        <v>-</v>
      </c>
      <c r="AT186" s="3" t="str">
        <f t="shared" si="75"/>
        <v>-</v>
      </c>
      <c r="AU186" s="3">
        <f t="shared" si="76"/>
        <v>6</v>
      </c>
      <c r="AV186" s="3">
        <f t="shared" si="77"/>
        <v>3</v>
      </c>
      <c r="AW186" s="3">
        <f t="shared" si="78"/>
        <v>7</v>
      </c>
      <c r="AX186" s="3">
        <f t="shared" si="79"/>
        <v>6</v>
      </c>
      <c r="AY186" s="3">
        <f t="shared" si="80"/>
        <v>1</v>
      </c>
      <c r="AZ186" s="3">
        <f>IF(ISERROR(LEN(VLOOKUP(A186,Seqs!A:E,2,FALSE))-AL186),"-",LEN(VLOOKUP(A186,Seqs!A:E,2,FALSE))-AL186)</f>
        <v>521</v>
      </c>
      <c r="BA186" s="35">
        <f t="shared" si="81"/>
        <v>28</v>
      </c>
      <c r="BB186" s="3" t="str">
        <f t="shared" si="82"/>
        <v>-</v>
      </c>
      <c r="BC186" s="3">
        <f t="shared" si="83"/>
        <v>28</v>
      </c>
      <c r="BD186" s="3">
        <f t="shared" si="84"/>
        <v>47</v>
      </c>
    </row>
    <row r="187" spans="1:57" s="3" customFormat="1" x14ac:dyDescent="0.2">
      <c r="A187" s="3" t="s">
        <v>611</v>
      </c>
      <c r="B187" s="3" t="str">
        <f>LOWER(VLOOKUP(A187,Xtal_Templ!A:B,2,FALSE))</f>
        <v>glr_human</v>
      </c>
      <c r="C187" s="3">
        <f>VLOOKUP($A187,'NonXtal_SegEnds_BW#'!$A:$Z,3,FALSE)+D187-50</f>
        <v>535</v>
      </c>
      <c r="D187" s="3">
        <v>562</v>
      </c>
      <c r="E187" s="3">
        <f>IF(ISERROR(VLOOKUP($A187,'NonXtal_SegEnds_BW#'!$A:$Z,4,FALSE)+VLOOKUP($A187,A:AL,4,FALSE)-50),"-",(VLOOKUP($A187,'NonXtal_SegEnds_BW#'!$A:$Z,4,FALSE)+VLOOKUP($A187,A:AL,4,FALSE)-50))</f>
        <v>572</v>
      </c>
      <c r="F187" s="3" t="s">
        <v>129</v>
      </c>
      <c r="G187" s="3" t="s">
        <v>129</v>
      </c>
      <c r="H187" s="3" t="s">
        <v>129</v>
      </c>
      <c r="I187" s="3">
        <f>VLOOKUP($A187,'NonXtal_SegEnds_BW#'!$A:$Z,7,FALSE)+J187-50</f>
        <v>577</v>
      </c>
      <c r="J187" s="3">
        <v>590</v>
      </c>
      <c r="K187" s="3">
        <f>VLOOKUP($A187,'NonXtal_SegEnds_BW#'!$A:$Z,8,FALSE)+VLOOKUP($A187,A:AL,10,FALSE)-50</f>
        <v>603</v>
      </c>
      <c r="L187" s="3" t="str">
        <f>IF(ISERROR(VLOOKUP($A187,'NonXtal_SegEnds_BW#'!$A:$Z,9,FALSE)+VLOOKUP($A187,A:AL,13,FALSE)-50),"-",(VLOOKUP($A187,'NonXtal_SegEnds_BW#'!$A:$Z,9,FALSE)+VLOOKUP($A187,A:AL,13,FALSE)-50))</f>
        <v>-</v>
      </c>
      <c r="M187" s="3" t="s">
        <v>129</v>
      </c>
      <c r="N187" s="3" t="str">
        <f>IF(ISERROR(VLOOKUP($A187,'NonXtal_SegEnds_BW#'!$A:$Z,10,FALSE)+VLOOKUP($A187,A:AL,13,FALSE)-50),"-",(VLOOKUP($A187,'NonXtal_SegEnds_BW#'!$A:$Z,10,FALSE)+VLOOKUP($A187,A:AL,13,FALSE)-50))</f>
        <v>-</v>
      </c>
      <c r="O187" s="3">
        <f>VLOOKUP($A187,'NonXtal_SegEnds_BW#'!$A:$Z,11,FALSE)+VLOOKUP($A187,A:AL,16,FALSE)-50</f>
        <v>610</v>
      </c>
      <c r="P187" s="3">
        <v>637</v>
      </c>
      <c r="Q187" s="3">
        <f>VLOOKUP($A187,'NonXtal_SegEnds_BW#'!$A:$Z,12,FALSE)+VLOOKUP($A187,A:AL,16,FALSE)-50</f>
        <v>643</v>
      </c>
      <c r="R187" s="3" t="str">
        <f>IF(ISERROR(VLOOKUP($A187,'NonXtal_SegEnds_BW#'!$A:$Z,13,FALSE)+VLOOKUP($A187,A:AL,19,FALSE)-50),"-",VLOOKUP($A187,'NonXtal_SegEnds_BW#'!$A:$Z,13,FALSE)+VLOOKUP($A187,A:AL,19,FALSE)-50)</f>
        <v>-</v>
      </c>
      <c r="S187" s="3" t="s">
        <v>129</v>
      </c>
      <c r="T187" s="3" t="str">
        <f>IF(ISERROR(VLOOKUP($A187,'NonXtal_SegEnds_BW#'!$A:$Z,14,FALSE)+VLOOKUP($A187,A:AL,19,FALSE)-50),"-",(VLOOKUP($A187,'NonXtal_SegEnds_BW#'!$A:$Z,14,FALSE)+VLOOKUP($A187,A:AL,19,FALSE)-50))</f>
        <v>-</v>
      </c>
      <c r="U187" s="3">
        <f>IF(ISERROR(VLOOKUP($A187,'NonXtal_SegEnds_BW#'!$A:$Z,15,FALSE)+VLOOKUP($A187,A:AL,22,FALSE)-50),"-",VLOOKUP($A187,'NonXtal_SegEnds_BW#'!$A:$Z,15,FALSE)+VLOOKUP($A187,A:AL,22,FALSE)-50)</f>
        <v>650</v>
      </c>
      <c r="V187" s="3">
        <v>660</v>
      </c>
      <c r="W187" s="3">
        <f>IF(ISERROR(VLOOKUP($A187,'NonXtal_SegEnds_BW#'!$A:$Z,16,FALSE)+VLOOKUP($A187,A:AL,22,FALSE)-50),"-",(VLOOKUP($A187,'NonXtal_SegEnds_BW#'!$A:$Z,16,FALSE)+VLOOKUP($A187,A:AL,22,FALSE)-50))</f>
        <v>678</v>
      </c>
      <c r="X187" s="3">
        <f>IF(ISERROR(VLOOKUP($A187,'NonXtal_SegEnds_BW#'!$A:$Z,17,FALSE)+VLOOKUP($A187,A:AL,25,FALSE)-50),"-",(VLOOKUP($A187,'NonXtal_SegEnds_BW#'!$A:$Z,17,FALSE)+VLOOKUP($A187,A:AL,25,FALSE)-50))</f>
        <v>684</v>
      </c>
      <c r="Y187" s="3">
        <v>684</v>
      </c>
      <c r="Z187" s="3">
        <f t="shared" si="94"/>
        <v>686</v>
      </c>
      <c r="AA187" s="3">
        <f>IF(ISERROR(VLOOKUP($A187,'NonXtal_SegEnds_BW#'!$A:$Z,19,FALSE)+VLOOKUP($A187,A:AL,28,FALSE)-50),"-",(VLOOKUP($A187,'NonXtal_SegEnds_BW#'!$A:$Z,19,FALSE)+VLOOKUP($A187,A:AL,28,FALSE)-50))</f>
        <v>689</v>
      </c>
      <c r="AB187" s="3">
        <v>703</v>
      </c>
      <c r="AC187" s="3">
        <f>IF(ISERROR((VLOOKUP($A187,'NonXtal_SegEnds_BW#'!$A:$Z,20,FALSE)+VLOOKUP($A187,A:AL,28,FALSE)-50)),"-",(VLOOKUP($A187,'NonXtal_SegEnds_BW#'!$A:$Z,20,FALSE)+VLOOKUP($A187,A:AL,28,FALSE)-50))</f>
        <v>722</v>
      </c>
      <c r="AD187" s="3">
        <f>IF(ISERROR(VLOOKUP($A187,'NonXtal_SegEnds_BW#'!$A:$Z,21,FALSE)+VLOOKUP($A187,A:AL,31,FALSE)-50),"-",(VLOOKUP($A187,'NonXtal_SegEnds_BW#'!$A:$Z,21,FALSE)+VLOOKUP($A187,A:AL,31,FALSE)-50))</f>
        <v>734</v>
      </c>
      <c r="AE187" s="3">
        <v>755</v>
      </c>
      <c r="AF187" s="3">
        <f>IF(ISERROR((VLOOKUP($A187,'NonXtal_SegEnds_BW#'!$A:$Z,22,FALSE)+VLOOKUP($A187,A:AL,31,FALSE)-50)),"-",(VLOOKUP($A187,'NonXtal_SegEnds_BW#'!$A:$Z,22,FALSE)+VLOOKUP($A187,A:AL,31,FALSE)-50))</f>
        <v>758</v>
      </c>
      <c r="AG187" s="3">
        <f>IF(ISERROR(VLOOKUP($A187,'NonXtal_SegEnds_BW#'!$A:$Z,23,FALSE)+VLOOKUP($A187,A:AL,34,FALSE)-50),"-",(VLOOKUP($A187,'NonXtal_SegEnds_BW#'!$A:$Z,23,FALSE)+VLOOKUP($A187,A:AL,34,FALSE)-50))</f>
        <v>764</v>
      </c>
      <c r="AH187" s="3">
        <v>783</v>
      </c>
      <c r="AI187" s="3">
        <f>IF(ISERROR((VLOOKUP($A187,'NonXtal_SegEnds_BW#'!$A:$Z,24,FALSE)+VLOOKUP($A187,A:AL,34,FALSE)-50)),"-",(VLOOKUP($A187,'NonXtal_SegEnds_BW#'!$A:$Z,24,FALSE)+VLOOKUP($A187,A:AL,34,FALSE)-50))</f>
        <v>789</v>
      </c>
      <c r="AJ187" s="3">
        <f>IF(ISERROR(VLOOKUP($A187,'NonXtal_SegEnds_BW#'!$A:$Z,25,FALSE)+VLOOKUP($A187,A:AL,37,FALSE)-50),"-",(VLOOKUP($A187,'NonXtal_SegEnds_BW#'!$A:$Z,25,FALSE)+VLOOKUP($A187,A:AL,37,FALSE)-50))</f>
        <v>790</v>
      </c>
      <c r="AK187" s="3">
        <v>793</v>
      </c>
      <c r="AL187" s="3">
        <f>IF(ISERROR((VLOOKUP($A187,'NonXtal_SegEnds_BW#'!$A:$Z,26,FALSE)+VLOOKUP($A187,A:AL,37,FALSE)-50)),"-",(VLOOKUP($A187,'NonXtal_SegEnds_BW#'!$A:$Z,26,FALSE)+VLOOKUP($A187,A:AL,37,FALSE)-50))</f>
        <v>806</v>
      </c>
      <c r="AM187" s="71" t="str">
        <f>VLOOKUP(A187,Classification!A:B,2,FALSE)</f>
        <v>B2</v>
      </c>
      <c r="AN187" s="71" t="b">
        <f t="shared" si="69"/>
        <v>1</v>
      </c>
      <c r="AO187" s="3" t="str">
        <f t="shared" si="70"/>
        <v>-</v>
      </c>
      <c r="AP187" s="3" t="str">
        <f t="shared" si="71"/>
        <v>-</v>
      </c>
      <c r="AQ187" s="3" t="str">
        <f t="shared" si="72"/>
        <v>-</v>
      </c>
      <c r="AR187" s="3" t="str">
        <f t="shared" si="73"/>
        <v>-</v>
      </c>
      <c r="AS187" s="3" t="str">
        <f t="shared" si="74"/>
        <v>-</v>
      </c>
      <c r="AT187" s="3" t="str">
        <f t="shared" si="75"/>
        <v>-</v>
      </c>
      <c r="AU187" s="3">
        <f t="shared" si="76"/>
        <v>6</v>
      </c>
      <c r="AV187" s="3">
        <f t="shared" si="77"/>
        <v>3</v>
      </c>
      <c r="AW187" s="3">
        <f t="shared" si="78"/>
        <v>12</v>
      </c>
      <c r="AX187" s="3">
        <f t="shared" si="79"/>
        <v>6</v>
      </c>
      <c r="AY187" s="3">
        <f t="shared" si="80"/>
        <v>1</v>
      </c>
      <c r="AZ187" s="3">
        <f>IF(ISERROR(LEN(VLOOKUP(A187,Seqs!A:E,2,FALSE))-AL187),"-",LEN(VLOOKUP(A187,Seqs!A:E,2,FALSE))-AL187)</f>
        <v>29</v>
      </c>
      <c r="BA187" s="35">
        <f t="shared" si="81"/>
        <v>28</v>
      </c>
      <c r="BB187" s="3" t="str">
        <f t="shared" si="82"/>
        <v>-</v>
      </c>
      <c r="BC187" s="3">
        <f t="shared" si="83"/>
        <v>28</v>
      </c>
      <c r="BD187" s="3">
        <f t="shared" si="84"/>
        <v>52</v>
      </c>
      <c r="BE187" s="3">
        <f>AH187-AE187</f>
        <v>28</v>
      </c>
    </row>
    <row r="188" spans="1:57" s="3" customFormat="1" x14ac:dyDescent="0.2">
      <c r="A188" s="3" t="s">
        <v>603</v>
      </c>
      <c r="B188" s="3" t="str">
        <f>LOWER(VLOOKUP(A188,Xtal_Templ!A:B,2,FALSE))</f>
        <v>glr_human</v>
      </c>
      <c r="C188" s="3">
        <f>VLOOKUP($A188,'NonXtal_SegEnds_BW#'!$A:$Z,3,FALSE)+D188-50</f>
        <v>171</v>
      </c>
      <c r="D188" s="3">
        <v>202</v>
      </c>
      <c r="E188" s="3">
        <f>IF(ISERROR(VLOOKUP($A188,'NonXtal_SegEnds_BW#'!$A:$Z,4,FALSE)+VLOOKUP($A188,A:AL,4,FALSE)-50),"-",(VLOOKUP($A188,'NonXtal_SegEnds_BW#'!$A:$Z,4,FALSE)+VLOOKUP($A188,A:AL,4,FALSE)-50))</f>
        <v>212</v>
      </c>
      <c r="F188" s="3">
        <f t="shared" ref="F188:F198" si="100">G188-2</f>
        <v>213</v>
      </c>
      <c r="G188" s="3">
        <v>215</v>
      </c>
      <c r="H188" s="3">
        <f t="shared" ref="H188:I198" si="101">G188+1</f>
        <v>216</v>
      </c>
      <c r="I188" s="3">
        <f t="shared" si="101"/>
        <v>217</v>
      </c>
      <c r="J188" s="3">
        <v>230</v>
      </c>
      <c r="K188" s="3">
        <f>VLOOKUP($A188,'NonXtal_SegEnds_BW#'!$A:$Z,8,FALSE)+VLOOKUP($A188,A:AL,10,FALSE)-50</f>
        <v>245</v>
      </c>
      <c r="L188" s="3" t="str">
        <f>IF(ISERROR(VLOOKUP($A188,'NonXtal_SegEnds_BW#'!$A:$Z,9,FALSE)+VLOOKUP($A188,A:AL,13,FALSE)-50),"-",(VLOOKUP($A188,'NonXtal_SegEnds_BW#'!$A:$Z,9,FALSE)+VLOOKUP($A188,A:AL,13,FALSE)-50))</f>
        <v>-</v>
      </c>
      <c r="M188" s="3" t="s">
        <v>129</v>
      </c>
      <c r="N188" s="3" t="str">
        <f>IF(ISERROR(VLOOKUP($A188,'NonXtal_SegEnds_BW#'!$A:$Z,10,FALSE)+VLOOKUP($A188,A:AL,13,FALSE)-50),"-",(VLOOKUP($A188,'NonXtal_SegEnds_BW#'!$A:$Z,10,FALSE)+VLOOKUP($A188,A:AL,13,FALSE)-50))</f>
        <v>-</v>
      </c>
      <c r="O188" s="3">
        <f>VLOOKUP($A188,'NonXtal_SegEnds_BW#'!$A:$Z,11,FALSE)+VLOOKUP($A188,A:AL,16,FALSE)-50</f>
        <v>274</v>
      </c>
      <c r="P188" s="3">
        <v>306</v>
      </c>
      <c r="Q188" s="3">
        <f>VLOOKUP($A188,'NonXtal_SegEnds_BW#'!$A:$Z,12,FALSE)+VLOOKUP($A188,A:AL,16,FALSE)-50</f>
        <v>312</v>
      </c>
      <c r="R188" s="3" t="str">
        <f>IF(ISERROR(VLOOKUP($A188,'NonXtal_SegEnds_BW#'!$A:$Z,13,FALSE)+VLOOKUP($A188,A:AL,19,FALSE)-50),"-",VLOOKUP($A188,'NonXtal_SegEnds_BW#'!$A:$Z,13,FALSE)+VLOOKUP($A188,A:AL,19,FALSE)-50)</f>
        <v>-</v>
      </c>
      <c r="S188" s="3" t="s">
        <v>129</v>
      </c>
      <c r="T188" s="3" t="str">
        <f>IF(ISERROR(VLOOKUP($A188,'NonXtal_SegEnds_BW#'!$A:$Z,14,FALSE)+VLOOKUP($A188,A:AL,19,FALSE)-50),"-",(VLOOKUP($A188,'NonXtal_SegEnds_BW#'!$A:$Z,14,FALSE)+VLOOKUP($A188,A:AL,19,FALSE)-50))</f>
        <v>-</v>
      </c>
      <c r="U188" s="3">
        <f>IF(ISERROR(VLOOKUP($A188,'NonXtal_SegEnds_BW#'!$A:$Z,15,FALSE)+VLOOKUP($A188,A:AL,22,FALSE)-50),"-",VLOOKUP($A188,'NonXtal_SegEnds_BW#'!$A:$Z,15,FALSE)+VLOOKUP($A188,A:AL,22,FALSE)-50)</f>
        <v>319</v>
      </c>
      <c r="V188" s="3">
        <v>329</v>
      </c>
      <c r="W188" s="3">
        <f>IF(ISERROR(VLOOKUP($A188,'NonXtal_SegEnds_BW#'!$A:$Z,16,FALSE)+VLOOKUP($A188,A:AL,22,FALSE)-50),"-",(VLOOKUP($A188,'NonXtal_SegEnds_BW#'!$A:$Z,16,FALSE)+VLOOKUP($A188,A:AL,22,FALSE)-50))</f>
        <v>347</v>
      </c>
      <c r="X188" s="3">
        <f>IF(ISERROR(VLOOKUP($A188,'NonXtal_SegEnds_BW#'!$A:$Z,17,FALSE)+VLOOKUP($A188,A:AL,25,FALSE)-50),"-",(VLOOKUP($A188,'NonXtal_SegEnds_BW#'!$A:$Z,17,FALSE)+VLOOKUP($A188,A:AL,25,FALSE)-50))</f>
        <v>351</v>
      </c>
      <c r="Y188" s="3">
        <v>351</v>
      </c>
      <c r="Z188" s="3">
        <f t="shared" si="94"/>
        <v>353</v>
      </c>
      <c r="AA188" s="3">
        <f>IF(ISERROR(VLOOKUP($A188,'NonXtal_SegEnds_BW#'!$A:$Z,19,FALSE)+VLOOKUP($A188,A:AL,28,FALSE)-50),"-",(VLOOKUP($A188,'NonXtal_SegEnds_BW#'!$A:$Z,19,FALSE)+VLOOKUP($A188,A:AL,28,FALSE)-50))</f>
        <v>356</v>
      </c>
      <c r="AB188" s="3">
        <v>370</v>
      </c>
      <c r="AC188" s="3">
        <f>IF(ISERROR((VLOOKUP($A188,'NonXtal_SegEnds_BW#'!$A:$Z,20,FALSE)+VLOOKUP($A188,A:AL,28,FALSE)-50)),"-",(VLOOKUP($A188,'NonXtal_SegEnds_BW#'!$A:$Z,20,FALSE)+VLOOKUP($A188,A:AL,28,FALSE)-50))</f>
        <v>389</v>
      </c>
      <c r="AD188" s="3">
        <f>IF(ISERROR(VLOOKUP($A188,'NonXtal_SegEnds_BW#'!$A:$Z,21,FALSE)+VLOOKUP($A188,A:AL,31,FALSE)-50),"-",(VLOOKUP($A188,'NonXtal_SegEnds_BW#'!$A:$Z,21,FALSE)+VLOOKUP($A188,A:AL,31,FALSE)-50))</f>
        <v>398</v>
      </c>
      <c r="AE188" s="3">
        <v>423</v>
      </c>
      <c r="AF188" s="3">
        <f>IF(ISERROR((VLOOKUP($A188,'NonXtal_SegEnds_BW#'!$A:$Z,22,FALSE)+VLOOKUP($A188,A:AL,31,FALSE)-50)),"-",(VLOOKUP($A188,'NonXtal_SegEnds_BW#'!$A:$Z,22,FALSE)+VLOOKUP($A188,A:AL,31,FALSE)-50))</f>
        <v>426</v>
      </c>
      <c r="AG188" s="3">
        <f>IF(ISERROR(VLOOKUP($A188,'NonXtal_SegEnds_BW#'!$A:$Z,23,FALSE)+VLOOKUP($A188,A:AL,34,FALSE)-50),"-",(VLOOKUP($A188,'NonXtal_SegEnds_BW#'!$A:$Z,23,FALSE)+VLOOKUP($A188,A:AL,34,FALSE)-50))</f>
        <v>433</v>
      </c>
      <c r="AH188" s="3">
        <v>456</v>
      </c>
      <c r="AI188" s="3">
        <f>IF(ISERROR((VLOOKUP($A188,'NonXtal_SegEnds_BW#'!$A:$Z,24,FALSE)+VLOOKUP($A188,A:AL,34,FALSE)-50)),"-",(VLOOKUP($A188,'NonXtal_SegEnds_BW#'!$A:$Z,24,FALSE)+VLOOKUP($A188,A:AL,34,FALSE)-50))</f>
        <v>462</v>
      </c>
      <c r="AJ188" s="3">
        <f>IF(ISERROR(VLOOKUP($A188,'NonXtal_SegEnds_BW#'!$A:$Z,25,FALSE)+VLOOKUP($A188,A:AL,37,FALSE)-50),"-",(VLOOKUP($A188,'NonXtal_SegEnds_BW#'!$A:$Z,25,FALSE)+VLOOKUP($A188,A:AL,37,FALSE)-50))</f>
        <v>463</v>
      </c>
      <c r="AK188" s="3">
        <v>466</v>
      </c>
      <c r="AL188" s="3">
        <f>IF(ISERROR((VLOOKUP($A188,'NonXtal_SegEnds_BW#'!$A:$Z,26,FALSE)+VLOOKUP($A188,A:AL,37,FALSE)-50)),"-",(VLOOKUP($A188,'NonXtal_SegEnds_BW#'!$A:$Z,26,FALSE)+VLOOKUP($A188,A:AL,37,FALSE)-50))</f>
        <v>488</v>
      </c>
      <c r="AM188" s="71" t="str">
        <f>VLOOKUP(A188,Classification!A:B,2,FALSE)</f>
        <v>B1</v>
      </c>
      <c r="AN188" s="71" t="b">
        <f t="shared" si="69"/>
        <v>1</v>
      </c>
      <c r="AO188" s="3">
        <f t="shared" si="70"/>
        <v>1</v>
      </c>
      <c r="AP188" s="3">
        <f t="shared" si="71"/>
        <v>1</v>
      </c>
      <c r="AQ188" s="3" t="str">
        <f t="shared" si="72"/>
        <v>-</v>
      </c>
      <c r="AR188" s="3" t="str">
        <f t="shared" si="73"/>
        <v>-</v>
      </c>
      <c r="AS188" s="3" t="str">
        <f t="shared" si="74"/>
        <v>-</v>
      </c>
      <c r="AT188" s="3" t="str">
        <f t="shared" si="75"/>
        <v>-</v>
      </c>
      <c r="AU188" s="3">
        <f t="shared" si="76"/>
        <v>4</v>
      </c>
      <c r="AV188" s="3">
        <f t="shared" si="77"/>
        <v>3</v>
      </c>
      <c r="AW188" s="3">
        <f t="shared" si="78"/>
        <v>9</v>
      </c>
      <c r="AX188" s="3">
        <f t="shared" si="79"/>
        <v>7</v>
      </c>
      <c r="AY188" s="3">
        <f t="shared" si="80"/>
        <v>1</v>
      </c>
      <c r="AZ188" s="3">
        <f>IF(ISERROR(LEN(VLOOKUP(A188,Seqs!A:E,2,FALSE))-AL188),"-",LEN(VLOOKUP(A188,Seqs!A:E,2,FALSE))-AL188)</f>
        <v>105</v>
      </c>
      <c r="BA188" s="35">
        <f t="shared" si="81"/>
        <v>28</v>
      </c>
      <c r="BB188" s="3" t="str">
        <f t="shared" si="82"/>
        <v>-</v>
      </c>
      <c r="BC188" s="3">
        <f t="shared" si="83"/>
        <v>28</v>
      </c>
      <c r="BD188" s="3">
        <f t="shared" si="84"/>
        <v>53</v>
      </c>
    </row>
    <row r="189" spans="1:57" s="3" customFormat="1" x14ac:dyDescent="0.2">
      <c r="A189" s="3" t="s">
        <v>601</v>
      </c>
      <c r="B189" s="3" t="str">
        <f>LOWER(VLOOKUP(A189,Xtal_Templ!A:B,2,FALSE))</f>
        <v>glr_human</v>
      </c>
      <c r="C189" s="3">
        <f>VLOOKUP($A189,'NonXtal_SegEnds_BW#'!$A:$Z,3,FALSE)+D189-50</f>
        <v>162</v>
      </c>
      <c r="D189" s="3">
        <v>193</v>
      </c>
      <c r="E189" s="3">
        <f>IF(ISERROR(VLOOKUP($A189,'NonXtal_SegEnds_BW#'!$A:$Z,4,FALSE)+VLOOKUP($A189,A:AL,4,FALSE)-50),"-",(VLOOKUP($A189,'NonXtal_SegEnds_BW#'!$A:$Z,4,FALSE)+VLOOKUP($A189,A:AL,4,FALSE)-50))</f>
        <v>203</v>
      </c>
      <c r="F189" s="3">
        <f t="shared" si="100"/>
        <v>204</v>
      </c>
      <c r="G189" s="3">
        <v>206</v>
      </c>
      <c r="H189" s="3">
        <f t="shared" si="101"/>
        <v>207</v>
      </c>
      <c r="I189" s="3">
        <f t="shared" si="101"/>
        <v>208</v>
      </c>
      <c r="J189" s="3">
        <v>221</v>
      </c>
      <c r="K189" s="3">
        <f>VLOOKUP($A189,'NonXtal_SegEnds_BW#'!$A:$Z,8,FALSE)+VLOOKUP($A189,A:AL,10,FALSE)-50</f>
        <v>236</v>
      </c>
      <c r="L189" s="3" t="str">
        <f>IF(ISERROR(VLOOKUP($A189,'NonXtal_SegEnds_BW#'!$A:$Z,9,FALSE)+VLOOKUP($A189,A:AL,13,FALSE)-50),"-",(VLOOKUP($A189,'NonXtal_SegEnds_BW#'!$A:$Z,9,FALSE)+VLOOKUP($A189,A:AL,13,FALSE)-50))</f>
        <v>-</v>
      </c>
      <c r="M189" s="3" t="s">
        <v>129</v>
      </c>
      <c r="N189" s="3" t="str">
        <f>IF(ISERROR(VLOOKUP($A189,'NonXtal_SegEnds_BW#'!$A:$Z,10,FALSE)+VLOOKUP($A189,A:AL,13,FALSE)-50),"-",(VLOOKUP($A189,'NonXtal_SegEnds_BW#'!$A:$Z,10,FALSE)+VLOOKUP($A189,A:AL,13,FALSE)-50))</f>
        <v>-</v>
      </c>
      <c r="O189" s="3">
        <f>VLOOKUP($A189,'NonXtal_SegEnds_BW#'!$A:$Z,11,FALSE)+VLOOKUP($A189,A:AL,16,FALSE)-50</f>
        <v>253</v>
      </c>
      <c r="P189" s="3">
        <v>285</v>
      </c>
      <c r="Q189" s="3">
        <f>VLOOKUP($A189,'NonXtal_SegEnds_BW#'!$A:$Z,12,FALSE)+VLOOKUP($A189,A:AL,16,FALSE)-50</f>
        <v>291</v>
      </c>
      <c r="R189" s="3" t="str">
        <f>IF(ISERROR(VLOOKUP($A189,'NonXtal_SegEnds_BW#'!$A:$Z,13,FALSE)+VLOOKUP($A189,A:AL,19,FALSE)-50),"-",VLOOKUP($A189,'NonXtal_SegEnds_BW#'!$A:$Z,13,FALSE)+VLOOKUP($A189,A:AL,19,FALSE)-50)</f>
        <v>-</v>
      </c>
      <c r="S189" s="3" t="s">
        <v>129</v>
      </c>
      <c r="T189" s="3" t="str">
        <f>IF(ISERROR(VLOOKUP($A189,'NonXtal_SegEnds_BW#'!$A:$Z,14,FALSE)+VLOOKUP($A189,A:AL,19,FALSE)-50),"-",(VLOOKUP($A189,'NonXtal_SegEnds_BW#'!$A:$Z,14,FALSE)+VLOOKUP($A189,A:AL,19,FALSE)-50))</f>
        <v>-</v>
      </c>
      <c r="U189" s="3">
        <f>IF(ISERROR(VLOOKUP($A189,'NonXtal_SegEnds_BW#'!$A:$Z,15,FALSE)+VLOOKUP($A189,A:AL,22,FALSE)-50),"-",VLOOKUP($A189,'NonXtal_SegEnds_BW#'!$A:$Z,15,FALSE)+VLOOKUP($A189,A:AL,22,FALSE)-50)</f>
        <v>298</v>
      </c>
      <c r="V189" s="3">
        <v>308</v>
      </c>
      <c r="W189" s="3">
        <f>IF(ISERROR(VLOOKUP($A189,'NonXtal_SegEnds_BW#'!$A:$Z,16,FALSE)+VLOOKUP($A189,A:AL,22,FALSE)-50),"-",(VLOOKUP($A189,'NonXtal_SegEnds_BW#'!$A:$Z,16,FALSE)+VLOOKUP($A189,A:AL,22,FALSE)-50))</f>
        <v>326</v>
      </c>
      <c r="X189" s="3">
        <f>IF(ISERROR(VLOOKUP($A189,'NonXtal_SegEnds_BW#'!$A:$Z,17,FALSE)+VLOOKUP($A189,A:AL,25,FALSE)-50),"-",(VLOOKUP($A189,'NonXtal_SegEnds_BW#'!$A:$Z,17,FALSE)+VLOOKUP($A189,A:AL,25,FALSE)-50))</f>
        <v>330</v>
      </c>
      <c r="Y189" s="3">
        <v>330</v>
      </c>
      <c r="Z189" s="3">
        <f t="shared" si="94"/>
        <v>332</v>
      </c>
      <c r="AA189" s="3">
        <f>IF(ISERROR(VLOOKUP($A189,'NonXtal_SegEnds_BW#'!$A:$Z,19,FALSE)+VLOOKUP($A189,A:AL,28,FALSE)-50),"-",(VLOOKUP($A189,'NonXtal_SegEnds_BW#'!$A:$Z,19,FALSE)+VLOOKUP($A189,A:AL,28,FALSE)-50))</f>
        <v>336</v>
      </c>
      <c r="AB189" s="3">
        <v>350</v>
      </c>
      <c r="AC189" s="3">
        <f>IF(ISERROR((VLOOKUP($A189,'NonXtal_SegEnds_BW#'!$A:$Z,20,FALSE)+VLOOKUP($A189,A:AL,28,FALSE)-50)),"-",(VLOOKUP($A189,'NonXtal_SegEnds_BW#'!$A:$Z,20,FALSE)+VLOOKUP($A189,A:AL,28,FALSE)-50))</f>
        <v>371</v>
      </c>
      <c r="AD189" s="3">
        <f>IF(ISERROR(VLOOKUP($A189,'NonXtal_SegEnds_BW#'!$A:$Z,21,FALSE)+VLOOKUP($A189,A:AL,31,FALSE)-50),"-",(VLOOKUP($A189,'NonXtal_SegEnds_BW#'!$A:$Z,21,FALSE)+VLOOKUP($A189,A:AL,31,FALSE)-50))</f>
        <v>379</v>
      </c>
      <c r="AE189" s="3">
        <v>400</v>
      </c>
      <c r="AF189" s="3">
        <f>IF(ISERROR((VLOOKUP($A189,'NonXtal_SegEnds_BW#'!$A:$Z,22,FALSE)+VLOOKUP($A189,A:AL,31,FALSE)-50)),"-",(VLOOKUP($A189,'NonXtal_SegEnds_BW#'!$A:$Z,22,FALSE)+VLOOKUP($A189,A:AL,31,FALSE)-50))</f>
        <v>403</v>
      </c>
      <c r="AG189" s="3">
        <f>IF(ISERROR(VLOOKUP($A189,'NonXtal_SegEnds_BW#'!$A:$Z,23,FALSE)+VLOOKUP($A189,A:AL,34,FALSE)-50),"-",(VLOOKUP($A189,'NonXtal_SegEnds_BW#'!$A:$Z,23,FALSE)+VLOOKUP($A189,A:AL,34,FALSE)-50))</f>
        <v>410</v>
      </c>
      <c r="AH189" s="3">
        <v>433</v>
      </c>
      <c r="AI189" s="3">
        <f>IF(ISERROR((VLOOKUP($A189,'NonXtal_SegEnds_BW#'!$A:$Z,24,FALSE)+VLOOKUP($A189,A:AL,34,FALSE)-50)),"-",(VLOOKUP($A189,'NonXtal_SegEnds_BW#'!$A:$Z,24,FALSE)+VLOOKUP($A189,A:AL,34,FALSE)-50))</f>
        <v>439</v>
      </c>
      <c r="AJ189" s="3">
        <f>IF(ISERROR(VLOOKUP($A189,'NonXtal_SegEnds_BW#'!$A:$Z,25,FALSE)+VLOOKUP($A189,A:AL,37,FALSE)-50),"-",(VLOOKUP($A189,'NonXtal_SegEnds_BW#'!$A:$Z,25,FALSE)+VLOOKUP($A189,A:AL,37,FALSE)-50))</f>
        <v>440</v>
      </c>
      <c r="AK189" s="3">
        <v>443</v>
      </c>
      <c r="AL189" s="3">
        <f>IF(ISERROR((VLOOKUP($A189,'NonXtal_SegEnds_BW#'!$A:$Z,26,FALSE)+VLOOKUP($A189,A:AL,37,FALSE)-50)),"-",(VLOOKUP($A189,'NonXtal_SegEnds_BW#'!$A:$Z,26,FALSE)+VLOOKUP($A189,A:AL,37,FALSE)-50))</f>
        <v>465</v>
      </c>
      <c r="AM189" s="71" t="str">
        <f>VLOOKUP(A189,Classification!A:B,2,FALSE)</f>
        <v>B1</v>
      </c>
      <c r="AN189" s="71" t="b">
        <f t="shared" si="69"/>
        <v>1</v>
      </c>
      <c r="AO189" s="3">
        <f t="shared" si="70"/>
        <v>1</v>
      </c>
      <c r="AP189" s="3">
        <f t="shared" si="71"/>
        <v>1</v>
      </c>
      <c r="AQ189" s="3" t="str">
        <f t="shared" si="72"/>
        <v>-</v>
      </c>
      <c r="AR189" s="3" t="str">
        <f t="shared" si="73"/>
        <v>-</v>
      </c>
      <c r="AS189" s="3" t="str">
        <f t="shared" si="74"/>
        <v>-</v>
      </c>
      <c r="AT189" s="3" t="str">
        <f t="shared" si="75"/>
        <v>-</v>
      </c>
      <c r="AU189" s="3">
        <f t="shared" si="76"/>
        <v>4</v>
      </c>
      <c r="AV189" s="3">
        <f t="shared" si="77"/>
        <v>4</v>
      </c>
      <c r="AW189" s="3">
        <f t="shared" si="78"/>
        <v>8</v>
      </c>
      <c r="AX189" s="3">
        <f t="shared" si="79"/>
        <v>7</v>
      </c>
      <c r="AY189" s="3">
        <f t="shared" si="80"/>
        <v>1</v>
      </c>
      <c r="AZ189" s="3">
        <f>IF(ISERROR(LEN(VLOOKUP(A189,Seqs!A:E,2,FALSE))-AL189),"-",LEN(VLOOKUP(A189,Seqs!A:E,2,FALSE))-AL189)</f>
        <v>88</v>
      </c>
      <c r="BA189" s="35">
        <f t="shared" si="81"/>
        <v>28</v>
      </c>
      <c r="BB189" s="3" t="str">
        <f t="shared" si="82"/>
        <v>-</v>
      </c>
      <c r="BC189" s="3">
        <f t="shared" si="83"/>
        <v>28</v>
      </c>
      <c r="BD189" s="3">
        <f t="shared" si="84"/>
        <v>50</v>
      </c>
    </row>
    <row r="190" spans="1:57" s="3" customFormat="1" x14ac:dyDescent="0.2">
      <c r="A190" s="3" t="s">
        <v>604</v>
      </c>
      <c r="B190" s="3" t="str">
        <f>LOWER(VLOOKUP(A190,Xtal_Templ!A:B,2,FALSE))</f>
        <v>glr_human</v>
      </c>
      <c r="C190" s="3">
        <f>VLOOKUP($A190,'NonXtal_SegEnds_BW#'!$A:$Z,3,FALSE)+D190-50</f>
        <v>128</v>
      </c>
      <c r="D190" s="3">
        <v>159</v>
      </c>
      <c r="E190" s="3">
        <f>IF(ISERROR(VLOOKUP($A190,'NonXtal_SegEnds_BW#'!$A:$Z,4,FALSE)+VLOOKUP($A190,A:AL,4,FALSE)-50),"-",(VLOOKUP($A190,'NonXtal_SegEnds_BW#'!$A:$Z,4,FALSE)+VLOOKUP($A190,A:AL,4,FALSE)-50))</f>
        <v>169</v>
      </c>
      <c r="F190" s="3">
        <f t="shared" si="100"/>
        <v>170</v>
      </c>
      <c r="G190" s="3">
        <v>172</v>
      </c>
      <c r="H190" s="3">
        <f t="shared" si="101"/>
        <v>173</v>
      </c>
      <c r="I190" s="3">
        <f t="shared" si="101"/>
        <v>174</v>
      </c>
      <c r="J190" s="3">
        <v>187</v>
      </c>
      <c r="K190" s="3">
        <f>VLOOKUP($A190,'NonXtal_SegEnds_BW#'!$A:$Z,8,FALSE)+VLOOKUP($A190,A:AL,10,FALSE)-50</f>
        <v>202</v>
      </c>
      <c r="L190" s="3" t="str">
        <f>IF(ISERROR(VLOOKUP($A190,'NonXtal_SegEnds_BW#'!$A:$Z,9,FALSE)+VLOOKUP($A190,A:AL,13,FALSE)-50),"-",(VLOOKUP($A190,'NonXtal_SegEnds_BW#'!$A:$Z,9,FALSE)+VLOOKUP($A190,A:AL,13,FALSE)-50))</f>
        <v>-</v>
      </c>
      <c r="M190" s="3" t="s">
        <v>129</v>
      </c>
      <c r="N190" s="3" t="str">
        <f>IF(ISERROR(VLOOKUP($A190,'NonXtal_SegEnds_BW#'!$A:$Z,10,FALSE)+VLOOKUP($A190,A:AL,13,FALSE)-50),"-",(VLOOKUP($A190,'NonXtal_SegEnds_BW#'!$A:$Z,10,FALSE)+VLOOKUP($A190,A:AL,13,FALSE)-50))</f>
        <v>-</v>
      </c>
      <c r="O190" s="3">
        <f>VLOOKUP($A190,'NonXtal_SegEnds_BW#'!$A:$Z,11,FALSE)+VLOOKUP($A190,A:AL,16,FALSE)-50</f>
        <v>229</v>
      </c>
      <c r="P190" s="3">
        <v>261</v>
      </c>
      <c r="Q190" s="3">
        <f>VLOOKUP($A190,'NonXtal_SegEnds_BW#'!$A:$Z,12,FALSE)+VLOOKUP($A190,A:AL,16,FALSE)-50</f>
        <v>267</v>
      </c>
      <c r="R190" s="3" t="str">
        <f>IF(ISERROR(VLOOKUP($A190,'NonXtal_SegEnds_BW#'!$A:$Z,13,FALSE)+VLOOKUP($A190,A:AL,19,FALSE)-50),"-",VLOOKUP($A190,'NonXtal_SegEnds_BW#'!$A:$Z,13,FALSE)+VLOOKUP($A190,A:AL,19,FALSE)-50)</f>
        <v>-</v>
      </c>
      <c r="S190" s="3" t="s">
        <v>129</v>
      </c>
      <c r="T190" s="3" t="str">
        <f>IF(ISERROR(VLOOKUP($A190,'NonXtal_SegEnds_BW#'!$A:$Z,14,FALSE)+VLOOKUP($A190,A:AL,19,FALSE)-50),"-",(VLOOKUP($A190,'NonXtal_SegEnds_BW#'!$A:$Z,14,FALSE)+VLOOKUP($A190,A:AL,19,FALSE)-50))</f>
        <v>-</v>
      </c>
      <c r="U190" s="3">
        <f>IF(ISERROR(VLOOKUP($A190,'NonXtal_SegEnds_BW#'!$A:$Z,15,FALSE)+VLOOKUP($A190,A:AL,22,FALSE)-50),"-",VLOOKUP($A190,'NonXtal_SegEnds_BW#'!$A:$Z,15,FALSE)+VLOOKUP($A190,A:AL,22,FALSE)-50)</f>
        <v>274</v>
      </c>
      <c r="V190" s="3">
        <v>284</v>
      </c>
      <c r="W190" s="3">
        <f>IF(ISERROR(VLOOKUP($A190,'NonXtal_SegEnds_BW#'!$A:$Z,16,FALSE)+VLOOKUP($A190,A:AL,22,FALSE)-50),"-",(VLOOKUP($A190,'NonXtal_SegEnds_BW#'!$A:$Z,16,FALSE)+VLOOKUP($A190,A:AL,22,FALSE)-50))</f>
        <v>302</v>
      </c>
      <c r="X190" s="3">
        <f>IF(ISERROR(VLOOKUP($A190,'NonXtal_SegEnds_BW#'!$A:$Z,17,FALSE)+VLOOKUP($A190,A:AL,25,FALSE)-50),"-",(VLOOKUP($A190,'NonXtal_SegEnds_BW#'!$A:$Z,17,FALSE)+VLOOKUP($A190,A:AL,25,FALSE)-50))</f>
        <v>306</v>
      </c>
      <c r="Y190" s="3">
        <v>306</v>
      </c>
      <c r="Z190" s="3">
        <f t="shared" si="94"/>
        <v>308</v>
      </c>
      <c r="AA190" s="3">
        <f>IF(ISERROR(VLOOKUP($A190,'NonXtal_SegEnds_BW#'!$A:$Z,19,FALSE)+VLOOKUP($A190,A:AL,28,FALSE)-50),"-",(VLOOKUP($A190,'NonXtal_SegEnds_BW#'!$A:$Z,19,FALSE)+VLOOKUP($A190,A:AL,28,FALSE)-50))</f>
        <v>311</v>
      </c>
      <c r="AB190" s="3">
        <v>325</v>
      </c>
      <c r="AC190" s="3">
        <f>IF(ISERROR((VLOOKUP($A190,'NonXtal_SegEnds_BW#'!$A:$Z,20,FALSE)+VLOOKUP($A190,A:AL,28,FALSE)-50)),"-",(VLOOKUP($A190,'NonXtal_SegEnds_BW#'!$A:$Z,20,FALSE)+VLOOKUP($A190,A:AL,28,FALSE)-50))</f>
        <v>344</v>
      </c>
      <c r="AD190" s="3">
        <f>IF(ISERROR(VLOOKUP($A190,'NonXtal_SegEnds_BW#'!$A:$Z,21,FALSE)+VLOOKUP($A190,A:AL,31,FALSE)-50),"-",(VLOOKUP($A190,'NonXtal_SegEnds_BW#'!$A:$Z,21,FALSE)+VLOOKUP($A190,A:AL,31,FALSE)-50))</f>
        <v>353</v>
      </c>
      <c r="AE190" s="3">
        <v>378</v>
      </c>
      <c r="AF190" s="3">
        <f>IF(ISERROR((VLOOKUP($A190,'NonXtal_SegEnds_BW#'!$A:$Z,22,FALSE)+VLOOKUP($A190,A:AL,31,FALSE)-50)),"-",(VLOOKUP($A190,'NonXtal_SegEnds_BW#'!$A:$Z,22,FALSE)+VLOOKUP($A190,A:AL,31,FALSE)-50))</f>
        <v>381</v>
      </c>
      <c r="AG190" s="3">
        <f>IF(ISERROR(VLOOKUP($A190,'NonXtal_SegEnds_BW#'!$A:$Z,23,FALSE)+VLOOKUP($A190,A:AL,34,FALSE)-50),"-",(VLOOKUP($A190,'NonXtal_SegEnds_BW#'!$A:$Z,23,FALSE)+VLOOKUP($A190,A:AL,34,FALSE)-50))</f>
        <v>387</v>
      </c>
      <c r="AH190" s="3">
        <v>410</v>
      </c>
      <c r="AI190" s="3">
        <f>IF(ISERROR((VLOOKUP($A190,'NonXtal_SegEnds_BW#'!$A:$Z,24,FALSE)+VLOOKUP($A190,A:AL,34,FALSE)-50)),"-",(VLOOKUP($A190,'NonXtal_SegEnds_BW#'!$A:$Z,24,FALSE)+VLOOKUP($A190,A:AL,34,FALSE)-50))</f>
        <v>416</v>
      </c>
      <c r="AJ190" s="3">
        <f>IF(ISERROR(VLOOKUP($A190,'NonXtal_SegEnds_BW#'!$A:$Z,25,FALSE)+VLOOKUP($A190,A:AL,37,FALSE)-50),"-",(VLOOKUP($A190,'NonXtal_SegEnds_BW#'!$A:$Z,25,FALSE)+VLOOKUP($A190,A:AL,37,FALSE)-50))</f>
        <v>417</v>
      </c>
      <c r="AK190" s="3">
        <v>420</v>
      </c>
      <c r="AL190" s="3">
        <f>IF(ISERROR((VLOOKUP($A190,'NonXtal_SegEnds_BW#'!$A:$Z,26,FALSE)+VLOOKUP($A190,A:AL,37,FALSE)-50)),"-",(VLOOKUP($A190,'NonXtal_SegEnds_BW#'!$A:$Z,26,FALSE)+VLOOKUP($A190,A:AL,37,FALSE)-50))</f>
        <v>442</v>
      </c>
      <c r="AM190" s="71" t="str">
        <f>VLOOKUP(A190,Classification!A:B,2,FALSE)</f>
        <v>B1</v>
      </c>
      <c r="AN190" s="71" t="b">
        <f t="shared" si="69"/>
        <v>1</v>
      </c>
      <c r="AO190" s="3">
        <f t="shared" si="70"/>
        <v>1</v>
      </c>
      <c r="AP190" s="3">
        <f t="shared" si="71"/>
        <v>1</v>
      </c>
      <c r="AQ190" s="3" t="str">
        <f t="shared" si="72"/>
        <v>-</v>
      </c>
      <c r="AR190" s="3" t="str">
        <f t="shared" si="73"/>
        <v>-</v>
      </c>
      <c r="AS190" s="3" t="str">
        <f t="shared" si="74"/>
        <v>-</v>
      </c>
      <c r="AT190" s="3" t="str">
        <f t="shared" si="75"/>
        <v>-</v>
      </c>
      <c r="AU190" s="3">
        <f t="shared" si="76"/>
        <v>4</v>
      </c>
      <c r="AV190" s="3">
        <f t="shared" si="77"/>
        <v>3</v>
      </c>
      <c r="AW190" s="3">
        <f t="shared" si="78"/>
        <v>9</v>
      </c>
      <c r="AX190" s="3">
        <f t="shared" si="79"/>
        <v>6</v>
      </c>
      <c r="AY190" s="3">
        <f t="shared" si="80"/>
        <v>1</v>
      </c>
      <c r="AZ190" s="3">
        <f>IF(ISERROR(LEN(VLOOKUP(A190,Seqs!A:E,2,FALSE))-AL190),"-",LEN(VLOOKUP(A190,Seqs!A:E,2,FALSE))-AL190)</f>
        <v>108</v>
      </c>
      <c r="BA190" s="35">
        <f t="shared" si="81"/>
        <v>28</v>
      </c>
      <c r="BB190" s="3" t="str">
        <f t="shared" si="82"/>
        <v>-</v>
      </c>
      <c r="BC190" s="3">
        <f t="shared" si="83"/>
        <v>28</v>
      </c>
      <c r="BD190" s="3">
        <f t="shared" si="84"/>
        <v>53</v>
      </c>
    </row>
    <row r="191" spans="1:57" s="3" customFormat="1" x14ac:dyDescent="0.2">
      <c r="A191" s="3" t="s">
        <v>600</v>
      </c>
      <c r="B191" s="3" t="str">
        <f>LOWER(VLOOKUP(A191,Xtal_Templ!A:B,2,FALSE))</f>
        <v>glr_human</v>
      </c>
      <c r="C191" s="3">
        <f>VLOOKUP($A191,'NonXtal_SegEnds_BW#'!$A:$Z,3,FALSE)+D191-50</f>
        <v>128</v>
      </c>
      <c r="D191" s="3">
        <v>159</v>
      </c>
      <c r="E191" s="3">
        <f>IF(ISERROR(VLOOKUP($A191,'NonXtal_SegEnds_BW#'!$A:$Z,4,FALSE)+VLOOKUP($A191,A:AL,4,FALSE)-50),"-",(VLOOKUP($A191,'NonXtal_SegEnds_BW#'!$A:$Z,4,FALSE)+VLOOKUP($A191,A:AL,4,FALSE)-50))</f>
        <v>169</v>
      </c>
      <c r="F191" s="3">
        <f t="shared" si="100"/>
        <v>170</v>
      </c>
      <c r="G191" s="3">
        <v>172</v>
      </c>
      <c r="H191" s="3">
        <f t="shared" si="101"/>
        <v>173</v>
      </c>
      <c r="I191" s="3">
        <f t="shared" si="101"/>
        <v>174</v>
      </c>
      <c r="J191" s="3">
        <v>187</v>
      </c>
      <c r="K191" s="3">
        <f>VLOOKUP($A191,'NonXtal_SegEnds_BW#'!$A:$Z,8,FALSE)+VLOOKUP($A191,A:AL,10,FALSE)-50</f>
        <v>202</v>
      </c>
      <c r="L191" s="3" t="str">
        <f>IF(ISERROR(VLOOKUP($A191,'NonXtal_SegEnds_BW#'!$A:$Z,9,FALSE)+VLOOKUP($A191,A:AL,13,FALSE)-50),"-",(VLOOKUP($A191,'NonXtal_SegEnds_BW#'!$A:$Z,9,FALSE)+VLOOKUP($A191,A:AL,13,FALSE)-50))</f>
        <v>-</v>
      </c>
      <c r="M191" s="3" t="s">
        <v>129</v>
      </c>
      <c r="N191" s="3" t="str">
        <f>IF(ISERROR(VLOOKUP($A191,'NonXtal_SegEnds_BW#'!$A:$Z,10,FALSE)+VLOOKUP($A191,A:AL,13,FALSE)-50),"-",(VLOOKUP($A191,'NonXtal_SegEnds_BW#'!$A:$Z,10,FALSE)+VLOOKUP($A191,A:AL,13,FALSE)-50))</f>
        <v>-</v>
      </c>
      <c r="O191" s="3">
        <f>VLOOKUP($A191,'NonXtal_SegEnds_BW#'!$A:$Z,11,FALSE)+VLOOKUP($A191,A:AL,16,FALSE)-50</f>
        <v>219</v>
      </c>
      <c r="P191" s="3">
        <v>251</v>
      </c>
      <c r="Q191" s="3">
        <f>VLOOKUP($A191,'NonXtal_SegEnds_BW#'!$A:$Z,12,FALSE)+VLOOKUP($A191,A:AL,16,FALSE)-50</f>
        <v>257</v>
      </c>
      <c r="R191" s="3" t="str">
        <f>IF(ISERROR(VLOOKUP($A191,'NonXtal_SegEnds_BW#'!$A:$Z,13,FALSE)+VLOOKUP($A191,A:AL,19,FALSE)-50),"-",VLOOKUP($A191,'NonXtal_SegEnds_BW#'!$A:$Z,13,FALSE)+VLOOKUP($A191,A:AL,19,FALSE)-50)</f>
        <v>-</v>
      </c>
      <c r="S191" s="3" t="s">
        <v>129</v>
      </c>
      <c r="T191" s="3" t="str">
        <f>IF(ISERROR(VLOOKUP($A191,'NonXtal_SegEnds_BW#'!$A:$Z,14,FALSE)+VLOOKUP($A191,A:AL,19,FALSE)-50),"-",(VLOOKUP($A191,'NonXtal_SegEnds_BW#'!$A:$Z,14,FALSE)+VLOOKUP($A191,A:AL,19,FALSE)-50))</f>
        <v>-</v>
      </c>
      <c r="U191" s="3">
        <f>IF(ISERROR(VLOOKUP($A191,'NonXtal_SegEnds_BW#'!$A:$Z,15,FALSE)+VLOOKUP($A191,A:AL,22,FALSE)-50),"-",VLOOKUP($A191,'NonXtal_SegEnds_BW#'!$A:$Z,15,FALSE)+VLOOKUP($A191,A:AL,22,FALSE)-50)</f>
        <v>264</v>
      </c>
      <c r="V191" s="3">
        <v>274</v>
      </c>
      <c r="W191" s="3">
        <f>IF(ISERROR(VLOOKUP($A191,'NonXtal_SegEnds_BW#'!$A:$Z,16,FALSE)+VLOOKUP($A191,A:AL,22,FALSE)-50),"-",(VLOOKUP($A191,'NonXtal_SegEnds_BW#'!$A:$Z,16,FALSE)+VLOOKUP($A191,A:AL,22,FALSE)-50))</f>
        <v>292</v>
      </c>
      <c r="X191" s="3">
        <f>IF(ISERROR(VLOOKUP($A191,'NonXtal_SegEnds_BW#'!$A:$Z,17,FALSE)+VLOOKUP($A191,A:AL,25,FALSE)-50),"-",(VLOOKUP($A191,'NonXtal_SegEnds_BW#'!$A:$Z,17,FALSE)+VLOOKUP($A191,A:AL,25,FALSE)-50))</f>
        <v>296</v>
      </c>
      <c r="Y191" s="3">
        <v>296</v>
      </c>
      <c r="Z191" s="3">
        <f t="shared" si="94"/>
        <v>298</v>
      </c>
      <c r="AA191" s="3">
        <f>IF(ISERROR(VLOOKUP($A191,'NonXtal_SegEnds_BW#'!$A:$Z,19,FALSE)+VLOOKUP($A191,A:AL,28,FALSE)-50),"-",(VLOOKUP($A191,'NonXtal_SegEnds_BW#'!$A:$Z,19,FALSE)+VLOOKUP($A191,A:AL,28,FALSE)-50))</f>
        <v>302</v>
      </c>
      <c r="AB191" s="3">
        <v>316</v>
      </c>
      <c r="AC191" s="3">
        <f>IF(ISERROR((VLOOKUP($A191,'NonXtal_SegEnds_BW#'!$A:$Z,20,FALSE)+VLOOKUP($A191,A:AL,28,FALSE)-50)),"-",(VLOOKUP($A191,'NonXtal_SegEnds_BW#'!$A:$Z,20,FALSE)+VLOOKUP($A191,A:AL,28,FALSE)-50))</f>
        <v>337</v>
      </c>
      <c r="AD191" s="3">
        <f>IF(ISERROR(VLOOKUP($A191,'NonXtal_SegEnds_BW#'!$A:$Z,21,FALSE)+VLOOKUP($A191,A:AL,31,FALSE)-50),"-",(VLOOKUP($A191,'NonXtal_SegEnds_BW#'!$A:$Z,21,FALSE)+VLOOKUP($A191,A:AL,31,FALSE)-50))</f>
        <v>345</v>
      </c>
      <c r="AE191" s="3">
        <v>366</v>
      </c>
      <c r="AF191" s="3">
        <f>IF(ISERROR((VLOOKUP($A191,'NonXtal_SegEnds_BW#'!$A:$Z,22,FALSE)+VLOOKUP($A191,A:AL,31,FALSE)-50)),"-",(VLOOKUP($A191,'NonXtal_SegEnds_BW#'!$A:$Z,22,FALSE)+VLOOKUP($A191,A:AL,31,FALSE)-50))</f>
        <v>369</v>
      </c>
      <c r="AG191" s="3">
        <f>IF(ISERROR(VLOOKUP($A191,'NonXtal_SegEnds_BW#'!$A:$Z,23,FALSE)+VLOOKUP($A191,A:AL,34,FALSE)-50),"-",(VLOOKUP($A191,'NonXtal_SegEnds_BW#'!$A:$Z,23,FALSE)+VLOOKUP($A191,A:AL,34,FALSE)-50))</f>
        <v>376</v>
      </c>
      <c r="AH191" s="3">
        <v>399</v>
      </c>
      <c r="AI191" s="3">
        <f>IF(ISERROR((VLOOKUP($A191,'NonXtal_SegEnds_BW#'!$A:$Z,24,FALSE)+VLOOKUP($A191,A:AL,34,FALSE)-50)),"-",(VLOOKUP($A191,'NonXtal_SegEnds_BW#'!$A:$Z,24,FALSE)+VLOOKUP($A191,A:AL,34,FALSE)-50))</f>
        <v>405</v>
      </c>
      <c r="AJ191" s="3">
        <f>IF(ISERROR(VLOOKUP($A191,'NonXtal_SegEnds_BW#'!$A:$Z,25,FALSE)+VLOOKUP($A191,A:AL,37,FALSE)-50),"-",(VLOOKUP($A191,'NonXtal_SegEnds_BW#'!$A:$Z,25,FALSE)+VLOOKUP($A191,A:AL,37,FALSE)-50))</f>
        <v>406</v>
      </c>
      <c r="AK191" s="3">
        <v>409</v>
      </c>
      <c r="AL191" s="3">
        <f>IF(ISERROR((VLOOKUP($A191,'NonXtal_SegEnds_BW#'!$A:$Z,26,FALSE)+VLOOKUP($A191,A:AL,37,FALSE)-50)),"-",(VLOOKUP($A191,'NonXtal_SegEnds_BW#'!$A:$Z,26,FALSE)+VLOOKUP($A191,A:AL,37,FALSE)-50))</f>
        <v>431</v>
      </c>
      <c r="AM191" s="71" t="str">
        <f>VLOOKUP(A191,Classification!A:B,2,FALSE)</f>
        <v>B1</v>
      </c>
      <c r="AN191" s="71" t="b">
        <f t="shared" si="69"/>
        <v>1</v>
      </c>
      <c r="AO191" s="3">
        <f t="shared" si="70"/>
        <v>1</v>
      </c>
      <c r="AP191" s="3">
        <f t="shared" si="71"/>
        <v>1</v>
      </c>
      <c r="AQ191" s="3" t="str">
        <f t="shared" si="72"/>
        <v>-</v>
      </c>
      <c r="AR191" s="3" t="str">
        <f t="shared" si="73"/>
        <v>-</v>
      </c>
      <c r="AS191" s="3" t="str">
        <f t="shared" si="74"/>
        <v>-</v>
      </c>
      <c r="AT191" s="3" t="str">
        <f t="shared" si="75"/>
        <v>-</v>
      </c>
      <c r="AU191" s="3">
        <f t="shared" si="76"/>
        <v>4</v>
      </c>
      <c r="AV191" s="3">
        <f t="shared" si="77"/>
        <v>4</v>
      </c>
      <c r="AW191" s="3">
        <f t="shared" si="78"/>
        <v>8</v>
      </c>
      <c r="AX191" s="3">
        <f t="shared" si="79"/>
        <v>7</v>
      </c>
      <c r="AY191" s="3">
        <f t="shared" si="80"/>
        <v>1</v>
      </c>
      <c r="AZ191" s="3">
        <f>IF(ISERROR(LEN(VLOOKUP(A191,Seqs!A:E,2,FALSE))-AL191),"-",LEN(VLOOKUP(A191,Seqs!A:E,2,FALSE))-AL191)</f>
        <v>32</v>
      </c>
      <c r="BA191" s="35">
        <f t="shared" si="81"/>
        <v>28</v>
      </c>
      <c r="BB191" s="3" t="str">
        <f t="shared" si="82"/>
        <v>-</v>
      </c>
      <c r="BC191" s="3">
        <f t="shared" si="83"/>
        <v>28</v>
      </c>
      <c r="BD191" s="3">
        <f t="shared" si="84"/>
        <v>50</v>
      </c>
    </row>
    <row r="192" spans="1:57" s="3" customFormat="1" x14ac:dyDescent="0.2">
      <c r="A192" s="3" t="s">
        <v>602</v>
      </c>
      <c r="B192" s="3" t="str">
        <f>LOWER(VLOOKUP(A192,Xtal_Templ!A:B,2,FALSE))</f>
        <v>glr_human</v>
      </c>
      <c r="C192" s="3">
        <f>VLOOKUP($A192,'NonXtal_SegEnds_BW#'!$A:$Z,3,FALSE)+D192-50</f>
        <v>137</v>
      </c>
      <c r="D192" s="3">
        <v>168</v>
      </c>
      <c r="E192" s="3">
        <f>IF(ISERROR(VLOOKUP($A192,'NonXtal_SegEnds_BW#'!$A:$Z,4,FALSE)+VLOOKUP($A192,A:AL,4,FALSE)-50),"-",(VLOOKUP($A192,'NonXtal_SegEnds_BW#'!$A:$Z,4,FALSE)+VLOOKUP($A192,A:AL,4,FALSE)-50))</f>
        <v>178</v>
      </c>
      <c r="F192" s="3">
        <f t="shared" si="100"/>
        <v>179</v>
      </c>
      <c r="G192" s="3">
        <v>181</v>
      </c>
      <c r="H192" s="3">
        <f t="shared" si="101"/>
        <v>182</v>
      </c>
      <c r="I192" s="3">
        <f t="shared" si="101"/>
        <v>183</v>
      </c>
      <c r="J192" s="3">
        <v>196</v>
      </c>
      <c r="K192" s="3">
        <f>VLOOKUP($A192,'NonXtal_SegEnds_BW#'!$A:$Z,8,FALSE)+VLOOKUP($A192,A:AL,10,FALSE)-50</f>
        <v>209</v>
      </c>
      <c r="L192" s="3" t="str">
        <f>IF(ISERROR(VLOOKUP($A192,'NonXtal_SegEnds_BW#'!$A:$Z,9,FALSE)+VLOOKUP($A192,A:AL,13,FALSE)-50),"-",(VLOOKUP($A192,'NonXtal_SegEnds_BW#'!$A:$Z,9,FALSE)+VLOOKUP($A192,A:AL,13,FALSE)-50))</f>
        <v>-</v>
      </c>
      <c r="M192" s="3" t="s">
        <v>129</v>
      </c>
      <c r="N192" s="3" t="str">
        <f>IF(ISERROR(VLOOKUP($A192,'NonXtal_SegEnds_BW#'!$A:$Z,10,FALSE)+VLOOKUP($A192,A:AL,13,FALSE)-50),"-",(VLOOKUP($A192,'NonXtal_SegEnds_BW#'!$A:$Z,10,FALSE)+VLOOKUP($A192,A:AL,13,FALSE)-50))</f>
        <v>-</v>
      </c>
      <c r="O192" s="3">
        <f>VLOOKUP($A192,'NonXtal_SegEnds_BW#'!$A:$Z,11,FALSE)+VLOOKUP($A192,A:AL,16,FALSE)-50</f>
        <v>224</v>
      </c>
      <c r="P192" s="3">
        <v>251</v>
      </c>
      <c r="Q192" s="3">
        <f>VLOOKUP($A192,'NonXtal_SegEnds_BW#'!$A:$Z,12,FALSE)+VLOOKUP($A192,A:AL,16,FALSE)-50</f>
        <v>257</v>
      </c>
      <c r="R192" s="3" t="str">
        <f>IF(ISERROR(VLOOKUP($A192,'NonXtal_SegEnds_BW#'!$A:$Z,13,FALSE)+VLOOKUP($A192,A:AL,19,FALSE)-50),"-",VLOOKUP($A192,'NonXtal_SegEnds_BW#'!$A:$Z,13,FALSE)+VLOOKUP($A192,A:AL,19,FALSE)-50)</f>
        <v>-</v>
      </c>
      <c r="S192" s="3" t="s">
        <v>129</v>
      </c>
      <c r="T192" s="3" t="str">
        <f>IF(ISERROR(VLOOKUP($A192,'NonXtal_SegEnds_BW#'!$A:$Z,14,FALSE)+VLOOKUP($A192,A:AL,19,FALSE)-50),"-",(VLOOKUP($A192,'NonXtal_SegEnds_BW#'!$A:$Z,14,FALSE)+VLOOKUP($A192,A:AL,19,FALSE)-50))</f>
        <v>-</v>
      </c>
      <c r="U192" s="3">
        <f>IF(ISERROR(VLOOKUP($A192,'NonXtal_SegEnds_BW#'!$A:$Z,15,FALSE)+VLOOKUP($A192,A:AL,22,FALSE)-50),"-",VLOOKUP($A192,'NonXtal_SegEnds_BW#'!$A:$Z,15,FALSE)+VLOOKUP($A192,A:AL,22,FALSE)-50)</f>
        <v>264</v>
      </c>
      <c r="V192" s="3">
        <v>274</v>
      </c>
      <c r="W192" s="3">
        <f>IF(ISERROR(VLOOKUP($A192,'NonXtal_SegEnds_BW#'!$A:$Z,16,FALSE)+VLOOKUP($A192,A:AL,22,FALSE)-50),"-",(VLOOKUP($A192,'NonXtal_SegEnds_BW#'!$A:$Z,16,FALSE)+VLOOKUP($A192,A:AL,22,FALSE)-50))</f>
        <v>292</v>
      </c>
      <c r="X192" s="3">
        <f>IF(ISERROR(VLOOKUP($A192,'NonXtal_SegEnds_BW#'!$A:$Z,17,FALSE)+VLOOKUP($A192,A:AL,25,FALSE)-50),"-",(VLOOKUP($A192,'NonXtal_SegEnds_BW#'!$A:$Z,17,FALSE)+VLOOKUP($A192,A:AL,25,FALSE)-50))</f>
        <v>296</v>
      </c>
      <c r="Y192" s="3">
        <v>296</v>
      </c>
      <c r="Z192" s="3">
        <f t="shared" si="94"/>
        <v>298</v>
      </c>
      <c r="AA192" s="3">
        <f>IF(ISERROR(VLOOKUP($A192,'NonXtal_SegEnds_BW#'!$A:$Z,19,FALSE)+VLOOKUP($A192,A:AL,28,FALSE)-50),"-",(VLOOKUP($A192,'NonXtal_SegEnds_BW#'!$A:$Z,19,FALSE)+VLOOKUP($A192,A:AL,28,FALSE)-50))</f>
        <v>302</v>
      </c>
      <c r="AB192" s="3">
        <v>316</v>
      </c>
      <c r="AC192" s="3">
        <f>IF(ISERROR((VLOOKUP($A192,'NonXtal_SegEnds_BW#'!$A:$Z,20,FALSE)+VLOOKUP($A192,A:AL,28,FALSE)-50)),"-",(VLOOKUP($A192,'NonXtal_SegEnds_BW#'!$A:$Z,20,FALSE)+VLOOKUP($A192,A:AL,28,FALSE)-50))</f>
        <v>335</v>
      </c>
      <c r="AD192" s="3">
        <f>IF(ISERROR(VLOOKUP($A192,'NonXtal_SegEnds_BW#'!$A:$Z,21,FALSE)+VLOOKUP($A192,A:AL,31,FALSE)-50),"-",(VLOOKUP($A192,'NonXtal_SegEnds_BW#'!$A:$Z,21,FALSE)+VLOOKUP($A192,A:AL,31,FALSE)-50))</f>
        <v>343</v>
      </c>
      <c r="AE192" s="3">
        <v>368</v>
      </c>
      <c r="AF192" s="3">
        <f>IF(ISERROR((VLOOKUP($A192,'NonXtal_SegEnds_BW#'!$A:$Z,22,FALSE)+VLOOKUP($A192,A:AL,31,FALSE)-50)),"-",(VLOOKUP($A192,'NonXtal_SegEnds_BW#'!$A:$Z,22,FALSE)+VLOOKUP($A192,A:AL,31,FALSE)-50))</f>
        <v>371</v>
      </c>
      <c r="AG192" s="3">
        <f>IF(ISERROR(VLOOKUP($A192,'NonXtal_SegEnds_BW#'!$A:$Z,23,FALSE)+VLOOKUP($A192,A:AL,34,FALSE)-50),"-",(VLOOKUP($A192,'NonXtal_SegEnds_BW#'!$A:$Z,23,FALSE)+VLOOKUP($A192,A:AL,34,FALSE)-50))</f>
        <v>378</v>
      </c>
      <c r="AH192" s="3">
        <v>397</v>
      </c>
      <c r="AI192" s="3">
        <f>IF(ISERROR((VLOOKUP($A192,'NonXtal_SegEnds_BW#'!$A:$Z,24,FALSE)+VLOOKUP($A192,A:AL,34,FALSE)-50)),"-",(VLOOKUP($A192,'NonXtal_SegEnds_BW#'!$A:$Z,24,FALSE)+VLOOKUP($A192,A:AL,34,FALSE)-50))</f>
        <v>403</v>
      </c>
      <c r="AJ192" s="3">
        <f>IF(ISERROR(VLOOKUP($A192,'NonXtal_SegEnds_BW#'!$A:$Z,25,FALSE)+VLOOKUP($A192,A:AL,37,FALSE)-50),"-",(VLOOKUP($A192,'NonXtal_SegEnds_BW#'!$A:$Z,25,FALSE)+VLOOKUP($A192,A:AL,37,FALSE)-50))</f>
        <v>404</v>
      </c>
      <c r="AK192" s="3">
        <v>407</v>
      </c>
      <c r="AL192" s="3">
        <f>IF(ISERROR((VLOOKUP($A192,'NonXtal_SegEnds_BW#'!$A:$Z,26,FALSE)+VLOOKUP($A192,A:AL,37,FALSE)-50)),"-",(VLOOKUP($A192,'NonXtal_SegEnds_BW#'!$A:$Z,26,FALSE)+VLOOKUP($A192,A:AL,37,FALSE)-50))</f>
        <v>429</v>
      </c>
      <c r="AM192" s="71" t="str">
        <f>VLOOKUP(A192,Classification!A:B,2,FALSE)</f>
        <v>B1</v>
      </c>
      <c r="AN192" s="71" t="b">
        <f t="shared" si="69"/>
        <v>1</v>
      </c>
      <c r="AO192" s="3">
        <f t="shared" si="70"/>
        <v>1</v>
      </c>
      <c r="AP192" s="3">
        <f t="shared" si="71"/>
        <v>1</v>
      </c>
      <c r="AQ192" s="3" t="str">
        <f t="shared" si="72"/>
        <v>-</v>
      </c>
      <c r="AR192" s="3" t="str">
        <f t="shared" si="73"/>
        <v>-</v>
      </c>
      <c r="AS192" s="3" t="str">
        <f t="shared" si="74"/>
        <v>-</v>
      </c>
      <c r="AT192" s="3" t="str">
        <f t="shared" si="75"/>
        <v>-</v>
      </c>
      <c r="AU192" s="3">
        <f t="shared" si="76"/>
        <v>4</v>
      </c>
      <c r="AV192" s="3">
        <f t="shared" si="77"/>
        <v>4</v>
      </c>
      <c r="AW192" s="3">
        <f t="shared" si="78"/>
        <v>8</v>
      </c>
      <c r="AX192" s="3">
        <f t="shared" si="79"/>
        <v>7</v>
      </c>
      <c r="AY192" s="3">
        <f t="shared" si="80"/>
        <v>1</v>
      </c>
      <c r="AZ192" s="3">
        <f>IF(ISERROR(LEN(VLOOKUP(A192,Seqs!A:E,2,FALSE))-AL192),"-",LEN(VLOOKUP(A192,Seqs!A:E,2,FALSE))-AL192)</f>
        <v>39</v>
      </c>
      <c r="BA192" s="35">
        <f t="shared" si="81"/>
        <v>28</v>
      </c>
      <c r="BB192" s="3" t="str">
        <f t="shared" si="82"/>
        <v>-</v>
      </c>
      <c r="BC192" s="3">
        <f t="shared" si="83"/>
        <v>28</v>
      </c>
      <c r="BD192" s="3">
        <f t="shared" si="84"/>
        <v>52</v>
      </c>
    </row>
    <row r="193" spans="1:57" s="3" customFormat="1" x14ac:dyDescent="0.2">
      <c r="A193" s="3" t="s">
        <v>206</v>
      </c>
      <c r="B193" s="3" t="str">
        <f>LOWER(VLOOKUP(A193,Xtal_Templ!A:B,2,FALSE))</f>
        <v>glr_human</v>
      </c>
      <c r="C193" s="3">
        <f>VLOOKUP($A193,'NonXtal_SegEnds_BW#'!$A:$Z,3,FALSE)+D193-50</f>
        <v>125</v>
      </c>
      <c r="D193" s="3">
        <v>156</v>
      </c>
      <c r="E193" s="3">
        <f>IF(ISERROR(VLOOKUP($A193,'NonXtal_SegEnds_BW#'!$A:$Z,4,FALSE)+VLOOKUP($A193,A:AL,4,FALSE)-50),"-",(VLOOKUP($A193,'NonXtal_SegEnds_BW#'!$A:$Z,4,FALSE)+VLOOKUP($A193,A:AL,4,FALSE)-50))</f>
        <v>166</v>
      </c>
      <c r="F193" s="3">
        <f t="shared" si="100"/>
        <v>167</v>
      </c>
      <c r="G193" s="3">
        <v>169</v>
      </c>
      <c r="H193" s="3">
        <f t="shared" si="101"/>
        <v>170</v>
      </c>
      <c r="I193" s="3">
        <f t="shared" si="101"/>
        <v>171</v>
      </c>
      <c r="J193" s="3">
        <v>184</v>
      </c>
      <c r="K193" s="3">
        <f>VLOOKUP($A193,'NonXtal_SegEnds_BW#'!$A:$Z,8,FALSE)+VLOOKUP($A193,A:AL,10,FALSE)-50</f>
        <v>199</v>
      </c>
      <c r="L193" s="3" t="str">
        <f>IF(ISERROR(VLOOKUP($A193,'NonXtal_SegEnds_BW#'!$A:$Z,9,FALSE)+VLOOKUP($A193,A:AL,13,FALSE)-50),"-",(VLOOKUP($A193,'NonXtal_SegEnds_BW#'!$A:$Z,9,FALSE)+VLOOKUP($A193,A:AL,13,FALSE)-50))</f>
        <v>-</v>
      </c>
      <c r="M193" s="3" t="s">
        <v>129</v>
      </c>
      <c r="N193" s="3" t="str">
        <f>IF(ISERROR(VLOOKUP($A193,'NonXtal_SegEnds_BW#'!$A:$Z,10,FALSE)+VLOOKUP($A193,A:AL,13,FALSE)-50),"-",(VLOOKUP($A193,'NonXtal_SegEnds_BW#'!$A:$Z,10,FALSE)+VLOOKUP($A193,A:AL,13,FALSE)-50))</f>
        <v>-</v>
      </c>
      <c r="O193" s="3">
        <f>VLOOKUP($A193,'NonXtal_SegEnds_BW#'!$A:$Z,11,FALSE)+VLOOKUP($A193,A:AL,16,FALSE)-50</f>
        <v>217</v>
      </c>
      <c r="P193" s="3">
        <v>249</v>
      </c>
      <c r="Q193" s="3">
        <f>VLOOKUP($A193,'NonXtal_SegEnds_BW#'!$A:$Z,12,FALSE)+VLOOKUP($A193,A:AL,16,FALSE)-50</f>
        <v>255</v>
      </c>
      <c r="R193" s="3" t="str">
        <f>IF(ISERROR(VLOOKUP($A193,'NonXtal_SegEnds_BW#'!$A:$Z,13,FALSE)+VLOOKUP($A193,A:AL,19,FALSE)-50),"-",VLOOKUP($A193,'NonXtal_SegEnds_BW#'!$A:$Z,13,FALSE)+VLOOKUP($A193,A:AL,19,FALSE)-50)</f>
        <v>-</v>
      </c>
      <c r="S193" s="3" t="s">
        <v>129</v>
      </c>
      <c r="T193" s="3" t="str">
        <f>IF(ISERROR(VLOOKUP($A193,'NonXtal_SegEnds_BW#'!$A:$Z,14,FALSE)+VLOOKUP($A193,A:AL,19,FALSE)-50),"-",(VLOOKUP($A193,'NonXtal_SegEnds_BW#'!$A:$Z,14,FALSE)+VLOOKUP($A193,A:AL,19,FALSE)-50))</f>
        <v>-</v>
      </c>
      <c r="U193" s="3">
        <f>IF(ISERROR(VLOOKUP($A193,'NonXtal_SegEnds_BW#'!$A:$Z,15,FALSE)+VLOOKUP($A193,A:AL,22,FALSE)-50),"-",VLOOKUP($A193,'NonXtal_SegEnds_BW#'!$A:$Z,15,FALSE)+VLOOKUP($A193,A:AL,22,FALSE)-50)</f>
        <v>262</v>
      </c>
      <c r="V193" s="3">
        <v>272</v>
      </c>
      <c r="W193" s="3">
        <f>IF(ISERROR(VLOOKUP($A193,'NonXtal_SegEnds_BW#'!$A:$Z,16,FALSE)+VLOOKUP($A193,A:AL,22,FALSE)-50),"-",(VLOOKUP($A193,'NonXtal_SegEnds_BW#'!$A:$Z,16,FALSE)+VLOOKUP($A193,A:AL,22,FALSE)-50))</f>
        <v>290</v>
      </c>
      <c r="X193" s="3">
        <f>IF(ISERROR(VLOOKUP($A193,'NonXtal_SegEnds_BW#'!$A:$Z,17,FALSE)+VLOOKUP($A193,A:AL,25,FALSE)-50),"-",(VLOOKUP($A193,'NonXtal_SegEnds_BW#'!$A:$Z,17,FALSE)+VLOOKUP($A193,A:AL,25,FALSE)-50))</f>
        <v>294</v>
      </c>
      <c r="Y193" s="3">
        <v>294</v>
      </c>
      <c r="Z193" s="3">
        <f t="shared" si="94"/>
        <v>296</v>
      </c>
      <c r="AA193" s="3">
        <f>IF(ISERROR(VLOOKUP($A193,'NonXtal_SegEnds_BW#'!$A:$Z,19,FALSE)+VLOOKUP($A193,A:AL,28,FALSE)-50),"-",(VLOOKUP($A193,'NonXtal_SegEnds_BW#'!$A:$Z,19,FALSE)+VLOOKUP($A193,A:AL,28,FALSE)-50))</f>
        <v>300</v>
      </c>
      <c r="AB193" s="3">
        <v>314</v>
      </c>
      <c r="AC193" s="3">
        <f>IF(ISERROR((VLOOKUP($A193,'NonXtal_SegEnds_BW#'!$A:$Z,20,FALSE)+VLOOKUP($A193,A:AL,28,FALSE)-50)),"-",(VLOOKUP($A193,'NonXtal_SegEnds_BW#'!$A:$Z,20,FALSE)+VLOOKUP($A193,A:AL,28,FALSE)-50))</f>
        <v>335</v>
      </c>
      <c r="AD193" s="3">
        <f>IF(ISERROR(VLOOKUP($A193,'NonXtal_SegEnds_BW#'!$A:$Z,21,FALSE)+VLOOKUP($A193,A:AL,31,FALSE)-50),"-",(VLOOKUP($A193,'NonXtal_SegEnds_BW#'!$A:$Z,21,FALSE)+VLOOKUP($A193,A:AL,31,FALSE)-50))</f>
        <v>343</v>
      </c>
      <c r="AE193" s="3">
        <v>364</v>
      </c>
      <c r="AF193" s="3">
        <f>IF(ISERROR((VLOOKUP($A193,'NonXtal_SegEnds_BW#'!$A:$Z,22,FALSE)+VLOOKUP($A193,A:AL,31,FALSE)-50)),"-",(VLOOKUP($A193,'NonXtal_SegEnds_BW#'!$A:$Z,22,FALSE)+VLOOKUP($A193,A:AL,31,FALSE)-50))</f>
        <v>367</v>
      </c>
      <c r="AG193" s="3">
        <f>IF(ISERROR(VLOOKUP($A193,'NonXtal_SegEnds_BW#'!$A:$Z,23,FALSE)+VLOOKUP($A193,A:AL,34,FALSE)-50),"-",(VLOOKUP($A193,'NonXtal_SegEnds_BW#'!$A:$Z,23,FALSE)+VLOOKUP($A193,A:AL,34,FALSE)-50))</f>
        <v>374</v>
      </c>
      <c r="AH193" s="3">
        <v>397</v>
      </c>
      <c r="AI193" s="3">
        <f>IF(ISERROR((VLOOKUP($A193,'NonXtal_SegEnds_BW#'!$A:$Z,24,FALSE)+VLOOKUP($A193,A:AL,34,FALSE)-50)),"-",(VLOOKUP($A193,'NonXtal_SegEnds_BW#'!$A:$Z,24,FALSE)+VLOOKUP($A193,A:AL,34,FALSE)-50))</f>
        <v>403</v>
      </c>
      <c r="AJ193" s="3">
        <f>IF(ISERROR(VLOOKUP($A193,'NonXtal_SegEnds_BW#'!$A:$Z,25,FALSE)+VLOOKUP($A193,A:AL,37,FALSE)-50),"-",(VLOOKUP($A193,'NonXtal_SegEnds_BW#'!$A:$Z,25,FALSE)+VLOOKUP($A193,A:AL,37,FALSE)-50))</f>
        <v>404</v>
      </c>
      <c r="AK193" s="3">
        <v>407</v>
      </c>
      <c r="AL193" s="3">
        <f>IF(ISERROR((VLOOKUP($A193,'NonXtal_SegEnds_BW#'!$A:$Z,26,FALSE)+VLOOKUP($A193,A:AL,37,FALSE)-50)),"-",(VLOOKUP($A193,'NonXtal_SegEnds_BW#'!$A:$Z,26,FALSE)+VLOOKUP($A193,A:AL,37,FALSE)-50))</f>
        <v>429</v>
      </c>
      <c r="AM193" s="71" t="str">
        <f>VLOOKUP(A193,Classification!A:B,2,FALSE)</f>
        <v>B1</v>
      </c>
      <c r="AN193" s="71" t="b">
        <f t="shared" si="69"/>
        <v>1</v>
      </c>
      <c r="AO193" s="3">
        <f t="shared" si="70"/>
        <v>1</v>
      </c>
      <c r="AP193" s="3">
        <f t="shared" si="71"/>
        <v>1</v>
      </c>
      <c r="AQ193" s="3" t="str">
        <f t="shared" si="72"/>
        <v>-</v>
      </c>
      <c r="AR193" s="3" t="str">
        <f t="shared" si="73"/>
        <v>-</v>
      </c>
      <c r="AS193" s="3" t="str">
        <f t="shared" si="74"/>
        <v>-</v>
      </c>
      <c r="AT193" s="3" t="str">
        <f t="shared" si="75"/>
        <v>-</v>
      </c>
      <c r="AU193" s="3">
        <f t="shared" si="76"/>
        <v>4</v>
      </c>
      <c r="AV193" s="3">
        <f t="shared" si="77"/>
        <v>4</v>
      </c>
      <c r="AW193" s="3">
        <f t="shared" si="78"/>
        <v>8</v>
      </c>
      <c r="AX193" s="3">
        <f t="shared" si="79"/>
        <v>7</v>
      </c>
      <c r="AY193" s="3">
        <f t="shared" si="80"/>
        <v>1</v>
      </c>
      <c r="AZ193" s="3">
        <f>IF(ISERROR(LEN(VLOOKUP(A193,Seqs!A:E,2,FALSE))-AL193),"-",LEN(VLOOKUP(A193,Seqs!A:E,2,FALSE))-AL193)</f>
        <v>48</v>
      </c>
      <c r="BA193" s="35">
        <f t="shared" si="81"/>
        <v>28</v>
      </c>
      <c r="BB193" s="3" t="str">
        <f t="shared" si="82"/>
        <v>-</v>
      </c>
      <c r="BC193" s="3">
        <f t="shared" si="83"/>
        <v>28</v>
      </c>
      <c r="BD193" s="3">
        <f t="shared" si="84"/>
        <v>50</v>
      </c>
    </row>
    <row r="194" spans="1:57" s="3" customFormat="1" x14ac:dyDescent="0.2">
      <c r="A194" s="3" t="s">
        <v>599</v>
      </c>
      <c r="B194" s="3" t="str">
        <f>LOWER(VLOOKUP(A194,Xtal_Templ!A:B,2,FALSE))</f>
        <v>glr_human</v>
      </c>
      <c r="C194" s="3">
        <f>VLOOKUP($A194,'NonXtal_SegEnds_BW#'!$A:$Z,3,FALSE)+D194-50</f>
        <v>121</v>
      </c>
      <c r="D194" s="3">
        <v>152</v>
      </c>
      <c r="E194" s="3">
        <f>IF(ISERROR(VLOOKUP($A194,'NonXtal_SegEnds_BW#'!$A:$Z,4,FALSE)+VLOOKUP($A194,A:AL,4,FALSE)-50),"-",(VLOOKUP($A194,'NonXtal_SegEnds_BW#'!$A:$Z,4,FALSE)+VLOOKUP($A194,A:AL,4,FALSE)-50))</f>
        <v>162</v>
      </c>
      <c r="F194" s="3">
        <f t="shared" si="100"/>
        <v>163</v>
      </c>
      <c r="G194" s="3">
        <v>165</v>
      </c>
      <c r="H194" s="3">
        <f t="shared" si="101"/>
        <v>166</v>
      </c>
      <c r="I194" s="3">
        <f t="shared" si="101"/>
        <v>167</v>
      </c>
      <c r="J194" s="3">
        <v>180</v>
      </c>
      <c r="K194" s="3">
        <f>VLOOKUP($A194,'NonXtal_SegEnds_BW#'!$A:$Z,8,FALSE)+VLOOKUP($A194,A:AL,10,FALSE)-50</f>
        <v>195</v>
      </c>
      <c r="L194" s="3" t="str">
        <f>IF(ISERROR(VLOOKUP($A194,'NonXtal_SegEnds_BW#'!$A:$Z,9,FALSE)+VLOOKUP($A194,A:AL,13,FALSE)-50),"-",(VLOOKUP($A194,'NonXtal_SegEnds_BW#'!$A:$Z,9,FALSE)+VLOOKUP($A194,A:AL,13,FALSE)-50))</f>
        <v>-</v>
      </c>
      <c r="M194" s="3" t="s">
        <v>129</v>
      </c>
      <c r="N194" s="3" t="str">
        <f>IF(ISERROR(VLOOKUP($A194,'NonXtal_SegEnds_BW#'!$A:$Z,10,FALSE)+VLOOKUP($A194,A:AL,13,FALSE)-50),"-",(VLOOKUP($A194,'NonXtal_SegEnds_BW#'!$A:$Z,10,FALSE)+VLOOKUP($A194,A:AL,13,FALSE)-50))</f>
        <v>-</v>
      </c>
      <c r="O194" s="3">
        <f>VLOOKUP($A194,'NonXtal_SegEnds_BW#'!$A:$Z,11,FALSE)+VLOOKUP($A194,A:AL,16,FALSE)-50</f>
        <v>209</v>
      </c>
      <c r="P194" s="3">
        <v>241</v>
      </c>
      <c r="Q194" s="3">
        <f>VLOOKUP($A194,'NonXtal_SegEnds_BW#'!$A:$Z,12,FALSE)+VLOOKUP($A194,A:AL,16,FALSE)-50</f>
        <v>247</v>
      </c>
      <c r="R194" s="3" t="str">
        <f>IF(ISERROR(VLOOKUP($A194,'NonXtal_SegEnds_BW#'!$A:$Z,13,FALSE)+VLOOKUP($A194,A:AL,19,FALSE)-50),"-",VLOOKUP($A194,'NonXtal_SegEnds_BW#'!$A:$Z,13,FALSE)+VLOOKUP($A194,A:AL,19,FALSE)-50)</f>
        <v>-</v>
      </c>
      <c r="S194" s="3" t="s">
        <v>129</v>
      </c>
      <c r="T194" s="3" t="str">
        <f>IF(ISERROR(VLOOKUP($A194,'NonXtal_SegEnds_BW#'!$A:$Z,14,FALSE)+VLOOKUP($A194,A:AL,19,FALSE)-50),"-",(VLOOKUP($A194,'NonXtal_SegEnds_BW#'!$A:$Z,14,FALSE)+VLOOKUP($A194,A:AL,19,FALSE)-50))</f>
        <v>-</v>
      </c>
      <c r="U194" s="3">
        <f>IF(ISERROR(VLOOKUP($A194,'NonXtal_SegEnds_BW#'!$A:$Z,15,FALSE)+VLOOKUP($A194,A:AL,22,FALSE)-50),"-",VLOOKUP($A194,'NonXtal_SegEnds_BW#'!$A:$Z,15,FALSE)+VLOOKUP($A194,A:AL,22,FALSE)-50)</f>
        <v>254</v>
      </c>
      <c r="V194" s="3">
        <v>264</v>
      </c>
      <c r="W194" s="3">
        <f>IF(ISERROR(VLOOKUP($A194,'NonXtal_SegEnds_BW#'!$A:$Z,16,FALSE)+VLOOKUP($A194,A:AL,22,FALSE)-50),"-",(VLOOKUP($A194,'NonXtal_SegEnds_BW#'!$A:$Z,16,FALSE)+VLOOKUP($A194,A:AL,22,FALSE)-50))</f>
        <v>282</v>
      </c>
      <c r="X194" s="3">
        <f>IF(ISERROR(VLOOKUP($A194,'NonXtal_SegEnds_BW#'!$A:$Z,17,FALSE)+VLOOKUP($A194,A:AL,25,FALSE)-50),"-",(VLOOKUP($A194,'NonXtal_SegEnds_BW#'!$A:$Z,17,FALSE)+VLOOKUP($A194,A:AL,25,FALSE)-50))</f>
        <v>286</v>
      </c>
      <c r="Y194" s="3">
        <v>286</v>
      </c>
      <c r="Z194" s="3">
        <f t="shared" si="94"/>
        <v>288</v>
      </c>
      <c r="AA194" s="3">
        <f>IF(ISERROR(VLOOKUP($A194,'NonXtal_SegEnds_BW#'!$A:$Z,19,FALSE)+VLOOKUP($A194,A:AL,28,FALSE)-50),"-",(VLOOKUP($A194,'NonXtal_SegEnds_BW#'!$A:$Z,19,FALSE)+VLOOKUP($A194,A:AL,28,FALSE)-50))</f>
        <v>292</v>
      </c>
      <c r="AB194" s="3">
        <v>306</v>
      </c>
      <c r="AC194" s="3">
        <f>IF(ISERROR((VLOOKUP($A194,'NonXtal_SegEnds_BW#'!$A:$Z,20,FALSE)+VLOOKUP($A194,A:AL,28,FALSE)-50)),"-",(VLOOKUP($A194,'NonXtal_SegEnds_BW#'!$A:$Z,20,FALSE)+VLOOKUP($A194,A:AL,28,FALSE)-50))</f>
        <v>327</v>
      </c>
      <c r="AD194" s="3">
        <f>IF(ISERROR(VLOOKUP($A194,'NonXtal_SegEnds_BW#'!$A:$Z,21,FALSE)+VLOOKUP($A194,A:AL,31,FALSE)-50),"-",(VLOOKUP($A194,'NonXtal_SegEnds_BW#'!$A:$Z,21,FALSE)+VLOOKUP($A194,A:AL,31,FALSE)-50))</f>
        <v>335</v>
      </c>
      <c r="AE194" s="3">
        <v>356</v>
      </c>
      <c r="AF194" s="3">
        <f>IF(ISERROR((VLOOKUP($A194,'NonXtal_SegEnds_BW#'!$A:$Z,22,FALSE)+VLOOKUP($A194,A:AL,31,FALSE)-50)),"-",(VLOOKUP($A194,'NonXtal_SegEnds_BW#'!$A:$Z,22,FALSE)+VLOOKUP($A194,A:AL,31,FALSE)-50))</f>
        <v>359</v>
      </c>
      <c r="AG194" s="3">
        <f>IF(ISERROR(VLOOKUP($A194,'NonXtal_SegEnds_BW#'!$A:$Z,23,FALSE)+VLOOKUP($A194,A:AL,34,FALSE)-50),"-",(VLOOKUP($A194,'NonXtal_SegEnds_BW#'!$A:$Z,23,FALSE)+VLOOKUP($A194,A:AL,34,FALSE)-50))</f>
        <v>366</v>
      </c>
      <c r="AH194" s="3">
        <v>389</v>
      </c>
      <c r="AI194" s="3">
        <f>IF(ISERROR((VLOOKUP($A194,'NonXtal_SegEnds_BW#'!$A:$Z,24,FALSE)+VLOOKUP($A194,A:AL,34,FALSE)-50)),"-",(VLOOKUP($A194,'NonXtal_SegEnds_BW#'!$A:$Z,24,FALSE)+VLOOKUP($A194,A:AL,34,FALSE)-50))</f>
        <v>395</v>
      </c>
      <c r="AJ194" s="3">
        <f>IF(ISERROR(VLOOKUP($A194,'NonXtal_SegEnds_BW#'!$A:$Z,25,FALSE)+VLOOKUP($A194,A:AL,37,FALSE)-50),"-",(VLOOKUP($A194,'NonXtal_SegEnds_BW#'!$A:$Z,25,FALSE)+VLOOKUP($A194,A:AL,37,FALSE)-50))</f>
        <v>396</v>
      </c>
      <c r="AK194" s="3">
        <v>399</v>
      </c>
      <c r="AL194" s="3">
        <f>IF(ISERROR((VLOOKUP($A194,'NonXtal_SegEnds_BW#'!$A:$Z,26,FALSE)+VLOOKUP($A194,A:AL,37,FALSE)-50)),"-",(VLOOKUP($A194,'NonXtal_SegEnds_BW#'!$A:$Z,26,FALSE)+VLOOKUP($A194,A:AL,37,FALSE)-50))</f>
        <v>421</v>
      </c>
      <c r="AM194" s="71" t="str">
        <f>VLOOKUP(A194,Classification!A:B,2,FALSE)</f>
        <v>B1</v>
      </c>
      <c r="AN194" s="71" t="b">
        <f t="shared" ref="AN194:AN257" si="102">AND(C194&lt;E194,OR(E194&lt;F194,F194="-"),OR(F194&lt;H194,F194="-"),OR(H194&lt;I194,H194="-"),I194&lt;K194,OR(K194&lt;L194,L194="-"),OR(L194&lt;N194,L194="-"),OR(N194&lt;O194,N194="-"),O194&lt;Q194,OR(Q194&lt;R194,R194="-"),OR(R194&lt;T194,R194="-"),OR(T194&lt;U194,T194="-"),U194&lt;W194,OR(W194&lt;X194,X194="-"),OR(X194&lt;Z194,X194="-"),OR(Z194&lt;AA194,Z194="-"),AA194&lt;AC194,AC194&lt;AD194,AD194&lt;AF194,AF194&lt;AG194,AG194&lt;AI194,OR(AI194&lt;AJ194,AJ194="-"),OR(AJ194&lt;AL194,AJ194="-"))</f>
        <v>1</v>
      </c>
      <c r="AO194" s="3">
        <f t="shared" ref="AO194:AO257" si="103">IF(ISERROR(F194-E194),"-",F194-E194)</f>
        <v>1</v>
      </c>
      <c r="AP194" s="3">
        <f t="shared" ref="AP194:AP257" si="104">IF(ISERROR(I194-H194),"-",I194-H194)</f>
        <v>1</v>
      </c>
      <c r="AQ194" s="3" t="str">
        <f t="shared" ref="AQ194:AQ257" si="105">IF(ISERROR(L194-K194),"-",L194-K194)</f>
        <v>-</v>
      </c>
      <c r="AR194" s="3" t="str">
        <f t="shared" ref="AR194:AR257" si="106">IF(ISERROR(O194-N194),"-",O194-N194)</f>
        <v>-</v>
      </c>
      <c r="AS194" s="3" t="str">
        <f t="shared" ref="AS194:AS257" si="107">IF(ISERROR(R194-Q194),"-",R194-Q194)</f>
        <v>-</v>
      </c>
      <c r="AT194" s="3" t="str">
        <f t="shared" ref="AT194:AT257" si="108">IF(ISERROR(U194-T194),"-",U194-T194)</f>
        <v>-</v>
      </c>
      <c r="AU194" s="3">
        <f t="shared" ref="AU194:AU257" si="109">IF(ISERROR(X194-W194),"-",X194-W194)</f>
        <v>4</v>
      </c>
      <c r="AV194" s="3">
        <f t="shared" ref="AV194:AV257" si="110">IF(ISERROR(AA194-Z194),"-",AA194-Z194)</f>
        <v>4</v>
      </c>
      <c r="AW194" s="3">
        <f t="shared" ref="AW194:AW257" si="111">IF(ISERROR(AD194-AC194),"-",AD194-AC194)</f>
        <v>8</v>
      </c>
      <c r="AX194" s="3">
        <f t="shared" ref="AX194:AX257" si="112">IF(ISERROR(AG194-AF194),"-",AG194-AF194)</f>
        <v>7</v>
      </c>
      <c r="AY194" s="3">
        <f t="shared" ref="AY194:AY257" si="113">IF(ISERROR(AJ194-AI194),"-",AJ194-AI194)</f>
        <v>1</v>
      </c>
      <c r="AZ194" s="3">
        <f>IF(ISERROR(LEN(VLOOKUP(A194,Seqs!A:E,2,FALSE))-AL194),"-",LEN(VLOOKUP(A194,Seqs!A:E,2,FALSE))-AL194)</f>
        <v>45</v>
      </c>
      <c r="BA194" s="35">
        <f t="shared" ref="BA194:BA257" si="114">J194-D194</f>
        <v>28</v>
      </c>
      <c r="BB194" s="3" t="str">
        <f t="shared" ref="BB194:BB257" si="115">IF(ISERROR(V194-S194),"-",V194-S194)</f>
        <v>-</v>
      </c>
      <c r="BC194" s="3">
        <f t="shared" ref="BC194:BC257" si="116">J194-D194</f>
        <v>28</v>
      </c>
      <c r="BD194" s="3">
        <f t="shared" ref="BD194:BD257" si="117">AE194-AB194</f>
        <v>50</v>
      </c>
    </row>
    <row r="195" spans="1:57" s="3" customFormat="1" x14ac:dyDescent="0.2">
      <c r="A195" s="3" t="s">
        <v>605</v>
      </c>
      <c r="B195" s="3" t="str">
        <f>LOWER(VLOOKUP(A195,Xtal_Templ!A:B,2,FALSE))</f>
        <v>glr_human</v>
      </c>
      <c r="C195" s="3">
        <f>VLOOKUP($A195,'NonXtal_SegEnds_BW#'!$A:$Z,3,FALSE)+D195-50</f>
        <v>126</v>
      </c>
      <c r="D195" s="3">
        <v>157</v>
      </c>
      <c r="E195" s="3">
        <f>IF(ISERROR(VLOOKUP($A195,'NonXtal_SegEnds_BW#'!$A:$Z,4,FALSE)+VLOOKUP($A195,A:AL,4,FALSE)-50),"-",(VLOOKUP($A195,'NonXtal_SegEnds_BW#'!$A:$Z,4,FALSE)+VLOOKUP($A195,A:AL,4,FALSE)-50))</f>
        <v>167</v>
      </c>
      <c r="F195" s="3">
        <f t="shared" si="100"/>
        <v>168</v>
      </c>
      <c r="G195" s="3">
        <v>170</v>
      </c>
      <c r="H195" s="3">
        <f t="shared" si="101"/>
        <v>171</v>
      </c>
      <c r="I195" s="3">
        <f t="shared" si="101"/>
        <v>172</v>
      </c>
      <c r="J195" s="3">
        <v>185</v>
      </c>
      <c r="K195" s="3">
        <f>VLOOKUP($A195,'NonXtal_SegEnds_BW#'!$A:$Z,8,FALSE)+VLOOKUP($A195,A:AL,10,FALSE)-50</f>
        <v>198</v>
      </c>
      <c r="L195" s="3" t="str">
        <f>IF(ISERROR(VLOOKUP($A195,'NonXtal_SegEnds_BW#'!$A:$Z,9,FALSE)+VLOOKUP($A195,A:AL,13,FALSE)-50),"-",(VLOOKUP($A195,'NonXtal_SegEnds_BW#'!$A:$Z,9,FALSE)+VLOOKUP($A195,A:AL,13,FALSE)-50))</f>
        <v>-</v>
      </c>
      <c r="M195" s="3" t="s">
        <v>129</v>
      </c>
      <c r="N195" s="3" t="str">
        <f>IF(ISERROR(VLOOKUP($A195,'NonXtal_SegEnds_BW#'!$A:$Z,10,FALSE)+VLOOKUP($A195,A:AL,13,FALSE)-50),"-",(VLOOKUP($A195,'NonXtal_SegEnds_BW#'!$A:$Z,10,FALSE)+VLOOKUP($A195,A:AL,13,FALSE)-50))</f>
        <v>-</v>
      </c>
      <c r="O195" s="3">
        <f>VLOOKUP($A195,'NonXtal_SegEnds_BW#'!$A:$Z,11,FALSE)+VLOOKUP($A195,A:AL,16,FALSE)-50</f>
        <v>213</v>
      </c>
      <c r="P195" s="3">
        <v>240</v>
      </c>
      <c r="Q195" s="3">
        <f>VLOOKUP($A195,'NonXtal_SegEnds_BW#'!$A:$Z,12,FALSE)+VLOOKUP($A195,A:AL,16,FALSE)-50</f>
        <v>246</v>
      </c>
      <c r="R195" s="3" t="str">
        <f>IF(ISERROR(VLOOKUP($A195,'NonXtal_SegEnds_BW#'!$A:$Z,13,FALSE)+VLOOKUP($A195,A:AL,19,FALSE)-50),"-",VLOOKUP($A195,'NonXtal_SegEnds_BW#'!$A:$Z,13,FALSE)+VLOOKUP($A195,A:AL,19,FALSE)-50)</f>
        <v>-</v>
      </c>
      <c r="S195" s="3" t="s">
        <v>129</v>
      </c>
      <c r="T195" s="3" t="str">
        <f>IF(ISERROR(VLOOKUP($A195,'NonXtal_SegEnds_BW#'!$A:$Z,14,FALSE)+VLOOKUP($A195,A:AL,19,FALSE)-50),"-",(VLOOKUP($A195,'NonXtal_SegEnds_BW#'!$A:$Z,14,FALSE)+VLOOKUP($A195,A:AL,19,FALSE)-50))</f>
        <v>-</v>
      </c>
      <c r="U195" s="3">
        <f>IF(ISERROR(VLOOKUP($A195,'NonXtal_SegEnds_BW#'!$A:$Z,15,FALSE)+VLOOKUP($A195,A:AL,22,FALSE)-50),"-",VLOOKUP($A195,'NonXtal_SegEnds_BW#'!$A:$Z,15,FALSE)+VLOOKUP($A195,A:AL,22,FALSE)-50)</f>
        <v>253</v>
      </c>
      <c r="V195" s="3">
        <v>263</v>
      </c>
      <c r="W195" s="3">
        <f>IF(ISERROR(VLOOKUP($A195,'NonXtal_SegEnds_BW#'!$A:$Z,16,FALSE)+VLOOKUP($A195,A:AL,22,FALSE)-50),"-",(VLOOKUP($A195,'NonXtal_SegEnds_BW#'!$A:$Z,16,FALSE)+VLOOKUP($A195,A:AL,22,FALSE)-50))</f>
        <v>281</v>
      </c>
      <c r="X195" s="3">
        <f>IF(ISERROR(VLOOKUP($A195,'NonXtal_SegEnds_BW#'!$A:$Z,17,FALSE)+VLOOKUP($A195,A:AL,25,FALSE)-50),"-",(VLOOKUP($A195,'NonXtal_SegEnds_BW#'!$A:$Z,17,FALSE)+VLOOKUP($A195,A:AL,25,FALSE)-50))</f>
        <v>285</v>
      </c>
      <c r="Y195" s="3">
        <v>285</v>
      </c>
      <c r="Z195" s="3">
        <f t="shared" si="94"/>
        <v>287</v>
      </c>
      <c r="AA195" s="3">
        <f>IF(ISERROR(VLOOKUP($A195,'NonXtal_SegEnds_BW#'!$A:$Z,19,FALSE)+VLOOKUP($A195,A:AL,28,FALSE)-50),"-",(VLOOKUP($A195,'NonXtal_SegEnds_BW#'!$A:$Z,19,FALSE)+VLOOKUP($A195,A:AL,28,FALSE)-50))</f>
        <v>291</v>
      </c>
      <c r="AB195" s="3">
        <v>305</v>
      </c>
      <c r="AC195" s="3">
        <f>IF(ISERROR((VLOOKUP($A195,'NonXtal_SegEnds_BW#'!$A:$Z,20,FALSE)+VLOOKUP($A195,A:AL,28,FALSE)-50)),"-",(VLOOKUP($A195,'NonXtal_SegEnds_BW#'!$A:$Z,20,FALSE)+VLOOKUP($A195,A:AL,28,FALSE)-50))</f>
        <v>324</v>
      </c>
      <c r="AD195" s="3">
        <f>IF(ISERROR(VLOOKUP($A195,'NonXtal_SegEnds_BW#'!$A:$Z,21,FALSE)+VLOOKUP($A195,A:AL,31,FALSE)-50),"-",(VLOOKUP($A195,'NonXtal_SegEnds_BW#'!$A:$Z,21,FALSE)+VLOOKUP($A195,A:AL,31,FALSE)-50))</f>
        <v>332</v>
      </c>
      <c r="AE195" s="3">
        <v>357</v>
      </c>
      <c r="AF195" s="3">
        <f>IF(ISERROR((VLOOKUP($A195,'NonXtal_SegEnds_BW#'!$A:$Z,22,FALSE)+VLOOKUP($A195,A:AL,31,FALSE)-50)),"-",(VLOOKUP($A195,'NonXtal_SegEnds_BW#'!$A:$Z,22,FALSE)+VLOOKUP($A195,A:AL,31,FALSE)-50))</f>
        <v>360</v>
      </c>
      <c r="AG195" s="3">
        <f>IF(ISERROR(VLOOKUP($A195,'NonXtal_SegEnds_BW#'!$A:$Z,23,FALSE)+VLOOKUP($A195,A:AL,34,FALSE)-50),"-",(VLOOKUP($A195,'NonXtal_SegEnds_BW#'!$A:$Z,23,FALSE)+VLOOKUP($A195,A:AL,34,FALSE)-50))</f>
        <v>366</v>
      </c>
      <c r="AH195" s="3">
        <v>385</v>
      </c>
      <c r="AI195" s="3">
        <f>IF(ISERROR((VLOOKUP($A195,'NonXtal_SegEnds_BW#'!$A:$Z,24,FALSE)+VLOOKUP($A195,A:AL,34,FALSE)-50)),"-",(VLOOKUP($A195,'NonXtal_SegEnds_BW#'!$A:$Z,24,FALSE)+VLOOKUP($A195,A:AL,34,FALSE)-50))</f>
        <v>391</v>
      </c>
      <c r="AJ195" s="3">
        <f>IF(ISERROR(VLOOKUP($A195,'NonXtal_SegEnds_BW#'!$A:$Z,25,FALSE)+VLOOKUP($A195,A:AL,37,FALSE)-50),"-",(VLOOKUP($A195,'NonXtal_SegEnds_BW#'!$A:$Z,25,FALSE)+VLOOKUP($A195,A:AL,37,FALSE)-50))</f>
        <v>392</v>
      </c>
      <c r="AK195" s="3">
        <v>395</v>
      </c>
      <c r="AL195" s="3">
        <f>IF(ISERROR((VLOOKUP($A195,'NonXtal_SegEnds_BW#'!$A:$Z,26,FALSE)+VLOOKUP($A195,A:AL,37,FALSE)-50)),"-",(VLOOKUP($A195,'NonXtal_SegEnds_BW#'!$A:$Z,26,FALSE)+VLOOKUP($A195,A:AL,37,FALSE)-50))</f>
        <v>417</v>
      </c>
      <c r="AM195" s="71" t="str">
        <f>VLOOKUP(A195,Classification!A:B,2,FALSE)</f>
        <v>B1</v>
      </c>
      <c r="AN195" s="71" t="b">
        <f t="shared" si="102"/>
        <v>1</v>
      </c>
      <c r="AO195" s="3">
        <f t="shared" si="103"/>
        <v>1</v>
      </c>
      <c r="AP195" s="3">
        <f t="shared" si="104"/>
        <v>1</v>
      </c>
      <c r="AQ195" s="3" t="str">
        <f t="shared" si="105"/>
        <v>-</v>
      </c>
      <c r="AR195" s="3" t="str">
        <f t="shared" si="106"/>
        <v>-</v>
      </c>
      <c r="AS195" s="3" t="str">
        <f t="shared" si="107"/>
        <v>-</v>
      </c>
      <c r="AT195" s="3" t="str">
        <f t="shared" si="108"/>
        <v>-</v>
      </c>
      <c r="AU195" s="3">
        <f t="shared" si="109"/>
        <v>4</v>
      </c>
      <c r="AV195" s="3">
        <f t="shared" si="110"/>
        <v>4</v>
      </c>
      <c r="AW195" s="3">
        <f t="shared" si="111"/>
        <v>8</v>
      </c>
      <c r="AX195" s="3">
        <f t="shared" si="112"/>
        <v>6</v>
      </c>
      <c r="AY195" s="3">
        <f t="shared" si="113"/>
        <v>1</v>
      </c>
      <c r="AZ195" s="3">
        <f>IF(ISERROR(LEN(VLOOKUP(A195,Seqs!A:E,2,FALSE))-AL195),"-",LEN(VLOOKUP(A195,Seqs!A:E,2,FALSE))-AL195)</f>
        <v>23</v>
      </c>
      <c r="BA195" s="35">
        <f t="shared" si="114"/>
        <v>28</v>
      </c>
      <c r="BB195" s="3" t="str">
        <f t="shared" si="115"/>
        <v>-</v>
      </c>
      <c r="BC195" s="3">
        <f t="shared" si="116"/>
        <v>28</v>
      </c>
      <c r="BD195" s="3">
        <f t="shared" si="117"/>
        <v>52</v>
      </c>
      <c r="BE195" s="3">
        <f>AH195-AE195</f>
        <v>28</v>
      </c>
    </row>
    <row r="196" spans="1:57" s="3" customFormat="1" x14ac:dyDescent="0.2">
      <c r="A196" s="3" t="s">
        <v>606</v>
      </c>
      <c r="B196" s="3" t="str">
        <f>LOWER(VLOOKUP(A196,Xtal_Templ!A:B,2,FALSE))</f>
        <v>glr_human</v>
      </c>
      <c r="C196" s="3">
        <f>VLOOKUP($A196,'NonXtal_SegEnds_BW#'!$A:$Z,3,FALSE)+D196-50</f>
        <v>126</v>
      </c>
      <c r="D196" s="3">
        <v>157</v>
      </c>
      <c r="E196" s="3">
        <f>IF(ISERROR(VLOOKUP($A196,'NonXtal_SegEnds_BW#'!$A:$Z,4,FALSE)+VLOOKUP($A196,A:AL,4,FALSE)-50),"-",(VLOOKUP($A196,'NonXtal_SegEnds_BW#'!$A:$Z,4,FALSE)+VLOOKUP($A196,A:AL,4,FALSE)-50))</f>
        <v>167</v>
      </c>
      <c r="F196" s="3">
        <f t="shared" si="100"/>
        <v>168</v>
      </c>
      <c r="G196" s="3">
        <v>170</v>
      </c>
      <c r="H196" s="3">
        <f t="shared" si="101"/>
        <v>171</v>
      </c>
      <c r="I196" s="3">
        <f t="shared" si="101"/>
        <v>172</v>
      </c>
      <c r="J196" s="3">
        <v>185</v>
      </c>
      <c r="K196" s="3">
        <f>VLOOKUP($A196,'NonXtal_SegEnds_BW#'!$A:$Z,8,FALSE)+VLOOKUP($A196,A:AL,10,FALSE)-50</f>
        <v>198</v>
      </c>
      <c r="L196" s="3" t="str">
        <f>IF(ISERROR(VLOOKUP($A196,'NonXtal_SegEnds_BW#'!$A:$Z,9,FALSE)+VLOOKUP($A196,A:AL,13,FALSE)-50),"-",(VLOOKUP($A196,'NonXtal_SegEnds_BW#'!$A:$Z,9,FALSE)+VLOOKUP($A196,A:AL,13,FALSE)-50))</f>
        <v>-</v>
      </c>
      <c r="M196" s="3" t="s">
        <v>129</v>
      </c>
      <c r="N196" s="3" t="str">
        <f>IF(ISERROR(VLOOKUP($A196,'NonXtal_SegEnds_BW#'!$A:$Z,10,FALSE)+VLOOKUP($A196,A:AL,13,FALSE)-50),"-",(VLOOKUP($A196,'NonXtal_SegEnds_BW#'!$A:$Z,10,FALSE)+VLOOKUP($A196,A:AL,13,FALSE)-50))</f>
        <v>-</v>
      </c>
      <c r="O196" s="3">
        <f>VLOOKUP($A196,'NonXtal_SegEnds_BW#'!$A:$Z,11,FALSE)+VLOOKUP($A196,A:AL,16,FALSE)-50</f>
        <v>213</v>
      </c>
      <c r="P196" s="3">
        <v>240</v>
      </c>
      <c r="Q196" s="3">
        <f>VLOOKUP($A196,'NonXtal_SegEnds_BW#'!$A:$Z,12,FALSE)+VLOOKUP($A196,A:AL,16,FALSE)-50</f>
        <v>246</v>
      </c>
      <c r="R196" s="3" t="str">
        <f>IF(ISERROR(VLOOKUP($A196,'NonXtal_SegEnds_BW#'!$A:$Z,13,FALSE)+VLOOKUP($A196,A:AL,19,FALSE)-50),"-",VLOOKUP($A196,'NonXtal_SegEnds_BW#'!$A:$Z,13,FALSE)+VLOOKUP($A196,A:AL,19,FALSE)-50)</f>
        <v>-</v>
      </c>
      <c r="S196" s="3" t="s">
        <v>129</v>
      </c>
      <c r="T196" s="3" t="str">
        <f>IF(ISERROR(VLOOKUP($A196,'NonXtal_SegEnds_BW#'!$A:$Z,14,FALSE)+VLOOKUP($A196,A:AL,19,FALSE)-50),"-",(VLOOKUP($A196,'NonXtal_SegEnds_BW#'!$A:$Z,14,FALSE)+VLOOKUP($A196,A:AL,19,FALSE)-50))</f>
        <v>-</v>
      </c>
      <c r="U196" s="3">
        <f>IF(ISERROR(VLOOKUP($A196,'NonXtal_SegEnds_BW#'!$A:$Z,15,FALSE)+VLOOKUP($A196,A:AL,22,FALSE)-50),"-",VLOOKUP($A196,'NonXtal_SegEnds_BW#'!$A:$Z,15,FALSE)+VLOOKUP($A196,A:AL,22,FALSE)-50)</f>
        <v>253</v>
      </c>
      <c r="V196" s="3">
        <v>263</v>
      </c>
      <c r="W196" s="3">
        <f>IF(ISERROR(VLOOKUP($A196,'NonXtal_SegEnds_BW#'!$A:$Z,16,FALSE)+VLOOKUP($A196,A:AL,22,FALSE)-50),"-",(VLOOKUP($A196,'NonXtal_SegEnds_BW#'!$A:$Z,16,FALSE)+VLOOKUP($A196,A:AL,22,FALSE)-50))</f>
        <v>281</v>
      </c>
      <c r="X196" s="3">
        <f>IF(ISERROR(VLOOKUP($A196,'NonXtal_SegEnds_BW#'!$A:$Z,17,FALSE)+VLOOKUP($A196,A:AL,25,FALSE)-50),"-",(VLOOKUP($A196,'NonXtal_SegEnds_BW#'!$A:$Z,17,FALSE)+VLOOKUP($A196,A:AL,25,FALSE)-50))</f>
        <v>285</v>
      </c>
      <c r="Y196" s="3">
        <v>285</v>
      </c>
      <c r="Z196" s="3">
        <f t="shared" si="94"/>
        <v>287</v>
      </c>
      <c r="AA196" s="3">
        <f>IF(ISERROR(VLOOKUP($A196,'NonXtal_SegEnds_BW#'!$A:$Z,19,FALSE)+VLOOKUP($A196,A:AL,28,FALSE)-50),"-",(VLOOKUP($A196,'NonXtal_SegEnds_BW#'!$A:$Z,19,FALSE)+VLOOKUP($A196,A:AL,28,FALSE)-50))</f>
        <v>290</v>
      </c>
      <c r="AB196" s="3">
        <v>304</v>
      </c>
      <c r="AC196" s="3">
        <f>IF(ISERROR((VLOOKUP($A196,'NonXtal_SegEnds_BW#'!$A:$Z,20,FALSE)+VLOOKUP($A196,A:AL,28,FALSE)-50)),"-",(VLOOKUP($A196,'NonXtal_SegEnds_BW#'!$A:$Z,20,FALSE)+VLOOKUP($A196,A:AL,28,FALSE)-50))</f>
        <v>323</v>
      </c>
      <c r="AD196" s="3">
        <f>IF(ISERROR(VLOOKUP($A196,'NonXtal_SegEnds_BW#'!$A:$Z,21,FALSE)+VLOOKUP($A196,A:AL,31,FALSE)-50),"-",(VLOOKUP($A196,'NonXtal_SegEnds_BW#'!$A:$Z,21,FALSE)+VLOOKUP($A196,A:AL,31,FALSE)-50))</f>
        <v>331</v>
      </c>
      <c r="AE196" s="3">
        <v>356</v>
      </c>
      <c r="AF196" s="3">
        <f>IF(ISERROR((VLOOKUP($A196,'NonXtal_SegEnds_BW#'!$A:$Z,22,FALSE)+VLOOKUP($A196,A:AL,31,FALSE)-50)),"-",(VLOOKUP($A196,'NonXtal_SegEnds_BW#'!$A:$Z,22,FALSE)+VLOOKUP($A196,A:AL,31,FALSE)-50))</f>
        <v>359</v>
      </c>
      <c r="AG196" s="3">
        <f>IF(ISERROR(VLOOKUP($A196,'NonXtal_SegEnds_BW#'!$A:$Z,23,FALSE)+VLOOKUP($A196,A:AL,34,FALSE)-50),"-",(VLOOKUP($A196,'NonXtal_SegEnds_BW#'!$A:$Z,23,FALSE)+VLOOKUP($A196,A:AL,34,FALSE)-50))</f>
        <v>366</v>
      </c>
      <c r="AH196" s="3">
        <v>385</v>
      </c>
      <c r="AI196" s="3">
        <f>IF(ISERROR((VLOOKUP($A196,'NonXtal_SegEnds_BW#'!$A:$Z,24,FALSE)+VLOOKUP($A196,A:AL,34,FALSE)-50)),"-",(VLOOKUP($A196,'NonXtal_SegEnds_BW#'!$A:$Z,24,FALSE)+VLOOKUP($A196,A:AL,34,FALSE)-50))</f>
        <v>391</v>
      </c>
      <c r="AJ196" s="3">
        <f>IF(ISERROR(VLOOKUP($A196,'NonXtal_SegEnds_BW#'!$A:$Z,25,FALSE)+VLOOKUP($A196,A:AL,37,FALSE)-50),"-",(VLOOKUP($A196,'NonXtal_SegEnds_BW#'!$A:$Z,25,FALSE)+VLOOKUP($A196,A:AL,37,FALSE)-50))</f>
        <v>392</v>
      </c>
      <c r="AK196" s="3">
        <v>395</v>
      </c>
      <c r="AL196" s="3">
        <f>IF(ISERROR((VLOOKUP($A196,'NonXtal_SegEnds_BW#'!$A:$Z,26,FALSE)+VLOOKUP($A196,A:AL,37,FALSE)-50)),"-",(VLOOKUP($A196,'NonXtal_SegEnds_BW#'!$A:$Z,26,FALSE)+VLOOKUP($A196,A:AL,37,FALSE)-50))</f>
        <v>417</v>
      </c>
      <c r="AM196" s="71" t="str">
        <f>VLOOKUP(A196,Classification!A:B,2,FALSE)</f>
        <v>B1</v>
      </c>
      <c r="AN196" s="71" t="b">
        <f t="shared" si="102"/>
        <v>1</v>
      </c>
      <c r="AO196" s="3">
        <f t="shared" si="103"/>
        <v>1</v>
      </c>
      <c r="AP196" s="3">
        <f t="shared" si="104"/>
        <v>1</v>
      </c>
      <c r="AQ196" s="3" t="str">
        <f t="shared" si="105"/>
        <v>-</v>
      </c>
      <c r="AR196" s="3" t="str">
        <f t="shared" si="106"/>
        <v>-</v>
      </c>
      <c r="AS196" s="3" t="str">
        <f t="shared" si="107"/>
        <v>-</v>
      </c>
      <c r="AT196" s="3" t="str">
        <f t="shared" si="108"/>
        <v>-</v>
      </c>
      <c r="AU196" s="3">
        <f t="shared" si="109"/>
        <v>4</v>
      </c>
      <c r="AV196" s="3">
        <f t="shared" si="110"/>
        <v>3</v>
      </c>
      <c r="AW196" s="3">
        <f t="shared" si="111"/>
        <v>8</v>
      </c>
      <c r="AX196" s="3">
        <f t="shared" si="112"/>
        <v>7</v>
      </c>
      <c r="AY196" s="3">
        <f t="shared" si="113"/>
        <v>1</v>
      </c>
      <c r="AZ196" s="3">
        <f>IF(ISERROR(LEN(VLOOKUP(A196,Seqs!A:E,2,FALSE))-AL196),"-",LEN(VLOOKUP(A196,Seqs!A:E,2,FALSE))-AL196)</f>
        <v>40</v>
      </c>
      <c r="BA196" s="35">
        <f t="shared" si="114"/>
        <v>28</v>
      </c>
      <c r="BB196" s="3" t="str">
        <f t="shared" si="115"/>
        <v>-</v>
      </c>
      <c r="BC196" s="3">
        <f t="shared" si="116"/>
        <v>28</v>
      </c>
      <c r="BD196" s="3">
        <f t="shared" si="117"/>
        <v>52</v>
      </c>
    </row>
    <row r="197" spans="1:57" s="3" customFormat="1" x14ac:dyDescent="0.2">
      <c r="A197" s="3" t="s">
        <v>598</v>
      </c>
      <c r="B197" s="3" t="str">
        <f>LOWER(VLOOKUP(A197,Xtal_Templ!A:B,2,FALSE))</f>
        <v>glr_human</v>
      </c>
      <c r="C197" s="3">
        <f>VLOOKUP($A197,'NonXtal_SegEnds_BW#'!$A:$Z,3,FALSE)+D197-50</f>
        <v>113</v>
      </c>
      <c r="D197" s="3">
        <v>144</v>
      </c>
      <c r="E197" s="3">
        <f>IF(ISERROR(VLOOKUP($A197,'NonXtal_SegEnds_BW#'!$A:$Z,4,FALSE)+VLOOKUP($A197,A:AL,4,FALSE)-50),"-",(VLOOKUP($A197,'NonXtal_SegEnds_BW#'!$A:$Z,4,FALSE)+VLOOKUP($A197,A:AL,4,FALSE)-50))</f>
        <v>154</v>
      </c>
      <c r="F197" s="3">
        <f t="shared" si="100"/>
        <v>155</v>
      </c>
      <c r="G197" s="3">
        <v>157</v>
      </c>
      <c r="H197" s="3">
        <f t="shared" si="101"/>
        <v>158</v>
      </c>
      <c r="I197" s="3">
        <f t="shared" si="101"/>
        <v>159</v>
      </c>
      <c r="J197" s="3">
        <v>172</v>
      </c>
      <c r="K197" s="3">
        <f>VLOOKUP($A197,'NonXtal_SegEnds_BW#'!$A:$Z,8,FALSE)+VLOOKUP($A197,A:AL,10,FALSE)-50</f>
        <v>185</v>
      </c>
      <c r="L197" s="3" t="str">
        <f>IF(ISERROR(VLOOKUP($A197,'NonXtal_SegEnds_BW#'!$A:$Z,9,FALSE)+VLOOKUP($A197,A:AL,13,FALSE)-50),"-",(VLOOKUP($A197,'NonXtal_SegEnds_BW#'!$A:$Z,9,FALSE)+VLOOKUP($A197,A:AL,13,FALSE)-50))</f>
        <v>-</v>
      </c>
      <c r="M197" s="3" t="s">
        <v>129</v>
      </c>
      <c r="N197" s="3" t="str">
        <f>IF(ISERROR(VLOOKUP($A197,'NonXtal_SegEnds_BW#'!$A:$Z,10,FALSE)+VLOOKUP($A197,A:AL,13,FALSE)-50),"-",(VLOOKUP($A197,'NonXtal_SegEnds_BW#'!$A:$Z,10,FALSE)+VLOOKUP($A197,A:AL,13,FALSE)-50))</f>
        <v>-</v>
      </c>
      <c r="O197" s="3">
        <f>VLOOKUP($A197,'NonXtal_SegEnds_BW#'!$A:$Z,11,FALSE)+VLOOKUP($A197,A:AL,16,FALSE)-50</f>
        <v>200</v>
      </c>
      <c r="P197" s="3">
        <v>227</v>
      </c>
      <c r="Q197" s="3">
        <f>VLOOKUP($A197,'NonXtal_SegEnds_BW#'!$A:$Z,12,FALSE)+VLOOKUP($A197,A:AL,16,FALSE)-50</f>
        <v>233</v>
      </c>
      <c r="R197" s="3" t="str">
        <f>IF(ISERROR(VLOOKUP($A197,'NonXtal_SegEnds_BW#'!$A:$Z,13,FALSE)+VLOOKUP($A197,A:AL,19,FALSE)-50),"-",VLOOKUP($A197,'NonXtal_SegEnds_BW#'!$A:$Z,13,FALSE)+VLOOKUP($A197,A:AL,19,FALSE)-50)</f>
        <v>-</v>
      </c>
      <c r="S197" s="3" t="s">
        <v>129</v>
      </c>
      <c r="T197" s="3" t="str">
        <f>IF(ISERROR(VLOOKUP($A197,'NonXtal_SegEnds_BW#'!$A:$Z,14,FALSE)+VLOOKUP($A197,A:AL,19,FALSE)-50),"-",(VLOOKUP($A197,'NonXtal_SegEnds_BW#'!$A:$Z,14,FALSE)+VLOOKUP($A197,A:AL,19,FALSE)-50))</f>
        <v>-</v>
      </c>
      <c r="U197" s="3">
        <f>IF(ISERROR(VLOOKUP($A197,'NonXtal_SegEnds_BW#'!$A:$Z,15,FALSE)+VLOOKUP($A197,A:AL,22,FALSE)-50),"-",VLOOKUP($A197,'NonXtal_SegEnds_BW#'!$A:$Z,15,FALSE)+VLOOKUP($A197,A:AL,22,FALSE)-50)</f>
        <v>240</v>
      </c>
      <c r="V197" s="3">
        <v>250</v>
      </c>
      <c r="W197" s="3">
        <f>IF(ISERROR(VLOOKUP($A197,'NonXtal_SegEnds_BW#'!$A:$Z,16,FALSE)+VLOOKUP($A197,A:AL,22,FALSE)-50),"-",(VLOOKUP($A197,'NonXtal_SegEnds_BW#'!$A:$Z,16,FALSE)+VLOOKUP($A197,A:AL,22,FALSE)-50))</f>
        <v>268</v>
      </c>
      <c r="X197" s="3">
        <f>IF(ISERROR(VLOOKUP($A197,'NonXtal_SegEnds_BW#'!$A:$Z,17,FALSE)+VLOOKUP($A197,A:AL,25,FALSE)-50),"-",(VLOOKUP($A197,'NonXtal_SegEnds_BW#'!$A:$Z,17,FALSE)+VLOOKUP($A197,A:AL,25,FALSE)-50))</f>
        <v>272</v>
      </c>
      <c r="Y197" s="3">
        <v>272</v>
      </c>
      <c r="Z197" s="3">
        <f t="shared" si="94"/>
        <v>274</v>
      </c>
      <c r="AA197" s="3">
        <f>IF(ISERROR(VLOOKUP($A197,'NonXtal_SegEnds_BW#'!$A:$Z,19,FALSE)+VLOOKUP($A197,A:AL,28,FALSE)-50),"-",(VLOOKUP($A197,'NonXtal_SegEnds_BW#'!$A:$Z,19,FALSE)+VLOOKUP($A197,A:AL,28,FALSE)-50))</f>
        <v>278</v>
      </c>
      <c r="AB197" s="3">
        <v>292</v>
      </c>
      <c r="AC197" s="3">
        <f>IF(ISERROR((VLOOKUP($A197,'NonXtal_SegEnds_BW#'!$A:$Z,20,FALSE)+VLOOKUP($A197,A:AL,28,FALSE)-50)),"-",(VLOOKUP($A197,'NonXtal_SegEnds_BW#'!$A:$Z,20,FALSE)+VLOOKUP($A197,A:AL,28,FALSE)-50))</f>
        <v>311</v>
      </c>
      <c r="AD197" s="3">
        <f>IF(ISERROR(VLOOKUP($A197,'NonXtal_SegEnds_BW#'!$A:$Z,21,FALSE)+VLOOKUP($A197,A:AL,31,FALSE)-50),"-",(VLOOKUP($A197,'NonXtal_SegEnds_BW#'!$A:$Z,21,FALSE)+VLOOKUP($A197,A:AL,31,FALSE)-50))</f>
        <v>319</v>
      </c>
      <c r="AE197" s="3">
        <v>344</v>
      </c>
      <c r="AF197" s="3">
        <f>IF(ISERROR((VLOOKUP($A197,'NonXtal_SegEnds_BW#'!$A:$Z,22,FALSE)+VLOOKUP($A197,A:AL,31,FALSE)-50)),"-",(VLOOKUP($A197,'NonXtal_SegEnds_BW#'!$A:$Z,22,FALSE)+VLOOKUP($A197,A:AL,31,FALSE)-50))</f>
        <v>347</v>
      </c>
      <c r="AG197" s="3">
        <f>IF(ISERROR(VLOOKUP($A197,'NonXtal_SegEnds_BW#'!$A:$Z,23,FALSE)+VLOOKUP($A197,A:AL,34,FALSE)-50),"-",(VLOOKUP($A197,'NonXtal_SegEnds_BW#'!$A:$Z,23,FALSE)+VLOOKUP($A197,A:AL,34,FALSE)-50))</f>
        <v>354</v>
      </c>
      <c r="AH197" s="3">
        <v>373</v>
      </c>
      <c r="AI197" s="3">
        <f>IF(ISERROR((VLOOKUP($A197,'NonXtal_SegEnds_BW#'!$A:$Z,24,FALSE)+VLOOKUP($A197,A:AL,34,FALSE)-50)),"-",(VLOOKUP($A197,'NonXtal_SegEnds_BW#'!$A:$Z,24,FALSE)+VLOOKUP($A197,A:AL,34,FALSE)-50))</f>
        <v>379</v>
      </c>
      <c r="AJ197" s="3">
        <f>IF(ISERROR(VLOOKUP($A197,'NonXtal_SegEnds_BW#'!$A:$Z,25,FALSE)+VLOOKUP($A197,A:AL,37,FALSE)-50),"-",(VLOOKUP($A197,'NonXtal_SegEnds_BW#'!$A:$Z,25,FALSE)+VLOOKUP($A197,A:AL,37,FALSE)-50))</f>
        <v>380</v>
      </c>
      <c r="AK197" s="3">
        <v>383</v>
      </c>
      <c r="AL197" s="3">
        <f>IF(ISERROR((VLOOKUP($A197,'NonXtal_SegEnds_BW#'!$A:$Z,26,FALSE)+VLOOKUP($A197,A:AL,37,FALSE)-50)),"-",(VLOOKUP($A197,'NonXtal_SegEnds_BW#'!$A:$Z,26,FALSE)+VLOOKUP($A197,A:AL,37,FALSE)-50))</f>
        <v>405</v>
      </c>
      <c r="AM197" s="71" t="str">
        <f>VLOOKUP(A197,Classification!A:B,2,FALSE)</f>
        <v>B1</v>
      </c>
      <c r="AN197" s="71" t="b">
        <f t="shared" si="102"/>
        <v>1</v>
      </c>
      <c r="AO197" s="3">
        <f t="shared" si="103"/>
        <v>1</v>
      </c>
      <c r="AP197" s="3">
        <f t="shared" si="104"/>
        <v>1</v>
      </c>
      <c r="AQ197" s="3" t="str">
        <f t="shared" si="105"/>
        <v>-</v>
      </c>
      <c r="AR197" s="3" t="str">
        <f t="shared" si="106"/>
        <v>-</v>
      </c>
      <c r="AS197" s="3" t="str">
        <f t="shared" si="107"/>
        <v>-</v>
      </c>
      <c r="AT197" s="3" t="str">
        <f t="shared" si="108"/>
        <v>-</v>
      </c>
      <c r="AU197" s="3">
        <f t="shared" si="109"/>
        <v>4</v>
      </c>
      <c r="AV197" s="3">
        <f t="shared" si="110"/>
        <v>4</v>
      </c>
      <c r="AW197" s="3">
        <f t="shared" si="111"/>
        <v>8</v>
      </c>
      <c r="AX197" s="3">
        <f t="shared" si="112"/>
        <v>7</v>
      </c>
      <c r="AY197" s="3">
        <f t="shared" si="113"/>
        <v>1</v>
      </c>
      <c r="AZ197" s="3">
        <f>IF(ISERROR(LEN(VLOOKUP(A197,Seqs!A:E,2,FALSE))-AL197),"-",LEN(VLOOKUP(A197,Seqs!A:E,2,FALSE))-AL197)</f>
        <v>18</v>
      </c>
      <c r="BA197" s="35">
        <f t="shared" si="114"/>
        <v>28</v>
      </c>
      <c r="BB197" s="3" t="str">
        <f t="shared" si="115"/>
        <v>-</v>
      </c>
      <c r="BC197" s="3">
        <f t="shared" si="116"/>
        <v>28</v>
      </c>
      <c r="BD197" s="3">
        <f t="shared" si="117"/>
        <v>52</v>
      </c>
      <c r="BE197" s="3">
        <f>AH197-AE197</f>
        <v>29</v>
      </c>
    </row>
    <row r="198" spans="1:57" s="3" customFormat="1" x14ac:dyDescent="0.2">
      <c r="A198" s="3" t="s">
        <v>607</v>
      </c>
      <c r="B198" s="3" t="str">
        <f>LOWER(VLOOKUP(A198,Xtal_Templ!A:B,2,FALSE))</f>
        <v>glr_human</v>
      </c>
      <c r="C198" s="3">
        <f>VLOOKUP($A198,'NonXtal_SegEnds_BW#'!$A:$Z,3,FALSE)+D198-50</f>
        <v>110</v>
      </c>
      <c r="D198" s="3">
        <v>141</v>
      </c>
      <c r="E198" s="3">
        <f>IF(ISERROR(VLOOKUP($A198,'NonXtal_SegEnds_BW#'!$A:$Z,4,FALSE)+VLOOKUP($A198,A:AL,4,FALSE)-50),"-",(VLOOKUP($A198,'NonXtal_SegEnds_BW#'!$A:$Z,4,FALSE)+VLOOKUP($A198,A:AL,4,FALSE)-50))</f>
        <v>151</v>
      </c>
      <c r="F198" s="3">
        <f t="shared" si="100"/>
        <v>152</v>
      </c>
      <c r="G198" s="3">
        <v>154</v>
      </c>
      <c r="H198" s="3">
        <f t="shared" si="101"/>
        <v>155</v>
      </c>
      <c r="I198" s="3">
        <f t="shared" si="101"/>
        <v>156</v>
      </c>
      <c r="J198" s="3">
        <v>169</v>
      </c>
      <c r="K198" s="3">
        <f>VLOOKUP($A198,'NonXtal_SegEnds_BW#'!$A:$Z,8,FALSE)+VLOOKUP($A198,A:AL,10,FALSE)-50</f>
        <v>184</v>
      </c>
      <c r="L198" s="3" t="str">
        <f>IF(ISERROR(VLOOKUP($A198,'NonXtal_SegEnds_BW#'!$A:$Z,9,FALSE)+VLOOKUP($A198,A:AL,13,FALSE)-50),"-",(VLOOKUP($A198,'NonXtal_SegEnds_BW#'!$A:$Z,9,FALSE)+VLOOKUP($A198,A:AL,13,FALSE)-50))</f>
        <v>-</v>
      </c>
      <c r="M198" s="3" t="s">
        <v>129</v>
      </c>
      <c r="N198" s="3" t="str">
        <f>IF(ISERROR(VLOOKUP($A198,'NonXtal_SegEnds_BW#'!$A:$Z,10,FALSE)+VLOOKUP($A198,A:AL,13,FALSE)-50),"-",(VLOOKUP($A198,'NonXtal_SegEnds_BW#'!$A:$Z,10,FALSE)+VLOOKUP($A198,A:AL,13,FALSE)-50))</f>
        <v>-</v>
      </c>
      <c r="O198" s="3">
        <f>VLOOKUP($A198,'NonXtal_SegEnds_BW#'!$A:$Z,11,FALSE)+VLOOKUP($A198,A:AL,16,FALSE)-50</f>
        <v>195</v>
      </c>
      <c r="P198" s="3">
        <v>227</v>
      </c>
      <c r="Q198" s="3">
        <f>VLOOKUP($A198,'NonXtal_SegEnds_BW#'!$A:$Z,12,FALSE)+VLOOKUP($A198,A:AL,16,FALSE)-50</f>
        <v>233</v>
      </c>
      <c r="R198" s="3" t="str">
        <f>IF(ISERROR(VLOOKUP($A198,'NonXtal_SegEnds_BW#'!$A:$Z,13,FALSE)+VLOOKUP($A198,A:AL,19,FALSE)-50),"-",VLOOKUP($A198,'NonXtal_SegEnds_BW#'!$A:$Z,13,FALSE)+VLOOKUP($A198,A:AL,19,FALSE)-50)</f>
        <v>-</v>
      </c>
      <c r="S198" s="3" t="s">
        <v>129</v>
      </c>
      <c r="T198" s="3" t="str">
        <f>IF(ISERROR(VLOOKUP($A198,'NonXtal_SegEnds_BW#'!$A:$Z,14,FALSE)+VLOOKUP($A198,A:AL,19,FALSE)-50),"-",(VLOOKUP($A198,'NonXtal_SegEnds_BW#'!$A:$Z,14,FALSE)+VLOOKUP($A198,A:AL,19,FALSE)-50))</f>
        <v>-</v>
      </c>
      <c r="U198" s="3">
        <f>IF(ISERROR(VLOOKUP($A198,'NonXtal_SegEnds_BW#'!$A:$Z,15,FALSE)+VLOOKUP($A198,A:AL,22,FALSE)-50),"-",VLOOKUP($A198,'NonXtal_SegEnds_BW#'!$A:$Z,15,FALSE)+VLOOKUP($A198,A:AL,22,FALSE)-50)</f>
        <v>239</v>
      </c>
      <c r="V198" s="3">
        <v>249</v>
      </c>
      <c r="W198" s="3">
        <f>IF(ISERROR(VLOOKUP($A198,'NonXtal_SegEnds_BW#'!$A:$Z,16,FALSE)+VLOOKUP($A198,A:AL,22,FALSE)-50),"-",(VLOOKUP($A198,'NonXtal_SegEnds_BW#'!$A:$Z,16,FALSE)+VLOOKUP($A198,A:AL,22,FALSE)-50))</f>
        <v>267</v>
      </c>
      <c r="X198" s="3">
        <f>IF(ISERROR(VLOOKUP($A198,'NonXtal_SegEnds_BW#'!$A:$Z,17,FALSE)+VLOOKUP($A198,A:AL,25,FALSE)-50),"-",(VLOOKUP($A198,'NonXtal_SegEnds_BW#'!$A:$Z,17,FALSE)+VLOOKUP($A198,A:AL,25,FALSE)-50))</f>
        <v>271</v>
      </c>
      <c r="Y198" s="3">
        <v>271</v>
      </c>
      <c r="Z198" s="3">
        <f t="shared" si="94"/>
        <v>273</v>
      </c>
      <c r="AA198" s="3">
        <f>IF(ISERROR(VLOOKUP($A198,'NonXtal_SegEnds_BW#'!$A:$Z,19,FALSE)+VLOOKUP($A198,A:AL,28,FALSE)-50),"-",(VLOOKUP($A198,'NonXtal_SegEnds_BW#'!$A:$Z,19,FALSE)+VLOOKUP($A198,A:AL,28,FALSE)-50))</f>
        <v>277</v>
      </c>
      <c r="AB198" s="3">
        <v>291</v>
      </c>
      <c r="AC198" s="3">
        <f>IF(ISERROR((VLOOKUP($A198,'NonXtal_SegEnds_BW#'!$A:$Z,20,FALSE)+VLOOKUP($A198,A:AL,28,FALSE)-50)),"-",(VLOOKUP($A198,'NonXtal_SegEnds_BW#'!$A:$Z,20,FALSE)+VLOOKUP($A198,A:AL,28,FALSE)-50))</f>
        <v>310</v>
      </c>
      <c r="AD198" s="3">
        <f>IF(ISERROR(VLOOKUP($A198,'NonXtal_SegEnds_BW#'!$A:$Z,21,FALSE)+VLOOKUP($A198,A:AL,31,FALSE)-50),"-",(VLOOKUP($A198,'NonXtal_SegEnds_BW#'!$A:$Z,21,FALSE)+VLOOKUP($A198,A:AL,31,FALSE)-50))</f>
        <v>318</v>
      </c>
      <c r="AE198" s="3">
        <v>343</v>
      </c>
      <c r="AF198" s="3">
        <f>IF(ISERROR((VLOOKUP($A198,'NonXtal_SegEnds_BW#'!$A:$Z,22,FALSE)+VLOOKUP($A198,A:AL,31,FALSE)-50)),"-",(VLOOKUP($A198,'NonXtal_SegEnds_BW#'!$A:$Z,22,FALSE)+VLOOKUP($A198,A:AL,31,FALSE)-50))</f>
        <v>346</v>
      </c>
      <c r="AG198" s="3">
        <f>IF(ISERROR(VLOOKUP($A198,'NonXtal_SegEnds_BW#'!$A:$Z,23,FALSE)+VLOOKUP($A198,A:AL,34,FALSE)-50),"-",(VLOOKUP($A198,'NonXtal_SegEnds_BW#'!$A:$Z,23,FALSE)+VLOOKUP($A198,A:AL,34,FALSE)-50))</f>
        <v>353</v>
      </c>
      <c r="AH198" s="3">
        <v>372</v>
      </c>
      <c r="AI198" s="3">
        <f>IF(ISERROR((VLOOKUP($A198,'NonXtal_SegEnds_BW#'!$A:$Z,24,FALSE)+VLOOKUP($A198,A:AL,34,FALSE)-50)),"-",(VLOOKUP($A198,'NonXtal_SegEnds_BW#'!$A:$Z,24,FALSE)+VLOOKUP($A198,A:AL,34,FALSE)-50))</f>
        <v>378</v>
      </c>
      <c r="AJ198" s="3">
        <f>IF(ISERROR(VLOOKUP($A198,'NonXtal_SegEnds_BW#'!$A:$Z,25,FALSE)+VLOOKUP($A198,A:AL,37,FALSE)-50),"-",(VLOOKUP($A198,'NonXtal_SegEnds_BW#'!$A:$Z,25,FALSE)+VLOOKUP($A198,A:AL,37,FALSE)-50))</f>
        <v>379</v>
      </c>
      <c r="AK198" s="3">
        <v>382</v>
      </c>
      <c r="AL198" s="3">
        <f>IF(ISERROR((VLOOKUP($A198,'NonXtal_SegEnds_BW#'!$A:$Z,26,FALSE)+VLOOKUP($A198,A:AL,37,FALSE)-50)),"-",(VLOOKUP($A198,'NonXtal_SegEnds_BW#'!$A:$Z,26,FALSE)+VLOOKUP($A198,A:AL,37,FALSE)-50))</f>
        <v>404</v>
      </c>
      <c r="AM198" s="71" t="str">
        <f>VLOOKUP(A198,Classification!A:B,2,FALSE)</f>
        <v>B1</v>
      </c>
      <c r="AN198" s="71" t="b">
        <f t="shared" si="102"/>
        <v>1</v>
      </c>
      <c r="AO198" s="3">
        <f t="shared" si="103"/>
        <v>1</v>
      </c>
      <c r="AP198" s="3">
        <f t="shared" si="104"/>
        <v>1</v>
      </c>
      <c r="AQ198" s="3" t="str">
        <f t="shared" si="105"/>
        <v>-</v>
      </c>
      <c r="AR198" s="3" t="str">
        <f t="shared" si="106"/>
        <v>-</v>
      </c>
      <c r="AS198" s="3" t="str">
        <f t="shared" si="107"/>
        <v>-</v>
      </c>
      <c r="AT198" s="3" t="str">
        <f t="shared" si="108"/>
        <v>-</v>
      </c>
      <c r="AU198" s="3">
        <f t="shared" si="109"/>
        <v>4</v>
      </c>
      <c r="AV198" s="3">
        <f t="shared" si="110"/>
        <v>4</v>
      </c>
      <c r="AW198" s="3">
        <f t="shared" si="111"/>
        <v>8</v>
      </c>
      <c r="AX198" s="3">
        <f t="shared" si="112"/>
        <v>7</v>
      </c>
      <c r="AY198" s="3">
        <f t="shared" si="113"/>
        <v>1</v>
      </c>
      <c r="AZ198" s="3">
        <f>IF(ISERROR(LEN(VLOOKUP(A198,Seqs!A:E,2,FALSE))-AL198),"-",LEN(VLOOKUP(A198,Seqs!A:E,2,FALSE))-AL198)</f>
        <v>34</v>
      </c>
      <c r="BA198" s="35">
        <f t="shared" si="114"/>
        <v>28</v>
      </c>
      <c r="BB198" s="3" t="str">
        <f t="shared" si="115"/>
        <v>-</v>
      </c>
      <c r="BC198" s="3">
        <f t="shared" si="116"/>
        <v>28</v>
      </c>
      <c r="BD198" s="3">
        <f t="shared" si="117"/>
        <v>52</v>
      </c>
    </row>
    <row r="199" spans="1:57" s="3" customFormat="1" x14ac:dyDescent="0.2">
      <c r="A199" s="3" t="s">
        <v>302</v>
      </c>
      <c r="B199" s="3" t="str">
        <f>LOWER(VLOOKUP(A199,Xtal_Templ!A:B,2,FALSE))</f>
        <v>grm1_human</v>
      </c>
      <c r="C199" s="3">
        <f>VLOOKUP($A199,'NonXtal_SegEnds_BW#'!$A:$Z,3,FALSE)+D199-50</f>
        <v>48</v>
      </c>
      <c r="D199" s="3">
        <v>64</v>
      </c>
      <c r="E199" s="3">
        <f>IF(ISERROR(VLOOKUP($A199,'NonXtal_SegEnds_BW#'!$A:$Z,4,FALSE)+VLOOKUP($A199,A:AL,4,FALSE)-50),"-",(VLOOKUP($A199,'NonXtal_SegEnds_BW#'!$A:$Z,4,FALSE)+VLOOKUP($A199,A:AL,4,FALSE)-50))</f>
        <v>74</v>
      </c>
      <c r="F199" s="3">
        <f>G199-3</f>
        <v>77</v>
      </c>
      <c r="G199" s="3">
        <v>80</v>
      </c>
      <c r="H199" s="3">
        <f>G199+3</f>
        <v>83</v>
      </c>
      <c r="I199" s="3">
        <f>H199+1</f>
        <v>84</v>
      </c>
      <c r="J199" s="3">
        <v>95</v>
      </c>
      <c r="K199" s="3">
        <f>VLOOKUP($A199,'NonXtal_SegEnds_BW#'!$A:$Z,8,FALSE)+VLOOKUP($A199,A:AL,10,FALSE)-50</f>
        <v>106</v>
      </c>
      <c r="L199" s="3" t="str">
        <f>IF(ISERROR(VLOOKUP($A199,'NonXtal_SegEnds_BW#'!$A:$Z,9,FALSE)+VLOOKUP($A199,A:AL,13,FALSE)-50),"-",(VLOOKUP($A199,'NonXtal_SegEnds_BW#'!$A:$Z,9,FALSE)+VLOOKUP($A199,A:AL,13,FALSE)-50))</f>
        <v>-</v>
      </c>
      <c r="M199" s="3" t="s">
        <v>129</v>
      </c>
      <c r="N199" s="3" t="str">
        <f>IF(ISERROR(VLOOKUP($A199,'NonXtal_SegEnds_BW#'!$A:$Z,10,FALSE)+VLOOKUP($A199,A:AL,13,FALSE)-50),"-",(VLOOKUP($A199,'NonXtal_SegEnds_BW#'!$A:$Z,10,FALSE)+VLOOKUP($A199,A:AL,13,FALSE)-50))</f>
        <v>-</v>
      </c>
      <c r="O199" s="3">
        <f>VLOOKUP($A199,'NonXtal_SegEnds_BW#'!$A:$Z,11,FALSE)+VLOOKUP($A199,A:AL,16,FALSE)-50</f>
        <v>117</v>
      </c>
      <c r="P199" s="3">
        <v>145</v>
      </c>
      <c r="Q199" s="3">
        <f>VLOOKUP($A199,'NonXtal_SegEnds_BW#'!$A:$Z,12,FALSE)+VLOOKUP($A199,A:AL,16,FALSE)-50</f>
        <v>149</v>
      </c>
      <c r="R199" s="3" t="str">
        <f>IF(ISERROR(VLOOKUP($A199,'NonXtal_SegEnds_BW#'!$A:$Z,13,FALSE)+VLOOKUP($A199,A:AL,19,FALSE)-50),"-",VLOOKUP($A199,'NonXtal_SegEnds_BW#'!$A:$Z,13,FALSE)+VLOOKUP($A199,A:AL,19,FALSE)-50)</f>
        <v>-</v>
      </c>
      <c r="S199" s="3" t="s">
        <v>129</v>
      </c>
      <c r="T199" s="3" t="str">
        <f>IF(ISERROR(VLOOKUP($A199,'NonXtal_SegEnds_BW#'!$A:$Z,14,FALSE)+VLOOKUP($A199,A:AL,19,FALSE)-50),"-",(VLOOKUP($A199,'NonXtal_SegEnds_BW#'!$A:$Z,14,FALSE)+VLOOKUP($A199,A:AL,19,FALSE)-50))</f>
        <v>-</v>
      </c>
      <c r="U199" s="3">
        <f>IF(ISERROR(VLOOKUP($A199,'NonXtal_SegEnds_BW#'!$A:$Z,15,FALSE)+VLOOKUP($A199,A:AL,22,FALSE)-50),"-",VLOOKUP($A199,'NonXtal_SegEnds_BW#'!$A:$Z,15,FALSE)+VLOOKUP($A199,A:AL,22,FALSE)-50)</f>
        <v>162</v>
      </c>
      <c r="V199" s="3">
        <v>173</v>
      </c>
      <c r="W199" s="3">
        <f>IF(ISERROR(VLOOKUP($A199,'NonXtal_SegEnds_BW#'!$A:$Z,16,FALSE)+VLOOKUP($A199,A:AL,22,FALSE)-50),"-",(VLOOKUP($A199,'NonXtal_SegEnds_BW#'!$A:$Z,16,FALSE)+VLOOKUP($A199,A:AL,22,FALSE)-50))</f>
        <v>187</v>
      </c>
      <c r="X199" s="3" t="str">
        <f>IF(ISERROR(VLOOKUP($A199,'NonXtal_SegEnds_BW#'!$A:$Z,17,FALSE)+VLOOKUP($A199,A:AL,25,FALSE)-50),"-",(VLOOKUP($A199,'NonXtal_SegEnds_BW#'!$A:$Z,17,FALSE)+VLOOKUP($A199,A:AL,25,FALSE)-50))</f>
        <v>-</v>
      </c>
      <c r="Y199" s="3" t="s">
        <v>129</v>
      </c>
      <c r="Z199" s="3" t="str">
        <f>IF(ISERROR(VLOOKUP($A199,'NonXtal_SegEnds_BW#'!$A:$Z,18,FALSE)+VLOOKUP($A199,A:AL,25,FALSE)-50),"-",(VLOOKUP($A199,'NonXtal_SegEnds_BW#'!$A:$Z,18,FALSE)+VLOOKUP($A199,A:AL,25,FALSE)-50))</f>
        <v>-</v>
      </c>
      <c r="AA199" s="3">
        <f>IF(ISERROR(VLOOKUP($A199,'NonXtal_SegEnds_BW#'!$A:$Z,19,FALSE)+VLOOKUP($A199,A:AL,28,FALSE)-50),"-",(VLOOKUP($A199,'NonXtal_SegEnds_BW#'!$A:$Z,19,FALSE)+VLOOKUP($A199,A:AL,28,FALSE)-50))</f>
        <v>222</v>
      </c>
      <c r="AB199" s="3">
        <v>235</v>
      </c>
      <c r="AC199" s="3">
        <f>IF(ISERROR((VLOOKUP($A199,'NonXtal_SegEnds_BW#'!$A:$Z,20,FALSE)+VLOOKUP($A199,A:AL,28,FALSE)-50)),"-",(VLOOKUP($A199,'NonXtal_SegEnds_BW#'!$A:$Z,20,FALSE)+VLOOKUP($A199,A:AL,28,FALSE)-50))</f>
        <v>246</v>
      </c>
      <c r="AD199" s="3">
        <f>IF(ISERROR(VLOOKUP($A199,'NonXtal_SegEnds_BW#'!$A:$Z,21,FALSE)+VLOOKUP($A199,A:AL,31,FALSE)-50),"-",(VLOOKUP($A199,'NonXtal_SegEnds_BW#'!$A:$Z,21,FALSE)+VLOOKUP($A199,A:AL,31,FALSE)-50))</f>
        <v>257</v>
      </c>
      <c r="AE199" s="3">
        <v>274</v>
      </c>
      <c r="AF199" s="3">
        <f>IF(ISERROR((VLOOKUP($A199,'NonXtal_SegEnds_BW#'!$A:$Z,22,FALSE)+VLOOKUP($A199,A:AL,31,FALSE)-50)),"-",(VLOOKUP($A199,'NonXtal_SegEnds_BW#'!$A:$Z,22,FALSE)+VLOOKUP($A199,A:AL,31,FALSE)-50))</f>
        <v>281</v>
      </c>
      <c r="AG199" s="3">
        <f>IF(ISERROR(VLOOKUP($A199,'NonXtal_SegEnds_BW#'!$A:$Z,23,FALSE)+VLOOKUP($A199,A:AL,34,FALSE)-50),"-",(VLOOKUP($A199,'NonXtal_SegEnds_BW#'!$A:$Z,23,FALSE)+VLOOKUP($A199,A:AL,34,FALSE)-50))</f>
        <v>288</v>
      </c>
      <c r="AH199" s="3">
        <v>304</v>
      </c>
      <c r="AI199" s="3">
        <f>IF(ISERROR((VLOOKUP($A199,'NonXtal_SegEnds_BW#'!$A:$Z,24,FALSE)+VLOOKUP($A199,A:AL,34,FALSE)-50)),"-",(VLOOKUP($A199,'NonXtal_SegEnds_BW#'!$A:$Z,24,FALSE)+VLOOKUP($A199,A:AL,34,FALSE)-50))</f>
        <v>317</v>
      </c>
      <c r="AJ199" s="3">
        <f>IF(ISERROR(VLOOKUP($A199,'NonXtal_SegEnds_BW#'!$A:$Z,25,FALSE)+VLOOKUP($A199,A:AL,37,FALSE)-50),"-",(VLOOKUP($A199,'NonXtal_SegEnds_BW#'!$A:$Z,25,FALSE)+VLOOKUP($A199,A:AL,37,FALSE)-50))</f>
        <v>318</v>
      </c>
      <c r="AK199" s="3">
        <v>321</v>
      </c>
      <c r="AL199" s="3">
        <f>IF(ISERROR((VLOOKUP($A199,'NonXtal_SegEnds_BW#'!$A:$Z,26,FALSE)+VLOOKUP($A199,A:AL,37,FALSE)-50)),"-",(VLOOKUP($A199,'NonXtal_SegEnds_BW#'!$A:$Z,26,FALSE)+VLOOKUP($A199,A:AL,37,FALSE)-50))</f>
        <v>330</v>
      </c>
      <c r="AM199" s="71" t="str">
        <f>VLOOKUP(A199,Classification!A:B,2,FALSE)</f>
        <v>C</v>
      </c>
      <c r="AN199" s="71" t="b">
        <f t="shared" si="102"/>
        <v>1</v>
      </c>
      <c r="AO199" s="3">
        <f t="shared" si="103"/>
        <v>3</v>
      </c>
      <c r="AP199" s="3">
        <f t="shared" si="104"/>
        <v>1</v>
      </c>
      <c r="AQ199" s="3" t="str">
        <f t="shared" si="105"/>
        <v>-</v>
      </c>
      <c r="AR199" s="3" t="str">
        <f t="shared" si="106"/>
        <v>-</v>
      </c>
      <c r="AS199" s="3" t="str">
        <f t="shared" si="107"/>
        <v>-</v>
      </c>
      <c r="AT199" s="3" t="str">
        <f t="shared" si="108"/>
        <v>-</v>
      </c>
      <c r="AU199" s="3" t="str">
        <f t="shared" si="109"/>
        <v>-</v>
      </c>
      <c r="AV199" s="3" t="str">
        <f t="shared" si="110"/>
        <v>-</v>
      </c>
      <c r="AW199" s="3">
        <f t="shared" si="111"/>
        <v>11</v>
      </c>
      <c r="AX199" s="3">
        <f t="shared" si="112"/>
        <v>7</v>
      </c>
      <c r="AY199" s="3">
        <f t="shared" si="113"/>
        <v>1</v>
      </c>
      <c r="AZ199" s="3">
        <f>IF(ISERROR(LEN(VLOOKUP(A199,Seqs!A:E,2,FALSE))-AL199),"-",LEN(VLOOKUP(A199,Seqs!A:E,2,FALSE))-AL199)</f>
        <v>484</v>
      </c>
      <c r="BA199" s="35">
        <f t="shared" si="114"/>
        <v>31</v>
      </c>
      <c r="BB199" s="3" t="str">
        <f t="shared" si="115"/>
        <v>-</v>
      </c>
      <c r="BC199" s="3">
        <f t="shared" si="116"/>
        <v>31</v>
      </c>
      <c r="BD199" s="3">
        <f t="shared" si="117"/>
        <v>39</v>
      </c>
    </row>
    <row r="200" spans="1:57" s="3" customFormat="1" x14ac:dyDescent="0.2">
      <c r="A200" s="3" t="s">
        <v>307</v>
      </c>
      <c r="B200" s="3" t="str">
        <f>LOWER(VLOOKUP(A200,Xtal_Templ!A:B,2,FALSE))</f>
        <v>grm1_human</v>
      </c>
      <c r="C200" s="3">
        <f>VLOOKUP($A200,'NonXtal_SegEnds_BW#'!$A:$Z,3,FALSE)+D200-50</f>
        <v>21</v>
      </c>
      <c r="D200" s="3">
        <v>37</v>
      </c>
      <c r="E200" s="3">
        <f>IF(ISERROR(VLOOKUP($A200,'NonXtal_SegEnds_BW#'!$A:$Z,4,FALSE)+VLOOKUP($A200,A:AL,4,FALSE)-50),"-",(VLOOKUP($A200,'NonXtal_SegEnds_BW#'!$A:$Z,4,FALSE)+VLOOKUP($A200,A:AL,4,FALSE)-50))</f>
        <v>47</v>
      </c>
      <c r="F200" s="3">
        <f>G200-3</f>
        <v>48</v>
      </c>
      <c r="G200" s="3">
        <v>51</v>
      </c>
      <c r="H200" s="3">
        <f>G200+3</f>
        <v>54</v>
      </c>
      <c r="I200" s="3">
        <f>H200+1</f>
        <v>55</v>
      </c>
      <c r="J200" s="3">
        <v>70</v>
      </c>
      <c r="K200" s="3">
        <f>VLOOKUP($A200,'NonXtal_SegEnds_BW#'!$A:$Z,8,FALSE)+VLOOKUP($A200,A:AL,10,FALSE)-50</f>
        <v>81</v>
      </c>
      <c r="L200" s="3" t="str">
        <f>IF(ISERROR(VLOOKUP($A200,'NonXtal_SegEnds_BW#'!$A:$Z,9,FALSE)+VLOOKUP($A200,A:AL,13,FALSE)-50),"-",(VLOOKUP($A200,'NonXtal_SegEnds_BW#'!$A:$Z,9,FALSE)+VLOOKUP($A200,A:AL,13,FALSE)-50))</f>
        <v>-</v>
      </c>
      <c r="M200" s="3" t="s">
        <v>129</v>
      </c>
      <c r="N200" s="3" t="str">
        <f>IF(ISERROR(VLOOKUP($A200,'NonXtal_SegEnds_BW#'!$A:$Z,10,FALSE)+VLOOKUP($A200,A:AL,13,FALSE)-50),"-",(VLOOKUP($A200,'NonXtal_SegEnds_BW#'!$A:$Z,10,FALSE)+VLOOKUP($A200,A:AL,13,FALSE)-50))</f>
        <v>-</v>
      </c>
      <c r="O200" s="3">
        <f>VLOOKUP($A200,'NonXtal_SegEnds_BW#'!$A:$Z,11,FALSE)+VLOOKUP($A200,A:AL,16,FALSE)-50</f>
        <v>86</v>
      </c>
      <c r="P200" s="3">
        <v>114</v>
      </c>
      <c r="Q200" s="3">
        <f>VLOOKUP($A200,'NonXtal_SegEnds_BW#'!$A:$Z,12,FALSE)+VLOOKUP($A200,A:AL,16,FALSE)-50</f>
        <v>118</v>
      </c>
      <c r="R200" s="3" t="str">
        <f>IF(ISERROR(VLOOKUP($A200,'NonXtal_SegEnds_BW#'!$A:$Z,13,FALSE)+VLOOKUP($A200,A:AL,19,FALSE)-50),"-",VLOOKUP($A200,'NonXtal_SegEnds_BW#'!$A:$Z,13,FALSE)+VLOOKUP($A200,A:AL,19,FALSE)-50)</f>
        <v>-</v>
      </c>
      <c r="S200" s="3" t="s">
        <v>129</v>
      </c>
      <c r="T200" s="3" t="str">
        <f>IF(ISERROR(VLOOKUP($A200,'NonXtal_SegEnds_BW#'!$A:$Z,14,FALSE)+VLOOKUP($A200,A:AL,19,FALSE)-50),"-",(VLOOKUP($A200,'NonXtal_SegEnds_BW#'!$A:$Z,14,FALSE)+VLOOKUP($A200,A:AL,19,FALSE)-50))</f>
        <v>-</v>
      </c>
      <c r="U200" s="3">
        <f>IF(ISERROR(VLOOKUP($A200,'NonXtal_SegEnds_BW#'!$A:$Z,15,FALSE)+VLOOKUP($A200,A:AL,22,FALSE)-50),"-",VLOOKUP($A200,'NonXtal_SegEnds_BW#'!$A:$Z,15,FALSE)+VLOOKUP($A200,A:AL,22,FALSE)-50)</f>
        <v>126</v>
      </c>
      <c r="V200" s="3">
        <v>137</v>
      </c>
      <c r="W200" s="3">
        <f>IF(ISERROR(VLOOKUP($A200,'NonXtal_SegEnds_BW#'!$A:$Z,16,FALSE)+VLOOKUP($A200,A:AL,22,FALSE)-50),"-",(VLOOKUP($A200,'NonXtal_SegEnds_BW#'!$A:$Z,16,FALSE)+VLOOKUP($A200,A:AL,22,FALSE)-50))</f>
        <v>151</v>
      </c>
      <c r="X200" s="3" t="str">
        <f>IF(ISERROR(VLOOKUP($A200,'NonXtal_SegEnds_BW#'!$A:$Z,17,FALSE)+VLOOKUP($A200,A:AL,25,FALSE)-50),"-",(VLOOKUP($A200,'NonXtal_SegEnds_BW#'!$A:$Z,17,FALSE)+VLOOKUP($A200,A:AL,25,FALSE)-50))</f>
        <v>-</v>
      </c>
      <c r="Y200" s="3" t="s">
        <v>129</v>
      </c>
      <c r="Z200" s="3" t="str">
        <f>IF(ISERROR(VLOOKUP($A200,'NonXtal_SegEnds_BW#'!$A:$Z,18,FALSE)+VLOOKUP($A200,A:AL,25,FALSE)-50),"-",(VLOOKUP($A200,'NonXtal_SegEnds_BW#'!$A:$Z,18,FALSE)+VLOOKUP($A200,A:AL,25,FALSE)-50))</f>
        <v>-</v>
      </c>
      <c r="AA200" s="3">
        <f>IF(ISERROR(VLOOKUP($A200,'NonXtal_SegEnds_BW#'!$A:$Z,19,FALSE)+VLOOKUP($A200,A:AL,28,FALSE)-50),"-",(VLOOKUP($A200,'NonXtal_SegEnds_BW#'!$A:$Z,19,FALSE)+VLOOKUP($A200,A:AL,28,FALSE)-50))</f>
        <v>167</v>
      </c>
      <c r="AB200" s="3">
        <v>180</v>
      </c>
      <c r="AC200" s="3">
        <f>IF(ISERROR((VLOOKUP($A200,'NonXtal_SegEnds_BW#'!$A:$Z,20,FALSE)+VLOOKUP($A200,A:AL,28,FALSE)-50)),"-",(VLOOKUP($A200,'NonXtal_SegEnds_BW#'!$A:$Z,20,FALSE)+VLOOKUP($A200,A:AL,28,FALSE)-50))</f>
        <v>191</v>
      </c>
      <c r="AD200" s="3">
        <f>IF(ISERROR(VLOOKUP($A200,'NonXtal_SegEnds_BW#'!$A:$Z,21,FALSE)+VLOOKUP($A200,A:AL,31,FALSE)-50),"-",(VLOOKUP($A200,'NonXtal_SegEnds_BW#'!$A:$Z,21,FALSE)+VLOOKUP($A200,A:AL,31,FALSE)-50))</f>
        <v>202</v>
      </c>
      <c r="AE200" s="3">
        <v>219</v>
      </c>
      <c r="AF200" s="3">
        <f>IF(ISERROR((VLOOKUP($A200,'NonXtal_SegEnds_BW#'!$A:$Z,22,FALSE)+VLOOKUP($A200,A:AL,31,FALSE)-50)),"-",(VLOOKUP($A200,'NonXtal_SegEnds_BW#'!$A:$Z,22,FALSE)+VLOOKUP($A200,A:AL,31,FALSE)-50))</f>
        <v>226</v>
      </c>
      <c r="AG200" s="3">
        <f>IF(ISERROR(VLOOKUP($A200,'NonXtal_SegEnds_BW#'!$A:$Z,23,FALSE)+VLOOKUP($A200,A:AL,34,FALSE)-50),"-",(VLOOKUP($A200,'NonXtal_SegEnds_BW#'!$A:$Z,23,FALSE)+VLOOKUP($A200,A:AL,34,FALSE)-50))</f>
        <v>238</v>
      </c>
      <c r="AH200" s="3">
        <v>254</v>
      </c>
      <c r="AI200" s="3">
        <f>IF(ISERROR((VLOOKUP($A200,'NonXtal_SegEnds_BW#'!$A:$Z,24,FALSE)+VLOOKUP($A200,A:AL,34,FALSE)-50)),"-",(VLOOKUP($A200,'NonXtal_SegEnds_BW#'!$A:$Z,24,FALSE)+VLOOKUP($A200,A:AL,34,FALSE)-50))</f>
        <v>267</v>
      </c>
      <c r="AJ200" s="3">
        <v>269</v>
      </c>
      <c r="AK200" s="3">
        <v>273</v>
      </c>
      <c r="AL200" s="3">
        <v>281</v>
      </c>
      <c r="AM200" s="71" t="str">
        <f>VLOOKUP(A200,Classification!A:B,2,FALSE)</f>
        <v>C</v>
      </c>
      <c r="AN200" s="71" t="b">
        <f t="shared" si="102"/>
        <v>1</v>
      </c>
      <c r="AO200" s="3">
        <f t="shared" si="103"/>
        <v>1</v>
      </c>
      <c r="AP200" s="3">
        <f t="shared" si="104"/>
        <v>1</v>
      </c>
      <c r="AQ200" s="3" t="str">
        <f t="shared" si="105"/>
        <v>-</v>
      </c>
      <c r="AR200" s="3" t="str">
        <f t="shared" si="106"/>
        <v>-</v>
      </c>
      <c r="AS200" s="3" t="str">
        <f t="shared" si="107"/>
        <v>-</v>
      </c>
      <c r="AT200" s="3" t="str">
        <f t="shared" si="108"/>
        <v>-</v>
      </c>
      <c r="AU200" s="3" t="str">
        <f t="shared" si="109"/>
        <v>-</v>
      </c>
      <c r="AV200" s="3" t="str">
        <f t="shared" si="110"/>
        <v>-</v>
      </c>
      <c r="AW200" s="3">
        <f t="shared" si="111"/>
        <v>11</v>
      </c>
      <c r="AX200" s="3">
        <f t="shared" si="112"/>
        <v>12</v>
      </c>
      <c r="AY200" s="3">
        <f t="shared" si="113"/>
        <v>2</v>
      </c>
      <c r="AZ200" s="3">
        <f>IF(ISERROR(LEN(VLOOKUP(A200,Seqs!A:E,2,FALSE))-AL200),"-",LEN(VLOOKUP(A200,Seqs!A:E,2,FALSE))-AL200)</f>
        <v>64</v>
      </c>
      <c r="BA200" s="35">
        <f t="shared" si="114"/>
        <v>33</v>
      </c>
      <c r="BB200" s="3" t="str">
        <f t="shared" si="115"/>
        <v>-</v>
      </c>
      <c r="BC200" s="3">
        <f t="shared" si="116"/>
        <v>33</v>
      </c>
      <c r="BD200" s="3">
        <f t="shared" si="117"/>
        <v>39</v>
      </c>
    </row>
    <row r="201" spans="1:57" s="3" customFormat="1" x14ac:dyDescent="0.2">
      <c r="A201" s="3" t="s">
        <v>315</v>
      </c>
      <c r="B201" s="3" t="str">
        <f>LOWER(VLOOKUP(A201,Xtal_Templ!A:B,2,FALSE))</f>
        <v>grm1_human</v>
      </c>
      <c r="C201" s="3">
        <f>VLOOKUP($A201,'NonXtal_SegEnds_BW#'!$A:$Z,3,FALSE)+D201-50</f>
        <v>26</v>
      </c>
      <c r="D201" s="3">
        <v>42</v>
      </c>
      <c r="E201" s="3">
        <f>IF(ISERROR(VLOOKUP($A201,'NonXtal_SegEnds_BW#'!$A:$Z,4,FALSE)+VLOOKUP($A201,A:AL,4,FALSE)-50),"-",(VLOOKUP($A201,'NonXtal_SegEnds_BW#'!$A:$Z,4,FALSE)+VLOOKUP($A201,A:AL,4,FALSE)-50))</f>
        <v>52</v>
      </c>
      <c r="F201" s="3">
        <f>G201-3</f>
        <v>53</v>
      </c>
      <c r="G201" s="3">
        <v>56</v>
      </c>
      <c r="H201" s="3">
        <f>G201+3</f>
        <v>59</v>
      </c>
      <c r="I201" s="3">
        <f>H201+1</f>
        <v>60</v>
      </c>
      <c r="J201" s="3">
        <v>75</v>
      </c>
      <c r="K201" s="3">
        <f>VLOOKUP($A201,'NonXtal_SegEnds_BW#'!$A:$Z,8,FALSE)+VLOOKUP($A201,A:AL,10,FALSE)-50</f>
        <v>86</v>
      </c>
      <c r="L201" s="3" t="str">
        <f>IF(ISERROR(VLOOKUP($A201,'NonXtal_SegEnds_BW#'!$A:$Z,9,FALSE)+VLOOKUP($A201,A:AL,13,FALSE)-50),"-",(VLOOKUP($A201,'NonXtal_SegEnds_BW#'!$A:$Z,9,FALSE)+VLOOKUP($A201,A:AL,13,FALSE)-50))</f>
        <v>-</v>
      </c>
      <c r="M201" s="3" t="s">
        <v>129</v>
      </c>
      <c r="N201" s="3" t="str">
        <f>IF(ISERROR(VLOOKUP($A201,'NonXtal_SegEnds_BW#'!$A:$Z,10,FALSE)+VLOOKUP($A201,A:AL,13,FALSE)-50),"-",(VLOOKUP($A201,'NonXtal_SegEnds_BW#'!$A:$Z,10,FALSE)+VLOOKUP($A201,A:AL,13,FALSE)-50))</f>
        <v>-</v>
      </c>
      <c r="O201" s="3">
        <f>VLOOKUP($A201,'NonXtal_SegEnds_BW#'!$A:$Z,11,FALSE)+VLOOKUP($A201,A:AL,16,FALSE)-50</f>
        <v>91</v>
      </c>
      <c r="P201" s="3">
        <v>119</v>
      </c>
      <c r="Q201" s="3">
        <f>VLOOKUP($A201,'NonXtal_SegEnds_BW#'!$A:$Z,12,FALSE)+VLOOKUP($A201,A:AL,16,FALSE)-50</f>
        <v>123</v>
      </c>
      <c r="R201" s="3" t="str">
        <f>IF(ISERROR(VLOOKUP($A201,'NonXtal_SegEnds_BW#'!$A:$Z,13,FALSE)+VLOOKUP($A201,A:AL,19,FALSE)-50),"-",VLOOKUP($A201,'NonXtal_SegEnds_BW#'!$A:$Z,13,FALSE)+VLOOKUP($A201,A:AL,19,FALSE)-50)</f>
        <v>-</v>
      </c>
      <c r="S201" s="3" t="s">
        <v>129</v>
      </c>
      <c r="T201" s="3" t="str">
        <f>IF(ISERROR(VLOOKUP($A201,'NonXtal_SegEnds_BW#'!$A:$Z,14,FALSE)+VLOOKUP($A201,A:AL,19,FALSE)-50),"-",(VLOOKUP($A201,'NonXtal_SegEnds_BW#'!$A:$Z,14,FALSE)+VLOOKUP($A201,A:AL,19,FALSE)-50))</f>
        <v>-</v>
      </c>
      <c r="U201" s="3">
        <f>IF(ISERROR(VLOOKUP($A201,'NonXtal_SegEnds_BW#'!$A:$Z,15,FALSE)+VLOOKUP($A201,A:AL,22,FALSE)-50),"-",VLOOKUP($A201,'NonXtal_SegEnds_BW#'!$A:$Z,15,FALSE)+VLOOKUP($A201,A:AL,22,FALSE)-50)</f>
        <v>131</v>
      </c>
      <c r="V201" s="3">
        <v>142</v>
      </c>
      <c r="W201" s="3">
        <f>IF(ISERROR(VLOOKUP($A201,'NonXtal_SegEnds_BW#'!$A:$Z,16,FALSE)+VLOOKUP($A201,A:AL,22,FALSE)-50),"-",(VLOOKUP($A201,'NonXtal_SegEnds_BW#'!$A:$Z,16,FALSE)+VLOOKUP($A201,A:AL,22,FALSE)-50))</f>
        <v>156</v>
      </c>
      <c r="X201" s="3" t="str">
        <f>IF(ISERROR(VLOOKUP($A201,'NonXtal_SegEnds_BW#'!$A:$Z,17,FALSE)+VLOOKUP($A201,A:AL,25,FALSE)-50),"-",(VLOOKUP($A201,'NonXtal_SegEnds_BW#'!$A:$Z,17,FALSE)+VLOOKUP($A201,A:AL,25,FALSE)-50))</f>
        <v>-</v>
      </c>
      <c r="Y201" s="3" t="s">
        <v>129</v>
      </c>
      <c r="Z201" s="3" t="str">
        <f>IF(ISERROR(VLOOKUP($A201,'NonXtal_SegEnds_BW#'!$A:$Z,18,FALSE)+VLOOKUP($A201,A:AL,25,FALSE)-50),"-",(VLOOKUP($A201,'NonXtal_SegEnds_BW#'!$A:$Z,18,FALSE)+VLOOKUP($A201,A:AL,25,FALSE)-50))</f>
        <v>-</v>
      </c>
      <c r="AA201" s="3">
        <f>IF(ISERROR(VLOOKUP($A201,'NonXtal_SegEnds_BW#'!$A:$Z,19,FALSE)+VLOOKUP($A201,A:AL,28,FALSE)-50),"-",(VLOOKUP($A201,'NonXtal_SegEnds_BW#'!$A:$Z,19,FALSE)+VLOOKUP($A201,A:AL,28,FALSE)-50))</f>
        <v>174</v>
      </c>
      <c r="AB201" s="3">
        <v>187</v>
      </c>
      <c r="AC201" s="3">
        <f>IF(ISERROR((VLOOKUP($A201,'NonXtal_SegEnds_BW#'!$A:$Z,20,FALSE)+VLOOKUP($A201,A:AL,28,FALSE)-50)),"-",(VLOOKUP($A201,'NonXtal_SegEnds_BW#'!$A:$Z,20,FALSE)+VLOOKUP($A201,A:AL,28,FALSE)-50))</f>
        <v>198</v>
      </c>
      <c r="AD201" s="3">
        <f>IF(ISERROR(VLOOKUP($A201,'NonXtal_SegEnds_BW#'!$A:$Z,21,FALSE)+VLOOKUP($A201,A:AL,31,FALSE)-50),"-",(VLOOKUP($A201,'NonXtal_SegEnds_BW#'!$A:$Z,21,FALSE)+VLOOKUP($A201,A:AL,31,FALSE)-50))</f>
        <v>209</v>
      </c>
      <c r="AE201" s="3">
        <v>226</v>
      </c>
      <c r="AF201" s="3">
        <f>IF(ISERROR((VLOOKUP($A201,'NonXtal_SegEnds_BW#'!$A:$Z,22,FALSE)+VLOOKUP($A201,A:AL,31,FALSE)-50)),"-",(VLOOKUP($A201,'NonXtal_SegEnds_BW#'!$A:$Z,22,FALSE)+VLOOKUP($A201,A:AL,31,FALSE)-50))</f>
        <v>233</v>
      </c>
      <c r="AG201" s="3">
        <f>IF(ISERROR(VLOOKUP($A201,'NonXtal_SegEnds_BW#'!$A:$Z,23,FALSE)+VLOOKUP($A201,A:AL,34,FALSE)-50),"-",(VLOOKUP($A201,'NonXtal_SegEnds_BW#'!$A:$Z,23,FALSE)+VLOOKUP($A201,A:AL,34,FALSE)-50))</f>
        <v>241</v>
      </c>
      <c r="AH201" s="3">
        <v>257</v>
      </c>
      <c r="AI201" s="3">
        <f>IF(ISERROR((VLOOKUP($A201,'NonXtal_SegEnds_BW#'!$A:$Z,24,FALSE)+VLOOKUP($A201,A:AL,34,FALSE)-50)),"-",(VLOOKUP($A201,'NonXtal_SegEnds_BW#'!$A:$Z,24,FALSE)+VLOOKUP($A201,A:AL,34,FALSE)-50))</f>
        <v>270</v>
      </c>
      <c r="AJ201" s="3">
        <v>273</v>
      </c>
      <c r="AK201" s="3">
        <v>276</v>
      </c>
      <c r="AL201" s="3">
        <v>285</v>
      </c>
      <c r="AM201" s="71" t="str">
        <f>VLOOKUP(A201,Classification!A:B,2,FALSE)</f>
        <v>C</v>
      </c>
      <c r="AN201" s="71" t="b">
        <f t="shared" si="102"/>
        <v>1</v>
      </c>
      <c r="AO201" s="3">
        <f t="shared" si="103"/>
        <v>1</v>
      </c>
      <c r="AP201" s="3">
        <f t="shared" si="104"/>
        <v>1</v>
      </c>
      <c r="AQ201" s="3" t="str">
        <f t="shared" si="105"/>
        <v>-</v>
      </c>
      <c r="AR201" s="3" t="str">
        <f t="shared" si="106"/>
        <v>-</v>
      </c>
      <c r="AS201" s="3" t="str">
        <f t="shared" si="107"/>
        <v>-</v>
      </c>
      <c r="AT201" s="3" t="str">
        <f t="shared" si="108"/>
        <v>-</v>
      </c>
      <c r="AU201" s="3" t="str">
        <f t="shared" si="109"/>
        <v>-</v>
      </c>
      <c r="AV201" s="3" t="str">
        <f t="shared" si="110"/>
        <v>-</v>
      </c>
      <c r="AW201" s="3">
        <f t="shared" si="111"/>
        <v>11</v>
      </c>
      <c r="AX201" s="3">
        <f t="shared" si="112"/>
        <v>8</v>
      </c>
      <c r="AY201" s="3">
        <f t="shared" si="113"/>
        <v>3</v>
      </c>
      <c r="AZ201" s="3">
        <f>IF(ISERROR(LEN(VLOOKUP(A201,Seqs!A:E,2,FALSE))-AL201),"-",LEN(VLOOKUP(A201,Seqs!A:E,2,FALSE))-AL201)</f>
        <v>72</v>
      </c>
      <c r="BA201" s="35">
        <f t="shared" si="114"/>
        <v>33</v>
      </c>
      <c r="BB201" s="3" t="str">
        <f t="shared" si="115"/>
        <v>-</v>
      </c>
      <c r="BC201" s="3">
        <f t="shared" si="116"/>
        <v>33</v>
      </c>
      <c r="BD201" s="3">
        <f t="shared" si="117"/>
        <v>39</v>
      </c>
    </row>
    <row r="202" spans="1:57" s="3" customFormat="1" x14ac:dyDescent="0.2">
      <c r="A202" s="3" t="s">
        <v>681</v>
      </c>
      <c r="B202" s="3" t="str">
        <f>LOWER(VLOOKUP(A202,Xtal_Templ!A:B,2,FALSE))</f>
        <v>grm1_human</v>
      </c>
      <c r="C202" s="3">
        <f>VLOOKUP($A202,'NonXtal_SegEnds_BW#'!$A:$Z,3,FALSE)+D202-50</f>
        <v>13</v>
      </c>
      <c r="D202" s="3">
        <v>29</v>
      </c>
      <c r="E202" s="3">
        <f>IF(ISERROR(VLOOKUP($A202,'NonXtal_SegEnds_BW#'!$A:$Z,4,FALSE)+VLOOKUP($A202,A:AL,4,FALSE)-50),"-",(VLOOKUP($A202,'NonXtal_SegEnds_BW#'!$A:$Z,4,FALSE)+VLOOKUP($A202,A:AL,4,FALSE)-50))</f>
        <v>39</v>
      </c>
      <c r="F202" s="3" t="str">
        <f>IF(ISERROR(VLOOKUP($A202,'NonXtal_SegEnds_BW#'!$A:$Z,5,FALSE)+VLOOKUP($A202,A:AL,7,FALSE)-50),"-",(VLOOKUP($A202,'NonXtal_SegEnds_BW#'!$A:$Z,5,FALSE)+VLOOKUP($A202,A:AL,7,FALSE)-50))</f>
        <v>-</v>
      </c>
      <c r="G202" s="3" t="s">
        <v>129</v>
      </c>
      <c r="H202" s="3" t="str">
        <f>IF(ISERROR(VLOOKUP($A202,'NonXtal_SegEnds_BW#'!$A:$Z,6,FALSE)+VLOOKUP($A202,A:AL,7,FALSE)-50),"-",(VLOOKUP($A202,'NonXtal_SegEnds_BW#'!$A:$Z,6,FALSE)+VLOOKUP($A202,A:AL,7,FALSE)-50))</f>
        <v>-</v>
      </c>
      <c r="I202" s="3">
        <f>VLOOKUP($A202,'NonXtal_SegEnds_BW#'!$A:$Z,7,FALSE)+J202-50</f>
        <v>46</v>
      </c>
      <c r="J202" s="3">
        <v>57</v>
      </c>
      <c r="K202" s="3">
        <f>VLOOKUP($A202,'NonXtal_SegEnds_BW#'!$A:$Z,8,FALSE)+VLOOKUP($A202,A:AL,10,FALSE)-50</f>
        <v>70</v>
      </c>
      <c r="L202" s="3" t="str">
        <f>IF(ISERROR(VLOOKUP($A202,'NonXtal_SegEnds_BW#'!$A:$Z,9,FALSE)+VLOOKUP($A202,A:AL,13,FALSE)-50),"-",(VLOOKUP($A202,'NonXtal_SegEnds_BW#'!$A:$Z,9,FALSE)+VLOOKUP($A202,A:AL,13,FALSE)-50))</f>
        <v>-</v>
      </c>
      <c r="M202" s="3" t="s">
        <v>129</v>
      </c>
      <c r="N202" s="3" t="str">
        <f>IF(ISERROR(VLOOKUP($A202,'NonXtal_SegEnds_BW#'!$A:$Z,10,FALSE)+VLOOKUP($A202,A:AL,13,FALSE)-50),"-",(VLOOKUP($A202,'NonXtal_SegEnds_BW#'!$A:$Z,10,FALSE)+VLOOKUP($A202,A:AL,13,FALSE)-50))</f>
        <v>-</v>
      </c>
      <c r="O202" s="3">
        <f>VLOOKUP($A202,'NonXtal_SegEnds_BW#'!$A:$Z,11,FALSE)+VLOOKUP($A202,A:AL,16,FALSE)-50</f>
        <v>77</v>
      </c>
      <c r="P202" s="3">
        <v>104</v>
      </c>
      <c r="Q202" s="3">
        <f>VLOOKUP($A202,'NonXtal_SegEnds_BW#'!$A:$Z,12,FALSE)+VLOOKUP($A202,A:AL,16,FALSE)-50</f>
        <v>110</v>
      </c>
      <c r="R202" s="3" t="str">
        <f>IF(ISERROR(VLOOKUP($A202,'NonXtal_SegEnds_BW#'!$A:$Z,13,FALSE)+VLOOKUP($A202,A:AL,19,FALSE)-50),"-",VLOOKUP($A202,'NonXtal_SegEnds_BW#'!$A:$Z,13,FALSE)+VLOOKUP($A202,A:AL,19,FALSE)-50)</f>
        <v>-</v>
      </c>
      <c r="S202" s="3" t="s">
        <v>129</v>
      </c>
      <c r="T202" s="3" t="str">
        <f>IF(ISERROR(VLOOKUP($A202,'NonXtal_SegEnds_BW#'!$A:$Z,14,FALSE)+VLOOKUP($A202,A:AL,19,FALSE)-50),"-",(VLOOKUP($A202,'NonXtal_SegEnds_BW#'!$A:$Z,14,FALSE)+VLOOKUP($A202,A:AL,19,FALSE)-50))</f>
        <v>-</v>
      </c>
      <c r="U202" s="3">
        <f>IF(ISERROR(VLOOKUP($A202,'NonXtal_SegEnds_BW#'!$A:$Z,15,FALSE)+VLOOKUP($A202,A:AL,22,FALSE)-50),"-",VLOOKUP($A202,'NonXtal_SegEnds_BW#'!$A:$Z,15,FALSE)+VLOOKUP($A202,A:AL,22,FALSE)-50)</f>
        <v>125</v>
      </c>
      <c r="V202" s="3">
        <v>135</v>
      </c>
      <c r="W202" s="3">
        <f>IF(ISERROR(VLOOKUP($A202,'NonXtal_SegEnds_BW#'!$A:$Z,16,FALSE)+VLOOKUP($A202,A:AL,22,FALSE)-50),"-",(VLOOKUP($A202,'NonXtal_SegEnds_BW#'!$A:$Z,16,FALSE)+VLOOKUP($A202,A:AL,22,FALSE)-50))</f>
        <v>149</v>
      </c>
      <c r="X202" s="3" t="str">
        <f>IF(ISERROR(VLOOKUP($A202,'NonXtal_SegEnds_BW#'!$A:$Z,17,FALSE)+VLOOKUP($A202,A:AL,25,FALSE)-50),"-",(VLOOKUP($A202,'NonXtal_SegEnds_BW#'!$A:$Z,17,FALSE)+VLOOKUP($A202,A:AL,25,FALSE)-50))</f>
        <v>-</v>
      </c>
      <c r="Y202" s="3" t="s">
        <v>129</v>
      </c>
      <c r="Z202" s="3" t="str">
        <f>IF(ISERROR(VLOOKUP($A202,'NonXtal_SegEnds_BW#'!$A:$Z,18,FALSE)+VLOOKUP($A202,A:AL,25,FALSE)-50),"-",(VLOOKUP($A202,'NonXtal_SegEnds_BW#'!$A:$Z,18,FALSE)+VLOOKUP($A202,A:AL,25,FALSE)-50))</f>
        <v>-</v>
      </c>
      <c r="AA202" s="3">
        <f>IF(ISERROR(VLOOKUP($A202,'NonXtal_SegEnds_BW#'!$A:$Z,19,FALSE)+VLOOKUP($A202,A:AL,28,FALSE)-50),"-",(VLOOKUP($A202,'NonXtal_SegEnds_BW#'!$A:$Z,19,FALSE)+VLOOKUP($A202,A:AL,28,FALSE)-50))</f>
        <v>153</v>
      </c>
      <c r="AB202" s="3">
        <v>164</v>
      </c>
      <c r="AC202" s="3">
        <f>IF(ISERROR((VLOOKUP($A202,'NonXtal_SegEnds_BW#'!$A:$Z,20,FALSE)+VLOOKUP($A202,A:AL,28,FALSE)-50)),"-",(VLOOKUP($A202,'NonXtal_SegEnds_BW#'!$A:$Z,20,FALSE)+VLOOKUP($A202,A:AL,28,FALSE)-50))</f>
        <v>175</v>
      </c>
      <c r="AD202" s="3">
        <f>IF(ISERROR(VLOOKUP($A202,'NonXtal_SegEnds_BW#'!$A:$Z,21,FALSE)+VLOOKUP($A202,A:AL,31,FALSE)-50),"-",(VLOOKUP($A202,'NonXtal_SegEnds_BW#'!$A:$Z,21,FALSE)+VLOOKUP($A202,A:AL,31,FALSE)-50))</f>
        <v>210</v>
      </c>
      <c r="AE202" s="3">
        <v>231</v>
      </c>
      <c r="AF202" s="3">
        <f>IF(ISERROR((VLOOKUP($A202,'NonXtal_SegEnds_BW#'!$A:$Z,22,FALSE)+VLOOKUP($A202,A:AL,31,FALSE)-50)),"-",(VLOOKUP($A202,'NonXtal_SegEnds_BW#'!$A:$Z,22,FALSE)+VLOOKUP($A202,A:AL,31,FALSE)-50))</f>
        <v>234</v>
      </c>
      <c r="AG202" s="3">
        <f>IF(ISERROR(VLOOKUP($A202,'NonXtal_SegEnds_BW#'!$A:$Z,23,FALSE)+VLOOKUP($A202,A:AL,34,FALSE)-50),"-",(VLOOKUP($A202,'NonXtal_SegEnds_BW#'!$A:$Z,23,FALSE)+VLOOKUP($A202,A:AL,34,FALSE)-50))</f>
        <v>261</v>
      </c>
      <c r="AH202" s="3">
        <v>276</v>
      </c>
      <c r="AI202" s="3">
        <f>IF(ISERROR((VLOOKUP($A202,'NonXtal_SegEnds_BW#'!$A:$Z,24,FALSE)+VLOOKUP($A202,A:AL,34,FALSE)-50)),"-",(VLOOKUP($A202,'NonXtal_SegEnds_BW#'!$A:$Z,24,FALSE)+VLOOKUP($A202,A:AL,34,FALSE)-50))</f>
        <v>282</v>
      </c>
      <c r="AJ202" s="3">
        <v>286</v>
      </c>
      <c r="AK202" s="3">
        <v>294</v>
      </c>
      <c r="AL202" s="3">
        <f>IF(ISERROR((VLOOKUP($A202,'NonXtal_SegEnds_BW#'!$A:$Z,26,FALSE)+VLOOKUP($A202,A:AL,37,FALSE)-50)),"-",(VLOOKUP($A202,'NonXtal_SegEnds_BW#'!$A:$Z,26,FALSE)+VLOOKUP($A202,A:AL,37,FALSE)-50))</f>
        <v>301</v>
      </c>
      <c r="AM202" s="71" t="str">
        <f>VLOOKUP(A202,Classification!A:B,2,FALSE)</f>
        <v>O</v>
      </c>
      <c r="AN202" s="71" t="b">
        <f t="shared" si="102"/>
        <v>1</v>
      </c>
      <c r="AO202" s="3" t="str">
        <f t="shared" si="103"/>
        <v>-</v>
      </c>
      <c r="AP202" s="3" t="str">
        <f t="shared" si="104"/>
        <v>-</v>
      </c>
      <c r="AQ202" s="3" t="str">
        <f t="shared" si="105"/>
        <v>-</v>
      </c>
      <c r="AR202" s="3" t="str">
        <f t="shared" si="106"/>
        <v>-</v>
      </c>
      <c r="AS202" s="3" t="str">
        <f t="shared" si="107"/>
        <v>-</v>
      </c>
      <c r="AT202" s="3" t="str">
        <f t="shared" si="108"/>
        <v>-</v>
      </c>
      <c r="AU202" s="3" t="str">
        <f t="shared" si="109"/>
        <v>-</v>
      </c>
      <c r="AV202" s="3" t="str">
        <f t="shared" si="110"/>
        <v>-</v>
      </c>
      <c r="AW202" s="3">
        <f t="shared" si="111"/>
        <v>35</v>
      </c>
      <c r="AX202" s="3">
        <f t="shared" si="112"/>
        <v>27</v>
      </c>
      <c r="AY202" s="3">
        <f t="shared" si="113"/>
        <v>4</v>
      </c>
      <c r="AZ202" s="3">
        <f>IF(ISERROR(LEN(VLOOKUP(A202,Seqs!A:E,2,FALSE))-AL202),"-",LEN(VLOOKUP(A202,Seqs!A:E,2,FALSE))-AL202)</f>
        <v>34</v>
      </c>
      <c r="BA202" s="35">
        <f t="shared" si="114"/>
        <v>28</v>
      </c>
      <c r="BB202" s="3" t="str">
        <f t="shared" si="115"/>
        <v>-</v>
      </c>
      <c r="BC202" s="3">
        <f t="shared" si="116"/>
        <v>28</v>
      </c>
      <c r="BD202" s="3">
        <f t="shared" si="117"/>
        <v>67</v>
      </c>
    </row>
    <row r="203" spans="1:57" s="3" customFormat="1" x14ac:dyDescent="0.2">
      <c r="A203" s="3" t="s">
        <v>300</v>
      </c>
      <c r="B203" s="3" t="str">
        <f>LOWER(VLOOKUP(A203,Xtal_Templ!A:B,2,FALSE))</f>
        <v>grm1_human</v>
      </c>
      <c r="C203" s="3">
        <f>VLOOKUP($A203,'NonXtal_SegEnds_BW#'!$A:$Z,3,FALSE)+D203-50</f>
        <v>590</v>
      </c>
      <c r="D203" s="3">
        <v>606</v>
      </c>
      <c r="E203" s="3">
        <f>IF(ISERROR(VLOOKUP($A203,'NonXtal_SegEnds_BW#'!$A:$Z,4,FALSE)+VLOOKUP($A203,A:AL,4,FALSE)-50),"-",(VLOOKUP($A203,'NonXtal_SegEnds_BW#'!$A:$Z,4,FALSE)+VLOOKUP($A203,A:AL,4,FALSE)-50))</f>
        <v>616</v>
      </c>
      <c r="F203" s="3">
        <f t="shared" ref="F203:F221" si="118">G203-3</f>
        <v>619</v>
      </c>
      <c r="G203" s="3">
        <v>622</v>
      </c>
      <c r="H203" s="3">
        <f t="shared" ref="H203:H221" si="119">G203+3</f>
        <v>625</v>
      </c>
      <c r="I203" s="3">
        <f t="shared" ref="I203:I221" si="120">H203+1</f>
        <v>626</v>
      </c>
      <c r="J203" s="3">
        <v>637</v>
      </c>
      <c r="K203" s="3">
        <f>VLOOKUP($A203,'NonXtal_SegEnds_BW#'!$A:$Z,8,FALSE)+VLOOKUP($A203,A:AL,10,FALSE)-50</f>
        <v>648</v>
      </c>
      <c r="L203" s="3" t="str">
        <f>IF(ISERROR(VLOOKUP($A203,'NonXtal_SegEnds_BW#'!$A:$Z,9,FALSE)+VLOOKUP($A203,A:AL,13,FALSE)-50),"-",(VLOOKUP($A203,'NonXtal_SegEnds_BW#'!$A:$Z,9,FALSE)+VLOOKUP($A203,A:AL,13,FALSE)-50))</f>
        <v>-</v>
      </c>
      <c r="M203" s="3" t="s">
        <v>129</v>
      </c>
      <c r="N203" s="3" t="str">
        <f>IF(ISERROR(VLOOKUP($A203,'NonXtal_SegEnds_BW#'!$A:$Z,10,FALSE)+VLOOKUP($A203,A:AL,13,FALSE)-50),"-",(VLOOKUP($A203,'NonXtal_SegEnds_BW#'!$A:$Z,10,FALSE)+VLOOKUP($A203,A:AL,13,FALSE)-50))</f>
        <v>-</v>
      </c>
      <c r="O203" s="3">
        <f>VLOOKUP($A203,'NonXtal_SegEnds_BW#'!$A:$Z,11,FALSE)+VLOOKUP($A203,A:AL,16,FALSE)-50</f>
        <v>660</v>
      </c>
      <c r="P203" s="3">
        <v>688</v>
      </c>
      <c r="Q203" s="3">
        <f>VLOOKUP($A203,'NonXtal_SegEnds_BW#'!$A:$Z,12,FALSE)+VLOOKUP($A203,A:AL,16,FALSE)-50</f>
        <v>692</v>
      </c>
      <c r="R203" s="3" t="str">
        <f>IF(ISERROR(VLOOKUP($A203,'NonXtal_SegEnds_BW#'!$A:$Z,13,FALSE)+VLOOKUP($A203,A:AL,19,FALSE)-50),"-",VLOOKUP($A203,'NonXtal_SegEnds_BW#'!$A:$Z,13,FALSE)+VLOOKUP($A203,A:AL,19,FALSE)-50)</f>
        <v>-</v>
      </c>
      <c r="S203" s="3" t="s">
        <v>129</v>
      </c>
      <c r="T203" s="3" t="str">
        <f>IF(ISERROR(VLOOKUP($A203,'NonXtal_SegEnds_BW#'!$A:$Z,14,FALSE)+VLOOKUP($A203,A:AL,19,FALSE)-50),"-",(VLOOKUP($A203,'NonXtal_SegEnds_BW#'!$A:$Z,14,FALSE)+VLOOKUP($A203,A:AL,19,FALSE)-50))</f>
        <v>-</v>
      </c>
      <c r="U203" s="3">
        <f>IF(ISERROR(VLOOKUP($A203,'NonXtal_SegEnds_BW#'!$A:$Z,15,FALSE)+VLOOKUP($A203,A:AL,22,FALSE)-50),"-",VLOOKUP($A203,'NonXtal_SegEnds_BW#'!$A:$Z,15,FALSE)+VLOOKUP($A203,A:AL,22,FALSE)-50)</f>
        <v>707</v>
      </c>
      <c r="V203" s="3">
        <v>718</v>
      </c>
      <c r="W203" s="3">
        <f>IF(ISERROR(VLOOKUP($A203,'NonXtal_SegEnds_BW#'!$A:$Z,16,FALSE)+VLOOKUP($A203,A:AL,22,FALSE)-50),"-",(VLOOKUP($A203,'NonXtal_SegEnds_BW#'!$A:$Z,16,FALSE)+VLOOKUP($A203,A:AL,22,FALSE)-50))</f>
        <v>732</v>
      </c>
      <c r="X203" s="3">
        <f>IF(ISERROR(VLOOKUP($A203,'NonXtal_SegEnds_BW#'!$A:$Z,17,FALSE)+VLOOKUP($A203,A:AL,25,FALSE)-50),"-",(VLOOKUP($A203,'NonXtal_SegEnds_BW#'!$A:$Z,17,FALSE)+VLOOKUP($A203,A:AL,25,FALSE)-50))</f>
        <v>761</v>
      </c>
      <c r="Y203" s="3">
        <v>761</v>
      </c>
      <c r="Z203" s="3">
        <f t="shared" ref="Z203:Z221" si="121">Y203+2</f>
        <v>763</v>
      </c>
      <c r="AA203" s="3">
        <f>IF(ISERROR(VLOOKUP($A203,'NonXtal_SegEnds_BW#'!$A:$Z,19,FALSE)+VLOOKUP($A203,A:AL,28,FALSE)-50),"-",(VLOOKUP($A203,'NonXtal_SegEnds_BW#'!$A:$Z,19,FALSE)+VLOOKUP($A203,A:AL,28,FALSE)-50))</f>
        <v>767</v>
      </c>
      <c r="AB203" s="3">
        <v>780</v>
      </c>
      <c r="AC203" s="3">
        <f>IF(ISERROR((VLOOKUP($A203,'NonXtal_SegEnds_BW#'!$A:$Z,20,FALSE)+VLOOKUP($A203,A:AL,28,FALSE)-50)),"-",(VLOOKUP($A203,'NonXtal_SegEnds_BW#'!$A:$Z,20,FALSE)+VLOOKUP($A203,A:AL,28,FALSE)-50))</f>
        <v>791</v>
      </c>
      <c r="AD203" s="3">
        <f>IF(ISERROR(VLOOKUP($A203,'NonXtal_SegEnds_BW#'!$A:$Z,21,FALSE)+VLOOKUP($A203,A:AL,31,FALSE)-50),"-",(VLOOKUP($A203,'NonXtal_SegEnds_BW#'!$A:$Z,21,FALSE)+VLOOKUP($A203,A:AL,31,FALSE)-50))</f>
        <v>801</v>
      </c>
      <c r="AE203" s="3">
        <v>818</v>
      </c>
      <c r="AF203" s="3">
        <f>IF(ISERROR((VLOOKUP($A203,'NonXtal_SegEnds_BW#'!$A:$Z,22,FALSE)+VLOOKUP($A203,A:AL,31,FALSE)-50)),"-",(VLOOKUP($A203,'NonXtal_SegEnds_BW#'!$A:$Z,22,FALSE)+VLOOKUP($A203,A:AL,31,FALSE)-50))</f>
        <v>825</v>
      </c>
      <c r="AG203" s="3">
        <f>IF(ISERROR(VLOOKUP($A203,'NonXtal_SegEnds_BW#'!$A:$Z,23,FALSE)+VLOOKUP($A203,A:AL,34,FALSE)-50),"-",(VLOOKUP($A203,'NonXtal_SegEnds_BW#'!$A:$Z,23,FALSE)+VLOOKUP($A203,A:AL,34,FALSE)-50))</f>
        <v>833</v>
      </c>
      <c r="AH203" s="3">
        <v>849</v>
      </c>
      <c r="AI203" s="3">
        <f>IF(ISERROR((VLOOKUP($A203,'NonXtal_SegEnds_BW#'!$A:$Z,24,FALSE)+VLOOKUP($A203,A:AL,34,FALSE)-50)),"-",(VLOOKUP($A203,'NonXtal_SegEnds_BW#'!$A:$Z,24,FALSE)+VLOOKUP($A203,A:AL,34,FALSE)-50))</f>
        <v>862</v>
      </c>
      <c r="AJ203" s="3">
        <f>IF(ISERROR(VLOOKUP($A203,'NonXtal_SegEnds_BW#'!$A:$Z,25,FALSE)+VLOOKUP($A203,A:AL,37,FALSE)-50),"-",(VLOOKUP($A203,'NonXtal_SegEnds_BW#'!$A:$Z,25,FALSE)+VLOOKUP($A203,A:AL,37,FALSE)-50))</f>
        <v>863</v>
      </c>
      <c r="AK203" s="3">
        <v>866</v>
      </c>
      <c r="AL203" s="3">
        <f>IF(ISERROR((VLOOKUP($A203,'NonXtal_SegEnds_BW#'!$A:$Z,26,FALSE)+VLOOKUP($A203,A:AL,37,FALSE)-50)),"-",(VLOOKUP($A203,'NonXtal_SegEnds_BW#'!$A:$Z,26,FALSE)+VLOOKUP($A203,A:AL,37,FALSE)-50))</f>
        <v>875</v>
      </c>
      <c r="AM203" s="71" t="str">
        <f>VLOOKUP(A203,Classification!A:B,2,FALSE)</f>
        <v>C</v>
      </c>
      <c r="AN203" s="71" t="b">
        <f t="shared" si="102"/>
        <v>1</v>
      </c>
      <c r="AO203" s="3">
        <f t="shared" si="103"/>
        <v>3</v>
      </c>
      <c r="AP203" s="3">
        <f t="shared" si="104"/>
        <v>1</v>
      </c>
      <c r="AQ203" s="3" t="str">
        <f t="shared" si="105"/>
        <v>-</v>
      </c>
      <c r="AR203" s="3" t="str">
        <f t="shared" si="106"/>
        <v>-</v>
      </c>
      <c r="AS203" s="3" t="str">
        <f t="shared" si="107"/>
        <v>-</v>
      </c>
      <c r="AT203" s="3" t="str">
        <f t="shared" si="108"/>
        <v>-</v>
      </c>
      <c r="AU203" s="3">
        <f t="shared" si="109"/>
        <v>29</v>
      </c>
      <c r="AV203" s="3">
        <f t="shared" si="110"/>
        <v>4</v>
      </c>
      <c r="AW203" s="3">
        <f t="shared" si="111"/>
        <v>10</v>
      </c>
      <c r="AX203" s="3">
        <f t="shared" si="112"/>
        <v>8</v>
      </c>
      <c r="AY203" s="3">
        <f t="shared" si="113"/>
        <v>1</v>
      </c>
      <c r="AZ203" s="3">
        <f>IF(ISERROR(LEN(VLOOKUP(A203,Seqs!A:E,2,FALSE))-AL203),"-",LEN(VLOOKUP(A203,Seqs!A:E,2,FALSE))-AL203)</f>
        <v>86</v>
      </c>
      <c r="BA203" s="35">
        <f t="shared" si="114"/>
        <v>31</v>
      </c>
      <c r="BB203" s="3" t="str">
        <f t="shared" si="115"/>
        <v>-</v>
      </c>
      <c r="BC203" s="3">
        <f t="shared" si="116"/>
        <v>31</v>
      </c>
      <c r="BD203" s="3">
        <f t="shared" si="117"/>
        <v>38</v>
      </c>
    </row>
    <row r="204" spans="1:57" s="3" customFormat="1" x14ac:dyDescent="0.2">
      <c r="A204" s="3" t="s">
        <v>223</v>
      </c>
      <c r="B204" s="3" t="str">
        <f>LOWER(VLOOKUP(A204,Xtal_Templ!A:B,2,FALSE))</f>
        <v>grm1_human</v>
      </c>
      <c r="C204" s="3">
        <f>VLOOKUP($A204,'NonXtal_SegEnds_BW#'!$A:$Z,3,FALSE)+D204-50</f>
        <v>591</v>
      </c>
      <c r="D204" s="3">
        <v>607</v>
      </c>
      <c r="E204" s="3">
        <f>IF(ISERROR(VLOOKUP($A204,'NonXtal_SegEnds_BW#'!$A:$Z,4,FALSE)+VLOOKUP($A204,A:AL,4,FALSE)-50),"-",(VLOOKUP($A204,'NonXtal_SegEnds_BW#'!$A:$Z,4,FALSE)+VLOOKUP($A204,A:AL,4,FALSE)-50))</f>
        <v>617</v>
      </c>
      <c r="F204" s="3">
        <f t="shared" si="118"/>
        <v>620</v>
      </c>
      <c r="G204" s="3">
        <v>623</v>
      </c>
      <c r="H204" s="3">
        <f t="shared" si="119"/>
        <v>626</v>
      </c>
      <c r="I204" s="3">
        <f t="shared" si="120"/>
        <v>627</v>
      </c>
      <c r="J204" s="3">
        <v>638</v>
      </c>
      <c r="K204" s="3">
        <f>VLOOKUP($A204,'NonXtal_SegEnds_BW#'!$A:$Z,8,FALSE)+VLOOKUP($A204,A:AL,10,FALSE)-50</f>
        <v>649</v>
      </c>
      <c r="L204" s="3" t="str">
        <f>IF(ISERROR(VLOOKUP($A204,'NonXtal_SegEnds_BW#'!$A:$Z,9,FALSE)+VLOOKUP($A204,A:AL,13,FALSE)-50),"-",(VLOOKUP($A204,'NonXtal_SegEnds_BW#'!$A:$Z,9,FALSE)+VLOOKUP($A204,A:AL,13,FALSE)-50))</f>
        <v>-</v>
      </c>
      <c r="M204" s="3" t="s">
        <v>129</v>
      </c>
      <c r="N204" s="3" t="str">
        <f>IF(ISERROR(VLOOKUP($A204,'NonXtal_SegEnds_BW#'!$A:$Z,10,FALSE)+VLOOKUP($A204,A:AL,13,FALSE)-50),"-",(VLOOKUP($A204,'NonXtal_SegEnds_BW#'!$A:$Z,10,FALSE)+VLOOKUP($A204,A:AL,13,FALSE)-50))</f>
        <v>-</v>
      </c>
      <c r="O204" s="3">
        <f>VLOOKUP($A204,'NonXtal_SegEnds_BW#'!$A:$Z,11,FALSE)+VLOOKUP($A204,A:AL,16,FALSE)-50</f>
        <v>654</v>
      </c>
      <c r="P204" s="3">
        <v>682</v>
      </c>
      <c r="Q204" s="3">
        <f>VLOOKUP($A204,'NonXtal_SegEnds_BW#'!$A:$Z,12,FALSE)+VLOOKUP($A204,A:AL,16,FALSE)-50</f>
        <v>686</v>
      </c>
      <c r="R204" s="3" t="str">
        <f>IF(ISERROR(VLOOKUP($A204,'NonXtal_SegEnds_BW#'!$A:$Z,13,FALSE)+VLOOKUP($A204,A:AL,19,FALSE)-50),"-",VLOOKUP($A204,'NonXtal_SegEnds_BW#'!$A:$Z,13,FALSE)+VLOOKUP($A204,A:AL,19,FALSE)-50)</f>
        <v>-</v>
      </c>
      <c r="S204" s="3" t="s">
        <v>129</v>
      </c>
      <c r="T204" s="3" t="str">
        <f>IF(ISERROR(VLOOKUP($A204,'NonXtal_SegEnds_BW#'!$A:$Z,14,FALSE)+VLOOKUP($A204,A:AL,19,FALSE)-50),"-",(VLOOKUP($A204,'NonXtal_SegEnds_BW#'!$A:$Z,14,FALSE)+VLOOKUP($A204,A:AL,19,FALSE)-50))</f>
        <v>-</v>
      </c>
      <c r="U204" s="3">
        <f>IF(ISERROR(VLOOKUP($A204,'NonXtal_SegEnds_BW#'!$A:$Z,15,FALSE)+VLOOKUP($A204,A:AL,22,FALSE)-50),"-",VLOOKUP($A204,'NonXtal_SegEnds_BW#'!$A:$Z,15,FALSE)+VLOOKUP($A204,A:AL,22,FALSE)-50)</f>
        <v>703</v>
      </c>
      <c r="V204" s="3">
        <v>714</v>
      </c>
      <c r="W204" s="3">
        <f>IF(ISERROR(VLOOKUP($A204,'NonXtal_SegEnds_BW#'!$A:$Z,16,FALSE)+VLOOKUP($A204,A:AL,22,FALSE)-50),"-",(VLOOKUP($A204,'NonXtal_SegEnds_BW#'!$A:$Z,16,FALSE)+VLOOKUP($A204,A:AL,22,FALSE)-50))</f>
        <v>728</v>
      </c>
      <c r="X204" s="3">
        <f>IF(ISERROR(VLOOKUP($A204,'NonXtal_SegEnds_BW#'!$A:$Z,17,FALSE)+VLOOKUP($A204,A:AL,25,FALSE)-50),"-",(VLOOKUP($A204,'NonXtal_SegEnds_BW#'!$A:$Z,17,FALSE)+VLOOKUP($A204,A:AL,25,FALSE)-50))</f>
        <v>746</v>
      </c>
      <c r="Y204" s="3">
        <v>746</v>
      </c>
      <c r="Z204" s="3">
        <f t="shared" si="121"/>
        <v>748</v>
      </c>
      <c r="AA204" s="3">
        <f>IF(ISERROR(VLOOKUP($A204,'NonXtal_SegEnds_BW#'!$A:$Z,19,FALSE)+VLOOKUP($A204,A:AL,28,FALSE)-50),"-",(VLOOKUP($A204,'NonXtal_SegEnds_BW#'!$A:$Z,19,FALSE)+VLOOKUP($A204,A:AL,28,FALSE)-50))</f>
        <v>750</v>
      </c>
      <c r="AB204" s="3">
        <v>763</v>
      </c>
      <c r="AC204" s="3">
        <f>IF(ISERROR((VLOOKUP($A204,'NonXtal_SegEnds_BW#'!$A:$Z,20,FALSE)+VLOOKUP($A204,A:AL,28,FALSE)-50)),"-",(VLOOKUP($A204,'NonXtal_SegEnds_BW#'!$A:$Z,20,FALSE)+VLOOKUP($A204,A:AL,28,FALSE)-50))</f>
        <v>774</v>
      </c>
      <c r="AD204" s="3">
        <f>IF(ISERROR(VLOOKUP($A204,'NonXtal_SegEnds_BW#'!$A:$Z,21,FALSE)+VLOOKUP($A204,A:AL,31,FALSE)-50),"-",(VLOOKUP($A204,'NonXtal_SegEnds_BW#'!$A:$Z,21,FALSE)+VLOOKUP($A204,A:AL,31,FALSE)-50))</f>
        <v>783</v>
      </c>
      <c r="AE204" s="3">
        <v>800</v>
      </c>
      <c r="AF204" s="3">
        <f>IF(ISERROR((VLOOKUP($A204,'NonXtal_SegEnds_BW#'!$A:$Z,22,FALSE)+VLOOKUP($A204,A:AL,31,FALSE)-50)),"-",(VLOOKUP($A204,'NonXtal_SegEnds_BW#'!$A:$Z,22,FALSE)+VLOOKUP($A204,A:AL,31,FALSE)-50))</f>
        <v>807</v>
      </c>
      <c r="AG204" s="3">
        <f>IF(ISERROR(VLOOKUP($A204,'NonXtal_SegEnds_BW#'!$A:$Z,23,FALSE)+VLOOKUP($A204,A:AL,34,FALSE)-50),"-",(VLOOKUP($A204,'NonXtal_SegEnds_BW#'!$A:$Z,23,FALSE)+VLOOKUP($A204,A:AL,34,FALSE)-50))</f>
        <v>811</v>
      </c>
      <c r="AH204" s="3">
        <v>827</v>
      </c>
      <c r="AI204" s="3">
        <f>IF(ISERROR((VLOOKUP($A204,'NonXtal_SegEnds_BW#'!$A:$Z,24,FALSE)+VLOOKUP($A204,A:AL,34,FALSE)-50)),"-",(VLOOKUP($A204,'NonXtal_SegEnds_BW#'!$A:$Z,24,FALSE)+VLOOKUP($A204,A:AL,34,FALSE)-50))</f>
        <v>840</v>
      </c>
      <c r="AJ204" s="3">
        <f>IF(ISERROR(VLOOKUP($A204,'NonXtal_SegEnds_BW#'!$A:$Z,25,FALSE)+VLOOKUP($A204,A:AL,37,FALSE)-50),"-",(VLOOKUP($A204,'NonXtal_SegEnds_BW#'!$A:$Z,25,FALSE)+VLOOKUP($A204,A:AL,37,FALSE)-50))</f>
        <v>841</v>
      </c>
      <c r="AK204" s="3">
        <v>844</v>
      </c>
      <c r="AL204" s="3">
        <f>IF(ISERROR((VLOOKUP($A204,'NonXtal_SegEnds_BW#'!$A:$Z,26,FALSE)+VLOOKUP($A204,A:AL,37,FALSE)-50)),"-",(VLOOKUP($A204,'NonXtal_SegEnds_BW#'!$A:$Z,26,FALSE)+VLOOKUP($A204,A:AL,37,FALSE)-50))</f>
        <v>853</v>
      </c>
      <c r="AM204" s="71" t="str">
        <f>VLOOKUP(A204,Classification!A:B,2,FALSE)</f>
        <v>C</v>
      </c>
      <c r="AN204" s="71" t="b">
        <f t="shared" si="102"/>
        <v>1</v>
      </c>
      <c r="AO204" s="3">
        <f t="shared" si="103"/>
        <v>3</v>
      </c>
      <c r="AP204" s="3">
        <f t="shared" si="104"/>
        <v>1</v>
      </c>
      <c r="AQ204" s="3" t="str">
        <f t="shared" si="105"/>
        <v>-</v>
      </c>
      <c r="AR204" s="3" t="str">
        <f t="shared" si="106"/>
        <v>-</v>
      </c>
      <c r="AS204" s="3" t="str">
        <f t="shared" si="107"/>
        <v>-</v>
      </c>
      <c r="AT204" s="3" t="str">
        <f t="shared" si="108"/>
        <v>-</v>
      </c>
      <c r="AU204" s="3">
        <f t="shared" si="109"/>
        <v>18</v>
      </c>
      <c r="AV204" s="3">
        <f t="shared" si="110"/>
        <v>2</v>
      </c>
      <c r="AW204" s="3">
        <f t="shared" si="111"/>
        <v>9</v>
      </c>
      <c r="AX204" s="3">
        <f t="shared" si="112"/>
        <v>4</v>
      </c>
      <c r="AY204" s="3">
        <f t="shared" si="113"/>
        <v>1</v>
      </c>
      <c r="AZ204" s="3">
        <f>IF(ISERROR(LEN(VLOOKUP(A204,Seqs!A:E,2,FALSE))-AL204),"-",LEN(VLOOKUP(A204,Seqs!A:E,2,FALSE))-AL204)</f>
        <v>341</v>
      </c>
      <c r="BA204" s="35">
        <f t="shared" si="114"/>
        <v>31</v>
      </c>
      <c r="BB204" s="3" t="str">
        <f t="shared" si="115"/>
        <v>-</v>
      </c>
      <c r="BC204" s="3">
        <f t="shared" si="116"/>
        <v>31</v>
      </c>
      <c r="BD204" s="3">
        <f t="shared" si="117"/>
        <v>37</v>
      </c>
    </row>
    <row r="205" spans="1:57" s="3" customFormat="1" x14ac:dyDescent="0.2">
      <c r="A205" s="3" t="s">
        <v>308</v>
      </c>
      <c r="B205" s="3" t="str">
        <f>LOWER(VLOOKUP(A205,Xtal_Templ!A:B,2,FALSE))</f>
        <v>grm1_human</v>
      </c>
      <c r="C205" s="3">
        <f>VLOOKUP($A205,'NonXtal_SegEnds_BW#'!$A:$Z,3,FALSE)+D205-50</f>
        <v>592</v>
      </c>
      <c r="D205" s="3">
        <v>608</v>
      </c>
      <c r="E205" s="3">
        <f>IF(ISERROR(VLOOKUP($A205,'NonXtal_SegEnds_BW#'!$A:$Z,4,FALSE)+VLOOKUP($A205,A:AL,4,FALSE)-50),"-",(VLOOKUP($A205,'NonXtal_SegEnds_BW#'!$A:$Z,4,FALSE)+VLOOKUP($A205,A:AL,4,FALSE)-50))</f>
        <v>618</v>
      </c>
      <c r="F205" s="3">
        <f t="shared" si="118"/>
        <v>621</v>
      </c>
      <c r="G205" s="3">
        <v>624</v>
      </c>
      <c r="H205" s="3">
        <f t="shared" si="119"/>
        <v>627</v>
      </c>
      <c r="I205" s="3">
        <f t="shared" si="120"/>
        <v>628</v>
      </c>
      <c r="J205" s="3">
        <v>640</v>
      </c>
      <c r="K205" s="3">
        <f>VLOOKUP($A205,'NonXtal_SegEnds_BW#'!$A:$Z,8,FALSE)+VLOOKUP($A205,A:AL,10,FALSE)-50</f>
        <v>651</v>
      </c>
      <c r="L205" s="3" t="str">
        <f>IF(ISERROR(VLOOKUP($A205,'NonXtal_SegEnds_BW#'!$A:$Z,9,FALSE)+VLOOKUP($A205,A:AL,13,FALSE)-50),"-",(VLOOKUP($A205,'NonXtal_SegEnds_BW#'!$A:$Z,9,FALSE)+VLOOKUP($A205,A:AL,13,FALSE)-50))</f>
        <v>-</v>
      </c>
      <c r="M205" s="3" t="s">
        <v>129</v>
      </c>
      <c r="N205" s="3" t="str">
        <f>IF(ISERROR(VLOOKUP($A205,'NonXtal_SegEnds_BW#'!$A:$Z,10,FALSE)+VLOOKUP($A205,A:AL,13,FALSE)-50),"-",(VLOOKUP($A205,'NonXtal_SegEnds_BW#'!$A:$Z,10,FALSE)+VLOOKUP($A205,A:AL,13,FALSE)-50))</f>
        <v>-</v>
      </c>
      <c r="O205" s="3">
        <f>VLOOKUP($A205,'NonXtal_SegEnds_BW#'!$A:$Z,11,FALSE)+VLOOKUP($A205,A:AL,16,FALSE)-50</f>
        <v>656</v>
      </c>
      <c r="P205" s="3">
        <v>684</v>
      </c>
      <c r="Q205" s="3">
        <f>VLOOKUP($A205,'NonXtal_SegEnds_BW#'!$A:$Z,12,FALSE)+VLOOKUP($A205,A:AL,16,FALSE)-50</f>
        <v>688</v>
      </c>
      <c r="R205" s="3" t="str">
        <f>IF(ISERROR(VLOOKUP($A205,'NonXtal_SegEnds_BW#'!$A:$Z,13,FALSE)+VLOOKUP($A205,A:AL,19,FALSE)-50),"-",VLOOKUP($A205,'NonXtal_SegEnds_BW#'!$A:$Z,13,FALSE)+VLOOKUP($A205,A:AL,19,FALSE)-50)</f>
        <v>-</v>
      </c>
      <c r="S205" s="3" t="s">
        <v>129</v>
      </c>
      <c r="T205" s="3" t="str">
        <f>IF(ISERROR(VLOOKUP($A205,'NonXtal_SegEnds_BW#'!$A:$Z,14,FALSE)+VLOOKUP($A205,A:AL,19,FALSE)-50),"-",(VLOOKUP($A205,'NonXtal_SegEnds_BW#'!$A:$Z,14,FALSE)+VLOOKUP($A205,A:AL,19,FALSE)-50))</f>
        <v>-</v>
      </c>
      <c r="U205" s="3">
        <f>IF(ISERROR(VLOOKUP($A205,'NonXtal_SegEnds_BW#'!$A:$Z,15,FALSE)+VLOOKUP($A205,A:AL,22,FALSE)-50),"-",VLOOKUP($A205,'NonXtal_SegEnds_BW#'!$A:$Z,15,FALSE)+VLOOKUP($A205,A:AL,22,FALSE)-50)</f>
        <v>701</v>
      </c>
      <c r="V205" s="3">
        <v>712</v>
      </c>
      <c r="W205" s="3">
        <f>IF(ISERROR(VLOOKUP($A205,'NonXtal_SegEnds_BW#'!$A:$Z,16,FALSE)+VLOOKUP($A205,A:AL,22,FALSE)-50),"-",(VLOOKUP($A205,'NonXtal_SegEnds_BW#'!$A:$Z,16,FALSE)+VLOOKUP($A205,A:AL,22,FALSE)-50))</f>
        <v>726</v>
      </c>
      <c r="X205" s="3">
        <f>IF(ISERROR(VLOOKUP($A205,'NonXtal_SegEnds_BW#'!$A:$Z,17,FALSE)+VLOOKUP($A205,A:AL,25,FALSE)-50),"-",(VLOOKUP($A205,'NonXtal_SegEnds_BW#'!$A:$Z,17,FALSE)+VLOOKUP($A205,A:AL,25,FALSE)-50))</f>
        <v>744</v>
      </c>
      <c r="Y205" s="3">
        <v>744</v>
      </c>
      <c r="Z205" s="3">
        <f t="shared" si="121"/>
        <v>746</v>
      </c>
      <c r="AA205" s="3">
        <f>IF(ISERROR(VLOOKUP($A205,'NonXtal_SegEnds_BW#'!$A:$Z,19,FALSE)+VLOOKUP($A205,A:AL,28,FALSE)-50),"-",(VLOOKUP($A205,'NonXtal_SegEnds_BW#'!$A:$Z,19,FALSE)+VLOOKUP($A205,A:AL,28,FALSE)-50))</f>
        <v>749</v>
      </c>
      <c r="AB205" s="3">
        <v>762</v>
      </c>
      <c r="AC205" s="3">
        <f>IF(ISERROR((VLOOKUP($A205,'NonXtal_SegEnds_BW#'!$A:$Z,20,FALSE)+VLOOKUP($A205,A:AL,28,FALSE)-50)),"-",(VLOOKUP($A205,'NonXtal_SegEnds_BW#'!$A:$Z,20,FALSE)+VLOOKUP($A205,A:AL,28,FALSE)-50))</f>
        <v>773</v>
      </c>
      <c r="AD205" s="3">
        <f>IF(ISERROR(VLOOKUP($A205,'NonXtal_SegEnds_BW#'!$A:$Z,21,FALSE)+VLOOKUP($A205,A:AL,31,FALSE)-50),"-",(VLOOKUP($A205,'NonXtal_SegEnds_BW#'!$A:$Z,21,FALSE)+VLOOKUP($A205,A:AL,31,FALSE)-50))</f>
        <v>780</v>
      </c>
      <c r="AE205" s="3">
        <v>797</v>
      </c>
      <c r="AF205" s="3">
        <f>IF(ISERROR((VLOOKUP($A205,'NonXtal_SegEnds_BW#'!$A:$Z,22,FALSE)+VLOOKUP($A205,A:AL,31,FALSE)-50)),"-",(VLOOKUP($A205,'NonXtal_SegEnds_BW#'!$A:$Z,22,FALSE)+VLOOKUP($A205,A:AL,31,FALSE)-50))</f>
        <v>804</v>
      </c>
      <c r="AG205" s="3">
        <f>IF(ISERROR(VLOOKUP($A205,'NonXtal_SegEnds_BW#'!$A:$Z,23,FALSE)+VLOOKUP($A205,A:AL,34,FALSE)-50),"-",(VLOOKUP($A205,'NonXtal_SegEnds_BW#'!$A:$Z,23,FALSE)+VLOOKUP($A205,A:AL,34,FALSE)-50))</f>
        <v>810</v>
      </c>
      <c r="AH205" s="3">
        <v>826</v>
      </c>
      <c r="AI205" s="3">
        <f>IF(ISERROR((VLOOKUP($A205,'NonXtal_SegEnds_BW#'!$A:$Z,24,FALSE)+VLOOKUP($A205,A:AL,34,FALSE)-50)),"-",(VLOOKUP($A205,'NonXtal_SegEnds_BW#'!$A:$Z,24,FALSE)+VLOOKUP($A205,A:AL,34,FALSE)-50))</f>
        <v>839</v>
      </c>
      <c r="AJ205" s="3">
        <f>IF(ISERROR(VLOOKUP($A205,'NonXtal_SegEnds_BW#'!$A:$Z,25,FALSE)+VLOOKUP($A205,A:AL,37,FALSE)-50),"-",(VLOOKUP($A205,'NonXtal_SegEnds_BW#'!$A:$Z,25,FALSE)+VLOOKUP($A205,A:AL,37,FALSE)-50))</f>
        <v>840</v>
      </c>
      <c r="AK205" s="3">
        <v>843</v>
      </c>
      <c r="AL205" s="3">
        <f>IF(ISERROR((VLOOKUP($A205,'NonXtal_SegEnds_BW#'!$A:$Z,26,FALSE)+VLOOKUP($A205,A:AL,37,FALSE)-50)),"-",(VLOOKUP($A205,'NonXtal_SegEnds_BW#'!$A:$Z,26,FALSE)+VLOOKUP($A205,A:AL,37,FALSE)-50))</f>
        <v>852</v>
      </c>
      <c r="AM205" s="71" t="str">
        <f>VLOOKUP(A205,Classification!A:B,2,FALSE)</f>
        <v>C</v>
      </c>
      <c r="AN205" s="71" t="b">
        <f t="shared" si="102"/>
        <v>1</v>
      </c>
      <c r="AO205" s="3">
        <f t="shared" si="103"/>
        <v>3</v>
      </c>
      <c r="AP205" s="3">
        <f t="shared" si="104"/>
        <v>1</v>
      </c>
      <c r="AQ205" s="3" t="str">
        <f t="shared" si="105"/>
        <v>-</v>
      </c>
      <c r="AR205" s="3" t="str">
        <f t="shared" si="106"/>
        <v>-</v>
      </c>
      <c r="AS205" s="3" t="str">
        <f t="shared" si="107"/>
        <v>-</v>
      </c>
      <c r="AT205" s="3" t="str">
        <f t="shared" si="108"/>
        <v>-</v>
      </c>
      <c r="AU205" s="3">
        <f t="shared" si="109"/>
        <v>18</v>
      </c>
      <c r="AV205" s="3">
        <f t="shared" si="110"/>
        <v>3</v>
      </c>
      <c r="AW205" s="3">
        <f t="shared" si="111"/>
        <v>7</v>
      </c>
      <c r="AX205" s="3">
        <f t="shared" si="112"/>
        <v>6</v>
      </c>
      <c r="AY205" s="3">
        <f t="shared" si="113"/>
        <v>1</v>
      </c>
      <c r="AZ205" s="3">
        <f>IF(ISERROR(LEN(VLOOKUP(A205,Seqs!A:E,2,FALSE))-AL205),"-",LEN(VLOOKUP(A205,Seqs!A:E,2,FALSE))-AL205)</f>
        <v>74</v>
      </c>
      <c r="BA205" s="35">
        <f t="shared" si="114"/>
        <v>32</v>
      </c>
      <c r="BB205" s="3" t="str">
        <f t="shared" si="115"/>
        <v>-</v>
      </c>
      <c r="BC205" s="3">
        <f t="shared" si="116"/>
        <v>32</v>
      </c>
      <c r="BD205" s="3">
        <f t="shared" si="117"/>
        <v>35</v>
      </c>
    </row>
    <row r="206" spans="1:57" s="3" customFormat="1" x14ac:dyDescent="0.2">
      <c r="A206" s="3" t="s">
        <v>318</v>
      </c>
      <c r="B206" s="3" t="str">
        <f>LOWER(VLOOKUP(A206,Xtal_Templ!A:B,2,FALSE))</f>
        <v>grm1_human</v>
      </c>
      <c r="C206" s="3">
        <f>VLOOKUP($A206,'NonXtal_SegEnds_BW#'!$A:$Z,3,FALSE)+D206-50</f>
        <v>567</v>
      </c>
      <c r="D206" s="3">
        <v>583</v>
      </c>
      <c r="E206" s="3">
        <f>IF(ISERROR(VLOOKUP($A206,'NonXtal_SegEnds_BW#'!$A:$Z,4,FALSE)+VLOOKUP($A206,A:AL,4,FALSE)-50),"-",(VLOOKUP($A206,'NonXtal_SegEnds_BW#'!$A:$Z,4,FALSE)+VLOOKUP($A206,A:AL,4,FALSE)-50))</f>
        <v>593</v>
      </c>
      <c r="F206" s="3">
        <f t="shared" si="118"/>
        <v>596</v>
      </c>
      <c r="G206" s="3">
        <v>599</v>
      </c>
      <c r="H206" s="3">
        <f t="shared" si="119"/>
        <v>602</v>
      </c>
      <c r="I206" s="3">
        <f t="shared" si="120"/>
        <v>603</v>
      </c>
      <c r="J206" s="3">
        <v>614</v>
      </c>
      <c r="K206" s="3">
        <f>VLOOKUP($A206,'NonXtal_SegEnds_BW#'!$A:$Z,8,FALSE)+VLOOKUP($A206,A:AL,10,FALSE)-50</f>
        <v>625</v>
      </c>
      <c r="L206" s="3" t="str">
        <f>IF(ISERROR(VLOOKUP($A206,'NonXtal_SegEnds_BW#'!$A:$Z,9,FALSE)+VLOOKUP($A206,A:AL,13,FALSE)-50),"-",(VLOOKUP($A206,'NonXtal_SegEnds_BW#'!$A:$Z,9,FALSE)+VLOOKUP($A206,A:AL,13,FALSE)-50))</f>
        <v>-</v>
      </c>
      <c r="M206" s="3" t="s">
        <v>129</v>
      </c>
      <c r="N206" s="3" t="str">
        <f>IF(ISERROR(VLOOKUP($A206,'NonXtal_SegEnds_BW#'!$A:$Z,10,FALSE)+VLOOKUP($A206,A:AL,13,FALSE)-50),"-",(VLOOKUP($A206,'NonXtal_SegEnds_BW#'!$A:$Z,10,FALSE)+VLOOKUP($A206,A:AL,13,FALSE)-50))</f>
        <v>-</v>
      </c>
      <c r="O206" s="3">
        <f>VLOOKUP($A206,'NonXtal_SegEnds_BW#'!$A:$Z,11,FALSE)+VLOOKUP($A206,A:AL,16,FALSE)-50</f>
        <v>630</v>
      </c>
      <c r="P206" s="3">
        <v>658</v>
      </c>
      <c r="Q206" s="3">
        <f>VLOOKUP($A206,'NonXtal_SegEnds_BW#'!$A:$Z,12,FALSE)+VLOOKUP($A206,A:AL,16,FALSE)-50</f>
        <v>662</v>
      </c>
      <c r="R206" s="3" t="str">
        <f>IF(ISERROR(VLOOKUP($A206,'NonXtal_SegEnds_BW#'!$A:$Z,13,FALSE)+VLOOKUP($A206,A:AL,19,FALSE)-50),"-",VLOOKUP($A206,'NonXtal_SegEnds_BW#'!$A:$Z,13,FALSE)+VLOOKUP($A206,A:AL,19,FALSE)-50)</f>
        <v>-</v>
      </c>
      <c r="S206" s="3" t="s">
        <v>129</v>
      </c>
      <c r="T206" s="3" t="str">
        <f>IF(ISERROR(VLOOKUP($A206,'NonXtal_SegEnds_BW#'!$A:$Z,14,FALSE)+VLOOKUP($A206,A:AL,19,FALSE)-50),"-",(VLOOKUP($A206,'NonXtal_SegEnds_BW#'!$A:$Z,14,FALSE)+VLOOKUP($A206,A:AL,19,FALSE)-50))</f>
        <v>-</v>
      </c>
      <c r="U206" s="3">
        <f>IF(ISERROR(VLOOKUP($A206,'NonXtal_SegEnds_BW#'!$A:$Z,15,FALSE)+VLOOKUP($A206,A:AL,22,FALSE)-50),"-",VLOOKUP($A206,'NonXtal_SegEnds_BW#'!$A:$Z,15,FALSE)+VLOOKUP($A206,A:AL,22,FALSE)-50)</f>
        <v>678</v>
      </c>
      <c r="V206" s="3">
        <v>689</v>
      </c>
      <c r="W206" s="3">
        <f>IF(ISERROR(VLOOKUP($A206,'NonXtal_SegEnds_BW#'!$A:$Z,16,FALSE)+VLOOKUP($A206,A:AL,22,FALSE)-50),"-",(VLOOKUP($A206,'NonXtal_SegEnds_BW#'!$A:$Z,16,FALSE)+VLOOKUP($A206,A:AL,22,FALSE)-50))</f>
        <v>703</v>
      </c>
      <c r="X206" s="3">
        <f>IF(ISERROR(VLOOKUP($A206,'NonXtal_SegEnds_BW#'!$A:$Z,17,FALSE)+VLOOKUP($A206,A:AL,25,FALSE)-50),"-",(VLOOKUP($A206,'NonXtal_SegEnds_BW#'!$A:$Z,17,FALSE)+VLOOKUP($A206,A:AL,25,FALSE)-50))</f>
        <v>722</v>
      </c>
      <c r="Y206" s="3">
        <v>722</v>
      </c>
      <c r="Z206" s="3">
        <f t="shared" si="121"/>
        <v>724</v>
      </c>
      <c r="AA206" s="3">
        <f>IF(ISERROR(VLOOKUP($A206,'NonXtal_SegEnds_BW#'!$A:$Z,19,FALSE)+VLOOKUP($A206,A:AL,28,FALSE)-50),"-",(VLOOKUP($A206,'NonXtal_SegEnds_BW#'!$A:$Z,19,FALSE)+VLOOKUP($A206,A:AL,28,FALSE)-50))</f>
        <v>727</v>
      </c>
      <c r="AB206" s="3">
        <v>740</v>
      </c>
      <c r="AC206" s="3">
        <f>IF(ISERROR((VLOOKUP($A206,'NonXtal_SegEnds_BW#'!$A:$Z,20,FALSE)+VLOOKUP($A206,A:AL,28,FALSE)-50)),"-",(VLOOKUP($A206,'NonXtal_SegEnds_BW#'!$A:$Z,20,FALSE)+VLOOKUP($A206,A:AL,28,FALSE)-50))</f>
        <v>751</v>
      </c>
      <c r="AD206" s="3">
        <f>IF(ISERROR(VLOOKUP($A206,'NonXtal_SegEnds_BW#'!$A:$Z,21,FALSE)+VLOOKUP($A206,A:AL,31,FALSE)-50),"-",(VLOOKUP($A206,'NonXtal_SegEnds_BW#'!$A:$Z,21,FALSE)+VLOOKUP($A206,A:AL,31,FALSE)-50))</f>
        <v>760</v>
      </c>
      <c r="AE206" s="3">
        <v>777</v>
      </c>
      <c r="AF206" s="3">
        <f>IF(ISERROR((VLOOKUP($A206,'NonXtal_SegEnds_BW#'!$A:$Z,22,FALSE)+VLOOKUP($A206,A:AL,31,FALSE)-50)),"-",(VLOOKUP($A206,'NonXtal_SegEnds_BW#'!$A:$Z,22,FALSE)+VLOOKUP($A206,A:AL,31,FALSE)-50))</f>
        <v>784</v>
      </c>
      <c r="AG206" s="3">
        <f>IF(ISERROR(VLOOKUP($A206,'NonXtal_SegEnds_BW#'!$A:$Z,23,FALSE)+VLOOKUP($A206,A:AL,34,FALSE)-50),"-",(VLOOKUP($A206,'NonXtal_SegEnds_BW#'!$A:$Z,23,FALSE)+VLOOKUP($A206,A:AL,34,FALSE)-50))</f>
        <v>790</v>
      </c>
      <c r="AH206" s="3">
        <v>806</v>
      </c>
      <c r="AI206" s="3">
        <f>IF(ISERROR((VLOOKUP($A206,'NonXtal_SegEnds_BW#'!$A:$Z,24,FALSE)+VLOOKUP($A206,A:AL,34,FALSE)-50)),"-",(VLOOKUP($A206,'NonXtal_SegEnds_BW#'!$A:$Z,24,FALSE)+VLOOKUP($A206,A:AL,34,FALSE)-50))</f>
        <v>819</v>
      </c>
      <c r="AJ206" s="3">
        <f>IF(ISERROR(VLOOKUP($A206,'NonXtal_SegEnds_BW#'!$A:$Z,25,FALSE)+VLOOKUP($A206,A:AL,37,FALSE)-50),"-",(VLOOKUP($A206,'NonXtal_SegEnds_BW#'!$A:$Z,25,FALSE)+VLOOKUP($A206,A:AL,37,FALSE)-50))</f>
        <v>820</v>
      </c>
      <c r="AK206" s="3">
        <v>823</v>
      </c>
      <c r="AL206" s="3">
        <f>IF(ISERROR((VLOOKUP($A206,'NonXtal_SegEnds_BW#'!$A:$Z,26,FALSE)+VLOOKUP($A206,A:AL,37,FALSE)-50)),"-",(VLOOKUP($A206,'NonXtal_SegEnds_BW#'!$A:$Z,26,FALSE)+VLOOKUP($A206,A:AL,37,FALSE)-50))</f>
        <v>832</v>
      </c>
      <c r="AM206" s="71" t="str">
        <f>VLOOKUP(A206,Classification!A:B,2,FALSE)</f>
        <v>C</v>
      </c>
      <c r="AN206" s="71" t="b">
        <f t="shared" si="102"/>
        <v>1</v>
      </c>
      <c r="AO206" s="3">
        <f t="shared" si="103"/>
        <v>3</v>
      </c>
      <c r="AP206" s="3">
        <f t="shared" si="104"/>
        <v>1</v>
      </c>
      <c r="AQ206" s="3" t="str">
        <f t="shared" si="105"/>
        <v>-</v>
      </c>
      <c r="AR206" s="3" t="str">
        <f t="shared" si="106"/>
        <v>-</v>
      </c>
      <c r="AS206" s="3" t="str">
        <f t="shared" si="107"/>
        <v>-</v>
      </c>
      <c r="AT206" s="3" t="str">
        <f t="shared" si="108"/>
        <v>-</v>
      </c>
      <c r="AU206" s="3">
        <f t="shared" si="109"/>
        <v>19</v>
      </c>
      <c r="AV206" s="3">
        <f t="shared" si="110"/>
        <v>3</v>
      </c>
      <c r="AW206" s="3">
        <f t="shared" si="111"/>
        <v>9</v>
      </c>
      <c r="AX206" s="3">
        <f t="shared" si="112"/>
        <v>6</v>
      </c>
      <c r="AY206" s="3">
        <f t="shared" si="113"/>
        <v>1</v>
      </c>
      <c r="AZ206" s="3">
        <f>IF(ISERROR(LEN(VLOOKUP(A206,Seqs!A:E,2,FALSE))-AL206),"-",LEN(VLOOKUP(A206,Seqs!A:E,2,FALSE))-AL206)</f>
        <v>20</v>
      </c>
      <c r="BA206" s="35">
        <f t="shared" si="114"/>
        <v>31</v>
      </c>
      <c r="BB206" s="3" t="str">
        <f t="shared" si="115"/>
        <v>-</v>
      </c>
      <c r="BC206" s="3">
        <f t="shared" si="116"/>
        <v>31</v>
      </c>
      <c r="BD206" s="3">
        <f t="shared" si="117"/>
        <v>37</v>
      </c>
      <c r="BE206" s="3">
        <f>AH206-AE206</f>
        <v>29</v>
      </c>
    </row>
    <row r="207" spans="1:57" s="3" customFormat="1" x14ac:dyDescent="0.2">
      <c r="A207" s="3" t="s">
        <v>316</v>
      </c>
      <c r="B207" s="3" t="str">
        <f>LOWER(VLOOKUP(A207,Xtal_Templ!A:B,2,FALSE))</f>
        <v>grm1_human</v>
      </c>
      <c r="C207" s="3">
        <f>VLOOKUP($A207,'NonXtal_SegEnds_BW#'!$A:$Z,3,FALSE)+D207-50</f>
        <v>565</v>
      </c>
      <c r="D207" s="3">
        <v>581</v>
      </c>
      <c r="E207" s="3">
        <f>IF(ISERROR(VLOOKUP($A207,'NonXtal_SegEnds_BW#'!$A:$Z,4,FALSE)+VLOOKUP($A207,A:AL,4,FALSE)-50),"-",(VLOOKUP($A207,'NonXtal_SegEnds_BW#'!$A:$Z,4,FALSE)+VLOOKUP($A207,A:AL,4,FALSE)-50))</f>
        <v>591</v>
      </c>
      <c r="F207" s="3">
        <f t="shared" si="118"/>
        <v>594</v>
      </c>
      <c r="G207" s="3">
        <v>597</v>
      </c>
      <c r="H207" s="3">
        <f t="shared" si="119"/>
        <v>600</v>
      </c>
      <c r="I207" s="3">
        <f t="shared" si="120"/>
        <v>601</v>
      </c>
      <c r="J207" s="3">
        <v>612</v>
      </c>
      <c r="K207" s="3">
        <f>VLOOKUP($A207,'NonXtal_SegEnds_BW#'!$A:$Z,8,FALSE)+VLOOKUP($A207,A:AL,10,FALSE)-50</f>
        <v>623</v>
      </c>
      <c r="L207" s="3" t="str">
        <f>IF(ISERROR(VLOOKUP($A207,'NonXtal_SegEnds_BW#'!$A:$Z,9,FALSE)+VLOOKUP($A207,A:AL,13,FALSE)-50),"-",(VLOOKUP($A207,'NonXtal_SegEnds_BW#'!$A:$Z,9,FALSE)+VLOOKUP($A207,A:AL,13,FALSE)-50))</f>
        <v>-</v>
      </c>
      <c r="M207" s="3" t="s">
        <v>129</v>
      </c>
      <c r="N207" s="3" t="str">
        <f>IF(ISERROR(VLOOKUP($A207,'NonXtal_SegEnds_BW#'!$A:$Z,10,FALSE)+VLOOKUP($A207,A:AL,13,FALSE)-50),"-",(VLOOKUP($A207,'NonXtal_SegEnds_BW#'!$A:$Z,10,FALSE)+VLOOKUP($A207,A:AL,13,FALSE)-50))</f>
        <v>-</v>
      </c>
      <c r="O207" s="3">
        <f>VLOOKUP($A207,'NonXtal_SegEnds_BW#'!$A:$Z,11,FALSE)+VLOOKUP($A207,A:AL,16,FALSE)-50</f>
        <v>628</v>
      </c>
      <c r="P207" s="3">
        <v>656</v>
      </c>
      <c r="Q207" s="3">
        <f>VLOOKUP($A207,'NonXtal_SegEnds_BW#'!$A:$Z,12,FALSE)+VLOOKUP($A207,A:AL,16,FALSE)-50</f>
        <v>660</v>
      </c>
      <c r="R207" s="3" t="str">
        <f>IF(ISERROR(VLOOKUP($A207,'NonXtal_SegEnds_BW#'!$A:$Z,13,FALSE)+VLOOKUP($A207,A:AL,19,FALSE)-50),"-",VLOOKUP($A207,'NonXtal_SegEnds_BW#'!$A:$Z,13,FALSE)+VLOOKUP($A207,A:AL,19,FALSE)-50)</f>
        <v>-</v>
      </c>
      <c r="S207" s="3" t="s">
        <v>129</v>
      </c>
      <c r="T207" s="3" t="str">
        <f>IF(ISERROR(VLOOKUP($A207,'NonXtal_SegEnds_BW#'!$A:$Z,14,FALSE)+VLOOKUP($A207,A:AL,19,FALSE)-50),"-",(VLOOKUP($A207,'NonXtal_SegEnds_BW#'!$A:$Z,14,FALSE)+VLOOKUP($A207,A:AL,19,FALSE)-50))</f>
        <v>-</v>
      </c>
      <c r="U207" s="3">
        <f>IF(ISERROR(VLOOKUP($A207,'NonXtal_SegEnds_BW#'!$A:$Z,15,FALSE)+VLOOKUP($A207,A:AL,22,FALSE)-50),"-",VLOOKUP($A207,'NonXtal_SegEnds_BW#'!$A:$Z,15,FALSE)+VLOOKUP($A207,A:AL,22,FALSE)-50)</f>
        <v>676</v>
      </c>
      <c r="V207" s="3">
        <v>687</v>
      </c>
      <c r="W207" s="3">
        <f>IF(ISERROR(VLOOKUP($A207,'NonXtal_SegEnds_BW#'!$A:$Z,16,FALSE)+VLOOKUP($A207,A:AL,22,FALSE)-50),"-",(VLOOKUP($A207,'NonXtal_SegEnds_BW#'!$A:$Z,16,FALSE)+VLOOKUP($A207,A:AL,22,FALSE)-50))</f>
        <v>701</v>
      </c>
      <c r="X207" s="3">
        <f>IF(ISERROR(VLOOKUP($A207,'NonXtal_SegEnds_BW#'!$A:$Z,17,FALSE)+VLOOKUP($A207,A:AL,25,FALSE)-50),"-",(VLOOKUP($A207,'NonXtal_SegEnds_BW#'!$A:$Z,17,FALSE)+VLOOKUP($A207,A:AL,25,FALSE)-50))</f>
        <v>720</v>
      </c>
      <c r="Y207" s="3">
        <v>720</v>
      </c>
      <c r="Z207" s="3">
        <f t="shared" si="121"/>
        <v>722</v>
      </c>
      <c r="AA207" s="3">
        <f>IF(ISERROR(VLOOKUP($A207,'NonXtal_SegEnds_BW#'!$A:$Z,19,FALSE)+VLOOKUP($A207,A:AL,28,FALSE)-50),"-",(VLOOKUP($A207,'NonXtal_SegEnds_BW#'!$A:$Z,19,FALSE)+VLOOKUP($A207,A:AL,28,FALSE)-50))</f>
        <v>725</v>
      </c>
      <c r="AB207" s="3">
        <v>738</v>
      </c>
      <c r="AC207" s="3">
        <f>IF(ISERROR((VLOOKUP($A207,'NonXtal_SegEnds_BW#'!$A:$Z,20,FALSE)+VLOOKUP($A207,A:AL,28,FALSE)-50)),"-",(VLOOKUP($A207,'NonXtal_SegEnds_BW#'!$A:$Z,20,FALSE)+VLOOKUP($A207,A:AL,28,FALSE)-50))</f>
        <v>749</v>
      </c>
      <c r="AD207" s="3">
        <f>IF(ISERROR(VLOOKUP($A207,'NonXtal_SegEnds_BW#'!$A:$Z,21,FALSE)+VLOOKUP($A207,A:AL,31,FALSE)-50),"-",(VLOOKUP($A207,'NonXtal_SegEnds_BW#'!$A:$Z,21,FALSE)+VLOOKUP($A207,A:AL,31,FALSE)-50))</f>
        <v>758</v>
      </c>
      <c r="AE207" s="3">
        <v>775</v>
      </c>
      <c r="AF207" s="3">
        <f>IF(ISERROR((VLOOKUP($A207,'NonXtal_SegEnds_BW#'!$A:$Z,22,FALSE)+VLOOKUP($A207,A:AL,31,FALSE)-50)),"-",(VLOOKUP($A207,'NonXtal_SegEnds_BW#'!$A:$Z,22,FALSE)+VLOOKUP($A207,A:AL,31,FALSE)-50))</f>
        <v>782</v>
      </c>
      <c r="AG207" s="3">
        <f>IF(ISERROR(VLOOKUP($A207,'NonXtal_SegEnds_BW#'!$A:$Z,23,FALSE)+VLOOKUP($A207,A:AL,34,FALSE)-50),"-",(VLOOKUP($A207,'NonXtal_SegEnds_BW#'!$A:$Z,23,FALSE)+VLOOKUP($A207,A:AL,34,FALSE)-50))</f>
        <v>788</v>
      </c>
      <c r="AH207" s="3">
        <v>804</v>
      </c>
      <c r="AI207" s="3">
        <f>IF(ISERROR((VLOOKUP($A207,'NonXtal_SegEnds_BW#'!$A:$Z,24,FALSE)+VLOOKUP($A207,A:AL,34,FALSE)-50)),"-",(VLOOKUP($A207,'NonXtal_SegEnds_BW#'!$A:$Z,24,FALSE)+VLOOKUP($A207,A:AL,34,FALSE)-50))</f>
        <v>817</v>
      </c>
      <c r="AJ207" s="3">
        <f>IF(ISERROR(VLOOKUP($A207,'NonXtal_SegEnds_BW#'!$A:$Z,25,FALSE)+VLOOKUP($A207,A:AL,37,FALSE)-50),"-",(VLOOKUP($A207,'NonXtal_SegEnds_BW#'!$A:$Z,25,FALSE)+VLOOKUP($A207,A:AL,37,FALSE)-50))</f>
        <v>818</v>
      </c>
      <c r="AK207" s="3">
        <v>821</v>
      </c>
      <c r="AL207" s="3">
        <f>IF(ISERROR((VLOOKUP($A207,'NonXtal_SegEnds_BW#'!$A:$Z,26,FALSE)+VLOOKUP($A207,A:AL,37,FALSE)-50)),"-",(VLOOKUP($A207,'NonXtal_SegEnds_BW#'!$A:$Z,26,FALSE)+VLOOKUP($A207,A:AL,37,FALSE)-50))</f>
        <v>830</v>
      </c>
      <c r="AM207" s="71" t="str">
        <f>VLOOKUP(A207,Classification!A:B,2,FALSE)</f>
        <v>C</v>
      </c>
      <c r="AN207" s="71" t="b">
        <f t="shared" si="102"/>
        <v>1</v>
      </c>
      <c r="AO207" s="3">
        <f t="shared" si="103"/>
        <v>3</v>
      </c>
      <c r="AP207" s="3">
        <f t="shared" si="104"/>
        <v>1</v>
      </c>
      <c r="AQ207" s="3" t="str">
        <f t="shared" si="105"/>
        <v>-</v>
      </c>
      <c r="AR207" s="3" t="str">
        <f t="shared" si="106"/>
        <v>-</v>
      </c>
      <c r="AS207" s="3" t="str">
        <f t="shared" si="107"/>
        <v>-</v>
      </c>
      <c r="AT207" s="3" t="str">
        <f t="shared" si="108"/>
        <v>-</v>
      </c>
      <c r="AU207" s="3">
        <f t="shared" si="109"/>
        <v>19</v>
      </c>
      <c r="AV207" s="3">
        <f t="shared" si="110"/>
        <v>3</v>
      </c>
      <c r="AW207" s="3">
        <f t="shared" si="111"/>
        <v>9</v>
      </c>
      <c r="AX207" s="3">
        <f t="shared" si="112"/>
        <v>6</v>
      </c>
      <c r="AY207" s="3">
        <f t="shared" si="113"/>
        <v>1</v>
      </c>
      <c r="AZ207" s="3">
        <f>IF(ISERROR(LEN(VLOOKUP(A207,Seqs!A:E,2,FALSE))-AL207),"-",LEN(VLOOKUP(A207,Seqs!A:E,2,FALSE))-AL207)</f>
        <v>11</v>
      </c>
      <c r="BA207" s="35">
        <f t="shared" si="114"/>
        <v>31</v>
      </c>
      <c r="BB207" s="3" t="str">
        <f t="shared" si="115"/>
        <v>-</v>
      </c>
      <c r="BC207" s="3">
        <f t="shared" si="116"/>
        <v>31</v>
      </c>
      <c r="BD207" s="3">
        <f t="shared" si="117"/>
        <v>37</v>
      </c>
      <c r="BE207" s="3">
        <f>AH207-AE207</f>
        <v>29</v>
      </c>
    </row>
    <row r="208" spans="1:57" s="3" customFormat="1" x14ac:dyDescent="0.2">
      <c r="A208" s="3" t="s">
        <v>317</v>
      </c>
      <c r="B208" s="3" t="str">
        <f>LOWER(VLOOKUP(A208,Xtal_Templ!A:B,2,FALSE))</f>
        <v>grm1_human</v>
      </c>
      <c r="C208" s="3">
        <f>VLOOKUP($A208,'NonXtal_SegEnds_BW#'!$A:$Z,3,FALSE)+D208-50</f>
        <v>564</v>
      </c>
      <c r="D208" s="3">
        <v>580</v>
      </c>
      <c r="E208" s="3">
        <f>IF(ISERROR(VLOOKUP($A208,'NonXtal_SegEnds_BW#'!$A:$Z,4,FALSE)+VLOOKUP($A208,A:AL,4,FALSE)-50),"-",(VLOOKUP($A208,'NonXtal_SegEnds_BW#'!$A:$Z,4,FALSE)+VLOOKUP($A208,A:AL,4,FALSE)-50))</f>
        <v>590</v>
      </c>
      <c r="F208" s="3">
        <f t="shared" si="118"/>
        <v>593</v>
      </c>
      <c r="G208" s="3">
        <v>596</v>
      </c>
      <c r="H208" s="3">
        <f t="shared" si="119"/>
        <v>599</v>
      </c>
      <c r="I208" s="3">
        <f t="shared" si="120"/>
        <v>600</v>
      </c>
      <c r="J208" s="3">
        <v>611</v>
      </c>
      <c r="K208" s="3">
        <f>VLOOKUP($A208,'NonXtal_SegEnds_BW#'!$A:$Z,8,FALSE)+VLOOKUP($A208,A:AL,10,FALSE)-50</f>
        <v>622</v>
      </c>
      <c r="L208" s="3" t="str">
        <f>IF(ISERROR(VLOOKUP($A208,'NonXtal_SegEnds_BW#'!$A:$Z,9,FALSE)+VLOOKUP($A208,A:AL,13,FALSE)-50),"-",(VLOOKUP($A208,'NonXtal_SegEnds_BW#'!$A:$Z,9,FALSE)+VLOOKUP($A208,A:AL,13,FALSE)-50))</f>
        <v>-</v>
      </c>
      <c r="M208" s="3" t="s">
        <v>129</v>
      </c>
      <c r="N208" s="3" t="str">
        <f>IF(ISERROR(VLOOKUP($A208,'NonXtal_SegEnds_BW#'!$A:$Z,10,FALSE)+VLOOKUP($A208,A:AL,13,FALSE)-50),"-",(VLOOKUP($A208,'NonXtal_SegEnds_BW#'!$A:$Z,10,FALSE)+VLOOKUP($A208,A:AL,13,FALSE)-50))</f>
        <v>-</v>
      </c>
      <c r="O208" s="3">
        <f>VLOOKUP($A208,'NonXtal_SegEnds_BW#'!$A:$Z,11,FALSE)+VLOOKUP($A208,A:AL,16,FALSE)-50</f>
        <v>627</v>
      </c>
      <c r="P208" s="3">
        <v>655</v>
      </c>
      <c r="Q208" s="3">
        <f>VLOOKUP($A208,'NonXtal_SegEnds_BW#'!$A:$Z,12,FALSE)+VLOOKUP($A208,A:AL,16,FALSE)-50</f>
        <v>659</v>
      </c>
      <c r="R208" s="3" t="str">
        <f>IF(ISERROR(VLOOKUP($A208,'NonXtal_SegEnds_BW#'!$A:$Z,13,FALSE)+VLOOKUP($A208,A:AL,19,FALSE)-50),"-",VLOOKUP($A208,'NonXtal_SegEnds_BW#'!$A:$Z,13,FALSE)+VLOOKUP($A208,A:AL,19,FALSE)-50)</f>
        <v>-</v>
      </c>
      <c r="S208" s="3" t="s">
        <v>129</v>
      </c>
      <c r="T208" s="3" t="str">
        <f>IF(ISERROR(VLOOKUP($A208,'NonXtal_SegEnds_BW#'!$A:$Z,14,FALSE)+VLOOKUP($A208,A:AL,19,FALSE)-50),"-",(VLOOKUP($A208,'NonXtal_SegEnds_BW#'!$A:$Z,14,FALSE)+VLOOKUP($A208,A:AL,19,FALSE)-50))</f>
        <v>-</v>
      </c>
      <c r="U208" s="3">
        <f>IF(ISERROR(VLOOKUP($A208,'NonXtal_SegEnds_BW#'!$A:$Z,15,FALSE)+VLOOKUP($A208,A:AL,22,FALSE)-50),"-",VLOOKUP($A208,'NonXtal_SegEnds_BW#'!$A:$Z,15,FALSE)+VLOOKUP($A208,A:AL,22,FALSE)-50)</f>
        <v>675</v>
      </c>
      <c r="V208" s="3">
        <v>686</v>
      </c>
      <c r="W208" s="3">
        <f>IF(ISERROR(VLOOKUP($A208,'NonXtal_SegEnds_BW#'!$A:$Z,16,FALSE)+VLOOKUP($A208,A:AL,22,FALSE)-50),"-",(VLOOKUP($A208,'NonXtal_SegEnds_BW#'!$A:$Z,16,FALSE)+VLOOKUP($A208,A:AL,22,FALSE)-50))</f>
        <v>700</v>
      </c>
      <c r="X208" s="3">
        <f>IF(ISERROR(VLOOKUP($A208,'NonXtal_SegEnds_BW#'!$A:$Z,17,FALSE)+VLOOKUP($A208,A:AL,25,FALSE)-50),"-",(VLOOKUP($A208,'NonXtal_SegEnds_BW#'!$A:$Z,17,FALSE)+VLOOKUP($A208,A:AL,25,FALSE)-50))</f>
        <v>720</v>
      </c>
      <c r="Y208" s="3">
        <v>720</v>
      </c>
      <c r="Z208" s="3">
        <f t="shared" si="121"/>
        <v>722</v>
      </c>
      <c r="AA208" s="3">
        <f>IF(ISERROR(VLOOKUP($A208,'NonXtal_SegEnds_BW#'!$A:$Z,19,FALSE)+VLOOKUP($A208,A:AL,28,FALSE)-50),"-",(VLOOKUP($A208,'NonXtal_SegEnds_BW#'!$A:$Z,19,FALSE)+VLOOKUP($A208,A:AL,28,FALSE)-50))</f>
        <v>725</v>
      </c>
      <c r="AB208" s="3">
        <v>738</v>
      </c>
      <c r="AC208" s="3">
        <f>IF(ISERROR((VLOOKUP($A208,'NonXtal_SegEnds_BW#'!$A:$Z,20,FALSE)+VLOOKUP($A208,A:AL,28,FALSE)-50)),"-",(VLOOKUP($A208,'NonXtal_SegEnds_BW#'!$A:$Z,20,FALSE)+VLOOKUP($A208,A:AL,28,FALSE)-50))</f>
        <v>749</v>
      </c>
      <c r="AD208" s="3">
        <f>IF(ISERROR(VLOOKUP($A208,'NonXtal_SegEnds_BW#'!$A:$Z,21,FALSE)+VLOOKUP($A208,A:AL,31,FALSE)-50),"-",(VLOOKUP($A208,'NonXtal_SegEnds_BW#'!$A:$Z,21,FALSE)+VLOOKUP($A208,A:AL,31,FALSE)-50))</f>
        <v>758</v>
      </c>
      <c r="AE208" s="3">
        <v>775</v>
      </c>
      <c r="AF208" s="3">
        <f>IF(ISERROR((VLOOKUP($A208,'NonXtal_SegEnds_BW#'!$A:$Z,22,FALSE)+VLOOKUP($A208,A:AL,31,FALSE)-50)),"-",(VLOOKUP($A208,'NonXtal_SegEnds_BW#'!$A:$Z,22,FALSE)+VLOOKUP($A208,A:AL,31,FALSE)-50))</f>
        <v>782</v>
      </c>
      <c r="AG208" s="3">
        <f>IF(ISERROR(VLOOKUP($A208,'NonXtal_SegEnds_BW#'!$A:$Z,23,FALSE)+VLOOKUP($A208,A:AL,34,FALSE)-50),"-",(VLOOKUP($A208,'NonXtal_SegEnds_BW#'!$A:$Z,23,FALSE)+VLOOKUP($A208,A:AL,34,FALSE)-50))</f>
        <v>788</v>
      </c>
      <c r="AH208" s="3">
        <v>804</v>
      </c>
      <c r="AI208" s="3">
        <f>IF(ISERROR((VLOOKUP($A208,'NonXtal_SegEnds_BW#'!$A:$Z,24,FALSE)+VLOOKUP($A208,A:AL,34,FALSE)-50)),"-",(VLOOKUP($A208,'NonXtal_SegEnds_BW#'!$A:$Z,24,FALSE)+VLOOKUP($A208,A:AL,34,FALSE)-50))</f>
        <v>817</v>
      </c>
      <c r="AJ208" s="3">
        <f>IF(ISERROR(VLOOKUP($A208,'NonXtal_SegEnds_BW#'!$A:$Z,25,FALSE)+VLOOKUP($A208,A:AL,37,FALSE)-50),"-",(VLOOKUP($A208,'NonXtal_SegEnds_BW#'!$A:$Z,25,FALSE)+VLOOKUP($A208,A:AL,37,FALSE)-50))</f>
        <v>818</v>
      </c>
      <c r="AK208" s="3">
        <v>821</v>
      </c>
      <c r="AL208" s="3">
        <f>IF(ISERROR((VLOOKUP($A208,'NonXtal_SegEnds_BW#'!$A:$Z,26,FALSE)+VLOOKUP($A208,A:AL,37,FALSE)-50)),"-",(VLOOKUP($A208,'NonXtal_SegEnds_BW#'!$A:$Z,26,FALSE)+VLOOKUP($A208,A:AL,37,FALSE)-50))</f>
        <v>830</v>
      </c>
      <c r="AM208" s="71" t="str">
        <f>VLOOKUP(A208,Classification!A:B,2,FALSE)</f>
        <v>C</v>
      </c>
      <c r="AN208" s="71" t="b">
        <f t="shared" si="102"/>
        <v>1</v>
      </c>
      <c r="AO208" s="3">
        <f t="shared" si="103"/>
        <v>3</v>
      </c>
      <c r="AP208" s="3">
        <f t="shared" si="104"/>
        <v>1</v>
      </c>
      <c r="AQ208" s="3" t="str">
        <f t="shared" si="105"/>
        <v>-</v>
      </c>
      <c r="AR208" s="3" t="str">
        <f t="shared" si="106"/>
        <v>-</v>
      </c>
      <c r="AS208" s="3" t="str">
        <f t="shared" si="107"/>
        <v>-</v>
      </c>
      <c r="AT208" s="3" t="str">
        <f t="shared" si="108"/>
        <v>-</v>
      </c>
      <c r="AU208" s="3">
        <f t="shared" si="109"/>
        <v>20</v>
      </c>
      <c r="AV208" s="3">
        <f t="shared" si="110"/>
        <v>3</v>
      </c>
      <c r="AW208" s="3">
        <f t="shared" si="111"/>
        <v>9</v>
      </c>
      <c r="AX208" s="3">
        <f t="shared" si="112"/>
        <v>6</v>
      </c>
      <c r="AY208" s="3">
        <f t="shared" si="113"/>
        <v>1</v>
      </c>
      <c r="AZ208" s="3">
        <f>IF(ISERROR(LEN(VLOOKUP(A208,Seqs!A:E,2,FALSE))-AL208),"-",LEN(VLOOKUP(A208,Seqs!A:E,2,FALSE))-AL208)</f>
        <v>9</v>
      </c>
      <c r="BA208" s="35">
        <f t="shared" si="114"/>
        <v>31</v>
      </c>
      <c r="BB208" s="3" t="str">
        <f t="shared" si="115"/>
        <v>-</v>
      </c>
      <c r="BC208" s="3">
        <f t="shared" si="116"/>
        <v>31</v>
      </c>
      <c r="BD208" s="3">
        <f t="shared" si="117"/>
        <v>37</v>
      </c>
      <c r="BE208" s="3">
        <f>AH208-AE208</f>
        <v>29</v>
      </c>
    </row>
    <row r="209" spans="1:57" s="3" customFormat="1" x14ac:dyDescent="0.2">
      <c r="A209" s="3" t="s">
        <v>303</v>
      </c>
      <c r="B209" s="3" t="str">
        <f>LOWER(VLOOKUP(A209,Xtal_Templ!A:B,2,FALSE))</f>
        <v>grm1_human</v>
      </c>
      <c r="C209" s="3">
        <f>VLOOKUP($A209,'NonXtal_SegEnds_BW#'!$A:$Z,3,FALSE)+D209-50</f>
        <v>415</v>
      </c>
      <c r="D209" s="3">
        <v>431</v>
      </c>
      <c r="E209" s="3">
        <f>IF(ISERROR(VLOOKUP($A209,'NonXtal_SegEnds_BW#'!$A:$Z,4,FALSE)+VLOOKUP($A209,A:AL,4,FALSE)-50),"-",(VLOOKUP($A209,'NonXtal_SegEnds_BW#'!$A:$Z,4,FALSE)+VLOOKUP($A209,A:AL,4,FALSE)-50))</f>
        <v>441</v>
      </c>
      <c r="F209" s="3">
        <f t="shared" si="118"/>
        <v>444</v>
      </c>
      <c r="G209" s="3">
        <v>447</v>
      </c>
      <c r="H209" s="3">
        <f t="shared" si="119"/>
        <v>450</v>
      </c>
      <c r="I209" s="3">
        <f t="shared" si="120"/>
        <v>451</v>
      </c>
      <c r="J209" s="3">
        <v>462</v>
      </c>
      <c r="K209" s="3">
        <f>VLOOKUP($A209,'NonXtal_SegEnds_BW#'!$A:$Z,8,FALSE)+VLOOKUP($A209,A:AL,10,FALSE)-50</f>
        <v>473</v>
      </c>
      <c r="L209" s="3" t="str">
        <f>IF(ISERROR(VLOOKUP($A209,'NonXtal_SegEnds_BW#'!$A:$Z,9,FALSE)+VLOOKUP($A209,A:AL,13,FALSE)-50),"-",(VLOOKUP($A209,'NonXtal_SegEnds_BW#'!$A:$Z,9,FALSE)+VLOOKUP($A209,A:AL,13,FALSE)-50))</f>
        <v>-</v>
      </c>
      <c r="M209" s="3" t="s">
        <v>129</v>
      </c>
      <c r="N209" s="3" t="str">
        <f>IF(ISERROR(VLOOKUP($A209,'NonXtal_SegEnds_BW#'!$A:$Z,10,FALSE)+VLOOKUP($A209,A:AL,13,FALSE)-50),"-",(VLOOKUP($A209,'NonXtal_SegEnds_BW#'!$A:$Z,10,FALSE)+VLOOKUP($A209,A:AL,13,FALSE)-50))</f>
        <v>-</v>
      </c>
      <c r="O209" s="3">
        <f>VLOOKUP($A209,'NonXtal_SegEnds_BW#'!$A:$Z,11,FALSE)+VLOOKUP($A209,A:AL,16,FALSE)-50</f>
        <v>478</v>
      </c>
      <c r="P209" s="3">
        <v>506</v>
      </c>
      <c r="Q209" s="3">
        <f>VLOOKUP($A209,'NonXtal_SegEnds_BW#'!$A:$Z,12,FALSE)+VLOOKUP($A209,A:AL,16,FALSE)-50</f>
        <v>510</v>
      </c>
      <c r="R209" s="3" t="str">
        <f>IF(ISERROR(VLOOKUP($A209,'NonXtal_SegEnds_BW#'!$A:$Z,13,FALSE)+VLOOKUP($A209,A:AL,19,FALSE)-50),"-",VLOOKUP($A209,'NonXtal_SegEnds_BW#'!$A:$Z,13,FALSE)+VLOOKUP($A209,A:AL,19,FALSE)-50)</f>
        <v>-</v>
      </c>
      <c r="S209" s="3" t="s">
        <v>129</v>
      </c>
      <c r="T209" s="3" t="str">
        <f>IF(ISERROR(VLOOKUP($A209,'NonXtal_SegEnds_BW#'!$A:$Z,14,FALSE)+VLOOKUP($A209,A:AL,19,FALSE)-50),"-",(VLOOKUP($A209,'NonXtal_SegEnds_BW#'!$A:$Z,14,FALSE)+VLOOKUP($A209,A:AL,19,FALSE)-50))</f>
        <v>-</v>
      </c>
      <c r="U209" s="3">
        <f>IF(ISERROR(VLOOKUP($A209,'NonXtal_SegEnds_BW#'!$A:$Z,15,FALSE)+VLOOKUP($A209,A:AL,22,FALSE)-50),"-",VLOOKUP($A209,'NonXtal_SegEnds_BW#'!$A:$Z,15,FALSE)+VLOOKUP($A209,A:AL,22,FALSE)-50)</f>
        <v>513</v>
      </c>
      <c r="V209" s="3">
        <v>524</v>
      </c>
      <c r="W209" s="3">
        <f>IF(ISERROR(VLOOKUP($A209,'NonXtal_SegEnds_BW#'!$A:$Z,16,FALSE)+VLOOKUP($A209,A:AL,22,FALSE)-50),"-",(VLOOKUP($A209,'NonXtal_SegEnds_BW#'!$A:$Z,16,FALSE)+VLOOKUP($A209,A:AL,22,FALSE)-50))</f>
        <v>538</v>
      </c>
      <c r="X209" s="3">
        <f>IF(ISERROR(VLOOKUP($A209,'NonXtal_SegEnds_BW#'!$A:$Z,17,FALSE)+VLOOKUP($A209,A:AL,25,FALSE)-50),"-",(VLOOKUP($A209,'NonXtal_SegEnds_BW#'!$A:$Z,17,FALSE)+VLOOKUP($A209,A:AL,25,FALSE)-50))</f>
        <v>573</v>
      </c>
      <c r="Y209" s="3">
        <v>573</v>
      </c>
      <c r="Z209" s="3">
        <f t="shared" si="121"/>
        <v>575</v>
      </c>
      <c r="AA209" s="3">
        <f>IF(ISERROR(VLOOKUP($A209,'NonXtal_SegEnds_BW#'!$A:$Z,19,FALSE)+VLOOKUP($A209,A:AL,28,FALSE)-50),"-",(VLOOKUP($A209,'NonXtal_SegEnds_BW#'!$A:$Z,19,FALSE)+VLOOKUP($A209,A:AL,28,FALSE)-50))</f>
        <v>576</v>
      </c>
      <c r="AB209" s="3">
        <v>589</v>
      </c>
      <c r="AC209" s="3">
        <f>IF(ISERROR((VLOOKUP($A209,'NonXtal_SegEnds_BW#'!$A:$Z,20,FALSE)+VLOOKUP($A209,A:AL,28,FALSE)-50)),"-",(VLOOKUP($A209,'NonXtal_SegEnds_BW#'!$A:$Z,20,FALSE)+VLOOKUP($A209,A:AL,28,FALSE)-50))</f>
        <v>600</v>
      </c>
      <c r="AD209" s="3">
        <f>IF(ISERROR(VLOOKUP($A209,'NonXtal_SegEnds_BW#'!$A:$Z,21,FALSE)+VLOOKUP($A209,A:AL,31,FALSE)-50),"-",(VLOOKUP($A209,'NonXtal_SegEnds_BW#'!$A:$Z,21,FALSE)+VLOOKUP($A209,A:AL,31,FALSE)-50))</f>
        <v>609</v>
      </c>
      <c r="AE209" s="3">
        <v>626</v>
      </c>
      <c r="AF209" s="3">
        <f>IF(ISERROR((VLOOKUP($A209,'NonXtal_SegEnds_BW#'!$A:$Z,22,FALSE)+VLOOKUP($A209,A:AL,31,FALSE)-50)),"-",(VLOOKUP($A209,'NonXtal_SegEnds_BW#'!$A:$Z,22,FALSE)+VLOOKUP($A209,A:AL,31,FALSE)-50))</f>
        <v>633</v>
      </c>
      <c r="AG209" s="3">
        <f>IF(ISERROR(VLOOKUP($A209,'NonXtal_SegEnds_BW#'!$A:$Z,23,FALSE)+VLOOKUP($A209,A:AL,34,FALSE)-50),"-",(VLOOKUP($A209,'NonXtal_SegEnds_BW#'!$A:$Z,23,FALSE)+VLOOKUP($A209,A:AL,34,FALSE)-50))</f>
        <v>643</v>
      </c>
      <c r="AH209" s="3">
        <v>659</v>
      </c>
      <c r="AI209" s="3">
        <f>IF(ISERROR((VLOOKUP($A209,'NonXtal_SegEnds_BW#'!$A:$Z,24,FALSE)+VLOOKUP($A209,A:AL,34,FALSE)-50)),"-",(VLOOKUP($A209,'NonXtal_SegEnds_BW#'!$A:$Z,24,FALSE)+VLOOKUP($A209,A:AL,34,FALSE)-50))</f>
        <v>672</v>
      </c>
      <c r="AJ209" s="3">
        <f>IF(ISERROR(VLOOKUP($A209,'NonXtal_SegEnds_BW#'!$A:$Z,25,FALSE)+VLOOKUP($A209,A:AL,37,FALSE)-50),"-",(VLOOKUP($A209,'NonXtal_SegEnds_BW#'!$A:$Z,25,FALSE)+VLOOKUP($A209,A:AL,37,FALSE)-50))</f>
        <v>673</v>
      </c>
      <c r="AK209" s="3">
        <v>676</v>
      </c>
      <c r="AL209" s="3">
        <f>IF(ISERROR((VLOOKUP($A209,'NonXtal_SegEnds_BW#'!$A:$Z,26,FALSE)+VLOOKUP($A209,A:AL,37,FALSE)-50)),"-",(VLOOKUP($A209,'NonXtal_SegEnds_BW#'!$A:$Z,26,FALSE)+VLOOKUP($A209,A:AL,37,FALSE)-50))</f>
        <v>685</v>
      </c>
      <c r="AM209" s="71" t="str">
        <f>VLOOKUP(A209,Classification!A:B,2,FALSE)</f>
        <v>C</v>
      </c>
      <c r="AN209" s="71" t="b">
        <f t="shared" si="102"/>
        <v>1</v>
      </c>
      <c r="AO209" s="3">
        <f t="shared" si="103"/>
        <v>3</v>
      </c>
      <c r="AP209" s="3">
        <f t="shared" si="104"/>
        <v>1</v>
      </c>
      <c r="AQ209" s="3" t="str">
        <f t="shared" si="105"/>
        <v>-</v>
      </c>
      <c r="AR209" s="3" t="str">
        <f t="shared" si="106"/>
        <v>-</v>
      </c>
      <c r="AS209" s="3" t="str">
        <f t="shared" si="107"/>
        <v>-</v>
      </c>
      <c r="AT209" s="3" t="str">
        <f t="shared" si="108"/>
        <v>-</v>
      </c>
      <c r="AU209" s="3">
        <f t="shared" si="109"/>
        <v>35</v>
      </c>
      <c r="AV209" s="3">
        <f t="shared" si="110"/>
        <v>1</v>
      </c>
      <c r="AW209" s="3">
        <f t="shared" si="111"/>
        <v>9</v>
      </c>
      <c r="AX209" s="3">
        <f t="shared" si="112"/>
        <v>10</v>
      </c>
      <c r="AY209" s="3">
        <f t="shared" si="113"/>
        <v>1</v>
      </c>
      <c r="AZ209" s="3">
        <f>IF(ISERROR(LEN(VLOOKUP(A209,Seqs!A:E,2,FALSE))-AL209),"-",LEN(VLOOKUP(A209,Seqs!A:E,2,FALSE))-AL209)</f>
        <v>530</v>
      </c>
      <c r="BA209" s="35">
        <f t="shared" si="114"/>
        <v>31</v>
      </c>
      <c r="BB209" s="3" t="str">
        <f t="shared" si="115"/>
        <v>-</v>
      </c>
      <c r="BC209" s="3">
        <f t="shared" si="116"/>
        <v>31</v>
      </c>
      <c r="BD209" s="3">
        <f t="shared" si="117"/>
        <v>37</v>
      </c>
    </row>
    <row r="210" spans="1:57" s="3" customFormat="1" x14ac:dyDescent="0.2">
      <c r="A210" s="3" t="s">
        <v>304</v>
      </c>
      <c r="B210" s="3" t="str">
        <f>LOWER(VLOOKUP(A210,Xtal_Templ!A:B,2,FALSE))</f>
        <v>grm1_human</v>
      </c>
      <c r="C210" s="3">
        <f>VLOOKUP($A210,'NonXtal_SegEnds_BW#'!$A:$Z,3,FALSE)+D210-50</f>
        <v>379</v>
      </c>
      <c r="D210" s="3">
        <v>395</v>
      </c>
      <c r="E210" s="3">
        <f>IF(ISERROR(VLOOKUP($A210,'NonXtal_SegEnds_BW#'!$A:$Z,4,FALSE)+VLOOKUP($A210,A:AL,4,FALSE)-50),"-",(VLOOKUP($A210,'NonXtal_SegEnds_BW#'!$A:$Z,4,FALSE)+VLOOKUP($A210,A:AL,4,FALSE)-50))</f>
        <v>405</v>
      </c>
      <c r="F210" s="3">
        <f t="shared" si="118"/>
        <v>408</v>
      </c>
      <c r="G210" s="3">
        <v>411</v>
      </c>
      <c r="H210" s="3">
        <f t="shared" si="119"/>
        <v>414</v>
      </c>
      <c r="I210" s="3">
        <f t="shared" si="120"/>
        <v>415</v>
      </c>
      <c r="J210" s="3">
        <v>426</v>
      </c>
      <c r="K210" s="3">
        <f>VLOOKUP($A210,'NonXtal_SegEnds_BW#'!$A:$Z,8,FALSE)+VLOOKUP($A210,A:AL,10,FALSE)-50</f>
        <v>437</v>
      </c>
      <c r="L210" s="3" t="str">
        <f>IF(ISERROR(VLOOKUP($A210,'NonXtal_SegEnds_BW#'!$A:$Z,9,FALSE)+VLOOKUP($A210,A:AL,13,FALSE)-50),"-",(VLOOKUP($A210,'NonXtal_SegEnds_BW#'!$A:$Z,9,FALSE)+VLOOKUP($A210,A:AL,13,FALSE)-50))</f>
        <v>-</v>
      </c>
      <c r="M210" s="3" t="s">
        <v>129</v>
      </c>
      <c r="N210" s="3" t="str">
        <f>IF(ISERROR(VLOOKUP($A210,'NonXtal_SegEnds_BW#'!$A:$Z,10,FALSE)+VLOOKUP($A210,A:AL,13,FALSE)-50),"-",(VLOOKUP($A210,'NonXtal_SegEnds_BW#'!$A:$Z,10,FALSE)+VLOOKUP($A210,A:AL,13,FALSE)-50))</f>
        <v>-</v>
      </c>
      <c r="O210" s="3">
        <f>VLOOKUP($A210,'NonXtal_SegEnds_BW#'!$A:$Z,11,FALSE)+VLOOKUP($A210,A:AL,16,FALSE)-50</f>
        <v>442</v>
      </c>
      <c r="P210" s="3">
        <v>470</v>
      </c>
      <c r="Q210" s="3">
        <f>VLOOKUP($A210,'NonXtal_SegEnds_BW#'!$A:$Z,12,FALSE)+VLOOKUP($A210,A:AL,16,FALSE)-50</f>
        <v>474</v>
      </c>
      <c r="R210" s="3" t="str">
        <f>IF(ISERROR(VLOOKUP($A210,'NonXtal_SegEnds_BW#'!$A:$Z,13,FALSE)+VLOOKUP($A210,A:AL,19,FALSE)-50),"-",VLOOKUP($A210,'NonXtal_SegEnds_BW#'!$A:$Z,13,FALSE)+VLOOKUP($A210,A:AL,19,FALSE)-50)</f>
        <v>-</v>
      </c>
      <c r="S210" s="3" t="s">
        <v>129</v>
      </c>
      <c r="T210" s="3" t="str">
        <f>IF(ISERROR(VLOOKUP($A210,'NonXtal_SegEnds_BW#'!$A:$Z,14,FALSE)+VLOOKUP($A210,A:AL,19,FALSE)-50),"-",(VLOOKUP($A210,'NonXtal_SegEnds_BW#'!$A:$Z,14,FALSE)+VLOOKUP($A210,A:AL,19,FALSE)-50))</f>
        <v>-</v>
      </c>
      <c r="U210" s="3">
        <f>IF(ISERROR(VLOOKUP($A210,'NonXtal_SegEnds_BW#'!$A:$Z,15,FALSE)+VLOOKUP($A210,A:AL,22,FALSE)-50),"-",VLOOKUP($A210,'NonXtal_SegEnds_BW#'!$A:$Z,15,FALSE)+VLOOKUP($A210,A:AL,22,FALSE)-50)</f>
        <v>477</v>
      </c>
      <c r="V210" s="3">
        <v>488</v>
      </c>
      <c r="W210" s="3">
        <f>IF(ISERROR(VLOOKUP($A210,'NonXtal_SegEnds_BW#'!$A:$Z,16,FALSE)+VLOOKUP($A210,A:AL,22,FALSE)-50),"-",(VLOOKUP($A210,'NonXtal_SegEnds_BW#'!$A:$Z,16,FALSE)+VLOOKUP($A210,A:AL,22,FALSE)-50))</f>
        <v>502</v>
      </c>
      <c r="X210" s="3">
        <f>IF(ISERROR(VLOOKUP($A210,'NonXtal_SegEnds_BW#'!$A:$Z,17,FALSE)+VLOOKUP($A210,A:AL,25,FALSE)-50),"-",(VLOOKUP($A210,'NonXtal_SegEnds_BW#'!$A:$Z,17,FALSE)+VLOOKUP($A210,A:AL,25,FALSE)-50))</f>
        <v>537</v>
      </c>
      <c r="Y210" s="3">
        <v>537</v>
      </c>
      <c r="Z210" s="3">
        <f t="shared" si="121"/>
        <v>539</v>
      </c>
      <c r="AA210" s="3">
        <f>IF(ISERROR(VLOOKUP($A210,'NonXtal_SegEnds_BW#'!$A:$Z,19,FALSE)+VLOOKUP($A210,A:AL,28,FALSE)-50),"-",(VLOOKUP($A210,'NonXtal_SegEnds_BW#'!$A:$Z,19,FALSE)+VLOOKUP($A210,A:AL,28,FALSE)-50))</f>
        <v>540</v>
      </c>
      <c r="AB210" s="3">
        <v>553</v>
      </c>
      <c r="AC210" s="3">
        <f>IF(ISERROR((VLOOKUP($A210,'NonXtal_SegEnds_BW#'!$A:$Z,20,FALSE)+VLOOKUP($A210,A:AL,28,FALSE)-50)),"-",(VLOOKUP($A210,'NonXtal_SegEnds_BW#'!$A:$Z,20,FALSE)+VLOOKUP($A210,A:AL,28,FALSE)-50))</f>
        <v>564</v>
      </c>
      <c r="AD210" s="3">
        <f>IF(ISERROR(VLOOKUP($A210,'NonXtal_SegEnds_BW#'!$A:$Z,21,FALSE)+VLOOKUP($A210,A:AL,31,FALSE)-50),"-",(VLOOKUP($A210,'NonXtal_SegEnds_BW#'!$A:$Z,21,FALSE)+VLOOKUP($A210,A:AL,31,FALSE)-50))</f>
        <v>573</v>
      </c>
      <c r="AE210" s="3">
        <v>590</v>
      </c>
      <c r="AF210" s="3">
        <f>IF(ISERROR((VLOOKUP($A210,'NonXtal_SegEnds_BW#'!$A:$Z,22,FALSE)+VLOOKUP($A210,A:AL,31,FALSE)-50)),"-",(VLOOKUP($A210,'NonXtal_SegEnds_BW#'!$A:$Z,22,FALSE)+VLOOKUP($A210,A:AL,31,FALSE)-50))</f>
        <v>597</v>
      </c>
      <c r="AG210" s="3">
        <f>IF(ISERROR(VLOOKUP($A210,'NonXtal_SegEnds_BW#'!$A:$Z,23,FALSE)+VLOOKUP($A210,A:AL,34,FALSE)-50),"-",(VLOOKUP($A210,'NonXtal_SegEnds_BW#'!$A:$Z,23,FALSE)+VLOOKUP($A210,A:AL,34,FALSE)-50))</f>
        <v>607</v>
      </c>
      <c r="AH210" s="3">
        <v>623</v>
      </c>
      <c r="AI210" s="3">
        <f>IF(ISERROR((VLOOKUP($A210,'NonXtal_SegEnds_BW#'!$A:$Z,24,FALSE)+VLOOKUP($A210,A:AL,34,FALSE)-50)),"-",(VLOOKUP($A210,'NonXtal_SegEnds_BW#'!$A:$Z,24,FALSE)+VLOOKUP($A210,A:AL,34,FALSE)-50))</f>
        <v>636</v>
      </c>
      <c r="AJ210" s="3">
        <f>IF(ISERROR(VLOOKUP($A210,'NonXtal_SegEnds_BW#'!$A:$Z,25,FALSE)+VLOOKUP($A210,A:AL,37,FALSE)-50),"-",(VLOOKUP($A210,'NonXtal_SegEnds_BW#'!$A:$Z,25,FALSE)+VLOOKUP($A210,A:AL,37,FALSE)-50))</f>
        <v>637</v>
      </c>
      <c r="AK210" s="3">
        <v>640</v>
      </c>
      <c r="AL210" s="3">
        <f>IF(ISERROR((VLOOKUP($A210,'NonXtal_SegEnds_BW#'!$A:$Z,26,FALSE)+VLOOKUP($A210,A:AL,37,FALSE)-50)),"-",(VLOOKUP($A210,'NonXtal_SegEnds_BW#'!$A:$Z,26,FALSE)+VLOOKUP($A210,A:AL,37,FALSE)-50))</f>
        <v>649</v>
      </c>
      <c r="AM210" s="71" t="str">
        <f>VLOOKUP(A210,Classification!A:B,2,FALSE)</f>
        <v>C</v>
      </c>
      <c r="AN210" s="71" t="b">
        <f t="shared" si="102"/>
        <v>1</v>
      </c>
      <c r="AO210" s="3">
        <f t="shared" si="103"/>
        <v>3</v>
      </c>
      <c r="AP210" s="3">
        <f t="shared" si="104"/>
        <v>1</v>
      </c>
      <c r="AQ210" s="3" t="str">
        <f t="shared" si="105"/>
        <v>-</v>
      </c>
      <c r="AR210" s="3" t="str">
        <f t="shared" si="106"/>
        <v>-</v>
      </c>
      <c r="AS210" s="3" t="str">
        <f t="shared" si="107"/>
        <v>-</v>
      </c>
      <c r="AT210" s="3" t="str">
        <f t="shared" si="108"/>
        <v>-</v>
      </c>
      <c r="AU210" s="3">
        <f t="shared" si="109"/>
        <v>35</v>
      </c>
      <c r="AV210" s="3">
        <f t="shared" si="110"/>
        <v>1</v>
      </c>
      <c r="AW210" s="3">
        <f t="shared" si="111"/>
        <v>9</v>
      </c>
      <c r="AX210" s="3">
        <f t="shared" si="112"/>
        <v>10</v>
      </c>
      <c r="AY210" s="3">
        <f t="shared" si="113"/>
        <v>1</v>
      </c>
      <c r="AZ210" s="3">
        <f>IF(ISERROR(LEN(VLOOKUP(A210,Seqs!A:E,2,FALSE))-AL210),"-",LEN(VLOOKUP(A210,Seqs!A:E,2,FALSE))-AL210)</f>
        <v>1718</v>
      </c>
      <c r="BA210" s="35">
        <f t="shared" si="114"/>
        <v>31</v>
      </c>
      <c r="BB210" s="3" t="str">
        <f t="shared" si="115"/>
        <v>-</v>
      </c>
      <c r="BC210" s="3">
        <f t="shared" si="116"/>
        <v>31</v>
      </c>
      <c r="BD210" s="3">
        <f t="shared" si="117"/>
        <v>37</v>
      </c>
    </row>
    <row r="211" spans="1:57" s="3" customFormat="1" x14ac:dyDescent="0.2">
      <c r="A211" s="3" t="s">
        <v>306</v>
      </c>
      <c r="B211" s="3" t="str">
        <f>LOWER(VLOOKUP(A211,Xtal_Templ!A:B,2,FALSE))</f>
        <v>grm1_human</v>
      </c>
      <c r="C211" s="3">
        <f>VLOOKUP($A211,'NonXtal_SegEnds_BW#'!$A:$Z,3,FALSE)+D211-50</f>
        <v>48</v>
      </c>
      <c r="D211" s="3">
        <v>64</v>
      </c>
      <c r="E211" s="3">
        <f>IF(ISERROR(VLOOKUP($A211,'NonXtal_SegEnds_BW#'!$A:$Z,4,FALSE)+VLOOKUP($A211,A:AL,4,FALSE)-50),"-",(VLOOKUP($A211,'NonXtal_SegEnds_BW#'!$A:$Z,4,FALSE)+VLOOKUP($A211,A:AL,4,FALSE)-50))</f>
        <v>74</v>
      </c>
      <c r="F211" s="3">
        <f t="shared" si="118"/>
        <v>75</v>
      </c>
      <c r="G211" s="3">
        <v>78</v>
      </c>
      <c r="H211" s="3">
        <f t="shared" si="119"/>
        <v>81</v>
      </c>
      <c r="I211" s="3">
        <f t="shared" si="120"/>
        <v>82</v>
      </c>
      <c r="J211" s="3">
        <v>97</v>
      </c>
      <c r="K211" s="3">
        <f>VLOOKUP($A211,'NonXtal_SegEnds_BW#'!$A:$Z,8,FALSE)+VLOOKUP($A211,A:AL,10,FALSE)-50</f>
        <v>108</v>
      </c>
      <c r="L211" s="3" t="str">
        <f>IF(ISERROR(VLOOKUP($A211,'NonXtal_SegEnds_BW#'!$A:$Z,9,FALSE)+VLOOKUP($A211,A:AL,13,FALSE)-50),"-",(VLOOKUP($A211,'NonXtal_SegEnds_BW#'!$A:$Z,9,FALSE)+VLOOKUP($A211,A:AL,13,FALSE)-50))</f>
        <v>-</v>
      </c>
      <c r="M211" s="3" t="s">
        <v>129</v>
      </c>
      <c r="N211" s="3" t="str">
        <f>IF(ISERROR(VLOOKUP($A211,'NonXtal_SegEnds_BW#'!$A:$Z,10,FALSE)+VLOOKUP($A211,A:AL,13,FALSE)-50),"-",(VLOOKUP($A211,'NonXtal_SegEnds_BW#'!$A:$Z,10,FALSE)+VLOOKUP($A211,A:AL,13,FALSE)-50))</f>
        <v>-</v>
      </c>
      <c r="O211" s="3">
        <f>VLOOKUP($A211,'NonXtal_SegEnds_BW#'!$A:$Z,11,FALSE)+VLOOKUP($A211,A:AL,16,FALSE)-50</f>
        <v>113</v>
      </c>
      <c r="P211" s="3">
        <v>141</v>
      </c>
      <c r="Q211" s="3">
        <f>VLOOKUP($A211,'NonXtal_SegEnds_BW#'!$A:$Z,12,FALSE)+VLOOKUP($A211,A:AL,16,FALSE)-50</f>
        <v>145</v>
      </c>
      <c r="R211" s="3" t="str">
        <f>IF(ISERROR(VLOOKUP($A211,'NonXtal_SegEnds_BW#'!$A:$Z,13,FALSE)+VLOOKUP($A211,A:AL,19,FALSE)-50),"-",VLOOKUP($A211,'NonXtal_SegEnds_BW#'!$A:$Z,13,FALSE)+VLOOKUP($A211,A:AL,19,FALSE)-50)</f>
        <v>-</v>
      </c>
      <c r="S211" s="3" t="s">
        <v>129</v>
      </c>
      <c r="T211" s="3" t="str">
        <f>IF(ISERROR(VLOOKUP($A211,'NonXtal_SegEnds_BW#'!$A:$Z,14,FALSE)+VLOOKUP($A211,A:AL,19,FALSE)-50),"-",(VLOOKUP($A211,'NonXtal_SegEnds_BW#'!$A:$Z,14,FALSE)+VLOOKUP($A211,A:AL,19,FALSE)-50))</f>
        <v>-</v>
      </c>
      <c r="U211" s="3">
        <f>IF(ISERROR(VLOOKUP($A211,'NonXtal_SegEnds_BW#'!$A:$Z,15,FALSE)+VLOOKUP($A211,A:AL,22,FALSE)-50),"-",VLOOKUP($A211,'NonXtal_SegEnds_BW#'!$A:$Z,15,FALSE)+VLOOKUP($A211,A:AL,22,FALSE)-50)</f>
        <v>153</v>
      </c>
      <c r="V211" s="3">
        <v>164</v>
      </c>
      <c r="W211" s="3">
        <f>IF(ISERROR(VLOOKUP($A211,'NonXtal_SegEnds_BW#'!$A:$Z,16,FALSE)+VLOOKUP($A211,A:AL,22,FALSE)-50),"-",(VLOOKUP($A211,'NonXtal_SegEnds_BW#'!$A:$Z,16,FALSE)+VLOOKUP($A211,A:AL,22,FALSE)-50))</f>
        <v>178</v>
      </c>
      <c r="X211" s="3">
        <f>IF(ISERROR(VLOOKUP($A211,'NonXtal_SegEnds_BW#'!$A:$Z,17,FALSE)+VLOOKUP($A211,A:AL,25,FALSE)-50),"-",(VLOOKUP($A211,'NonXtal_SegEnds_BW#'!$A:$Z,17,FALSE)+VLOOKUP($A211,A:AL,25,FALSE)-50))</f>
        <v>202</v>
      </c>
      <c r="Y211" s="3">
        <v>202</v>
      </c>
      <c r="Z211" s="3">
        <f t="shared" si="121"/>
        <v>204</v>
      </c>
      <c r="AA211" s="3">
        <f>IF(ISERROR(VLOOKUP($A211,'NonXtal_SegEnds_BW#'!$A:$Z,19,FALSE)+VLOOKUP($A211,A:AL,28,FALSE)-50),"-",(VLOOKUP($A211,'NonXtal_SegEnds_BW#'!$A:$Z,19,FALSE)+VLOOKUP($A211,A:AL,28,FALSE)-50))</f>
        <v>206</v>
      </c>
      <c r="AB211" s="3">
        <v>219</v>
      </c>
      <c r="AC211" s="3">
        <f>IF(ISERROR((VLOOKUP($A211,'NonXtal_SegEnds_BW#'!$A:$Z,20,FALSE)+VLOOKUP($A211,A:AL,28,FALSE)-50)),"-",(VLOOKUP($A211,'NonXtal_SegEnds_BW#'!$A:$Z,20,FALSE)+VLOOKUP($A211,A:AL,28,FALSE)-50))</f>
        <v>230</v>
      </c>
      <c r="AD211" s="3">
        <f>IF(ISERROR(VLOOKUP($A211,'NonXtal_SegEnds_BW#'!$A:$Z,21,FALSE)+VLOOKUP($A211,A:AL,31,FALSE)-50),"-",(VLOOKUP($A211,'NonXtal_SegEnds_BW#'!$A:$Z,21,FALSE)+VLOOKUP($A211,A:AL,31,FALSE)-50))</f>
        <v>241</v>
      </c>
      <c r="AE211" s="3">
        <v>258</v>
      </c>
      <c r="AF211" s="3">
        <f>IF(ISERROR((VLOOKUP($A211,'NonXtal_SegEnds_BW#'!$A:$Z,22,FALSE)+VLOOKUP($A211,A:AL,31,FALSE)-50)),"-",(VLOOKUP($A211,'NonXtal_SegEnds_BW#'!$A:$Z,22,FALSE)+VLOOKUP($A211,A:AL,31,FALSE)-50))</f>
        <v>265</v>
      </c>
      <c r="AG211" s="3">
        <f>IF(ISERROR(VLOOKUP($A211,'NonXtal_SegEnds_BW#'!$A:$Z,23,FALSE)+VLOOKUP($A211,A:AL,34,FALSE)-50),"-",(VLOOKUP($A211,'NonXtal_SegEnds_BW#'!$A:$Z,23,FALSE)+VLOOKUP($A211,A:AL,34,FALSE)-50))</f>
        <v>276</v>
      </c>
      <c r="AH211" s="3">
        <v>292</v>
      </c>
      <c r="AI211" s="3">
        <f>IF(ISERROR((VLOOKUP($A211,'NonXtal_SegEnds_BW#'!$A:$Z,24,FALSE)+VLOOKUP($A211,A:AL,34,FALSE)-50)),"-",(VLOOKUP($A211,'NonXtal_SegEnds_BW#'!$A:$Z,24,FALSE)+VLOOKUP($A211,A:AL,34,FALSE)-50))</f>
        <v>305</v>
      </c>
      <c r="AJ211" s="3">
        <v>307</v>
      </c>
      <c r="AK211" s="3">
        <v>310</v>
      </c>
      <c r="AL211" s="3">
        <v>319</v>
      </c>
      <c r="AM211" s="71" t="str">
        <f>VLOOKUP(A211,Classification!A:B,2,FALSE)</f>
        <v>C</v>
      </c>
      <c r="AN211" s="71" t="b">
        <f t="shared" si="102"/>
        <v>1</v>
      </c>
      <c r="AO211" s="3">
        <f t="shared" si="103"/>
        <v>1</v>
      </c>
      <c r="AP211" s="3">
        <f t="shared" si="104"/>
        <v>1</v>
      </c>
      <c r="AQ211" s="3" t="str">
        <f t="shared" si="105"/>
        <v>-</v>
      </c>
      <c r="AR211" s="3" t="str">
        <f t="shared" si="106"/>
        <v>-</v>
      </c>
      <c r="AS211" s="3" t="str">
        <f t="shared" si="107"/>
        <v>-</v>
      </c>
      <c r="AT211" s="3" t="str">
        <f t="shared" si="108"/>
        <v>-</v>
      </c>
      <c r="AU211" s="3">
        <f t="shared" si="109"/>
        <v>24</v>
      </c>
      <c r="AV211" s="3">
        <f t="shared" si="110"/>
        <v>2</v>
      </c>
      <c r="AW211" s="3">
        <f t="shared" si="111"/>
        <v>11</v>
      </c>
      <c r="AX211" s="3">
        <f t="shared" si="112"/>
        <v>11</v>
      </c>
      <c r="AY211" s="3">
        <f t="shared" si="113"/>
        <v>2</v>
      </c>
      <c r="AZ211" s="3">
        <f>IF(ISERROR(LEN(VLOOKUP(A211,Seqs!A:E,2,FALSE))-AL211),"-",LEN(VLOOKUP(A211,Seqs!A:E,2,FALSE))-AL211)</f>
        <v>122</v>
      </c>
      <c r="BA211" s="35">
        <f t="shared" si="114"/>
        <v>33</v>
      </c>
      <c r="BB211" s="3" t="str">
        <f t="shared" si="115"/>
        <v>-</v>
      </c>
      <c r="BC211" s="3">
        <f t="shared" si="116"/>
        <v>33</v>
      </c>
      <c r="BD211" s="3">
        <f t="shared" si="117"/>
        <v>39</v>
      </c>
    </row>
    <row r="212" spans="1:57" s="3" customFormat="1" x14ac:dyDescent="0.2">
      <c r="A212" s="3" t="s">
        <v>305</v>
      </c>
      <c r="B212" s="3" t="str">
        <f>LOWER(VLOOKUP(A212,Xtal_Templ!A:B,2,FALSE))</f>
        <v>grm1_human</v>
      </c>
      <c r="C212" s="3">
        <f>VLOOKUP($A212,'NonXtal_SegEnds_BW#'!$A:$Z,3,FALSE)+D212-50</f>
        <v>54</v>
      </c>
      <c r="D212" s="3">
        <v>70</v>
      </c>
      <c r="E212" s="3">
        <f>IF(ISERROR(VLOOKUP($A212,'NonXtal_SegEnds_BW#'!$A:$Z,4,FALSE)+VLOOKUP($A212,A:AL,4,FALSE)-50),"-",(VLOOKUP($A212,'NonXtal_SegEnds_BW#'!$A:$Z,4,FALSE)+VLOOKUP($A212,A:AL,4,FALSE)-50))</f>
        <v>80</v>
      </c>
      <c r="F212" s="3">
        <f t="shared" si="118"/>
        <v>81</v>
      </c>
      <c r="G212" s="3">
        <v>84</v>
      </c>
      <c r="H212" s="3">
        <f t="shared" si="119"/>
        <v>87</v>
      </c>
      <c r="I212" s="3">
        <f t="shared" si="120"/>
        <v>88</v>
      </c>
      <c r="J212" s="3">
        <v>103</v>
      </c>
      <c r="K212" s="3">
        <f>VLOOKUP($A212,'NonXtal_SegEnds_BW#'!$A:$Z,8,FALSE)+VLOOKUP($A212,A:AL,10,FALSE)-50</f>
        <v>114</v>
      </c>
      <c r="L212" s="3" t="str">
        <f>IF(ISERROR(VLOOKUP($A212,'NonXtal_SegEnds_BW#'!$A:$Z,9,FALSE)+VLOOKUP($A212,A:AL,13,FALSE)-50),"-",(VLOOKUP($A212,'NonXtal_SegEnds_BW#'!$A:$Z,9,FALSE)+VLOOKUP($A212,A:AL,13,FALSE)-50))</f>
        <v>-</v>
      </c>
      <c r="M212" s="3" t="s">
        <v>129</v>
      </c>
      <c r="N212" s="3" t="str">
        <f>IF(ISERROR(VLOOKUP($A212,'NonXtal_SegEnds_BW#'!$A:$Z,10,FALSE)+VLOOKUP($A212,A:AL,13,FALSE)-50),"-",(VLOOKUP($A212,'NonXtal_SegEnds_BW#'!$A:$Z,10,FALSE)+VLOOKUP($A212,A:AL,13,FALSE)-50))</f>
        <v>-</v>
      </c>
      <c r="O212" s="3">
        <f>VLOOKUP($A212,'NonXtal_SegEnds_BW#'!$A:$Z,11,FALSE)+VLOOKUP($A212,A:AL,16,FALSE)-50</f>
        <v>119</v>
      </c>
      <c r="P212" s="3">
        <v>147</v>
      </c>
      <c r="Q212" s="3">
        <f>VLOOKUP($A212,'NonXtal_SegEnds_BW#'!$A:$Z,12,FALSE)+VLOOKUP($A212,A:AL,16,FALSE)-50</f>
        <v>151</v>
      </c>
      <c r="R212" s="3" t="str">
        <f>IF(ISERROR(VLOOKUP($A212,'NonXtal_SegEnds_BW#'!$A:$Z,13,FALSE)+VLOOKUP($A212,A:AL,19,FALSE)-50),"-",VLOOKUP($A212,'NonXtal_SegEnds_BW#'!$A:$Z,13,FALSE)+VLOOKUP($A212,A:AL,19,FALSE)-50)</f>
        <v>-</v>
      </c>
      <c r="S212" s="3" t="s">
        <v>129</v>
      </c>
      <c r="T212" s="3" t="str">
        <f>IF(ISERROR(VLOOKUP($A212,'NonXtal_SegEnds_BW#'!$A:$Z,14,FALSE)+VLOOKUP($A212,A:AL,19,FALSE)-50),"-",(VLOOKUP($A212,'NonXtal_SegEnds_BW#'!$A:$Z,14,FALSE)+VLOOKUP($A212,A:AL,19,FALSE)-50))</f>
        <v>-</v>
      </c>
      <c r="U212" s="3">
        <f>IF(ISERROR(VLOOKUP($A212,'NonXtal_SegEnds_BW#'!$A:$Z,15,FALSE)+VLOOKUP($A212,A:AL,22,FALSE)-50),"-",VLOOKUP($A212,'NonXtal_SegEnds_BW#'!$A:$Z,15,FALSE)+VLOOKUP($A212,A:AL,22,FALSE)-50)</f>
        <v>159</v>
      </c>
      <c r="V212" s="3">
        <v>170</v>
      </c>
      <c r="W212" s="3">
        <f>IF(ISERROR(VLOOKUP($A212,'NonXtal_SegEnds_BW#'!$A:$Z,16,FALSE)+VLOOKUP($A212,A:AL,22,FALSE)-50),"-",(VLOOKUP($A212,'NonXtal_SegEnds_BW#'!$A:$Z,16,FALSE)+VLOOKUP($A212,A:AL,22,FALSE)-50))</f>
        <v>184</v>
      </c>
      <c r="X212" s="3">
        <f>IF(ISERROR(VLOOKUP($A212,'NonXtal_SegEnds_BW#'!$A:$Z,17,FALSE)+VLOOKUP($A212,A:AL,25,FALSE)-50),"-",(VLOOKUP($A212,'NonXtal_SegEnds_BW#'!$A:$Z,17,FALSE)+VLOOKUP($A212,A:AL,25,FALSE)-50))</f>
        <v>193</v>
      </c>
      <c r="Y212" s="3">
        <v>193</v>
      </c>
      <c r="Z212" s="3">
        <f t="shared" si="121"/>
        <v>195</v>
      </c>
      <c r="AA212" s="3">
        <f>IF(ISERROR(VLOOKUP($A212,'NonXtal_SegEnds_BW#'!$A:$Z,19,FALSE)+VLOOKUP($A212,A:AL,28,FALSE)-50),"-",(VLOOKUP($A212,'NonXtal_SegEnds_BW#'!$A:$Z,19,FALSE)+VLOOKUP($A212,A:AL,28,FALSE)-50))</f>
        <v>197</v>
      </c>
      <c r="AB212" s="3">
        <v>210</v>
      </c>
      <c r="AC212" s="3">
        <f>IF(ISERROR((VLOOKUP($A212,'NonXtal_SegEnds_BW#'!$A:$Z,20,FALSE)+VLOOKUP($A212,A:AL,28,FALSE)-50)),"-",(VLOOKUP($A212,'NonXtal_SegEnds_BW#'!$A:$Z,20,FALSE)+VLOOKUP($A212,A:AL,28,FALSE)-50))</f>
        <v>221</v>
      </c>
      <c r="AD212" s="3">
        <f>IF(ISERROR(VLOOKUP($A212,'NonXtal_SegEnds_BW#'!$A:$Z,21,FALSE)+VLOOKUP($A212,A:AL,31,FALSE)-50),"-",(VLOOKUP($A212,'NonXtal_SegEnds_BW#'!$A:$Z,21,FALSE)+VLOOKUP($A212,A:AL,31,FALSE)-50))</f>
        <v>232</v>
      </c>
      <c r="AE212" s="3">
        <v>249</v>
      </c>
      <c r="AF212" s="3">
        <f>IF(ISERROR((VLOOKUP($A212,'NonXtal_SegEnds_BW#'!$A:$Z,22,FALSE)+VLOOKUP($A212,A:AL,31,FALSE)-50)),"-",(VLOOKUP($A212,'NonXtal_SegEnds_BW#'!$A:$Z,22,FALSE)+VLOOKUP($A212,A:AL,31,FALSE)-50))</f>
        <v>256</v>
      </c>
      <c r="AG212" s="3">
        <f>IF(ISERROR(VLOOKUP($A212,'NonXtal_SegEnds_BW#'!$A:$Z,23,FALSE)+VLOOKUP($A212,A:AL,34,FALSE)-50),"-",(VLOOKUP($A212,'NonXtal_SegEnds_BW#'!$A:$Z,23,FALSE)+VLOOKUP($A212,A:AL,34,FALSE)-50))</f>
        <v>268</v>
      </c>
      <c r="AH212" s="3">
        <v>284</v>
      </c>
      <c r="AI212" s="3">
        <f>IF(ISERROR((VLOOKUP($A212,'NonXtal_SegEnds_BW#'!$A:$Z,24,FALSE)+VLOOKUP($A212,A:AL,34,FALSE)-50)),"-",(VLOOKUP($A212,'NonXtal_SegEnds_BW#'!$A:$Z,24,FALSE)+VLOOKUP($A212,A:AL,34,FALSE)-50))</f>
        <v>297</v>
      </c>
      <c r="AJ212" s="3">
        <f>IF(ISERROR(VLOOKUP($A212,'NonXtal_SegEnds_BW#'!$A:$Z,25,FALSE)+VLOOKUP($A212,A:AL,37,FALSE)-50),"-",(VLOOKUP($A212,'NonXtal_SegEnds_BW#'!$A:$Z,25,FALSE)+VLOOKUP($A212,A:AL,37,FALSE)-50))</f>
        <v>299</v>
      </c>
      <c r="AK212" s="3">
        <v>302</v>
      </c>
      <c r="AL212" s="3">
        <f>IF(ISERROR((VLOOKUP($A212,'NonXtal_SegEnds_BW#'!$A:$Z,26,FALSE)+VLOOKUP($A212,A:AL,37,FALSE)-50)),"-",(VLOOKUP($A212,'NonXtal_SegEnds_BW#'!$A:$Z,26,FALSE)+VLOOKUP($A212,A:AL,37,FALSE)-50))</f>
        <v>311</v>
      </c>
      <c r="AM212" s="71" t="str">
        <f>VLOOKUP(A212,Classification!A:B,2,FALSE)</f>
        <v>C</v>
      </c>
      <c r="AN212" s="71" t="b">
        <f t="shared" si="102"/>
        <v>1</v>
      </c>
      <c r="AO212" s="3">
        <f t="shared" si="103"/>
        <v>1</v>
      </c>
      <c r="AP212" s="3">
        <f t="shared" si="104"/>
        <v>1</v>
      </c>
      <c r="AQ212" s="3" t="str">
        <f t="shared" si="105"/>
        <v>-</v>
      </c>
      <c r="AR212" s="3" t="str">
        <f t="shared" si="106"/>
        <v>-</v>
      </c>
      <c r="AS212" s="3" t="str">
        <f t="shared" si="107"/>
        <v>-</v>
      </c>
      <c r="AT212" s="3" t="str">
        <f t="shared" si="108"/>
        <v>-</v>
      </c>
      <c r="AU212" s="3">
        <f t="shared" si="109"/>
        <v>9</v>
      </c>
      <c r="AV212" s="3">
        <f t="shared" si="110"/>
        <v>2</v>
      </c>
      <c r="AW212" s="3">
        <f t="shared" si="111"/>
        <v>11</v>
      </c>
      <c r="AX212" s="3">
        <f t="shared" si="112"/>
        <v>12</v>
      </c>
      <c r="AY212" s="3">
        <f t="shared" si="113"/>
        <v>2</v>
      </c>
      <c r="AZ212" s="3">
        <f>IF(ISERROR(LEN(VLOOKUP(A212,Seqs!A:E,2,FALSE))-AL212),"-",LEN(VLOOKUP(A212,Seqs!A:E,2,FALSE))-AL212)</f>
        <v>92</v>
      </c>
      <c r="BA212" s="35">
        <f t="shared" si="114"/>
        <v>33</v>
      </c>
      <c r="BB212" s="3" t="str">
        <f t="shared" si="115"/>
        <v>-</v>
      </c>
      <c r="BC212" s="3">
        <f t="shared" si="116"/>
        <v>33</v>
      </c>
      <c r="BD212" s="3">
        <f t="shared" si="117"/>
        <v>39</v>
      </c>
    </row>
    <row r="213" spans="1:57" s="3" customFormat="1" x14ac:dyDescent="0.2">
      <c r="A213" s="3" t="s">
        <v>299</v>
      </c>
      <c r="B213" s="3" t="str">
        <f>LOWER(VLOOKUP(A213,Xtal_Templ!A:B,2,FALSE))</f>
        <v>grm5_human</v>
      </c>
      <c r="C213" s="3">
        <f>VLOOKUP($A213,'NonXtal_SegEnds_BW#'!$A:$Z,3,FALSE)+D213-50</f>
        <v>611</v>
      </c>
      <c r="D213" s="3">
        <v>627</v>
      </c>
      <c r="E213" s="3">
        <f>IF(ISERROR(VLOOKUP($A213,'NonXtal_SegEnds_BW#'!$A:$Z,4,FALSE)+VLOOKUP($A213,A:AL,4,FALSE)-50),"-",(VLOOKUP($A213,'NonXtal_SegEnds_BW#'!$A:$Z,4,FALSE)+VLOOKUP($A213,A:AL,4,FALSE)-50))</f>
        <v>637</v>
      </c>
      <c r="F213" s="3">
        <f t="shared" si="118"/>
        <v>640</v>
      </c>
      <c r="G213" s="3">
        <v>643</v>
      </c>
      <c r="H213" s="3">
        <f t="shared" si="119"/>
        <v>646</v>
      </c>
      <c r="I213" s="3">
        <f t="shared" si="120"/>
        <v>647</v>
      </c>
      <c r="J213" s="3">
        <v>658</v>
      </c>
      <c r="K213" s="3">
        <f>VLOOKUP($A213,'NonXtal_SegEnds_BW#'!$A:$Z,8,FALSE)+VLOOKUP($A213,A:AL,10,FALSE)-50</f>
        <v>669</v>
      </c>
      <c r="L213" s="3" t="str">
        <f>IF(ISERROR(VLOOKUP($A213,'NonXtal_SegEnds_BW#'!$A:$Z,9,FALSE)+VLOOKUP($A213,A:AL,13,FALSE)-50),"-",(VLOOKUP($A213,'NonXtal_SegEnds_BW#'!$A:$Z,9,FALSE)+VLOOKUP($A213,A:AL,13,FALSE)-50))</f>
        <v>-</v>
      </c>
      <c r="M213" s="3" t="s">
        <v>129</v>
      </c>
      <c r="N213" s="3" t="str">
        <f>IF(ISERROR(VLOOKUP($A213,'NonXtal_SegEnds_BW#'!$A:$Z,10,FALSE)+VLOOKUP($A213,A:AL,13,FALSE)-50),"-",(VLOOKUP($A213,'NonXtal_SegEnds_BW#'!$A:$Z,10,FALSE)+VLOOKUP($A213,A:AL,13,FALSE)-50))</f>
        <v>-</v>
      </c>
      <c r="O213" s="3">
        <f>VLOOKUP($A213,'NonXtal_SegEnds_BW#'!$A:$Z,11,FALSE)+VLOOKUP($A213,A:AL,16,FALSE)-50</f>
        <v>674</v>
      </c>
      <c r="P213" s="3">
        <v>702</v>
      </c>
      <c r="Q213" s="3">
        <f>VLOOKUP($A213,'NonXtal_SegEnds_BW#'!$A:$Z,12,FALSE)+VLOOKUP($A213,A:AL,16,FALSE)-50</f>
        <v>706</v>
      </c>
      <c r="R213" s="3" t="str">
        <f>IF(ISERROR(VLOOKUP($A213,'NonXtal_SegEnds_BW#'!$A:$Z,13,FALSE)+VLOOKUP($A213,A:AL,19,FALSE)-50),"-",VLOOKUP($A213,'NonXtal_SegEnds_BW#'!$A:$Z,13,FALSE)+VLOOKUP($A213,A:AL,19,FALSE)-50)</f>
        <v>-</v>
      </c>
      <c r="S213" s="3" t="s">
        <v>129</v>
      </c>
      <c r="T213" s="3" t="str">
        <f>IF(ISERROR(VLOOKUP($A213,'NonXtal_SegEnds_BW#'!$A:$Z,14,FALSE)+VLOOKUP($A213,A:AL,19,FALSE)-50),"-",(VLOOKUP($A213,'NonXtal_SegEnds_BW#'!$A:$Z,14,FALSE)+VLOOKUP($A213,A:AL,19,FALSE)-50))</f>
        <v>-</v>
      </c>
      <c r="U213" s="3">
        <f>IF(ISERROR(VLOOKUP($A213,'NonXtal_SegEnds_BW#'!$A:$Z,15,FALSE)+VLOOKUP($A213,A:AL,22,FALSE)-50),"-",VLOOKUP($A213,'NonXtal_SegEnds_BW#'!$A:$Z,15,FALSE)+VLOOKUP($A213,A:AL,22,FALSE)-50)</f>
        <v>721</v>
      </c>
      <c r="V213" s="3">
        <v>732</v>
      </c>
      <c r="W213" s="3">
        <f>IF(ISERROR(VLOOKUP($A213,'NonXtal_SegEnds_BW#'!$A:$Z,16,FALSE)+VLOOKUP($A213,A:AL,22,FALSE)-50),"-",(VLOOKUP($A213,'NonXtal_SegEnds_BW#'!$A:$Z,16,FALSE)+VLOOKUP($A213,A:AL,22,FALSE)-50))</f>
        <v>746</v>
      </c>
      <c r="X213" s="3">
        <f>IF(ISERROR(VLOOKUP($A213,'NonXtal_SegEnds_BW#'!$A:$Z,17,FALSE)+VLOOKUP($A213,A:AL,25,FALSE)-50),"-",(VLOOKUP($A213,'NonXtal_SegEnds_BW#'!$A:$Z,17,FALSE)+VLOOKUP($A213,A:AL,25,FALSE)-50))</f>
        <v>765</v>
      </c>
      <c r="Y213" s="3">
        <v>765</v>
      </c>
      <c r="Z213" s="3">
        <f t="shared" si="121"/>
        <v>767</v>
      </c>
      <c r="AA213" s="3">
        <f>IF(ISERROR(VLOOKUP($A213,'NonXtal_SegEnds_BW#'!$A:$Z,19,FALSE)+VLOOKUP($A213,A:AL,28,FALSE)-50),"-",(VLOOKUP($A213,'NonXtal_SegEnds_BW#'!$A:$Z,19,FALSE)+VLOOKUP($A213,A:AL,28,FALSE)-50))</f>
        <v>770</v>
      </c>
      <c r="AB213" s="3">
        <v>783</v>
      </c>
      <c r="AC213" s="3">
        <f>IF(ISERROR((VLOOKUP($A213,'NonXtal_SegEnds_BW#'!$A:$Z,20,FALSE)+VLOOKUP($A213,A:AL,28,FALSE)-50)),"-",(VLOOKUP($A213,'NonXtal_SegEnds_BW#'!$A:$Z,20,FALSE)+VLOOKUP($A213,A:AL,28,FALSE)-50))</f>
        <v>794</v>
      </c>
      <c r="AD213" s="3">
        <f>IF(ISERROR(VLOOKUP($A213,'NonXtal_SegEnds_BW#'!$A:$Z,21,FALSE)+VLOOKUP($A213,A:AL,31,FALSE)-50),"-",(VLOOKUP($A213,'NonXtal_SegEnds_BW#'!$A:$Z,21,FALSE)+VLOOKUP($A213,A:AL,31,FALSE)-50))</f>
        <v>803</v>
      </c>
      <c r="AE213" s="3">
        <v>820</v>
      </c>
      <c r="AF213" s="3">
        <f>IF(ISERROR((VLOOKUP($A213,'NonXtal_SegEnds_BW#'!$A:$Z,22,FALSE)+VLOOKUP($A213,A:AL,31,FALSE)-50)),"-",(VLOOKUP($A213,'NonXtal_SegEnds_BW#'!$A:$Z,22,FALSE)+VLOOKUP($A213,A:AL,31,FALSE)-50))</f>
        <v>827</v>
      </c>
      <c r="AG213" s="3">
        <f>IF(ISERROR(VLOOKUP($A213,'NonXtal_SegEnds_BW#'!$A:$Z,23,FALSE)+VLOOKUP($A213,A:AL,34,FALSE)-50),"-",(VLOOKUP($A213,'NonXtal_SegEnds_BW#'!$A:$Z,23,FALSE)+VLOOKUP($A213,A:AL,34,FALSE)-50))</f>
        <v>833</v>
      </c>
      <c r="AH213" s="3">
        <v>849</v>
      </c>
      <c r="AI213" s="3">
        <f>IF(ISERROR((VLOOKUP($A213,'NonXtal_SegEnds_BW#'!$A:$Z,24,FALSE)+VLOOKUP($A213,A:AL,34,FALSE)-50)),"-",(VLOOKUP($A213,'NonXtal_SegEnds_BW#'!$A:$Z,24,FALSE)+VLOOKUP($A213,A:AL,34,FALSE)-50))</f>
        <v>862</v>
      </c>
      <c r="AJ213" s="3">
        <f>IF(ISERROR(VLOOKUP($A213,'NonXtal_SegEnds_BW#'!$A:$Z,25,FALSE)+VLOOKUP($A213,A:AL,37,FALSE)-50),"-",(VLOOKUP($A213,'NonXtal_SegEnds_BW#'!$A:$Z,25,FALSE)+VLOOKUP($A213,A:AL,37,FALSE)-50))</f>
        <v>863</v>
      </c>
      <c r="AK213" s="3">
        <v>866</v>
      </c>
      <c r="AL213" s="3">
        <f>IF(ISERROR((VLOOKUP($A213,'NonXtal_SegEnds_BW#'!$A:$Z,26,FALSE)+VLOOKUP($A213,A:AL,37,FALSE)-50)),"-",(VLOOKUP($A213,'NonXtal_SegEnds_BW#'!$A:$Z,26,FALSE)+VLOOKUP($A213,A:AL,37,FALSE)-50))</f>
        <v>875</v>
      </c>
      <c r="AM213" s="71" t="str">
        <f>VLOOKUP(A213,Classification!A:B,2,FALSE)</f>
        <v>C</v>
      </c>
      <c r="AN213" s="71" t="b">
        <f t="shared" si="102"/>
        <v>1</v>
      </c>
      <c r="AO213" s="3">
        <f t="shared" si="103"/>
        <v>3</v>
      </c>
      <c r="AP213" s="3">
        <f t="shared" si="104"/>
        <v>1</v>
      </c>
      <c r="AQ213" s="3" t="str">
        <f t="shared" si="105"/>
        <v>-</v>
      </c>
      <c r="AR213" s="3" t="str">
        <f t="shared" si="106"/>
        <v>-</v>
      </c>
      <c r="AS213" s="3" t="str">
        <f t="shared" si="107"/>
        <v>-</v>
      </c>
      <c r="AT213" s="3" t="str">
        <f t="shared" si="108"/>
        <v>-</v>
      </c>
      <c r="AU213" s="3">
        <f t="shared" si="109"/>
        <v>19</v>
      </c>
      <c r="AV213" s="3">
        <f t="shared" si="110"/>
        <v>3</v>
      </c>
      <c r="AW213" s="3">
        <f t="shared" si="111"/>
        <v>9</v>
      </c>
      <c r="AX213" s="3">
        <f t="shared" si="112"/>
        <v>6</v>
      </c>
      <c r="AY213" s="3">
        <f t="shared" si="113"/>
        <v>1</v>
      </c>
      <c r="AZ213" s="3">
        <f>IF(ISERROR(LEN(VLOOKUP(A213,Seqs!A:E,2,FALSE))-AL213),"-",LEN(VLOOKUP(A213,Seqs!A:E,2,FALSE))-AL213)</f>
        <v>203</v>
      </c>
      <c r="BA213" s="35">
        <f t="shared" si="114"/>
        <v>31</v>
      </c>
      <c r="BB213" s="3" t="str">
        <f t="shared" si="115"/>
        <v>-</v>
      </c>
      <c r="BC213" s="3">
        <f t="shared" si="116"/>
        <v>31</v>
      </c>
      <c r="BD213" s="3">
        <f t="shared" si="117"/>
        <v>37</v>
      </c>
    </row>
    <row r="214" spans="1:57" s="3" customFormat="1" x14ac:dyDescent="0.2">
      <c r="A214" s="3" t="s">
        <v>313</v>
      </c>
      <c r="B214" s="3" t="str">
        <f>LOWER(VLOOKUP(A214,Xtal_Templ!A:B,2,FALSE))</f>
        <v>grm5_human</v>
      </c>
      <c r="C214" s="3">
        <f>VLOOKUP($A214,'NonXtal_SegEnds_BW#'!$A:$Z,3,FALSE)+D214-50</f>
        <v>589</v>
      </c>
      <c r="D214" s="3">
        <v>605</v>
      </c>
      <c r="E214" s="3">
        <f>IF(ISERROR(VLOOKUP($A214,'NonXtal_SegEnds_BW#'!$A:$Z,4,FALSE)+VLOOKUP($A214,A:AL,4,FALSE)-50),"-",(VLOOKUP($A214,'NonXtal_SegEnds_BW#'!$A:$Z,4,FALSE)+VLOOKUP($A214,A:AL,4,FALSE)-50))</f>
        <v>615</v>
      </c>
      <c r="F214" s="3">
        <f t="shared" si="118"/>
        <v>618</v>
      </c>
      <c r="G214" s="3">
        <v>621</v>
      </c>
      <c r="H214" s="3">
        <f t="shared" si="119"/>
        <v>624</v>
      </c>
      <c r="I214" s="3">
        <f t="shared" si="120"/>
        <v>625</v>
      </c>
      <c r="J214" s="3">
        <v>636</v>
      </c>
      <c r="K214" s="3">
        <f>VLOOKUP($A214,'NonXtal_SegEnds_BW#'!$A:$Z,8,FALSE)+VLOOKUP($A214,A:AL,10,FALSE)-50</f>
        <v>647</v>
      </c>
      <c r="L214" s="3" t="str">
        <f>IF(ISERROR(VLOOKUP($A214,'NonXtal_SegEnds_BW#'!$A:$Z,9,FALSE)+VLOOKUP($A214,A:AL,13,FALSE)-50),"-",(VLOOKUP($A214,'NonXtal_SegEnds_BW#'!$A:$Z,9,FALSE)+VLOOKUP($A214,A:AL,13,FALSE)-50))</f>
        <v>-</v>
      </c>
      <c r="M214" s="3" t="s">
        <v>129</v>
      </c>
      <c r="N214" s="3" t="str">
        <f>IF(ISERROR(VLOOKUP($A214,'NonXtal_SegEnds_BW#'!$A:$Z,10,FALSE)+VLOOKUP($A214,A:AL,13,FALSE)-50),"-",(VLOOKUP($A214,'NonXtal_SegEnds_BW#'!$A:$Z,10,FALSE)+VLOOKUP($A214,A:AL,13,FALSE)-50))</f>
        <v>-</v>
      </c>
      <c r="O214" s="3">
        <f>VLOOKUP($A214,'NonXtal_SegEnds_BW#'!$A:$Z,11,FALSE)+VLOOKUP($A214,A:AL,16,FALSE)-50</f>
        <v>652</v>
      </c>
      <c r="P214" s="3">
        <v>680</v>
      </c>
      <c r="Q214" s="3">
        <f>VLOOKUP($A214,'NonXtal_SegEnds_BW#'!$A:$Z,12,FALSE)+VLOOKUP($A214,A:AL,16,FALSE)-50</f>
        <v>684</v>
      </c>
      <c r="R214" s="3" t="str">
        <f>IF(ISERROR(VLOOKUP($A214,'NonXtal_SegEnds_BW#'!$A:$Z,13,FALSE)+VLOOKUP($A214,A:AL,19,FALSE)-50),"-",VLOOKUP($A214,'NonXtal_SegEnds_BW#'!$A:$Z,13,FALSE)+VLOOKUP($A214,A:AL,19,FALSE)-50)</f>
        <v>-</v>
      </c>
      <c r="S214" s="3" t="s">
        <v>129</v>
      </c>
      <c r="T214" s="3" t="str">
        <f>IF(ISERROR(VLOOKUP($A214,'NonXtal_SegEnds_BW#'!$A:$Z,14,FALSE)+VLOOKUP($A214,A:AL,19,FALSE)-50),"-",(VLOOKUP($A214,'NonXtal_SegEnds_BW#'!$A:$Z,14,FALSE)+VLOOKUP($A214,A:AL,19,FALSE)-50))</f>
        <v>-</v>
      </c>
      <c r="U214" s="3">
        <f>IF(ISERROR(VLOOKUP($A214,'NonXtal_SegEnds_BW#'!$A:$Z,15,FALSE)+VLOOKUP($A214,A:AL,22,FALSE)-50),"-",VLOOKUP($A214,'NonXtal_SegEnds_BW#'!$A:$Z,15,FALSE)+VLOOKUP($A214,A:AL,22,FALSE)-50)</f>
        <v>699</v>
      </c>
      <c r="V214" s="3">
        <v>710</v>
      </c>
      <c r="W214" s="3">
        <f>IF(ISERROR(VLOOKUP($A214,'NonXtal_SegEnds_BW#'!$A:$Z,16,FALSE)+VLOOKUP($A214,A:AL,22,FALSE)-50),"-",(VLOOKUP($A214,'NonXtal_SegEnds_BW#'!$A:$Z,16,FALSE)+VLOOKUP($A214,A:AL,22,FALSE)-50))</f>
        <v>724</v>
      </c>
      <c r="X214" s="3">
        <f>IF(ISERROR(VLOOKUP($A214,'NonXtal_SegEnds_BW#'!$A:$Z,17,FALSE)+VLOOKUP($A214,A:AL,25,FALSE)-50),"-",(VLOOKUP($A214,'NonXtal_SegEnds_BW#'!$A:$Z,17,FALSE)+VLOOKUP($A214,A:AL,25,FALSE)-50))</f>
        <v>749</v>
      </c>
      <c r="Y214" s="3">
        <v>749</v>
      </c>
      <c r="Z214" s="3">
        <f t="shared" si="121"/>
        <v>751</v>
      </c>
      <c r="AA214" s="3">
        <f>IF(ISERROR(VLOOKUP($A214,'NonXtal_SegEnds_BW#'!$A:$Z,19,FALSE)+VLOOKUP($A214,A:AL,28,FALSE)-50),"-",(VLOOKUP($A214,'NonXtal_SegEnds_BW#'!$A:$Z,19,FALSE)+VLOOKUP($A214,A:AL,28,FALSE)-50))</f>
        <v>753</v>
      </c>
      <c r="AB214" s="3">
        <v>766</v>
      </c>
      <c r="AC214" s="3">
        <f>IF(ISERROR((VLOOKUP($A214,'NonXtal_SegEnds_BW#'!$A:$Z,20,FALSE)+VLOOKUP($A214,A:AL,28,FALSE)-50)),"-",(VLOOKUP($A214,'NonXtal_SegEnds_BW#'!$A:$Z,20,FALSE)+VLOOKUP($A214,A:AL,28,FALSE)-50))</f>
        <v>777</v>
      </c>
      <c r="AD214" s="3">
        <f>IF(ISERROR(VLOOKUP($A214,'NonXtal_SegEnds_BW#'!$A:$Z,21,FALSE)+VLOOKUP($A214,A:AL,31,FALSE)-50),"-",(VLOOKUP($A214,'NonXtal_SegEnds_BW#'!$A:$Z,21,FALSE)+VLOOKUP($A214,A:AL,31,FALSE)-50))</f>
        <v>786</v>
      </c>
      <c r="AE214" s="3">
        <v>803</v>
      </c>
      <c r="AF214" s="3">
        <f>IF(ISERROR((VLOOKUP($A214,'NonXtal_SegEnds_BW#'!$A:$Z,22,FALSE)+VLOOKUP($A214,A:AL,31,FALSE)-50)),"-",(VLOOKUP($A214,'NonXtal_SegEnds_BW#'!$A:$Z,22,FALSE)+VLOOKUP($A214,A:AL,31,FALSE)-50))</f>
        <v>810</v>
      </c>
      <c r="AG214" s="3">
        <f>IF(ISERROR(VLOOKUP($A214,'NonXtal_SegEnds_BW#'!$A:$Z,23,FALSE)+VLOOKUP($A214,A:AL,34,FALSE)-50),"-",(VLOOKUP($A214,'NonXtal_SegEnds_BW#'!$A:$Z,23,FALSE)+VLOOKUP($A214,A:AL,34,FALSE)-50))</f>
        <v>821</v>
      </c>
      <c r="AH214" s="3">
        <v>837</v>
      </c>
      <c r="AI214" s="3">
        <f>IF(ISERROR((VLOOKUP($A214,'NonXtal_SegEnds_BW#'!$A:$Z,24,FALSE)+VLOOKUP($A214,A:AL,34,FALSE)-50)),"-",(VLOOKUP($A214,'NonXtal_SegEnds_BW#'!$A:$Z,24,FALSE)+VLOOKUP($A214,A:AL,34,FALSE)-50))</f>
        <v>850</v>
      </c>
      <c r="AJ214" s="3">
        <f>IF(ISERROR(VLOOKUP($A214,'NonXtal_SegEnds_BW#'!$A:$Z,25,FALSE)+VLOOKUP($A214,A:AL,37,FALSE)-50),"-",(VLOOKUP($A214,'NonXtal_SegEnds_BW#'!$A:$Z,25,FALSE)+VLOOKUP($A214,A:AL,37,FALSE)-50))</f>
        <v>851</v>
      </c>
      <c r="AK214" s="3">
        <v>854</v>
      </c>
      <c r="AL214" s="3">
        <f>IF(ISERROR((VLOOKUP($A214,'NonXtal_SegEnds_BW#'!$A:$Z,26,FALSE)+VLOOKUP($A214,A:AL,37,FALSE)-50)),"-",(VLOOKUP($A214,'NonXtal_SegEnds_BW#'!$A:$Z,26,FALSE)+VLOOKUP($A214,A:AL,37,FALSE)-50))</f>
        <v>863</v>
      </c>
      <c r="AM214" s="71" t="str">
        <f>VLOOKUP(A214,Classification!A:B,2,FALSE)</f>
        <v>C</v>
      </c>
      <c r="AN214" s="71" t="b">
        <f t="shared" si="102"/>
        <v>1</v>
      </c>
      <c r="AO214" s="3">
        <f t="shared" si="103"/>
        <v>3</v>
      </c>
      <c r="AP214" s="3">
        <f t="shared" si="104"/>
        <v>1</v>
      </c>
      <c r="AQ214" s="3" t="str">
        <f t="shared" si="105"/>
        <v>-</v>
      </c>
      <c r="AR214" s="3" t="str">
        <f t="shared" si="106"/>
        <v>-</v>
      </c>
      <c r="AS214" s="3" t="str">
        <f t="shared" si="107"/>
        <v>-</v>
      </c>
      <c r="AT214" s="3" t="str">
        <f t="shared" si="108"/>
        <v>-</v>
      </c>
      <c r="AU214" s="3">
        <f t="shared" si="109"/>
        <v>25</v>
      </c>
      <c r="AV214" s="3">
        <f t="shared" si="110"/>
        <v>2</v>
      </c>
      <c r="AW214" s="3">
        <f t="shared" si="111"/>
        <v>9</v>
      </c>
      <c r="AX214" s="3">
        <f t="shared" si="112"/>
        <v>11</v>
      </c>
      <c r="AY214" s="3">
        <f t="shared" si="113"/>
        <v>1</v>
      </c>
      <c r="AZ214" s="3">
        <f>IF(ISERROR(LEN(VLOOKUP(A214,Seqs!A:E,2,FALSE))-AL214),"-",LEN(VLOOKUP(A214,Seqs!A:E,2,FALSE))-AL214)</f>
        <v>52</v>
      </c>
      <c r="BA214" s="35">
        <f t="shared" si="114"/>
        <v>31</v>
      </c>
      <c r="BB214" s="3" t="str">
        <f t="shared" si="115"/>
        <v>-</v>
      </c>
      <c r="BC214" s="3">
        <f t="shared" si="116"/>
        <v>31</v>
      </c>
      <c r="BD214" s="3">
        <f t="shared" si="117"/>
        <v>37</v>
      </c>
    </row>
    <row r="215" spans="1:57" s="3" customFormat="1" x14ac:dyDescent="0.2">
      <c r="A215" s="3" t="s">
        <v>311</v>
      </c>
      <c r="B215" s="3" t="str">
        <f>LOWER(VLOOKUP(A215,Xtal_Templ!A:B,2,FALSE))</f>
        <v>grm5_human</v>
      </c>
      <c r="C215" s="3">
        <f>VLOOKUP($A215,'NonXtal_SegEnds_BW#'!$A:$Z,3,FALSE)+D215-50</f>
        <v>586</v>
      </c>
      <c r="D215" s="3">
        <v>602</v>
      </c>
      <c r="E215" s="3">
        <f>IF(ISERROR(VLOOKUP($A215,'NonXtal_SegEnds_BW#'!$A:$Z,4,FALSE)+VLOOKUP($A215,A:AL,4,FALSE)-50),"-",(VLOOKUP($A215,'NonXtal_SegEnds_BW#'!$A:$Z,4,FALSE)+VLOOKUP($A215,A:AL,4,FALSE)-50))</f>
        <v>612</v>
      </c>
      <c r="F215" s="3">
        <f t="shared" si="118"/>
        <v>615</v>
      </c>
      <c r="G215" s="3">
        <v>618</v>
      </c>
      <c r="H215" s="3">
        <f t="shared" si="119"/>
        <v>621</v>
      </c>
      <c r="I215" s="3">
        <f t="shared" si="120"/>
        <v>622</v>
      </c>
      <c r="J215" s="3">
        <v>633</v>
      </c>
      <c r="K215" s="3">
        <f>VLOOKUP($A215,'NonXtal_SegEnds_BW#'!$A:$Z,8,FALSE)+VLOOKUP($A215,A:AL,10,FALSE)-50</f>
        <v>644</v>
      </c>
      <c r="L215" s="3" t="str">
        <f>IF(ISERROR(VLOOKUP($A215,'NonXtal_SegEnds_BW#'!$A:$Z,9,FALSE)+VLOOKUP($A215,A:AL,13,FALSE)-50),"-",(VLOOKUP($A215,'NonXtal_SegEnds_BW#'!$A:$Z,9,FALSE)+VLOOKUP($A215,A:AL,13,FALSE)-50))</f>
        <v>-</v>
      </c>
      <c r="M215" s="3" t="s">
        <v>129</v>
      </c>
      <c r="N215" s="3" t="str">
        <f>IF(ISERROR(VLOOKUP($A215,'NonXtal_SegEnds_BW#'!$A:$Z,10,FALSE)+VLOOKUP($A215,A:AL,13,FALSE)-50),"-",(VLOOKUP($A215,'NonXtal_SegEnds_BW#'!$A:$Z,10,FALSE)+VLOOKUP($A215,A:AL,13,FALSE)-50))</f>
        <v>-</v>
      </c>
      <c r="O215" s="3">
        <f>VLOOKUP($A215,'NonXtal_SegEnds_BW#'!$A:$Z,11,FALSE)+VLOOKUP($A215,A:AL,16,FALSE)-50</f>
        <v>649</v>
      </c>
      <c r="P215" s="3">
        <v>677</v>
      </c>
      <c r="Q215" s="3">
        <f>VLOOKUP($A215,'NonXtal_SegEnds_BW#'!$A:$Z,12,FALSE)+VLOOKUP($A215,A:AL,16,FALSE)-50</f>
        <v>681</v>
      </c>
      <c r="R215" s="3" t="str">
        <f>IF(ISERROR(VLOOKUP($A215,'NonXtal_SegEnds_BW#'!$A:$Z,13,FALSE)+VLOOKUP($A215,A:AL,19,FALSE)-50),"-",VLOOKUP($A215,'NonXtal_SegEnds_BW#'!$A:$Z,13,FALSE)+VLOOKUP($A215,A:AL,19,FALSE)-50)</f>
        <v>-</v>
      </c>
      <c r="S215" s="3" t="s">
        <v>129</v>
      </c>
      <c r="T215" s="3" t="str">
        <f>IF(ISERROR(VLOOKUP($A215,'NonXtal_SegEnds_BW#'!$A:$Z,14,FALSE)+VLOOKUP($A215,A:AL,19,FALSE)-50),"-",(VLOOKUP($A215,'NonXtal_SegEnds_BW#'!$A:$Z,14,FALSE)+VLOOKUP($A215,A:AL,19,FALSE)-50))</f>
        <v>-</v>
      </c>
      <c r="U215" s="3">
        <f>IF(ISERROR(VLOOKUP($A215,'NonXtal_SegEnds_BW#'!$A:$Z,15,FALSE)+VLOOKUP($A215,A:AL,22,FALSE)-50),"-",VLOOKUP($A215,'NonXtal_SegEnds_BW#'!$A:$Z,15,FALSE)+VLOOKUP($A215,A:AL,22,FALSE)-50)</f>
        <v>696</v>
      </c>
      <c r="V215" s="3">
        <v>707</v>
      </c>
      <c r="W215" s="3">
        <f>IF(ISERROR(VLOOKUP($A215,'NonXtal_SegEnds_BW#'!$A:$Z,16,FALSE)+VLOOKUP($A215,A:AL,22,FALSE)-50),"-",(VLOOKUP($A215,'NonXtal_SegEnds_BW#'!$A:$Z,16,FALSE)+VLOOKUP($A215,A:AL,22,FALSE)-50))</f>
        <v>721</v>
      </c>
      <c r="X215" s="3">
        <f>IF(ISERROR(VLOOKUP($A215,'NonXtal_SegEnds_BW#'!$A:$Z,17,FALSE)+VLOOKUP($A215,A:AL,25,FALSE)-50),"-",(VLOOKUP($A215,'NonXtal_SegEnds_BW#'!$A:$Z,17,FALSE)+VLOOKUP($A215,A:AL,25,FALSE)-50))</f>
        <v>746</v>
      </c>
      <c r="Y215" s="3">
        <v>746</v>
      </c>
      <c r="Z215" s="3">
        <f t="shared" si="121"/>
        <v>748</v>
      </c>
      <c r="AA215" s="3">
        <f>IF(ISERROR(VLOOKUP($A215,'NonXtal_SegEnds_BW#'!$A:$Z,19,FALSE)+VLOOKUP($A215,A:AL,28,FALSE)-50),"-",(VLOOKUP($A215,'NonXtal_SegEnds_BW#'!$A:$Z,19,FALSE)+VLOOKUP($A215,A:AL,28,FALSE)-50))</f>
        <v>750</v>
      </c>
      <c r="AB215" s="3">
        <v>763</v>
      </c>
      <c r="AC215" s="3">
        <f>IF(ISERROR((VLOOKUP($A215,'NonXtal_SegEnds_BW#'!$A:$Z,20,FALSE)+VLOOKUP($A215,A:AL,28,FALSE)-50)),"-",(VLOOKUP($A215,'NonXtal_SegEnds_BW#'!$A:$Z,20,FALSE)+VLOOKUP($A215,A:AL,28,FALSE)-50))</f>
        <v>774</v>
      </c>
      <c r="AD215" s="3">
        <f>IF(ISERROR(VLOOKUP($A215,'NonXtal_SegEnds_BW#'!$A:$Z,21,FALSE)+VLOOKUP($A215,A:AL,31,FALSE)-50),"-",(VLOOKUP($A215,'NonXtal_SegEnds_BW#'!$A:$Z,21,FALSE)+VLOOKUP($A215,A:AL,31,FALSE)-50))</f>
        <v>783</v>
      </c>
      <c r="AE215" s="3">
        <v>800</v>
      </c>
      <c r="AF215" s="3">
        <f>IF(ISERROR((VLOOKUP($A215,'NonXtal_SegEnds_BW#'!$A:$Z,22,FALSE)+VLOOKUP($A215,A:AL,31,FALSE)-50)),"-",(VLOOKUP($A215,'NonXtal_SegEnds_BW#'!$A:$Z,22,FALSE)+VLOOKUP($A215,A:AL,31,FALSE)-50))</f>
        <v>807</v>
      </c>
      <c r="AG215" s="3">
        <f>IF(ISERROR(VLOOKUP($A215,'NonXtal_SegEnds_BW#'!$A:$Z,23,FALSE)+VLOOKUP($A215,A:AL,34,FALSE)-50),"-",(VLOOKUP($A215,'NonXtal_SegEnds_BW#'!$A:$Z,23,FALSE)+VLOOKUP($A215,A:AL,34,FALSE)-50))</f>
        <v>818</v>
      </c>
      <c r="AH215" s="3">
        <v>834</v>
      </c>
      <c r="AI215" s="3">
        <f>IF(ISERROR((VLOOKUP($A215,'NonXtal_SegEnds_BW#'!$A:$Z,24,FALSE)+VLOOKUP($A215,A:AL,34,FALSE)-50)),"-",(VLOOKUP($A215,'NonXtal_SegEnds_BW#'!$A:$Z,24,FALSE)+VLOOKUP($A215,A:AL,34,FALSE)-50))</f>
        <v>847</v>
      </c>
      <c r="AJ215" s="3">
        <f>IF(ISERROR(VLOOKUP($A215,'NonXtal_SegEnds_BW#'!$A:$Z,25,FALSE)+VLOOKUP($A215,A:AL,37,FALSE)-50),"-",(VLOOKUP($A215,'NonXtal_SegEnds_BW#'!$A:$Z,25,FALSE)+VLOOKUP($A215,A:AL,37,FALSE)-50))</f>
        <v>848</v>
      </c>
      <c r="AK215" s="3">
        <v>851</v>
      </c>
      <c r="AL215" s="3">
        <f>IF(ISERROR((VLOOKUP($A215,'NonXtal_SegEnds_BW#'!$A:$Z,26,FALSE)+VLOOKUP($A215,A:AL,37,FALSE)-50)),"-",(VLOOKUP($A215,'NonXtal_SegEnds_BW#'!$A:$Z,26,FALSE)+VLOOKUP($A215,A:AL,37,FALSE)-50))</f>
        <v>860</v>
      </c>
      <c r="AM215" s="71" t="str">
        <f>VLOOKUP(A215,Classification!A:B,2,FALSE)</f>
        <v>C</v>
      </c>
      <c r="AN215" s="71" t="b">
        <f t="shared" si="102"/>
        <v>1</v>
      </c>
      <c r="AO215" s="3">
        <f t="shared" si="103"/>
        <v>3</v>
      </c>
      <c r="AP215" s="3">
        <f t="shared" si="104"/>
        <v>1</v>
      </c>
      <c r="AQ215" s="3" t="str">
        <f t="shared" si="105"/>
        <v>-</v>
      </c>
      <c r="AR215" s="3" t="str">
        <f t="shared" si="106"/>
        <v>-</v>
      </c>
      <c r="AS215" s="3" t="str">
        <f t="shared" si="107"/>
        <v>-</v>
      </c>
      <c r="AT215" s="3" t="str">
        <f t="shared" si="108"/>
        <v>-</v>
      </c>
      <c r="AU215" s="3">
        <f t="shared" si="109"/>
        <v>25</v>
      </c>
      <c r="AV215" s="3">
        <f t="shared" si="110"/>
        <v>2</v>
      </c>
      <c r="AW215" s="3">
        <f t="shared" si="111"/>
        <v>9</v>
      </c>
      <c r="AX215" s="3">
        <f t="shared" si="112"/>
        <v>11</v>
      </c>
      <c r="AY215" s="3">
        <f t="shared" si="113"/>
        <v>1</v>
      </c>
      <c r="AZ215" s="3">
        <f>IF(ISERROR(LEN(VLOOKUP(A215,Seqs!A:E,2,FALSE))-AL215),"-",LEN(VLOOKUP(A215,Seqs!A:E,2,FALSE))-AL215)</f>
        <v>52</v>
      </c>
      <c r="BA215" s="35">
        <f t="shared" si="114"/>
        <v>31</v>
      </c>
      <c r="BB215" s="3" t="str">
        <f t="shared" si="115"/>
        <v>-</v>
      </c>
      <c r="BC215" s="3">
        <f t="shared" si="116"/>
        <v>31</v>
      </c>
      <c r="BD215" s="3">
        <f t="shared" si="117"/>
        <v>37</v>
      </c>
    </row>
    <row r="216" spans="1:57" s="3" customFormat="1" x14ac:dyDescent="0.2">
      <c r="A216" s="3" t="s">
        <v>312</v>
      </c>
      <c r="B216" s="3" t="str">
        <f>LOWER(VLOOKUP(A216,Xtal_Templ!A:B,2,FALSE))</f>
        <v>grm5_human</v>
      </c>
      <c r="C216" s="3">
        <f>VLOOKUP($A216,'NonXtal_SegEnds_BW#'!$A:$Z,3,FALSE)+D216-50</f>
        <v>584</v>
      </c>
      <c r="D216" s="3">
        <v>600</v>
      </c>
      <c r="E216" s="3">
        <f>IF(ISERROR(VLOOKUP($A216,'NonXtal_SegEnds_BW#'!$A:$Z,4,FALSE)+VLOOKUP($A216,A:AL,4,FALSE)-50),"-",(VLOOKUP($A216,'NonXtal_SegEnds_BW#'!$A:$Z,4,FALSE)+VLOOKUP($A216,A:AL,4,FALSE)-50))</f>
        <v>610</v>
      </c>
      <c r="F216" s="3">
        <f t="shared" si="118"/>
        <v>613</v>
      </c>
      <c r="G216" s="3">
        <v>616</v>
      </c>
      <c r="H216" s="3">
        <f t="shared" si="119"/>
        <v>619</v>
      </c>
      <c r="I216" s="3">
        <f t="shared" si="120"/>
        <v>620</v>
      </c>
      <c r="J216" s="3">
        <v>631</v>
      </c>
      <c r="K216" s="3">
        <f>VLOOKUP($A216,'NonXtal_SegEnds_BW#'!$A:$Z,8,FALSE)+VLOOKUP($A216,A:AL,10,FALSE)-50</f>
        <v>642</v>
      </c>
      <c r="L216" s="3" t="str">
        <f>IF(ISERROR(VLOOKUP($A216,'NonXtal_SegEnds_BW#'!$A:$Z,9,FALSE)+VLOOKUP($A216,A:AL,13,FALSE)-50),"-",(VLOOKUP($A216,'NonXtal_SegEnds_BW#'!$A:$Z,9,FALSE)+VLOOKUP($A216,A:AL,13,FALSE)-50))</f>
        <v>-</v>
      </c>
      <c r="M216" s="3" t="s">
        <v>129</v>
      </c>
      <c r="N216" s="3" t="str">
        <f>IF(ISERROR(VLOOKUP($A216,'NonXtal_SegEnds_BW#'!$A:$Z,10,FALSE)+VLOOKUP($A216,A:AL,13,FALSE)-50),"-",(VLOOKUP($A216,'NonXtal_SegEnds_BW#'!$A:$Z,10,FALSE)+VLOOKUP($A216,A:AL,13,FALSE)-50))</f>
        <v>-</v>
      </c>
      <c r="O216" s="3">
        <f>VLOOKUP($A216,'NonXtal_SegEnds_BW#'!$A:$Z,11,FALSE)+VLOOKUP($A216,A:AL,16,FALSE)-50</f>
        <v>647</v>
      </c>
      <c r="P216" s="3">
        <v>675</v>
      </c>
      <c r="Q216" s="3">
        <f>VLOOKUP($A216,'NonXtal_SegEnds_BW#'!$A:$Z,12,FALSE)+VLOOKUP($A216,A:AL,16,FALSE)-50</f>
        <v>679</v>
      </c>
      <c r="R216" s="3" t="str">
        <f>IF(ISERROR(VLOOKUP($A216,'NonXtal_SegEnds_BW#'!$A:$Z,13,FALSE)+VLOOKUP($A216,A:AL,19,FALSE)-50),"-",VLOOKUP($A216,'NonXtal_SegEnds_BW#'!$A:$Z,13,FALSE)+VLOOKUP($A216,A:AL,19,FALSE)-50)</f>
        <v>-</v>
      </c>
      <c r="S216" s="3" t="s">
        <v>129</v>
      </c>
      <c r="T216" s="3" t="str">
        <f>IF(ISERROR(VLOOKUP($A216,'NonXtal_SegEnds_BW#'!$A:$Z,14,FALSE)+VLOOKUP($A216,A:AL,19,FALSE)-50),"-",(VLOOKUP($A216,'NonXtal_SegEnds_BW#'!$A:$Z,14,FALSE)+VLOOKUP($A216,A:AL,19,FALSE)-50))</f>
        <v>-</v>
      </c>
      <c r="U216" s="3">
        <f>IF(ISERROR(VLOOKUP($A216,'NonXtal_SegEnds_BW#'!$A:$Z,15,FALSE)+VLOOKUP($A216,A:AL,22,FALSE)-50),"-",VLOOKUP($A216,'NonXtal_SegEnds_BW#'!$A:$Z,15,FALSE)+VLOOKUP($A216,A:AL,22,FALSE)-50)</f>
        <v>694</v>
      </c>
      <c r="V216" s="3">
        <v>705</v>
      </c>
      <c r="W216" s="3">
        <f>IF(ISERROR(VLOOKUP($A216,'NonXtal_SegEnds_BW#'!$A:$Z,16,FALSE)+VLOOKUP($A216,A:AL,22,FALSE)-50),"-",(VLOOKUP($A216,'NonXtal_SegEnds_BW#'!$A:$Z,16,FALSE)+VLOOKUP($A216,A:AL,22,FALSE)-50))</f>
        <v>719</v>
      </c>
      <c r="X216" s="3">
        <f>IF(ISERROR(VLOOKUP($A216,'NonXtal_SegEnds_BW#'!$A:$Z,17,FALSE)+VLOOKUP($A216,A:AL,25,FALSE)-50),"-",(VLOOKUP($A216,'NonXtal_SegEnds_BW#'!$A:$Z,17,FALSE)+VLOOKUP($A216,A:AL,25,FALSE)-50))</f>
        <v>744</v>
      </c>
      <c r="Y216" s="3">
        <v>744</v>
      </c>
      <c r="Z216" s="3">
        <f t="shared" si="121"/>
        <v>746</v>
      </c>
      <c r="AA216" s="3">
        <f>IF(ISERROR(VLOOKUP($A216,'NonXtal_SegEnds_BW#'!$A:$Z,19,FALSE)+VLOOKUP($A216,A:AL,28,FALSE)-50),"-",(VLOOKUP($A216,'NonXtal_SegEnds_BW#'!$A:$Z,19,FALSE)+VLOOKUP($A216,A:AL,28,FALSE)-50))</f>
        <v>748</v>
      </c>
      <c r="AB216" s="3">
        <v>761</v>
      </c>
      <c r="AC216" s="3">
        <f>IF(ISERROR((VLOOKUP($A216,'NonXtal_SegEnds_BW#'!$A:$Z,20,FALSE)+VLOOKUP($A216,A:AL,28,FALSE)-50)),"-",(VLOOKUP($A216,'NonXtal_SegEnds_BW#'!$A:$Z,20,FALSE)+VLOOKUP($A216,A:AL,28,FALSE)-50))</f>
        <v>772</v>
      </c>
      <c r="AD216" s="3">
        <f>IF(ISERROR(VLOOKUP($A216,'NonXtal_SegEnds_BW#'!$A:$Z,21,FALSE)+VLOOKUP($A216,A:AL,31,FALSE)-50),"-",(VLOOKUP($A216,'NonXtal_SegEnds_BW#'!$A:$Z,21,FALSE)+VLOOKUP($A216,A:AL,31,FALSE)-50))</f>
        <v>781</v>
      </c>
      <c r="AE216" s="3">
        <v>798</v>
      </c>
      <c r="AF216" s="3">
        <f>IF(ISERROR((VLOOKUP($A216,'NonXtal_SegEnds_BW#'!$A:$Z,22,FALSE)+VLOOKUP($A216,A:AL,31,FALSE)-50)),"-",(VLOOKUP($A216,'NonXtal_SegEnds_BW#'!$A:$Z,22,FALSE)+VLOOKUP($A216,A:AL,31,FALSE)-50))</f>
        <v>805</v>
      </c>
      <c r="AG216" s="3">
        <f>IF(ISERROR(VLOOKUP($A216,'NonXtal_SegEnds_BW#'!$A:$Z,23,FALSE)+VLOOKUP($A216,A:AL,34,FALSE)-50),"-",(VLOOKUP($A216,'NonXtal_SegEnds_BW#'!$A:$Z,23,FALSE)+VLOOKUP($A216,A:AL,34,FALSE)-50))</f>
        <v>816</v>
      </c>
      <c r="AH216" s="3">
        <v>832</v>
      </c>
      <c r="AI216" s="3">
        <f>IF(ISERROR((VLOOKUP($A216,'NonXtal_SegEnds_BW#'!$A:$Z,24,FALSE)+VLOOKUP($A216,A:AL,34,FALSE)-50)),"-",(VLOOKUP($A216,'NonXtal_SegEnds_BW#'!$A:$Z,24,FALSE)+VLOOKUP($A216,A:AL,34,FALSE)-50))</f>
        <v>845</v>
      </c>
      <c r="AJ216" s="3">
        <f>IF(ISERROR(VLOOKUP($A216,'NonXtal_SegEnds_BW#'!$A:$Z,25,FALSE)+VLOOKUP($A216,A:AL,37,FALSE)-50),"-",(VLOOKUP($A216,'NonXtal_SegEnds_BW#'!$A:$Z,25,FALSE)+VLOOKUP($A216,A:AL,37,FALSE)-50))</f>
        <v>846</v>
      </c>
      <c r="AK216" s="3">
        <v>849</v>
      </c>
      <c r="AL216" s="3">
        <f>IF(ISERROR((VLOOKUP($A216,'NonXtal_SegEnds_BW#'!$A:$Z,26,FALSE)+VLOOKUP($A216,A:AL,37,FALSE)-50)),"-",(VLOOKUP($A216,'NonXtal_SegEnds_BW#'!$A:$Z,26,FALSE)+VLOOKUP($A216,A:AL,37,FALSE)-50))</f>
        <v>858</v>
      </c>
      <c r="AM216" s="71" t="str">
        <f>VLOOKUP(A216,Classification!A:B,2,FALSE)</f>
        <v>C</v>
      </c>
      <c r="AN216" s="71" t="b">
        <f t="shared" si="102"/>
        <v>1</v>
      </c>
      <c r="AO216" s="3">
        <f t="shared" si="103"/>
        <v>3</v>
      </c>
      <c r="AP216" s="3">
        <f t="shared" si="104"/>
        <v>1</v>
      </c>
      <c r="AQ216" s="3" t="str">
        <f t="shared" si="105"/>
        <v>-</v>
      </c>
      <c r="AR216" s="3" t="str">
        <f t="shared" si="106"/>
        <v>-</v>
      </c>
      <c r="AS216" s="3" t="str">
        <f t="shared" si="107"/>
        <v>-</v>
      </c>
      <c r="AT216" s="3" t="str">
        <f t="shared" si="108"/>
        <v>-</v>
      </c>
      <c r="AU216" s="3">
        <f t="shared" si="109"/>
        <v>25</v>
      </c>
      <c r="AV216" s="3">
        <f t="shared" si="110"/>
        <v>2</v>
      </c>
      <c r="AW216" s="3">
        <f t="shared" si="111"/>
        <v>9</v>
      </c>
      <c r="AX216" s="3">
        <f t="shared" si="112"/>
        <v>11</v>
      </c>
      <c r="AY216" s="3">
        <f t="shared" si="113"/>
        <v>1</v>
      </c>
      <c r="AZ216" s="3">
        <f>IF(ISERROR(LEN(VLOOKUP(A216,Seqs!A:E,2,FALSE))-AL216),"-",LEN(VLOOKUP(A216,Seqs!A:E,2,FALSE))-AL216)</f>
        <v>19</v>
      </c>
      <c r="BA216" s="35">
        <f t="shared" si="114"/>
        <v>31</v>
      </c>
      <c r="BB216" s="3" t="str">
        <f t="shared" si="115"/>
        <v>-</v>
      </c>
      <c r="BC216" s="3">
        <f t="shared" si="116"/>
        <v>31</v>
      </c>
      <c r="BD216" s="3">
        <f t="shared" si="117"/>
        <v>37</v>
      </c>
      <c r="BE216" s="3">
        <f>AH216-AE216</f>
        <v>34</v>
      </c>
    </row>
    <row r="217" spans="1:57" s="3" customFormat="1" x14ac:dyDescent="0.2">
      <c r="A217" s="3" t="s">
        <v>314</v>
      </c>
      <c r="B217" s="3" t="str">
        <f>LOWER(VLOOKUP(A217,Xtal_Templ!A:B,2,FALSE))</f>
        <v>grm5_human</v>
      </c>
      <c r="C217" s="3">
        <f>VLOOKUP($A217,'NonXtal_SegEnds_BW#'!$A:$Z,3,FALSE)+D217-50</f>
        <v>582</v>
      </c>
      <c r="D217" s="3">
        <v>598</v>
      </c>
      <c r="E217" s="3">
        <f>IF(ISERROR(VLOOKUP($A217,'NonXtal_SegEnds_BW#'!$A:$Z,4,FALSE)+VLOOKUP($A217,A:AL,4,FALSE)-50),"-",(VLOOKUP($A217,'NonXtal_SegEnds_BW#'!$A:$Z,4,FALSE)+VLOOKUP($A217,A:AL,4,FALSE)-50))</f>
        <v>608</v>
      </c>
      <c r="F217" s="3">
        <f t="shared" si="118"/>
        <v>611</v>
      </c>
      <c r="G217" s="3">
        <v>614</v>
      </c>
      <c r="H217" s="3">
        <f t="shared" si="119"/>
        <v>617</v>
      </c>
      <c r="I217" s="3">
        <f t="shared" si="120"/>
        <v>618</v>
      </c>
      <c r="J217" s="3">
        <v>629</v>
      </c>
      <c r="K217" s="3">
        <f>VLOOKUP($A217,'NonXtal_SegEnds_BW#'!$A:$Z,8,FALSE)+VLOOKUP($A217,A:AL,10,FALSE)-50</f>
        <v>640</v>
      </c>
      <c r="L217" s="3" t="str">
        <f>IF(ISERROR(VLOOKUP($A217,'NonXtal_SegEnds_BW#'!$A:$Z,9,FALSE)+VLOOKUP($A217,A:AL,13,FALSE)-50),"-",(VLOOKUP($A217,'NonXtal_SegEnds_BW#'!$A:$Z,9,FALSE)+VLOOKUP($A217,A:AL,13,FALSE)-50))</f>
        <v>-</v>
      </c>
      <c r="M217" s="3" t="s">
        <v>129</v>
      </c>
      <c r="N217" s="3" t="str">
        <f>IF(ISERROR(VLOOKUP($A217,'NonXtal_SegEnds_BW#'!$A:$Z,10,FALSE)+VLOOKUP($A217,A:AL,13,FALSE)-50),"-",(VLOOKUP($A217,'NonXtal_SegEnds_BW#'!$A:$Z,10,FALSE)+VLOOKUP($A217,A:AL,13,FALSE)-50))</f>
        <v>-</v>
      </c>
      <c r="O217" s="3">
        <f>VLOOKUP($A217,'NonXtal_SegEnds_BW#'!$A:$Z,11,FALSE)+VLOOKUP($A217,A:AL,16,FALSE)-50</f>
        <v>645</v>
      </c>
      <c r="P217" s="3">
        <v>673</v>
      </c>
      <c r="Q217" s="3">
        <f>VLOOKUP($A217,'NonXtal_SegEnds_BW#'!$A:$Z,12,FALSE)+VLOOKUP($A217,A:AL,16,FALSE)-50</f>
        <v>677</v>
      </c>
      <c r="R217" s="3" t="str">
        <f>IF(ISERROR(VLOOKUP($A217,'NonXtal_SegEnds_BW#'!$A:$Z,13,FALSE)+VLOOKUP($A217,A:AL,19,FALSE)-50),"-",VLOOKUP($A217,'NonXtal_SegEnds_BW#'!$A:$Z,13,FALSE)+VLOOKUP($A217,A:AL,19,FALSE)-50)</f>
        <v>-</v>
      </c>
      <c r="S217" s="3" t="s">
        <v>129</v>
      </c>
      <c r="T217" s="3" t="str">
        <f>IF(ISERROR(VLOOKUP($A217,'NonXtal_SegEnds_BW#'!$A:$Z,14,FALSE)+VLOOKUP($A217,A:AL,19,FALSE)-50),"-",(VLOOKUP($A217,'NonXtal_SegEnds_BW#'!$A:$Z,14,FALSE)+VLOOKUP($A217,A:AL,19,FALSE)-50))</f>
        <v>-</v>
      </c>
      <c r="U217" s="3">
        <f>IF(ISERROR(VLOOKUP($A217,'NonXtal_SegEnds_BW#'!$A:$Z,15,FALSE)+VLOOKUP($A217,A:AL,22,FALSE)-50),"-",VLOOKUP($A217,'NonXtal_SegEnds_BW#'!$A:$Z,15,FALSE)+VLOOKUP($A217,A:AL,22,FALSE)-50)</f>
        <v>692</v>
      </c>
      <c r="V217" s="3">
        <v>703</v>
      </c>
      <c r="W217" s="3">
        <f>IF(ISERROR(VLOOKUP($A217,'NonXtal_SegEnds_BW#'!$A:$Z,16,FALSE)+VLOOKUP($A217,A:AL,22,FALSE)-50),"-",(VLOOKUP($A217,'NonXtal_SegEnds_BW#'!$A:$Z,16,FALSE)+VLOOKUP($A217,A:AL,22,FALSE)-50))</f>
        <v>717</v>
      </c>
      <c r="X217" s="3">
        <f>IF(ISERROR(VLOOKUP($A217,'NonXtal_SegEnds_BW#'!$A:$Z,17,FALSE)+VLOOKUP($A217,A:AL,25,FALSE)-50),"-",(VLOOKUP($A217,'NonXtal_SegEnds_BW#'!$A:$Z,17,FALSE)+VLOOKUP($A217,A:AL,25,FALSE)-50))</f>
        <v>742</v>
      </c>
      <c r="Y217" s="3">
        <v>742</v>
      </c>
      <c r="Z217" s="3">
        <f t="shared" si="121"/>
        <v>744</v>
      </c>
      <c r="AA217" s="3">
        <f>IF(ISERROR(VLOOKUP($A217,'NonXtal_SegEnds_BW#'!$A:$Z,19,FALSE)+VLOOKUP($A217,A:AL,28,FALSE)-50),"-",(VLOOKUP($A217,'NonXtal_SegEnds_BW#'!$A:$Z,19,FALSE)+VLOOKUP($A217,A:AL,28,FALSE)-50))</f>
        <v>746</v>
      </c>
      <c r="AB217" s="3">
        <v>759</v>
      </c>
      <c r="AC217" s="3">
        <f>IF(ISERROR((VLOOKUP($A217,'NonXtal_SegEnds_BW#'!$A:$Z,20,FALSE)+VLOOKUP($A217,A:AL,28,FALSE)-50)),"-",(VLOOKUP($A217,'NonXtal_SegEnds_BW#'!$A:$Z,20,FALSE)+VLOOKUP($A217,A:AL,28,FALSE)-50))</f>
        <v>770</v>
      </c>
      <c r="AD217" s="3">
        <f>IF(ISERROR(VLOOKUP($A217,'NonXtal_SegEnds_BW#'!$A:$Z,21,FALSE)+VLOOKUP($A217,A:AL,31,FALSE)-50),"-",(VLOOKUP($A217,'NonXtal_SegEnds_BW#'!$A:$Z,21,FALSE)+VLOOKUP($A217,A:AL,31,FALSE)-50))</f>
        <v>779</v>
      </c>
      <c r="AE217" s="3">
        <v>796</v>
      </c>
      <c r="AF217" s="3">
        <f>IF(ISERROR((VLOOKUP($A217,'NonXtal_SegEnds_BW#'!$A:$Z,22,FALSE)+VLOOKUP($A217,A:AL,31,FALSE)-50)),"-",(VLOOKUP($A217,'NonXtal_SegEnds_BW#'!$A:$Z,22,FALSE)+VLOOKUP($A217,A:AL,31,FALSE)-50))</f>
        <v>803</v>
      </c>
      <c r="AG217" s="3">
        <f>IF(ISERROR(VLOOKUP($A217,'NonXtal_SegEnds_BW#'!$A:$Z,23,FALSE)+VLOOKUP($A217,A:AL,34,FALSE)-50),"-",(VLOOKUP($A217,'NonXtal_SegEnds_BW#'!$A:$Z,23,FALSE)+VLOOKUP($A217,A:AL,34,FALSE)-50))</f>
        <v>814</v>
      </c>
      <c r="AH217" s="3">
        <v>830</v>
      </c>
      <c r="AI217" s="3">
        <f>IF(ISERROR((VLOOKUP($A217,'NonXtal_SegEnds_BW#'!$A:$Z,24,FALSE)+VLOOKUP($A217,A:AL,34,FALSE)-50)),"-",(VLOOKUP($A217,'NonXtal_SegEnds_BW#'!$A:$Z,24,FALSE)+VLOOKUP($A217,A:AL,34,FALSE)-50))</f>
        <v>843</v>
      </c>
      <c r="AJ217" s="3">
        <f>IF(ISERROR(VLOOKUP($A217,'NonXtal_SegEnds_BW#'!$A:$Z,25,FALSE)+VLOOKUP($A217,A:AL,37,FALSE)-50),"-",(VLOOKUP($A217,'NonXtal_SegEnds_BW#'!$A:$Z,25,FALSE)+VLOOKUP($A217,A:AL,37,FALSE)-50))</f>
        <v>844</v>
      </c>
      <c r="AK217" s="3">
        <v>847</v>
      </c>
      <c r="AL217" s="3">
        <f>IF(ISERROR((VLOOKUP($A217,'NonXtal_SegEnds_BW#'!$A:$Z,26,FALSE)+VLOOKUP($A217,A:AL,37,FALSE)-50)),"-",(VLOOKUP($A217,'NonXtal_SegEnds_BW#'!$A:$Z,26,FALSE)+VLOOKUP($A217,A:AL,37,FALSE)-50))</f>
        <v>856</v>
      </c>
      <c r="AM217" s="71" t="str">
        <f>VLOOKUP(A217,Classification!A:B,2,FALSE)</f>
        <v>C</v>
      </c>
      <c r="AN217" s="71" t="b">
        <f t="shared" si="102"/>
        <v>1</v>
      </c>
      <c r="AO217" s="3">
        <f t="shared" si="103"/>
        <v>3</v>
      </c>
      <c r="AP217" s="3">
        <f t="shared" si="104"/>
        <v>1</v>
      </c>
      <c r="AQ217" s="3" t="str">
        <f t="shared" si="105"/>
        <v>-</v>
      </c>
      <c r="AR217" s="3" t="str">
        <f t="shared" si="106"/>
        <v>-</v>
      </c>
      <c r="AS217" s="3" t="str">
        <f t="shared" si="107"/>
        <v>-</v>
      </c>
      <c r="AT217" s="3" t="str">
        <f t="shared" si="108"/>
        <v>-</v>
      </c>
      <c r="AU217" s="3">
        <f t="shared" si="109"/>
        <v>25</v>
      </c>
      <c r="AV217" s="3">
        <f t="shared" si="110"/>
        <v>2</v>
      </c>
      <c r="AW217" s="3">
        <f t="shared" si="111"/>
        <v>9</v>
      </c>
      <c r="AX217" s="3">
        <f t="shared" si="112"/>
        <v>11</v>
      </c>
      <c r="AY217" s="3">
        <f t="shared" si="113"/>
        <v>1</v>
      </c>
      <c r="AZ217" s="3">
        <f>IF(ISERROR(LEN(VLOOKUP(A217,Seqs!A:E,2,FALSE))-AL217),"-",LEN(VLOOKUP(A217,Seqs!A:E,2,FALSE))-AL217)</f>
        <v>52</v>
      </c>
      <c r="BA217" s="35">
        <f t="shared" si="114"/>
        <v>31</v>
      </c>
      <c r="BB217" s="3" t="str">
        <f t="shared" si="115"/>
        <v>-</v>
      </c>
      <c r="BC217" s="3">
        <f t="shared" si="116"/>
        <v>31</v>
      </c>
      <c r="BD217" s="3">
        <f t="shared" si="117"/>
        <v>37</v>
      </c>
    </row>
    <row r="218" spans="1:57" s="3" customFormat="1" x14ac:dyDescent="0.2">
      <c r="A218" s="3" t="s">
        <v>224</v>
      </c>
      <c r="B218" s="3" t="str">
        <f>LOWER(VLOOKUP(A218,Xtal_Templ!A:B,2,FALSE))</f>
        <v>grm5_human</v>
      </c>
      <c r="C218" s="3">
        <f>VLOOKUP($A218,'NonXtal_SegEnds_BW#'!$A:$Z,3,FALSE)+D218-50</f>
        <v>578</v>
      </c>
      <c r="D218" s="3">
        <v>594</v>
      </c>
      <c r="E218" s="3">
        <f>IF(ISERROR(VLOOKUP($A218,'NonXtal_SegEnds_BW#'!$A:$Z,4,FALSE)+VLOOKUP($A218,A:AL,4,FALSE)-50),"-",(VLOOKUP($A218,'NonXtal_SegEnds_BW#'!$A:$Z,4,FALSE)+VLOOKUP($A218,A:AL,4,FALSE)-50))</f>
        <v>604</v>
      </c>
      <c r="F218" s="3">
        <f t="shared" si="118"/>
        <v>607</v>
      </c>
      <c r="G218" s="3">
        <v>610</v>
      </c>
      <c r="H218" s="3">
        <f t="shared" si="119"/>
        <v>613</v>
      </c>
      <c r="I218" s="3">
        <f t="shared" si="120"/>
        <v>614</v>
      </c>
      <c r="J218" s="3">
        <v>625</v>
      </c>
      <c r="K218" s="3">
        <f>VLOOKUP($A218,'NonXtal_SegEnds_BW#'!$A:$Z,8,FALSE)+VLOOKUP($A218,A:AL,10,FALSE)-50</f>
        <v>636</v>
      </c>
      <c r="L218" s="3" t="str">
        <f>IF(ISERROR(VLOOKUP($A218,'NonXtal_SegEnds_BW#'!$A:$Z,9,FALSE)+VLOOKUP($A218,A:AL,13,FALSE)-50),"-",(VLOOKUP($A218,'NonXtal_SegEnds_BW#'!$A:$Z,9,FALSE)+VLOOKUP($A218,A:AL,13,FALSE)-50))</f>
        <v>-</v>
      </c>
      <c r="M218" s="3" t="s">
        <v>129</v>
      </c>
      <c r="N218" s="3" t="str">
        <f>IF(ISERROR(VLOOKUP($A218,'NonXtal_SegEnds_BW#'!$A:$Z,10,FALSE)+VLOOKUP($A218,A:AL,13,FALSE)-50),"-",(VLOOKUP($A218,'NonXtal_SegEnds_BW#'!$A:$Z,10,FALSE)+VLOOKUP($A218,A:AL,13,FALSE)-50))</f>
        <v>-</v>
      </c>
      <c r="O218" s="3">
        <f>VLOOKUP($A218,'NonXtal_SegEnds_BW#'!$A:$Z,11,FALSE)+VLOOKUP($A218,A:AL,16,FALSE)-50</f>
        <v>641</v>
      </c>
      <c r="P218" s="3">
        <v>669</v>
      </c>
      <c r="Q218" s="3">
        <f>VLOOKUP($A218,'NonXtal_SegEnds_BW#'!$A:$Z,12,FALSE)+VLOOKUP($A218,A:AL,16,FALSE)-50</f>
        <v>673</v>
      </c>
      <c r="R218" s="3" t="str">
        <f>IF(ISERROR(VLOOKUP($A218,'NonXtal_SegEnds_BW#'!$A:$Z,13,FALSE)+VLOOKUP($A218,A:AL,19,FALSE)-50),"-",VLOOKUP($A218,'NonXtal_SegEnds_BW#'!$A:$Z,13,FALSE)+VLOOKUP($A218,A:AL,19,FALSE)-50)</f>
        <v>-</v>
      </c>
      <c r="S218" s="3" t="s">
        <v>129</v>
      </c>
      <c r="T218" s="3" t="str">
        <f>IF(ISERROR(VLOOKUP($A218,'NonXtal_SegEnds_BW#'!$A:$Z,14,FALSE)+VLOOKUP($A218,A:AL,19,FALSE)-50),"-",(VLOOKUP($A218,'NonXtal_SegEnds_BW#'!$A:$Z,14,FALSE)+VLOOKUP($A218,A:AL,19,FALSE)-50))</f>
        <v>-</v>
      </c>
      <c r="U218" s="3">
        <f>IF(ISERROR(VLOOKUP($A218,'NonXtal_SegEnds_BW#'!$A:$Z,15,FALSE)+VLOOKUP($A218,A:AL,22,FALSE)-50),"-",VLOOKUP($A218,'NonXtal_SegEnds_BW#'!$A:$Z,15,FALSE)+VLOOKUP($A218,A:AL,22,FALSE)-50)</f>
        <v>690</v>
      </c>
      <c r="V218" s="3">
        <v>701</v>
      </c>
      <c r="W218" s="3">
        <f>IF(ISERROR(VLOOKUP($A218,'NonXtal_SegEnds_BW#'!$A:$Z,16,FALSE)+VLOOKUP($A218,A:AL,22,FALSE)-50),"-",(VLOOKUP($A218,'NonXtal_SegEnds_BW#'!$A:$Z,16,FALSE)+VLOOKUP($A218,A:AL,22,FALSE)-50))</f>
        <v>715</v>
      </c>
      <c r="X218" s="3">
        <f>IF(ISERROR(VLOOKUP($A218,'NonXtal_SegEnds_BW#'!$A:$Z,17,FALSE)+VLOOKUP($A218,A:AL,25,FALSE)-50),"-",(VLOOKUP($A218,'NonXtal_SegEnds_BW#'!$A:$Z,17,FALSE)+VLOOKUP($A218,A:AL,25,FALSE)-50))</f>
        <v>733</v>
      </c>
      <c r="Y218" s="3">
        <v>733</v>
      </c>
      <c r="Z218" s="3">
        <f t="shared" si="121"/>
        <v>735</v>
      </c>
      <c r="AA218" s="3">
        <f>IF(ISERROR(VLOOKUP($A218,'NonXtal_SegEnds_BW#'!$A:$Z,19,FALSE)+VLOOKUP($A218,A:AL,28,FALSE)-50),"-",(VLOOKUP($A218,'NonXtal_SegEnds_BW#'!$A:$Z,19,FALSE)+VLOOKUP($A218,A:AL,28,FALSE)-50))</f>
        <v>737</v>
      </c>
      <c r="AB218" s="3">
        <v>750</v>
      </c>
      <c r="AC218" s="3">
        <f>IF(ISERROR((VLOOKUP($A218,'NonXtal_SegEnds_BW#'!$A:$Z,20,FALSE)+VLOOKUP($A218,A:AL,28,FALSE)-50)),"-",(VLOOKUP($A218,'NonXtal_SegEnds_BW#'!$A:$Z,20,FALSE)+VLOOKUP($A218,A:AL,28,FALSE)-50))</f>
        <v>761</v>
      </c>
      <c r="AD218" s="3">
        <f>IF(ISERROR(VLOOKUP($A218,'NonXtal_SegEnds_BW#'!$A:$Z,21,FALSE)+VLOOKUP($A218,A:AL,31,FALSE)-50),"-",(VLOOKUP($A218,'NonXtal_SegEnds_BW#'!$A:$Z,21,FALSE)+VLOOKUP($A218,A:AL,31,FALSE)-50))</f>
        <v>770</v>
      </c>
      <c r="AE218" s="3">
        <v>787</v>
      </c>
      <c r="AF218" s="3">
        <f>IF(ISERROR((VLOOKUP($A218,'NonXtal_SegEnds_BW#'!$A:$Z,22,FALSE)+VLOOKUP($A218,A:AL,31,FALSE)-50)),"-",(VLOOKUP($A218,'NonXtal_SegEnds_BW#'!$A:$Z,22,FALSE)+VLOOKUP($A218,A:AL,31,FALSE)-50))</f>
        <v>794</v>
      </c>
      <c r="AG218" s="3">
        <f>IF(ISERROR(VLOOKUP($A218,'NonXtal_SegEnds_BW#'!$A:$Z,23,FALSE)+VLOOKUP($A218,A:AL,34,FALSE)-50),"-",(VLOOKUP($A218,'NonXtal_SegEnds_BW#'!$A:$Z,23,FALSE)+VLOOKUP($A218,A:AL,34,FALSE)-50))</f>
        <v>798</v>
      </c>
      <c r="AH218" s="3">
        <v>814</v>
      </c>
      <c r="AI218" s="3">
        <f>IF(ISERROR((VLOOKUP($A218,'NonXtal_SegEnds_BW#'!$A:$Z,24,FALSE)+VLOOKUP($A218,A:AL,34,FALSE)-50)),"-",(VLOOKUP($A218,'NonXtal_SegEnds_BW#'!$A:$Z,24,FALSE)+VLOOKUP($A218,A:AL,34,FALSE)-50))</f>
        <v>827</v>
      </c>
      <c r="AJ218" s="3">
        <f>IF(ISERROR(VLOOKUP($A218,'NonXtal_SegEnds_BW#'!$A:$Z,25,FALSE)+VLOOKUP($A218,A:AL,37,FALSE)-50),"-",(VLOOKUP($A218,'NonXtal_SegEnds_BW#'!$A:$Z,25,FALSE)+VLOOKUP($A218,A:AL,37,FALSE)-50))</f>
        <v>828</v>
      </c>
      <c r="AK218" s="3">
        <v>831</v>
      </c>
      <c r="AL218" s="3">
        <f>IF(ISERROR((VLOOKUP($A218,'NonXtal_SegEnds_BW#'!$A:$Z,26,FALSE)+VLOOKUP($A218,A:AL,37,FALSE)-50)),"-",(VLOOKUP($A218,'NonXtal_SegEnds_BW#'!$A:$Z,26,FALSE)+VLOOKUP($A218,A:AL,37,FALSE)-50))</f>
        <v>840</v>
      </c>
      <c r="AM218" s="71" t="str">
        <f>VLOOKUP(A218,Classification!A:B,2,FALSE)</f>
        <v>C</v>
      </c>
      <c r="AN218" s="71" t="b">
        <f t="shared" si="102"/>
        <v>1</v>
      </c>
      <c r="AO218" s="3">
        <f t="shared" si="103"/>
        <v>3</v>
      </c>
      <c r="AP218" s="3">
        <f t="shared" si="104"/>
        <v>1</v>
      </c>
      <c r="AQ218" s="3" t="str">
        <f t="shared" si="105"/>
        <v>-</v>
      </c>
      <c r="AR218" s="3" t="str">
        <f t="shared" si="106"/>
        <v>-</v>
      </c>
      <c r="AS218" s="3" t="str">
        <f t="shared" si="107"/>
        <v>-</v>
      </c>
      <c r="AT218" s="3" t="str">
        <f t="shared" si="108"/>
        <v>-</v>
      </c>
      <c r="AU218" s="3">
        <f t="shared" si="109"/>
        <v>18</v>
      </c>
      <c r="AV218" s="3">
        <f t="shared" si="110"/>
        <v>2</v>
      </c>
      <c r="AW218" s="3">
        <f t="shared" si="111"/>
        <v>9</v>
      </c>
      <c r="AX218" s="3">
        <f t="shared" si="112"/>
        <v>4</v>
      </c>
      <c r="AY218" s="3">
        <f t="shared" si="113"/>
        <v>1</v>
      </c>
      <c r="AZ218" s="3">
        <f>IF(ISERROR(LEN(VLOOKUP(A218,Seqs!A:E,2,FALSE))-AL218),"-",LEN(VLOOKUP(A218,Seqs!A:E,2,FALSE))-AL218)</f>
        <v>372</v>
      </c>
      <c r="BA218" s="35">
        <f t="shared" si="114"/>
        <v>31</v>
      </c>
      <c r="BB218" s="3" t="str">
        <f t="shared" si="115"/>
        <v>-</v>
      </c>
      <c r="BC218" s="3">
        <f t="shared" si="116"/>
        <v>31</v>
      </c>
      <c r="BD218" s="3">
        <f t="shared" si="117"/>
        <v>37</v>
      </c>
    </row>
    <row r="219" spans="1:57" s="3" customFormat="1" x14ac:dyDescent="0.2">
      <c r="A219" s="3" t="s">
        <v>310</v>
      </c>
      <c r="B219" s="3" t="str">
        <f>LOWER(VLOOKUP(A219,Xtal_Templ!A:B,2,FALSE))</f>
        <v>grm5_human</v>
      </c>
      <c r="C219" s="3">
        <f>VLOOKUP($A219,'NonXtal_SegEnds_BW#'!$A:$Z,3,FALSE)+D219-50</f>
        <v>575</v>
      </c>
      <c r="D219" s="3">
        <v>591</v>
      </c>
      <c r="E219" s="3">
        <f>IF(ISERROR(VLOOKUP($A219,'NonXtal_SegEnds_BW#'!$A:$Z,4,FALSE)+VLOOKUP($A219,A:AL,4,FALSE)-50),"-",(VLOOKUP($A219,'NonXtal_SegEnds_BW#'!$A:$Z,4,FALSE)+VLOOKUP($A219,A:AL,4,FALSE)-50))</f>
        <v>601</v>
      </c>
      <c r="F219" s="3">
        <f t="shared" si="118"/>
        <v>604</v>
      </c>
      <c r="G219" s="3">
        <v>607</v>
      </c>
      <c r="H219" s="3">
        <f t="shared" si="119"/>
        <v>610</v>
      </c>
      <c r="I219" s="3">
        <f t="shared" si="120"/>
        <v>611</v>
      </c>
      <c r="J219" s="3">
        <v>622</v>
      </c>
      <c r="K219" s="3">
        <f>VLOOKUP($A219,'NonXtal_SegEnds_BW#'!$A:$Z,8,FALSE)+VLOOKUP($A219,A:AL,10,FALSE)-50</f>
        <v>633</v>
      </c>
      <c r="L219" s="3" t="str">
        <f>IF(ISERROR(VLOOKUP($A219,'NonXtal_SegEnds_BW#'!$A:$Z,9,FALSE)+VLOOKUP($A219,A:AL,13,FALSE)-50),"-",(VLOOKUP($A219,'NonXtal_SegEnds_BW#'!$A:$Z,9,FALSE)+VLOOKUP($A219,A:AL,13,FALSE)-50))</f>
        <v>-</v>
      </c>
      <c r="M219" s="3" t="s">
        <v>129</v>
      </c>
      <c r="N219" s="3" t="str">
        <f>IF(ISERROR(VLOOKUP($A219,'NonXtal_SegEnds_BW#'!$A:$Z,10,FALSE)+VLOOKUP($A219,A:AL,13,FALSE)-50),"-",(VLOOKUP($A219,'NonXtal_SegEnds_BW#'!$A:$Z,10,FALSE)+VLOOKUP($A219,A:AL,13,FALSE)-50))</f>
        <v>-</v>
      </c>
      <c r="O219" s="3">
        <f>VLOOKUP($A219,'NonXtal_SegEnds_BW#'!$A:$Z,11,FALSE)+VLOOKUP($A219,A:AL,16,FALSE)-50</f>
        <v>638</v>
      </c>
      <c r="P219" s="3">
        <v>666</v>
      </c>
      <c r="Q219" s="3">
        <f>VLOOKUP($A219,'NonXtal_SegEnds_BW#'!$A:$Z,12,FALSE)+VLOOKUP($A219,A:AL,16,FALSE)-50</f>
        <v>670</v>
      </c>
      <c r="R219" s="3" t="str">
        <f>IF(ISERROR(VLOOKUP($A219,'NonXtal_SegEnds_BW#'!$A:$Z,13,FALSE)+VLOOKUP($A219,A:AL,19,FALSE)-50),"-",VLOOKUP($A219,'NonXtal_SegEnds_BW#'!$A:$Z,13,FALSE)+VLOOKUP($A219,A:AL,19,FALSE)-50)</f>
        <v>-</v>
      </c>
      <c r="S219" s="3" t="s">
        <v>129</v>
      </c>
      <c r="T219" s="3" t="str">
        <f>IF(ISERROR(VLOOKUP($A219,'NonXtal_SegEnds_BW#'!$A:$Z,14,FALSE)+VLOOKUP($A219,A:AL,19,FALSE)-50),"-",(VLOOKUP($A219,'NonXtal_SegEnds_BW#'!$A:$Z,14,FALSE)+VLOOKUP($A219,A:AL,19,FALSE)-50))</f>
        <v>-</v>
      </c>
      <c r="U219" s="3">
        <f>IF(ISERROR(VLOOKUP($A219,'NonXtal_SegEnds_BW#'!$A:$Z,15,FALSE)+VLOOKUP($A219,A:AL,22,FALSE)-50),"-",VLOOKUP($A219,'NonXtal_SegEnds_BW#'!$A:$Z,15,FALSE)+VLOOKUP($A219,A:AL,22,FALSE)-50)</f>
        <v>685</v>
      </c>
      <c r="V219" s="3">
        <v>696</v>
      </c>
      <c r="W219" s="3">
        <f>IF(ISERROR(VLOOKUP($A219,'NonXtal_SegEnds_BW#'!$A:$Z,16,FALSE)+VLOOKUP($A219,A:AL,22,FALSE)-50),"-",(VLOOKUP($A219,'NonXtal_SegEnds_BW#'!$A:$Z,16,FALSE)+VLOOKUP($A219,A:AL,22,FALSE)-50))</f>
        <v>710</v>
      </c>
      <c r="X219" s="3">
        <f>IF(ISERROR(VLOOKUP($A219,'NonXtal_SegEnds_BW#'!$A:$Z,17,FALSE)+VLOOKUP($A219,A:AL,25,FALSE)-50),"-",(VLOOKUP($A219,'NonXtal_SegEnds_BW#'!$A:$Z,17,FALSE)+VLOOKUP($A219,A:AL,25,FALSE)-50))</f>
        <v>730</v>
      </c>
      <c r="Y219" s="3">
        <v>730</v>
      </c>
      <c r="Z219" s="3">
        <f t="shared" si="121"/>
        <v>732</v>
      </c>
      <c r="AA219" s="3">
        <f>IF(ISERROR(VLOOKUP($A219,'NonXtal_SegEnds_BW#'!$A:$Z,19,FALSE)+VLOOKUP($A219,A:AL,28,FALSE)-50),"-",(VLOOKUP($A219,'NonXtal_SegEnds_BW#'!$A:$Z,19,FALSE)+VLOOKUP($A219,A:AL,28,FALSE)-50))</f>
        <v>734</v>
      </c>
      <c r="AB219" s="3">
        <v>747</v>
      </c>
      <c r="AC219" s="3">
        <f>IF(ISERROR((VLOOKUP($A219,'NonXtal_SegEnds_BW#'!$A:$Z,20,FALSE)+VLOOKUP($A219,A:AL,28,FALSE)-50)),"-",(VLOOKUP($A219,'NonXtal_SegEnds_BW#'!$A:$Z,20,FALSE)+VLOOKUP($A219,A:AL,28,FALSE)-50))</f>
        <v>758</v>
      </c>
      <c r="AD219" s="3">
        <f>IF(ISERROR(VLOOKUP($A219,'NonXtal_SegEnds_BW#'!$A:$Z,21,FALSE)+VLOOKUP($A219,A:AL,31,FALSE)-50),"-",(VLOOKUP($A219,'NonXtal_SegEnds_BW#'!$A:$Z,21,FALSE)+VLOOKUP($A219,A:AL,31,FALSE)-50))</f>
        <v>767</v>
      </c>
      <c r="AE219" s="3">
        <v>784</v>
      </c>
      <c r="AF219" s="3">
        <f>IF(ISERROR((VLOOKUP($A219,'NonXtal_SegEnds_BW#'!$A:$Z,22,FALSE)+VLOOKUP($A219,A:AL,31,FALSE)-50)),"-",(VLOOKUP($A219,'NonXtal_SegEnds_BW#'!$A:$Z,22,FALSE)+VLOOKUP($A219,A:AL,31,FALSE)-50))</f>
        <v>791</v>
      </c>
      <c r="AG219" s="3">
        <f>IF(ISERROR(VLOOKUP($A219,'NonXtal_SegEnds_BW#'!$A:$Z,23,FALSE)+VLOOKUP($A219,A:AL,34,FALSE)-50),"-",(VLOOKUP($A219,'NonXtal_SegEnds_BW#'!$A:$Z,23,FALSE)+VLOOKUP($A219,A:AL,34,FALSE)-50))</f>
        <v>799</v>
      </c>
      <c r="AH219" s="3">
        <v>815</v>
      </c>
      <c r="AI219" s="3">
        <f>IF(ISERROR((VLOOKUP($A219,'NonXtal_SegEnds_BW#'!$A:$Z,24,FALSE)+VLOOKUP($A219,A:AL,34,FALSE)-50)),"-",(VLOOKUP($A219,'NonXtal_SegEnds_BW#'!$A:$Z,24,FALSE)+VLOOKUP($A219,A:AL,34,FALSE)-50))</f>
        <v>828</v>
      </c>
      <c r="AJ219" s="3">
        <f>IF(ISERROR(VLOOKUP($A219,'NonXtal_SegEnds_BW#'!$A:$Z,25,FALSE)+VLOOKUP($A219,A:AL,37,FALSE)-50),"-",(VLOOKUP($A219,'NonXtal_SegEnds_BW#'!$A:$Z,25,FALSE)+VLOOKUP($A219,A:AL,37,FALSE)-50))</f>
        <v>829</v>
      </c>
      <c r="AK219" s="3">
        <v>832</v>
      </c>
      <c r="AL219" s="3">
        <f>IF(ISERROR((VLOOKUP($A219,'NonXtal_SegEnds_BW#'!$A:$Z,26,FALSE)+VLOOKUP($A219,A:AL,37,FALSE)-50)),"-",(VLOOKUP($A219,'NonXtal_SegEnds_BW#'!$A:$Z,26,FALSE)+VLOOKUP($A219,A:AL,37,FALSE)-50))</f>
        <v>841</v>
      </c>
      <c r="AM219" s="71" t="str">
        <f>VLOOKUP(A219,Classification!A:B,2,FALSE)</f>
        <v>C</v>
      </c>
      <c r="AN219" s="71" t="b">
        <f t="shared" si="102"/>
        <v>1</v>
      </c>
      <c r="AO219" s="3">
        <f t="shared" si="103"/>
        <v>3</v>
      </c>
      <c r="AP219" s="3">
        <f t="shared" si="104"/>
        <v>1</v>
      </c>
      <c r="AQ219" s="3" t="str">
        <f t="shared" si="105"/>
        <v>-</v>
      </c>
      <c r="AR219" s="3" t="str">
        <f t="shared" si="106"/>
        <v>-</v>
      </c>
      <c r="AS219" s="3" t="str">
        <f t="shared" si="107"/>
        <v>-</v>
      </c>
      <c r="AT219" s="3" t="str">
        <f t="shared" si="108"/>
        <v>-</v>
      </c>
      <c r="AU219" s="3">
        <f t="shared" si="109"/>
        <v>20</v>
      </c>
      <c r="AV219" s="3">
        <f t="shared" si="110"/>
        <v>2</v>
      </c>
      <c r="AW219" s="3">
        <f t="shared" si="111"/>
        <v>9</v>
      </c>
      <c r="AX219" s="3">
        <f t="shared" si="112"/>
        <v>8</v>
      </c>
      <c r="AY219" s="3">
        <f t="shared" si="113"/>
        <v>1</v>
      </c>
      <c r="AZ219" s="3">
        <f>IF(ISERROR(LEN(VLOOKUP(A219,Seqs!A:E,2,FALSE))-AL219),"-",LEN(VLOOKUP(A219,Seqs!A:E,2,FALSE))-AL219)</f>
        <v>38</v>
      </c>
      <c r="BA219" s="35">
        <f t="shared" si="114"/>
        <v>31</v>
      </c>
      <c r="BB219" s="3" t="str">
        <f t="shared" si="115"/>
        <v>-</v>
      </c>
      <c r="BC219" s="3">
        <f t="shared" si="116"/>
        <v>31</v>
      </c>
      <c r="BD219" s="3">
        <f t="shared" si="117"/>
        <v>37</v>
      </c>
    </row>
    <row r="220" spans="1:57" s="3" customFormat="1" x14ac:dyDescent="0.2">
      <c r="A220" s="3" t="s">
        <v>309</v>
      </c>
      <c r="B220" s="3" t="str">
        <f>LOWER(VLOOKUP(A220,Xtal_Templ!A:B,2,FALSE))</f>
        <v>grm5_human</v>
      </c>
      <c r="C220" s="3">
        <f>VLOOKUP($A220,'NonXtal_SegEnds_BW#'!$A:$Z,3,FALSE)+D220-50</f>
        <v>566</v>
      </c>
      <c r="D220" s="3">
        <v>582</v>
      </c>
      <c r="E220" s="3">
        <f>IF(ISERROR(VLOOKUP($A220,'NonXtal_SegEnds_BW#'!$A:$Z,4,FALSE)+VLOOKUP($A220,A:AL,4,FALSE)-50),"-",(VLOOKUP($A220,'NonXtal_SegEnds_BW#'!$A:$Z,4,FALSE)+VLOOKUP($A220,A:AL,4,FALSE)-50))</f>
        <v>592</v>
      </c>
      <c r="F220" s="3">
        <f t="shared" si="118"/>
        <v>595</v>
      </c>
      <c r="G220" s="3">
        <v>598</v>
      </c>
      <c r="H220" s="3">
        <f t="shared" si="119"/>
        <v>601</v>
      </c>
      <c r="I220" s="3">
        <f t="shared" si="120"/>
        <v>602</v>
      </c>
      <c r="J220" s="3">
        <v>613</v>
      </c>
      <c r="K220" s="3">
        <f>VLOOKUP($A220,'NonXtal_SegEnds_BW#'!$A:$Z,8,FALSE)+VLOOKUP($A220,A:AL,10,FALSE)-50</f>
        <v>624</v>
      </c>
      <c r="L220" s="3" t="str">
        <f>IF(ISERROR(VLOOKUP($A220,'NonXtal_SegEnds_BW#'!$A:$Z,9,FALSE)+VLOOKUP($A220,A:AL,13,FALSE)-50),"-",(VLOOKUP($A220,'NonXtal_SegEnds_BW#'!$A:$Z,9,FALSE)+VLOOKUP($A220,A:AL,13,FALSE)-50))</f>
        <v>-</v>
      </c>
      <c r="M220" s="3" t="s">
        <v>129</v>
      </c>
      <c r="N220" s="3" t="str">
        <f>IF(ISERROR(VLOOKUP($A220,'NonXtal_SegEnds_BW#'!$A:$Z,10,FALSE)+VLOOKUP($A220,A:AL,13,FALSE)-50),"-",(VLOOKUP($A220,'NonXtal_SegEnds_BW#'!$A:$Z,10,FALSE)+VLOOKUP($A220,A:AL,13,FALSE)-50))</f>
        <v>-</v>
      </c>
      <c r="O220" s="3">
        <f>VLOOKUP($A220,'NonXtal_SegEnds_BW#'!$A:$Z,11,FALSE)+VLOOKUP($A220,A:AL,16,FALSE)-50</f>
        <v>629</v>
      </c>
      <c r="P220" s="3">
        <v>657</v>
      </c>
      <c r="Q220" s="3">
        <f>VLOOKUP($A220,'NonXtal_SegEnds_BW#'!$A:$Z,12,FALSE)+VLOOKUP($A220,A:AL,16,FALSE)-50</f>
        <v>661</v>
      </c>
      <c r="R220" s="3" t="str">
        <f>IF(ISERROR(VLOOKUP($A220,'NonXtal_SegEnds_BW#'!$A:$Z,13,FALSE)+VLOOKUP($A220,A:AL,19,FALSE)-50),"-",VLOOKUP($A220,'NonXtal_SegEnds_BW#'!$A:$Z,13,FALSE)+VLOOKUP($A220,A:AL,19,FALSE)-50)</f>
        <v>-</v>
      </c>
      <c r="S220" s="3" t="s">
        <v>129</v>
      </c>
      <c r="T220" s="3" t="str">
        <f>IF(ISERROR(VLOOKUP($A220,'NonXtal_SegEnds_BW#'!$A:$Z,14,FALSE)+VLOOKUP($A220,A:AL,19,FALSE)-50),"-",(VLOOKUP($A220,'NonXtal_SegEnds_BW#'!$A:$Z,14,FALSE)+VLOOKUP($A220,A:AL,19,FALSE)-50))</f>
        <v>-</v>
      </c>
      <c r="U220" s="3">
        <f>IF(ISERROR(VLOOKUP($A220,'NonXtal_SegEnds_BW#'!$A:$Z,15,FALSE)+VLOOKUP($A220,A:AL,22,FALSE)-50),"-",VLOOKUP($A220,'NonXtal_SegEnds_BW#'!$A:$Z,15,FALSE)+VLOOKUP($A220,A:AL,22,FALSE)-50)</f>
        <v>676</v>
      </c>
      <c r="V220" s="3">
        <v>687</v>
      </c>
      <c r="W220" s="3">
        <f>IF(ISERROR(VLOOKUP($A220,'NonXtal_SegEnds_BW#'!$A:$Z,16,FALSE)+VLOOKUP($A220,A:AL,22,FALSE)-50),"-",(VLOOKUP($A220,'NonXtal_SegEnds_BW#'!$A:$Z,16,FALSE)+VLOOKUP($A220,A:AL,22,FALSE)-50))</f>
        <v>701</v>
      </c>
      <c r="X220" s="3">
        <f>IF(ISERROR(VLOOKUP($A220,'NonXtal_SegEnds_BW#'!$A:$Z,17,FALSE)+VLOOKUP($A220,A:AL,25,FALSE)-50),"-",(VLOOKUP($A220,'NonXtal_SegEnds_BW#'!$A:$Z,17,FALSE)+VLOOKUP($A220,A:AL,25,FALSE)-50))</f>
        <v>721</v>
      </c>
      <c r="Y220" s="3">
        <v>721</v>
      </c>
      <c r="Z220" s="3">
        <f t="shared" si="121"/>
        <v>723</v>
      </c>
      <c r="AA220" s="3">
        <f>IF(ISERROR(VLOOKUP($A220,'NonXtal_SegEnds_BW#'!$A:$Z,19,FALSE)+VLOOKUP($A220,A:AL,28,FALSE)-50),"-",(VLOOKUP($A220,'NonXtal_SegEnds_BW#'!$A:$Z,19,FALSE)+VLOOKUP($A220,A:AL,28,FALSE)-50))</f>
        <v>725</v>
      </c>
      <c r="AB220" s="3">
        <v>738</v>
      </c>
      <c r="AC220" s="3">
        <f>IF(ISERROR((VLOOKUP($A220,'NonXtal_SegEnds_BW#'!$A:$Z,20,FALSE)+VLOOKUP($A220,A:AL,28,FALSE)-50)),"-",(VLOOKUP($A220,'NonXtal_SegEnds_BW#'!$A:$Z,20,FALSE)+VLOOKUP($A220,A:AL,28,FALSE)-50))</f>
        <v>749</v>
      </c>
      <c r="AD220" s="3">
        <f>IF(ISERROR(VLOOKUP($A220,'NonXtal_SegEnds_BW#'!$A:$Z,21,FALSE)+VLOOKUP($A220,A:AL,31,FALSE)-50),"-",(VLOOKUP($A220,'NonXtal_SegEnds_BW#'!$A:$Z,21,FALSE)+VLOOKUP($A220,A:AL,31,FALSE)-50))</f>
        <v>758</v>
      </c>
      <c r="AE220" s="3">
        <v>775</v>
      </c>
      <c r="AF220" s="3">
        <f>IF(ISERROR((VLOOKUP($A220,'NonXtal_SegEnds_BW#'!$A:$Z,22,FALSE)+VLOOKUP($A220,A:AL,31,FALSE)-50)),"-",(VLOOKUP($A220,'NonXtal_SegEnds_BW#'!$A:$Z,22,FALSE)+VLOOKUP($A220,A:AL,31,FALSE)-50))</f>
        <v>782</v>
      </c>
      <c r="AG220" s="3">
        <f>IF(ISERROR(VLOOKUP($A220,'NonXtal_SegEnds_BW#'!$A:$Z,23,FALSE)+VLOOKUP($A220,A:AL,34,FALSE)-50),"-",(VLOOKUP($A220,'NonXtal_SegEnds_BW#'!$A:$Z,23,FALSE)+VLOOKUP($A220,A:AL,34,FALSE)-50))</f>
        <v>790</v>
      </c>
      <c r="AH220" s="3">
        <v>806</v>
      </c>
      <c r="AI220" s="3">
        <f>IF(ISERROR((VLOOKUP($A220,'NonXtal_SegEnds_BW#'!$A:$Z,24,FALSE)+VLOOKUP($A220,A:AL,34,FALSE)-50)),"-",(VLOOKUP($A220,'NonXtal_SegEnds_BW#'!$A:$Z,24,FALSE)+VLOOKUP($A220,A:AL,34,FALSE)-50))</f>
        <v>819</v>
      </c>
      <c r="AJ220" s="3">
        <f>IF(ISERROR(VLOOKUP($A220,'NonXtal_SegEnds_BW#'!$A:$Z,25,FALSE)+VLOOKUP($A220,A:AL,37,FALSE)-50),"-",(VLOOKUP($A220,'NonXtal_SegEnds_BW#'!$A:$Z,25,FALSE)+VLOOKUP($A220,A:AL,37,FALSE)-50))</f>
        <v>820</v>
      </c>
      <c r="AK220" s="3">
        <v>823</v>
      </c>
      <c r="AL220" s="3">
        <f>IF(ISERROR((VLOOKUP($A220,'NonXtal_SegEnds_BW#'!$A:$Z,26,FALSE)+VLOOKUP($A220,A:AL,37,FALSE)-50)),"-",(VLOOKUP($A220,'NonXtal_SegEnds_BW#'!$A:$Z,26,FALSE)+VLOOKUP($A220,A:AL,37,FALSE)-50))</f>
        <v>832</v>
      </c>
      <c r="AM220" s="71" t="str">
        <f>VLOOKUP(A220,Classification!A:B,2,FALSE)</f>
        <v>C</v>
      </c>
      <c r="AN220" s="71" t="b">
        <f t="shared" si="102"/>
        <v>1</v>
      </c>
      <c r="AO220" s="3">
        <f t="shared" si="103"/>
        <v>3</v>
      </c>
      <c r="AP220" s="3">
        <f t="shared" si="104"/>
        <v>1</v>
      </c>
      <c r="AQ220" s="3" t="str">
        <f t="shared" si="105"/>
        <v>-</v>
      </c>
      <c r="AR220" s="3" t="str">
        <f t="shared" si="106"/>
        <v>-</v>
      </c>
      <c r="AS220" s="3" t="str">
        <f t="shared" si="107"/>
        <v>-</v>
      </c>
      <c r="AT220" s="3" t="str">
        <f t="shared" si="108"/>
        <v>-</v>
      </c>
      <c r="AU220" s="3">
        <f t="shared" si="109"/>
        <v>20</v>
      </c>
      <c r="AV220" s="3">
        <f t="shared" si="110"/>
        <v>2</v>
      </c>
      <c r="AW220" s="3">
        <f t="shared" si="111"/>
        <v>9</v>
      </c>
      <c r="AX220" s="3">
        <f t="shared" si="112"/>
        <v>8</v>
      </c>
      <c r="AY220" s="3">
        <f t="shared" si="113"/>
        <v>1</v>
      </c>
      <c r="AZ220" s="3">
        <f>IF(ISERROR(LEN(VLOOKUP(A220,Seqs!A:E,2,FALSE))-AL220),"-",LEN(VLOOKUP(A220,Seqs!A:E,2,FALSE))-AL220)</f>
        <v>40</v>
      </c>
      <c r="BA220" s="35">
        <f t="shared" si="114"/>
        <v>31</v>
      </c>
      <c r="BB220" s="3" t="str">
        <f t="shared" si="115"/>
        <v>-</v>
      </c>
      <c r="BC220" s="3">
        <f t="shared" si="116"/>
        <v>31</v>
      </c>
      <c r="BD220" s="3">
        <f t="shared" si="117"/>
        <v>37</v>
      </c>
    </row>
    <row r="221" spans="1:57" s="3" customFormat="1" x14ac:dyDescent="0.2">
      <c r="A221" s="3" t="s">
        <v>301</v>
      </c>
      <c r="B221" s="3" t="str">
        <f>LOWER(VLOOKUP(A221,Xtal_Templ!A:B,2,FALSE))</f>
        <v>grm5_human</v>
      </c>
      <c r="C221" s="3">
        <f>VLOOKUP($A221,'NonXtal_SegEnds_BW#'!$A:$Z,3,FALSE)+D221-50</f>
        <v>480</v>
      </c>
      <c r="D221" s="3">
        <v>496</v>
      </c>
      <c r="E221" s="3">
        <f>IF(ISERROR(VLOOKUP($A221,'NonXtal_SegEnds_BW#'!$A:$Z,4,FALSE)+VLOOKUP($A221,A:AL,4,FALSE)-50),"-",(VLOOKUP($A221,'NonXtal_SegEnds_BW#'!$A:$Z,4,FALSE)+VLOOKUP($A221,A:AL,4,FALSE)-50))</f>
        <v>506</v>
      </c>
      <c r="F221" s="3">
        <f t="shared" si="118"/>
        <v>509</v>
      </c>
      <c r="G221" s="3">
        <v>512</v>
      </c>
      <c r="H221" s="3">
        <f t="shared" si="119"/>
        <v>515</v>
      </c>
      <c r="I221" s="3">
        <f t="shared" si="120"/>
        <v>516</v>
      </c>
      <c r="J221" s="3">
        <v>527</v>
      </c>
      <c r="K221" s="3">
        <f>VLOOKUP($A221,'NonXtal_SegEnds_BW#'!$A:$Z,8,FALSE)+VLOOKUP($A221,A:AL,10,FALSE)-50</f>
        <v>538</v>
      </c>
      <c r="L221" s="3" t="str">
        <f>IF(ISERROR(VLOOKUP($A221,'NonXtal_SegEnds_BW#'!$A:$Z,9,FALSE)+VLOOKUP($A221,A:AL,13,FALSE)-50),"-",(VLOOKUP($A221,'NonXtal_SegEnds_BW#'!$A:$Z,9,FALSE)+VLOOKUP($A221,A:AL,13,FALSE)-50))</f>
        <v>-</v>
      </c>
      <c r="M221" s="3" t="s">
        <v>129</v>
      </c>
      <c r="N221" s="3" t="str">
        <f>IF(ISERROR(VLOOKUP($A221,'NonXtal_SegEnds_BW#'!$A:$Z,10,FALSE)+VLOOKUP($A221,A:AL,13,FALSE)-50),"-",(VLOOKUP($A221,'NonXtal_SegEnds_BW#'!$A:$Z,10,FALSE)+VLOOKUP($A221,A:AL,13,FALSE)-50))</f>
        <v>-</v>
      </c>
      <c r="O221" s="3">
        <f>VLOOKUP($A221,'NonXtal_SegEnds_BW#'!$A:$Z,11,FALSE)+VLOOKUP($A221,A:AL,16,FALSE)-50</f>
        <v>550</v>
      </c>
      <c r="P221" s="3">
        <v>578</v>
      </c>
      <c r="Q221" s="3">
        <f>VLOOKUP($A221,'NonXtal_SegEnds_BW#'!$A:$Z,12,FALSE)+VLOOKUP($A221,A:AL,16,FALSE)-50</f>
        <v>582</v>
      </c>
      <c r="R221" s="3" t="str">
        <f>IF(ISERROR(VLOOKUP($A221,'NonXtal_SegEnds_BW#'!$A:$Z,13,FALSE)+VLOOKUP($A221,A:AL,19,FALSE)-50),"-",VLOOKUP($A221,'NonXtal_SegEnds_BW#'!$A:$Z,13,FALSE)+VLOOKUP($A221,A:AL,19,FALSE)-50)</f>
        <v>-</v>
      </c>
      <c r="S221" s="3" t="s">
        <v>129</v>
      </c>
      <c r="T221" s="3" t="str">
        <f>IF(ISERROR(VLOOKUP($A221,'NonXtal_SegEnds_BW#'!$A:$Z,14,FALSE)+VLOOKUP($A221,A:AL,19,FALSE)-50),"-",(VLOOKUP($A221,'NonXtal_SegEnds_BW#'!$A:$Z,14,FALSE)+VLOOKUP($A221,A:AL,19,FALSE)-50))</f>
        <v>-</v>
      </c>
      <c r="U221" s="3">
        <f>IF(ISERROR(VLOOKUP($A221,'NonXtal_SegEnds_BW#'!$A:$Z,15,FALSE)+VLOOKUP($A221,A:AL,22,FALSE)-50),"-",VLOOKUP($A221,'NonXtal_SegEnds_BW#'!$A:$Z,15,FALSE)+VLOOKUP($A221,A:AL,22,FALSE)-50)</f>
        <v>594</v>
      </c>
      <c r="V221" s="3">
        <v>605</v>
      </c>
      <c r="W221" s="3">
        <f>IF(ISERROR(VLOOKUP($A221,'NonXtal_SegEnds_BW#'!$A:$Z,16,FALSE)+VLOOKUP($A221,A:AL,22,FALSE)-50),"-",(VLOOKUP($A221,'NonXtal_SegEnds_BW#'!$A:$Z,16,FALSE)+VLOOKUP($A221,A:AL,22,FALSE)-50))</f>
        <v>619</v>
      </c>
      <c r="X221" s="3">
        <f>IF(ISERROR(VLOOKUP($A221,'NonXtal_SegEnds_BW#'!$A:$Z,17,FALSE)+VLOOKUP($A221,A:AL,25,FALSE)-50),"-",(VLOOKUP($A221,'NonXtal_SegEnds_BW#'!$A:$Z,17,FALSE)+VLOOKUP($A221,A:AL,25,FALSE)-50))</f>
        <v>648</v>
      </c>
      <c r="Y221" s="3">
        <v>648</v>
      </c>
      <c r="Z221" s="3">
        <f t="shared" si="121"/>
        <v>650</v>
      </c>
      <c r="AA221" s="3">
        <f>IF(ISERROR(VLOOKUP($A221,'NonXtal_SegEnds_BW#'!$A:$Z,19,FALSE)+VLOOKUP($A221,A:AL,28,FALSE)-50),"-",(VLOOKUP($A221,'NonXtal_SegEnds_BW#'!$A:$Z,19,FALSE)+VLOOKUP($A221,A:AL,28,FALSE)-50))</f>
        <v>654</v>
      </c>
      <c r="AB221" s="3">
        <v>667</v>
      </c>
      <c r="AC221" s="3">
        <f>IF(ISERROR((VLOOKUP($A221,'NonXtal_SegEnds_BW#'!$A:$Z,20,FALSE)+VLOOKUP($A221,A:AL,28,FALSE)-50)),"-",(VLOOKUP($A221,'NonXtal_SegEnds_BW#'!$A:$Z,20,FALSE)+VLOOKUP($A221,A:AL,28,FALSE)-50))</f>
        <v>678</v>
      </c>
      <c r="AD221" s="3">
        <f>IF(ISERROR(VLOOKUP($A221,'NonXtal_SegEnds_BW#'!$A:$Z,21,FALSE)+VLOOKUP($A221,A:AL,31,FALSE)-50),"-",(VLOOKUP($A221,'NonXtal_SegEnds_BW#'!$A:$Z,21,FALSE)+VLOOKUP($A221,A:AL,31,FALSE)-50))</f>
        <v>688</v>
      </c>
      <c r="AE221" s="3">
        <v>705</v>
      </c>
      <c r="AF221" s="3">
        <f>IF(ISERROR((VLOOKUP($A221,'NonXtal_SegEnds_BW#'!$A:$Z,22,FALSE)+VLOOKUP($A221,A:AL,31,FALSE)-50)),"-",(VLOOKUP($A221,'NonXtal_SegEnds_BW#'!$A:$Z,22,FALSE)+VLOOKUP($A221,A:AL,31,FALSE)-50))</f>
        <v>712</v>
      </c>
      <c r="AG221" s="3">
        <f>IF(ISERROR(VLOOKUP($A221,'NonXtal_SegEnds_BW#'!$A:$Z,23,FALSE)+VLOOKUP($A221,A:AL,34,FALSE)-50),"-",(VLOOKUP($A221,'NonXtal_SegEnds_BW#'!$A:$Z,23,FALSE)+VLOOKUP($A221,A:AL,34,FALSE)-50))</f>
        <v>720</v>
      </c>
      <c r="AH221" s="3">
        <v>736</v>
      </c>
      <c r="AI221" s="3">
        <f>IF(ISERROR((VLOOKUP($A221,'NonXtal_SegEnds_BW#'!$A:$Z,24,FALSE)+VLOOKUP($A221,A:AL,34,FALSE)-50)),"-",(VLOOKUP($A221,'NonXtal_SegEnds_BW#'!$A:$Z,24,FALSE)+VLOOKUP($A221,A:AL,34,FALSE)-50))</f>
        <v>749</v>
      </c>
      <c r="AJ221" s="3">
        <f>IF(ISERROR(VLOOKUP($A221,'NonXtal_SegEnds_BW#'!$A:$Z,25,FALSE)+VLOOKUP($A221,A:AL,37,FALSE)-50),"-",(VLOOKUP($A221,'NonXtal_SegEnds_BW#'!$A:$Z,25,FALSE)+VLOOKUP($A221,A:AL,37,FALSE)-50))</f>
        <v>750</v>
      </c>
      <c r="AK221" s="3">
        <v>753</v>
      </c>
      <c r="AL221" s="3">
        <f>IF(ISERROR((VLOOKUP($A221,'NonXtal_SegEnds_BW#'!$A:$Z,26,FALSE)+VLOOKUP($A221,A:AL,37,FALSE)-50)),"-",(VLOOKUP($A221,'NonXtal_SegEnds_BW#'!$A:$Z,26,FALSE)+VLOOKUP($A221,A:AL,37,FALSE)-50))</f>
        <v>762</v>
      </c>
      <c r="AM221" s="71" t="str">
        <f>VLOOKUP(A221,Classification!A:B,2,FALSE)</f>
        <v>C</v>
      </c>
      <c r="AN221" s="71" t="b">
        <f t="shared" si="102"/>
        <v>1</v>
      </c>
      <c r="AO221" s="3">
        <f t="shared" si="103"/>
        <v>3</v>
      </c>
      <c r="AP221" s="3">
        <f t="shared" si="104"/>
        <v>1</v>
      </c>
      <c r="AQ221" s="3" t="str">
        <f t="shared" si="105"/>
        <v>-</v>
      </c>
      <c r="AR221" s="3" t="str">
        <f t="shared" si="106"/>
        <v>-</v>
      </c>
      <c r="AS221" s="3" t="str">
        <f t="shared" si="107"/>
        <v>-</v>
      </c>
      <c r="AT221" s="3" t="str">
        <f t="shared" si="108"/>
        <v>-</v>
      </c>
      <c r="AU221" s="3">
        <f t="shared" si="109"/>
        <v>29</v>
      </c>
      <c r="AV221" s="3">
        <f t="shared" si="110"/>
        <v>4</v>
      </c>
      <c r="AW221" s="3">
        <f t="shared" si="111"/>
        <v>10</v>
      </c>
      <c r="AX221" s="3">
        <f t="shared" si="112"/>
        <v>8</v>
      </c>
      <c r="AY221" s="3">
        <f t="shared" si="113"/>
        <v>1</v>
      </c>
      <c r="AZ221" s="3">
        <f>IF(ISERROR(LEN(VLOOKUP(A221,Seqs!A:E,2,FALSE))-AL221),"-",LEN(VLOOKUP(A221,Seqs!A:E,2,FALSE))-AL221)</f>
        <v>179</v>
      </c>
      <c r="BA221" s="35">
        <f t="shared" si="114"/>
        <v>31</v>
      </c>
      <c r="BB221" s="3" t="str">
        <f t="shared" si="115"/>
        <v>-</v>
      </c>
      <c r="BC221" s="3">
        <f t="shared" si="116"/>
        <v>31</v>
      </c>
      <c r="BD221" s="3">
        <f t="shared" si="117"/>
        <v>38</v>
      </c>
    </row>
    <row r="222" spans="1:57" s="3" customFormat="1" x14ac:dyDescent="0.2">
      <c r="A222" s="3" t="s">
        <v>413</v>
      </c>
      <c r="B222" s="3" t="str">
        <f>LOWER(VLOOKUP(A222,Xtal_Templ!A:B,2,FALSE))</f>
        <v>hrh1_human</v>
      </c>
      <c r="C222" s="3">
        <f>VLOOKUP($A222,'NonXtal_SegEnds_BW#'!$A:$Z,3,FALSE)+D222-50</f>
        <v>29</v>
      </c>
      <c r="D222" s="3">
        <v>45</v>
      </c>
      <c r="E222" s="3">
        <f>IF(ISERROR(VLOOKUP($A222,'NonXtal_SegEnds_BW#'!$A:$Z,4,FALSE)+VLOOKUP($A222,A:AL,4,FALSE)-50),"-",(VLOOKUP($A222,'NonXtal_SegEnds_BW#'!$A:$Z,4,FALSE)+VLOOKUP($A222,A:AL,4,FALSE)-50))</f>
        <v>55</v>
      </c>
      <c r="F222" s="3" t="str">
        <f>IF(ISERROR(VLOOKUP($A222,'NonXtal_SegEnds_BW#'!$A:$Z,5,FALSE)+VLOOKUP($A222,A:AL,7,FALSE)-50),"-",(VLOOKUP($A222,'NonXtal_SegEnds_BW#'!$A:$Z,5,FALSE)+VLOOKUP($A222,A:AL,7,FALSE)-50))</f>
        <v>-</v>
      </c>
      <c r="G222" s="3" t="s">
        <v>129</v>
      </c>
      <c r="H222" s="3" t="str">
        <f>IF(ISERROR(VLOOKUP($A222,'NonXtal_SegEnds_BW#'!$A:$Z,6,FALSE)+VLOOKUP($A222,A:AL,7,FALSE)-50),"-",(VLOOKUP($A222,'NonXtal_SegEnds_BW#'!$A:$Z,6,FALSE)+VLOOKUP($A222,A:AL,7,FALSE)-50))</f>
        <v>-</v>
      </c>
      <c r="I222" s="3">
        <f>VLOOKUP($A222,'NonXtal_SegEnds_BW#'!$A:$Z,7,FALSE)+J222-50</f>
        <v>65</v>
      </c>
      <c r="J222" s="3">
        <v>78</v>
      </c>
      <c r="K222" s="3">
        <f>VLOOKUP($A222,'NonXtal_SegEnds_BW#'!$A:$Z,8,FALSE)+VLOOKUP($A222,A:AL,10,FALSE)-50</f>
        <v>91</v>
      </c>
      <c r="L222" s="3">
        <f>M222-1</f>
        <v>94</v>
      </c>
      <c r="M222" s="3">
        <v>95</v>
      </c>
      <c r="N222" s="3">
        <f>M222+2</f>
        <v>97</v>
      </c>
      <c r="O222" s="3">
        <f>N222+1</f>
        <v>98</v>
      </c>
      <c r="P222" s="3">
        <v>127</v>
      </c>
      <c r="Q222" s="3">
        <f>VLOOKUP($A222,'NonXtal_SegEnds_BW#'!$A:$Z,12,FALSE)+VLOOKUP($A222,A:AL,16,FALSE)-50</f>
        <v>133</v>
      </c>
      <c r="R222" s="3">
        <f>IF(ISERROR(VLOOKUP($A222,'NonXtal_SegEnds_BW#'!$A:$Z,13,FALSE)+VLOOKUP($A222,A:AL,19,FALSE)-50),"-",VLOOKUP($A222,'NonXtal_SegEnds_BW#'!$A:$Z,13,FALSE)+VLOOKUP($A222,A:AL,19,FALSE)-50)</f>
        <v>134</v>
      </c>
      <c r="S222" s="3">
        <v>134</v>
      </c>
      <c r="T222" s="3">
        <f>IF(ISERROR(VLOOKUP($A222,'NonXtal_SegEnds_BW#'!$A:$Z,14,FALSE)+VLOOKUP($A222,A:AL,19,FALSE)-50),"-",(VLOOKUP($A222,'NonXtal_SegEnds_BW#'!$A:$Z,14,FALSE)+VLOOKUP($A222,A:AL,19,FALSE)-50))</f>
        <v>140</v>
      </c>
      <c r="U222" s="3">
        <f>IF(ISERROR(VLOOKUP($A222,'NonXtal_SegEnds_BW#'!$A:$Z,15,FALSE)+VLOOKUP($A222,A:AL,22,FALSE)-50),"-",VLOOKUP($A222,'NonXtal_SegEnds_BW#'!$A:$Z,15,FALSE)+VLOOKUP($A222,A:AL,22,FALSE)-50)</f>
        <v>141</v>
      </c>
      <c r="V222" s="3">
        <v>152</v>
      </c>
      <c r="W222" s="3">
        <f>IF(ISERROR(VLOOKUP($A222,'NonXtal_SegEnds_BW#'!$A:$Z,16,FALSE)+VLOOKUP($A222,A:AL,22,FALSE)-50),"-",(VLOOKUP($A222,'NonXtal_SegEnds_BW#'!$A:$Z,16,FALSE)+VLOOKUP($A222,A:AL,22,FALSE)-50))</f>
        <v>164</v>
      </c>
      <c r="X222" s="3" t="str">
        <f>IF(ISERROR(VLOOKUP($A222,'NonXtal_SegEnds_BW#'!$A:$Z,17,FALSE)+VLOOKUP($A222,A:AL,25,FALSE)-50),"-",(VLOOKUP($A222,'NonXtal_SegEnds_BW#'!$A:$Z,17,FALSE)+VLOOKUP($A222,A:AL,25,FALSE)-50))</f>
        <v>-</v>
      </c>
      <c r="Y222" s="3" t="s">
        <v>129</v>
      </c>
      <c r="Z222" s="3" t="str">
        <f>IF(ISERROR(VLOOKUP($A222,'NonXtal_SegEnds_BW#'!$A:$Z,18,FALSE)+VLOOKUP($A222,A:AL,25,FALSE)-50),"-",(VLOOKUP($A222,'NonXtal_SegEnds_BW#'!$A:$Z,18,FALSE)+VLOOKUP($A222,A:AL,25,FALSE)-50))</f>
        <v>-</v>
      </c>
      <c r="AA222" s="3">
        <f>IF(ISERROR(VLOOKUP($A222,'NonXtal_SegEnds_BW#'!$A:$Z,19,FALSE)+VLOOKUP($A222,A:AL,28,FALSE)-50),"-",(VLOOKUP($A222,'NonXtal_SegEnds_BW#'!$A:$Z,19,FALSE)+VLOOKUP($A222,A:AL,28,FALSE)-50))</f>
        <v>184</v>
      </c>
      <c r="AB222" s="3">
        <v>199</v>
      </c>
      <c r="AC222" s="3">
        <f>IF(ISERROR((VLOOKUP($A222,'NonXtal_SegEnds_BW#'!$A:$Z,20,FALSE)+VLOOKUP($A222,A:AL,28,FALSE)-50)),"-",(VLOOKUP($A222,'NonXtal_SegEnds_BW#'!$A:$Z,20,FALSE)+VLOOKUP($A222,A:AL,28,FALSE)-50))</f>
        <v>217</v>
      </c>
      <c r="AD222" s="3">
        <f>IF(ISERROR(VLOOKUP($A222,'NonXtal_SegEnds_BW#'!$A:$Z,21,FALSE)+VLOOKUP($A222,A:AL,31,FALSE)-50),"-",(VLOOKUP($A222,'NonXtal_SegEnds_BW#'!$A:$Z,21,FALSE)+VLOOKUP($A222,A:AL,31,FALSE)-50))</f>
        <v>226</v>
      </c>
      <c r="AE222" s="3">
        <v>248</v>
      </c>
      <c r="AF222" s="3">
        <f>IF(ISERROR((VLOOKUP($A222,'NonXtal_SegEnds_BW#'!$A:$Z,22,FALSE)+VLOOKUP($A222,A:AL,31,FALSE)-50)),"-",(VLOOKUP($A222,'NonXtal_SegEnds_BW#'!$A:$Z,22,FALSE)+VLOOKUP($A222,A:AL,31,FALSE)-50))</f>
        <v>262</v>
      </c>
      <c r="AG222" s="3">
        <f>IF(ISERROR(VLOOKUP($A222,'NonXtal_SegEnds_BW#'!$A:$Z,23,FALSE)+VLOOKUP($A222,A:AL,34,FALSE)-50),"-",(VLOOKUP($A222,'NonXtal_SegEnds_BW#'!$A:$Z,23,FALSE)+VLOOKUP($A222,A:AL,34,FALSE)-50))</f>
        <v>267</v>
      </c>
      <c r="AH222" s="3">
        <v>293</v>
      </c>
      <c r="AI222" s="3">
        <f>IF(ISERROR((VLOOKUP($A222,'NonXtal_SegEnds_BW#'!$A:$Z,24,FALSE)+VLOOKUP($A222,A:AL,34,FALSE)-50)),"-",(VLOOKUP($A222,'NonXtal_SegEnds_BW#'!$A:$Z,24,FALSE)+VLOOKUP($A222,A:AL,34,FALSE)-50))</f>
        <v>299</v>
      </c>
      <c r="AJ222" s="3">
        <f>IF(ISERROR(VLOOKUP($A222,'NonXtal_SegEnds_BW#'!$A:$Z,25,FALSE)+VLOOKUP($A222,A:AL,37,FALSE)-50),"-",(VLOOKUP($A222,'NonXtal_SegEnds_BW#'!$A:$Z,25,FALSE)+VLOOKUP($A222,A:AL,37,FALSE)-50))</f>
        <v>300</v>
      </c>
      <c r="AK222" s="3">
        <v>303</v>
      </c>
      <c r="AL222" s="3">
        <f>IF(ISERROR((VLOOKUP($A222,'NonXtal_SegEnds_BW#'!$A:$Z,26,FALSE)+VLOOKUP($A222,A:AL,37,FALSE)-50)),"-",(VLOOKUP($A222,'NonXtal_SegEnds_BW#'!$A:$Z,26,FALSE)+VLOOKUP($A222,A:AL,37,FALSE)-50))</f>
        <v>312</v>
      </c>
      <c r="AM222" s="71" t="str">
        <f>VLOOKUP(A222,Classification!A:B,2,FALSE)</f>
        <v>A</v>
      </c>
      <c r="AN222" s="71" t="b">
        <f t="shared" si="102"/>
        <v>1</v>
      </c>
      <c r="AO222" s="3" t="str">
        <f t="shared" si="103"/>
        <v>-</v>
      </c>
      <c r="AP222" s="3" t="str">
        <f t="shared" si="104"/>
        <v>-</v>
      </c>
      <c r="AQ222" s="3">
        <f t="shared" si="105"/>
        <v>3</v>
      </c>
      <c r="AR222" s="3">
        <f t="shared" si="106"/>
        <v>1</v>
      </c>
      <c r="AS222" s="3">
        <f t="shared" si="107"/>
        <v>1</v>
      </c>
      <c r="AT222" s="3">
        <f t="shared" si="108"/>
        <v>1</v>
      </c>
      <c r="AU222" s="3" t="str">
        <f t="shared" si="109"/>
        <v>-</v>
      </c>
      <c r="AV222" s="3" t="str">
        <f t="shared" si="110"/>
        <v>-</v>
      </c>
      <c r="AW222" s="3">
        <f t="shared" si="111"/>
        <v>9</v>
      </c>
      <c r="AX222" s="3">
        <f t="shared" si="112"/>
        <v>5</v>
      </c>
      <c r="AY222" s="3">
        <f t="shared" si="113"/>
        <v>1</v>
      </c>
      <c r="AZ222" s="3">
        <f>IF(ISERROR(LEN(VLOOKUP(A222,Seqs!A:E,2,FALSE))-AL222),"-",LEN(VLOOKUP(A222,Seqs!A:E,2,FALSE))-AL222)</f>
        <v>21</v>
      </c>
      <c r="BA222" s="35">
        <f t="shared" si="114"/>
        <v>33</v>
      </c>
      <c r="BB222" s="3">
        <f t="shared" si="115"/>
        <v>18</v>
      </c>
      <c r="BC222" s="3">
        <f t="shared" si="116"/>
        <v>33</v>
      </c>
      <c r="BD222" s="3">
        <f t="shared" si="117"/>
        <v>49</v>
      </c>
      <c r="BE222" s="3">
        <f>AH222-AE222</f>
        <v>45</v>
      </c>
    </row>
    <row r="223" spans="1:57" s="3" customFormat="1" x14ac:dyDescent="0.2">
      <c r="A223" s="3" t="s">
        <v>439</v>
      </c>
      <c r="B223" s="3" t="str">
        <f>LOWER(VLOOKUP(A223,Xtal_Templ!A:B,2,FALSE))</f>
        <v>hrh1_human</v>
      </c>
      <c r="C223" s="3">
        <f>VLOOKUP($A223,'NonXtal_SegEnds_BW#'!$A:$Z,3,FALSE)+D223-50</f>
        <v>43</v>
      </c>
      <c r="D223" s="3">
        <v>59</v>
      </c>
      <c r="E223" s="3">
        <f>IF(ISERROR(VLOOKUP($A223,'NonXtal_SegEnds_BW#'!$A:$Z,4,FALSE)+VLOOKUP($A223,A:AL,4,FALSE)-50),"-",(VLOOKUP($A223,'NonXtal_SegEnds_BW#'!$A:$Z,4,FALSE)+VLOOKUP($A223,A:AL,4,FALSE)-50))</f>
        <v>69</v>
      </c>
      <c r="F223" s="3">
        <f>G223-2</f>
        <v>70</v>
      </c>
      <c r="G223" s="3">
        <v>72</v>
      </c>
      <c r="H223" s="3">
        <f>G223+1</f>
        <v>73</v>
      </c>
      <c r="I223" s="3">
        <f>H223+1</f>
        <v>74</v>
      </c>
      <c r="J223" s="3">
        <v>88</v>
      </c>
      <c r="K223" s="3">
        <f>VLOOKUP($A223,'NonXtal_SegEnds_BW#'!$A:$Z,8,FALSE)+VLOOKUP($A223,A:AL,10,FALSE)-50</f>
        <v>105</v>
      </c>
      <c r="L223" s="3" t="str">
        <f>IF(ISERROR(VLOOKUP($A223,'NonXtal_SegEnds_BW#'!$A:$Z,9,FALSE)+VLOOKUP($A223,A:AL,13,FALSE)-50),"-",(VLOOKUP($A223,'NonXtal_SegEnds_BW#'!$A:$Z,9,FALSE)+VLOOKUP($A223,A:AL,13,FALSE)-50))</f>
        <v>-</v>
      </c>
      <c r="M223" s="3" t="s">
        <v>129</v>
      </c>
      <c r="N223" s="3" t="str">
        <f>IF(ISERROR(VLOOKUP($A223,'NonXtal_SegEnds_BW#'!$A:$Z,10,FALSE)+VLOOKUP($A223,A:AL,13,FALSE)-50),"-",(VLOOKUP($A223,'NonXtal_SegEnds_BW#'!$A:$Z,10,FALSE)+VLOOKUP($A223,A:AL,13,FALSE)-50))</f>
        <v>-</v>
      </c>
      <c r="O223" s="3">
        <f>VLOOKUP($A223,'NonXtal_SegEnds_BW#'!$A:$Z,11,FALSE)+VLOOKUP($A223,A:AL,16,FALSE)-50</f>
        <v>108</v>
      </c>
      <c r="P223" s="3">
        <v>140</v>
      </c>
      <c r="Q223" s="3">
        <f>VLOOKUP($A223,'NonXtal_SegEnds_BW#'!$A:$Z,12,FALSE)+VLOOKUP($A223,A:AL,16,FALSE)-50</f>
        <v>146</v>
      </c>
      <c r="R223" s="3">
        <f>IF(ISERROR(VLOOKUP($A223,'NonXtal_SegEnds_BW#'!$A:$Z,13,FALSE)+VLOOKUP($A223,A:AL,19,FALSE)-50),"-",VLOOKUP($A223,'NonXtal_SegEnds_BW#'!$A:$Z,13,FALSE)+VLOOKUP($A223,A:AL,19,FALSE)-50)</f>
        <v>147</v>
      </c>
      <c r="S223" s="3">
        <v>147</v>
      </c>
      <c r="T223" s="3">
        <f>IF(ISERROR(VLOOKUP($A223,'NonXtal_SegEnds_BW#'!$A:$Z,14,FALSE)+VLOOKUP($A223,A:AL,19,FALSE)-50),"-",(VLOOKUP($A223,'NonXtal_SegEnds_BW#'!$A:$Z,14,FALSE)+VLOOKUP($A223,A:AL,19,FALSE)-50))</f>
        <v>153</v>
      </c>
      <c r="U223" s="3">
        <f>IF(ISERROR(VLOOKUP($A223,'NonXtal_SegEnds_BW#'!$A:$Z,15,FALSE)+VLOOKUP($A223,A:AL,22,FALSE)-50),"-",VLOOKUP($A223,'NonXtal_SegEnds_BW#'!$A:$Z,15,FALSE)+VLOOKUP($A223,A:AL,22,FALSE)-50)</f>
        <v>154</v>
      </c>
      <c r="V223" s="3">
        <v>165</v>
      </c>
      <c r="W223" s="3">
        <f>IF(ISERROR(VLOOKUP($A223,'NonXtal_SegEnds_BW#'!$A:$Z,16,FALSE)+VLOOKUP($A223,A:AL,22,FALSE)-50),"-",(VLOOKUP($A223,'NonXtal_SegEnds_BW#'!$A:$Z,16,FALSE)+VLOOKUP($A223,A:AL,22,FALSE)-50))</f>
        <v>178</v>
      </c>
      <c r="X223" s="3">
        <f>IF(ISERROR(VLOOKUP($A223,'NonXtal_SegEnds_BW#'!$A:$Z,17,FALSE)+VLOOKUP($A223,A:AL,25,FALSE)-50),"-",(VLOOKUP($A223,'NonXtal_SegEnds_BW#'!$A:$Z,17,FALSE)+VLOOKUP($A223,A:AL,25,FALSE)-50))</f>
        <v>197</v>
      </c>
      <c r="Y223" s="3">
        <v>197</v>
      </c>
      <c r="Z223" s="3">
        <f>Y223+2</f>
        <v>199</v>
      </c>
      <c r="AA223" s="3">
        <f>IF(ISERROR(VLOOKUP($A223,'NonXtal_SegEnds_BW#'!$A:$Z,19,FALSE)+VLOOKUP($A223,A:AL,28,FALSE)-50),"-",(VLOOKUP($A223,'NonXtal_SegEnds_BW#'!$A:$Z,19,FALSE)+VLOOKUP($A223,A:AL,28,FALSE)-50))</f>
        <v>208</v>
      </c>
      <c r="AB223" s="3">
        <v>223</v>
      </c>
      <c r="AC223" s="3">
        <f>IF(ISERROR((VLOOKUP($A223,'NonXtal_SegEnds_BW#'!$A:$Z,20,FALSE)+VLOOKUP($A223,A:AL,28,FALSE)-50)),"-",(VLOOKUP($A223,'NonXtal_SegEnds_BW#'!$A:$Z,20,FALSE)+VLOOKUP($A223,A:AL,28,FALSE)-50))</f>
        <v>247</v>
      </c>
      <c r="AD223" s="3">
        <f>IF(ISERROR(VLOOKUP($A223,'NonXtal_SegEnds_BW#'!$A:$Z,21,FALSE)+VLOOKUP($A223,A:AL,31,FALSE)-50),"-",(VLOOKUP($A223,'NonXtal_SegEnds_BW#'!$A:$Z,21,FALSE)+VLOOKUP($A223,A:AL,31,FALSE)-50))</f>
        <v>302</v>
      </c>
      <c r="AE223" s="3">
        <v>328</v>
      </c>
      <c r="AF223" s="3">
        <f>IF(ISERROR((VLOOKUP($A223,'NonXtal_SegEnds_BW#'!$A:$Z,22,FALSE)+VLOOKUP($A223,A:AL,31,FALSE)-50)),"-",(VLOOKUP($A223,'NonXtal_SegEnds_BW#'!$A:$Z,22,FALSE)+VLOOKUP($A223,A:AL,31,FALSE)-50))</f>
        <v>339</v>
      </c>
      <c r="AG223" s="3">
        <f>IF(ISERROR(VLOOKUP($A223,'NonXtal_SegEnds_BW#'!$A:$Z,23,FALSE)+VLOOKUP($A223,A:AL,34,FALSE)-50),"-",(VLOOKUP($A223,'NonXtal_SegEnds_BW#'!$A:$Z,23,FALSE)+VLOOKUP($A223,A:AL,34,FALSE)-50))</f>
        <v>345</v>
      </c>
      <c r="AH223" s="3">
        <v>364</v>
      </c>
      <c r="AI223" s="3">
        <f>IF(ISERROR((VLOOKUP($A223,'NonXtal_SegEnds_BW#'!$A:$Z,24,FALSE)+VLOOKUP($A223,A:AL,34,FALSE)-50)),"-",(VLOOKUP($A223,'NonXtal_SegEnds_BW#'!$A:$Z,24,FALSE)+VLOOKUP($A223,A:AL,34,FALSE)-50))</f>
        <v>370</v>
      </c>
      <c r="AJ223" s="3">
        <f>IF(ISERROR(VLOOKUP($A223,'NonXtal_SegEnds_BW#'!$A:$Z,25,FALSE)+VLOOKUP($A223,A:AL,37,FALSE)-50),"-",(VLOOKUP($A223,'NonXtal_SegEnds_BW#'!$A:$Z,25,FALSE)+VLOOKUP($A223,A:AL,37,FALSE)-50))</f>
        <v>371</v>
      </c>
      <c r="AK223" s="3">
        <v>374</v>
      </c>
      <c r="AL223" s="3">
        <f>IF(ISERROR((VLOOKUP($A223,'NonXtal_SegEnds_BW#'!$A:$Z,26,FALSE)+VLOOKUP($A223,A:AL,37,FALSE)-50)),"-",(VLOOKUP($A223,'NonXtal_SegEnds_BW#'!$A:$Z,26,FALSE)+VLOOKUP($A223,A:AL,37,FALSE)-50))</f>
        <v>383</v>
      </c>
      <c r="AM223" s="71" t="str">
        <f>VLOOKUP(A223,Classification!A:B,2,FALSE)</f>
        <v>A</v>
      </c>
      <c r="AN223" s="71" t="b">
        <f t="shared" si="102"/>
        <v>1</v>
      </c>
      <c r="AO223" s="3">
        <f t="shared" si="103"/>
        <v>1</v>
      </c>
      <c r="AP223" s="3">
        <f t="shared" si="104"/>
        <v>1</v>
      </c>
      <c r="AQ223" s="3" t="str">
        <f t="shared" si="105"/>
        <v>-</v>
      </c>
      <c r="AR223" s="3" t="str">
        <f t="shared" si="106"/>
        <v>-</v>
      </c>
      <c r="AS223" s="3">
        <f t="shared" si="107"/>
        <v>1</v>
      </c>
      <c r="AT223" s="3">
        <f t="shared" si="108"/>
        <v>1</v>
      </c>
      <c r="AU223" s="3">
        <f t="shared" si="109"/>
        <v>19</v>
      </c>
      <c r="AV223" s="3">
        <f t="shared" si="110"/>
        <v>9</v>
      </c>
      <c r="AW223" s="3">
        <f t="shared" si="111"/>
        <v>55</v>
      </c>
      <c r="AX223" s="3">
        <f t="shared" si="112"/>
        <v>6</v>
      </c>
      <c r="AY223" s="3">
        <f t="shared" si="113"/>
        <v>1</v>
      </c>
      <c r="AZ223" s="3">
        <f>IF(ISERROR(LEN(VLOOKUP(A223,Seqs!A:E,2,FALSE))-AL223),"-",LEN(VLOOKUP(A223,Seqs!A:E,2,FALSE))-AL223)</f>
        <v>50</v>
      </c>
      <c r="BA223" s="35">
        <f t="shared" si="114"/>
        <v>29</v>
      </c>
      <c r="BB223" s="3">
        <f t="shared" si="115"/>
        <v>18</v>
      </c>
      <c r="BC223" s="3">
        <f t="shared" si="116"/>
        <v>29</v>
      </c>
      <c r="BD223" s="3">
        <f t="shared" si="117"/>
        <v>105</v>
      </c>
    </row>
    <row r="224" spans="1:57" s="3" customFormat="1" x14ac:dyDescent="0.2">
      <c r="A224" s="3" t="s">
        <v>472</v>
      </c>
      <c r="B224" s="3" t="str">
        <f>LOWER(VLOOKUP(A224,Xtal_Templ!A:B,2,FALSE))</f>
        <v>hrh1_human</v>
      </c>
      <c r="C224" s="3">
        <f>VLOOKUP($A224,'NonXtal_SegEnds_BW#'!$A:$Z,3,FALSE)+D224-50</f>
        <v>29</v>
      </c>
      <c r="D224" s="3">
        <v>45</v>
      </c>
      <c r="E224" s="3">
        <f>IF(ISERROR(VLOOKUP($A224,'NonXtal_SegEnds_BW#'!$A:$Z,4,FALSE)+VLOOKUP($A224,A:AL,4,FALSE)-50),"-",(VLOOKUP($A224,'NonXtal_SegEnds_BW#'!$A:$Z,4,FALSE)+VLOOKUP($A224,A:AL,4,FALSE)-50))</f>
        <v>55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73</v>
      </c>
      <c r="K224" s="3">
        <f>VLOOKUP($A224,'NonXtal_SegEnds_BW#'!$A:$Z,8,FALSE)+VLOOKUP($A224,A:AL,10,FALSE)-50</f>
        <v>90</v>
      </c>
      <c r="L224" s="3">
        <f>M224-1</f>
        <v>92</v>
      </c>
      <c r="M224" s="3">
        <v>93</v>
      </c>
      <c r="N224" s="3">
        <f>M224+2</f>
        <v>95</v>
      </c>
      <c r="O224" s="3">
        <f>N224+1</f>
        <v>96</v>
      </c>
      <c r="P224" s="3">
        <v>125</v>
      </c>
      <c r="Q224" s="3">
        <f>VLOOKUP($A224,'NonXtal_SegEnds_BW#'!$A:$Z,12,FALSE)+VLOOKUP($A224,A:AL,16,FALSE)-50</f>
        <v>131</v>
      </c>
      <c r="R224" s="3">
        <f>IF(ISERROR(VLOOKUP($A224,'NonXtal_SegEnds_BW#'!$A:$Z,13,FALSE)+VLOOKUP($A224,A:AL,19,FALSE)-50),"-",VLOOKUP($A224,'NonXtal_SegEnds_BW#'!$A:$Z,13,FALSE)+VLOOKUP($A224,A:AL,19,FALSE)-50)</f>
        <v>132</v>
      </c>
      <c r="S224" s="3">
        <v>132</v>
      </c>
      <c r="T224" s="3">
        <f>IF(ISERROR(VLOOKUP($A224,'NonXtal_SegEnds_BW#'!$A:$Z,14,FALSE)+VLOOKUP($A224,A:AL,19,FALSE)-50),"-",(VLOOKUP($A224,'NonXtal_SegEnds_BW#'!$A:$Z,14,FALSE)+VLOOKUP($A224,A:AL,19,FALSE)-50))</f>
        <v>139</v>
      </c>
      <c r="U224" s="3">
        <f>IF(ISERROR(VLOOKUP($A224,'NonXtal_SegEnds_BW#'!$A:$Z,15,FALSE)+VLOOKUP($A224,A:AL,22,FALSE)-50),"-",VLOOKUP($A224,'NonXtal_SegEnds_BW#'!$A:$Z,15,FALSE)+VLOOKUP($A224,A:AL,22,FALSE)-50)</f>
        <v>141</v>
      </c>
      <c r="V224" s="3">
        <v>152</v>
      </c>
      <c r="W224" s="3">
        <f>IF(ISERROR(VLOOKUP($A224,'NonXtal_SegEnds_BW#'!$A:$Z,16,FALSE)+VLOOKUP($A224,A:AL,22,FALSE)-50),"-",(VLOOKUP($A224,'NonXtal_SegEnds_BW#'!$A:$Z,16,FALSE)+VLOOKUP($A224,A:AL,22,FALSE)-50))</f>
        <v>164</v>
      </c>
      <c r="X224" s="3">
        <f>IF(ISERROR(VLOOKUP($A224,'NonXtal_SegEnds_BW#'!$A:$Z,17,FALSE)+VLOOKUP($A224,A:AL,25,FALSE)-50),"-",(VLOOKUP($A224,'NonXtal_SegEnds_BW#'!$A:$Z,17,FALSE)+VLOOKUP($A224,A:AL,25,FALSE)-50))</f>
        <v>180</v>
      </c>
      <c r="Y224" s="3">
        <v>180</v>
      </c>
      <c r="Z224" s="3">
        <f>Y224+2</f>
        <v>182</v>
      </c>
      <c r="AA224" s="3">
        <f>IF(ISERROR(VLOOKUP($A224,'NonXtal_SegEnds_BW#'!$A:$Z,19,FALSE)+VLOOKUP($A224,A:AL,28,FALSE)-50),"-",(VLOOKUP($A224,'NonXtal_SegEnds_BW#'!$A:$Z,19,FALSE)+VLOOKUP($A224,A:AL,28,FALSE)-50))</f>
        <v>187</v>
      </c>
      <c r="AB224" s="3">
        <v>202</v>
      </c>
      <c r="AC224" s="3">
        <f>IF(ISERROR((VLOOKUP($A224,'NonXtal_SegEnds_BW#'!$A:$Z,20,FALSE)+VLOOKUP($A224,A:AL,28,FALSE)-50)),"-",(VLOOKUP($A224,'NonXtal_SegEnds_BW#'!$A:$Z,20,FALSE)+VLOOKUP($A224,A:AL,28,FALSE)-50))</f>
        <v>228</v>
      </c>
      <c r="AD224" s="3">
        <f>IF(ISERROR(VLOOKUP($A224,'NonXtal_SegEnds_BW#'!$A:$Z,21,FALSE)+VLOOKUP($A224,A:AL,31,FALSE)-50),"-",(VLOOKUP($A224,'NonXtal_SegEnds_BW#'!$A:$Z,21,FALSE)+VLOOKUP($A224,A:AL,31,FALSE)-50))</f>
        <v>404</v>
      </c>
      <c r="AE224" s="3">
        <v>430</v>
      </c>
      <c r="AF224" s="3">
        <f>IF(ISERROR((VLOOKUP($A224,'NonXtal_SegEnds_BW#'!$A:$Z,22,FALSE)+VLOOKUP($A224,A:AL,31,FALSE)-50)),"-",(VLOOKUP($A224,'NonXtal_SegEnds_BW#'!$A:$Z,22,FALSE)+VLOOKUP($A224,A:AL,31,FALSE)-50))</f>
        <v>441</v>
      </c>
      <c r="AG224" s="3">
        <f>IF(ISERROR(VLOOKUP($A224,'NonXtal_SegEnds_BW#'!$A:$Z,23,FALSE)+VLOOKUP($A224,A:AL,34,FALSE)-50),"-",(VLOOKUP($A224,'NonXtal_SegEnds_BW#'!$A:$Z,23,FALSE)+VLOOKUP($A224,A:AL,34,FALSE)-50))</f>
        <v>446</v>
      </c>
      <c r="AH224" s="3">
        <v>465</v>
      </c>
      <c r="AI224" s="3">
        <f>IF(ISERROR((VLOOKUP($A224,'NonXtal_SegEnds_BW#'!$A:$Z,24,FALSE)+VLOOKUP($A224,A:AL,34,FALSE)-50)),"-",(VLOOKUP($A224,'NonXtal_SegEnds_BW#'!$A:$Z,24,FALSE)+VLOOKUP($A224,A:AL,34,FALSE)-50))</f>
        <v>471</v>
      </c>
      <c r="AJ224" s="3">
        <f>IF(ISERROR(VLOOKUP($A224,'NonXtal_SegEnds_BW#'!$A:$Z,25,FALSE)+VLOOKUP($A224,A:AL,37,FALSE)-50),"-",(VLOOKUP($A224,'NonXtal_SegEnds_BW#'!$A:$Z,25,FALSE)+VLOOKUP($A224,A:AL,37,FALSE)-50))</f>
        <v>472</v>
      </c>
      <c r="AK224" s="3">
        <v>475</v>
      </c>
      <c r="AL224" s="3">
        <f>IF(ISERROR((VLOOKUP($A224,'NonXtal_SegEnds_BW#'!$A:$Z,26,FALSE)+VLOOKUP($A224,A:AL,37,FALSE)-50)),"-",(VLOOKUP($A224,'NonXtal_SegEnds_BW#'!$A:$Z,26,FALSE)+VLOOKUP($A224,A:AL,37,FALSE)-50))</f>
        <v>484</v>
      </c>
      <c r="AM224" s="71" t="str">
        <f>VLOOKUP(A224,Classification!A:B,2,FALSE)</f>
        <v>A</v>
      </c>
      <c r="AN224" s="71" t="b">
        <f t="shared" si="102"/>
        <v>1</v>
      </c>
      <c r="AO224" s="3">
        <f t="shared" si="103"/>
        <v>1</v>
      </c>
      <c r="AP224" s="3">
        <f t="shared" si="104"/>
        <v>1</v>
      </c>
      <c r="AQ224" s="3">
        <f t="shared" si="105"/>
        <v>2</v>
      </c>
      <c r="AR224" s="3">
        <f t="shared" si="106"/>
        <v>1</v>
      </c>
      <c r="AS224" s="3">
        <f t="shared" si="107"/>
        <v>1</v>
      </c>
      <c r="AT224" s="3">
        <f t="shared" si="108"/>
        <v>2</v>
      </c>
      <c r="AU224" s="3">
        <f t="shared" si="109"/>
        <v>16</v>
      </c>
      <c r="AV224" s="3">
        <f t="shared" si="110"/>
        <v>5</v>
      </c>
      <c r="AW224" s="3">
        <f t="shared" si="111"/>
        <v>176</v>
      </c>
      <c r="AX224" s="3">
        <f t="shared" si="112"/>
        <v>5</v>
      </c>
      <c r="AY224" s="3">
        <f t="shared" si="113"/>
        <v>1</v>
      </c>
      <c r="AZ224" s="3">
        <f>IF(ISERROR(LEN(VLOOKUP(A224,Seqs!A:E,2,FALSE))-AL224),"-",LEN(VLOOKUP(A224,Seqs!A:E,2,FALSE))-AL224)</f>
        <v>3</v>
      </c>
      <c r="BA224" s="35">
        <f t="shared" si="114"/>
        <v>28</v>
      </c>
      <c r="BB224" s="3">
        <f t="shared" si="115"/>
        <v>20</v>
      </c>
      <c r="BC224" s="3">
        <f t="shared" si="116"/>
        <v>28</v>
      </c>
      <c r="BD224" s="3">
        <f t="shared" si="117"/>
        <v>228</v>
      </c>
      <c r="BE224" s="3">
        <f>AH224-AE224</f>
        <v>35</v>
      </c>
    </row>
    <row r="225" spans="1:57" s="3" customFormat="1" x14ac:dyDescent="0.2">
      <c r="A225" s="3" t="s">
        <v>420</v>
      </c>
      <c r="B225" s="3" t="str">
        <f>LOWER(VLOOKUP(A225,Xtal_Templ!A:B,2,FALSE))</f>
        <v>hrh1_human</v>
      </c>
      <c r="C225" s="3">
        <f>VLOOKUP($A225,'NonXtal_SegEnds_BW#'!$A:$Z,3,FALSE)+D225-50</f>
        <v>23</v>
      </c>
      <c r="D225" s="3">
        <v>39</v>
      </c>
      <c r="E225" s="3">
        <f>IF(ISERROR(VLOOKUP($A225,'NonXtal_SegEnds_BW#'!$A:$Z,4,FALSE)+VLOOKUP($A225,A:AL,4,FALSE)-50),"-",(VLOOKUP($A225,'NonXtal_SegEnds_BW#'!$A:$Z,4,FALSE)+VLOOKUP($A225,A:AL,4,FALSE)-50))</f>
        <v>49</v>
      </c>
      <c r="F225" s="3" t="str">
        <f>IF(ISERROR(VLOOKUP($A225,'NonXtal_SegEnds_BW#'!$A:$Z,5,FALSE)+VLOOKUP($A225,A:AL,7,FALSE)-50),"-",(VLOOKUP($A225,'NonXtal_SegEnds_BW#'!$A:$Z,5,FALSE)+VLOOKUP($A225,A:AL,7,FALSE)-50))</f>
        <v>-</v>
      </c>
      <c r="G225" s="3" t="s">
        <v>129</v>
      </c>
      <c r="H225" s="3" t="str">
        <f>IF(ISERROR(VLOOKUP($A225,'NonXtal_SegEnds_BW#'!$A:$Z,6,FALSE)+VLOOKUP($A225,A:AL,7,FALSE)-50),"-",(VLOOKUP($A225,'NonXtal_SegEnds_BW#'!$A:$Z,6,FALSE)+VLOOKUP($A225,A:AL,7,FALSE)-50))</f>
        <v>-</v>
      </c>
      <c r="I225" s="3">
        <f>VLOOKUP($A225,'NonXtal_SegEnds_BW#'!$A:$Z,7,FALSE)+J225-50</f>
        <v>53</v>
      </c>
      <c r="J225" s="3">
        <v>66</v>
      </c>
      <c r="K225" s="3">
        <f>VLOOKUP($A225,'NonXtal_SegEnds_BW#'!$A:$Z,8,FALSE)+VLOOKUP($A225,A:AL,10,FALSE)-50</f>
        <v>83</v>
      </c>
      <c r="L225" s="3" t="str">
        <f>IF(ISERROR(VLOOKUP($A225,'NonXtal_SegEnds_BW#'!$A:$Z,9,FALSE)+VLOOKUP($A225,A:AL,13,FALSE)-50),"-",(VLOOKUP($A225,'NonXtal_SegEnds_BW#'!$A:$Z,9,FALSE)+VLOOKUP($A225,A:AL,13,FALSE)-50))</f>
        <v>-</v>
      </c>
      <c r="M225" s="3" t="s">
        <v>129</v>
      </c>
      <c r="N225" s="3" t="str">
        <f>IF(ISERROR(VLOOKUP($A225,'NonXtal_SegEnds_BW#'!$A:$Z,10,FALSE)+VLOOKUP($A225,A:AL,13,FALSE)-50),"-",(VLOOKUP($A225,'NonXtal_SegEnds_BW#'!$A:$Z,10,FALSE)+VLOOKUP($A225,A:AL,13,FALSE)-50))</f>
        <v>-</v>
      </c>
      <c r="O225" s="3">
        <f>VLOOKUP($A225,'NonXtal_SegEnds_BW#'!$A:$Z,11,FALSE)+VLOOKUP($A225,A:AL,16,FALSE)-50</f>
        <v>88</v>
      </c>
      <c r="P225" s="3">
        <v>120</v>
      </c>
      <c r="Q225" s="3">
        <f>VLOOKUP($A225,'NonXtal_SegEnds_BW#'!$A:$Z,12,FALSE)+VLOOKUP($A225,A:AL,16,FALSE)-50</f>
        <v>126</v>
      </c>
      <c r="R225" s="3" t="str">
        <f>IF(ISERROR(VLOOKUP($A225,'NonXtal_SegEnds_BW#'!$A:$Z,13,FALSE)+VLOOKUP($A225,A:AL,19,FALSE)-50),"-",VLOOKUP($A225,'NonXtal_SegEnds_BW#'!$A:$Z,13,FALSE)+VLOOKUP($A225,A:AL,19,FALSE)-50)</f>
        <v>-</v>
      </c>
      <c r="S225" s="3" t="s">
        <v>129</v>
      </c>
      <c r="T225" s="3" t="str">
        <f>IF(ISERROR(VLOOKUP($A225,'NonXtal_SegEnds_BW#'!$A:$Z,14,FALSE)+VLOOKUP($A225,A:AL,19,FALSE)-50),"-",(VLOOKUP($A225,'NonXtal_SegEnds_BW#'!$A:$Z,14,FALSE)+VLOOKUP($A225,A:AL,19,FALSE)-50))</f>
        <v>-</v>
      </c>
      <c r="U225" s="3">
        <f>IF(ISERROR(VLOOKUP($A225,'NonXtal_SegEnds_BW#'!$A:$Z,15,FALSE)+VLOOKUP($A225,A:AL,22,FALSE)-50),"-",VLOOKUP($A225,'NonXtal_SegEnds_BW#'!$A:$Z,15,FALSE)+VLOOKUP($A225,A:AL,22,FALSE)-50)</f>
        <v>136</v>
      </c>
      <c r="V225" s="3">
        <v>147</v>
      </c>
      <c r="W225" s="3">
        <f>IF(ISERROR(VLOOKUP($A225,'NonXtal_SegEnds_BW#'!$A:$Z,16,FALSE)+VLOOKUP($A225,A:AL,22,FALSE)-50),"-",(VLOOKUP($A225,'NonXtal_SegEnds_BW#'!$A:$Z,16,FALSE)+VLOOKUP($A225,A:AL,22,FALSE)-50))</f>
        <v>160</v>
      </c>
      <c r="X225" s="3">
        <f>IF(ISERROR(VLOOKUP($A225,'NonXtal_SegEnds_BW#'!$A:$Z,17,FALSE)+VLOOKUP($A225,A:AL,25,FALSE)-50),"-",(VLOOKUP($A225,'NonXtal_SegEnds_BW#'!$A:$Z,17,FALSE)+VLOOKUP($A225,A:AL,25,FALSE)-50))</f>
        <v>174</v>
      </c>
      <c r="Y225" s="3">
        <v>174</v>
      </c>
      <c r="Z225" s="3">
        <f>Y225+2</f>
        <v>176</v>
      </c>
      <c r="AA225" s="3">
        <f>IF(ISERROR(VLOOKUP($A225,'NonXtal_SegEnds_BW#'!$A:$Z,19,FALSE)+VLOOKUP($A225,A:AL,28,FALSE)-50),"-",(VLOOKUP($A225,'NonXtal_SegEnds_BW#'!$A:$Z,19,FALSE)+VLOOKUP($A225,A:AL,28,FALSE)-50))</f>
        <v>181</v>
      </c>
      <c r="AB225" s="3">
        <v>196</v>
      </c>
      <c r="AC225" s="3">
        <f>IF(ISERROR((VLOOKUP($A225,'NonXtal_SegEnds_BW#'!$A:$Z,20,FALSE)+VLOOKUP($A225,A:AL,28,FALSE)-50)),"-",(VLOOKUP($A225,'NonXtal_SegEnds_BW#'!$A:$Z,20,FALSE)+VLOOKUP($A225,A:AL,28,FALSE)-50))</f>
        <v>219</v>
      </c>
      <c r="AD225" s="3">
        <f>IF(ISERROR(VLOOKUP($A225,'NonXtal_SegEnds_BW#'!$A:$Z,21,FALSE)+VLOOKUP($A225,A:AL,31,FALSE)-50),"-",(VLOOKUP($A225,'NonXtal_SegEnds_BW#'!$A:$Z,21,FALSE)+VLOOKUP($A225,A:AL,31,FALSE)-50))</f>
        <v>228</v>
      </c>
      <c r="AE225" s="3">
        <v>254</v>
      </c>
      <c r="AF225" s="3">
        <f>IF(ISERROR((VLOOKUP($A225,'NonXtal_SegEnds_BW#'!$A:$Z,22,FALSE)+VLOOKUP($A225,A:AL,31,FALSE)-50)),"-",(VLOOKUP($A225,'NonXtal_SegEnds_BW#'!$A:$Z,22,FALSE)+VLOOKUP($A225,A:AL,31,FALSE)-50))</f>
        <v>265</v>
      </c>
      <c r="AG225" s="3">
        <f>IF(ISERROR(VLOOKUP($A225,'NonXtal_SegEnds_BW#'!$A:$Z,23,FALSE)+VLOOKUP($A225,A:AL,34,FALSE)-50),"-",(VLOOKUP($A225,'NonXtal_SegEnds_BW#'!$A:$Z,23,FALSE)+VLOOKUP($A225,A:AL,34,FALSE)-50))</f>
        <v>270</v>
      </c>
      <c r="AH225" s="3">
        <v>289</v>
      </c>
      <c r="AI225" s="3">
        <f>IF(ISERROR((VLOOKUP($A225,'NonXtal_SegEnds_BW#'!$A:$Z,24,FALSE)+VLOOKUP($A225,A:AL,34,FALSE)-50)),"-",(VLOOKUP($A225,'NonXtal_SegEnds_BW#'!$A:$Z,24,FALSE)+VLOOKUP($A225,A:AL,34,FALSE)-50))</f>
        <v>295</v>
      </c>
      <c r="AJ225" s="3">
        <f>IF(ISERROR(VLOOKUP($A225,'NonXtal_SegEnds_BW#'!$A:$Z,25,FALSE)+VLOOKUP($A225,A:AL,37,FALSE)-50),"-",(VLOOKUP($A225,'NonXtal_SegEnds_BW#'!$A:$Z,25,FALSE)+VLOOKUP($A225,A:AL,37,FALSE)-50))</f>
        <v>296</v>
      </c>
      <c r="AK225" s="3">
        <v>299</v>
      </c>
      <c r="AL225" s="3">
        <f>IF(ISERROR((VLOOKUP($A225,'NonXtal_SegEnds_BW#'!$A:$Z,26,FALSE)+VLOOKUP($A225,A:AL,37,FALSE)-50)),"-",(VLOOKUP($A225,'NonXtal_SegEnds_BW#'!$A:$Z,26,FALSE)+VLOOKUP($A225,A:AL,37,FALSE)-50))</f>
        <v>308</v>
      </c>
      <c r="AM225" s="71" t="str">
        <f>VLOOKUP(A225,Classification!A:B,2,FALSE)</f>
        <v>A</v>
      </c>
      <c r="AN225" s="71" t="b">
        <f t="shared" si="102"/>
        <v>1</v>
      </c>
      <c r="AO225" s="3" t="str">
        <f t="shared" si="103"/>
        <v>-</v>
      </c>
      <c r="AP225" s="3" t="str">
        <f t="shared" si="104"/>
        <v>-</v>
      </c>
      <c r="AQ225" s="3" t="str">
        <f t="shared" si="105"/>
        <v>-</v>
      </c>
      <c r="AR225" s="3" t="str">
        <f t="shared" si="106"/>
        <v>-</v>
      </c>
      <c r="AS225" s="3" t="str">
        <f t="shared" si="107"/>
        <v>-</v>
      </c>
      <c r="AT225" s="3" t="str">
        <f t="shared" si="108"/>
        <v>-</v>
      </c>
      <c r="AU225" s="3">
        <f t="shared" si="109"/>
        <v>14</v>
      </c>
      <c r="AV225" s="3">
        <f t="shared" si="110"/>
        <v>5</v>
      </c>
      <c r="AW225" s="3">
        <f t="shared" si="111"/>
        <v>9</v>
      </c>
      <c r="AX225" s="3">
        <f t="shared" si="112"/>
        <v>5</v>
      </c>
      <c r="AY225" s="3">
        <f t="shared" si="113"/>
        <v>1</v>
      </c>
      <c r="AZ225" s="3">
        <f>IF(ISERROR(LEN(VLOOKUP(A225,Seqs!A:E,2,FALSE))-AL225),"-",LEN(VLOOKUP(A225,Seqs!A:E,2,FALSE))-AL225)</f>
        <v>30</v>
      </c>
      <c r="BA225" s="35">
        <f t="shared" si="114"/>
        <v>27</v>
      </c>
      <c r="BB225" s="3" t="str">
        <f t="shared" si="115"/>
        <v>-</v>
      </c>
      <c r="BC225" s="3">
        <f t="shared" si="116"/>
        <v>27</v>
      </c>
      <c r="BD225" s="3">
        <f t="shared" si="117"/>
        <v>58</v>
      </c>
    </row>
    <row r="226" spans="1:57" s="3" customFormat="1" x14ac:dyDescent="0.2">
      <c r="A226" s="3" t="s">
        <v>376</v>
      </c>
      <c r="B226" s="3" t="str">
        <f>LOWER(VLOOKUP(A226,Xtal_Templ!A:B,2,FALSE))</f>
        <v>lpar1_human</v>
      </c>
      <c r="C226" s="3">
        <f>VLOOKUP($A226,'NonXtal_SegEnds_BW#'!$A:$Z,3,FALSE)+D226-50</f>
        <v>114</v>
      </c>
      <c r="D226" s="3">
        <v>134</v>
      </c>
      <c r="E226" s="3">
        <f>IF(ISERROR(VLOOKUP($A226,'NonXtal_SegEnds_BW#'!$A:$Z,4,FALSE)+VLOOKUP($A226,A:AL,4,FALSE)-50),"-",(VLOOKUP($A226,'NonXtal_SegEnds_BW#'!$A:$Z,4,FALSE)+VLOOKUP($A226,A:AL,4,FALSE)-50))</f>
        <v>144</v>
      </c>
      <c r="F226" s="3">
        <f t="shared" ref="F226:F231" si="122">G226-2</f>
        <v>145</v>
      </c>
      <c r="G226" s="3">
        <v>147</v>
      </c>
      <c r="H226" s="3">
        <f t="shared" ref="H226:I231" si="123">G226+1</f>
        <v>148</v>
      </c>
      <c r="I226" s="3">
        <f t="shared" si="123"/>
        <v>149</v>
      </c>
      <c r="J226" s="3">
        <v>163</v>
      </c>
      <c r="K226" s="3">
        <f>VLOOKUP($A226,'NonXtal_SegEnds_BW#'!$A:$Z,8,FALSE)+VLOOKUP($A226,A:AL,10,FALSE)-50</f>
        <v>179</v>
      </c>
      <c r="L226" s="3" t="str">
        <f>IF(ISERROR(VLOOKUP($A226,'NonXtal_SegEnds_BW#'!$A:$Z,9,FALSE)+VLOOKUP($A226,A:AL,13,FALSE)-50),"-",(VLOOKUP($A226,'NonXtal_SegEnds_BW#'!$A:$Z,9,FALSE)+VLOOKUP($A226,A:AL,13,FALSE)-50))</f>
        <v>-</v>
      </c>
      <c r="M226" s="3" t="s">
        <v>129</v>
      </c>
      <c r="N226" s="3" t="str">
        <f>IF(ISERROR(VLOOKUP($A226,'NonXtal_SegEnds_BW#'!$A:$Z,10,FALSE)+VLOOKUP($A226,A:AL,13,FALSE)-50),"-",(VLOOKUP($A226,'NonXtal_SegEnds_BW#'!$A:$Z,10,FALSE)+VLOOKUP($A226,A:AL,13,FALSE)-50))</f>
        <v>-</v>
      </c>
      <c r="O226" s="3">
        <f>VLOOKUP($A226,'NonXtal_SegEnds_BW#'!$A:$Z,11,FALSE)+VLOOKUP($A226,A:AL,16,FALSE)-50</f>
        <v>182</v>
      </c>
      <c r="P226" s="3">
        <v>214</v>
      </c>
      <c r="Q226" s="3">
        <f>VLOOKUP($A226,'NonXtal_SegEnds_BW#'!$A:$Z,12,FALSE)+VLOOKUP($A226,A:AL,16,FALSE)-50</f>
        <v>220</v>
      </c>
      <c r="R226" s="3">
        <f>S226</f>
        <v>221</v>
      </c>
      <c r="S226" s="3">
        <v>221</v>
      </c>
      <c r="T226" s="3">
        <f>S226+7</f>
        <v>228</v>
      </c>
      <c r="U226" s="3">
        <f>IF(ISERROR(VLOOKUP($A226,'NonXtal_SegEnds_BW#'!$A:$Z,15,FALSE)+VLOOKUP($A226,A:AL,22,FALSE)-50),"-",VLOOKUP($A226,'NonXtal_SegEnds_BW#'!$A:$Z,15,FALSE)+VLOOKUP($A226,A:AL,22,FALSE)-50)</f>
        <v>230</v>
      </c>
      <c r="V226" s="3">
        <v>241</v>
      </c>
      <c r="W226" s="3">
        <f>IF(ISERROR(VLOOKUP($A226,'NonXtal_SegEnds_BW#'!$A:$Z,16,FALSE)+VLOOKUP($A226,A:AL,22,FALSE)-50),"-",(VLOOKUP($A226,'NonXtal_SegEnds_BW#'!$A:$Z,16,FALSE)+VLOOKUP($A226,A:AL,22,FALSE)-50))</f>
        <v>254</v>
      </c>
      <c r="X226" s="3" t="str">
        <f>IF(ISERROR(VLOOKUP($A226,'NonXtal_SegEnds_BW#'!$A:$Z,17,FALSE)+VLOOKUP($A226,A:AL,25,FALSE)-50),"-",(VLOOKUP($A226,'NonXtal_SegEnds_BW#'!$A:$Z,17,FALSE)+VLOOKUP($A226,A:AL,25,FALSE)-50))</f>
        <v>-</v>
      </c>
      <c r="Y226" s="3" t="s">
        <v>129</v>
      </c>
      <c r="Z226" s="3" t="str">
        <f>IF(ISERROR(VLOOKUP($A226,'NonXtal_SegEnds_BW#'!$A:$Z,18,FALSE)+VLOOKUP($A226,A:AL,25,FALSE)-50),"-",(VLOOKUP($A226,'NonXtal_SegEnds_BW#'!$A:$Z,18,FALSE)+VLOOKUP($A226,A:AL,25,FALSE)-50))</f>
        <v>-</v>
      </c>
      <c r="AA226" s="3">
        <f>IF(ISERROR(VLOOKUP($A226,'NonXtal_SegEnds_BW#'!$A:$Z,19,FALSE)+VLOOKUP($A226,A:AL,28,FALSE)-50),"-",(VLOOKUP($A226,'NonXtal_SegEnds_BW#'!$A:$Z,19,FALSE)+VLOOKUP($A226,A:AL,28,FALSE)-50))</f>
        <v>272</v>
      </c>
      <c r="AB226" s="3">
        <v>286</v>
      </c>
      <c r="AC226" s="3">
        <f>IF(ISERROR((VLOOKUP($A226,'NonXtal_SegEnds_BW#'!$A:$Z,20,FALSE)+VLOOKUP($A226,A:AL,28,FALSE)-50)),"-",(VLOOKUP($A226,'NonXtal_SegEnds_BW#'!$A:$Z,20,FALSE)+VLOOKUP($A226,A:AL,28,FALSE)-50))</f>
        <v>312</v>
      </c>
      <c r="AD226" s="3">
        <f>IF(ISERROR(VLOOKUP($A226,'NonXtal_SegEnds_BW#'!$A:$Z,21,FALSE)+VLOOKUP($A226,A:AL,31,FALSE)-50),"-",(VLOOKUP($A226,'NonXtal_SegEnds_BW#'!$A:$Z,21,FALSE)+VLOOKUP($A226,A:AL,31,FALSE)-50))</f>
        <v>332</v>
      </c>
      <c r="AE226" s="3">
        <v>358</v>
      </c>
      <c r="AF226" s="3">
        <f>IF(ISERROR((VLOOKUP($A226,'NonXtal_SegEnds_BW#'!$A:$Z,22,FALSE)+VLOOKUP($A226,A:AL,31,FALSE)-50)),"-",(VLOOKUP($A226,'NonXtal_SegEnds_BW#'!$A:$Z,22,FALSE)+VLOOKUP($A226,A:AL,31,FALSE)-50))</f>
        <v>369</v>
      </c>
      <c r="AG226" s="3">
        <f>IF(ISERROR(VLOOKUP($A226,'NonXtal_SegEnds_BW#'!$A:$Z,23,FALSE)+VLOOKUP($A226,A:AL,34,FALSE)-50),"-",(VLOOKUP($A226,'NonXtal_SegEnds_BW#'!$A:$Z,23,FALSE)+VLOOKUP($A226,A:AL,34,FALSE)-50))</f>
        <v>375</v>
      </c>
      <c r="AH226" s="3">
        <v>394</v>
      </c>
      <c r="AI226" s="3">
        <f>IF(ISERROR((VLOOKUP($A226,'NonXtal_SegEnds_BW#'!$A:$Z,24,FALSE)+VLOOKUP($A226,A:AL,34,FALSE)-50)),"-",(VLOOKUP($A226,'NonXtal_SegEnds_BW#'!$A:$Z,24,FALSE)+VLOOKUP($A226,A:AL,34,FALSE)-50))</f>
        <v>400</v>
      </c>
      <c r="AJ226" s="3">
        <f>IF(ISERROR(VLOOKUP($A226,'NonXtal_SegEnds_BW#'!$A:$Z,25,FALSE)+VLOOKUP($A226,A:AL,37,FALSE)-50),"-",(VLOOKUP($A226,'NonXtal_SegEnds_BW#'!$A:$Z,25,FALSE)+VLOOKUP($A226,A:AL,37,FALSE)-50))</f>
        <v>401</v>
      </c>
      <c r="AK226" s="3">
        <v>404</v>
      </c>
      <c r="AL226" s="3">
        <f>IF(ISERROR((VLOOKUP($A226,'NonXtal_SegEnds_BW#'!$A:$Z,26,FALSE)+VLOOKUP($A226,A:AL,37,FALSE)-50)),"-",(VLOOKUP($A226,'NonXtal_SegEnds_BW#'!$A:$Z,26,FALSE)+VLOOKUP($A226,A:AL,37,FALSE)-50))</f>
        <v>413</v>
      </c>
      <c r="AM226" s="71" t="str">
        <f>VLOOKUP(A226,Classification!A:B,2,FALSE)</f>
        <v>A</v>
      </c>
      <c r="AN226" s="71" t="b">
        <f t="shared" si="102"/>
        <v>1</v>
      </c>
      <c r="AO226" s="3">
        <f t="shared" si="103"/>
        <v>1</v>
      </c>
      <c r="AP226" s="3">
        <f t="shared" si="104"/>
        <v>1</v>
      </c>
      <c r="AQ226" s="3" t="str">
        <f t="shared" si="105"/>
        <v>-</v>
      </c>
      <c r="AR226" s="3" t="str">
        <f t="shared" si="106"/>
        <v>-</v>
      </c>
      <c r="AS226" s="3">
        <f t="shared" si="107"/>
        <v>1</v>
      </c>
      <c r="AT226" s="3">
        <f t="shared" si="108"/>
        <v>2</v>
      </c>
      <c r="AU226" s="3" t="str">
        <f t="shared" si="109"/>
        <v>-</v>
      </c>
      <c r="AV226" s="3" t="str">
        <f t="shared" si="110"/>
        <v>-</v>
      </c>
      <c r="AW226" s="3">
        <f t="shared" si="111"/>
        <v>20</v>
      </c>
      <c r="AX226" s="3">
        <f t="shared" si="112"/>
        <v>6</v>
      </c>
      <c r="AY226" s="3">
        <f t="shared" si="113"/>
        <v>1</v>
      </c>
      <c r="AZ226" s="3">
        <f>IF(ISERROR(LEN(VLOOKUP(A226,Seqs!A:E,2,FALSE))-AL226),"-",LEN(VLOOKUP(A226,Seqs!A:E,2,FALSE))-AL226)</f>
        <v>59</v>
      </c>
      <c r="BA226" s="35">
        <f t="shared" si="114"/>
        <v>29</v>
      </c>
      <c r="BB226" s="3">
        <f t="shared" si="115"/>
        <v>20</v>
      </c>
      <c r="BC226" s="3">
        <f t="shared" si="116"/>
        <v>29</v>
      </c>
      <c r="BD226" s="3">
        <f t="shared" si="117"/>
        <v>72</v>
      </c>
    </row>
    <row r="227" spans="1:57" s="3" customFormat="1" x14ac:dyDescent="0.2">
      <c r="A227" s="3" t="s">
        <v>377</v>
      </c>
      <c r="B227" s="3" t="str">
        <f>LOWER(VLOOKUP(A227,Xtal_Templ!A:B,2,FALSE))</f>
        <v>lpar1_human</v>
      </c>
      <c r="C227" s="3">
        <f>VLOOKUP($A227,'NonXtal_SegEnds_BW#'!$A:$Z,3,FALSE)+D227-50</f>
        <v>31</v>
      </c>
      <c r="D227" s="3">
        <v>51</v>
      </c>
      <c r="E227" s="3">
        <f>IF(ISERROR(VLOOKUP($A227,'NonXtal_SegEnds_BW#'!$A:$Z,4,FALSE)+VLOOKUP($A227,A:AL,4,FALSE)-50),"-",(VLOOKUP($A227,'NonXtal_SegEnds_BW#'!$A:$Z,4,FALSE)+VLOOKUP($A227,A:AL,4,FALSE)-50))</f>
        <v>61</v>
      </c>
      <c r="F227" s="3">
        <f t="shared" si="122"/>
        <v>62</v>
      </c>
      <c r="G227" s="3">
        <v>64</v>
      </c>
      <c r="H227" s="3">
        <f t="shared" si="123"/>
        <v>65</v>
      </c>
      <c r="I227" s="3">
        <f t="shared" si="123"/>
        <v>66</v>
      </c>
      <c r="J227" s="3">
        <v>80</v>
      </c>
      <c r="K227" s="3">
        <f>VLOOKUP($A227,'NonXtal_SegEnds_BW#'!$A:$Z,8,FALSE)+VLOOKUP($A227,A:AL,10,FALSE)-50</f>
        <v>96</v>
      </c>
      <c r="L227" s="3" t="str">
        <f>IF(ISERROR(VLOOKUP($A227,'NonXtal_SegEnds_BW#'!$A:$Z,9,FALSE)+VLOOKUP($A227,A:AL,13,FALSE)-50),"-",(VLOOKUP($A227,'NonXtal_SegEnds_BW#'!$A:$Z,9,FALSE)+VLOOKUP($A227,A:AL,13,FALSE)-50))</f>
        <v>-</v>
      </c>
      <c r="M227" s="3" t="s">
        <v>129</v>
      </c>
      <c r="N227" s="3" t="str">
        <f>IF(ISERROR(VLOOKUP($A227,'NonXtal_SegEnds_BW#'!$A:$Z,10,FALSE)+VLOOKUP($A227,A:AL,13,FALSE)-50),"-",(VLOOKUP($A227,'NonXtal_SegEnds_BW#'!$A:$Z,10,FALSE)+VLOOKUP($A227,A:AL,13,FALSE)-50))</f>
        <v>-</v>
      </c>
      <c r="O227" s="3">
        <f>VLOOKUP($A227,'NonXtal_SegEnds_BW#'!$A:$Z,11,FALSE)+VLOOKUP($A227,A:AL,16,FALSE)-50</f>
        <v>99</v>
      </c>
      <c r="P227" s="3">
        <v>131</v>
      </c>
      <c r="Q227" s="3">
        <f>VLOOKUP($A227,'NonXtal_SegEnds_BW#'!$A:$Z,12,FALSE)+VLOOKUP($A227,A:AL,16,FALSE)-50</f>
        <v>137</v>
      </c>
      <c r="R227" s="3">
        <f>S227</f>
        <v>138</v>
      </c>
      <c r="S227" s="3">
        <v>138</v>
      </c>
      <c r="T227" s="3">
        <f>S227+7</f>
        <v>145</v>
      </c>
      <c r="U227" s="3">
        <f>IF(ISERROR(VLOOKUP($A227,'NonXtal_SegEnds_BW#'!$A:$Z,15,FALSE)+VLOOKUP($A227,A:AL,22,FALSE)-50),"-",VLOOKUP($A227,'NonXtal_SegEnds_BW#'!$A:$Z,15,FALSE)+VLOOKUP($A227,A:AL,22,FALSE)-50)</f>
        <v>147</v>
      </c>
      <c r="V227" s="3">
        <v>158</v>
      </c>
      <c r="W227" s="3">
        <f>IF(ISERROR(VLOOKUP($A227,'NonXtal_SegEnds_BW#'!$A:$Z,16,FALSE)+VLOOKUP($A227,A:AL,22,FALSE)-50),"-",(VLOOKUP($A227,'NonXtal_SegEnds_BW#'!$A:$Z,16,FALSE)+VLOOKUP($A227,A:AL,22,FALSE)-50))</f>
        <v>171</v>
      </c>
      <c r="X227" s="3" t="str">
        <f>IF(ISERROR(VLOOKUP($A227,'NonXtal_SegEnds_BW#'!$A:$Z,17,FALSE)+VLOOKUP($A227,A:AL,25,FALSE)-50),"-",(VLOOKUP($A227,'NonXtal_SegEnds_BW#'!$A:$Z,17,FALSE)+VLOOKUP($A227,A:AL,25,FALSE)-50))</f>
        <v>-</v>
      </c>
      <c r="Y227" s="3" t="s">
        <v>129</v>
      </c>
      <c r="Z227" s="3" t="str">
        <f>IF(ISERROR(VLOOKUP($A227,'NonXtal_SegEnds_BW#'!$A:$Z,18,FALSE)+VLOOKUP($A227,A:AL,25,FALSE)-50),"-",(VLOOKUP($A227,'NonXtal_SegEnds_BW#'!$A:$Z,18,FALSE)+VLOOKUP($A227,A:AL,25,FALSE)-50))</f>
        <v>-</v>
      </c>
      <c r="AA227" s="3">
        <f>IF(ISERROR(VLOOKUP($A227,'NonXtal_SegEnds_BW#'!$A:$Z,19,FALSE)+VLOOKUP($A227,A:AL,28,FALSE)-50),"-",(VLOOKUP($A227,'NonXtal_SegEnds_BW#'!$A:$Z,19,FALSE)+VLOOKUP($A227,A:AL,28,FALSE)-50))</f>
        <v>187</v>
      </c>
      <c r="AB227" s="3">
        <v>201</v>
      </c>
      <c r="AC227" s="3">
        <f>IF(ISERROR((VLOOKUP($A227,'NonXtal_SegEnds_BW#'!$A:$Z,20,FALSE)+VLOOKUP($A227,A:AL,28,FALSE)-50)),"-",(VLOOKUP($A227,'NonXtal_SegEnds_BW#'!$A:$Z,20,FALSE)+VLOOKUP($A227,A:AL,28,FALSE)-50))</f>
        <v>225</v>
      </c>
      <c r="AD227" s="3">
        <f>IF(ISERROR(VLOOKUP($A227,'NonXtal_SegEnds_BW#'!$A:$Z,21,FALSE)+VLOOKUP($A227,A:AL,31,FALSE)-50),"-",(VLOOKUP($A227,'NonXtal_SegEnds_BW#'!$A:$Z,21,FALSE)+VLOOKUP($A227,A:AL,31,FALSE)-50))</f>
        <v>231</v>
      </c>
      <c r="AE227" s="3">
        <v>260</v>
      </c>
      <c r="AF227" s="3">
        <f>IF(ISERROR((VLOOKUP($A227,'NonXtal_SegEnds_BW#'!$A:$Z,22,FALSE)+VLOOKUP($A227,A:AL,31,FALSE)-50)),"-",(VLOOKUP($A227,'NonXtal_SegEnds_BW#'!$A:$Z,22,FALSE)+VLOOKUP($A227,A:AL,31,FALSE)-50))</f>
        <v>271</v>
      </c>
      <c r="AG227" s="3">
        <f>IF(ISERROR(VLOOKUP($A227,'NonXtal_SegEnds_BW#'!$A:$Z,23,FALSE)+VLOOKUP($A227,A:AL,34,FALSE)-50),"-",(VLOOKUP($A227,'NonXtal_SegEnds_BW#'!$A:$Z,23,FALSE)+VLOOKUP($A227,A:AL,34,FALSE)-50))</f>
        <v>277</v>
      </c>
      <c r="AH227" s="3">
        <v>296</v>
      </c>
      <c r="AI227" s="3">
        <f>IF(ISERROR((VLOOKUP($A227,'NonXtal_SegEnds_BW#'!$A:$Z,24,FALSE)+VLOOKUP($A227,A:AL,34,FALSE)-50)),"-",(VLOOKUP($A227,'NonXtal_SegEnds_BW#'!$A:$Z,24,FALSE)+VLOOKUP($A227,A:AL,34,FALSE)-50))</f>
        <v>302</v>
      </c>
      <c r="AJ227" s="3">
        <f>IF(ISERROR(VLOOKUP($A227,'NonXtal_SegEnds_BW#'!$A:$Z,25,FALSE)+VLOOKUP($A227,A:AL,37,FALSE)-50),"-",(VLOOKUP($A227,'NonXtal_SegEnds_BW#'!$A:$Z,25,FALSE)+VLOOKUP($A227,A:AL,37,FALSE)-50))</f>
        <v>303</v>
      </c>
      <c r="AK227" s="3">
        <v>306</v>
      </c>
      <c r="AL227" s="3">
        <f>IF(ISERROR((VLOOKUP($A227,'NonXtal_SegEnds_BW#'!$A:$Z,26,FALSE)+VLOOKUP($A227,A:AL,37,FALSE)-50)),"-",(VLOOKUP($A227,'NonXtal_SegEnds_BW#'!$A:$Z,26,FALSE)+VLOOKUP($A227,A:AL,37,FALSE)-50))</f>
        <v>315</v>
      </c>
      <c r="AM227" s="71" t="str">
        <f>VLOOKUP(A227,Classification!A:B,2,FALSE)</f>
        <v>A</v>
      </c>
      <c r="AN227" s="71" t="b">
        <f t="shared" si="102"/>
        <v>1</v>
      </c>
      <c r="AO227" s="3">
        <f t="shared" si="103"/>
        <v>1</v>
      </c>
      <c r="AP227" s="3">
        <f t="shared" si="104"/>
        <v>1</v>
      </c>
      <c r="AQ227" s="3" t="str">
        <f t="shared" si="105"/>
        <v>-</v>
      </c>
      <c r="AR227" s="3" t="str">
        <f t="shared" si="106"/>
        <v>-</v>
      </c>
      <c r="AS227" s="3">
        <f t="shared" si="107"/>
        <v>1</v>
      </c>
      <c r="AT227" s="3">
        <f t="shared" si="108"/>
        <v>2</v>
      </c>
      <c r="AU227" s="3" t="str">
        <f t="shared" si="109"/>
        <v>-</v>
      </c>
      <c r="AV227" s="3" t="str">
        <f t="shared" si="110"/>
        <v>-</v>
      </c>
      <c r="AW227" s="3">
        <f t="shared" si="111"/>
        <v>6</v>
      </c>
      <c r="AX227" s="3">
        <f t="shared" si="112"/>
        <v>6</v>
      </c>
      <c r="AY227" s="3">
        <f t="shared" si="113"/>
        <v>1</v>
      </c>
      <c r="AZ227" s="3">
        <f>IF(ISERROR(LEN(VLOOKUP(A227,Seqs!A:E,2,FALSE))-AL227),"-",LEN(VLOOKUP(A227,Seqs!A:E,2,FALSE))-AL227)</f>
        <v>45</v>
      </c>
      <c r="BA227" s="35">
        <f t="shared" si="114"/>
        <v>29</v>
      </c>
      <c r="BB227" s="3">
        <f t="shared" si="115"/>
        <v>20</v>
      </c>
      <c r="BC227" s="3">
        <f t="shared" si="116"/>
        <v>29</v>
      </c>
      <c r="BD227" s="3">
        <f t="shared" si="117"/>
        <v>59</v>
      </c>
    </row>
    <row r="228" spans="1:57" s="3" customFormat="1" x14ac:dyDescent="0.2">
      <c r="A228" s="3" t="s">
        <v>443</v>
      </c>
      <c r="B228" s="3" t="str">
        <f>LOWER(VLOOKUP(A228,Xtal_Templ!A:B,2,FALSE))</f>
        <v>lpar1_human</v>
      </c>
      <c r="C228" s="3">
        <f>VLOOKUP($A228,'NonXtal_SegEnds_BW#'!$A:$Z,3,FALSE)+D228-50</f>
        <v>38</v>
      </c>
      <c r="D228" s="3">
        <v>58</v>
      </c>
      <c r="E228" s="3">
        <f>IF(ISERROR(VLOOKUP($A228,'NonXtal_SegEnds_BW#'!$A:$Z,4,FALSE)+VLOOKUP($A228,A:AL,4,FALSE)-50),"-",(VLOOKUP($A228,'NonXtal_SegEnds_BW#'!$A:$Z,4,FALSE)+VLOOKUP($A228,A:AL,4,FALSE)-50))</f>
        <v>68</v>
      </c>
      <c r="F228" s="3">
        <f t="shared" si="122"/>
        <v>69</v>
      </c>
      <c r="G228" s="3">
        <v>71</v>
      </c>
      <c r="H228" s="3">
        <f t="shared" si="123"/>
        <v>72</v>
      </c>
      <c r="I228" s="3">
        <f t="shared" si="123"/>
        <v>73</v>
      </c>
      <c r="J228" s="3">
        <v>86</v>
      </c>
      <c r="K228" s="3">
        <f>VLOOKUP($A228,'NonXtal_SegEnds_BW#'!$A:$Z,8,FALSE)+VLOOKUP($A228,A:AL,10,FALSE)-50</f>
        <v>98</v>
      </c>
      <c r="L228" s="3">
        <f>M228-1</f>
        <v>100</v>
      </c>
      <c r="M228" s="3">
        <v>101</v>
      </c>
      <c r="N228" s="3">
        <f>M228+2</f>
        <v>103</v>
      </c>
      <c r="O228" s="3">
        <f>N228+1</f>
        <v>104</v>
      </c>
      <c r="P228" s="3">
        <v>134</v>
      </c>
      <c r="Q228" s="3">
        <f>VLOOKUP($A228,'NonXtal_SegEnds_BW#'!$A:$Z,12,FALSE)+VLOOKUP($A228,A:AL,16,FALSE)-50</f>
        <v>140</v>
      </c>
      <c r="R228" s="3">
        <f>S228</f>
        <v>141</v>
      </c>
      <c r="S228" s="3">
        <v>141</v>
      </c>
      <c r="T228" s="3">
        <f>S228+7</f>
        <v>148</v>
      </c>
      <c r="U228" s="3">
        <f>IF(ISERROR(VLOOKUP($A228,'NonXtal_SegEnds_BW#'!$A:$Z,15,FALSE)+VLOOKUP($A228,A:AL,22,FALSE)-50),"-",VLOOKUP($A228,'NonXtal_SegEnds_BW#'!$A:$Z,15,FALSE)+VLOOKUP($A228,A:AL,22,FALSE)-50)</f>
        <v>150</v>
      </c>
      <c r="V228" s="3">
        <v>161</v>
      </c>
      <c r="W228" s="3">
        <f>IF(ISERROR(VLOOKUP($A228,'NonXtal_SegEnds_BW#'!$A:$Z,16,FALSE)+VLOOKUP($A228,A:AL,22,FALSE)-50),"-",(VLOOKUP($A228,'NonXtal_SegEnds_BW#'!$A:$Z,16,FALSE)+VLOOKUP($A228,A:AL,22,FALSE)-50))</f>
        <v>174</v>
      </c>
      <c r="X228" s="3" t="str">
        <f>IF(ISERROR(VLOOKUP($A228,'NonXtal_SegEnds_BW#'!$A:$Z,17,FALSE)+VLOOKUP($A228,A:AL,25,FALSE)-50),"-",(VLOOKUP($A228,'NonXtal_SegEnds_BW#'!$A:$Z,17,FALSE)+VLOOKUP($A228,A:AL,25,FALSE)-50))</f>
        <v>-</v>
      </c>
      <c r="Y228" s="3" t="s">
        <v>129</v>
      </c>
      <c r="Z228" s="3" t="str">
        <f>IF(ISERROR(VLOOKUP($A228,'NonXtal_SegEnds_BW#'!$A:$Z,18,FALSE)+VLOOKUP($A228,A:AL,25,FALSE)-50),"-",(VLOOKUP($A228,'NonXtal_SegEnds_BW#'!$A:$Z,18,FALSE)+VLOOKUP($A228,A:AL,25,FALSE)-50))</f>
        <v>-</v>
      </c>
      <c r="AA228" s="3">
        <f>IF(ISERROR(VLOOKUP($A228,'NonXtal_SegEnds_BW#'!$A:$Z,19,FALSE)+VLOOKUP($A228,A:AL,28,FALSE)-50),"-",(VLOOKUP($A228,'NonXtal_SegEnds_BW#'!$A:$Z,19,FALSE)+VLOOKUP($A228,A:AL,28,FALSE)-50))</f>
        <v>191</v>
      </c>
      <c r="AB228" s="3">
        <v>205</v>
      </c>
      <c r="AC228" s="3">
        <f>IF(ISERROR((VLOOKUP($A228,'NonXtal_SegEnds_BW#'!$A:$Z,20,FALSE)+VLOOKUP($A228,A:AL,28,FALSE)-50)),"-",(VLOOKUP($A228,'NonXtal_SegEnds_BW#'!$A:$Z,20,FALSE)+VLOOKUP($A228,A:AL,28,FALSE)-50))</f>
        <v>228</v>
      </c>
      <c r="AD228" s="3">
        <f>IF(ISERROR(VLOOKUP($A228,'NonXtal_SegEnds_BW#'!$A:$Z,21,FALSE)+VLOOKUP($A228,A:AL,31,FALSE)-50),"-",(VLOOKUP($A228,'NonXtal_SegEnds_BW#'!$A:$Z,21,FALSE)+VLOOKUP($A228,A:AL,31,FALSE)-50))</f>
        <v>234</v>
      </c>
      <c r="AE228" s="3">
        <v>262</v>
      </c>
      <c r="AF228" s="3">
        <f>IF(ISERROR((VLOOKUP($A228,'NonXtal_SegEnds_BW#'!$A:$Z,22,FALSE)+VLOOKUP($A228,A:AL,31,FALSE)-50)),"-",(VLOOKUP($A228,'NonXtal_SegEnds_BW#'!$A:$Z,22,FALSE)+VLOOKUP($A228,A:AL,31,FALSE)-50))</f>
        <v>273</v>
      </c>
      <c r="AG228" s="3">
        <f>IF(ISERROR(VLOOKUP($A228,'NonXtal_SegEnds_BW#'!$A:$Z,23,FALSE)+VLOOKUP($A228,A:AL,34,FALSE)-50),"-",(VLOOKUP($A228,'NonXtal_SegEnds_BW#'!$A:$Z,23,FALSE)+VLOOKUP($A228,A:AL,34,FALSE)-50))</f>
        <v>278</v>
      </c>
      <c r="AH228" s="3">
        <v>294</v>
      </c>
      <c r="AI228" s="3">
        <f>IF(ISERROR((VLOOKUP($A228,'NonXtal_SegEnds_BW#'!$A:$Z,24,FALSE)+VLOOKUP($A228,A:AL,34,FALSE)-50)),"-",(VLOOKUP($A228,'NonXtal_SegEnds_BW#'!$A:$Z,24,FALSE)+VLOOKUP($A228,A:AL,34,FALSE)-50))</f>
        <v>300</v>
      </c>
      <c r="AJ228" s="3">
        <f>IF(ISERROR(VLOOKUP($A228,'NonXtal_SegEnds_BW#'!$A:$Z,25,FALSE)+VLOOKUP($A228,A:AL,37,FALSE)-50),"-",(VLOOKUP($A228,'NonXtal_SegEnds_BW#'!$A:$Z,25,FALSE)+VLOOKUP($A228,A:AL,37,FALSE)-50))</f>
        <v>301</v>
      </c>
      <c r="AK228" s="3">
        <v>304</v>
      </c>
      <c r="AL228" s="3">
        <f>IF(ISERROR((VLOOKUP($A228,'NonXtal_SegEnds_BW#'!$A:$Z,26,FALSE)+VLOOKUP($A228,A:AL,37,FALSE)-50)),"-",(VLOOKUP($A228,'NonXtal_SegEnds_BW#'!$A:$Z,26,FALSE)+VLOOKUP($A228,A:AL,37,FALSE)-50))</f>
        <v>313</v>
      </c>
      <c r="AM228" s="71" t="str">
        <f>VLOOKUP(A228,Classification!A:B,2,FALSE)</f>
        <v>A</v>
      </c>
      <c r="AN228" s="71" t="b">
        <f t="shared" si="102"/>
        <v>1</v>
      </c>
      <c r="AO228" s="3">
        <f t="shared" si="103"/>
        <v>1</v>
      </c>
      <c r="AP228" s="3">
        <f t="shared" si="104"/>
        <v>1</v>
      </c>
      <c r="AQ228" s="3">
        <f t="shared" si="105"/>
        <v>2</v>
      </c>
      <c r="AR228" s="3">
        <f t="shared" si="106"/>
        <v>1</v>
      </c>
      <c r="AS228" s="3">
        <f t="shared" si="107"/>
        <v>1</v>
      </c>
      <c r="AT228" s="3">
        <f t="shared" si="108"/>
        <v>2</v>
      </c>
      <c r="AU228" s="3" t="str">
        <f t="shared" si="109"/>
        <v>-</v>
      </c>
      <c r="AV228" s="3" t="str">
        <f t="shared" si="110"/>
        <v>-</v>
      </c>
      <c r="AW228" s="3">
        <f t="shared" si="111"/>
        <v>6</v>
      </c>
      <c r="AX228" s="3">
        <f t="shared" si="112"/>
        <v>5</v>
      </c>
      <c r="AY228" s="3">
        <f t="shared" si="113"/>
        <v>1</v>
      </c>
      <c r="AZ228" s="3">
        <f>IF(ISERROR(LEN(VLOOKUP(A228,Seqs!A:E,2,FALSE))-AL228),"-",LEN(VLOOKUP(A228,Seqs!A:E,2,FALSE))-AL228)</f>
        <v>17</v>
      </c>
      <c r="BA228" s="35">
        <f t="shared" si="114"/>
        <v>28</v>
      </c>
      <c r="BB228" s="3">
        <f t="shared" si="115"/>
        <v>20</v>
      </c>
      <c r="BC228" s="3">
        <f t="shared" si="116"/>
        <v>28</v>
      </c>
      <c r="BD228" s="3">
        <f t="shared" si="117"/>
        <v>57</v>
      </c>
      <c r="BE228" s="3">
        <f>AH228-AE228</f>
        <v>32</v>
      </c>
    </row>
    <row r="229" spans="1:57" s="3" customFormat="1" x14ac:dyDescent="0.2">
      <c r="A229" s="3" t="s">
        <v>297</v>
      </c>
      <c r="B229" s="3" t="str">
        <f>LOWER(VLOOKUP(A229,Xtal_Templ!A:B,2,FALSE))</f>
        <v>lpar1_human</v>
      </c>
      <c r="C229" s="3">
        <f>VLOOKUP($A229,'NonXtal_SegEnds_BW#'!$A:$Z,3,FALSE)+D229-50</f>
        <v>47</v>
      </c>
      <c r="D229" s="3">
        <v>67</v>
      </c>
      <c r="E229" s="3">
        <f>IF(ISERROR(VLOOKUP($A229,'NonXtal_SegEnds_BW#'!$A:$Z,4,FALSE)+VLOOKUP($A229,A:AL,4,FALSE)-50),"-",(VLOOKUP($A229,'NonXtal_SegEnds_BW#'!$A:$Z,4,FALSE)+VLOOKUP($A229,A:AL,4,FALSE)-50))</f>
        <v>77</v>
      </c>
      <c r="F229" s="3">
        <f t="shared" si="122"/>
        <v>78</v>
      </c>
      <c r="G229" s="3">
        <v>80</v>
      </c>
      <c r="H229" s="3">
        <f t="shared" si="123"/>
        <v>81</v>
      </c>
      <c r="I229" s="3">
        <f t="shared" si="123"/>
        <v>82</v>
      </c>
      <c r="J229" s="3">
        <v>95</v>
      </c>
      <c r="K229" s="3">
        <f>VLOOKUP($A229,'NonXtal_SegEnds_BW#'!$A:$Z,8,FALSE)+VLOOKUP($A229,A:AL,10,FALSE)-50</f>
        <v>108</v>
      </c>
      <c r="L229" s="3">
        <f>M229-3</f>
        <v>110</v>
      </c>
      <c r="M229" s="3">
        <v>113</v>
      </c>
      <c r="N229" s="3">
        <f>M229+3</f>
        <v>116</v>
      </c>
      <c r="O229" s="3">
        <f>N229+1</f>
        <v>117</v>
      </c>
      <c r="P229" s="3">
        <v>146</v>
      </c>
      <c r="Q229" s="3">
        <f>VLOOKUP($A229,'NonXtal_SegEnds_BW#'!$A:$Z,12,FALSE)+VLOOKUP($A229,A:AL,16,FALSE)-50</f>
        <v>152</v>
      </c>
      <c r="R229" s="3">
        <f>IF(ISERROR(VLOOKUP($A229,'NonXtal_SegEnds_BW#'!$A:$Z,13,FALSE)+VLOOKUP($A229,A:AL,19,FALSE)-50),"-",VLOOKUP($A229,'NonXtal_SegEnds_BW#'!$A:$Z,13,FALSE)+VLOOKUP($A229,A:AL,19,FALSE)-50)</f>
        <v>153</v>
      </c>
      <c r="S229" s="3">
        <v>153</v>
      </c>
      <c r="T229" s="3">
        <f>IF(ISERROR(VLOOKUP($A229,'NonXtal_SegEnds_BW#'!$A:$Z,14,FALSE)+VLOOKUP($A229,A:AL,19,FALSE)-50),"-",(VLOOKUP($A229,'NonXtal_SegEnds_BW#'!$A:$Z,14,FALSE)+VLOOKUP($A229,A:AL,19,FALSE)-50))</f>
        <v>160</v>
      </c>
      <c r="U229" s="3">
        <f>IF(ISERROR(VLOOKUP($A229,'NonXtal_SegEnds_BW#'!$A:$Z,15,FALSE)+VLOOKUP($A229,A:AL,22,FALSE)-50),"-",VLOOKUP($A229,'NonXtal_SegEnds_BW#'!$A:$Z,15,FALSE)+VLOOKUP($A229,A:AL,22,FALSE)-50)</f>
        <v>161</v>
      </c>
      <c r="V229" s="3">
        <v>172</v>
      </c>
      <c r="W229" s="3">
        <f>IF(ISERROR(VLOOKUP($A229,'NonXtal_SegEnds_BW#'!$A:$Z,16,FALSE)+VLOOKUP($A229,A:AL,22,FALSE)-50),"-",(VLOOKUP($A229,'NonXtal_SegEnds_BW#'!$A:$Z,16,FALSE)+VLOOKUP($A229,A:AL,22,FALSE)-50))</f>
        <v>185</v>
      </c>
      <c r="X229" s="3" t="str">
        <f>IF(ISERROR(VLOOKUP($A229,'NonXtal_SegEnds_BW#'!$A:$Z,17,FALSE)+VLOOKUP($A229,A:AL,25,FALSE)-50),"-",(VLOOKUP($A229,'NonXtal_SegEnds_BW#'!$A:$Z,17,FALSE)+VLOOKUP($A229,A:AL,25,FALSE)-50))</f>
        <v>-</v>
      </c>
      <c r="Y229" s="3" t="s">
        <v>129</v>
      </c>
      <c r="Z229" s="3" t="str">
        <f>IF(ISERROR(VLOOKUP($A229,'NonXtal_SegEnds_BW#'!$A:$Z,18,FALSE)+VLOOKUP($A229,A:AL,25,FALSE)-50),"-",(VLOOKUP($A229,'NonXtal_SegEnds_BW#'!$A:$Z,18,FALSE)+VLOOKUP($A229,A:AL,25,FALSE)-50))</f>
        <v>-</v>
      </c>
      <c r="AA229" s="3">
        <f>IF(ISERROR(VLOOKUP($A229,'NonXtal_SegEnds_BW#'!$A:$Z,19,FALSE)+VLOOKUP($A229,A:AL,28,FALSE)-50),"-",(VLOOKUP($A229,'NonXtal_SegEnds_BW#'!$A:$Z,19,FALSE)+VLOOKUP($A229,A:AL,28,FALSE)-50))</f>
        <v>203</v>
      </c>
      <c r="AB229" s="3">
        <v>217</v>
      </c>
      <c r="AC229" s="3">
        <f>IF(ISERROR((VLOOKUP($A229,'NonXtal_SegEnds_BW#'!$A:$Z,20,FALSE)+VLOOKUP($A229,A:AL,28,FALSE)-50)),"-",(VLOOKUP($A229,'NonXtal_SegEnds_BW#'!$A:$Z,20,FALSE)+VLOOKUP($A229,A:AL,28,FALSE)-50))</f>
        <v>240</v>
      </c>
      <c r="AD229" s="3">
        <f>IF(ISERROR(VLOOKUP($A229,'NonXtal_SegEnds_BW#'!$A:$Z,21,FALSE)+VLOOKUP($A229,A:AL,31,FALSE)-50),"-",(VLOOKUP($A229,'NonXtal_SegEnds_BW#'!$A:$Z,21,FALSE)+VLOOKUP($A229,A:AL,31,FALSE)-50))</f>
        <v>245</v>
      </c>
      <c r="AE229" s="3">
        <v>273</v>
      </c>
      <c r="AF229" s="3">
        <f>IF(ISERROR((VLOOKUP($A229,'NonXtal_SegEnds_BW#'!$A:$Z,22,FALSE)+VLOOKUP($A229,A:AL,31,FALSE)-50)),"-",(VLOOKUP($A229,'NonXtal_SegEnds_BW#'!$A:$Z,22,FALSE)+VLOOKUP($A229,A:AL,31,FALSE)-50))</f>
        <v>284</v>
      </c>
      <c r="AG229" s="3">
        <f>IF(ISERROR(VLOOKUP($A229,'NonXtal_SegEnds_BW#'!$A:$Z,23,FALSE)+VLOOKUP($A229,A:AL,34,FALSE)-50),"-",(VLOOKUP($A229,'NonXtal_SegEnds_BW#'!$A:$Z,23,FALSE)+VLOOKUP($A229,A:AL,34,FALSE)-50))</f>
        <v>288</v>
      </c>
      <c r="AH229" s="3">
        <v>308</v>
      </c>
      <c r="AI229" s="3">
        <f>IF(ISERROR((VLOOKUP($A229,'NonXtal_SegEnds_BW#'!$A:$Z,24,FALSE)+VLOOKUP($A229,A:AL,34,FALSE)-50)),"-",(VLOOKUP($A229,'NonXtal_SegEnds_BW#'!$A:$Z,24,FALSE)+VLOOKUP($A229,A:AL,34,FALSE)-50))</f>
        <v>314</v>
      </c>
      <c r="AJ229" s="3">
        <f>IF(ISERROR(VLOOKUP($A229,'NonXtal_SegEnds_BW#'!$A:$Z,25,FALSE)+VLOOKUP($A229,A:AL,37,FALSE)-50),"-",(VLOOKUP($A229,'NonXtal_SegEnds_BW#'!$A:$Z,25,FALSE)+VLOOKUP($A229,A:AL,37,FALSE)-50))</f>
        <v>315</v>
      </c>
      <c r="AK229" s="3">
        <v>318</v>
      </c>
      <c r="AL229" s="3">
        <f>IF(ISERROR((VLOOKUP($A229,'NonXtal_SegEnds_BW#'!$A:$Z,26,FALSE)+VLOOKUP($A229,A:AL,37,FALSE)-50)),"-",(VLOOKUP($A229,'NonXtal_SegEnds_BW#'!$A:$Z,26,FALSE)+VLOOKUP($A229,A:AL,37,FALSE)-50))</f>
        <v>327</v>
      </c>
      <c r="AM229" s="71" t="str">
        <f>VLOOKUP(A229,Classification!A:B,2,FALSE)</f>
        <v>A</v>
      </c>
      <c r="AN229" s="71" t="b">
        <f t="shared" si="102"/>
        <v>1</v>
      </c>
      <c r="AO229" s="3">
        <f t="shared" si="103"/>
        <v>1</v>
      </c>
      <c r="AP229" s="3">
        <f t="shared" si="104"/>
        <v>1</v>
      </c>
      <c r="AQ229" s="3">
        <f t="shared" si="105"/>
        <v>2</v>
      </c>
      <c r="AR229" s="3">
        <f t="shared" si="106"/>
        <v>1</v>
      </c>
      <c r="AS229" s="3">
        <f t="shared" si="107"/>
        <v>1</v>
      </c>
      <c r="AT229" s="3">
        <f t="shared" si="108"/>
        <v>1</v>
      </c>
      <c r="AU229" s="3" t="str">
        <f t="shared" si="109"/>
        <v>-</v>
      </c>
      <c r="AV229" s="3" t="str">
        <f t="shared" si="110"/>
        <v>-</v>
      </c>
      <c r="AW229" s="3">
        <f t="shared" si="111"/>
        <v>5</v>
      </c>
      <c r="AX229" s="3">
        <f t="shared" si="112"/>
        <v>4</v>
      </c>
      <c r="AY229" s="3">
        <f t="shared" si="113"/>
        <v>1</v>
      </c>
      <c r="AZ229" s="3">
        <f>IF(ISERROR(LEN(VLOOKUP(A229,Seqs!A:E,2,FALSE))-AL229),"-",LEN(VLOOKUP(A229,Seqs!A:E,2,FALSE))-AL229)</f>
        <v>37</v>
      </c>
      <c r="BA229" s="35">
        <f t="shared" si="114"/>
        <v>28</v>
      </c>
      <c r="BB229" s="3">
        <f t="shared" si="115"/>
        <v>19</v>
      </c>
      <c r="BC229" s="3">
        <f t="shared" si="116"/>
        <v>28</v>
      </c>
      <c r="BD229" s="3">
        <f t="shared" si="117"/>
        <v>56</v>
      </c>
    </row>
    <row r="230" spans="1:57" s="3" customFormat="1" x14ac:dyDescent="0.2">
      <c r="A230" s="3" t="s">
        <v>480</v>
      </c>
      <c r="B230" s="3" t="str">
        <f>LOWER(VLOOKUP(A230,Xtal_Templ!A:B,2,FALSE))</f>
        <v>lpar1_human</v>
      </c>
      <c r="C230" s="3">
        <f>VLOOKUP($A230,'NonXtal_SegEnds_BW#'!$A:$Z,3,FALSE)+D230-50</f>
        <v>30</v>
      </c>
      <c r="D230" s="3">
        <v>50</v>
      </c>
      <c r="E230" s="3">
        <f>IF(ISERROR(VLOOKUP($A230,'NonXtal_SegEnds_BW#'!$A:$Z,4,FALSE)+VLOOKUP($A230,A:AL,4,FALSE)-50),"-",(VLOOKUP($A230,'NonXtal_SegEnds_BW#'!$A:$Z,4,FALSE)+VLOOKUP($A230,A:AL,4,FALSE)-50))</f>
        <v>60</v>
      </c>
      <c r="F230" s="3">
        <f t="shared" si="122"/>
        <v>61</v>
      </c>
      <c r="G230" s="3">
        <v>63</v>
      </c>
      <c r="H230" s="3">
        <f t="shared" si="123"/>
        <v>64</v>
      </c>
      <c r="I230" s="3">
        <f t="shared" si="123"/>
        <v>65</v>
      </c>
      <c r="J230" s="3">
        <v>78</v>
      </c>
      <c r="K230" s="3">
        <f>VLOOKUP($A230,'NonXtal_SegEnds_BW#'!$A:$Z,8,FALSE)+VLOOKUP($A230,A:AL,10,FALSE)-50</f>
        <v>91</v>
      </c>
      <c r="L230" s="3">
        <f>M230-3</f>
        <v>93</v>
      </c>
      <c r="M230" s="3">
        <v>96</v>
      </c>
      <c r="N230" s="3">
        <f>M230+3</f>
        <v>99</v>
      </c>
      <c r="O230" s="3">
        <f>N230+1</f>
        <v>100</v>
      </c>
      <c r="P230" s="3">
        <v>129</v>
      </c>
      <c r="Q230" s="3">
        <f>VLOOKUP($A230,'NonXtal_SegEnds_BW#'!$A:$Z,12,FALSE)+VLOOKUP($A230,A:AL,16,FALSE)-50</f>
        <v>135</v>
      </c>
      <c r="R230" s="3">
        <f>IF(ISERROR(VLOOKUP($A230,'NonXtal_SegEnds_BW#'!$A:$Z,13,FALSE)+VLOOKUP($A230,A:AL,19,FALSE)-50),"-",VLOOKUP($A230,'NonXtal_SegEnds_BW#'!$A:$Z,13,FALSE)+VLOOKUP($A230,A:AL,19,FALSE)-50)</f>
        <v>136</v>
      </c>
      <c r="S230" s="3">
        <v>136</v>
      </c>
      <c r="T230" s="3">
        <f>IF(ISERROR(VLOOKUP($A230,'NonXtal_SegEnds_BW#'!$A:$Z,14,FALSE)+VLOOKUP($A230,A:AL,19,FALSE)-50),"-",(VLOOKUP($A230,'NonXtal_SegEnds_BW#'!$A:$Z,14,FALSE)+VLOOKUP($A230,A:AL,19,FALSE)-50))</f>
        <v>143</v>
      </c>
      <c r="U230" s="3">
        <f>IF(ISERROR(VLOOKUP($A230,'NonXtal_SegEnds_BW#'!$A:$Z,15,FALSE)+VLOOKUP($A230,A:AL,22,FALSE)-50),"-",VLOOKUP($A230,'NonXtal_SegEnds_BW#'!$A:$Z,15,FALSE)+VLOOKUP($A230,A:AL,22,FALSE)-50)</f>
        <v>144</v>
      </c>
      <c r="V230" s="3">
        <v>155</v>
      </c>
      <c r="W230" s="3">
        <f>IF(ISERROR(VLOOKUP($A230,'NonXtal_SegEnds_BW#'!$A:$Z,16,FALSE)+VLOOKUP($A230,A:AL,22,FALSE)-50),"-",(VLOOKUP($A230,'NonXtal_SegEnds_BW#'!$A:$Z,16,FALSE)+VLOOKUP($A230,A:AL,22,FALSE)-50))</f>
        <v>168</v>
      </c>
      <c r="X230" s="3" t="str">
        <f>IF(ISERROR(VLOOKUP($A230,'NonXtal_SegEnds_BW#'!$A:$Z,17,FALSE)+VLOOKUP($A230,A:AL,25,FALSE)-50),"-",(VLOOKUP($A230,'NonXtal_SegEnds_BW#'!$A:$Z,17,FALSE)+VLOOKUP($A230,A:AL,25,FALSE)-50))</f>
        <v>-</v>
      </c>
      <c r="Y230" s="3" t="s">
        <v>129</v>
      </c>
      <c r="Z230" s="3" t="str">
        <f>IF(ISERROR(VLOOKUP($A230,'NonXtal_SegEnds_BW#'!$A:$Z,18,FALSE)+VLOOKUP($A230,A:AL,25,FALSE)-50),"-",(VLOOKUP($A230,'NonXtal_SegEnds_BW#'!$A:$Z,18,FALSE)+VLOOKUP($A230,A:AL,25,FALSE)-50))</f>
        <v>-</v>
      </c>
      <c r="AA230" s="3">
        <f>IF(ISERROR(VLOOKUP($A230,'NonXtal_SegEnds_BW#'!$A:$Z,19,FALSE)+VLOOKUP($A230,A:AL,28,FALSE)-50),"-",(VLOOKUP($A230,'NonXtal_SegEnds_BW#'!$A:$Z,19,FALSE)+VLOOKUP($A230,A:AL,28,FALSE)-50))</f>
        <v>186</v>
      </c>
      <c r="AB230" s="3">
        <v>200</v>
      </c>
      <c r="AC230" s="3">
        <f>IF(ISERROR((VLOOKUP($A230,'NonXtal_SegEnds_BW#'!$A:$Z,20,FALSE)+VLOOKUP($A230,A:AL,28,FALSE)-50)),"-",(VLOOKUP($A230,'NonXtal_SegEnds_BW#'!$A:$Z,20,FALSE)+VLOOKUP($A230,A:AL,28,FALSE)-50))</f>
        <v>223</v>
      </c>
      <c r="AD230" s="3">
        <f>IF(ISERROR(VLOOKUP($A230,'NonXtal_SegEnds_BW#'!$A:$Z,21,FALSE)+VLOOKUP($A230,A:AL,31,FALSE)-50),"-",(VLOOKUP($A230,'NonXtal_SegEnds_BW#'!$A:$Z,21,FALSE)+VLOOKUP($A230,A:AL,31,FALSE)-50))</f>
        <v>228</v>
      </c>
      <c r="AE230" s="3">
        <v>256</v>
      </c>
      <c r="AF230" s="3">
        <f>IF(ISERROR((VLOOKUP($A230,'NonXtal_SegEnds_BW#'!$A:$Z,22,FALSE)+VLOOKUP($A230,A:AL,31,FALSE)-50)),"-",(VLOOKUP($A230,'NonXtal_SegEnds_BW#'!$A:$Z,22,FALSE)+VLOOKUP($A230,A:AL,31,FALSE)-50))</f>
        <v>267</v>
      </c>
      <c r="AG230" s="3">
        <f>IF(ISERROR(VLOOKUP($A230,'NonXtal_SegEnds_BW#'!$A:$Z,23,FALSE)+VLOOKUP($A230,A:AL,34,FALSE)-50),"-",(VLOOKUP($A230,'NonXtal_SegEnds_BW#'!$A:$Z,23,FALSE)+VLOOKUP($A230,A:AL,34,FALSE)-50))</f>
        <v>272</v>
      </c>
      <c r="AH230" s="3">
        <v>292</v>
      </c>
      <c r="AI230" s="3">
        <f>IF(ISERROR((VLOOKUP($A230,'NonXtal_SegEnds_BW#'!$A:$Z,24,FALSE)+VLOOKUP($A230,A:AL,34,FALSE)-50)),"-",(VLOOKUP($A230,'NonXtal_SegEnds_BW#'!$A:$Z,24,FALSE)+VLOOKUP($A230,A:AL,34,FALSE)-50))</f>
        <v>298</v>
      </c>
      <c r="AJ230" s="3">
        <f>IF(ISERROR(VLOOKUP($A230,'NonXtal_SegEnds_BW#'!$A:$Z,25,FALSE)+VLOOKUP($A230,A:AL,37,FALSE)-50),"-",(VLOOKUP($A230,'NonXtal_SegEnds_BW#'!$A:$Z,25,FALSE)+VLOOKUP($A230,A:AL,37,FALSE)-50))</f>
        <v>299</v>
      </c>
      <c r="AK230" s="3">
        <v>302</v>
      </c>
      <c r="AL230" s="3">
        <f>IF(ISERROR((VLOOKUP($A230,'NonXtal_SegEnds_BW#'!$A:$Z,26,FALSE)+VLOOKUP($A230,A:AL,37,FALSE)-50)),"-",(VLOOKUP($A230,'NonXtal_SegEnds_BW#'!$A:$Z,26,FALSE)+VLOOKUP($A230,A:AL,37,FALSE)-50))</f>
        <v>311</v>
      </c>
      <c r="AM230" s="71" t="str">
        <f>VLOOKUP(A230,Classification!A:B,2,FALSE)</f>
        <v>A</v>
      </c>
      <c r="AN230" s="71" t="b">
        <f t="shared" si="102"/>
        <v>1</v>
      </c>
      <c r="AO230" s="3">
        <f t="shared" si="103"/>
        <v>1</v>
      </c>
      <c r="AP230" s="3">
        <f t="shared" si="104"/>
        <v>1</v>
      </c>
      <c r="AQ230" s="3">
        <f t="shared" si="105"/>
        <v>2</v>
      </c>
      <c r="AR230" s="3">
        <f t="shared" si="106"/>
        <v>1</v>
      </c>
      <c r="AS230" s="3">
        <f t="shared" si="107"/>
        <v>1</v>
      </c>
      <c r="AT230" s="3">
        <f t="shared" si="108"/>
        <v>1</v>
      </c>
      <c r="AU230" s="3" t="str">
        <f t="shared" si="109"/>
        <v>-</v>
      </c>
      <c r="AV230" s="3" t="str">
        <f t="shared" si="110"/>
        <v>-</v>
      </c>
      <c r="AW230" s="3">
        <f t="shared" si="111"/>
        <v>5</v>
      </c>
      <c r="AX230" s="3">
        <f t="shared" si="112"/>
        <v>5</v>
      </c>
      <c r="AY230" s="3">
        <f t="shared" si="113"/>
        <v>1</v>
      </c>
      <c r="AZ230" s="3">
        <f>IF(ISERROR(LEN(VLOOKUP(A230,Seqs!A:E,2,FALSE))-AL230),"-",LEN(VLOOKUP(A230,Seqs!A:E,2,FALSE))-AL230)</f>
        <v>40</v>
      </c>
      <c r="BA230" s="35">
        <f t="shared" si="114"/>
        <v>28</v>
      </c>
      <c r="BB230" s="3">
        <f t="shared" si="115"/>
        <v>19</v>
      </c>
      <c r="BC230" s="3">
        <f t="shared" si="116"/>
        <v>28</v>
      </c>
      <c r="BD230" s="3">
        <f t="shared" si="117"/>
        <v>56</v>
      </c>
    </row>
    <row r="231" spans="1:57" s="3" customFormat="1" x14ac:dyDescent="0.2">
      <c r="A231" s="3" t="s">
        <v>481</v>
      </c>
      <c r="B231" s="3" t="str">
        <f>LOWER(VLOOKUP(A231,Xtal_Templ!A:B,2,FALSE))</f>
        <v>lpar1_human</v>
      </c>
      <c r="C231" s="3">
        <f>VLOOKUP($A231,'NonXtal_SegEnds_BW#'!$A:$Z,3,FALSE)+D231-50</f>
        <v>28</v>
      </c>
      <c r="D231" s="3">
        <v>48</v>
      </c>
      <c r="E231" s="3">
        <f>IF(ISERROR(VLOOKUP($A231,'NonXtal_SegEnds_BW#'!$A:$Z,4,FALSE)+VLOOKUP($A231,A:AL,4,FALSE)-50),"-",(VLOOKUP($A231,'NonXtal_SegEnds_BW#'!$A:$Z,4,FALSE)+VLOOKUP($A231,A:AL,4,FALSE)-50))</f>
        <v>58</v>
      </c>
      <c r="F231" s="3">
        <f t="shared" si="122"/>
        <v>59</v>
      </c>
      <c r="G231" s="3">
        <v>61</v>
      </c>
      <c r="H231" s="3">
        <f t="shared" si="123"/>
        <v>62</v>
      </c>
      <c r="I231" s="3">
        <f t="shared" si="123"/>
        <v>63</v>
      </c>
      <c r="J231" s="3">
        <v>76</v>
      </c>
      <c r="K231" s="3">
        <f>VLOOKUP($A231,'NonXtal_SegEnds_BW#'!$A:$Z,8,FALSE)+VLOOKUP($A231,A:AL,10,FALSE)-50</f>
        <v>89</v>
      </c>
      <c r="L231" s="3">
        <f>M231-3</f>
        <v>91</v>
      </c>
      <c r="M231" s="3">
        <v>94</v>
      </c>
      <c r="N231" s="3">
        <f>M231+3</f>
        <v>97</v>
      </c>
      <c r="O231" s="3">
        <f>N231+1</f>
        <v>98</v>
      </c>
      <c r="P231" s="3">
        <v>127</v>
      </c>
      <c r="Q231" s="3">
        <f>VLOOKUP($A231,'NonXtal_SegEnds_BW#'!$A:$Z,12,FALSE)+VLOOKUP($A231,A:AL,16,FALSE)-50</f>
        <v>133</v>
      </c>
      <c r="R231" s="3">
        <f>IF(ISERROR(VLOOKUP($A231,'NonXtal_SegEnds_BW#'!$A:$Z,13,FALSE)+VLOOKUP($A231,A:AL,19,FALSE)-50),"-",VLOOKUP($A231,'NonXtal_SegEnds_BW#'!$A:$Z,13,FALSE)+VLOOKUP($A231,A:AL,19,FALSE)-50)</f>
        <v>134</v>
      </c>
      <c r="S231" s="3">
        <v>134</v>
      </c>
      <c r="T231" s="3">
        <f>IF(ISERROR(VLOOKUP($A231,'NonXtal_SegEnds_BW#'!$A:$Z,14,FALSE)+VLOOKUP($A231,A:AL,19,FALSE)-50),"-",(VLOOKUP($A231,'NonXtal_SegEnds_BW#'!$A:$Z,14,FALSE)+VLOOKUP($A231,A:AL,19,FALSE)-50))</f>
        <v>141</v>
      </c>
      <c r="U231" s="3">
        <f>IF(ISERROR(VLOOKUP($A231,'NonXtal_SegEnds_BW#'!$A:$Z,15,FALSE)+VLOOKUP($A231,A:AL,22,FALSE)-50),"-",VLOOKUP($A231,'NonXtal_SegEnds_BW#'!$A:$Z,15,FALSE)+VLOOKUP($A231,A:AL,22,FALSE)-50)</f>
        <v>142</v>
      </c>
      <c r="V231" s="3">
        <v>153</v>
      </c>
      <c r="W231" s="3">
        <f>IF(ISERROR(VLOOKUP($A231,'NonXtal_SegEnds_BW#'!$A:$Z,16,FALSE)+VLOOKUP($A231,A:AL,22,FALSE)-50),"-",(VLOOKUP($A231,'NonXtal_SegEnds_BW#'!$A:$Z,16,FALSE)+VLOOKUP($A231,A:AL,22,FALSE)-50))</f>
        <v>166</v>
      </c>
      <c r="X231" s="3" t="str">
        <f>IF(ISERROR(VLOOKUP($A231,'NonXtal_SegEnds_BW#'!$A:$Z,17,FALSE)+VLOOKUP($A231,A:AL,25,FALSE)-50),"-",(VLOOKUP($A231,'NonXtal_SegEnds_BW#'!$A:$Z,17,FALSE)+VLOOKUP($A231,A:AL,25,FALSE)-50))</f>
        <v>-</v>
      </c>
      <c r="Y231" s="3" t="s">
        <v>129</v>
      </c>
      <c r="Z231" s="3" t="str">
        <f>IF(ISERROR(VLOOKUP($A231,'NonXtal_SegEnds_BW#'!$A:$Z,18,FALSE)+VLOOKUP($A231,A:AL,25,FALSE)-50),"-",(VLOOKUP($A231,'NonXtal_SegEnds_BW#'!$A:$Z,18,FALSE)+VLOOKUP($A231,A:AL,25,FALSE)-50))</f>
        <v>-</v>
      </c>
      <c r="AA231" s="3">
        <f>IF(ISERROR(VLOOKUP($A231,'NonXtal_SegEnds_BW#'!$A:$Z,19,FALSE)+VLOOKUP($A231,A:AL,28,FALSE)-50),"-",(VLOOKUP($A231,'NonXtal_SegEnds_BW#'!$A:$Z,19,FALSE)+VLOOKUP($A231,A:AL,28,FALSE)-50))</f>
        <v>184</v>
      </c>
      <c r="AB231" s="3">
        <v>198</v>
      </c>
      <c r="AC231" s="3">
        <f>IF(ISERROR((VLOOKUP($A231,'NonXtal_SegEnds_BW#'!$A:$Z,20,FALSE)+VLOOKUP($A231,A:AL,28,FALSE)-50)),"-",(VLOOKUP($A231,'NonXtal_SegEnds_BW#'!$A:$Z,20,FALSE)+VLOOKUP($A231,A:AL,28,FALSE)-50))</f>
        <v>221</v>
      </c>
      <c r="AD231" s="3">
        <f>IF(ISERROR(VLOOKUP($A231,'NonXtal_SegEnds_BW#'!$A:$Z,21,FALSE)+VLOOKUP($A231,A:AL,31,FALSE)-50),"-",(VLOOKUP($A231,'NonXtal_SegEnds_BW#'!$A:$Z,21,FALSE)+VLOOKUP($A231,A:AL,31,FALSE)-50))</f>
        <v>226</v>
      </c>
      <c r="AE231" s="3">
        <v>254</v>
      </c>
      <c r="AF231" s="3">
        <f>IF(ISERROR((VLOOKUP($A231,'NonXtal_SegEnds_BW#'!$A:$Z,22,FALSE)+VLOOKUP($A231,A:AL,31,FALSE)-50)),"-",(VLOOKUP($A231,'NonXtal_SegEnds_BW#'!$A:$Z,22,FALSE)+VLOOKUP($A231,A:AL,31,FALSE)-50))</f>
        <v>265</v>
      </c>
      <c r="AG231" s="3">
        <f>IF(ISERROR(VLOOKUP($A231,'NonXtal_SegEnds_BW#'!$A:$Z,23,FALSE)+VLOOKUP($A231,A:AL,34,FALSE)-50),"-",(VLOOKUP($A231,'NonXtal_SegEnds_BW#'!$A:$Z,23,FALSE)+VLOOKUP($A231,A:AL,34,FALSE)-50))</f>
        <v>270</v>
      </c>
      <c r="AH231" s="3">
        <v>290</v>
      </c>
      <c r="AI231" s="3">
        <f>IF(ISERROR((VLOOKUP($A231,'NonXtal_SegEnds_BW#'!$A:$Z,24,FALSE)+VLOOKUP($A231,A:AL,34,FALSE)-50)),"-",(VLOOKUP($A231,'NonXtal_SegEnds_BW#'!$A:$Z,24,FALSE)+VLOOKUP($A231,A:AL,34,FALSE)-50))</f>
        <v>296</v>
      </c>
      <c r="AJ231" s="3">
        <f>IF(ISERROR(VLOOKUP($A231,'NonXtal_SegEnds_BW#'!$A:$Z,25,FALSE)+VLOOKUP($A231,A:AL,37,FALSE)-50),"-",(VLOOKUP($A231,'NonXtal_SegEnds_BW#'!$A:$Z,25,FALSE)+VLOOKUP($A231,A:AL,37,FALSE)-50))</f>
        <v>297</v>
      </c>
      <c r="AK231" s="3">
        <v>300</v>
      </c>
      <c r="AL231" s="3">
        <f>IF(ISERROR((VLOOKUP($A231,'NonXtal_SegEnds_BW#'!$A:$Z,26,FALSE)+VLOOKUP($A231,A:AL,37,FALSE)-50)),"-",(VLOOKUP($A231,'NonXtal_SegEnds_BW#'!$A:$Z,26,FALSE)+VLOOKUP($A231,A:AL,37,FALSE)-50))</f>
        <v>309</v>
      </c>
      <c r="AM231" s="71" t="str">
        <f>VLOOKUP(A231,Classification!A:B,2,FALSE)</f>
        <v>A</v>
      </c>
      <c r="AN231" s="71" t="b">
        <f t="shared" si="102"/>
        <v>1</v>
      </c>
      <c r="AO231" s="3">
        <f t="shared" si="103"/>
        <v>1</v>
      </c>
      <c r="AP231" s="3">
        <f t="shared" si="104"/>
        <v>1</v>
      </c>
      <c r="AQ231" s="3">
        <f t="shared" si="105"/>
        <v>2</v>
      </c>
      <c r="AR231" s="3">
        <f t="shared" si="106"/>
        <v>1</v>
      </c>
      <c r="AS231" s="3">
        <f t="shared" si="107"/>
        <v>1</v>
      </c>
      <c r="AT231" s="3">
        <f t="shared" si="108"/>
        <v>1</v>
      </c>
      <c r="AU231" s="3" t="str">
        <f t="shared" si="109"/>
        <v>-</v>
      </c>
      <c r="AV231" s="3" t="str">
        <f t="shared" si="110"/>
        <v>-</v>
      </c>
      <c r="AW231" s="3">
        <f t="shared" si="111"/>
        <v>5</v>
      </c>
      <c r="AX231" s="3">
        <f t="shared" si="112"/>
        <v>5</v>
      </c>
      <c r="AY231" s="3">
        <f t="shared" si="113"/>
        <v>1</v>
      </c>
      <c r="AZ231" s="3">
        <f>IF(ISERROR(LEN(VLOOKUP(A231,Seqs!A:E,2,FALSE))-AL231),"-",LEN(VLOOKUP(A231,Seqs!A:E,2,FALSE))-AL231)</f>
        <v>44</v>
      </c>
      <c r="BA231" s="35">
        <f t="shared" si="114"/>
        <v>28</v>
      </c>
      <c r="BB231" s="3">
        <f t="shared" si="115"/>
        <v>19</v>
      </c>
      <c r="BC231" s="3">
        <f t="shared" si="116"/>
        <v>28</v>
      </c>
      <c r="BD231" s="3">
        <f t="shared" si="117"/>
        <v>56</v>
      </c>
    </row>
    <row r="232" spans="1:57" s="3" customFormat="1" x14ac:dyDescent="0.2">
      <c r="A232" s="3" t="s">
        <v>410</v>
      </c>
      <c r="B232" s="3" t="str">
        <f>LOWER(VLOOKUP(A232,Xtal_Templ!A:B,2,FALSE))</f>
        <v>ntr1_rat</v>
      </c>
      <c r="C232" s="3">
        <f>VLOOKUP($A232,'NonXtal_SegEnds_BW#'!$A:$Z,3,FALSE)+D232-50</f>
        <v>23</v>
      </c>
      <c r="D232" s="3">
        <v>44</v>
      </c>
      <c r="E232" s="3">
        <f>IF(ISERROR(VLOOKUP($A232,'NonXtal_SegEnds_BW#'!$A:$Z,4,FALSE)+VLOOKUP($A232,A:AL,4,FALSE)-50),"-",(VLOOKUP($A232,'NonXtal_SegEnds_BW#'!$A:$Z,4,FALSE)+VLOOKUP($A232,A:AL,4,FALSE)-50))</f>
        <v>54</v>
      </c>
      <c r="F232" s="3" t="str">
        <f>IF(ISERROR(VLOOKUP($A232,'NonXtal_SegEnds_BW#'!$A:$Z,5,FALSE)+VLOOKUP($A232,A:AL,7,FALSE)-50),"-",(VLOOKUP($A232,'NonXtal_SegEnds_BW#'!$A:$Z,5,FALSE)+VLOOKUP($A232,A:AL,7,FALSE)-50))</f>
        <v>-</v>
      </c>
      <c r="G232" s="3" t="s">
        <v>129</v>
      </c>
      <c r="H232" s="3" t="str">
        <f>IF(ISERROR(VLOOKUP($A232,'NonXtal_SegEnds_BW#'!$A:$Z,6,FALSE)+VLOOKUP($A232,A:AL,7,FALSE)-50),"-",(VLOOKUP($A232,'NonXtal_SegEnds_BW#'!$A:$Z,6,FALSE)+VLOOKUP($A232,A:AL,7,FALSE)-50))</f>
        <v>-</v>
      </c>
      <c r="I232" s="3">
        <f>VLOOKUP($A232,'NonXtal_SegEnds_BW#'!$A:$Z,7,FALSE)+J232-50</f>
        <v>60</v>
      </c>
      <c r="J232" s="3">
        <v>73</v>
      </c>
      <c r="K232" s="3">
        <f>VLOOKUP($A232,'NonXtal_SegEnds_BW#'!$A:$Z,8,FALSE)+VLOOKUP($A232,A:AL,10,FALSE)-50</f>
        <v>90</v>
      </c>
      <c r="L232" s="3" t="s">
        <v>129</v>
      </c>
      <c r="M232" s="3" t="s">
        <v>129</v>
      </c>
      <c r="N232" s="3" t="s">
        <v>129</v>
      </c>
      <c r="O232" s="3">
        <f>VLOOKUP($A232,'NonXtal_SegEnds_BW#'!$A:$Z,11,FALSE)+VLOOKUP($A232,A:AL,16,FALSE)-50</f>
        <v>94</v>
      </c>
      <c r="P232" s="3">
        <v>126</v>
      </c>
      <c r="Q232" s="3">
        <f>VLOOKUP($A232,'NonXtal_SegEnds_BW#'!$A:$Z,12,FALSE)+VLOOKUP($A232,A:AL,16,FALSE)-50</f>
        <v>132</v>
      </c>
      <c r="R232" s="3">
        <f>IF(ISERROR(VLOOKUP($A232,'NonXtal_SegEnds_BW#'!$A:$Z,13,FALSE)+VLOOKUP($A232,A:AL,19,FALSE)-50),"-",VLOOKUP($A232,'NonXtal_SegEnds_BW#'!$A:$Z,13,FALSE)+VLOOKUP($A232,A:AL,19,FALSE)-50)</f>
        <v>133</v>
      </c>
      <c r="S232" s="3">
        <v>133</v>
      </c>
      <c r="T232" s="3">
        <f>IF(ISERROR(VLOOKUP($A232,'NonXtal_SegEnds_BW#'!$A:$Z,14,FALSE)+VLOOKUP($A232,A:AL,19,FALSE)-50),"-",(VLOOKUP($A232,'NonXtal_SegEnds_BW#'!$A:$Z,14,FALSE)+VLOOKUP($A232,A:AL,19,FALSE)-50))</f>
        <v>140</v>
      </c>
      <c r="U232" s="3">
        <f>IF(ISERROR(VLOOKUP($A232,'NonXtal_SegEnds_BW#'!$A:$Z,15,FALSE)+VLOOKUP($A232,A:AL,22,FALSE)-50),"-",VLOOKUP($A232,'NonXtal_SegEnds_BW#'!$A:$Z,15,FALSE)+VLOOKUP($A232,A:AL,22,FALSE)-50)</f>
        <v>141</v>
      </c>
      <c r="V232" s="3">
        <v>152</v>
      </c>
      <c r="W232" s="3">
        <f>IF(ISERROR(VLOOKUP($A232,'NonXtal_SegEnds_BW#'!$A:$Z,16,FALSE)+VLOOKUP($A232,A:AL,22,FALSE)-50),"-",(VLOOKUP($A232,'NonXtal_SegEnds_BW#'!$A:$Z,16,FALSE)+VLOOKUP($A232,A:AL,22,FALSE)-50))</f>
        <v>166</v>
      </c>
      <c r="X232" s="3" t="str">
        <f>IF(ISERROR(VLOOKUP($A232,'NonXtal_SegEnds_BW#'!$A:$Z,17,FALSE)+VLOOKUP($A232,A:AL,25,FALSE)-50),"-",(VLOOKUP($A232,'NonXtal_SegEnds_BW#'!$A:$Z,17,FALSE)+VLOOKUP($A232,A:AL,25,FALSE)-50))</f>
        <v>-</v>
      </c>
      <c r="Y232" s="3" t="s">
        <v>129</v>
      </c>
      <c r="Z232" s="3" t="str">
        <f>IF(ISERROR(VLOOKUP($A232,'NonXtal_SegEnds_BW#'!$A:$Z,18,FALSE)+VLOOKUP($A232,A:AL,25,FALSE)-50),"-",(VLOOKUP($A232,'NonXtal_SegEnds_BW#'!$A:$Z,18,FALSE)+VLOOKUP($A232,A:AL,25,FALSE)-50))</f>
        <v>-</v>
      </c>
      <c r="AA232" s="3">
        <f>IF(ISERROR(VLOOKUP($A232,'NonXtal_SegEnds_BW#'!$A:$Z,19,FALSE)+VLOOKUP($A232,A:AL,28,FALSE)-50),"-",(VLOOKUP($A232,'NonXtal_SegEnds_BW#'!$A:$Z,19,FALSE)+VLOOKUP($A232,A:AL,28,FALSE)-50))</f>
        <v>177</v>
      </c>
      <c r="AB232" s="3">
        <v>195</v>
      </c>
      <c r="AC232" s="3">
        <f>IF(ISERROR((VLOOKUP($A232,'NonXtal_SegEnds_BW#'!$A:$Z,20,FALSE)+VLOOKUP($A232,A:AL,28,FALSE)-50)),"-",(VLOOKUP($A232,'NonXtal_SegEnds_BW#'!$A:$Z,20,FALSE)+VLOOKUP($A232,A:AL,28,FALSE)-50))</f>
        <v>213</v>
      </c>
      <c r="AD232" s="3">
        <f>IF(ISERROR(VLOOKUP($A232,'NonXtal_SegEnds_BW#'!$A:$Z,21,FALSE)+VLOOKUP($A232,A:AL,31,FALSE)-50),"-",(VLOOKUP($A232,'NonXtal_SegEnds_BW#'!$A:$Z,21,FALSE)+VLOOKUP($A232,A:AL,31,FALSE)-50))</f>
        <v>221</v>
      </c>
      <c r="AE232" s="3">
        <v>243</v>
      </c>
      <c r="AF232" s="3">
        <f>IF(ISERROR((VLOOKUP($A232,'NonXtal_SegEnds_BW#'!$A:$Z,22,FALSE)+VLOOKUP($A232,A:AL,31,FALSE)-50)),"-",(VLOOKUP($A232,'NonXtal_SegEnds_BW#'!$A:$Z,22,FALSE)+VLOOKUP($A232,A:AL,31,FALSE)-50))</f>
        <v>254</v>
      </c>
      <c r="AG232" s="3">
        <f>IF(ISERROR(VLOOKUP($A232,'NonXtal_SegEnds_BW#'!$A:$Z,23,FALSE)+VLOOKUP($A232,A:AL,34,FALSE)-50),"-",(VLOOKUP($A232,'NonXtal_SegEnds_BW#'!$A:$Z,23,FALSE)+VLOOKUP($A232,A:AL,34,FALSE)-50))</f>
        <v>260</v>
      </c>
      <c r="AH232" s="3">
        <v>282</v>
      </c>
      <c r="AI232" s="3">
        <f>IF(ISERROR((VLOOKUP($A232,'NonXtal_SegEnds_BW#'!$A:$Z,24,FALSE)+VLOOKUP($A232,A:AL,34,FALSE)-50)),"-",(VLOOKUP($A232,'NonXtal_SegEnds_BW#'!$A:$Z,24,FALSE)+VLOOKUP($A232,A:AL,34,FALSE)-50))</f>
        <v>288</v>
      </c>
      <c r="AJ232" s="3">
        <f>IF(ISERROR(VLOOKUP($A232,'NonXtal_SegEnds_BW#'!$A:$Z,25,FALSE)+VLOOKUP($A232,A:AL,37,FALSE)-50),"-",(VLOOKUP($A232,'NonXtal_SegEnds_BW#'!$A:$Z,25,FALSE)+VLOOKUP($A232,A:AL,37,FALSE)-50))</f>
        <v>289</v>
      </c>
      <c r="AK232" s="3">
        <v>292</v>
      </c>
      <c r="AL232" s="3">
        <f>IF(ISERROR((VLOOKUP($A232,'NonXtal_SegEnds_BW#'!$A:$Z,26,FALSE)+VLOOKUP($A232,A:AL,37,FALSE)-50)),"-",(VLOOKUP($A232,'NonXtal_SegEnds_BW#'!$A:$Z,26,FALSE)+VLOOKUP($A232,A:AL,37,FALSE)-50))</f>
        <v>300</v>
      </c>
      <c r="AM232" s="71" t="str">
        <f>VLOOKUP(A232,Classification!A:B,2,FALSE)</f>
        <v>A</v>
      </c>
      <c r="AN232" s="71" t="b">
        <f t="shared" si="102"/>
        <v>1</v>
      </c>
      <c r="AO232" s="3" t="str">
        <f t="shared" si="103"/>
        <v>-</v>
      </c>
      <c r="AP232" s="3" t="str">
        <f t="shared" si="104"/>
        <v>-</v>
      </c>
      <c r="AQ232" s="3" t="str">
        <f t="shared" si="105"/>
        <v>-</v>
      </c>
      <c r="AR232" s="3" t="str">
        <f t="shared" si="106"/>
        <v>-</v>
      </c>
      <c r="AS232" s="3">
        <f t="shared" si="107"/>
        <v>1</v>
      </c>
      <c r="AT232" s="3">
        <f t="shared" si="108"/>
        <v>1</v>
      </c>
      <c r="AU232" s="3" t="str">
        <f t="shared" si="109"/>
        <v>-</v>
      </c>
      <c r="AV232" s="3" t="str">
        <f t="shared" si="110"/>
        <v>-</v>
      </c>
      <c r="AW232" s="3">
        <f t="shared" si="111"/>
        <v>8</v>
      </c>
      <c r="AX232" s="3">
        <f t="shared" si="112"/>
        <v>6</v>
      </c>
      <c r="AY232" s="3">
        <f t="shared" si="113"/>
        <v>1</v>
      </c>
      <c r="AZ232" s="3">
        <f>IF(ISERROR(LEN(VLOOKUP(A232,Seqs!A:E,2,FALSE))-AL232),"-",LEN(VLOOKUP(A232,Seqs!A:E,2,FALSE))-AL232)</f>
        <v>53</v>
      </c>
      <c r="BA232" s="35">
        <f t="shared" si="114"/>
        <v>29</v>
      </c>
      <c r="BB232" s="3">
        <f t="shared" si="115"/>
        <v>19</v>
      </c>
      <c r="BC232" s="3">
        <f t="shared" si="116"/>
        <v>29</v>
      </c>
      <c r="BD232" s="3">
        <f t="shared" si="117"/>
        <v>48</v>
      </c>
    </row>
    <row r="233" spans="1:57" s="3" customFormat="1" x14ac:dyDescent="0.2">
      <c r="A233" s="3" t="s">
        <v>504</v>
      </c>
      <c r="B233" s="3" t="str">
        <f>LOWER(VLOOKUP(A233,Xtal_Templ!A:B,2,FALSE))</f>
        <v>ntr1_rat</v>
      </c>
      <c r="C233" s="3">
        <f>VLOOKUP($A233,'NonXtal_SegEnds_BW#'!$A:$Z,3,FALSE)+D233-50</f>
        <v>35</v>
      </c>
      <c r="D233" s="3">
        <v>56</v>
      </c>
      <c r="E233" s="3">
        <f>IF(ISERROR(VLOOKUP($A233,'NonXtal_SegEnds_BW#'!$A:$Z,4,FALSE)+VLOOKUP($A233,A:AL,4,FALSE)-50),"-",(VLOOKUP($A233,'NonXtal_SegEnds_BW#'!$A:$Z,4,FALSE)+VLOOKUP($A233,A:AL,4,FALSE)-50))</f>
        <v>66</v>
      </c>
      <c r="F233" s="3">
        <f>G233-2</f>
        <v>67</v>
      </c>
      <c r="G233" s="3">
        <v>69</v>
      </c>
      <c r="H233" s="3">
        <f t="shared" ref="H233:I236" si="124">G233+1</f>
        <v>70</v>
      </c>
      <c r="I233" s="3">
        <f t="shared" si="124"/>
        <v>71</v>
      </c>
      <c r="J233" s="3">
        <v>84</v>
      </c>
      <c r="K233" s="3">
        <f>VLOOKUP($A233,'NonXtal_SegEnds_BW#'!$A:$Z,8,FALSE)+VLOOKUP($A233,A:AL,10,FALSE)-50</f>
        <v>101</v>
      </c>
      <c r="L233" s="3">
        <f>M233-1</f>
        <v>103</v>
      </c>
      <c r="M233" s="3">
        <v>104</v>
      </c>
      <c r="N233" s="3">
        <f>M233+2</f>
        <v>106</v>
      </c>
      <c r="O233" s="3">
        <f>N233+1</f>
        <v>107</v>
      </c>
      <c r="P233" s="3">
        <v>136</v>
      </c>
      <c r="Q233" s="3">
        <f>VLOOKUP($A233,'NonXtal_SegEnds_BW#'!$A:$Z,12,FALSE)+VLOOKUP($A233,A:AL,16,FALSE)-50</f>
        <v>142</v>
      </c>
      <c r="R233" s="3">
        <f>IF(ISERROR(VLOOKUP($A233,'NonXtal_SegEnds_BW#'!$A:$Z,13,FALSE)+VLOOKUP($A233,A:AL,19,FALSE)-50),"-",VLOOKUP($A233,'NonXtal_SegEnds_BW#'!$A:$Z,13,FALSE)+VLOOKUP($A233,A:AL,19,FALSE)-50)</f>
        <v>143</v>
      </c>
      <c r="S233" s="3">
        <v>143</v>
      </c>
      <c r="T233" s="3">
        <f>IF(ISERROR(VLOOKUP($A233,'NonXtal_SegEnds_BW#'!$A:$Z,14,FALSE)+VLOOKUP($A233,A:AL,19,FALSE)-50),"-",(VLOOKUP($A233,'NonXtal_SegEnds_BW#'!$A:$Z,14,FALSE)+VLOOKUP($A233,A:AL,19,FALSE)-50))</f>
        <v>150</v>
      </c>
      <c r="U233" s="3">
        <f>IF(ISERROR(VLOOKUP($A233,'NonXtal_SegEnds_BW#'!$A:$Z,15,FALSE)+VLOOKUP($A233,A:AL,22,FALSE)-50),"-",VLOOKUP($A233,'NonXtal_SegEnds_BW#'!$A:$Z,15,FALSE)+VLOOKUP($A233,A:AL,22,FALSE)-50)</f>
        <v>152</v>
      </c>
      <c r="V233" s="3">
        <v>163</v>
      </c>
      <c r="W233" s="3">
        <f>IF(ISERROR(VLOOKUP($A233,'NonXtal_SegEnds_BW#'!$A:$Z,16,FALSE)+VLOOKUP($A233,A:AL,22,FALSE)-50),"-",(VLOOKUP($A233,'NonXtal_SegEnds_BW#'!$A:$Z,16,FALSE)+VLOOKUP($A233,A:AL,22,FALSE)-50))</f>
        <v>177</v>
      </c>
      <c r="X233" s="3">
        <f>IF(ISERROR(VLOOKUP($A233,'NonXtal_SegEnds_BW#'!$A:$Z,17,FALSE)+VLOOKUP($A233,A:AL,25,FALSE)-50),"-",(VLOOKUP($A233,'NonXtal_SegEnds_BW#'!$A:$Z,17,FALSE)+VLOOKUP($A233,A:AL,25,FALSE)-50))</f>
        <v>235</v>
      </c>
      <c r="Y233" s="3">
        <v>235</v>
      </c>
      <c r="Z233" s="3">
        <f t="shared" ref="Z233:Z242" si="125">Y233+2</f>
        <v>237</v>
      </c>
      <c r="AA233" s="3">
        <f>IF(ISERROR(VLOOKUP($A233,'NonXtal_SegEnds_BW#'!$A:$Z,19,FALSE)+VLOOKUP($A233,A:AL,28,FALSE)-50),"-",(VLOOKUP($A233,'NonXtal_SegEnds_BW#'!$A:$Z,19,FALSE)+VLOOKUP($A233,A:AL,28,FALSE)-50))</f>
        <v>241</v>
      </c>
      <c r="AB233" s="3">
        <v>259</v>
      </c>
      <c r="AC233" s="3">
        <f>IF(ISERROR((VLOOKUP($A233,'NonXtal_SegEnds_BW#'!$A:$Z,20,FALSE)+VLOOKUP($A233,A:AL,28,FALSE)-50)),"-",(VLOOKUP($A233,'NonXtal_SegEnds_BW#'!$A:$Z,20,FALSE)+VLOOKUP($A233,A:AL,28,FALSE)-50))</f>
        <v>281</v>
      </c>
      <c r="AD233" s="3">
        <f>IF(ISERROR(VLOOKUP($A233,'NonXtal_SegEnds_BW#'!$A:$Z,21,FALSE)+VLOOKUP($A233,A:AL,31,FALSE)-50),"-",(VLOOKUP($A233,'NonXtal_SegEnds_BW#'!$A:$Z,21,FALSE)+VLOOKUP($A233,A:AL,31,FALSE)-50))</f>
        <v>287</v>
      </c>
      <c r="AE233" s="3">
        <v>313</v>
      </c>
      <c r="AF233" s="3">
        <f>IF(ISERROR((VLOOKUP($A233,'NonXtal_SegEnds_BW#'!$A:$Z,22,FALSE)+VLOOKUP($A233,A:AL,31,FALSE)-50)),"-",(VLOOKUP($A233,'NonXtal_SegEnds_BW#'!$A:$Z,22,FALSE)+VLOOKUP($A233,A:AL,31,FALSE)-50))</f>
        <v>324</v>
      </c>
      <c r="AG233" s="3">
        <f>IF(ISERROR(VLOOKUP($A233,'NonXtal_SegEnds_BW#'!$A:$Z,23,FALSE)+VLOOKUP($A233,A:AL,34,FALSE)-50),"-",(VLOOKUP($A233,'NonXtal_SegEnds_BW#'!$A:$Z,23,FALSE)+VLOOKUP($A233,A:AL,34,FALSE)-50))</f>
        <v>330</v>
      </c>
      <c r="AH233" s="3">
        <v>352</v>
      </c>
      <c r="AI233" s="3">
        <f>IF(ISERROR((VLOOKUP($A233,'NonXtal_SegEnds_BW#'!$A:$Z,24,FALSE)+VLOOKUP($A233,A:AL,34,FALSE)-50)),"-",(VLOOKUP($A233,'NonXtal_SegEnds_BW#'!$A:$Z,24,FALSE)+VLOOKUP($A233,A:AL,34,FALSE)-50))</f>
        <v>358</v>
      </c>
      <c r="AJ233" s="3">
        <f>IF(ISERROR(VLOOKUP($A233,'NonXtal_SegEnds_BW#'!$A:$Z,25,FALSE)+VLOOKUP($A233,A:AL,37,FALSE)-50),"-",(VLOOKUP($A233,'NonXtal_SegEnds_BW#'!$A:$Z,25,FALSE)+VLOOKUP($A233,A:AL,37,FALSE)-50))</f>
        <v>359</v>
      </c>
      <c r="AK233" s="3">
        <v>362</v>
      </c>
      <c r="AL233" s="3">
        <f>IF(ISERROR((VLOOKUP($A233,'NonXtal_SegEnds_BW#'!$A:$Z,26,FALSE)+VLOOKUP($A233,A:AL,37,FALSE)-50)),"-",(VLOOKUP($A233,'NonXtal_SegEnds_BW#'!$A:$Z,26,FALSE)+VLOOKUP($A233,A:AL,37,FALSE)-50))</f>
        <v>370</v>
      </c>
      <c r="AM233" s="71" t="str">
        <f>VLOOKUP(A233,Classification!A:B,2,FALSE)</f>
        <v>A</v>
      </c>
      <c r="AN233" s="71" t="b">
        <f t="shared" si="102"/>
        <v>1</v>
      </c>
      <c r="AO233" s="3">
        <f t="shared" si="103"/>
        <v>1</v>
      </c>
      <c r="AP233" s="3">
        <f t="shared" si="104"/>
        <v>1</v>
      </c>
      <c r="AQ233" s="3">
        <f t="shared" si="105"/>
        <v>2</v>
      </c>
      <c r="AR233" s="3">
        <f t="shared" si="106"/>
        <v>1</v>
      </c>
      <c r="AS233" s="3">
        <f t="shared" si="107"/>
        <v>1</v>
      </c>
      <c r="AT233" s="3">
        <f t="shared" si="108"/>
        <v>2</v>
      </c>
      <c r="AU233" s="3">
        <f t="shared" si="109"/>
        <v>58</v>
      </c>
      <c r="AV233" s="3">
        <f t="shared" si="110"/>
        <v>4</v>
      </c>
      <c r="AW233" s="3">
        <f t="shared" si="111"/>
        <v>6</v>
      </c>
      <c r="AX233" s="3">
        <f t="shared" si="112"/>
        <v>6</v>
      </c>
      <c r="AY233" s="3">
        <f t="shared" si="113"/>
        <v>1</v>
      </c>
      <c r="AZ233" s="3">
        <f>IF(ISERROR(LEN(VLOOKUP(A233,Seqs!A:E,2,FALSE))-AL233),"-",LEN(VLOOKUP(A233,Seqs!A:E,2,FALSE))-AL233)</f>
        <v>42</v>
      </c>
      <c r="BA233" s="35">
        <f t="shared" si="114"/>
        <v>28</v>
      </c>
      <c r="BB233" s="3">
        <f t="shared" si="115"/>
        <v>20</v>
      </c>
      <c r="BC233" s="3">
        <f t="shared" si="116"/>
        <v>28</v>
      </c>
      <c r="BD233" s="3">
        <f t="shared" si="117"/>
        <v>54</v>
      </c>
    </row>
    <row r="234" spans="1:57" s="3" customFormat="1" x14ac:dyDescent="0.2">
      <c r="A234" s="3" t="s">
        <v>1110</v>
      </c>
      <c r="B234" s="3" t="str">
        <f>LOWER(VLOOKUP(A234,Xtal_Templ!A:B,2,FALSE))</f>
        <v>ntr1_rat</v>
      </c>
      <c r="C234" s="3">
        <f>VLOOKUP($A234,'NonXtal_SegEnds_BW#'!$A:$Z,3,FALSE)+D234-50</f>
        <v>61</v>
      </c>
      <c r="D234" s="3">
        <v>82</v>
      </c>
      <c r="E234" s="3">
        <f>IF(ISERROR(VLOOKUP($A234,'NonXtal_SegEnds_BW#'!$A:$Z,4,FALSE)+VLOOKUP($A234,A:AL,4,FALSE)-50),"-",(VLOOKUP($A234,'NonXtal_SegEnds_BW#'!$A:$Z,4,FALSE)+VLOOKUP($A234,A:AL,4,FALSE)-50))</f>
        <v>92</v>
      </c>
      <c r="F234" s="3">
        <f>G234-2</f>
        <v>93</v>
      </c>
      <c r="G234" s="3">
        <v>95</v>
      </c>
      <c r="H234" s="3">
        <f t="shared" si="124"/>
        <v>96</v>
      </c>
      <c r="I234" s="3">
        <f t="shared" si="124"/>
        <v>97</v>
      </c>
      <c r="J234" s="3">
        <v>113</v>
      </c>
      <c r="K234" s="3">
        <f>VLOOKUP($A234,'NonXtal_SegEnds_BW#'!$A:$Z,8,FALSE)+VLOOKUP($A234,A:AL,10,FALSE)-50</f>
        <v>131</v>
      </c>
      <c r="L234" s="3">
        <f>IF(ISERROR(VLOOKUP($A234,'NonXtal_SegEnds_BW#'!$A:$Z,9,FALSE)+VLOOKUP($A234,A:AL,13,FALSE)-50),"-",(VLOOKUP($A234,'NonXtal_SegEnds_BW#'!$A:$Z,9,FALSE)+VLOOKUP($A234,A:AL,13,FALSE)-50))</f>
        <v>134</v>
      </c>
      <c r="M234" s="3">
        <v>135</v>
      </c>
      <c r="N234" s="3">
        <f>IF(ISERROR(VLOOKUP($A234,'NonXtal_SegEnds_BW#'!$A:$Z,10,FALSE)+VLOOKUP($A234,A:AL,13,FALSE)-50),"-",(VLOOKUP($A234,'NonXtal_SegEnds_BW#'!$A:$Z,10,FALSE)+VLOOKUP($A234,A:AL,13,FALSE)-50))</f>
        <v>137</v>
      </c>
      <c r="O234" s="3">
        <f>N234+1</f>
        <v>138</v>
      </c>
      <c r="P234" s="3">
        <v>167</v>
      </c>
      <c r="Q234" s="3">
        <f>VLOOKUP($A234,'NonXtal_SegEnds_BW#'!$A:$Z,12,FALSE)+VLOOKUP($A234,A:AL,16,FALSE)-50</f>
        <v>173</v>
      </c>
      <c r="R234" s="3">
        <f>IF(ISERROR(VLOOKUP($A234,'NonXtal_SegEnds_BW#'!$A:$Z,13,FALSE)+VLOOKUP($A234,A:AL,19,FALSE)-50),"-",VLOOKUP($A234,'NonXtal_SegEnds_BW#'!$A:$Z,13,FALSE)+VLOOKUP($A234,A:AL,19,FALSE)-50)</f>
        <v>174</v>
      </c>
      <c r="S234" s="3">
        <v>174</v>
      </c>
      <c r="T234" s="3">
        <f>IF(ISERROR(VLOOKUP($A234,'NonXtal_SegEnds_BW#'!$A:$Z,14,FALSE)+VLOOKUP($A234,A:AL,19,FALSE)-50),"-",(VLOOKUP($A234,'NonXtal_SegEnds_BW#'!$A:$Z,14,FALSE)+VLOOKUP($A234,A:AL,19,FALSE)-50))</f>
        <v>181</v>
      </c>
      <c r="U234" s="3">
        <f>IF(ISERROR(VLOOKUP($A234,'NonXtal_SegEnds_BW#'!$A:$Z,15,FALSE)+VLOOKUP($A234,A:AL,22,FALSE)-50),"-",VLOOKUP($A234,'NonXtal_SegEnds_BW#'!$A:$Z,15,FALSE)+VLOOKUP($A234,A:AL,22,FALSE)-50)</f>
        <v>183</v>
      </c>
      <c r="V234" s="3">
        <v>194</v>
      </c>
      <c r="W234" s="3">
        <f>IF(ISERROR(VLOOKUP($A234,'NonXtal_SegEnds_BW#'!$A:$Z,16,FALSE)+VLOOKUP($A234,A:AL,22,FALSE)-50),"-",(VLOOKUP($A234,'NonXtal_SegEnds_BW#'!$A:$Z,16,FALSE)+VLOOKUP($A234,A:AL,22,FALSE)-50))</f>
        <v>208</v>
      </c>
      <c r="X234" s="3">
        <f>IF(ISERROR(VLOOKUP($A234,'NonXtal_SegEnds_BW#'!$A:$Z,17,FALSE)+VLOOKUP($A234,A:AL,25,FALSE)-50),"-",(VLOOKUP($A234,'NonXtal_SegEnds_BW#'!$A:$Z,17,FALSE)+VLOOKUP($A234,A:AL,25,FALSE)-50))</f>
        <v>225</v>
      </c>
      <c r="Y234" s="3">
        <v>225</v>
      </c>
      <c r="Z234" s="3">
        <f t="shared" si="125"/>
        <v>227</v>
      </c>
      <c r="AA234" s="3">
        <f>IF(ISERROR(VLOOKUP($A234,'NonXtal_SegEnds_BW#'!$A:$Z,19,FALSE)+VLOOKUP($A234,A:AL,28,FALSE)-50),"-",(VLOOKUP($A234,'NonXtal_SegEnds_BW#'!$A:$Z,19,FALSE)+VLOOKUP($A234,A:AL,28,FALSE)-50))</f>
        <v>231</v>
      </c>
      <c r="AB234" s="3">
        <v>249</v>
      </c>
      <c r="AC234" s="3">
        <f>IF(ISERROR((VLOOKUP($A234,'NonXtal_SegEnds_BW#'!$A:$Z,20,FALSE)+VLOOKUP($A234,A:AL,28,FALSE)-50)),"-",(VLOOKUP($A234,'NonXtal_SegEnds_BW#'!$A:$Z,20,FALSE)+VLOOKUP($A234,A:AL,28,FALSE)-50))</f>
        <v>275</v>
      </c>
      <c r="AD234" s="3">
        <f>IF(ISERROR(VLOOKUP($A234,'NonXtal_SegEnds_BW#'!$A:$Z,21,FALSE)+VLOOKUP($A234,A:AL,31,FALSE)-50),"-",(VLOOKUP($A234,'NonXtal_SegEnds_BW#'!$A:$Z,21,FALSE)+VLOOKUP($A234,A:AL,31,FALSE)-50))</f>
        <v>297</v>
      </c>
      <c r="AE234" s="3">
        <v>323</v>
      </c>
      <c r="AF234" s="3">
        <f>IF(ISERROR((VLOOKUP($A234,'NonXtal_SegEnds_BW#'!$A:$Z,22,FALSE)+VLOOKUP($A234,A:AL,31,FALSE)-50)),"-",(VLOOKUP($A234,'NonXtal_SegEnds_BW#'!$A:$Z,22,FALSE)+VLOOKUP($A234,A:AL,31,FALSE)-50))</f>
        <v>334</v>
      </c>
      <c r="AG234" s="3">
        <f>IF(ISERROR(VLOOKUP($A234,'NonXtal_SegEnds_BW#'!$A:$Z,23,FALSE)+VLOOKUP($A234,A:AL,34,FALSE)-50),"-",(VLOOKUP($A234,'NonXtal_SegEnds_BW#'!$A:$Z,23,FALSE)+VLOOKUP($A234,A:AL,34,FALSE)-50))</f>
        <v>340</v>
      </c>
      <c r="AH234" s="3">
        <v>366</v>
      </c>
      <c r="AI234" s="3">
        <f>IF(ISERROR((VLOOKUP($A234,'NonXtal_SegEnds_BW#'!$A:$Z,24,FALSE)+VLOOKUP($A234,A:AL,34,FALSE)-50)),"-",(VLOOKUP($A234,'NonXtal_SegEnds_BW#'!$A:$Z,24,FALSE)+VLOOKUP($A234,A:AL,34,FALSE)-50))</f>
        <v>372</v>
      </c>
      <c r="AJ234" s="3">
        <f>IF(ISERROR(VLOOKUP($A234,'NonXtal_SegEnds_BW#'!$A:$Z,25,FALSE)+VLOOKUP($A234,A:AL,37,FALSE)-50),"-",(VLOOKUP($A234,'NonXtal_SegEnds_BW#'!$A:$Z,25,FALSE)+VLOOKUP($A234,A:AL,37,FALSE)-50))</f>
        <v>373</v>
      </c>
      <c r="AK234" s="3">
        <v>376</v>
      </c>
      <c r="AL234" s="3">
        <f>IF(ISERROR((VLOOKUP($A234,'NonXtal_SegEnds_BW#'!$A:$Z,26,FALSE)+VLOOKUP($A234,A:AL,37,FALSE)-50)),"-",(VLOOKUP($A234,'NonXtal_SegEnds_BW#'!$A:$Z,26,FALSE)+VLOOKUP($A234,A:AL,37,FALSE)-50))</f>
        <v>384</v>
      </c>
      <c r="AM234" s="71" t="str">
        <f>VLOOKUP(A234,Classification!A:B,2,FALSE)</f>
        <v>A</v>
      </c>
      <c r="AN234" s="71" t="b">
        <f t="shared" si="102"/>
        <v>1</v>
      </c>
      <c r="AO234" s="3">
        <f t="shared" si="103"/>
        <v>1</v>
      </c>
      <c r="AP234" s="3">
        <f t="shared" si="104"/>
        <v>1</v>
      </c>
      <c r="AQ234" s="3">
        <f t="shared" si="105"/>
        <v>3</v>
      </c>
      <c r="AR234" s="3">
        <f t="shared" si="106"/>
        <v>1</v>
      </c>
      <c r="AS234" s="3">
        <f t="shared" si="107"/>
        <v>1</v>
      </c>
      <c r="AT234" s="3">
        <f t="shared" si="108"/>
        <v>2</v>
      </c>
      <c r="AU234" s="3">
        <f t="shared" si="109"/>
        <v>17</v>
      </c>
      <c r="AV234" s="3">
        <f t="shared" si="110"/>
        <v>4</v>
      </c>
      <c r="AW234" s="3">
        <f t="shared" si="111"/>
        <v>22</v>
      </c>
      <c r="AX234" s="3">
        <f t="shared" si="112"/>
        <v>6</v>
      </c>
      <c r="AY234" s="3">
        <f t="shared" si="113"/>
        <v>1</v>
      </c>
      <c r="AZ234" s="3">
        <f>IF(ISERROR(LEN(VLOOKUP(A234,Seqs!A:E,2,FALSE))-AL234),"-",LEN(VLOOKUP(A234,Seqs!A:E,2,FALSE))-AL234)</f>
        <v>40</v>
      </c>
      <c r="BA234" s="35">
        <f t="shared" si="114"/>
        <v>31</v>
      </c>
      <c r="BB234" s="3">
        <f t="shared" si="115"/>
        <v>20</v>
      </c>
      <c r="BC234" s="3">
        <f t="shared" si="116"/>
        <v>31</v>
      </c>
      <c r="BD234" s="3">
        <f t="shared" si="117"/>
        <v>74</v>
      </c>
    </row>
    <row r="235" spans="1:57" s="3" customFormat="1" x14ac:dyDescent="0.2">
      <c r="A235" s="3" t="s">
        <v>321</v>
      </c>
      <c r="B235" s="3" t="str">
        <f>LOWER(VLOOKUP(A235,Xtal_Templ!A:B,2,FALSE))</f>
        <v>ntr1_rat</v>
      </c>
      <c r="C235" s="3">
        <f>VLOOKUP($A235,'NonXtal_SegEnds_BW#'!$A:$Z,3,FALSE)+D235-50</f>
        <v>60</v>
      </c>
      <c r="D235" s="3">
        <v>81</v>
      </c>
      <c r="E235" s="3">
        <f>IF(ISERROR(VLOOKUP($A235,'NonXtal_SegEnds_BW#'!$A:$Z,4,FALSE)+VLOOKUP($A235,A:AL,4,FALSE)-50),"-",(VLOOKUP($A235,'NonXtal_SegEnds_BW#'!$A:$Z,4,FALSE)+VLOOKUP($A235,A:AL,4,FALSE)-50))</f>
        <v>91</v>
      </c>
      <c r="F235" s="3">
        <f>G235-2</f>
        <v>92</v>
      </c>
      <c r="G235" s="3">
        <v>94</v>
      </c>
      <c r="H235" s="3">
        <f t="shared" si="124"/>
        <v>95</v>
      </c>
      <c r="I235" s="3">
        <f t="shared" si="124"/>
        <v>96</v>
      </c>
      <c r="J235" s="3">
        <v>112</v>
      </c>
      <c r="K235" s="3">
        <f>VLOOKUP($A235,'NonXtal_SegEnds_BW#'!$A:$Z,8,FALSE)+VLOOKUP($A235,A:AL,10,FALSE)-50</f>
        <v>130</v>
      </c>
      <c r="L235" s="3">
        <f>M235-1</f>
        <v>133</v>
      </c>
      <c r="M235" s="3">
        <v>134</v>
      </c>
      <c r="N235" s="3">
        <f>M235+2</f>
        <v>136</v>
      </c>
      <c r="O235" s="3">
        <f>N235+1</f>
        <v>137</v>
      </c>
      <c r="P235" s="3">
        <v>166</v>
      </c>
      <c r="Q235" s="3">
        <f>VLOOKUP($A235,'NonXtal_SegEnds_BW#'!$A:$Z,12,FALSE)+VLOOKUP($A235,A:AL,16,FALSE)-50</f>
        <v>172</v>
      </c>
      <c r="R235" s="3">
        <f>IF(ISERROR(VLOOKUP($A235,'NonXtal_SegEnds_BW#'!$A:$Z,13,FALSE)+VLOOKUP($A235,A:AL,19,FALSE)-50),"-",VLOOKUP($A235,'NonXtal_SegEnds_BW#'!$A:$Z,13,FALSE)+VLOOKUP($A235,A:AL,19,FALSE)-50)</f>
        <v>173</v>
      </c>
      <c r="S235" s="3">
        <v>173</v>
      </c>
      <c r="T235" s="3">
        <f>IF(ISERROR(VLOOKUP($A235,'NonXtal_SegEnds_BW#'!$A:$Z,14,FALSE)+VLOOKUP($A235,A:AL,19,FALSE)-50),"-",(VLOOKUP($A235,'NonXtal_SegEnds_BW#'!$A:$Z,14,FALSE)+VLOOKUP($A235,A:AL,19,FALSE)-50))</f>
        <v>180</v>
      </c>
      <c r="U235" s="3">
        <f>IF(ISERROR(VLOOKUP($A235,'NonXtal_SegEnds_BW#'!$A:$Z,15,FALSE)+VLOOKUP($A235,A:AL,22,FALSE)-50),"-",VLOOKUP($A235,'NonXtal_SegEnds_BW#'!$A:$Z,15,FALSE)+VLOOKUP($A235,A:AL,22,FALSE)-50)</f>
        <v>182</v>
      </c>
      <c r="V235" s="3">
        <v>193</v>
      </c>
      <c r="W235" s="3">
        <f>IF(ISERROR(VLOOKUP($A235,'NonXtal_SegEnds_BW#'!$A:$Z,16,FALSE)+VLOOKUP($A235,A:AL,22,FALSE)-50),"-",(VLOOKUP($A235,'NonXtal_SegEnds_BW#'!$A:$Z,16,FALSE)+VLOOKUP($A235,A:AL,22,FALSE)-50))</f>
        <v>207</v>
      </c>
      <c r="X235" s="3">
        <f>IF(ISERROR(VLOOKUP($A235,'NonXtal_SegEnds_BW#'!$A:$Z,17,FALSE)+VLOOKUP($A235,A:AL,25,FALSE)-50),"-",(VLOOKUP($A235,'NonXtal_SegEnds_BW#'!$A:$Z,17,FALSE)+VLOOKUP($A235,A:AL,25,FALSE)-50))</f>
        <v>224</v>
      </c>
      <c r="Y235" s="3">
        <v>224</v>
      </c>
      <c r="Z235" s="3">
        <f t="shared" si="125"/>
        <v>226</v>
      </c>
      <c r="AA235" s="3">
        <f>IF(ISERROR(VLOOKUP($A235,'NonXtal_SegEnds_BW#'!$A:$Z,19,FALSE)+VLOOKUP($A235,A:AL,28,FALSE)-50),"-",(VLOOKUP($A235,'NonXtal_SegEnds_BW#'!$A:$Z,19,FALSE)+VLOOKUP($A235,A:AL,28,FALSE)-50))</f>
        <v>230</v>
      </c>
      <c r="AB235" s="3">
        <v>248</v>
      </c>
      <c r="AC235" s="3">
        <f>IF(ISERROR((VLOOKUP($A235,'NonXtal_SegEnds_BW#'!$A:$Z,20,FALSE)+VLOOKUP($A235,A:AL,28,FALSE)-50)),"-",(VLOOKUP($A235,'NonXtal_SegEnds_BW#'!$A:$Z,20,FALSE)+VLOOKUP($A235,A:AL,28,FALSE)-50))</f>
        <v>274</v>
      </c>
      <c r="AD235" s="3">
        <f>IF(ISERROR(VLOOKUP($A235,'NonXtal_SegEnds_BW#'!$A:$Z,21,FALSE)+VLOOKUP($A235,A:AL,31,FALSE)-50),"-",(VLOOKUP($A235,'NonXtal_SegEnds_BW#'!$A:$Z,21,FALSE)+VLOOKUP($A235,A:AL,31,FALSE)-50))</f>
        <v>292</v>
      </c>
      <c r="AE235" s="3">
        <v>318</v>
      </c>
      <c r="AF235" s="3">
        <f>IF(ISERROR((VLOOKUP($A235,'NonXtal_SegEnds_BW#'!$A:$Z,22,FALSE)+VLOOKUP($A235,A:AL,31,FALSE)-50)),"-",(VLOOKUP($A235,'NonXtal_SegEnds_BW#'!$A:$Z,22,FALSE)+VLOOKUP($A235,A:AL,31,FALSE)-50))</f>
        <v>329</v>
      </c>
      <c r="AG235" s="3">
        <f>IF(ISERROR(VLOOKUP($A235,'NonXtal_SegEnds_BW#'!$A:$Z,23,FALSE)+VLOOKUP($A235,A:AL,34,FALSE)-50),"-",(VLOOKUP($A235,'NonXtal_SegEnds_BW#'!$A:$Z,23,FALSE)+VLOOKUP($A235,A:AL,34,FALSE)-50))</f>
        <v>335</v>
      </c>
      <c r="AH235" s="3">
        <v>361</v>
      </c>
      <c r="AI235" s="3">
        <f>IF(ISERROR((VLOOKUP($A235,'NonXtal_SegEnds_BW#'!$A:$Z,24,FALSE)+VLOOKUP($A235,A:AL,34,FALSE)-50)),"-",(VLOOKUP($A235,'NonXtal_SegEnds_BW#'!$A:$Z,24,FALSE)+VLOOKUP($A235,A:AL,34,FALSE)-50))</f>
        <v>367</v>
      </c>
      <c r="AJ235" s="3">
        <f>IF(ISERROR(VLOOKUP($A235,'NonXtal_SegEnds_BW#'!$A:$Z,25,FALSE)+VLOOKUP($A235,A:AL,37,FALSE)-50),"-",(VLOOKUP($A235,'NonXtal_SegEnds_BW#'!$A:$Z,25,FALSE)+VLOOKUP($A235,A:AL,37,FALSE)-50))</f>
        <v>368</v>
      </c>
      <c r="AK235" s="3">
        <v>371</v>
      </c>
      <c r="AL235" s="3">
        <f>IF(ISERROR((VLOOKUP($A235,'NonXtal_SegEnds_BW#'!$A:$Z,26,FALSE)+VLOOKUP($A235,A:AL,37,FALSE)-50)),"-",(VLOOKUP($A235,'NonXtal_SegEnds_BW#'!$A:$Z,26,FALSE)+VLOOKUP($A235,A:AL,37,FALSE)-50))</f>
        <v>379</v>
      </c>
      <c r="AM235" s="71" t="str">
        <f>VLOOKUP(A235,Classification!A:B,2,FALSE)</f>
        <v>A</v>
      </c>
      <c r="AN235" s="71" t="b">
        <f t="shared" si="102"/>
        <v>1</v>
      </c>
      <c r="AO235" s="3">
        <f t="shared" si="103"/>
        <v>1</v>
      </c>
      <c r="AP235" s="3">
        <f t="shared" si="104"/>
        <v>1</v>
      </c>
      <c r="AQ235" s="3">
        <f t="shared" si="105"/>
        <v>3</v>
      </c>
      <c r="AR235" s="3">
        <f t="shared" si="106"/>
        <v>1</v>
      </c>
      <c r="AS235" s="3">
        <f t="shared" si="107"/>
        <v>1</v>
      </c>
      <c r="AT235" s="3">
        <f t="shared" si="108"/>
        <v>2</v>
      </c>
      <c r="AU235" s="3">
        <f t="shared" si="109"/>
        <v>17</v>
      </c>
      <c r="AV235" s="3">
        <f t="shared" si="110"/>
        <v>4</v>
      </c>
      <c r="AW235" s="3">
        <f t="shared" si="111"/>
        <v>18</v>
      </c>
      <c r="AX235" s="3">
        <f t="shared" si="112"/>
        <v>6</v>
      </c>
      <c r="AY235" s="3">
        <f t="shared" si="113"/>
        <v>1</v>
      </c>
      <c r="AZ235" s="3">
        <f>IF(ISERROR(LEN(VLOOKUP(A235,Seqs!A:E,2,FALSE))-AL235),"-",LEN(VLOOKUP(A235,Seqs!A:E,2,FALSE))-AL235)</f>
        <v>39</v>
      </c>
      <c r="BA235" s="35">
        <f t="shared" si="114"/>
        <v>31</v>
      </c>
      <c r="BB235" s="3">
        <f t="shared" si="115"/>
        <v>20</v>
      </c>
      <c r="BC235" s="3">
        <f t="shared" si="116"/>
        <v>31</v>
      </c>
      <c r="BD235" s="3">
        <f t="shared" si="117"/>
        <v>70</v>
      </c>
    </row>
    <row r="236" spans="1:57" s="3" customFormat="1" x14ac:dyDescent="0.2">
      <c r="A236" s="3" t="s">
        <v>512</v>
      </c>
      <c r="B236" s="3" t="str">
        <f>LOWER(VLOOKUP(A236,Xtal_Templ!A:B,2,FALSE))</f>
        <v>ntr1_rat</v>
      </c>
      <c r="C236" s="3">
        <f>VLOOKUP($A236,'NonXtal_SegEnds_BW#'!$A:$Z,3,FALSE)+D236-50</f>
        <v>57</v>
      </c>
      <c r="D236" s="3">
        <v>78</v>
      </c>
      <c r="E236" s="3">
        <f>IF(ISERROR(VLOOKUP($A236,'NonXtal_SegEnds_BW#'!$A:$Z,4,FALSE)+VLOOKUP($A236,A:AL,4,FALSE)-50),"-",(VLOOKUP($A236,'NonXtal_SegEnds_BW#'!$A:$Z,4,FALSE)+VLOOKUP($A236,A:AL,4,FALSE)-50))</f>
        <v>88</v>
      </c>
      <c r="F236" s="3">
        <f>G236-2</f>
        <v>89</v>
      </c>
      <c r="G236" s="3">
        <v>91</v>
      </c>
      <c r="H236" s="3">
        <f t="shared" si="124"/>
        <v>92</v>
      </c>
      <c r="I236" s="3">
        <f t="shared" si="124"/>
        <v>93</v>
      </c>
      <c r="J236" s="3">
        <v>106</v>
      </c>
      <c r="K236" s="3">
        <f>VLOOKUP($A236,'NonXtal_SegEnds_BW#'!$A:$Z,8,FALSE)+VLOOKUP($A236,A:AL,10,FALSE)-50</f>
        <v>122</v>
      </c>
      <c r="L236" s="3">
        <f>M236-1</f>
        <v>124</v>
      </c>
      <c r="M236" s="3">
        <v>125</v>
      </c>
      <c r="N236" s="3">
        <f>M236+2</f>
        <v>127</v>
      </c>
      <c r="O236" s="3">
        <f>N236+1</f>
        <v>128</v>
      </c>
      <c r="P236" s="3">
        <v>159</v>
      </c>
      <c r="Q236" s="3">
        <f>VLOOKUP($A236,'NonXtal_SegEnds_BW#'!$A:$Z,12,FALSE)+VLOOKUP($A236,A:AL,16,FALSE)-50</f>
        <v>165</v>
      </c>
      <c r="R236" s="3">
        <f>IF(ISERROR(VLOOKUP($A236,'NonXtal_SegEnds_BW#'!$A:$Z,13,FALSE)+VLOOKUP($A236,A:AL,19,FALSE)-50),"-",VLOOKUP($A236,'NonXtal_SegEnds_BW#'!$A:$Z,13,FALSE)+VLOOKUP($A236,A:AL,19,FALSE)-50)</f>
        <v>166</v>
      </c>
      <c r="S236" s="3">
        <v>166</v>
      </c>
      <c r="T236" s="3">
        <f>IF(ISERROR(VLOOKUP($A236,'NonXtal_SegEnds_BW#'!$A:$Z,14,FALSE)+VLOOKUP($A236,A:AL,19,FALSE)-50),"-",(VLOOKUP($A236,'NonXtal_SegEnds_BW#'!$A:$Z,14,FALSE)+VLOOKUP($A236,A:AL,19,FALSE)-50))</f>
        <v>173</v>
      </c>
      <c r="U236" s="3">
        <f>IF(ISERROR(VLOOKUP($A236,'NonXtal_SegEnds_BW#'!$A:$Z,15,FALSE)+VLOOKUP($A236,A:AL,22,FALSE)-50),"-",VLOOKUP($A236,'NonXtal_SegEnds_BW#'!$A:$Z,15,FALSE)+VLOOKUP($A236,A:AL,22,FALSE)-50)</f>
        <v>175</v>
      </c>
      <c r="V236" s="3">
        <v>186</v>
      </c>
      <c r="W236" s="3">
        <f>IF(ISERROR(VLOOKUP($A236,'NonXtal_SegEnds_BW#'!$A:$Z,16,FALSE)+VLOOKUP($A236,A:AL,22,FALSE)-50),"-",(VLOOKUP($A236,'NonXtal_SegEnds_BW#'!$A:$Z,16,FALSE)+VLOOKUP($A236,A:AL,22,FALSE)-50))</f>
        <v>200</v>
      </c>
      <c r="X236" s="3">
        <f>IF(ISERROR(VLOOKUP($A236,'NonXtal_SegEnds_BW#'!$A:$Z,17,FALSE)+VLOOKUP($A236,A:AL,25,FALSE)-50),"-",(VLOOKUP($A236,'NonXtal_SegEnds_BW#'!$A:$Z,17,FALSE)+VLOOKUP($A236,A:AL,25,FALSE)-50))</f>
        <v>219</v>
      </c>
      <c r="Y236" s="3">
        <v>219</v>
      </c>
      <c r="Z236" s="3">
        <f t="shared" si="125"/>
        <v>221</v>
      </c>
      <c r="AA236" s="3">
        <f>IF(ISERROR(VLOOKUP($A236,'NonXtal_SegEnds_BW#'!$A:$Z,19,FALSE)+VLOOKUP($A236,A:AL,28,FALSE)-50),"-",(VLOOKUP($A236,'NonXtal_SegEnds_BW#'!$A:$Z,19,FALSE)+VLOOKUP($A236,A:AL,28,FALSE)-50))</f>
        <v>225</v>
      </c>
      <c r="AB236" s="3">
        <v>243</v>
      </c>
      <c r="AC236" s="3">
        <f>IF(ISERROR((VLOOKUP($A236,'NonXtal_SegEnds_BW#'!$A:$Z,20,FALSE)+VLOOKUP($A236,A:AL,28,FALSE)-50)),"-",(VLOOKUP($A236,'NonXtal_SegEnds_BW#'!$A:$Z,20,FALSE)+VLOOKUP($A236,A:AL,28,FALSE)-50))</f>
        <v>269</v>
      </c>
      <c r="AD236" s="3">
        <f>IF(ISERROR(VLOOKUP($A236,'NonXtal_SegEnds_BW#'!$A:$Z,21,FALSE)+VLOOKUP($A236,A:AL,31,FALSE)-50),"-",(VLOOKUP($A236,'NonXtal_SegEnds_BW#'!$A:$Z,21,FALSE)+VLOOKUP($A236,A:AL,31,FALSE)-50))</f>
        <v>286</v>
      </c>
      <c r="AE236" s="3">
        <v>312</v>
      </c>
      <c r="AF236" s="3">
        <f>IF(ISERROR((VLOOKUP($A236,'NonXtal_SegEnds_BW#'!$A:$Z,22,FALSE)+VLOOKUP($A236,A:AL,31,FALSE)-50)),"-",(VLOOKUP($A236,'NonXtal_SegEnds_BW#'!$A:$Z,22,FALSE)+VLOOKUP($A236,A:AL,31,FALSE)-50))</f>
        <v>323</v>
      </c>
      <c r="AG236" s="3">
        <f>IF(ISERROR(VLOOKUP($A236,'NonXtal_SegEnds_BW#'!$A:$Z,23,FALSE)+VLOOKUP($A236,A:AL,34,FALSE)-50),"-",(VLOOKUP($A236,'NonXtal_SegEnds_BW#'!$A:$Z,23,FALSE)+VLOOKUP($A236,A:AL,34,FALSE)-50))</f>
        <v>331</v>
      </c>
      <c r="AH236" s="3">
        <v>353</v>
      </c>
      <c r="AI236" s="3">
        <f>IF(ISERROR((VLOOKUP($A236,'NonXtal_SegEnds_BW#'!$A:$Z,24,FALSE)+VLOOKUP($A236,A:AL,34,FALSE)-50)),"-",(VLOOKUP($A236,'NonXtal_SegEnds_BW#'!$A:$Z,24,FALSE)+VLOOKUP($A236,A:AL,34,FALSE)-50))</f>
        <v>359</v>
      </c>
      <c r="AJ236" s="3">
        <f>IF(ISERROR(VLOOKUP($A236,'NonXtal_SegEnds_BW#'!$A:$Z,25,FALSE)+VLOOKUP($A236,A:AL,37,FALSE)-50),"-",(VLOOKUP($A236,'NonXtal_SegEnds_BW#'!$A:$Z,25,FALSE)+VLOOKUP($A236,A:AL,37,FALSE)-50))</f>
        <v>360</v>
      </c>
      <c r="AK236" s="3">
        <v>363</v>
      </c>
      <c r="AL236" s="3">
        <f>IF(ISERROR((VLOOKUP($A236,'NonXtal_SegEnds_BW#'!$A:$Z,26,FALSE)+VLOOKUP($A236,A:AL,37,FALSE)-50)),"-",(VLOOKUP($A236,'NonXtal_SegEnds_BW#'!$A:$Z,26,FALSE)+VLOOKUP($A236,A:AL,37,FALSE)-50))</f>
        <v>371</v>
      </c>
      <c r="AM236" s="71" t="str">
        <f>VLOOKUP(A236,Classification!A:B,2,FALSE)</f>
        <v>A</v>
      </c>
      <c r="AN236" s="71" t="b">
        <f t="shared" si="102"/>
        <v>1</v>
      </c>
      <c r="AO236" s="3">
        <f t="shared" si="103"/>
        <v>1</v>
      </c>
      <c r="AP236" s="3">
        <f t="shared" si="104"/>
        <v>1</v>
      </c>
      <c r="AQ236" s="3">
        <f t="shared" si="105"/>
        <v>2</v>
      </c>
      <c r="AR236" s="3">
        <f t="shared" si="106"/>
        <v>1</v>
      </c>
      <c r="AS236" s="3">
        <f t="shared" si="107"/>
        <v>1</v>
      </c>
      <c r="AT236" s="3">
        <f t="shared" si="108"/>
        <v>2</v>
      </c>
      <c r="AU236" s="3">
        <f t="shared" si="109"/>
        <v>19</v>
      </c>
      <c r="AV236" s="3">
        <f t="shared" si="110"/>
        <v>4</v>
      </c>
      <c r="AW236" s="3">
        <f t="shared" si="111"/>
        <v>17</v>
      </c>
      <c r="AX236" s="3">
        <f t="shared" si="112"/>
        <v>8</v>
      </c>
      <c r="AY236" s="3">
        <f t="shared" si="113"/>
        <v>1</v>
      </c>
      <c r="AZ236" s="3">
        <f>IF(ISERROR(LEN(VLOOKUP(A236,Seqs!A:E,2,FALSE))-AL236),"-",LEN(VLOOKUP(A236,Seqs!A:E,2,FALSE))-AL236)</f>
        <v>55</v>
      </c>
      <c r="BA236" s="35">
        <f t="shared" si="114"/>
        <v>28</v>
      </c>
      <c r="BB236" s="3">
        <f t="shared" si="115"/>
        <v>20</v>
      </c>
      <c r="BC236" s="3">
        <f t="shared" si="116"/>
        <v>28</v>
      </c>
      <c r="BD236" s="3">
        <f t="shared" si="117"/>
        <v>69</v>
      </c>
    </row>
    <row r="237" spans="1:57" s="3" customFormat="1" x14ac:dyDescent="0.2">
      <c r="A237" s="3" t="s">
        <v>450</v>
      </c>
      <c r="B237" s="3" t="str">
        <f>LOWER(VLOOKUP(A237,Xtal_Templ!A:B,2,FALSE))</f>
        <v>ntr1_rat</v>
      </c>
      <c r="C237" s="3">
        <f>VLOOKUP($A237,'NonXtal_SegEnds_BW#'!$A:$Z,3,FALSE)+D237-50</f>
        <v>27</v>
      </c>
      <c r="D237" s="3">
        <v>48</v>
      </c>
      <c r="E237" s="3">
        <f>IF(ISERROR(VLOOKUP($A237,'NonXtal_SegEnds_BW#'!$A:$Z,4,FALSE)+VLOOKUP($A237,A:AL,4,FALSE)-50),"-",(VLOOKUP($A237,'NonXtal_SegEnds_BW#'!$A:$Z,4,FALSE)+VLOOKUP($A237,A:AL,4,FALSE)-50))</f>
        <v>58</v>
      </c>
      <c r="F237" s="3" t="str">
        <f>IF(ISERROR(VLOOKUP($A237,'NonXtal_SegEnds_BW#'!$A:$Z,5,FALSE)+VLOOKUP($A237,A:AL,7,FALSE)-50),"-",(VLOOKUP($A237,'NonXtal_SegEnds_BW#'!$A:$Z,5,FALSE)+VLOOKUP($A237,A:AL,7,FALSE)-50))</f>
        <v>-</v>
      </c>
      <c r="G237" s="3" t="s">
        <v>129</v>
      </c>
      <c r="H237" s="3" t="str">
        <f>IF(ISERROR(VLOOKUP($A237,'NonXtal_SegEnds_BW#'!$A:$Z,6,FALSE)+VLOOKUP($A237,A:AL,7,FALSE)-50),"-",(VLOOKUP($A237,'NonXtal_SegEnds_BW#'!$A:$Z,6,FALSE)+VLOOKUP($A237,A:AL,7,FALSE)-50))</f>
        <v>-</v>
      </c>
      <c r="I237" s="3">
        <f>VLOOKUP($A237,'NonXtal_SegEnds_BW#'!$A:$Z,7,FALSE)+J237-50</f>
        <v>66</v>
      </c>
      <c r="J237" s="3">
        <v>79</v>
      </c>
      <c r="K237" s="3">
        <f>VLOOKUP($A237,'NonXtal_SegEnds_BW#'!$A:$Z,8,FALSE)+VLOOKUP($A237,A:AL,10,FALSE)-50</f>
        <v>97</v>
      </c>
      <c r="L237" s="3" t="str">
        <f>IF(ISERROR(VLOOKUP($A237,'NonXtal_SegEnds_BW#'!$A:$Z,9,FALSE)+VLOOKUP($A237,A:AL,13,FALSE)-50),"-",(VLOOKUP($A237,'NonXtal_SegEnds_BW#'!$A:$Z,9,FALSE)+VLOOKUP($A237,A:AL,13,FALSE)-50))</f>
        <v>-</v>
      </c>
      <c r="M237" s="3" t="s">
        <v>129</v>
      </c>
      <c r="N237" s="3" t="str">
        <f>IF(ISERROR(VLOOKUP($A237,'NonXtal_SegEnds_BW#'!$A:$Z,10,FALSE)+VLOOKUP($A237,A:AL,13,FALSE)-50),"-",(VLOOKUP($A237,'NonXtal_SegEnds_BW#'!$A:$Z,10,FALSE)+VLOOKUP($A237,A:AL,13,FALSE)-50))</f>
        <v>-</v>
      </c>
      <c r="O237" s="3">
        <f>VLOOKUP($A237,'NonXtal_SegEnds_BW#'!$A:$Z,11,FALSE)+VLOOKUP($A237,A:AL,16,FALSE)-50</f>
        <v>101</v>
      </c>
      <c r="P237" s="3">
        <v>133</v>
      </c>
      <c r="Q237" s="3">
        <f>VLOOKUP($A237,'NonXtal_SegEnds_BW#'!$A:$Z,12,FALSE)+VLOOKUP($A237,A:AL,16,FALSE)-50</f>
        <v>139</v>
      </c>
      <c r="R237" s="3">
        <f>IF(ISERROR(VLOOKUP($A237,'NonXtal_SegEnds_BW#'!$A:$Z,13,FALSE)+VLOOKUP($A237,A:AL,19,FALSE)-50),"-",VLOOKUP($A237,'NonXtal_SegEnds_BW#'!$A:$Z,13,FALSE)+VLOOKUP($A237,A:AL,19,FALSE)-50)</f>
        <v>140</v>
      </c>
      <c r="S237" s="3">
        <v>140</v>
      </c>
      <c r="T237" s="3">
        <f>IF(ISERROR(VLOOKUP($A237,'NonXtal_SegEnds_BW#'!$A:$Z,14,FALSE)+VLOOKUP($A237,A:AL,19,FALSE)-50),"-",(VLOOKUP($A237,'NonXtal_SegEnds_BW#'!$A:$Z,14,FALSE)+VLOOKUP($A237,A:AL,19,FALSE)-50))</f>
        <v>147</v>
      </c>
      <c r="U237" s="3">
        <f>IF(ISERROR(VLOOKUP($A237,'NonXtal_SegEnds_BW#'!$A:$Z,15,FALSE)+VLOOKUP($A237,A:AL,22,FALSE)-50),"-",VLOOKUP($A237,'NonXtal_SegEnds_BW#'!$A:$Z,15,FALSE)+VLOOKUP($A237,A:AL,22,FALSE)-50)</f>
        <v>149</v>
      </c>
      <c r="V237" s="3">
        <v>160</v>
      </c>
      <c r="W237" s="3">
        <f>IF(ISERROR(VLOOKUP($A237,'NonXtal_SegEnds_BW#'!$A:$Z,16,FALSE)+VLOOKUP($A237,A:AL,22,FALSE)-50),"-",(VLOOKUP($A237,'NonXtal_SegEnds_BW#'!$A:$Z,16,FALSE)+VLOOKUP($A237,A:AL,22,FALSE)-50))</f>
        <v>174</v>
      </c>
      <c r="X237" s="3">
        <f>IF(ISERROR(VLOOKUP($A237,'NonXtal_SegEnds_BW#'!$A:$Z,17,FALSE)+VLOOKUP($A237,A:AL,25,FALSE)-50),"-",(VLOOKUP($A237,'NonXtal_SegEnds_BW#'!$A:$Z,17,FALSE)+VLOOKUP($A237,A:AL,25,FALSE)-50))</f>
        <v>210</v>
      </c>
      <c r="Y237" s="3">
        <v>210</v>
      </c>
      <c r="Z237" s="3">
        <f t="shared" si="125"/>
        <v>212</v>
      </c>
      <c r="AA237" s="3">
        <f>IF(ISERROR(VLOOKUP($A237,'NonXtal_SegEnds_BW#'!$A:$Z,19,FALSE)+VLOOKUP($A237,A:AL,28,FALSE)-50),"-",(VLOOKUP($A237,'NonXtal_SegEnds_BW#'!$A:$Z,19,FALSE)+VLOOKUP($A237,A:AL,28,FALSE)-50))</f>
        <v>216</v>
      </c>
      <c r="AB237" s="3">
        <v>231</v>
      </c>
      <c r="AC237" s="3">
        <f>IF(ISERROR((VLOOKUP($A237,'NonXtal_SegEnds_BW#'!$A:$Z,20,FALSE)+VLOOKUP($A237,A:AL,28,FALSE)-50)),"-",(VLOOKUP($A237,'NonXtal_SegEnds_BW#'!$A:$Z,20,FALSE)+VLOOKUP($A237,A:AL,28,FALSE)-50))</f>
        <v>257</v>
      </c>
      <c r="AD237" s="3">
        <f>IF(ISERROR(VLOOKUP($A237,'NonXtal_SegEnds_BW#'!$A:$Z,21,FALSE)+VLOOKUP($A237,A:AL,31,FALSE)-50),"-",(VLOOKUP($A237,'NonXtal_SegEnds_BW#'!$A:$Z,21,FALSE)+VLOOKUP($A237,A:AL,31,FALSE)-50))</f>
        <v>272</v>
      </c>
      <c r="AE237" s="3">
        <v>298</v>
      </c>
      <c r="AF237" s="3">
        <f>IF(ISERROR((VLOOKUP($A237,'NonXtal_SegEnds_BW#'!$A:$Z,22,FALSE)+VLOOKUP($A237,A:AL,31,FALSE)-50)),"-",(VLOOKUP($A237,'NonXtal_SegEnds_BW#'!$A:$Z,22,FALSE)+VLOOKUP($A237,A:AL,31,FALSE)-50))</f>
        <v>309</v>
      </c>
      <c r="AG237" s="3">
        <f>IF(ISERROR(VLOOKUP($A237,'NonXtal_SegEnds_BW#'!$A:$Z,23,FALSE)+VLOOKUP($A237,A:AL,34,FALSE)-50),"-",(VLOOKUP($A237,'NonXtal_SegEnds_BW#'!$A:$Z,23,FALSE)+VLOOKUP($A237,A:AL,34,FALSE)-50))</f>
        <v>315</v>
      </c>
      <c r="AH237" s="3">
        <v>341</v>
      </c>
      <c r="AI237" s="3">
        <f>IF(ISERROR((VLOOKUP($A237,'NonXtal_SegEnds_BW#'!$A:$Z,24,FALSE)+VLOOKUP($A237,A:AL,34,FALSE)-50)),"-",(VLOOKUP($A237,'NonXtal_SegEnds_BW#'!$A:$Z,24,FALSE)+VLOOKUP($A237,A:AL,34,FALSE)-50))</f>
        <v>347</v>
      </c>
      <c r="AJ237" s="3">
        <f>IF(ISERROR(VLOOKUP($A237,'NonXtal_SegEnds_BW#'!$A:$Z,25,FALSE)+VLOOKUP($A237,A:AL,37,FALSE)-50),"-",(VLOOKUP($A237,'NonXtal_SegEnds_BW#'!$A:$Z,25,FALSE)+VLOOKUP($A237,A:AL,37,FALSE)-50))</f>
        <v>348</v>
      </c>
      <c r="AK237" s="3">
        <v>351</v>
      </c>
      <c r="AL237" s="3">
        <f>IF(ISERROR((VLOOKUP($A237,'NonXtal_SegEnds_BW#'!$A:$Z,26,FALSE)+VLOOKUP($A237,A:AL,37,FALSE)-50)),"-",(VLOOKUP($A237,'NonXtal_SegEnds_BW#'!$A:$Z,26,FALSE)+VLOOKUP($A237,A:AL,37,FALSE)-50))</f>
        <v>359</v>
      </c>
      <c r="AM237" s="71" t="str">
        <f>VLOOKUP(A237,Classification!A:B,2,FALSE)</f>
        <v>A</v>
      </c>
      <c r="AN237" s="71" t="b">
        <f t="shared" si="102"/>
        <v>1</v>
      </c>
      <c r="AO237" s="3" t="str">
        <f t="shared" si="103"/>
        <v>-</v>
      </c>
      <c r="AP237" s="3" t="str">
        <f t="shared" si="104"/>
        <v>-</v>
      </c>
      <c r="AQ237" s="3" t="str">
        <f t="shared" si="105"/>
        <v>-</v>
      </c>
      <c r="AR237" s="3" t="str">
        <f t="shared" si="106"/>
        <v>-</v>
      </c>
      <c r="AS237" s="3">
        <f t="shared" si="107"/>
        <v>1</v>
      </c>
      <c r="AT237" s="3">
        <f t="shared" si="108"/>
        <v>2</v>
      </c>
      <c r="AU237" s="3">
        <f t="shared" si="109"/>
        <v>36</v>
      </c>
      <c r="AV237" s="3">
        <f t="shared" si="110"/>
        <v>4</v>
      </c>
      <c r="AW237" s="3">
        <f t="shared" si="111"/>
        <v>15</v>
      </c>
      <c r="AX237" s="3">
        <f t="shared" si="112"/>
        <v>6</v>
      </c>
      <c r="AY237" s="3">
        <f t="shared" si="113"/>
        <v>1</v>
      </c>
      <c r="AZ237" s="3">
        <f>IF(ISERROR(LEN(VLOOKUP(A237,Seqs!A:E,2,FALSE))-AL237),"-",LEN(VLOOKUP(A237,Seqs!A:E,2,FALSE))-AL237)</f>
        <v>94</v>
      </c>
      <c r="BA237" s="35">
        <f t="shared" si="114"/>
        <v>31</v>
      </c>
      <c r="BB237" s="3">
        <f t="shared" si="115"/>
        <v>20</v>
      </c>
      <c r="BC237" s="3">
        <f t="shared" si="116"/>
        <v>31</v>
      </c>
      <c r="BD237" s="3">
        <f t="shared" si="117"/>
        <v>67</v>
      </c>
    </row>
    <row r="238" spans="1:57" s="3" customFormat="1" x14ac:dyDescent="0.2">
      <c r="A238" s="3" t="s">
        <v>513</v>
      </c>
      <c r="B238" s="3" t="str">
        <f>LOWER(VLOOKUP(A238,Xtal_Templ!A:B,2,FALSE))</f>
        <v>ntr1_rat</v>
      </c>
      <c r="C238" s="3">
        <f>VLOOKUP($A238,'NonXtal_SegEnds_BW#'!$A:$Z,3,FALSE)+D238-50</f>
        <v>42</v>
      </c>
      <c r="D238" s="3">
        <v>63</v>
      </c>
      <c r="E238" s="3">
        <f>IF(ISERROR(VLOOKUP($A238,'NonXtal_SegEnds_BW#'!$A:$Z,4,FALSE)+VLOOKUP($A238,A:AL,4,FALSE)-50),"-",(VLOOKUP($A238,'NonXtal_SegEnds_BW#'!$A:$Z,4,FALSE)+VLOOKUP($A238,A:AL,4,FALSE)-50))</f>
        <v>73</v>
      </c>
      <c r="F238" s="3">
        <f>G238-2</f>
        <v>74</v>
      </c>
      <c r="G238" s="3">
        <v>76</v>
      </c>
      <c r="H238" s="3">
        <f>G238+1</f>
        <v>77</v>
      </c>
      <c r="I238" s="3">
        <f>H238+1</f>
        <v>78</v>
      </c>
      <c r="J238" s="3">
        <v>91</v>
      </c>
      <c r="K238" s="3">
        <f>VLOOKUP($A238,'NonXtal_SegEnds_BW#'!$A:$Z,8,FALSE)+VLOOKUP($A238,A:AL,10,FALSE)-50</f>
        <v>107</v>
      </c>
      <c r="L238" s="3">
        <f>M238-1</f>
        <v>109</v>
      </c>
      <c r="M238" s="3">
        <v>110</v>
      </c>
      <c r="N238" s="3">
        <f>M238+2</f>
        <v>112</v>
      </c>
      <c r="O238" s="3">
        <f>N238+1</f>
        <v>113</v>
      </c>
      <c r="P238" s="3">
        <v>144</v>
      </c>
      <c r="Q238" s="3">
        <f>VLOOKUP($A238,'NonXtal_SegEnds_BW#'!$A:$Z,12,FALSE)+VLOOKUP($A238,A:AL,16,FALSE)-50</f>
        <v>150</v>
      </c>
      <c r="R238" s="3">
        <f>IF(ISERROR(VLOOKUP($A238,'NonXtal_SegEnds_BW#'!$A:$Z,13,FALSE)+VLOOKUP($A238,A:AL,19,FALSE)-50),"-",VLOOKUP($A238,'NonXtal_SegEnds_BW#'!$A:$Z,13,FALSE)+VLOOKUP($A238,A:AL,19,FALSE)-50)</f>
        <v>151</v>
      </c>
      <c r="S238" s="3">
        <v>151</v>
      </c>
      <c r="T238" s="3">
        <f>IF(ISERROR(VLOOKUP($A238,'NonXtal_SegEnds_BW#'!$A:$Z,14,FALSE)+VLOOKUP($A238,A:AL,19,FALSE)-50),"-",(VLOOKUP($A238,'NonXtal_SegEnds_BW#'!$A:$Z,14,FALSE)+VLOOKUP($A238,A:AL,19,FALSE)-50))</f>
        <v>158</v>
      </c>
      <c r="U238" s="3">
        <f>IF(ISERROR(VLOOKUP($A238,'NonXtal_SegEnds_BW#'!$A:$Z,15,FALSE)+VLOOKUP($A238,A:AL,22,FALSE)-50),"-",VLOOKUP($A238,'NonXtal_SegEnds_BW#'!$A:$Z,15,FALSE)+VLOOKUP($A238,A:AL,22,FALSE)-50)</f>
        <v>160</v>
      </c>
      <c r="V238" s="3">
        <v>171</v>
      </c>
      <c r="W238" s="3">
        <f>IF(ISERROR(VLOOKUP($A238,'NonXtal_SegEnds_BW#'!$A:$Z,16,FALSE)+VLOOKUP($A238,A:AL,22,FALSE)-50),"-",(VLOOKUP($A238,'NonXtal_SegEnds_BW#'!$A:$Z,16,FALSE)+VLOOKUP($A238,A:AL,22,FALSE)-50))</f>
        <v>185</v>
      </c>
      <c r="X238" s="3">
        <f>IF(ISERROR(VLOOKUP($A238,'NonXtal_SegEnds_BW#'!$A:$Z,17,FALSE)+VLOOKUP($A238,A:AL,25,FALSE)-50),"-",(VLOOKUP($A238,'NonXtal_SegEnds_BW#'!$A:$Z,17,FALSE)+VLOOKUP($A238,A:AL,25,FALSE)-50))</f>
        <v>204</v>
      </c>
      <c r="Y238" s="3">
        <v>204</v>
      </c>
      <c r="Z238" s="3">
        <f t="shared" si="125"/>
        <v>206</v>
      </c>
      <c r="AA238" s="3">
        <f>IF(ISERROR(VLOOKUP($A238,'NonXtal_SegEnds_BW#'!$A:$Z,19,FALSE)+VLOOKUP($A238,A:AL,28,FALSE)-50),"-",(VLOOKUP($A238,'NonXtal_SegEnds_BW#'!$A:$Z,19,FALSE)+VLOOKUP($A238,A:AL,28,FALSE)-50))</f>
        <v>210</v>
      </c>
      <c r="AB238" s="3">
        <v>228</v>
      </c>
      <c r="AC238" s="3">
        <f>IF(ISERROR((VLOOKUP($A238,'NonXtal_SegEnds_BW#'!$A:$Z,20,FALSE)+VLOOKUP($A238,A:AL,28,FALSE)-50)),"-",(VLOOKUP($A238,'NonXtal_SegEnds_BW#'!$A:$Z,20,FALSE)+VLOOKUP($A238,A:AL,28,FALSE)-50))</f>
        <v>251</v>
      </c>
      <c r="AD238" s="3">
        <f>IF(ISERROR(VLOOKUP($A238,'NonXtal_SegEnds_BW#'!$A:$Z,21,FALSE)+VLOOKUP($A238,A:AL,31,FALSE)-50),"-",(VLOOKUP($A238,'NonXtal_SegEnds_BW#'!$A:$Z,21,FALSE)+VLOOKUP($A238,A:AL,31,FALSE)-50))</f>
        <v>255</v>
      </c>
      <c r="AE238" s="3">
        <v>283</v>
      </c>
      <c r="AF238" s="3">
        <f>IF(ISERROR((VLOOKUP($A238,'NonXtal_SegEnds_BW#'!$A:$Z,22,FALSE)+VLOOKUP($A238,A:AL,31,FALSE)-50)),"-",(VLOOKUP($A238,'NonXtal_SegEnds_BW#'!$A:$Z,22,FALSE)+VLOOKUP($A238,A:AL,31,FALSE)-50))</f>
        <v>294</v>
      </c>
      <c r="AG238" s="3">
        <f>IF(ISERROR(VLOOKUP($A238,'NonXtal_SegEnds_BW#'!$A:$Z,23,FALSE)+VLOOKUP($A238,A:AL,34,FALSE)-50),"-",(VLOOKUP($A238,'NonXtal_SegEnds_BW#'!$A:$Z,23,FALSE)+VLOOKUP($A238,A:AL,34,FALSE)-50))</f>
        <v>302</v>
      </c>
      <c r="AH238" s="3">
        <v>324</v>
      </c>
      <c r="AI238" s="3">
        <f>IF(ISERROR((VLOOKUP($A238,'NonXtal_SegEnds_BW#'!$A:$Z,24,FALSE)+VLOOKUP($A238,A:AL,34,FALSE)-50)),"-",(VLOOKUP($A238,'NonXtal_SegEnds_BW#'!$A:$Z,24,FALSE)+VLOOKUP($A238,A:AL,34,FALSE)-50))</f>
        <v>330</v>
      </c>
      <c r="AJ238" s="3">
        <f>IF(ISERROR(VLOOKUP($A238,'NonXtal_SegEnds_BW#'!$A:$Z,25,FALSE)+VLOOKUP($A238,A:AL,37,FALSE)-50),"-",(VLOOKUP($A238,'NonXtal_SegEnds_BW#'!$A:$Z,25,FALSE)+VLOOKUP($A238,A:AL,37,FALSE)-50))</f>
        <v>331</v>
      </c>
      <c r="AK238" s="3">
        <v>334</v>
      </c>
      <c r="AL238" s="3">
        <f>IF(ISERROR((VLOOKUP($A238,'NonXtal_SegEnds_BW#'!$A:$Z,26,FALSE)+VLOOKUP($A238,A:AL,37,FALSE)-50)),"-",(VLOOKUP($A238,'NonXtal_SegEnds_BW#'!$A:$Z,26,FALSE)+VLOOKUP($A238,A:AL,37,FALSE)-50))</f>
        <v>342</v>
      </c>
      <c r="AM238" s="71" t="str">
        <f>VLOOKUP(A238,Classification!A:B,2,FALSE)</f>
        <v>A</v>
      </c>
      <c r="AN238" s="71" t="b">
        <f t="shared" si="102"/>
        <v>1</v>
      </c>
      <c r="AO238" s="3">
        <f t="shared" si="103"/>
        <v>1</v>
      </c>
      <c r="AP238" s="3">
        <f t="shared" si="104"/>
        <v>1</v>
      </c>
      <c r="AQ238" s="3">
        <f t="shared" si="105"/>
        <v>2</v>
      </c>
      <c r="AR238" s="3">
        <f t="shared" si="106"/>
        <v>1</v>
      </c>
      <c r="AS238" s="3">
        <f t="shared" si="107"/>
        <v>1</v>
      </c>
      <c r="AT238" s="3">
        <f t="shared" si="108"/>
        <v>2</v>
      </c>
      <c r="AU238" s="3">
        <f t="shared" si="109"/>
        <v>19</v>
      </c>
      <c r="AV238" s="3">
        <f t="shared" si="110"/>
        <v>4</v>
      </c>
      <c r="AW238" s="3">
        <f t="shared" si="111"/>
        <v>4</v>
      </c>
      <c r="AX238" s="3">
        <f t="shared" si="112"/>
        <v>8</v>
      </c>
      <c r="AY238" s="3">
        <f t="shared" si="113"/>
        <v>1</v>
      </c>
      <c r="AZ238" s="3">
        <f>IF(ISERROR(LEN(VLOOKUP(A238,Seqs!A:E,2,FALSE))-AL238),"-",LEN(VLOOKUP(A238,Seqs!A:E,2,FALSE))-AL238)</f>
        <v>73</v>
      </c>
      <c r="BA238" s="35">
        <f t="shared" si="114"/>
        <v>28</v>
      </c>
      <c r="BB238" s="3">
        <f t="shared" si="115"/>
        <v>20</v>
      </c>
      <c r="BC238" s="3">
        <f t="shared" si="116"/>
        <v>28</v>
      </c>
      <c r="BD238" s="3">
        <f t="shared" si="117"/>
        <v>55</v>
      </c>
    </row>
    <row r="239" spans="1:57" s="3" customFormat="1" x14ac:dyDescent="0.2">
      <c r="A239" s="3" t="s">
        <v>403</v>
      </c>
      <c r="B239" s="3" t="str">
        <f>LOWER(VLOOKUP(A239,Xtal_Templ!A:B,2,FALSE))</f>
        <v>ntr1_rat</v>
      </c>
      <c r="C239" s="3">
        <f>VLOOKUP($A239,'NonXtal_SegEnds_BW#'!$A:$Z,3,FALSE)+D239-50</f>
        <v>40</v>
      </c>
      <c r="D239" s="3">
        <v>61</v>
      </c>
      <c r="E239" s="3">
        <f>IF(ISERROR(VLOOKUP($A239,'NonXtal_SegEnds_BW#'!$A:$Z,4,FALSE)+VLOOKUP($A239,A:AL,4,FALSE)-50),"-",(VLOOKUP($A239,'NonXtal_SegEnds_BW#'!$A:$Z,4,FALSE)+VLOOKUP($A239,A:AL,4,FALSE)-50))</f>
        <v>71</v>
      </c>
      <c r="F239" s="3">
        <f>G239-2</f>
        <v>72</v>
      </c>
      <c r="G239" s="3">
        <v>74</v>
      </c>
      <c r="H239" s="3">
        <f>G239+1</f>
        <v>75</v>
      </c>
      <c r="I239" s="3">
        <f>H239+1</f>
        <v>76</v>
      </c>
      <c r="J239" s="3">
        <v>89</v>
      </c>
      <c r="K239" s="3">
        <f>VLOOKUP($A239,'NonXtal_SegEnds_BW#'!$A:$Z,8,FALSE)+VLOOKUP($A239,A:AL,10,FALSE)-50</f>
        <v>106</v>
      </c>
      <c r="L239" s="3">
        <f>M239-1</f>
        <v>108</v>
      </c>
      <c r="M239" s="3">
        <v>109</v>
      </c>
      <c r="N239" s="3">
        <f>M239+2</f>
        <v>111</v>
      </c>
      <c r="O239" s="3">
        <f>N239+1</f>
        <v>112</v>
      </c>
      <c r="P239" s="3">
        <v>141</v>
      </c>
      <c r="Q239" s="3">
        <f>VLOOKUP($A239,'NonXtal_SegEnds_BW#'!$A:$Z,12,FALSE)+VLOOKUP($A239,A:AL,16,FALSE)-50</f>
        <v>147</v>
      </c>
      <c r="R239" s="3">
        <f>IF(ISERROR(VLOOKUP($A239,'NonXtal_SegEnds_BW#'!$A:$Z,13,FALSE)+VLOOKUP($A239,A:AL,19,FALSE)-50),"-",VLOOKUP($A239,'NonXtal_SegEnds_BW#'!$A:$Z,13,FALSE)+VLOOKUP($A239,A:AL,19,FALSE)-50)</f>
        <v>148</v>
      </c>
      <c r="S239" s="3">
        <v>148</v>
      </c>
      <c r="T239" s="3">
        <f>IF(ISERROR(VLOOKUP($A239,'NonXtal_SegEnds_BW#'!$A:$Z,14,FALSE)+VLOOKUP($A239,A:AL,19,FALSE)-50),"-",(VLOOKUP($A239,'NonXtal_SegEnds_BW#'!$A:$Z,14,FALSE)+VLOOKUP($A239,A:AL,19,FALSE)-50))</f>
        <v>155</v>
      </c>
      <c r="U239" s="3">
        <f>IF(ISERROR(VLOOKUP($A239,'NonXtal_SegEnds_BW#'!$A:$Z,15,FALSE)+VLOOKUP($A239,A:AL,22,FALSE)-50),"-",VLOOKUP($A239,'NonXtal_SegEnds_BW#'!$A:$Z,15,FALSE)+VLOOKUP($A239,A:AL,22,FALSE)-50)</f>
        <v>157</v>
      </c>
      <c r="V239" s="3">
        <v>168</v>
      </c>
      <c r="W239" s="3">
        <f>IF(ISERROR(VLOOKUP($A239,'NonXtal_SegEnds_BW#'!$A:$Z,16,FALSE)+VLOOKUP($A239,A:AL,22,FALSE)-50),"-",(VLOOKUP($A239,'NonXtal_SegEnds_BW#'!$A:$Z,16,FALSE)+VLOOKUP($A239,A:AL,22,FALSE)-50))</f>
        <v>182</v>
      </c>
      <c r="X239" s="3">
        <f>IF(ISERROR(VLOOKUP($A239,'NonXtal_SegEnds_BW#'!$A:$Z,17,FALSE)+VLOOKUP($A239,A:AL,25,FALSE)-50),"-",(VLOOKUP($A239,'NonXtal_SegEnds_BW#'!$A:$Z,17,FALSE)+VLOOKUP($A239,A:AL,25,FALSE)-50))</f>
        <v>198</v>
      </c>
      <c r="Y239" s="3">
        <v>198</v>
      </c>
      <c r="Z239" s="3">
        <f t="shared" si="125"/>
        <v>200</v>
      </c>
      <c r="AA239" s="3">
        <f>IF(ISERROR(VLOOKUP($A239,'NonXtal_SegEnds_BW#'!$A:$Z,19,FALSE)+VLOOKUP($A239,A:AL,28,FALSE)-50),"-",(VLOOKUP($A239,'NonXtal_SegEnds_BW#'!$A:$Z,19,FALSE)+VLOOKUP($A239,A:AL,28,FALSE)-50))</f>
        <v>206</v>
      </c>
      <c r="AB239" s="3">
        <v>224</v>
      </c>
      <c r="AC239" s="3">
        <f>IF(ISERROR((VLOOKUP($A239,'NonXtal_SegEnds_BW#'!$A:$Z,20,FALSE)+VLOOKUP($A239,A:AL,28,FALSE)-50)),"-",(VLOOKUP($A239,'NonXtal_SegEnds_BW#'!$A:$Z,20,FALSE)+VLOOKUP($A239,A:AL,28,FALSE)-50))</f>
        <v>246</v>
      </c>
      <c r="AD239" s="3">
        <f>IF(ISERROR(VLOOKUP($A239,'NonXtal_SegEnds_BW#'!$A:$Z,21,FALSE)+VLOOKUP($A239,A:AL,31,FALSE)-50),"-",(VLOOKUP($A239,'NonXtal_SegEnds_BW#'!$A:$Z,21,FALSE)+VLOOKUP($A239,A:AL,31,FALSE)-50))</f>
        <v>252</v>
      </c>
      <c r="AE239" s="3">
        <v>278</v>
      </c>
      <c r="AF239" s="3">
        <f>IF(ISERROR((VLOOKUP($A239,'NonXtal_SegEnds_BW#'!$A:$Z,22,FALSE)+VLOOKUP($A239,A:AL,31,FALSE)-50)),"-",(VLOOKUP($A239,'NonXtal_SegEnds_BW#'!$A:$Z,22,FALSE)+VLOOKUP($A239,A:AL,31,FALSE)-50))</f>
        <v>289</v>
      </c>
      <c r="AG239" s="3">
        <f>IF(ISERROR(VLOOKUP($A239,'NonXtal_SegEnds_BW#'!$A:$Z,23,FALSE)+VLOOKUP($A239,A:AL,34,FALSE)-50),"-",(VLOOKUP($A239,'NonXtal_SegEnds_BW#'!$A:$Z,23,FALSE)+VLOOKUP($A239,A:AL,34,FALSE)-50))</f>
        <v>298</v>
      </c>
      <c r="AH239" s="3">
        <v>320</v>
      </c>
      <c r="AI239" s="3">
        <f>IF(ISERROR((VLOOKUP($A239,'NonXtal_SegEnds_BW#'!$A:$Z,24,FALSE)+VLOOKUP($A239,A:AL,34,FALSE)-50)),"-",(VLOOKUP($A239,'NonXtal_SegEnds_BW#'!$A:$Z,24,FALSE)+VLOOKUP($A239,A:AL,34,FALSE)-50))</f>
        <v>326</v>
      </c>
      <c r="AJ239" s="3">
        <f>IF(ISERROR(VLOOKUP($A239,'NonXtal_SegEnds_BW#'!$A:$Z,25,FALSE)+VLOOKUP($A239,A:AL,37,FALSE)-50),"-",(VLOOKUP($A239,'NonXtal_SegEnds_BW#'!$A:$Z,25,FALSE)+VLOOKUP($A239,A:AL,37,FALSE)-50))</f>
        <v>327</v>
      </c>
      <c r="AK239" s="3">
        <v>330</v>
      </c>
      <c r="AL239" s="3">
        <f>IF(ISERROR((VLOOKUP($A239,'NonXtal_SegEnds_BW#'!$A:$Z,26,FALSE)+VLOOKUP($A239,A:AL,37,FALSE)-50)),"-",(VLOOKUP($A239,'NonXtal_SegEnds_BW#'!$A:$Z,26,FALSE)+VLOOKUP($A239,A:AL,37,FALSE)-50))</f>
        <v>338</v>
      </c>
      <c r="AM239" s="71" t="str">
        <f>VLOOKUP(A239,Classification!A:B,2,FALSE)</f>
        <v>A</v>
      </c>
      <c r="AN239" s="71" t="b">
        <f t="shared" si="102"/>
        <v>1</v>
      </c>
      <c r="AO239" s="3">
        <f t="shared" si="103"/>
        <v>1</v>
      </c>
      <c r="AP239" s="3">
        <f t="shared" si="104"/>
        <v>1</v>
      </c>
      <c r="AQ239" s="3">
        <f t="shared" si="105"/>
        <v>2</v>
      </c>
      <c r="AR239" s="3">
        <f t="shared" si="106"/>
        <v>1</v>
      </c>
      <c r="AS239" s="3">
        <f t="shared" si="107"/>
        <v>1</v>
      </c>
      <c r="AT239" s="3">
        <f t="shared" si="108"/>
        <v>2</v>
      </c>
      <c r="AU239" s="3">
        <f t="shared" si="109"/>
        <v>16</v>
      </c>
      <c r="AV239" s="3">
        <f t="shared" si="110"/>
        <v>6</v>
      </c>
      <c r="AW239" s="3">
        <f t="shared" si="111"/>
        <v>6</v>
      </c>
      <c r="AX239" s="3">
        <f t="shared" si="112"/>
        <v>9</v>
      </c>
      <c r="AY239" s="3">
        <f t="shared" si="113"/>
        <v>1</v>
      </c>
      <c r="AZ239" s="3">
        <f>IF(ISERROR(LEN(VLOOKUP(A239,Seqs!A:E,2,FALSE))-AL239),"-",LEN(VLOOKUP(A239,Seqs!A:E,2,FALSE))-AL239)</f>
        <v>28</v>
      </c>
      <c r="BA239" s="35">
        <f t="shared" si="114"/>
        <v>28</v>
      </c>
      <c r="BB239" s="3">
        <f t="shared" si="115"/>
        <v>20</v>
      </c>
      <c r="BC239" s="3">
        <f t="shared" si="116"/>
        <v>28</v>
      </c>
      <c r="BD239" s="3">
        <f t="shared" si="117"/>
        <v>54</v>
      </c>
      <c r="BE239" s="3">
        <f>AH239-AE239</f>
        <v>42</v>
      </c>
    </row>
    <row r="240" spans="1:57" s="3" customFormat="1" x14ac:dyDescent="0.2">
      <c r="A240" s="3" t="s">
        <v>524</v>
      </c>
      <c r="B240" s="3" t="str">
        <f>LOWER(VLOOKUP(A240,Xtal_Templ!A:B,2,FALSE))</f>
        <v>ntr1_rat</v>
      </c>
      <c r="C240" s="3">
        <f>VLOOKUP($A240,'NonXtal_SegEnds_BW#'!$A:$Z,3,FALSE)+D240-50</f>
        <v>29</v>
      </c>
      <c r="D240" s="3">
        <v>50</v>
      </c>
      <c r="E240" s="3">
        <f>IF(ISERROR(VLOOKUP($A240,'NonXtal_SegEnds_BW#'!$A:$Z,4,FALSE)+VLOOKUP($A240,A:AL,4,FALSE)-50),"-",(VLOOKUP($A240,'NonXtal_SegEnds_BW#'!$A:$Z,4,FALSE)+VLOOKUP($A240,A:AL,4,FALSE)-50))</f>
        <v>60</v>
      </c>
      <c r="F240" s="3" t="str">
        <f>IF(ISERROR(VLOOKUP($A240,'NonXtal_SegEnds_BW#'!$A:$Z,5,FALSE)+VLOOKUP($A240,A:AL,7,FALSE)-50),"-",(VLOOKUP($A240,'NonXtal_SegEnds_BW#'!$A:$Z,5,FALSE)+VLOOKUP($A240,A:AL,7,FALSE)-50))</f>
        <v>-</v>
      </c>
      <c r="G240" s="3" t="s">
        <v>129</v>
      </c>
      <c r="H240" s="3" t="str">
        <f>IF(ISERROR(VLOOKUP($A240,'NonXtal_SegEnds_BW#'!$A:$Z,6,FALSE)+VLOOKUP($A240,A:AL,7,FALSE)-50),"-",(VLOOKUP($A240,'NonXtal_SegEnds_BW#'!$A:$Z,6,FALSE)+VLOOKUP($A240,A:AL,7,FALSE)-50))</f>
        <v>-</v>
      </c>
      <c r="I240" s="3">
        <f>VLOOKUP($A240,'NonXtal_SegEnds_BW#'!$A:$Z,7,FALSE)+J240-50</f>
        <v>66</v>
      </c>
      <c r="J240" s="3">
        <v>79</v>
      </c>
      <c r="K240" s="3">
        <f>VLOOKUP($A240,'NonXtal_SegEnds_BW#'!$A:$Z,8,FALSE)+VLOOKUP($A240,A:AL,10,FALSE)-50</f>
        <v>97</v>
      </c>
      <c r="L240" s="3">
        <f>M240-1</f>
        <v>100</v>
      </c>
      <c r="M240" s="3">
        <v>101</v>
      </c>
      <c r="N240" s="3">
        <f>M240+2</f>
        <v>103</v>
      </c>
      <c r="O240" s="3">
        <f>N240+1</f>
        <v>104</v>
      </c>
      <c r="P240" s="3">
        <v>133</v>
      </c>
      <c r="Q240" s="3">
        <f>VLOOKUP($A240,'NonXtal_SegEnds_BW#'!$A:$Z,12,FALSE)+VLOOKUP($A240,A:AL,16,FALSE)-50</f>
        <v>139</v>
      </c>
      <c r="R240" s="3">
        <f>IF(ISERROR(VLOOKUP($A240,'NonXtal_SegEnds_BW#'!$A:$Z,13,FALSE)+VLOOKUP($A240,A:AL,19,FALSE)-50),"-",VLOOKUP($A240,'NonXtal_SegEnds_BW#'!$A:$Z,13,FALSE)+VLOOKUP($A240,A:AL,19,FALSE)-50)</f>
        <v>140</v>
      </c>
      <c r="S240" s="3">
        <v>140</v>
      </c>
      <c r="T240" s="3">
        <f>IF(ISERROR(VLOOKUP($A240,'NonXtal_SegEnds_BW#'!$A:$Z,14,FALSE)+VLOOKUP($A240,A:AL,19,FALSE)-50),"-",(VLOOKUP($A240,'NonXtal_SegEnds_BW#'!$A:$Z,14,FALSE)+VLOOKUP($A240,A:AL,19,FALSE)-50))</f>
        <v>147</v>
      </c>
      <c r="U240" s="3">
        <f>IF(ISERROR(VLOOKUP($A240,'NonXtal_SegEnds_BW#'!$A:$Z,15,FALSE)+VLOOKUP($A240,A:AL,22,FALSE)-50),"-",VLOOKUP($A240,'NonXtal_SegEnds_BW#'!$A:$Z,15,FALSE)+VLOOKUP($A240,A:AL,22,FALSE)-50)</f>
        <v>149</v>
      </c>
      <c r="V240" s="3">
        <v>160</v>
      </c>
      <c r="W240" s="3">
        <f>IF(ISERROR(VLOOKUP($A240,'NonXtal_SegEnds_BW#'!$A:$Z,16,FALSE)+VLOOKUP($A240,A:AL,22,FALSE)-50),"-",(VLOOKUP($A240,'NonXtal_SegEnds_BW#'!$A:$Z,16,FALSE)+VLOOKUP($A240,A:AL,22,FALSE)-50))</f>
        <v>174</v>
      </c>
      <c r="X240" s="3">
        <f>IF(ISERROR(VLOOKUP($A240,'NonXtal_SegEnds_BW#'!$A:$Z,17,FALSE)+VLOOKUP($A240,A:AL,25,FALSE)-50),"-",(VLOOKUP($A240,'NonXtal_SegEnds_BW#'!$A:$Z,17,FALSE)+VLOOKUP($A240,A:AL,25,FALSE)-50))</f>
        <v>194</v>
      </c>
      <c r="Y240" s="3">
        <v>194</v>
      </c>
      <c r="Z240" s="3">
        <f t="shared" si="125"/>
        <v>196</v>
      </c>
      <c r="AA240" s="3">
        <f>IF(ISERROR(VLOOKUP($A240,'NonXtal_SegEnds_BW#'!$A:$Z,19,FALSE)+VLOOKUP($A240,A:AL,28,FALSE)-50),"-",(VLOOKUP($A240,'NonXtal_SegEnds_BW#'!$A:$Z,19,FALSE)+VLOOKUP($A240,A:AL,28,FALSE)-50))</f>
        <v>200</v>
      </c>
      <c r="AB240" s="3">
        <v>218</v>
      </c>
      <c r="AC240" s="3">
        <f>IF(ISERROR((VLOOKUP($A240,'NonXtal_SegEnds_BW#'!$A:$Z,20,FALSE)+VLOOKUP($A240,A:AL,28,FALSE)-50)),"-",(VLOOKUP($A240,'NonXtal_SegEnds_BW#'!$A:$Z,20,FALSE)+VLOOKUP($A240,A:AL,28,FALSE)-50))</f>
        <v>242</v>
      </c>
      <c r="AD240" s="3">
        <f>IF(ISERROR(VLOOKUP($A240,'NonXtal_SegEnds_BW#'!$A:$Z,21,FALSE)+VLOOKUP($A240,A:AL,31,FALSE)-50),"-",(VLOOKUP($A240,'NonXtal_SegEnds_BW#'!$A:$Z,21,FALSE)+VLOOKUP($A240,A:AL,31,FALSE)-50))</f>
        <v>286</v>
      </c>
      <c r="AE240" s="3">
        <v>312</v>
      </c>
      <c r="AF240" s="3">
        <f>IF(ISERROR((VLOOKUP($A240,'NonXtal_SegEnds_BW#'!$A:$Z,22,FALSE)+VLOOKUP($A240,A:AL,31,FALSE)-50)),"-",(VLOOKUP($A240,'NonXtal_SegEnds_BW#'!$A:$Z,22,FALSE)+VLOOKUP($A240,A:AL,31,FALSE)-50))</f>
        <v>323</v>
      </c>
      <c r="AG240" s="3">
        <f>IF(ISERROR(VLOOKUP($A240,'NonXtal_SegEnds_BW#'!$A:$Z,23,FALSE)+VLOOKUP($A240,A:AL,34,FALSE)-50),"-",(VLOOKUP($A240,'NonXtal_SegEnds_BW#'!$A:$Z,23,FALSE)+VLOOKUP($A240,A:AL,34,FALSE)-50))</f>
        <v>329</v>
      </c>
      <c r="AH240" s="3">
        <v>355</v>
      </c>
      <c r="AI240" s="3">
        <f>IF(ISERROR((VLOOKUP($A240,'NonXtal_SegEnds_BW#'!$A:$Z,24,FALSE)+VLOOKUP($A240,A:AL,34,FALSE)-50)),"-",(VLOOKUP($A240,'NonXtal_SegEnds_BW#'!$A:$Z,24,FALSE)+VLOOKUP($A240,A:AL,34,FALSE)-50))</f>
        <v>361</v>
      </c>
      <c r="AJ240" s="3">
        <f>IF(ISERROR(VLOOKUP($A240,'NonXtal_SegEnds_BW#'!$A:$Z,25,FALSE)+VLOOKUP($A240,A:AL,37,FALSE)-50),"-",(VLOOKUP($A240,'NonXtal_SegEnds_BW#'!$A:$Z,25,FALSE)+VLOOKUP($A240,A:AL,37,FALSE)-50))</f>
        <v>362</v>
      </c>
      <c r="AK240" s="3">
        <v>365</v>
      </c>
      <c r="AL240" s="3">
        <f>IF(ISERROR((VLOOKUP($A240,'NonXtal_SegEnds_BW#'!$A:$Z,26,FALSE)+VLOOKUP($A240,A:AL,37,FALSE)-50)),"-",(VLOOKUP($A240,'NonXtal_SegEnds_BW#'!$A:$Z,26,FALSE)+VLOOKUP($A240,A:AL,37,FALSE)-50))</f>
        <v>373</v>
      </c>
      <c r="AM240" s="71" t="str">
        <f>VLOOKUP(A240,Classification!A:B,2,FALSE)</f>
        <v>A</v>
      </c>
      <c r="AN240" s="71" t="b">
        <f t="shared" si="102"/>
        <v>1</v>
      </c>
      <c r="AO240" s="3" t="str">
        <f t="shared" si="103"/>
        <v>-</v>
      </c>
      <c r="AP240" s="3" t="str">
        <f t="shared" si="104"/>
        <v>-</v>
      </c>
      <c r="AQ240" s="3">
        <f t="shared" si="105"/>
        <v>3</v>
      </c>
      <c r="AR240" s="3">
        <f t="shared" si="106"/>
        <v>1</v>
      </c>
      <c r="AS240" s="3">
        <f t="shared" si="107"/>
        <v>1</v>
      </c>
      <c r="AT240" s="3">
        <f t="shared" si="108"/>
        <v>2</v>
      </c>
      <c r="AU240" s="3">
        <f t="shared" si="109"/>
        <v>20</v>
      </c>
      <c r="AV240" s="3">
        <f t="shared" si="110"/>
        <v>4</v>
      </c>
      <c r="AW240" s="3">
        <f t="shared" si="111"/>
        <v>44</v>
      </c>
      <c r="AX240" s="3">
        <f t="shared" si="112"/>
        <v>6</v>
      </c>
      <c r="AY240" s="3">
        <f t="shared" si="113"/>
        <v>1</v>
      </c>
      <c r="AZ240" s="3">
        <f>IF(ISERROR(LEN(VLOOKUP(A240,Seqs!A:E,2,FALSE))-AL240),"-",LEN(VLOOKUP(A240,Seqs!A:E,2,FALSE))-AL240)</f>
        <v>37</v>
      </c>
      <c r="BA240" s="35">
        <f t="shared" si="114"/>
        <v>29</v>
      </c>
      <c r="BB240" s="3">
        <f t="shared" si="115"/>
        <v>20</v>
      </c>
      <c r="BC240" s="3">
        <f t="shared" si="116"/>
        <v>29</v>
      </c>
      <c r="BD240" s="3">
        <f t="shared" si="117"/>
        <v>94</v>
      </c>
    </row>
    <row r="241" spans="1:57" s="3" customFormat="1" x14ac:dyDescent="0.2">
      <c r="A241" s="3" t="s">
        <v>556</v>
      </c>
      <c r="B241" s="3" t="str">
        <f>LOWER(VLOOKUP(A241,Xtal_Templ!A:B,2,FALSE))</f>
        <v>ntr1_rat</v>
      </c>
      <c r="C241" s="3">
        <f>VLOOKUP($A241,'NonXtal_SegEnds_BW#'!$A:$Z,3,FALSE)+D241-50</f>
        <v>18</v>
      </c>
      <c r="D241" s="3">
        <v>39</v>
      </c>
      <c r="E241" s="3">
        <f>IF(ISERROR(VLOOKUP($A241,'NonXtal_SegEnds_BW#'!$A:$Z,4,FALSE)+VLOOKUP($A241,A:AL,4,FALSE)-50),"-",(VLOOKUP($A241,'NonXtal_SegEnds_BW#'!$A:$Z,4,FALSE)+VLOOKUP($A241,A:AL,4,FALSE)-50))</f>
        <v>49</v>
      </c>
      <c r="F241" s="3">
        <f>G241-2</f>
        <v>56</v>
      </c>
      <c r="G241" s="3">
        <v>58</v>
      </c>
      <c r="H241" s="3">
        <f>G241+1</f>
        <v>59</v>
      </c>
      <c r="I241" s="3">
        <f>H241+1</f>
        <v>60</v>
      </c>
      <c r="J241" s="3">
        <v>78</v>
      </c>
      <c r="K241" s="3">
        <f>VLOOKUP($A241,'NonXtal_SegEnds_BW#'!$A:$Z,8,FALSE)+VLOOKUP($A241,A:AL,10,FALSE)-50</f>
        <v>96</v>
      </c>
      <c r="L241" s="3" t="str">
        <f>IF(ISERROR(VLOOKUP($A241,'NonXtal_SegEnds_BW#'!$A:$Z,9,FALSE)+VLOOKUP($A241,A:AL,13,FALSE)-50),"-",(VLOOKUP($A241,'NonXtal_SegEnds_BW#'!$A:$Z,9,FALSE)+VLOOKUP($A241,A:AL,13,FALSE)-50))</f>
        <v>-</v>
      </c>
      <c r="M241" s="3" t="s">
        <v>129</v>
      </c>
      <c r="N241" s="3" t="str">
        <f>IF(ISERROR(VLOOKUP($A241,'NonXtal_SegEnds_BW#'!$A:$Z,10,FALSE)+VLOOKUP($A241,A:AL,13,FALSE)-50),"-",(VLOOKUP($A241,'NonXtal_SegEnds_BW#'!$A:$Z,10,FALSE)+VLOOKUP($A241,A:AL,13,FALSE)-50))</f>
        <v>-</v>
      </c>
      <c r="O241" s="3">
        <f>VLOOKUP($A241,'NonXtal_SegEnds_BW#'!$A:$Z,11,FALSE)+VLOOKUP($A241,A:AL,16,FALSE)-50</f>
        <v>102</v>
      </c>
      <c r="P241" s="3">
        <v>134</v>
      </c>
      <c r="Q241" s="3">
        <f>VLOOKUP($A241,'NonXtal_SegEnds_BW#'!$A:$Z,12,FALSE)+VLOOKUP($A241,A:AL,16,FALSE)-50</f>
        <v>140</v>
      </c>
      <c r="R241" s="3">
        <f>IF(ISERROR(VLOOKUP($A241,'NonXtal_SegEnds_BW#'!$A:$Z,13,FALSE)+VLOOKUP($A241,A:AL,19,FALSE)-50),"-",VLOOKUP($A241,'NonXtal_SegEnds_BW#'!$A:$Z,13,FALSE)+VLOOKUP($A241,A:AL,19,FALSE)-50)</f>
        <v>141</v>
      </c>
      <c r="S241" s="3">
        <v>141</v>
      </c>
      <c r="T241" s="3">
        <f>IF(ISERROR(VLOOKUP($A241,'NonXtal_SegEnds_BW#'!$A:$Z,14,FALSE)+VLOOKUP($A241,A:AL,19,FALSE)-50),"-",(VLOOKUP($A241,'NonXtal_SegEnds_BW#'!$A:$Z,14,FALSE)+VLOOKUP($A241,A:AL,19,FALSE)-50))</f>
        <v>148</v>
      </c>
      <c r="U241" s="3">
        <f>IF(ISERROR(VLOOKUP($A241,'NonXtal_SegEnds_BW#'!$A:$Z,15,FALSE)+VLOOKUP($A241,A:AL,22,FALSE)-50),"-",VLOOKUP($A241,'NonXtal_SegEnds_BW#'!$A:$Z,15,FALSE)+VLOOKUP($A241,A:AL,22,FALSE)-50)</f>
        <v>150</v>
      </c>
      <c r="V241" s="3">
        <v>161</v>
      </c>
      <c r="W241" s="3">
        <f>IF(ISERROR(VLOOKUP($A241,'NonXtal_SegEnds_BW#'!$A:$Z,16,FALSE)+VLOOKUP($A241,A:AL,22,FALSE)-50),"-",(VLOOKUP($A241,'NonXtal_SegEnds_BW#'!$A:$Z,16,FALSE)+VLOOKUP($A241,A:AL,22,FALSE)-50))</f>
        <v>175</v>
      </c>
      <c r="X241" s="3">
        <f>IF(ISERROR(VLOOKUP($A241,'NonXtal_SegEnds_BW#'!$A:$Z,17,FALSE)+VLOOKUP($A241,A:AL,25,FALSE)-50),"-",(VLOOKUP($A241,'NonXtal_SegEnds_BW#'!$A:$Z,17,FALSE)+VLOOKUP($A241,A:AL,25,FALSE)-50))</f>
        <v>187</v>
      </c>
      <c r="Y241" s="3">
        <v>187</v>
      </c>
      <c r="Z241" s="3">
        <f t="shared" si="125"/>
        <v>189</v>
      </c>
      <c r="AA241" s="3">
        <f>IF(ISERROR(VLOOKUP($A241,'NonXtal_SegEnds_BW#'!$A:$Z,19,FALSE)+VLOOKUP($A241,A:AL,28,FALSE)-50),"-",(VLOOKUP($A241,'NonXtal_SegEnds_BW#'!$A:$Z,19,FALSE)+VLOOKUP($A241,A:AL,28,FALSE)-50))</f>
        <v>194</v>
      </c>
      <c r="AB241" s="3">
        <v>209</v>
      </c>
      <c r="AC241" s="3">
        <f>IF(ISERROR((VLOOKUP($A241,'NonXtal_SegEnds_BW#'!$A:$Z,20,FALSE)+VLOOKUP($A241,A:AL,28,FALSE)-50)),"-",(VLOOKUP($A241,'NonXtal_SegEnds_BW#'!$A:$Z,20,FALSE)+VLOOKUP($A241,A:AL,28,FALSE)-50))</f>
        <v>235</v>
      </c>
      <c r="AD241" s="3">
        <f>IF(ISERROR(VLOOKUP($A241,'NonXtal_SegEnds_BW#'!$A:$Z,21,FALSE)+VLOOKUP($A241,A:AL,31,FALSE)-50),"-",(VLOOKUP($A241,'NonXtal_SegEnds_BW#'!$A:$Z,21,FALSE)+VLOOKUP($A241,A:AL,31,FALSE)-50))</f>
        <v>253</v>
      </c>
      <c r="AE241" s="3">
        <v>279</v>
      </c>
      <c r="AF241" s="3">
        <f>IF(ISERROR((VLOOKUP($A241,'NonXtal_SegEnds_BW#'!$A:$Z,22,FALSE)+VLOOKUP($A241,A:AL,31,FALSE)-50)),"-",(VLOOKUP($A241,'NonXtal_SegEnds_BW#'!$A:$Z,22,FALSE)+VLOOKUP($A241,A:AL,31,FALSE)-50))</f>
        <v>290</v>
      </c>
      <c r="AG241" s="3">
        <f>IF(ISERROR(VLOOKUP($A241,'NonXtal_SegEnds_BW#'!$A:$Z,23,FALSE)+VLOOKUP($A241,A:AL,34,FALSE)-50),"-",(VLOOKUP($A241,'NonXtal_SegEnds_BW#'!$A:$Z,23,FALSE)+VLOOKUP($A241,A:AL,34,FALSE)-50))</f>
        <v>295</v>
      </c>
      <c r="AH241" s="3">
        <v>312</v>
      </c>
      <c r="AI241" s="3">
        <f>IF(ISERROR((VLOOKUP($A241,'NonXtal_SegEnds_BW#'!$A:$Z,24,FALSE)+VLOOKUP($A241,A:AL,34,FALSE)-50)),"-",(VLOOKUP($A241,'NonXtal_SegEnds_BW#'!$A:$Z,24,FALSE)+VLOOKUP($A241,A:AL,34,FALSE)-50))</f>
        <v>318</v>
      </c>
      <c r="AJ241" s="3">
        <f>IF(ISERROR(VLOOKUP($A241,'NonXtal_SegEnds_BW#'!$A:$Z,25,FALSE)+VLOOKUP($A241,A:AL,37,FALSE)-50),"-",(VLOOKUP($A241,'NonXtal_SegEnds_BW#'!$A:$Z,25,FALSE)+VLOOKUP($A241,A:AL,37,FALSE)-50))</f>
        <v>319</v>
      </c>
      <c r="AK241" s="3">
        <v>322</v>
      </c>
      <c r="AL241" s="3">
        <f>IF(ISERROR((VLOOKUP($A241,'NonXtal_SegEnds_BW#'!$A:$Z,26,FALSE)+VLOOKUP($A241,A:AL,37,FALSE)-50)),"-",(VLOOKUP($A241,'NonXtal_SegEnds_BW#'!$A:$Z,26,FALSE)+VLOOKUP($A241,A:AL,37,FALSE)-50))</f>
        <v>330</v>
      </c>
      <c r="AM241" s="71" t="str">
        <f>VLOOKUP(A241,Classification!A:B,2,FALSE)</f>
        <v>A</v>
      </c>
      <c r="AN241" s="71" t="b">
        <f t="shared" si="102"/>
        <v>1</v>
      </c>
      <c r="AO241" s="3">
        <f t="shared" si="103"/>
        <v>7</v>
      </c>
      <c r="AP241" s="3">
        <f t="shared" si="104"/>
        <v>1</v>
      </c>
      <c r="AQ241" s="3" t="str">
        <f t="shared" si="105"/>
        <v>-</v>
      </c>
      <c r="AR241" s="3" t="str">
        <f t="shared" si="106"/>
        <v>-</v>
      </c>
      <c r="AS241" s="3">
        <f t="shared" si="107"/>
        <v>1</v>
      </c>
      <c r="AT241" s="3">
        <f t="shared" si="108"/>
        <v>2</v>
      </c>
      <c r="AU241" s="3">
        <f t="shared" si="109"/>
        <v>12</v>
      </c>
      <c r="AV241" s="3">
        <f t="shared" si="110"/>
        <v>5</v>
      </c>
      <c r="AW241" s="3">
        <f t="shared" si="111"/>
        <v>18</v>
      </c>
      <c r="AX241" s="3">
        <f t="shared" si="112"/>
        <v>5</v>
      </c>
      <c r="AY241" s="3">
        <f t="shared" si="113"/>
        <v>1</v>
      </c>
      <c r="AZ241" s="3">
        <f>IF(ISERROR(LEN(VLOOKUP(A241,Seqs!A:E,2,FALSE))-AL241),"-",LEN(VLOOKUP(A241,Seqs!A:E,2,FALSE))-AL241)</f>
        <v>28</v>
      </c>
      <c r="BA241" s="35">
        <f t="shared" si="114"/>
        <v>39</v>
      </c>
      <c r="BB241" s="3">
        <f t="shared" si="115"/>
        <v>20</v>
      </c>
      <c r="BC241" s="3">
        <f t="shared" si="116"/>
        <v>39</v>
      </c>
      <c r="BD241" s="3">
        <f t="shared" si="117"/>
        <v>70</v>
      </c>
      <c r="BE241" s="3">
        <f>AH241-AE241</f>
        <v>33</v>
      </c>
    </row>
    <row r="242" spans="1:57" s="3" customFormat="1" x14ac:dyDescent="0.2">
      <c r="A242" s="3" t="s">
        <v>418</v>
      </c>
      <c r="B242" s="3" t="str">
        <f>LOWER(VLOOKUP(A242,Xtal_Templ!A:B,2,FALSE))</f>
        <v>ntr1_rat</v>
      </c>
      <c r="C242" s="3">
        <f>VLOOKUP($A242,'NonXtal_SegEnds_BW#'!$A:$Z,3,FALSE)+D242-50</f>
        <v>26</v>
      </c>
      <c r="D242" s="3">
        <v>47</v>
      </c>
      <c r="E242" s="3">
        <f>IF(ISERROR(VLOOKUP($A242,'NonXtal_SegEnds_BW#'!$A:$Z,4,FALSE)+VLOOKUP($A242,A:AL,4,FALSE)-50),"-",(VLOOKUP($A242,'NonXtal_SegEnds_BW#'!$A:$Z,4,FALSE)+VLOOKUP($A242,A:AL,4,FALSE)-50))</f>
        <v>57</v>
      </c>
      <c r="F242" s="3" t="str">
        <f>IF(ISERROR(VLOOKUP($A242,'NonXtal_SegEnds_BW#'!$A:$Z,5,FALSE)+VLOOKUP($A242,A:AL,7,FALSE)-50),"-",(VLOOKUP($A242,'NonXtal_SegEnds_BW#'!$A:$Z,5,FALSE)+VLOOKUP($A242,A:AL,7,FALSE)-50))</f>
        <v>-</v>
      </c>
      <c r="G242" s="3" t="s">
        <v>129</v>
      </c>
      <c r="H242" s="3" t="str">
        <f>IF(ISERROR(VLOOKUP($A242,'NonXtal_SegEnds_BW#'!$A:$Z,6,FALSE)+VLOOKUP($A242,A:AL,7,FALSE)-50),"-",(VLOOKUP($A242,'NonXtal_SegEnds_BW#'!$A:$Z,6,FALSE)+VLOOKUP($A242,A:AL,7,FALSE)-50))</f>
        <v>-</v>
      </c>
      <c r="I242" s="3">
        <f>VLOOKUP($A242,'NonXtal_SegEnds_BW#'!$A:$Z,7,FALSE)+J242-50</f>
        <v>64</v>
      </c>
      <c r="J242" s="3">
        <v>77</v>
      </c>
      <c r="K242" s="3">
        <f>VLOOKUP($A242,'NonXtal_SegEnds_BW#'!$A:$Z,8,FALSE)+VLOOKUP($A242,A:AL,10,FALSE)-50</f>
        <v>94</v>
      </c>
      <c r="L242" s="3">
        <f>M242-1</f>
        <v>96</v>
      </c>
      <c r="M242" s="3">
        <v>97</v>
      </c>
      <c r="N242" s="3">
        <f>M242+2</f>
        <v>99</v>
      </c>
      <c r="O242" s="3">
        <f t="shared" ref="O242:O249" si="126">N242+1</f>
        <v>100</v>
      </c>
      <c r="P242" s="3">
        <v>129</v>
      </c>
      <c r="Q242" s="3">
        <f>VLOOKUP($A242,'NonXtal_SegEnds_BW#'!$A:$Z,12,FALSE)+VLOOKUP($A242,A:AL,16,FALSE)-50</f>
        <v>135</v>
      </c>
      <c r="R242" s="3">
        <f>IF(ISERROR(VLOOKUP($A242,'NonXtal_SegEnds_BW#'!$A:$Z,13,FALSE)+VLOOKUP($A242,A:AL,19,FALSE)-50),"-",VLOOKUP($A242,'NonXtal_SegEnds_BW#'!$A:$Z,13,FALSE)+VLOOKUP($A242,A:AL,19,FALSE)-50)</f>
        <v>136</v>
      </c>
      <c r="S242" s="3">
        <v>136</v>
      </c>
      <c r="T242" s="3">
        <f>IF(ISERROR(VLOOKUP($A242,'NonXtal_SegEnds_BW#'!$A:$Z,14,FALSE)+VLOOKUP($A242,A:AL,19,FALSE)-50),"-",(VLOOKUP($A242,'NonXtal_SegEnds_BW#'!$A:$Z,14,FALSE)+VLOOKUP($A242,A:AL,19,FALSE)-50))</f>
        <v>143</v>
      </c>
      <c r="U242" s="3">
        <f>IF(ISERROR(VLOOKUP($A242,'NonXtal_SegEnds_BW#'!$A:$Z,15,FALSE)+VLOOKUP($A242,A:AL,22,FALSE)-50),"-",VLOOKUP($A242,'NonXtal_SegEnds_BW#'!$A:$Z,15,FALSE)+VLOOKUP($A242,A:AL,22,FALSE)-50)</f>
        <v>145</v>
      </c>
      <c r="V242" s="3">
        <v>156</v>
      </c>
      <c r="W242" s="3">
        <f>IF(ISERROR(VLOOKUP($A242,'NonXtal_SegEnds_BW#'!$A:$Z,16,FALSE)+VLOOKUP($A242,A:AL,22,FALSE)-50),"-",(VLOOKUP($A242,'NonXtal_SegEnds_BW#'!$A:$Z,16,FALSE)+VLOOKUP($A242,A:AL,22,FALSE)-50))</f>
        <v>170</v>
      </c>
      <c r="X242" s="3">
        <f>IF(ISERROR(VLOOKUP($A242,'NonXtal_SegEnds_BW#'!$A:$Z,17,FALSE)+VLOOKUP($A242,A:AL,25,FALSE)-50),"-",(VLOOKUP($A242,'NonXtal_SegEnds_BW#'!$A:$Z,17,FALSE)+VLOOKUP($A242,A:AL,25,FALSE)-50))</f>
        <v>182</v>
      </c>
      <c r="Y242" s="3">
        <v>182</v>
      </c>
      <c r="Z242" s="3">
        <f t="shared" si="125"/>
        <v>184</v>
      </c>
      <c r="AA242" s="3">
        <f>IF(ISERROR(VLOOKUP($A242,'NonXtal_SegEnds_BW#'!$A:$Z,19,FALSE)+VLOOKUP($A242,A:AL,28,FALSE)-50),"-",(VLOOKUP($A242,'NonXtal_SegEnds_BW#'!$A:$Z,19,FALSE)+VLOOKUP($A242,A:AL,28,FALSE)-50))</f>
        <v>189</v>
      </c>
      <c r="AB242" s="3">
        <v>204</v>
      </c>
      <c r="AC242" s="3">
        <f>IF(ISERROR((VLOOKUP($A242,'NonXtal_SegEnds_BW#'!$A:$Z,20,FALSE)+VLOOKUP($A242,A:AL,28,FALSE)-50)),"-",(VLOOKUP($A242,'NonXtal_SegEnds_BW#'!$A:$Z,20,FALSE)+VLOOKUP($A242,A:AL,28,FALSE)-50))</f>
        <v>222</v>
      </c>
      <c r="AD242" s="3">
        <f>IF(ISERROR(VLOOKUP($A242,'NonXtal_SegEnds_BW#'!$A:$Z,21,FALSE)+VLOOKUP($A242,A:AL,31,FALSE)-50),"-",(VLOOKUP($A242,'NonXtal_SegEnds_BW#'!$A:$Z,21,FALSE)+VLOOKUP($A242,A:AL,31,FALSE)-50))</f>
        <v>230</v>
      </c>
      <c r="AE242" s="3">
        <v>252</v>
      </c>
      <c r="AF242" s="3">
        <f>IF(ISERROR((VLOOKUP($A242,'NonXtal_SegEnds_BW#'!$A:$Z,22,FALSE)+VLOOKUP($A242,A:AL,31,FALSE)-50)),"-",(VLOOKUP($A242,'NonXtal_SegEnds_BW#'!$A:$Z,22,FALSE)+VLOOKUP($A242,A:AL,31,FALSE)-50))</f>
        <v>263</v>
      </c>
      <c r="AG242" s="3">
        <f>IF(ISERROR(VLOOKUP($A242,'NonXtal_SegEnds_BW#'!$A:$Z,23,FALSE)+VLOOKUP($A242,A:AL,34,FALSE)-50),"-",(VLOOKUP($A242,'NonXtal_SegEnds_BW#'!$A:$Z,23,FALSE)+VLOOKUP($A242,A:AL,34,FALSE)-50))</f>
        <v>270</v>
      </c>
      <c r="AH242" s="3">
        <v>292</v>
      </c>
      <c r="AI242" s="3">
        <f>IF(ISERROR((VLOOKUP($A242,'NonXtal_SegEnds_BW#'!$A:$Z,24,FALSE)+VLOOKUP($A242,A:AL,34,FALSE)-50)),"-",(VLOOKUP($A242,'NonXtal_SegEnds_BW#'!$A:$Z,24,FALSE)+VLOOKUP($A242,A:AL,34,FALSE)-50))</f>
        <v>298</v>
      </c>
      <c r="AJ242" s="3">
        <f>IF(ISERROR(VLOOKUP($A242,'NonXtal_SegEnds_BW#'!$A:$Z,25,FALSE)+VLOOKUP($A242,A:AL,37,FALSE)-50),"-",(VLOOKUP($A242,'NonXtal_SegEnds_BW#'!$A:$Z,25,FALSE)+VLOOKUP($A242,A:AL,37,FALSE)-50))</f>
        <v>299</v>
      </c>
      <c r="AK242" s="3">
        <v>302</v>
      </c>
      <c r="AL242" s="3">
        <f>IF(ISERROR((VLOOKUP($A242,'NonXtal_SegEnds_BW#'!$A:$Z,26,FALSE)+VLOOKUP($A242,A:AL,37,FALSE)-50)),"-",(VLOOKUP($A242,'NonXtal_SegEnds_BW#'!$A:$Z,26,FALSE)+VLOOKUP($A242,A:AL,37,FALSE)-50))</f>
        <v>310</v>
      </c>
      <c r="AM242" s="71" t="str">
        <f>VLOOKUP(A242,Classification!A:B,2,FALSE)</f>
        <v>A</v>
      </c>
      <c r="AN242" s="71" t="b">
        <f t="shared" si="102"/>
        <v>1</v>
      </c>
      <c r="AO242" s="3" t="str">
        <f t="shared" si="103"/>
        <v>-</v>
      </c>
      <c r="AP242" s="3" t="str">
        <f t="shared" si="104"/>
        <v>-</v>
      </c>
      <c r="AQ242" s="3">
        <f t="shared" si="105"/>
        <v>2</v>
      </c>
      <c r="AR242" s="3">
        <f t="shared" si="106"/>
        <v>1</v>
      </c>
      <c r="AS242" s="3">
        <f t="shared" si="107"/>
        <v>1</v>
      </c>
      <c r="AT242" s="3">
        <f t="shared" si="108"/>
        <v>2</v>
      </c>
      <c r="AU242" s="3">
        <f t="shared" si="109"/>
        <v>12</v>
      </c>
      <c r="AV242" s="3">
        <f t="shared" si="110"/>
        <v>5</v>
      </c>
      <c r="AW242" s="3">
        <f t="shared" si="111"/>
        <v>8</v>
      </c>
      <c r="AX242" s="3">
        <f t="shared" si="112"/>
        <v>7</v>
      </c>
      <c r="AY242" s="3">
        <f t="shared" si="113"/>
        <v>1</v>
      </c>
      <c r="AZ242" s="3">
        <f>IF(ISERROR(LEN(VLOOKUP(A242,Seqs!A:E,2,FALSE))-AL242),"-",LEN(VLOOKUP(A242,Seqs!A:E,2,FALSE))-AL242)</f>
        <v>160</v>
      </c>
      <c r="BA242" s="35">
        <f t="shared" si="114"/>
        <v>30</v>
      </c>
      <c r="BB242" s="3">
        <f t="shared" si="115"/>
        <v>20</v>
      </c>
      <c r="BC242" s="3">
        <f t="shared" si="116"/>
        <v>30</v>
      </c>
      <c r="BD242" s="3">
        <f t="shared" si="117"/>
        <v>48</v>
      </c>
    </row>
    <row r="243" spans="1:57" s="3" customFormat="1" x14ac:dyDescent="0.2">
      <c r="A243" s="3" t="s">
        <v>462</v>
      </c>
      <c r="B243" s="3" t="str">
        <f>LOWER(VLOOKUP(A243,Xtal_Templ!A:B,2,FALSE))</f>
        <v>oprd_mouse</v>
      </c>
      <c r="C243" s="3">
        <f>VLOOKUP($A243,'NonXtal_SegEnds_BW#'!$A:$Z,3,FALSE)+D243-50</f>
        <v>7</v>
      </c>
      <c r="D243" s="3">
        <v>33</v>
      </c>
      <c r="E243" s="3">
        <f>IF(ISERROR(VLOOKUP($A243,'NonXtal_SegEnds_BW#'!$A:$Z,4,FALSE)+VLOOKUP($A243,A:AL,4,FALSE)-50),"-",(VLOOKUP($A243,'NonXtal_SegEnds_BW#'!$A:$Z,4,FALSE)+VLOOKUP($A243,A:AL,4,FALSE)-50))</f>
        <v>43</v>
      </c>
      <c r="F243" s="3" t="str">
        <f>IF(ISERROR(VLOOKUP($A243,'NonXtal_SegEnds_BW#'!$A:$Z,5,FALSE)+VLOOKUP($A243,A:AL,7,FALSE)-50),"-",(VLOOKUP($A243,'NonXtal_SegEnds_BW#'!$A:$Z,5,FALSE)+VLOOKUP($A243,A:AL,7,FALSE)-50))</f>
        <v>-</v>
      </c>
      <c r="G243" s="3" t="s">
        <v>129</v>
      </c>
      <c r="H243" s="3" t="str">
        <f>IF(ISERROR(VLOOKUP($A243,'NonXtal_SegEnds_BW#'!$A:$Z,6,FALSE)+VLOOKUP($A243,A:AL,7,FALSE)-50),"-",(VLOOKUP($A243,'NonXtal_SegEnds_BW#'!$A:$Z,6,FALSE)+VLOOKUP($A243,A:AL,7,FALSE)-50))</f>
        <v>-</v>
      </c>
      <c r="I243" s="3">
        <f>VLOOKUP($A243,'NonXtal_SegEnds_BW#'!$A:$Z,7,FALSE)+J243-50</f>
        <v>48</v>
      </c>
      <c r="J243" s="3">
        <v>61</v>
      </c>
      <c r="K243" s="3">
        <f>VLOOKUP($A243,'NonXtal_SegEnds_BW#'!$A:$Z,8,FALSE)+VLOOKUP($A243,A:AL,10,FALSE)-50</f>
        <v>78</v>
      </c>
      <c r="L243" s="3">
        <f>M243-1</f>
        <v>80</v>
      </c>
      <c r="M243" s="3">
        <v>81</v>
      </c>
      <c r="N243" s="3">
        <f>M243+2</f>
        <v>83</v>
      </c>
      <c r="O243" s="3">
        <f t="shared" si="126"/>
        <v>84</v>
      </c>
      <c r="P243" s="3">
        <v>117</v>
      </c>
      <c r="Q243" s="3">
        <f>VLOOKUP($A243,'NonXtal_SegEnds_BW#'!$A:$Z,12,FALSE)+VLOOKUP($A243,A:AL,16,FALSE)-50</f>
        <v>123</v>
      </c>
      <c r="R243" s="3">
        <f>IF(ISERROR(VLOOKUP($A243,'NonXtal_SegEnds_BW#'!$A:$Z,13,FALSE)+VLOOKUP($A243,A:AL,19,FALSE)-50),"-",VLOOKUP($A243,'NonXtal_SegEnds_BW#'!$A:$Z,13,FALSE)+VLOOKUP($A243,A:AL,19,FALSE)-50)</f>
        <v>140</v>
      </c>
      <c r="S243" s="3">
        <v>140</v>
      </c>
      <c r="T243" s="3">
        <f>IF(ISERROR(VLOOKUP($A243,'NonXtal_SegEnds_BW#'!$A:$Z,14,FALSE)+VLOOKUP($A243,A:AL,19,FALSE)-50),"-",(VLOOKUP($A243,'NonXtal_SegEnds_BW#'!$A:$Z,14,FALSE)+VLOOKUP($A243,A:AL,19,FALSE)-50))</f>
        <v>147</v>
      </c>
      <c r="U243" s="3">
        <f>IF(ISERROR(VLOOKUP($A243,'NonXtal_SegEnds_BW#'!$A:$Z,15,FALSE)+VLOOKUP($A243,A:AL,22,FALSE)-50),"-",VLOOKUP($A243,'NonXtal_SegEnds_BW#'!$A:$Z,15,FALSE)+VLOOKUP($A243,A:AL,22,FALSE)-50)</f>
        <v>149</v>
      </c>
      <c r="V243" s="3">
        <v>160</v>
      </c>
      <c r="W243" s="3">
        <f>IF(ISERROR(VLOOKUP($A243,'NonXtal_SegEnds_BW#'!$A:$Z,16,FALSE)+VLOOKUP($A243,A:AL,22,FALSE)-50),"-",(VLOOKUP($A243,'NonXtal_SegEnds_BW#'!$A:$Z,16,FALSE)+VLOOKUP($A243,A:AL,22,FALSE)-50))</f>
        <v>174</v>
      </c>
      <c r="X243" s="3" t="str">
        <f>IF(ISERROR(VLOOKUP($A243,'NonXtal_SegEnds_BW#'!$A:$Z,17,FALSE)+VLOOKUP($A243,A:AL,25,FALSE)-50),"-",(VLOOKUP($A243,'NonXtal_SegEnds_BW#'!$A:$Z,17,FALSE)+VLOOKUP($A243,A:AL,25,FALSE)-50))</f>
        <v>-</v>
      </c>
      <c r="Y243" s="3" t="s">
        <v>129</v>
      </c>
      <c r="Z243" s="3" t="str">
        <f>IF(ISERROR(VLOOKUP($A243,'NonXtal_SegEnds_BW#'!$A:$Z,18,FALSE)+VLOOKUP($A243,A:AL,25,FALSE)-50),"-",(VLOOKUP($A243,'NonXtal_SegEnds_BW#'!$A:$Z,18,FALSE)+VLOOKUP($A243,A:AL,25,FALSE)-50))</f>
        <v>-</v>
      </c>
      <c r="AA243" s="3">
        <f>IF(ISERROR(VLOOKUP($A243,'NonXtal_SegEnds_BW#'!$A:$Z,19,FALSE)+VLOOKUP($A243,A:AL,28,FALSE)-50),"-",(VLOOKUP($A243,'NonXtal_SegEnds_BW#'!$A:$Z,19,FALSE)+VLOOKUP($A243,A:AL,28,FALSE)-50))</f>
        <v>194</v>
      </c>
      <c r="AB243" s="3">
        <v>213</v>
      </c>
      <c r="AC243" s="3">
        <f>IF(ISERROR((VLOOKUP($A243,'NonXtal_SegEnds_BW#'!$A:$Z,20,FALSE)+VLOOKUP($A243,A:AL,28,FALSE)-50)),"-",(VLOOKUP($A243,'NonXtal_SegEnds_BW#'!$A:$Z,20,FALSE)+VLOOKUP($A243,A:AL,28,FALSE)-50))</f>
        <v>231</v>
      </c>
      <c r="AD243" s="3">
        <f>IF(ISERROR(VLOOKUP($A243,'NonXtal_SegEnds_BW#'!$A:$Z,21,FALSE)+VLOOKUP($A243,A:AL,31,FALSE)-50),"-",(VLOOKUP($A243,'NonXtal_SegEnds_BW#'!$A:$Z,21,FALSE)+VLOOKUP($A243,A:AL,31,FALSE)-50))</f>
        <v>237</v>
      </c>
      <c r="AE243" s="3">
        <v>264</v>
      </c>
      <c r="AF243" s="3">
        <f>IF(ISERROR((VLOOKUP($A243,'NonXtal_SegEnds_BW#'!$A:$Z,22,FALSE)+VLOOKUP($A243,A:AL,31,FALSE)-50)),"-",(VLOOKUP($A243,'NonXtal_SegEnds_BW#'!$A:$Z,22,FALSE)+VLOOKUP($A243,A:AL,31,FALSE)-50))</f>
        <v>275</v>
      </c>
      <c r="AG243" s="3">
        <f>IF(ISERROR(VLOOKUP($A243,'NonXtal_SegEnds_BW#'!$A:$Z,23,FALSE)+VLOOKUP($A243,A:AL,34,FALSE)-50),"-",(VLOOKUP($A243,'NonXtal_SegEnds_BW#'!$A:$Z,23,FALSE)+VLOOKUP($A243,A:AL,34,FALSE)-50))</f>
        <v>284</v>
      </c>
      <c r="AH243" s="3">
        <v>306</v>
      </c>
      <c r="AI243" s="3">
        <f>IF(ISERROR((VLOOKUP($A243,'NonXtal_SegEnds_BW#'!$A:$Z,24,FALSE)+VLOOKUP($A243,A:AL,34,FALSE)-50)),"-",(VLOOKUP($A243,'NonXtal_SegEnds_BW#'!$A:$Z,24,FALSE)+VLOOKUP($A243,A:AL,34,FALSE)-50))</f>
        <v>312</v>
      </c>
      <c r="AJ243" s="3">
        <f>IF(ISERROR(VLOOKUP($A243,'NonXtal_SegEnds_BW#'!$A:$Z,25,FALSE)+VLOOKUP($A243,A:AL,37,FALSE)-50),"-",(VLOOKUP($A243,'NonXtal_SegEnds_BW#'!$A:$Z,25,FALSE)+VLOOKUP($A243,A:AL,37,FALSE)-50))</f>
        <v>313</v>
      </c>
      <c r="AK243" s="3">
        <v>316</v>
      </c>
      <c r="AL243" s="3">
        <f>IF(ISERROR((VLOOKUP($A243,'NonXtal_SegEnds_BW#'!$A:$Z,26,FALSE)+VLOOKUP($A243,A:AL,37,FALSE)-50)),"-",(VLOOKUP($A243,'NonXtal_SegEnds_BW#'!$A:$Z,26,FALSE)+VLOOKUP($A243,A:AL,37,FALSE)-50))</f>
        <v>326</v>
      </c>
      <c r="AM243" s="71" t="str">
        <f>VLOOKUP(A243,Classification!A:B,2,FALSE)</f>
        <v>A</v>
      </c>
      <c r="AN243" s="71" t="b">
        <f t="shared" si="102"/>
        <v>1</v>
      </c>
      <c r="AO243" s="3" t="str">
        <f t="shared" si="103"/>
        <v>-</v>
      </c>
      <c r="AP243" s="3" t="str">
        <f t="shared" si="104"/>
        <v>-</v>
      </c>
      <c r="AQ243" s="3">
        <f t="shared" si="105"/>
        <v>2</v>
      </c>
      <c r="AR243" s="3">
        <f t="shared" si="106"/>
        <v>1</v>
      </c>
      <c r="AS243" s="3">
        <f t="shared" si="107"/>
        <v>17</v>
      </c>
      <c r="AT243" s="3">
        <f t="shared" si="108"/>
        <v>2</v>
      </c>
      <c r="AU243" s="3" t="str">
        <f t="shared" si="109"/>
        <v>-</v>
      </c>
      <c r="AV243" s="3" t="str">
        <f t="shared" si="110"/>
        <v>-</v>
      </c>
      <c r="AW243" s="3">
        <f t="shared" si="111"/>
        <v>6</v>
      </c>
      <c r="AX243" s="3">
        <f t="shared" si="112"/>
        <v>9</v>
      </c>
      <c r="AY243" s="3">
        <f t="shared" si="113"/>
        <v>1</v>
      </c>
      <c r="AZ243" s="3">
        <f>IF(ISERROR(LEN(VLOOKUP(A243,Seqs!A:E,2,FALSE))-AL243),"-",LEN(VLOOKUP(A243,Seqs!A:E,2,FALSE))-AL243)</f>
        <v>10</v>
      </c>
      <c r="BA243" s="35">
        <f t="shared" si="114"/>
        <v>28</v>
      </c>
      <c r="BB243" s="3">
        <f t="shared" si="115"/>
        <v>20</v>
      </c>
      <c r="BC243" s="3">
        <f t="shared" si="116"/>
        <v>28</v>
      </c>
      <c r="BD243" s="3">
        <f t="shared" si="117"/>
        <v>51</v>
      </c>
      <c r="BE243" s="3">
        <f>AH243-AE243</f>
        <v>42</v>
      </c>
    </row>
    <row r="244" spans="1:57" s="3" customFormat="1" x14ac:dyDescent="0.2">
      <c r="A244" s="3" t="s">
        <v>529</v>
      </c>
      <c r="B244" s="3" t="str">
        <f>LOWER(VLOOKUP(A244,Xtal_Templ!A:B,2,FALSE))</f>
        <v>oprd_human</v>
      </c>
      <c r="C244" s="3">
        <f>VLOOKUP($A244,'NonXtal_SegEnds_BW#'!$A:$Z,3,FALSE)+D244-50</f>
        <v>39</v>
      </c>
      <c r="D244" s="3">
        <v>67</v>
      </c>
      <c r="E244" s="3">
        <f>IF(ISERROR(VLOOKUP($A244,'NonXtal_SegEnds_BW#'!$A:$Z,4,FALSE)+VLOOKUP($A244,A:AL,4,FALSE)-50),"-",(VLOOKUP($A244,'NonXtal_SegEnds_BW#'!$A:$Z,4,FALSE)+VLOOKUP($A244,A:AL,4,FALSE)-50))</f>
        <v>77</v>
      </c>
      <c r="F244" s="3">
        <f>G244-2</f>
        <v>78</v>
      </c>
      <c r="G244" s="3">
        <v>80</v>
      </c>
      <c r="H244" s="3">
        <f t="shared" ref="H244:I247" si="127">G244+1</f>
        <v>81</v>
      </c>
      <c r="I244" s="3">
        <f t="shared" si="127"/>
        <v>82</v>
      </c>
      <c r="J244" s="3">
        <v>95</v>
      </c>
      <c r="K244" s="3">
        <f>VLOOKUP($A244,'NonXtal_SegEnds_BW#'!$A:$Z,8,FALSE)+VLOOKUP($A244,A:AL,10,FALSE)-50</f>
        <v>111</v>
      </c>
      <c r="L244" s="3">
        <f>M244-1</f>
        <v>113</v>
      </c>
      <c r="M244" s="3">
        <v>114</v>
      </c>
      <c r="N244" s="3">
        <f>M244+2</f>
        <v>116</v>
      </c>
      <c r="O244" s="3">
        <f t="shared" si="126"/>
        <v>117</v>
      </c>
      <c r="P244" s="3">
        <v>146</v>
      </c>
      <c r="Q244" s="3">
        <f>VLOOKUP($A244,'NonXtal_SegEnds_BW#'!$A:$Z,12,FALSE)+VLOOKUP($A244,A:AL,16,FALSE)-50</f>
        <v>152</v>
      </c>
      <c r="R244" s="3">
        <f>IF(ISERROR(VLOOKUP($A244,'NonXtal_SegEnds_BW#'!$A:$Z,13,FALSE)+VLOOKUP($A244,A:AL,19,FALSE)-50),"-",VLOOKUP($A244,'NonXtal_SegEnds_BW#'!$A:$Z,13,FALSE)+VLOOKUP($A244,A:AL,19,FALSE)-50)</f>
        <v>153</v>
      </c>
      <c r="S244" s="3">
        <v>153</v>
      </c>
      <c r="T244" s="3">
        <f>IF(ISERROR(VLOOKUP($A244,'NonXtal_SegEnds_BW#'!$A:$Z,14,FALSE)+VLOOKUP($A244,A:AL,19,FALSE)-50),"-",(VLOOKUP($A244,'NonXtal_SegEnds_BW#'!$A:$Z,14,FALSE)+VLOOKUP($A244,A:AL,19,FALSE)-50))</f>
        <v>160</v>
      </c>
      <c r="U244" s="3">
        <f>IF(ISERROR(VLOOKUP($A244,'NonXtal_SegEnds_BW#'!$A:$Z,15,FALSE)+VLOOKUP($A244,A:AL,22,FALSE)-50),"-",VLOOKUP($A244,'NonXtal_SegEnds_BW#'!$A:$Z,15,FALSE)+VLOOKUP($A244,A:AL,22,FALSE)-50)</f>
        <v>162</v>
      </c>
      <c r="V244" s="3">
        <v>173</v>
      </c>
      <c r="W244" s="3">
        <f>IF(ISERROR(VLOOKUP($A244,'NonXtal_SegEnds_BW#'!$A:$Z,16,FALSE)+VLOOKUP($A244,A:AL,22,FALSE)-50),"-",(VLOOKUP($A244,'NonXtal_SegEnds_BW#'!$A:$Z,16,FALSE)+VLOOKUP($A244,A:AL,22,FALSE)-50))</f>
        <v>187</v>
      </c>
      <c r="X244" s="3">
        <f>IF(ISERROR(VLOOKUP($A244,'NonXtal_SegEnds_BW#'!$A:$Z,17,FALSE)+VLOOKUP($A244,A:AL,25,FALSE)-50),"-",(VLOOKUP($A244,'NonXtal_SegEnds_BW#'!$A:$Z,17,FALSE)+VLOOKUP($A244,A:AL,25,FALSE)-50))</f>
        <v>198</v>
      </c>
      <c r="Y244" s="3">
        <v>198</v>
      </c>
      <c r="Z244" s="3">
        <f t="shared" ref="Z244:Z249" si="128">Y244+2</f>
        <v>200</v>
      </c>
      <c r="AA244" s="3">
        <f>IF(ISERROR(VLOOKUP($A244,'NonXtal_SegEnds_BW#'!$A:$Z,19,FALSE)+VLOOKUP($A244,A:AL,28,FALSE)-50),"-",(VLOOKUP($A244,'NonXtal_SegEnds_BW#'!$A:$Z,19,FALSE)+VLOOKUP($A244,A:AL,28,FALSE)-50))</f>
        <v>206</v>
      </c>
      <c r="AB244" s="3">
        <v>225</v>
      </c>
      <c r="AC244" s="3">
        <f>IF(ISERROR((VLOOKUP($A244,'NonXtal_SegEnds_BW#'!$A:$Z,20,FALSE)+VLOOKUP($A244,A:AL,28,FALSE)-50)),"-",(VLOOKUP($A244,'NonXtal_SegEnds_BW#'!$A:$Z,20,FALSE)+VLOOKUP($A244,A:AL,28,FALSE)-50))</f>
        <v>243</v>
      </c>
      <c r="AD244" s="3">
        <f>IF(ISERROR(VLOOKUP($A244,'NonXtal_SegEnds_BW#'!$A:$Z,21,FALSE)+VLOOKUP($A244,A:AL,31,FALSE)-50),"-",(VLOOKUP($A244,'NonXtal_SegEnds_BW#'!$A:$Z,21,FALSE)+VLOOKUP($A244,A:AL,31,FALSE)-50))</f>
        <v>249</v>
      </c>
      <c r="AE244" s="3">
        <v>276</v>
      </c>
      <c r="AF244" s="3">
        <f>IF(ISERROR((VLOOKUP($A244,'NonXtal_SegEnds_BW#'!$A:$Z,22,FALSE)+VLOOKUP($A244,A:AL,31,FALSE)-50)),"-",(VLOOKUP($A244,'NonXtal_SegEnds_BW#'!$A:$Z,22,FALSE)+VLOOKUP($A244,A:AL,31,FALSE)-50))</f>
        <v>287</v>
      </c>
      <c r="AG244" s="3">
        <f>IF(ISERROR(VLOOKUP($A244,'NonXtal_SegEnds_BW#'!$A:$Z,23,FALSE)+VLOOKUP($A244,A:AL,34,FALSE)-50),"-",(VLOOKUP($A244,'NonXtal_SegEnds_BW#'!$A:$Z,23,FALSE)+VLOOKUP($A244,A:AL,34,FALSE)-50))</f>
        <v>293</v>
      </c>
      <c r="AH244" s="3">
        <v>315</v>
      </c>
      <c r="AI244" s="3">
        <f>IF(ISERROR((VLOOKUP($A244,'NonXtal_SegEnds_BW#'!$A:$Z,24,FALSE)+VLOOKUP($A244,A:AL,34,FALSE)-50)),"-",(VLOOKUP($A244,'NonXtal_SegEnds_BW#'!$A:$Z,24,FALSE)+VLOOKUP($A244,A:AL,34,FALSE)-50))</f>
        <v>321</v>
      </c>
      <c r="AJ244" s="3">
        <f>IF(ISERROR(VLOOKUP($A244,'NonXtal_SegEnds_BW#'!$A:$Z,25,FALSE)+VLOOKUP($A244,A:AL,37,FALSE)-50),"-",(VLOOKUP($A244,'NonXtal_SegEnds_BW#'!$A:$Z,25,FALSE)+VLOOKUP($A244,A:AL,37,FALSE)-50))</f>
        <v>322</v>
      </c>
      <c r="AK244" s="3">
        <v>325</v>
      </c>
      <c r="AL244" s="3">
        <f>IF(ISERROR((VLOOKUP($A244,'NonXtal_SegEnds_BW#'!$A:$Z,26,FALSE)+VLOOKUP($A244,A:AL,37,FALSE)-50)),"-",(VLOOKUP($A244,'NonXtal_SegEnds_BW#'!$A:$Z,26,FALSE)+VLOOKUP($A244,A:AL,37,FALSE)-50))</f>
        <v>335</v>
      </c>
      <c r="AM244" s="71" t="str">
        <f>VLOOKUP(A244,Classification!A:B,2,FALSE)</f>
        <v>A</v>
      </c>
      <c r="AN244" s="71" t="b">
        <f t="shared" si="102"/>
        <v>1</v>
      </c>
      <c r="AO244" s="3">
        <f t="shared" si="103"/>
        <v>1</v>
      </c>
      <c r="AP244" s="3">
        <f t="shared" si="104"/>
        <v>1</v>
      </c>
      <c r="AQ244" s="3">
        <f t="shared" si="105"/>
        <v>2</v>
      </c>
      <c r="AR244" s="3">
        <f t="shared" si="106"/>
        <v>1</v>
      </c>
      <c r="AS244" s="3">
        <f t="shared" si="107"/>
        <v>1</v>
      </c>
      <c r="AT244" s="3">
        <f t="shared" si="108"/>
        <v>2</v>
      </c>
      <c r="AU244" s="3">
        <f t="shared" si="109"/>
        <v>11</v>
      </c>
      <c r="AV244" s="3">
        <f t="shared" si="110"/>
        <v>6</v>
      </c>
      <c r="AW244" s="3">
        <f t="shared" si="111"/>
        <v>6</v>
      </c>
      <c r="AX244" s="3">
        <f t="shared" si="112"/>
        <v>6</v>
      </c>
      <c r="AY244" s="3">
        <f t="shared" si="113"/>
        <v>1</v>
      </c>
      <c r="AZ244" s="3">
        <f>IF(ISERROR(LEN(VLOOKUP(A244,Seqs!A:E,2,FALSE))-AL244),"-",LEN(VLOOKUP(A244,Seqs!A:E,2,FALSE))-AL244)</f>
        <v>37</v>
      </c>
      <c r="BA244" s="35">
        <f t="shared" si="114"/>
        <v>28</v>
      </c>
      <c r="BB244" s="3">
        <f t="shared" si="115"/>
        <v>20</v>
      </c>
      <c r="BC244" s="3">
        <f t="shared" si="116"/>
        <v>28</v>
      </c>
      <c r="BD244" s="3">
        <f t="shared" si="117"/>
        <v>51</v>
      </c>
    </row>
    <row r="245" spans="1:57" s="3" customFormat="1" x14ac:dyDescent="0.2">
      <c r="A245" s="3" t="s">
        <v>1112</v>
      </c>
      <c r="B245" s="3" t="str">
        <f>LOWER(VLOOKUP(A245,Xtal_Templ!A:B,2,FALSE))</f>
        <v>oprd_mouse</v>
      </c>
      <c r="C245" s="3">
        <f>VLOOKUP($A245,'NonXtal_SegEnds_BW#'!$A:$Z,3,FALSE)+D245-50</f>
        <v>41</v>
      </c>
      <c r="D245" s="3">
        <v>67</v>
      </c>
      <c r="E245" s="3">
        <f>IF(ISERROR(VLOOKUP($A245,'NonXtal_SegEnds_BW#'!$A:$Z,4,FALSE)+VLOOKUP($A245,A:AL,4,FALSE)-50),"-",(VLOOKUP($A245,'NonXtal_SegEnds_BW#'!$A:$Z,4,FALSE)+VLOOKUP($A245,A:AL,4,FALSE)-50))</f>
        <v>77</v>
      </c>
      <c r="F245" s="3">
        <f>G245-2</f>
        <v>78</v>
      </c>
      <c r="G245" s="3">
        <v>80</v>
      </c>
      <c r="H245" s="3">
        <f t="shared" si="127"/>
        <v>81</v>
      </c>
      <c r="I245" s="3">
        <f t="shared" si="127"/>
        <v>82</v>
      </c>
      <c r="J245" s="3">
        <v>95</v>
      </c>
      <c r="K245" s="3">
        <f>VLOOKUP($A245,'NonXtal_SegEnds_BW#'!$A:$Z,8,FALSE)+VLOOKUP($A245,A:AL,10,FALSE)-50</f>
        <v>111</v>
      </c>
      <c r="L245" s="3">
        <f>IF(ISERROR(VLOOKUP($A245,'NonXtal_SegEnds_BW#'!$A:$Z,9,FALSE)+VLOOKUP($A245,A:AL,13,FALSE)-50),"-",(VLOOKUP($A245,'NonXtal_SegEnds_BW#'!$A:$Z,9,FALSE)+VLOOKUP($A245,A:AL,13,FALSE)-50))</f>
        <v>113</v>
      </c>
      <c r="M245" s="3">
        <v>114</v>
      </c>
      <c r="N245" s="3">
        <f>IF(ISERROR(VLOOKUP($A245,'NonXtal_SegEnds_BW#'!$A:$Z,10,FALSE)+VLOOKUP($A245,A:AL,13,FALSE)-50),"-",(VLOOKUP($A245,'NonXtal_SegEnds_BW#'!$A:$Z,10,FALSE)+VLOOKUP($A245,A:AL,13,FALSE)-50))</f>
        <v>116</v>
      </c>
      <c r="O245" s="3">
        <f t="shared" si="126"/>
        <v>117</v>
      </c>
      <c r="P245" s="3">
        <v>146</v>
      </c>
      <c r="Q245" s="3">
        <f>VLOOKUP($A245,'NonXtal_SegEnds_BW#'!$A:$Z,12,FALSE)+VLOOKUP($A245,A:AL,16,FALSE)-50</f>
        <v>152</v>
      </c>
      <c r="R245" s="3">
        <f>IF(ISERROR(VLOOKUP($A245,'NonXtal_SegEnds_BW#'!$A:$Z,13,FALSE)+VLOOKUP($A245,A:AL,19,FALSE)-50),"-",VLOOKUP($A245,'NonXtal_SegEnds_BW#'!$A:$Z,13,FALSE)+VLOOKUP($A245,A:AL,19,FALSE)-50)</f>
        <v>153</v>
      </c>
      <c r="S245" s="3">
        <v>153</v>
      </c>
      <c r="T245" s="3">
        <f>IF(ISERROR(VLOOKUP($A245,'NonXtal_SegEnds_BW#'!$A:$Z,14,FALSE)+VLOOKUP($A245,A:AL,19,FALSE)-50),"-",(VLOOKUP($A245,'NonXtal_SegEnds_BW#'!$A:$Z,14,FALSE)+VLOOKUP($A245,A:AL,19,FALSE)-50))</f>
        <v>160</v>
      </c>
      <c r="U245" s="3">
        <f>IF(ISERROR(VLOOKUP($A245,'NonXtal_SegEnds_BW#'!$A:$Z,15,FALSE)+VLOOKUP($A245,A:AL,22,FALSE)-50),"-",VLOOKUP($A245,'NonXtal_SegEnds_BW#'!$A:$Z,15,FALSE)+VLOOKUP($A245,A:AL,22,FALSE)-50)</f>
        <v>162</v>
      </c>
      <c r="V245" s="3">
        <v>173</v>
      </c>
      <c r="W245" s="3">
        <f>IF(ISERROR(VLOOKUP($A245,'NonXtal_SegEnds_BW#'!$A:$Z,16,FALSE)+VLOOKUP($A245,A:AL,22,FALSE)-50),"-",(VLOOKUP($A245,'NonXtal_SegEnds_BW#'!$A:$Z,16,FALSE)+VLOOKUP($A245,A:AL,22,FALSE)-50))</f>
        <v>187</v>
      </c>
      <c r="X245" s="3">
        <f>IF(ISERROR(VLOOKUP($A245,'NonXtal_SegEnds_BW#'!$A:$Z,17,FALSE)+VLOOKUP($A245,A:AL,25,FALSE)-50),"-",(VLOOKUP($A245,'NonXtal_SegEnds_BW#'!$A:$Z,17,FALSE)+VLOOKUP($A245,A:AL,25,FALSE)-50))</f>
        <v>198</v>
      </c>
      <c r="Y245" s="3">
        <v>198</v>
      </c>
      <c r="Z245" s="3">
        <f t="shared" si="128"/>
        <v>200</v>
      </c>
      <c r="AA245" s="3">
        <f>IF(ISERROR(VLOOKUP($A245,'NonXtal_SegEnds_BW#'!$A:$Z,19,FALSE)+VLOOKUP($A245,A:AL,28,FALSE)-50),"-",(VLOOKUP($A245,'NonXtal_SegEnds_BW#'!$A:$Z,19,FALSE)+VLOOKUP($A245,A:AL,28,FALSE)-50))</f>
        <v>206</v>
      </c>
      <c r="AB245" s="3">
        <v>225</v>
      </c>
      <c r="AC245" s="3">
        <f>IF(ISERROR((VLOOKUP($A245,'NonXtal_SegEnds_BW#'!$A:$Z,20,FALSE)+VLOOKUP($A245,A:AL,28,FALSE)-50)),"-",(VLOOKUP($A245,'NonXtal_SegEnds_BW#'!$A:$Z,20,FALSE)+VLOOKUP($A245,A:AL,28,FALSE)-50))</f>
        <v>243</v>
      </c>
      <c r="AD245" s="3">
        <f>IF(ISERROR(VLOOKUP($A245,'NonXtal_SegEnds_BW#'!$A:$Z,21,FALSE)+VLOOKUP($A245,A:AL,31,FALSE)-50),"-",(VLOOKUP($A245,'NonXtal_SegEnds_BW#'!$A:$Z,21,FALSE)+VLOOKUP($A245,A:AL,31,FALSE)-50))</f>
        <v>249</v>
      </c>
      <c r="AE245" s="3">
        <v>276</v>
      </c>
      <c r="AF245" s="3">
        <f>IF(ISERROR((VLOOKUP($A245,'NonXtal_SegEnds_BW#'!$A:$Z,22,FALSE)+VLOOKUP($A245,A:AL,31,FALSE)-50)),"-",(VLOOKUP($A245,'NonXtal_SegEnds_BW#'!$A:$Z,22,FALSE)+VLOOKUP($A245,A:AL,31,FALSE)-50))</f>
        <v>287</v>
      </c>
      <c r="AG245" s="3">
        <f>IF(ISERROR(VLOOKUP($A245,'NonXtal_SegEnds_BW#'!$A:$Z,23,FALSE)+VLOOKUP($A245,A:AL,34,FALSE)-50),"-",(VLOOKUP($A245,'NonXtal_SegEnds_BW#'!$A:$Z,23,FALSE)+VLOOKUP($A245,A:AL,34,FALSE)-50))</f>
        <v>293</v>
      </c>
      <c r="AH245" s="3">
        <v>315</v>
      </c>
      <c r="AI245" s="3">
        <f>IF(ISERROR((VLOOKUP($A245,'NonXtal_SegEnds_BW#'!$A:$Z,24,FALSE)+VLOOKUP($A245,A:AL,34,FALSE)-50)),"-",(VLOOKUP($A245,'NonXtal_SegEnds_BW#'!$A:$Z,24,FALSE)+VLOOKUP($A245,A:AL,34,FALSE)-50))</f>
        <v>321</v>
      </c>
      <c r="AJ245" s="3">
        <f>IF(ISERROR(VLOOKUP($A245,'NonXtal_SegEnds_BW#'!$A:$Z,25,FALSE)+VLOOKUP($A245,A:AL,37,FALSE)-50),"-",(VLOOKUP($A245,'NonXtal_SegEnds_BW#'!$A:$Z,25,FALSE)+VLOOKUP($A245,A:AL,37,FALSE)-50))</f>
        <v>322</v>
      </c>
      <c r="AK245" s="3">
        <v>325</v>
      </c>
      <c r="AL245" s="3">
        <f>IF(ISERROR((VLOOKUP($A245,'NonXtal_SegEnds_BW#'!$A:$Z,26,FALSE)+VLOOKUP($A245,A:AL,37,FALSE)-50)),"-",(VLOOKUP($A245,'NonXtal_SegEnds_BW#'!$A:$Z,26,FALSE)+VLOOKUP($A245,A:AL,37,FALSE)-50))</f>
        <v>335</v>
      </c>
      <c r="AM245" s="71" t="str">
        <f>VLOOKUP(A245,Classification!A:B,2,FALSE)</f>
        <v>A</v>
      </c>
      <c r="AN245" s="71" t="b">
        <f t="shared" si="102"/>
        <v>1</v>
      </c>
      <c r="AO245" s="3">
        <f t="shared" si="103"/>
        <v>1</v>
      </c>
      <c r="AP245" s="3">
        <f t="shared" si="104"/>
        <v>1</v>
      </c>
      <c r="AQ245" s="3">
        <f t="shared" si="105"/>
        <v>2</v>
      </c>
      <c r="AR245" s="3">
        <f t="shared" si="106"/>
        <v>1</v>
      </c>
      <c r="AS245" s="3">
        <f t="shared" si="107"/>
        <v>1</v>
      </c>
      <c r="AT245" s="3">
        <f t="shared" si="108"/>
        <v>2</v>
      </c>
      <c r="AU245" s="3">
        <f t="shared" si="109"/>
        <v>11</v>
      </c>
      <c r="AV245" s="3">
        <f t="shared" si="110"/>
        <v>6</v>
      </c>
      <c r="AW245" s="3">
        <f t="shared" si="111"/>
        <v>6</v>
      </c>
      <c r="AX245" s="3">
        <f t="shared" si="112"/>
        <v>6</v>
      </c>
      <c r="AY245" s="3">
        <f t="shared" si="113"/>
        <v>1</v>
      </c>
      <c r="AZ245" s="3">
        <f>IF(ISERROR(LEN(VLOOKUP(A245,Seqs!A:E,2,FALSE))-AL245),"-",LEN(VLOOKUP(A245,Seqs!A:E,2,FALSE))-AL245)</f>
        <v>37</v>
      </c>
      <c r="BA245" s="35">
        <f t="shared" si="114"/>
        <v>28</v>
      </c>
      <c r="BB245" s="3">
        <f t="shared" si="115"/>
        <v>20</v>
      </c>
      <c r="BC245" s="3">
        <f t="shared" si="116"/>
        <v>28</v>
      </c>
      <c r="BD245" s="3">
        <f t="shared" si="117"/>
        <v>51</v>
      </c>
    </row>
    <row r="246" spans="1:57" s="3" customFormat="1" x14ac:dyDescent="0.2">
      <c r="A246" s="3" t="s">
        <v>578</v>
      </c>
      <c r="B246" s="3" t="str">
        <f>LOWER(VLOOKUP(A246,Xtal_Templ!A:B,2,FALSE))</f>
        <v>oprd_mouse</v>
      </c>
      <c r="C246" s="3">
        <f>VLOOKUP($A246,'NonXtal_SegEnds_BW#'!$A:$Z,3,FALSE)+D246-50</f>
        <v>39</v>
      </c>
      <c r="D246" s="3">
        <v>65</v>
      </c>
      <c r="E246" s="3">
        <f>IF(ISERROR(VLOOKUP($A246,'NonXtal_SegEnds_BW#'!$A:$Z,4,FALSE)+VLOOKUP($A246,A:AL,4,FALSE)-50),"-",(VLOOKUP($A246,'NonXtal_SegEnds_BW#'!$A:$Z,4,FALSE)+VLOOKUP($A246,A:AL,4,FALSE)-50))</f>
        <v>75</v>
      </c>
      <c r="F246" s="3">
        <f>G246-2</f>
        <v>76</v>
      </c>
      <c r="G246" s="3">
        <v>78</v>
      </c>
      <c r="H246" s="3">
        <f t="shared" si="127"/>
        <v>79</v>
      </c>
      <c r="I246" s="3">
        <f t="shared" si="127"/>
        <v>80</v>
      </c>
      <c r="J246" s="3">
        <v>93</v>
      </c>
      <c r="K246" s="3">
        <f>VLOOKUP($A246,'NonXtal_SegEnds_BW#'!$A:$Z,8,FALSE)+VLOOKUP($A246,A:AL,10,FALSE)-50</f>
        <v>109</v>
      </c>
      <c r="L246" s="3">
        <f>M246-1</f>
        <v>111</v>
      </c>
      <c r="M246" s="3">
        <v>112</v>
      </c>
      <c r="N246" s="3">
        <f>M246+2</f>
        <v>114</v>
      </c>
      <c r="O246" s="3">
        <f t="shared" si="126"/>
        <v>115</v>
      </c>
      <c r="P246" s="3">
        <v>144</v>
      </c>
      <c r="Q246" s="3">
        <f>VLOOKUP($A246,'NonXtal_SegEnds_BW#'!$A:$Z,12,FALSE)+VLOOKUP($A246,A:AL,16,FALSE)-50</f>
        <v>150</v>
      </c>
      <c r="R246" s="3">
        <f>IF(ISERROR(VLOOKUP($A246,'NonXtal_SegEnds_BW#'!$A:$Z,13,FALSE)+VLOOKUP($A246,A:AL,19,FALSE)-50),"-",VLOOKUP($A246,'NonXtal_SegEnds_BW#'!$A:$Z,13,FALSE)+VLOOKUP($A246,A:AL,19,FALSE)-50)</f>
        <v>151</v>
      </c>
      <c r="S246" s="3">
        <v>151</v>
      </c>
      <c r="T246" s="3">
        <f>IF(ISERROR(VLOOKUP($A246,'NonXtal_SegEnds_BW#'!$A:$Z,14,FALSE)+VLOOKUP($A246,A:AL,19,FALSE)-50),"-",(VLOOKUP($A246,'NonXtal_SegEnds_BW#'!$A:$Z,14,FALSE)+VLOOKUP($A246,A:AL,19,FALSE)-50))</f>
        <v>158</v>
      </c>
      <c r="U246" s="3">
        <f>IF(ISERROR(VLOOKUP($A246,'NonXtal_SegEnds_BW#'!$A:$Z,15,FALSE)+VLOOKUP($A246,A:AL,22,FALSE)-50),"-",VLOOKUP($A246,'NonXtal_SegEnds_BW#'!$A:$Z,15,FALSE)+VLOOKUP($A246,A:AL,22,FALSE)-50)</f>
        <v>160</v>
      </c>
      <c r="V246" s="3">
        <v>171</v>
      </c>
      <c r="W246" s="3">
        <f>IF(ISERROR(VLOOKUP($A246,'NonXtal_SegEnds_BW#'!$A:$Z,16,FALSE)+VLOOKUP($A246,A:AL,22,FALSE)-50),"-",(VLOOKUP($A246,'NonXtal_SegEnds_BW#'!$A:$Z,16,FALSE)+VLOOKUP($A246,A:AL,22,FALSE)-50))</f>
        <v>185</v>
      </c>
      <c r="X246" s="3">
        <f>IF(ISERROR(VLOOKUP($A246,'NonXtal_SegEnds_BW#'!$A:$Z,17,FALSE)+VLOOKUP($A246,A:AL,25,FALSE)-50),"-",(VLOOKUP($A246,'NonXtal_SegEnds_BW#'!$A:$Z,17,FALSE)+VLOOKUP($A246,A:AL,25,FALSE)-50))</f>
        <v>198</v>
      </c>
      <c r="Y246" s="3">
        <v>198</v>
      </c>
      <c r="Z246" s="3">
        <f t="shared" si="128"/>
        <v>200</v>
      </c>
      <c r="AA246" s="3">
        <f>IF(ISERROR(VLOOKUP($A246,'NonXtal_SegEnds_BW#'!$A:$Z,19,FALSE)+VLOOKUP($A246,A:AL,28,FALSE)-50),"-",(VLOOKUP($A246,'NonXtal_SegEnds_BW#'!$A:$Z,19,FALSE)+VLOOKUP($A246,A:AL,28,FALSE)-50))</f>
        <v>204</v>
      </c>
      <c r="AB246" s="3">
        <v>223</v>
      </c>
      <c r="AC246" s="3">
        <f>IF(ISERROR((VLOOKUP($A246,'NonXtal_SegEnds_BW#'!$A:$Z,20,FALSE)+VLOOKUP($A246,A:AL,28,FALSE)-50)),"-",(VLOOKUP($A246,'NonXtal_SegEnds_BW#'!$A:$Z,20,FALSE)+VLOOKUP($A246,A:AL,28,FALSE)-50))</f>
        <v>241</v>
      </c>
      <c r="AD246" s="3">
        <f>IF(ISERROR(VLOOKUP($A246,'NonXtal_SegEnds_BW#'!$A:$Z,21,FALSE)+VLOOKUP($A246,A:AL,31,FALSE)-50),"-",(VLOOKUP($A246,'NonXtal_SegEnds_BW#'!$A:$Z,21,FALSE)+VLOOKUP($A246,A:AL,31,FALSE)-50))</f>
        <v>247</v>
      </c>
      <c r="AE246" s="3">
        <v>274</v>
      </c>
      <c r="AF246" s="3">
        <f>IF(ISERROR((VLOOKUP($A246,'NonXtal_SegEnds_BW#'!$A:$Z,22,FALSE)+VLOOKUP($A246,A:AL,31,FALSE)-50)),"-",(VLOOKUP($A246,'NonXtal_SegEnds_BW#'!$A:$Z,22,FALSE)+VLOOKUP($A246,A:AL,31,FALSE)-50))</f>
        <v>285</v>
      </c>
      <c r="AG246" s="3">
        <f>IF(ISERROR(VLOOKUP($A246,'NonXtal_SegEnds_BW#'!$A:$Z,23,FALSE)+VLOOKUP($A246,A:AL,34,FALSE)-50),"-",(VLOOKUP($A246,'NonXtal_SegEnds_BW#'!$A:$Z,23,FALSE)+VLOOKUP($A246,A:AL,34,FALSE)-50))</f>
        <v>290</v>
      </c>
      <c r="AH246" s="3">
        <v>308</v>
      </c>
      <c r="AI246" s="3">
        <f>IF(ISERROR((VLOOKUP($A246,'NonXtal_SegEnds_BW#'!$A:$Z,24,FALSE)+VLOOKUP($A246,A:AL,34,FALSE)-50)),"-",(VLOOKUP($A246,'NonXtal_SegEnds_BW#'!$A:$Z,24,FALSE)+VLOOKUP($A246,A:AL,34,FALSE)-50))</f>
        <v>314</v>
      </c>
      <c r="AJ246" s="3">
        <f>IF(ISERROR(VLOOKUP($A246,'NonXtal_SegEnds_BW#'!$A:$Z,25,FALSE)+VLOOKUP($A246,A:AL,37,FALSE)-50),"-",(VLOOKUP($A246,'NonXtal_SegEnds_BW#'!$A:$Z,25,FALSE)+VLOOKUP($A246,A:AL,37,FALSE)-50))</f>
        <v>315</v>
      </c>
      <c r="AK246" s="3">
        <v>318</v>
      </c>
      <c r="AL246" s="3">
        <f>IF(ISERROR((VLOOKUP($A246,'NonXtal_SegEnds_BW#'!$A:$Z,26,FALSE)+VLOOKUP($A246,A:AL,37,FALSE)-50)),"-",(VLOOKUP($A246,'NonXtal_SegEnds_BW#'!$A:$Z,26,FALSE)+VLOOKUP($A246,A:AL,37,FALSE)-50))</f>
        <v>328</v>
      </c>
      <c r="AM246" s="71" t="str">
        <f>VLOOKUP(A246,Classification!A:B,2,FALSE)</f>
        <v>A</v>
      </c>
      <c r="AN246" s="71" t="b">
        <f t="shared" si="102"/>
        <v>1</v>
      </c>
      <c r="AO246" s="3">
        <f t="shared" si="103"/>
        <v>1</v>
      </c>
      <c r="AP246" s="3">
        <f t="shared" si="104"/>
        <v>1</v>
      </c>
      <c r="AQ246" s="3">
        <f t="shared" si="105"/>
        <v>2</v>
      </c>
      <c r="AR246" s="3">
        <f t="shared" si="106"/>
        <v>1</v>
      </c>
      <c r="AS246" s="3">
        <f t="shared" si="107"/>
        <v>1</v>
      </c>
      <c r="AT246" s="3">
        <f t="shared" si="108"/>
        <v>2</v>
      </c>
      <c r="AU246" s="3">
        <f t="shared" si="109"/>
        <v>13</v>
      </c>
      <c r="AV246" s="3">
        <f t="shared" si="110"/>
        <v>4</v>
      </c>
      <c r="AW246" s="3">
        <f t="shared" si="111"/>
        <v>6</v>
      </c>
      <c r="AX246" s="3">
        <f t="shared" si="112"/>
        <v>5</v>
      </c>
      <c r="AY246" s="3">
        <f t="shared" si="113"/>
        <v>1</v>
      </c>
      <c r="AZ246" s="3">
        <f>IF(ISERROR(LEN(VLOOKUP(A246,Seqs!A:E,2,FALSE))-AL246),"-",LEN(VLOOKUP(A246,Seqs!A:E,2,FALSE))-AL246)</f>
        <v>60</v>
      </c>
      <c r="BA246" s="35">
        <f t="shared" si="114"/>
        <v>28</v>
      </c>
      <c r="BB246" s="3">
        <f t="shared" si="115"/>
        <v>20</v>
      </c>
      <c r="BC246" s="3">
        <f t="shared" si="116"/>
        <v>28</v>
      </c>
      <c r="BD246" s="3">
        <f t="shared" si="117"/>
        <v>51</v>
      </c>
    </row>
    <row r="247" spans="1:57" s="3" customFormat="1" x14ac:dyDescent="0.2">
      <c r="A247" s="3" t="s">
        <v>515</v>
      </c>
      <c r="B247" s="3" t="str">
        <f>LOWER(VLOOKUP(A247,Xtal_Templ!A:B,2,FALSE))</f>
        <v>oprd_mouse</v>
      </c>
      <c r="C247" s="3">
        <f>VLOOKUP($A247,'NonXtal_SegEnds_BW#'!$A:$Z,3,FALSE)+D247-50</f>
        <v>37</v>
      </c>
      <c r="D247" s="3">
        <v>63</v>
      </c>
      <c r="E247" s="3">
        <f>IF(ISERROR(VLOOKUP($A247,'NonXtal_SegEnds_BW#'!$A:$Z,4,FALSE)+VLOOKUP($A247,A:AL,4,FALSE)-50),"-",(VLOOKUP($A247,'NonXtal_SegEnds_BW#'!$A:$Z,4,FALSE)+VLOOKUP($A247,A:AL,4,FALSE)-50))</f>
        <v>73</v>
      </c>
      <c r="F247" s="3">
        <f>G247-2</f>
        <v>74</v>
      </c>
      <c r="G247" s="3">
        <v>76</v>
      </c>
      <c r="H247" s="3">
        <f t="shared" si="127"/>
        <v>77</v>
      </c>
      <c r="I247" s="3">
        <f t="shared" si="127"/>
        <v>78</v>
      </c>
      <c r="J247" s="3">
        <v>91</v>
      </c>
      <c r="K247" s="3">
        <f>VLOOKUP($A247,'NonXtal_SegEnds_BW#'!$A:$Z,8,FALSE)+VLOOKUP($A247,A:AL,10,FALSE)-50</f>
        <v>107</v>
      </c>
      <c r="L247" s="3">
        <f>M247-1</f>
        <v>109</v>
      </c>
      <c r="M247" s="3">
        <v>110</v>
      </c>
      <c r="N247" s="3">
        <f>M247+2</f>
        <v>112</v>
      </c>
      <c r="O247" s="3">
        <f t="shared" si="126"/>
        <v>113</v>
      </c>
      <c r="P247" s="3">
        <v>142</v>
      </c>
      <c r="Q247" s="3">
        <f>VLOOKUP($A247,'NonXtal_SegEnds_BW#'!$A:$Z,12,FALSE)+VLOOKUP($A247,A:AL,16,FALSE)-50</f>
        <v>148</v>
      </c>
      <c r="R247" s="3" t="str">
        <f>IF(ISERROR(VLOOKUP($A247,'NonXtal_SegEnds_BW#'!$A:$Z,13,FALSE)+VLOOKUP($A247,A:AL,19,FALSE)-50),"-",VLOOKUP($A247,'NonXtal_SegEnds_BW#'!$A:$Z,13,FALSE)+VLOOKUP($A247,A:AL,19,FALSE)-50)</f>
        <v>-</v>
      </c>
      <c r="S247" s="3" t="s">
        <v>129</v>
      </c>
      <c r="T247" s="3" t="str">
        <f>IF(ISERROR(VLOOKUP($A247,'NonXtal_SegEnds_BW#'!$A:$Z,14,FALSE)+VLOOKUP($A247,A:AL,19,FALSE)-50),"-",(VLOOKUP($A247,'NonXtal_SegEnds_BW#'!$A:$Z,14,FALSE)+VLOOKUP($A247,A:AL,19,FALSE)-50))</f>
        <v>-</v>
      </c>
      <c r="U247" s="3">
        <f>IF(ISERROR(VLOOKUP($A247,'NonXtal_SegEnds_BW#'!$A:$Z,15,FALSE)+VLOOKUP($A247,A:AL,22,FALSE)-50),"-",VLOOKUP($A247,'NonXtal_SegEnds_BW#'!$A:$Z,15,FALSE)+VLOOKUP($A247,A:AL,22,FALSE)-50)</f>
        <v>160</v>
      </c>
      <c r="V247" s="3">
        <v>171</v>
      </c>
      <c r="W247" s="3">
        <f>IF(ISERROR(VLOOKUP($A247,'NonXtal_SegEnds_BW#'!$A:$Z,16,FALSE)+VLOOKUP($A247,A:AL,22,FALSE)-50),"-",(VLOOKUP($A247,'NonXtal_SegEnds_BW#'!$A:$Z,16,FALSE)+VLOOKUP($A247,A:AL,22,FALSE)-50))</f>
        <v>185</v>
      </c>
      <c r="X247" s="3">
        <f>IF(ISERROR(VLOOKUP($A247,'NonXtal_SegEnds_BW#'!$A:$Z,17,FALSE)+VLOOKUP($A247,A:AL,25,FALSE)-50),"-",(VLOOKUP($A247,'NonXtal_SegEnds_BW#'!$A:$Z,17,FALSE)+VLOOKUP($A247,A:AL,25,FALSE)-50))</f>
        <v>197</v>
      </c>
      <c r="Y247" s="3">
        <v>197</v>
      </c>
      <c r="Z247" s="3">
        <f t="shared" si="128"/>
        <v>199</v>
      </c>
      <c r="AA247" s="3">
        <f>IF(ISERROR(VLOOKUP($A247,'NonXtal_SegEnds_BW#'!$A:$Z,19,FALSE)+VLOOKUP($A247,A:AL,28,FALSE)-50),"-",(VLOOKUP($A247,'NonXtal_SegEnds_BW#'!$A:$Z,19,FALSE)+VLOOKUP($A247,A:AL,28,FALSE)-50))</f>
        <v>205</v>
      </c>
      <c r="AB247" s="3">
        <v>224</v>
      </c>
      <c r="AC247" s="3">
        <f>IF(ISERROR((VLOOKUP($A247,'NonXtal_SegEnds_BW#'!$A:$Z,20,FALSE)+VLOOKUP($A247,A:AL,28,FALSE)-50)),"-",(VLOOKUP($A247,'NonXtal_SegEnds_BW#'!$A:$Z,20,FALSE)+VLOOKUP($A247,A:AL,28,FALSE)-50))</f>
        <v>242</v>
      </c>
      <c r="AD247" s="3">
        <f>IF(ISERROR(VLOOKUP($A247,'NonXtal_SegEnds_BW#'!$A:$Z,21,FALSE)+VLOOKUP($A247,A:AL,31,FALSE)-50),"-",(VLOOKUP($A247,'NonXtal_SegEnds_BW#'!$A:$Z,21,FALSE)+VLOOKUP($A247,A:AL,31,FALSE)-50))</f>
        <v>248</v>
      </c>
      <c r="AE247" s="3">
        <v>275</v>
      </c>
      <c r="AF247" s="3">
        <f>IF(ISERROR((VLOOKUP($A247,'NonXtal_SegEnds_BW#'!$A:$Z,22,FALSE)+VLOOKUP($A247,A:AL,31,FALSE)-50)),"-",(VLOOKUP($A247,'NonXtal_SegEnds_BW#'!$A:$Z,22,FALSE)+VLOOKUP($A247,A:AL,31,FALSE)-50))</f>
        <v>286</v>
      </c>
      <c r="AG247" s="3">
        <f>IF(ISERROR(VLOOKUP($A247,'NonXtal_SegEnds_BW#'!$A:$Z,23,FALSE)+VLOOKUP($A247,A:AL,34,FALSE)-50),"-",(VLOOKUP($A247,'NonXtal_SegEnds_BW#'!$A:$Z,23,FALSE)+VLOOKUP($A247,A:AL,34,FALSE)-50))</f>
        <v>291</v>
      </c>
      <c r="AH247" s="3">
        <v>313</v>
      </c>
      <c r="AI247" s="3">
        <f>IF(ISERROR((VLOOKUP($A247,'NonXtal_SegEnds_BW#'!$A:$Z,24,FALSE)+VLOOKUP($A247,A:AL,34,FALSE)-50)),"-",(VLOOKUP($A247,'NonXtal_SegEnds_BW#'!$A:$Z,24,FALSE)+VLOOKUP($A247,A:AL,34,FALSE)-50))</f>
        <v>319</v>
      </c>
      <c r="AJ247" s="3">
        <f>IF(ISERROR(VLOOKUP($A247,'NonXtal_SegEnds_BW#'!$A:$Z,25,FALSE)+VLOOKUP($A247,A:AL,37,FALSE)-50),"-",(VLOOKUP($A247,'NonXtal_SegEnds_BW#'!$A:$Z,25,FALSE)+VLOOKUP($A247,A:AL,37,FALSE)-50))</f>
        <v>320</v>
      </c>
      <c r="AK247" s="3">
        <v>323</v>
      </c>
      <c r="AL247" s="3">
        <f>IF(ISERROR((VLOOKUP($A247,'NonXtal_SegEnds_BW#'!$A:$Z,26,FALSE)+VLOOKUP($A247,A:AL,37,FALSE)-50)),"-",(VLOOKUP($A247,'NonXtal_SegEnds_BW#'!$A:$Z,26,FALSE)+VLOOKUP($A247,A:AL,37,FALSE)-50))</f>
        <v>333</v>
      </c>
      <c r="AM247" s="71" t="str">
        <f>VLOOKUP(A247,Classification!A:B,2,FALSE)</f>
        <v>A</v>
      </c>
      <c r="AN247" s="71" t="b">
        <f t="shared" si="102"/>
        <v>1</v>
      </c>
      <c r="AO247" s="3">
        <f t="shared" si="103"/>
        <v>1</v>
      </c>
      <c r="AP247" s="3">
        <f t="shared" si="104"/>
        <v>1</v>
      </c>
      <c r="AQ247" s="3">
        <f t="shared" si="105"/>
        <v>2</v>
      </c>
      <c r="AR247" s="3">
        <f t="shared" si="106"/>
        <v>1</v>
      </c>
      <c r="AS247" s="3" t="str">
        <f t="shared" si="107"/>
        <v>-</v>
      </c>
      <c r="AT247" s="3" t="str">
        <f t="shared" si="108"/>
        <v>-</v>
      </c>
      <c r="AU247" s="3">
        <f t="shared" si="109"/>
        <v>12</v>
      </c>
      <c r="AV247" s="3">
        <f t="shared" si="110"/>
        <v>6</v>
      </c>
      <c r="AW247" s="3">
        <f t="shared" si="111"/>
        <v>6</v>
      </c>
      <c r="AX247" s="3">
        <f t="shared" si="112"/>
        <v>5</v>
      </c>
      <c r="AY247" s="3">
        <f t="shared" si="113"/>
        <v>1</v>
      </c>
      <c r="AZ247" s="3">
        <f>IF(ISERROR(LEN(VLOOKUP(A247,Seqs!A:E,2,FALSE))-AL247),"-",LEN(VLOOKUP(A247,Seqs!A:E,2,FALSE))-AL247)</f>
        <v>0</v>
      </c>
      <c r="BA247" s="35">
        <f t="shared" si="114"/>
        <v>28</v>
      </c>
      <c r="BB247" s="3" t="str">
        <f t="shared" si="115"/>
        <v>-</v>
      </c>
      <c r="BC247" s="3">
        <f t="shared" si="116"/>
        <v>28</v>
      </c>
      <c r="BD247" s="3">
        <f t="shared" si="117"/>
        <v>51</v>
      </c>
      <c r="BE247" s="3">
        <f>AH247-AE247</f>
        <v>38</v>
      </c>
    </row>
    <row r="248" spans="1:57" s="3" customFormat="1" x14ac:dyDescent="0.2">
      <c r="A248" s="3" t="s">
        <v>494</v>
      </c>
      <c r="B248" s="3" t="str">
        <f>LOWER(VLOOKUP(A248,Xtal_Templ!A:B,2,FALSE))</f>
        <v>oprd_mouse</v>
      </c>
      <c r="C248" s="3">
        <f>VLOOKUP($A248,'NonXtal_SegEnds_BW#'!$A:$Z,3,FALSE)+D248-50</f>
        <v>26</v>
      </c>
      <c r="D248" s="3">
        <v>52</v>
      </c>
      <c r="E248" s="3">
        <f>IF(ISERROR(VLOOKUP($A248,'NonXtal_SegEnds_BW#'!$A:$Z,4,FALSE)+VLOOKUP($A248,A:AL,4,FALSE)-50),"-",(VLOOKUP($A248,'NonXtal_SegEnds_BW#'!$A:$Z,4,FALSE)+VLOOKUP($A248,A:AL,4,FALSE)-50))</f>
        <v>62</v>
      </c>
      <c r="F248" s="3" t="str">
        <f>IF(ISERROR(VLOOKUP($A248,'NonXtal_SegEnds_BW#'!$A:$Z,5,FALSE)+VLOOKUP($A248,A:AL,7,FALSE)-50),"-",(VLOOKUP($A248,'NonXtal_SegEnds_BW#'!$A:$Z,5,FALSE)+VLOOKUP($A248,A:AL,7,FALSE)-50))</f>
        <v>-</v>
      </c>
      <c r="G248" s="3" t="s">
        <v>129</v>
      </c>
      <c r="H248" s="3" t="str">
        <f>IF(ISERROR(VLOOKUP($A248,'NonXtal_SegEnds_BW#'!$A:$Z,6,FALSE)+VLOOKUP($A248,A:AL,7,FALSE)-50),"-",(VLOOKUP($A248,'NonXtal_SegEnds_BW#'!$A:$Z,6,FALSE)+VLOOKUP($A248,A:AL,7,FALSE)-50))</f>
        <v>-</v>
      </c>
      <c r="I248" s="3">
        <f>VLOOKUP($A248,'NonXtal_SegEnds_BW#'!$A:$Z,7,FALSE)+J248-50</f>
        <v>66</v>
      </c>
      <c r="J248" s="3">
        <v>79</v>
      </c>
      <c r="K248" s="3">
        <f>VLOOKUP($A248,'NonXtal_SegEnds_BW#'!$A:$Z,8,FALSE)+VLOOKUP($A248,A:AL,10,FALSE)-50</f>
        <v>95</v>
      </c>
      <c r="L248" s="3">
        <f>M248-1</f>
        <v>98</v>
      </c>
      <c r="M248" s="3">
        <v>99</v>
      </c>
      <c r="N248" s="3">
        <f>M248+2</f>
        <v>101</v>
      </c>
      <c r="O248" s="3">
        <f t="shared" si="126"/>
        <v>102</v>
      </c>
      <c r="P248" s="3">
        <v>131</v>
      </c>
      <c r="Q248" s="3">
        <f>VLOOKUP($A248,'NonXtal_SegEnds_BW#'!$A:$Z,12,FALSE)+VLOOKUP($A248,A:AL,16,FALSE)-50</f>
        <v>137</v>
      </c>
      <c r="R248" s="3">
        <f>IF(ISERROR(VLOOKUP($A248,'NonXtal_SegEnds_BW#'!$A:$Z,13,FALSE)+VLOOKUP($A248,A:AL,19,FALSE)-50),"-",VLOOKUP($A248,'NonXtal_SegEnds_BW#'!$A:$Z,13,FALSE)+VLOOKUP($A248,A:AL,19,FALSE)-50)</f>
        <v>138</v>
      </c>
      <c r="S248" s="3">
        <v>138</v>
      </c>
      <c r="T248" s="3">
        <f>IF(ISERROR(VLOOKUP($A248,'NonXtal_SegEnds_BW#'!$A:$Z,14,FALSE)+VLOOKUP($A248,A:AL,19,FALSE)-50),"-",(VLOOKUP($A248,'NonXtal_SegEnds_BW#'!$A:$Z,14,FALSE)+VLOOKUP($A248,A:AL,19,FALSE)-50))</f>
        <v>145</v>
      </c>
      <c r="U248" s="3">
        <f>IF(ISERROR(VLOOKUP($A248,'NonXtal_SegEnds_BW#'!$A:$Z,15,FALSE)+VLOOKUP($A248,A:AL,22,FALSE)-50),"-",VLOOKUP($A248,'NonXtal_SegEnds_BW#'!$A:$Z,15,FALSE)+VLOOKUP($A248,A:AL,22,FALSE)-50)</f>
        <v>147</v>
      </c>
      <c r="V248" s="3">
        <v>158</v>
      </c>
      <c r="W248" s="3">
        <f>IF(ISERROR(VLOOKUP($A248,'NonXtal_SegEnds_BW#'!$A:$Z,16,FALSE)+VLOOKUP($A248,A:AL,22,FALSE)-50),"-",(VLOOKUP($A248,'NonXtal_SegEnds_BW#'!$A:$Z,16,FALSE)+VLOOKUP($A248,A:AL,22,FALSE)-50))</f>
        <v>172</v>
      </c>
      <c r="X248" s="3">
        <f>IF(ISERROR(VLOOKUP($A248,'NonXtal_SegEnds_BW#'!$A:$Z,17,FALSE)+VLOOKUP($A248,A:AL,25,FALSE)-50),"-",(VLOOKUP($A248,'NonXtal_SegEnds_BW#'!$A:$Z,17,FALSE)+VLOOKUP($A248,A:AL,25,FALSE)-50))</f>
        <v>184</v>
      </c>
      <c r="Y248" s="3">
        <v>184</v>
      </c>
      <c r="Z248" s="3">
        <f t="shared" si="128"/>
        <v>186</v>
      </c>
      <c r="AA248" s="3">
        <f>IF(ISERROR(VLOOKUP($A248,'NonXtal_SegEnds_BW#'!$A:$Z,19,FALSE)+VLOOKUP($A248,A:AL,28,FALSE)-50),"-",(VLOOKUP($A248,'NonXtal_SegEnds_BW#'!$A:$Z,19,FALSE)+VLOOKUP($A248,A:AL,28,FALSE)-50))</f>
        <v>190</v>
      </c>
      <c r="AB248" s="3">
        <v>209</v>
      </c>
      <c r="AC248" s="3">
        <f>IF(ISERROR((VLOOKUP($A248,'NonXtal_SegEnds_BW#'!$A:$Z,20,FALSE)+VLOOKUP($A248,A:AL,28,FALSE)-50)),"-",(VLOOKUP($A248,'NonXtal_SegEnds_BW#'!$A:$Z,20,FALSE)+VLOOKUP($A248,A:AL,28,FALSE)-50))</f>
        <v>232</v>
      </c>
      <c r="AD248" s="3">
        <f>IF(ISERROR(VLOOKUP($A248,'NonXtal_SegEnds_BW#'!$A:$Z,21,FALSE)+VLOOKUP($A248,A:AL,31,FALSE)-50),"-",(VLOOKUP($A248,'NonXtal_SegEnds_BW#'!$A:$Z,21,FALSE)+VLOOKUP($A248,A:AL,31,FALSE)-50))</f>
        <v>238</v>
      </c>
      <c r="AE248" s="3">
        <v>266</v>
      </c>
      <c r="AF248" s="3">
        <f>IF(ISERROR((VLOOKUP($A248,'NonXtal_SegEnds_BW#'!$A:$Z,22,FALSE)+VLOOKUP($A248,A:AL,31,FALSE)-50)),"-",(VLOOKUP($A248,'NonXtal_SegEnds_BW#'!$A:$Z,22,FALSE)+VLOOKUP($A248,A:AL,31,FALSE)-50))</f>
        <v>277</v>
      </c>
      <c r="AG248" s="3">
        <f>IF(ISERROR(VLOOKUP($A248,'NonXtal_SegEnds_BW#'!$A:$Z,23,FALSE)+VLOOKUP($A248,A:AL,34,FALSE)-50),"-",(VLOOKUP($A248,'NonXtal_SegEnds_BW#'!$A:$Z,23,FALSE)+VLOOKUP($A248,A:AL,34,FALSE)-50))</f>
        <v>284</v>
      </c>
      <c r="AH248" s="3">
        <v>303</v>
      </c>
      <c r="AI248" s="3">
        <f>IF(ISERROR((VLOOKUP($A248,'NonXtal_SegEnds_BW#'!$A:$Z,24,FALSE)+VLOOKUP($A248,A:AL,34,FALSE)-50)),"-",(VLOOKUP($A248,'NonXtal_SegEnds_BW#'!$A:$Z,24,FALSE)+VLOOKUP($A248,A:AL,34,FALSE)-50))</f>
        <v>309</v>
      </c>
      <c r="AJ248" s="3">
        <f>IF(ISERROR(VLOOKUP($A248,'NonXtal_SegEnds_BW#'!$A:$Z,25,FALSE)+VLOOKUP($A248,A:AL,37,FALSE)-50),"-",(VLOOKUP($A248,'NonXtal_SegEnds_BW#'!$A:$Z,25,FALSE)+VLOOKUP($A248,A:AL,37,FALSE)-50))</f>
        <v>310</v>
      </c>
      <c r="AK248" s="3">
        <v>313</v>
      </c>
      <c r="AL248" s="3">
        <f>IF(ISERROR((VLOOKUP($A248,'NonXtal_SegEnds_BW#'!$A:$Z,26,FALSE)+VLOOKUP($A248,A:AL,37,FALSE)-50)),"-",(VLOOKUP($A248,'NonXtal_SegEnds_BW#'!$A:$Z,26,FALSE)+VLOOKUP($A248,A:AL,37,FALSE)-50))</f>
        <v>323</v>
      </c>
      <c r="AM248" s="71" t="str">
        <f>VLOOKUP(A248,Classification!A:B,2,FALSE)</f>
        <v>A</v>
      </c>
      <c r="AN248" s="71" t="b">
        <f t="shared" si="102"/>
        <v>1</v>
      </c>
      <c r="AO248" s="3" t="str">
        <f t="shared" si="103"/>
        <v>-</v>
      </c>
      <c r="AP248" s="3" t="str">
        <f t="shared" si="104"/>
        <v>-</v>
      </c>
      <c r="AQ248" s="3">
        <f t="shared" si="105"/>
        <v>3</v>
      </c>
      <c r="AR248" s="3">
        <f t="shared" si="106"/>
        <v>1</v>
      </c>
      <c r="AS248" s="3">
        <f t="shared" si="107"/>
        <v>1</v>
      </c>
      <c r="AT248" s="3">
        <f t="shared" si="108"/>
        <v>2</v>
      </c>
      <c r="AU248" s="3">
        <f t="shared" si="109"/>
        <v>12</v>
      </c>
      <c r="AV248" s="3">
        <f t="shared" si="110"/>
        <v>4</v>
      </c>
      <c r="AW248" s="3">
        <f t="shared" si="111"/>
        <v>6</v>
      </c>
      <c r="AX248" s="3">
        <f t="shared" si="112"/>
        <v>7</v>
      </c>
      <c r="AY248" s="3">
        <f t="shared" si="113"/>
        <v>1</v>
      </c>
      <c r="AZ248" s="3">
        <f>IF(ISERROR(LEN(VLOOKUP(A248,Seqs!A:E,2,FALSE))-AL248),"-",LEN(VLOOKUP(A248,Seqs!A:E,2,FALSE))-AL248)</f>
        <v>17</v>
      </c>
      <c r="BA248" s="35">
        <f t="shared" si="114"/>
        <v>27</v>
      </c>
      <c r="BB248" s="3">
        <f t="shared" si="115"/>
        <v>20</v>
      </c>
      <c r="BC248" s="3">
        <f t="shared" si="116"/>
        <v>27</v>
      </c>
      <c r="BD248" s="3">
        <f t="shared" si="117"/>
        <v>57</v>
      </c>
      <c r="BE248" s="3">
        <f>AH248-AE248</f>
        <v>37</v>
      </c>
    </row>
    <row r="249" spans="1:57" s="3" customFormat="1" x14ac:dyDescent="0.2">
      <c r="A249" s="3" t="s">
        <v>554</v>
      </c>
      <c r="B249" s="3" t="str">
        <f>LOWER(VLOOKUP(A249,Xtal_Templ!A:B,2,FALSE))</f>
        <v>oprd_mouse</v>
      </c>
      <c r="C249" s="3">
        <f>VLOOKUP($A249,'NonXtal_SegEnds_BW#'!$A:$Z,3,FALSE)+D249-50</f>
        <v>24</v>
      </c>
      <c r="D249" s="3">
        <v>50</v>
      </c>
      <c r="E249" s="3">
        <f>IF(ISERROR(VLOOKUP($A249,'NonXtal_SegEnds_BW#'!$A:$Z,4,FALSE)+VLOOKUP($A249,A:AL,4,FALSE)-50),"-",(VLOOKUP($A249,'NonXtal_SegEnds_BW#'!$A:$Z,4,FALSE)+VLOOKUP($A249,A:AL,4,FALSE)-50))</f>
        <v>60</v>
      </c>
      <c r="F249" s="3" t="str">
        <f>IF(ISERROR(VLOOKUP($A249,'NonXtal_SegEnds_BW#'!$A:$Z,5,FALSE)+VLOOKUP($A249,A:AL,7,FALSE)-50),"-",(VLOOKUP($A249,'NonXtal_SegEnds_BW#'!$A:$Z,5,FALSE)+VLOOKUP($A249,A:AL,7,FALSE)-50))</f>
        <v>-</v>
      </c>
      <c r="G249" s="3" t="s">
        <v>129</v>
      </c>
      <c r="H249" s="3" t="str">
        <f>IF(ISERROR(VLOOKUP($A249,'NonXtal_SegEnds_BW#'!$A:$Z,6,FALSE)+VLOOKUP($A249,A:AL,7,FALSE)-50),"-",(VLOOKUP($A249,'NonXtal_SegEnds_BW#'!$A:$Z,6,FALSE)+VLOOKUP($A249,A:AL,7,FALSE)-50))</f>
        <v>-</v>
      </c>
      <c r="I249" s="3">
        <f>VLOOKUP($A249,'NonXtal_SegEnds_BW#'!$A:$Z,7,FALSE)+J249-50</f>
        <v>64</v>
      </c>
      <c r="J249" s="3">
        <v>77</v>
      </c>
      <c r="K249" s="3">
        <f>VLOOKUP($A249,'NonXtal_SegEnds_BW#'!$A:$Z,8,FALSE)+VLOOKUP($A249,A:AL,10,FALSE)-50</f>
        <v>93</v>
      </c>
      <c r="L249" s="3">
        <f>M249-1</f>
        <v>96</v>
      </c>
      <c r="M249" s="3">
        <v>97</v>
      </c>
      <c r="N249" s="3">
        <f>M249+2</f>
        <v>99</v>
      </c>
      <c r="O249" s="3">
        <f t="shared" si="126"/>
        <v>100</v>
      </c>
      <c r="P249" s="3">
        <v>129</v>
      </c>
      <c r="Q249" s="3">
        <f>VLOOKUP($A249,'NonXtal_SegEnds_BW#'!$A:$Z,12,FALSE)+VLOOKUP($A249,A:AL,16,FALSE)-50</f>
        <v>135</v>
      </c>
      <c r="R249" s="3">
        <f>IF(ISERROR(VLOOKUP($A249,'NonXtal_SegEnds_BW#'!$A:$Z,13,FALSE)+VLOOKUP($A249,A:AL,19,FALSE)-50),"-",VLOOKUP($A249,'NonXtal_SegEnds_BW#'!$A:$Z,13,FALSE)+VLOOKUP($A249,A:AL,19,FALSE)-50)</f>
        <v>136</v>
      </c>
      <c r="S249" s="3">
        <v>136</v>
      </c>
      <c r="T249" s="3">
        <f>IF(ISERROR(VLOOKUP($A249,'NonXtal_SegEnds_BW#'!$A:$Z,14,FALSE)+VLOOKUP($A249,A:AL,19,FALSE)-50),"-",(VLOOKUP($A249,'NonXtal_SegEnds_BW#'!$A:$Z,14,FALSE)+VLOOKUP($A249,A:AL,19,FALSE)-50))</f>
        <v>143</v>
      </c>
      <c r="U249" s="3">
        <f>IF(ISERROR(VLOOKUP($A249,'NonXtal_SegEnds_BW#'!$A:$Z,15,FALSE)+VLOOKUP($A249,A:AL,22,FALSE)-50),"-",VLOOKUP($A249,'NonXtal_SegEnds_BW#'!$A:$Z,15,FALSE)+VLOOKUP($A249,A:AL,22,FALSE)-50)</f>
        <v>145</v>
      </c>
      <c r="V249" s="3">
        <v>156</v>
      </c>
      <c r="W249" s="3">
        <f>IF(ISERROR(VLOOKUP($A249,'NonXtal_SegEnds_BW#'!$A:$Z,16,FALSE)+VLOOKUP($A249,A:AL,22,FALSE)-50),"-",(VLOOKUP($A249,'NonXtal_SegEnds_BW#'!$A:$Z,16,FALSE)+VLOOKUP($A249,A:AL,22,FALSE)-50))</f>
        <v>170</v>
      </c>
      <c r="X249" s="3">
        <f>IF(ISERROR(VLOOKUP($A249,'NonXtal_SegEnds_BW#'!$A:$Z,17,FALSE)+VLOOKUP($A249,A:AL,25,FALSE)-50),"-",(VLOOKUP($A249,'NonXtal_SegEnds_BW#'!$A:$Z,17,FALSE)+VLOOKUP($A249,A:AL,25,FALSE)-50))</f>
        <v>182</v>
      </c>
      <c r="Y249" s="3">
        <v>182</v>
      </c>
      <c r="Z249" s="3">
        <f t="shared" si="128"/>
        <v>184</v>
      </c>
      <c r="AA249" s="3">
        <f>IF(ISERROR(VLOOKUP($A249,'NonXtal_SegEnds_BW#'!$A:$Z,19,FALSE)+VLOOKUP($A249,A:AL,28,FALSE)-50),"-",(VLOOKUP($A249,'NonXtal_SegEnds_BW#'!$A:$Z,19,FALSE)+VLOOKUP($A249,A:AL,28,FALSE)-50))</f>
        <v>199</v>
      </c>
      <c r="AB249" s="3">
        <v>218</v>
      </c>
      <c r="AC249" s="3">
        <f>IF(ISERROR((VLOOKUP($A249,'NonXtal_SegEnds_BW#'!$A:$Z,20,FALSE)+VLOOKUP($A249,A:AL,28,FALSE)-50)),"-",(VLOOKUP($A249,'NonXtal_SegEnds_BW#'!$A:$Z,20,FALSE)+VLOOKUP($A249,A:AL,28,FALSE)-50))</f>
        <v>236</v>
      </c>
      <c r="AD249" s="3">
        <f>IF(ISERROR(VLOOKUP($A249,'NonXtal_SegEnds_BW#'!$A:$Z,21,FALSE)+VLOOKUP($A249,A:AL,31,FALSE)-50),"-",(VLOOKUP($A249,'NonXtal_SegEnds_BW#'!$A:$Z,21,FALSE)+VLOOKUP($A249,A:AL,31,FALSE)-50))</f>
        <v>241</v>
      </c>
      <c r="AE249" s="3">
        <v>261</v>
      </c>
      <c r="AF249" s="3">
        <f>IF(ISERROR((VLOOKUP($A249,'NonXtal_SegEnds_BW#'!$A:$Z,22,FALSE)+VLOOKUP($A249,A:AL,31,FALSE)-50)),"-",(VLOOKUP($A249,'NonXtal_SegEnds_BW#'!$A:$Z,22,FALSE)+VLOOKUP($A249,A:AL,31,FALSE)-50))</f>
        <v>272</v>
      </c>
      <c r="AG249" s="3">
        <f>IF(ISERROR(VLOOKUP($A249,'NonXtal_SegEnds_BW#'!$A:$Z,23,FALSE)+VLOOKUP($A249,A:AL,34,FALSE)-50),"-",(VLOOKUP($A249,'NonXtal_SegEnds_BW#'!$A:$Z,23,FALSE)+VLOOKUP($A249,A:AL,34,FALSE)-50))</f>
        <v>279</v>
      </c>
      <c r="AH249" s="3">
        <v>301</v>
      </c>
      <c r="AI249" s="3">
        <f>IF(ISERROR((VLOOKUP($A249,'NonXtal_SegEnds_BW#'!$A:$Z,24,FALSE)+VLOOKUP($A249,A:AL,34,FALSE)-50)),"-",(VLOOKUP($A249,'NonXtal_SegEnds_BW#'!$A:$Z,24,FALSE)+VLOOKUP($A249,A:AL,34,FALSE)-50))</f>
        <v>307</v>
      </c>
      <c r="AJ249" s="3">
        <f>IF(ISERROR(VLOOKUP($A249,'NonXtal_SegEnds_BW#'!$A:$Z,25,FALSE)+VLOOKUP($A249,A:AL,37,FALSE)-50),"-",(VLOOKUP($A249,'NonXtal_SegEnds_BW#'!$A:$Z,25,FALSE)+VLOOKUP($A249,A:AL,37,FALSE)-50))</f>
        <v>308</v>
      </c>
      <c r="AK249" s="3">
        <v>311</v>
      </c>
      <c r="AL249" s="3">
        <f>IF(ISERROR((VLOOKUP($A249,'NonXtal_SegEnds_BW#'!$A:$Z,26,FALSE)+VLOOKUP($A249,A:AL,37,FALSE)-50)),"-",(VLOOKUP($A249,'NonXtal_SegEnds_BW#'!$A:$Z,26,FALSE)+VLOOKUP($A249,A:AL,37,FALSE)-50))</f>
        <v>321</v>
      </c>
      <c r="AM249" s="71" t="str">
        <f>VLOOKUP(A249,Classification!A:B,2,FALSE)</f>
        <v>A</v>
      </c>
      <c r="AN249" s="71" t="b">
        <f t="shared" si="102"/>
        <v>1</v>
      </c>
      <c r="AO249" s="3" t="str">
        <f t="shared" si="103"/>
        <v>-</v>
      </c>
      <c r="AP249" s="3" t="str">
        <f t="shared" si="104"/>
        <v>-</v>
      </c>
      <c r="AQ249" s="3">
        <f t="shared" si="105"/>
        <v>3</v>
      </c>
      <c r="AR249" s="3">
        <f t="shared" si="106"/>
        <v>1</v>
      </c>
      <c r="AS249" s="3">
        <f t="shared" si="107"/>
        <v>1</v>
      </c>
      <c r="AT249" s="3">
        <f t="shared" si="108"/>
        <v>2</v>
      </c>
      <c r="AU249" s="3">
        <f t="shared" si="109"/>
        <v>12</v>
      </c>
      <c r="AV249" s="3">
        <f t="shared" si="110"/>
        <v>15</v>
      </c>
      <c r="AW249" s="3">
        <f t="shared" si="111"/>
        <v>5</v>
      </c>
      <c r="AX249" s="3">
        <f t="shared" si="112"/>
        <v>7</v>
      </c>
      <c r="AY249" s="3">
        <f t="shared" si="113"/>
        <v>1</v>
      </c>
      <c r="AZ249" s="3">
        <f>IF(ISERROR(LEN(VLOOKUP(A249,Seqs!A:E,2,FALSE))-AL249),"-",LEN(VLOOKUP(A249,Seqs!A:E,2,FALSE))-AL249)</f>
        <v>74</v>
      </c>
      <c r="BA249" s="35">
        <f t="shared" si="114"/>
        <v>27</v>
      </c>
      <c r="BB249" s="3">
        <f t="shared" si="115"/>
        <v>20</v>
      </c>
      <c r="BC249" s="3">
        <f t="shared" si="116"/>
        <v>27</v>
      </c>
      <c r="BD249" s="3">
        <f t="shared" si="117"/>
        <v>43</v>
      </c>
    </row>
    <row r="250" spans="1:57" s="3" customFormat="1" x14ac:dyDescent="0.2">
      <c r="A250" s="3" t="s">
        <v>502</v>
      </c>
      <c r="B250" s="3" t="str">
        <f>LOWER(VLOOKUP(A250,Xtal_Templ!A:B,2,FALSE))</f>
        <v>oprk_human</v>
      </c>
      <c r="C250" s="3">
        <f>VLOOKUP($A250,'NonXtal_SegEnds_BW#'!$A:$Z,3,FALSE)+D250-50</f>
        <v>25</v>
      </c>
      <c r="D250" s="3">
        <v>45</v>
      </c>
      <c r="E250" s="3">
        <f>IF(ISERROR(VLOOKUP($A250,'NonXtal_SegEnds_BW#'!$A:$Z,4,FALSE)+VLOOKUP($A250,A:AL,4,FALSE)-50),"-",(VLOOKUP($A250,'NonXtal_SegEnds_BW#'!$A:$Z,4,FALSE)+VLOOKUP($A250,A:AL,4,FALSE)-50))</f>
        <v>55</v>
      </c>
      <c r="F250" s="3" t="str">
        <f>IF(ISERROR(VLOOKUP($A250,'NonXtal_SegEnds_BW#'!$A:$Z,5,FALSE)+VLOOKUP($A250,A:AL,7,FALSE)-50),"-",(VLOOKUP($A250,'NonXtal_SegEnds_BW#'!$A:$Z,5,FALSE)+VLOOKUP($A250,A:AL,7,FALSE)-50))</f>
        <v>-</v>
      </c>
      <c r="G250" s="3" t="s">
        <v>129</v>
      </c>
      <c r="H250" s="3" t="str">
        <f>IF(ISERROR(VLOOKUP($A250,'NonXtal_SegEnds_BW#'!$A:$Z,6,FALSE)+VLOOKUP($A250,A:AL,7,FALSE)-50),"-",(VLOOKUP($A250,'NonXtal_SegEnds_BW#'!$A:$Z,6,FALSE)+VLOOKUP($A250,A:AL,7,FALSE)-50))</f>
        <v>-</v>
      </c>
      <c r="I250" s="3">
        <f>VLOOKUP($A250,'NonXtal_SegEnds_BW#'!$A:$Z,7,FALSE)+J250-50</f>
        <v>59</v>
      </c>
      <c r="J250" s="3">
        <v>72</v>
      </c>
      <c r="K250" s="3">
        <f>VLOOKUP($A250,'NonXtal_SegEnds_BW#'!$A:$Z,8,FALSE)+VLOOKUP($A250,A:AL,10,FALSE)-50</f>
        <v>88</v>
      </c>
      <c r="L250" s="3" t="str">
        <f>IF(ISERROR(VLOOKUP($A250,'NonXtal_SegEnds_BW#'!$A:$Z,9,FALSE)+VLOOKUP($A250,A:AL,13,FALSE)-50),"-",(VLOOKUP($A250,'NonXtal_SegEnds_BW#'!$A:$Z,9,FALSE)+VLOOKUP($A250,A:AL,13,FALSE)-50))</f>
        <v>-</v>
      </c>
      <c r="M250" s="3" t="s">
        <v>129</v>
      </c>
      <c r="N250" s="3" t="str">
        <f>IF(ISERROR(VLOOKUP($A250,'NonXtal_SegEnds_BW#'!$A:$Z,10,FALSE)+VLOOKUP($A250,A:AL,13,FALSE)-50),"-",(VLOOKUP($A250,'NonXtal_SegEnds_BW#'!$A:$Z,10,FALSE)+VLOOKUP($A250,A:AL,13,FALSE)-50))</f>
        <v>-</v>
      </c>
      <c r="O250" s="3">
        <f>VLOOKUP($A250,'NonXtal_SegEnds_BW#'!$A:$Z,11,FALSE)+VLOOKUP($A250,A:AL,16,FALSE)-50</f>
        <v>94</v>
      </c>
      <c r="P250" s="3">
        <v>120</v>
      </c>
      <c r="Q250" s="3">
        <f>VLOOKUP($A250,'NonXtal_SegEnds_BW#'!$A:$Z,12,FALSE)+VLOOKUP($A250,A:AL,16,FALSE)-50</f>
        <v>126</v>
      </c>
      <c r="R250" s="3">
        <f>IF(ISERROR(VLOOKUP($A250,'NonXtal_SegEnds_BW#'!$A:$Z,13,FALSE)+VLOOKUP($A250,A:AL,19,FALSE)-50),"-",VLOOKUP($A250,'NonXtal_SegEnds_BW#'!$A:$Z,13,FALSE)+VLOOKUP($A250,A:AL,19,FALSE)-50)</f>
        <v>127</v>
      </c>
      <c r="S250" s="3">
        <v>127</v>
      </c>
      <c r="T250" s="3">
        <f>IF(ISERROR(VLOOKUP($A250,'NonXtal_SegEnds_BW#'!$A:$Z,14,FALSE)+VLOOKUP($A250,A:AL,19,FALSE)-50),"-",(VLOOKUP($A250,'NonXtal_SegEnds_BW#'!$A:$Z,14,FALSE)+VLOOKUP($A250,A:AL,19,FALSE)-50))</f>
        <v>134</v>
      </c>
      <c r="U250" s="3">
        <f>IF(ISERROR(VLOOKUP($A250,'NonXtal_SegEnds_BW#'!$A:$Z,15,FALSE)+VLOOKUP($A250,A:AL,22,FALSE)-50),"-",VLOOKUP($A250,'NonXtal_SegEnds_BW#'!$A:$Z,15,FALSE)+VLOOKUP($A250,A:AL,22,FALSE)-50)</f>
        <v>136</v>
      </c>
      <c r="V250" s="3">
        <v>147</v>
      </c>
      <c r="W250" s="3">
        <f>IF(ISERROR(VLOOKUP($A250,'NonXtal_SegEnds_BW#'!$A:$Z,16,FALSE)+VLOOKUP($A250,A:AL,22,FALSE)-50),"-",(VLOOKUP($A250,'NonXtal_SegEnds_BW#'!$A:$Z,16,FALSE)+VLOOKUP($A250,A:AL,22,FALSE)-50))</f>
        <v>161</v>
      </c>
      <c r="X250" s="3" t="str">
        <f>IF(ISERROR(VLOOKUP($A250,'NonXtal_SegEnds_BW#'!$A:$Z,17,FALSE)+VLOOKUP($A250,A:AL,25,FALSE)-50),"-",(VLOOKUP($A250,'NonXtal_SegEnds_BW#'!$A:$Z,17,FALSE)+VLOOKUP($A250,A:AL,25,FALSE)-50))</f>
        <v>-</v>
      </c>
      <c r="Y250" s="3" t="s">
        <v>129</v>
      </c>
      <c r="Z250" s="3" t="str">
        <f>IF(ISERROR(VLOOKUP($A250,'NonXtal_SegEnds_BW#'!$A:$Z,18,FALSE)+VLOOKUP($A250,A:AL,25,FALSE)-50),"-",(VLOOKUP($A250,'NonXtal_SegEnds_BW#'!$A:$Z,18,FALSE)+VLOOKUP($A250,A:AL,25,FALSE)-50))</f>
        <v>-</v>
      </c>
      <c r="AA250" s="3">
        <f>IF(ISERROR(VLOOKUP($A250,'NonXtal_SegEnds_BW#'!$A:$Z,19,FALSE)+VLOOKUP($A250,A:AL,28,FALSE)-50),"-",(VLOOKUP($A250,'NonXtal_SegEnds_BW#'!$A:$Z,19,FALSE)+VLOOKUP($A250,A:AL,28,FALSE)-50))</f>
        <v>170</v>
      </c>
      <c r="AB250" s="3">
        <v>189</v>
      </c>
      <c r="AC250" s="3">
        <f>IF(ISERROR((VLOOKUP($A250,'NonXtal_SegEnds_BW#'!$A:$Z,20,FALSE)+VLOOKUP($A250,A:AL,28,FALSE)-50)),"-",(VLOOKUP($A250,'NonXtal_SegEnds_BW#'!$A:$Z,20,FALSE)+VLOOKUP($A250,A:AL,28,FALSE)-50))</f>
        <v>207</v>
      </c>
      <c r="AD250" s="3">
        <f>IF(ISERROR(VLOOKUP($A250,'NonXtal_SegEnds_BW#'!$A:$Z,21,FALSE)+VLOOKUP($A250,A:AL,31,FALSE)-50),"-",(VLOOKUP($A250,'NonXtal_SegEnds_BW#'!$A:$Z,21,FALSE)+VLOOKUP($A250,A:AL,31,FALSE)-50))</f>
        <v>211</v>
      </c>
      <c r="AE250" s="3">
        <v>231</v>
      </c>
      <c r="AF250" s="3">
        <f>IF(ISERROR((VLOOKUP($A250,'NonXtal_SegEnds_BW#'!$A:$Z,22,FALSE)+VLOOKUP($A250,A:AL,31,FALSE)-50)),"-",(VLOOKUP($A250,'NonXtal_SegEnds_BW#'!$A:$Z,22,FALSE)+VLOOKUP($A250,A:AL,31,FALSE)-50))</f>
        <v>242</v>
      </c>
      <c r="AG250" s="3">
        <f>IF(ISERROR(VLOOKUP($A250,'NonXtal_SegEnds_BW#'!$A:$Z,23,FALSE)+VLOOKUP($A250,A:AL,34,FALSE)-50),"-",(VLOOKUP($A250,'NonXtal_SegEnds_BW#'!$A:$Z,23,FALSE)+VLOOKUP($A250,A:AL,34,FALSE)-50))</f>
        <v>247</v>
      </c>
      <c r="AH250" s="3">
        <v>269</v>
      </c>
      <c r="AI250" s="3">
        <f>IF(ISERROR((VLOOKUP($A250,'NonXtal_SegEnds_BW#'!$A:$Z,24,FALSE)+VLOOKUP($A250,A:AL,34,FALSE)-50)),"-",(VLOOKUP($A250,'NonXtal_SegEnds_BW#'!$A:$Z,24,FALSE)+VLOOKUP($A250,A:AL,34,FALSE)-50))</f>
        <v>275</v>
      </c>
      <c r="AJ250" s="3">
        <f>IF(ISERROR(VLOOKUP($A250,'NonXtal_SegEnds_BW#'!$A:$Z,25,FALSE)+VLOOKUP($A250,A:AL,37,FALSE)-50),"-",(VLOOKUP($A250,'NonXtal_SegEnds_BW#'!$A:$Z,25,FALSE)+VLOOKUP($A250,A:AL,37,FALSE)-50))</f>
        <v>276</v>
      </c>
      <c r="AK250" s="3">
        <v>279</v>
      </c>
      <c r="AL250" s="3">
        <f>IF(ISERROR((VLOOKUP($A250,'NonXtal_SegEnds_BW#'!$A:$Z,26,FALSE)+VLOOKUP($A250,A:AL,37,FALSE)-50)),"-",(VLOOKUP($A250,'NonXtal_SegEnds_BW#'!$A:$Z,26,FALSE)+VLOOKUP($A250,A:AL,37,FALSE)-50))</f>
        <v>288</v>
      </c>
      <c r="AM250" s="71" t="str">
        <f>VLOOKUP(A250,Classification!A:B,2,FALSE)</f>
        <v>A</v>
      </c>
      <c r="AN250" s="71" t="b">
        <f t="shared" si="102"/>
        <v>1</v>
      </c>
      <c r="AO250" s="3" t="str">
        <f t="shared" si="103"/>
        <v>-</v>
      </c>
      <c r="AP250" s="3" t="str">
        <f t="shared" si="104"/>
        <v>-</v>
      </c>
      <c r="AQ250" s="3" t="str">
        <f t="shared" si="105"/>
        <v>-</v>
      </c>
      <c r="AR250" s="3" t="str">
        <f t="shared" si="106"/>
        <v>-</v>
      </c>
      <c r="AS250" s="3">
        <f t="shared" si="107"/>
        <v>1</v>
      </c>
      <c r="AT250" s="3">
        <f t="shared" si="108"/>
        <v>2</v>
      </c>
      <c r="AU250" s="3" t="str">
        <f t="shared" si="109"/>
        <v>-</v>
      </c>
      <c r="AV250" s="3" t="str">
        <f t="shared" si="110"/>
        <v>-</v>
      </c>
      <c r="AW250" s="3">
        <f t="shared" si="111"/>
        <v>4</v>
      </c>
      <c r="AX250" s="3">
        <f t="shared" si="112"/>
        <v>5</v>
      </c>
      <c r="AY250" s="3">
        <f t="shared" si="113"/>
        <v>1</v>
      </c>
      <c r="AZ250" s="3">
        <f>IF(ISERROR(LEN(VLOOKUP(A250,Seqs!A:E,2,FALSE))-AL250),"-",LEN(VLOOKUP(A250,Seqs!A:E,2,FALSE))-AL250)</f>
        <v>34</v>
      </c>
      <c r="BA250" s="35">
        <f t="shared" si="114"/>
        <v>27</v>
      </c>
      <c r="BB250" s="3">
        <f t="shared" si="115"/>
        <v>20</v>
      </c>
      <c r="BC250" s="3">
        <f t="shared" si="116"/>
        <v>27</v>
      </c>
      <c r="BD250" s="3">
        <f t="shared" si="117"/>
        <v>42</v>
      </c>
    </row>
    <row r="251" spans="1:57" s="3" customFormat="1" x14ac:dyDescent="0.2">
      <c r="A251" s="3" t="s">
        <v>536</v>
      </c>
      <c r="B251" s="3" t="str">
        <f>LOWER(VLOOKUP(A251,Xtal_Templ!A:B,2,FALSE))</f>
        <v>oprk_human</v>
      </c>
      <c r="C251" s="3">
        <f>VLOOKUP($A251,'NonXtal_SegEnds_BW#'!$A:$Z,3,FALSE)+D251-50</f>
        <v>90</v>
      </c>
      <c r="D251" s="3">
        <v>110</v>
      </c>
      <c r="E251" s="3">
        <f>IF(ISERROR(VLOOKUP($A251,'NonXtal_SegEnds_BW#'!$A:$Z,4,FALSE)+VLOOKUP($A251,A:AL,4,FALSE)-50),"-",(VLOOKUP($A251,'NonXtal_SegEnds_BW#'!$A:$Z,4,FALSE)+VLOOKUP($A251,A:AL,4,FALSE)-50))</f>
        <v>120</v>
      </c>
      <c r="F251" s="3">
        <f>G251-2</f>
        <v>121</v>
      </c>
      <c r="G251" s="3">
        <v>123</v>
      </c>
      <c r="H251" s="3">
        <f>G251+1</f>
        <v>124</v>
      </c>
      <c r="I251" s="3">
        <f>H251+1</f>
        <v>125</v>
      </c>
      <c r="J251" s="3">
        <v>138</v>
      </c>
      <c r="K251" s="3">
        <f>VLOOKUP($A251,'NonXtal_SegEnds_BW#'!$A:$Z,8,FALSE)+VLOOKUP($A251,A:AL,10,FALSE)-50</f>
        <v>154</v>
      </c>
      <c r="L251" s="3">
        <f>M251-1</f>
        <v>157</v>
      </c>
      <c r="M251" s="3">
        <v>158</v>
      </c>
      <c r="N251" s="3">
        <f>M251+2</f>
        <v>160</v>
      </c>
      <c r="O251" s="3">
        <f>N251+1</f>
        <v>161</v>
      </c>
      <c r="P251" s="3">
        <v>190</v>
      </c>
      <c r="Q251" s="3">
        <f>VLOOKUP($A251,'NonXtal_SegEnds_BW#'!$A:$Z,12,FALSE)+VLOOKUP($A251,A:AL,16,FALSE)-50</f>
        <v>196</v>
      </c>
      <c r="R251" s="3">
        <f>IF(ISERROR(VLOOKUP($A251,'NonXtal_SegEnds_BW#'!$A:$Z,13,FALSE)+VLOOKUP($A251,A:AL,19,FALSE)-50),"-",VLOOKUP($A251,'NonXtal_SegEnds_BW#'!$A:$Z,13,FALSE)+VLOOKUP($A251,A:AL,19,FALSE)-50)</f>
        <v>197</v>
      </c>
      <c r="S251" s="3">
        <v>197</v>
      </c>
      <c r="T251" s="3">
        <f>IF(ISERROR(VLOOKUP($A251,'NonXtal_SegEnds_BW#'!$A:$Z,14,FALSE)+VLOOKUP($A251,A:AL,19,FALSE)-50),"-",(VLOOKUP($A251,'NonXtal_SegEnds_BW#'!$A:$Z,14,FALSE)+VLOOKUP($A251,A:AL,19,FALSE)-50))</f>
        <v>204</v>
      </c>
      <c r="U251" s="3">
        <f>IF(ISERROR(VLOOKUP($A251,'NonXtal_SegEnds_BW#'!$A:$Z,15,FALSE)+VLOOKUP($A251,A:AL,22,FALSE)-50),"-",VLOOKUP($A251,'NonXtal_SegEnds_BW#'!$A:$Z,15,FALSE)+VLOOKUP($A251,A:AL,22,FALSE)-50)</f>
        <v>206</v>
      </c>
      <c r="V251" s="3">
        <v>217</v>
      </c>
      <c r="W251" s="3">
        <f>IF(ISERROR(VLOOKUP($A251,'NonXtal_SegEnds_BW#'!$A:$Z,16,FALSE)+VLOOKUP($A251,A:AL,22,FALSE)-50),"-",(VLOOKUP($A251,'NonXtal_SegEnds_BW#'!$A:$Z,16,FALSE)+VLOOKUP($A251,A:AL,22,FALSE)-50))</f>
        <v>231</v>
      </c>
      <c r="X251" s="3">
        <f>IF(ISERROR(VLOOKUP($A251,'NonXtal_SegEnds_BW#'!$A:$Z,17,FALSE)+VLOOKUP($A251,A:AL,25,FALSE)-50),"-",(VLOOKUP($A251,'NonXtal_SegEnds_BW#'!$A:$Z,17,FALSE)+VLOOKUP($A251,A:AL,25,FALSE)-50))</f>
        <v>237</v>
      </c>
      <c r="Y251" s="3">
        <v>237</v>
      </c>
      <c r="Z251" s="3">
        <f>Y251+2</f>
        <v>239</v>
      </c>
      <c r="AA251" s="3">
        <f>IF(ISERROR(VLOOKUP($A251,'NonXtal_SegEnds_BW#'!$A:$Z,19,FALSE)+VLOOKUP($A251,A:AL,28,FALSE)-50),"-",(VLOOKUP($A251,'NonXtal_SegEnds_BW#'!$A:$Z,19,FALSE)+VLOOKUP($A251,A:AL,28,FALSE)-50))</f>
        <v>245</v>
      </c>
      <c r="AB251" s="3">
        <v>264</v>
      </c>
      <c r="AC251" s="3">
        <f>IF(ISERROR((VLOOKUP($A251,'NonXtal_SegEnds_BW#'!$A:$Z,20,FALSE)+VLOOKUP($A251,A:AL,28,FALSE)-50)),"-",(VLOOKUP($A251,'NonXtal_SegEnds_BW#'!$A:$Z,20,FALSE)+VLOOKUP($A251,A:AL,28,FALSE)-50))</f>
        <v>281</v>
      </c>
      <c r="AD251" s="3">
        <f>IF(ISERROR(VLOOKUP($A251,'NonXtal_SegEnds_BW#'!$A:$Z,21,FALSE)+VLOOKUP($A251,A:AL,31,FALSE)-50),"-",(VLOOKUP($A251,'NonXtal_SegEnds_BW#'!$A:$Z,21,FALSE)+VLOOKUP($A251,A:AL,31,FALSE)-50))</f>
        <v>286</v>
      </c>
      <c r="AE251" s="3">
        <v>310</v>
      </c>
      <c r="AF251" s="3">
        <f>IF(ISERROR((VLOOKUP($A251,'NonXtal_SegEnds_BW#'!$A:$Z,22,FALSE)+VLOOKUP($A251,A:AL,31,FALSE)-50)),"-",(VLOOKUP($A251,'NonXtal_SegEnds_BW#'!$A:$Z,22,FALSE)+VLOOKUP($A251,A:AL,31,FALSE)-50))</f>
        <v>321</v>
      </c>
      <c r="AG251" s="3">
        <f>IF(ISERROR(VLOOKUP($A251,'NonXtal_SegEnds_BW#'!$A:$Z,23,FALSE)+VLOOKUP($A251,A:AL,34,FALSE)-50),"-",(VLOOKUP($A251,'NonXtal_SegEnds_BW#'!$A:$Z,23,FALSE)+VLOOKUP($A251,A:AL,34,FALSE)-50))</f>
        <v>330</v>
      </c>
      <c r="AH251" s="3">
        <v>352</v>
      </c>
      <c r="AI251" s="3">
        <f>IF(ISERROR((VLOOKUP($A251,'NonXtal_SegEnds_BW#'!$A:$Z,24,FALSE)+VLOOKUP($A251,A:AL,34,FALSE)-50)),"-",(VLOOKUP($A251,'NonXtal_SegEnds_BW#'!$A:$Z,24,FALSE)+VLOOKUP($A251,A:AL,34,FALSE)-50))</f>
        <v>358</v>
      </c>
      <c r="AJ251" s="3">
        <f>IF(ISERROR(VLOOKUP($A251,'NonXtal_SegEnds_BW#'!$A:$Z,25,FALSE)+VLOOKUP($A251,A:AL,37,FALSE)-50),"-",(VLOOKUP($A251,'NonXtal_SegEnds_BW#'!$A:$Z,25,FALSE)+VLOOKUP($A251,A:AL,37,FALSE)-50))</f>
        <v>359</v>
      </c>
      <c r="AK251" s="3">
        <v>362</v>
      </c>
      <c r="AL251" s="3">
        <f>IF(ISERROR((VLOOKUP($A251,'NonXtal_SegEnds_BW#'!$A:$Z,26,FALSE)+VLOOKUP($A251,A:AL,37,FALSE)-50)),"-",(VLOOKUP($A251,'NonXtal_SegEnds_BW#'!$A:$Z,26,FALSE)+VLOOKUP($A251,A:AL,37,FALSE)-50))</f>
        <v>371</v>
      </c>
      <c r="AM251" s="71" t="str">
        <f>VLOOKUP(A251,Classification!A:B,2,FALSE)</f>
        <v>A</v>
      </c>
      <c r="AN251" s="71" t="b">
        <f t="shared" si="102"/>
        <v>1</v>
      </c>
      <c r="AO251" s="3">
        <f t="shared" si="103"/>
        <v>1</v>
      </c>
      <c r="AP251" s="3">
        <f t="shared" si="104"/>
        <v>1</v>
      </c>
      <c r="AQ251" s="3">
        <f t="shared" si="105"/>
        <v>3</v>
      </c>
      <c r="AR251" s="3">
        <f t="shared" si="106"/>
        <v>1</v>
      </c>
      <c r="AS251" s="3">
        <f t="shared" si="107"/>
        <v>1</v>
      </c>
      <c r="AT251" s="3">
        <f t="shared" si="108"/>
        <v>2</v>
      </c>
      <c r="AU251" s="3">
        <f t="shared" si="109"/>
        <v>6</v>
      </c>
      <c r="AV251" s="3">
        <f t="shared" si="110"/>
        <v>6</v>
      </c>
      <c r="AW251" s="3">
        <f t="shared" si="111"/>
        <v>5</v>
      </c>
      <c r="AX251" s="3">
        <f t="shared" si="112"/>
        <v>9</v>
      </c>
      <c r="AY251" s="3">
        <f t="shared" si="113"/>
        <v>1</v>
      </c>
      <c r="AZ251" s="3">
        <f>IF(ISERROR(LEN(VLOOKUP(A251,Seqs!A:E,2,FALSE))-AL251),"-",LEN(VLOOKUP(A251,Seqs!A:E,2,FALSE))-AL251)</f>
        <v>52</v>
      </c>
      <c r="BA251" s="35">
        <f t="shared" si="114"/>
        <v>28</v>
      </c>
      <c r="BB251" s="3">
        <f t="shared" si="115"/>
        <v>20</v>
      </c>
      <c r="BC251" s="3">
        <f t="shared" si="116"/>
        <v>28</v>
      </c>
      <c r="BD251" s="3">
        <f t="shared" si="117"/>
        <v>46</v>
      </c>
    </row>
    <row r="252" spans="1:57" s="3" customFormat="1" x14ac:dyDescent="0.2">
      <c r="A252" s="3" t="s">
        <v>530</v>
      </c>
      <c r="B252" s="3" t="str">
        <f>LOWER(VLOOKUP(A252,Xtal_Templ!A:B,2,FALSE))</f>
        <v>oprk_human</v>
      </c>
      <c r="C252" s="3">
        <f>VLOOKUP($A252,'NonXtal_SegEnds_BW#'!$A:$Z,3,FALSE)+D252-50</f>
        <v>57</v>
      </c>
      <c r="D252" s="3">
        <v>77</v>
      </c>
      <c r="E252" s="3">
        <f>IF(ISERROR(VLOOKUP($A252,'NonXtal_SegEnds_BW#'!$A:$Z,4,FALSE)+VLOOKUP($A252,A:AL,4,FALSE)-50),"-",(VLOOKUP($A252,'NonXtal_SegEnds_BW#'!$A:$Z,4,FALSE)+VLOOKUP($A252,A:AL,4,FALSE)-50))</f>
        <v>87</v>
      </c>
      <c r="F252" s="3">
        <f>G252-2</f>
        <v>88</v>
      </c>
      <c r="G252" s="3">
        <v>90</v>
      </c>
      <c r="H252" s="3">
        <f>G252+1</f>
        <v>91</v>
      </c>
      <c r="I252" s="3">
        <f>H252+1</f>
        <v>92</v>
      </c>
      <c r="J252" s="3">
        <v>105</v>
      </c>
      <c r="K252" s="3">
        <f>VLOOKUP($A252,'NonXtal_SegEnds_BW#'!$A:$Z,8,FALSE)+VLOOKUP($A252,A:AL,10,FALSE)-50</f>
        <v>121</v>
      </c>
      <c r="L252" s="3">
        <f>M252-1</f>
        <v>123</v>
      </c>
      <c r="M252" s="3">
        <v>124</v>
      </c>
      <c r="N252" s="3">
        <f>M252+2</f>
        <v>126</v>
      </c>
      <c r="O252" s="3">
        <f>N252+1</f>
        <v>127</v>
      </c>
      <c r="P252" s="3">
        <v>156</v>
      </c>
      <c r="Q252" s="3">
        <f>VLOOKUP($A252,'NonXtal_SegEnds_BW#'!$A:$Z,12,FALSE)+VLOOKUP($A252,A:AL,16,FALSE)-50</f>
        <v>162</v>
      </c>
      <c r="R252" s="3">
        <f>IF(ISERROR(VLOOKUP($A252,'NonXtal_SegEnds_BW#'!$A:$Z,13,FALSE)+VLOOKUP($A252,A:AL,19,FALSE)-50),"-",VLOOKUP($A252,'NonXtal_SegEnds_BW#'!$A:$Z,13,FALSE)+VLOOKUP($A252,A:AL,19,FALSE)-50)</f>
        <v>163</v>
      </c>
      <c r="S252" s="3">
        <v>163</v>
      </c>
      <c r="T252" s="3">
        <f>IF(ISERROR(VLOOKUP($A252,'NonXtal_SegEnds_BW#'!$A:$Z,14,FALSE)+VLOOKUP($A252,A:AL,19,FALSE)-50),"-",(VLOOKUP($A252,'NonXtal_SegEnds_BW#'!$A:$Z,14,FALSE)+VLOOKUP($A252,A:AL,19,FALSE)-50))</f>
        <v>170</v>
      </c>
      <c r="U252" s="3">
        <f>IF(ISERROR(VLOOKUP($A252,'NonXtal_SegEnds_BW#'!$A:$Z,15,FALSE)+VLOOKUP($A252,A:AL,22,FALSE)-50),"-",VLOOKUP($A252,'NonXtal_SegEnds_BW#'!$A:$Z,15,FALSE)+VLOOKUP($A252,A:AL,22,FALSE)-50)</f>
        <v>172</v>
      </c>
      <c r="V252" s="3">
        <v>183</v>
      </c>
      <c r="W252" s="3">
        <f>IF(ISERROR(VLOOKUP($A252,'NonXtal_SegEnds_BW#'!$A:$Z,16,FALSE)+VLOOKUP($A252,A:AL,22,FALSE)-50),"-",(VLOOKUP($A252,'NonXtal_SegEnds_BW#'!$A:$Z,16,FALSE)+VLOOKUP($A252,A:AL,22,FALSE)-50))</f>
        <v>197</v>
      </c>
      <c r="X252" s="3">
        <f>IF(ISERROR(VLOOKUP($A252,'NonXtal_SegEnds_BW#'!$A:$Z,17,FALSE)+VLOOKUP($A252,A:AL,25,FALSE)-50),"-",(VLOOKUP($A252,'NonXtal_SegEnds_BW#'!$A:$Z,17,FALSE)+VLOOKUP($A252,A:AL,25,FALSE)-50))</f>
        <v>210</v>
      </c>
      <c r="Y252" s="3">
        <v>210</v>
      </c>
      <c r="Z252" s="3">
        <f>Y252+2</f>
        <v>212</v>
      </c>
      <c r="AA252" s="3">
        <f>IF(ISERROR(VLOOKUP($A252,'NonXtal_SegEnds_BW#'!$A:$Z,19,FALSE)+VLOOKUP($A252,A:AL,28,FALSE)-50),"-",(VLOOKUP($A252,'NonXtal_SegEnds_BW#'!$A:$Z,19,FALSE)+VLOOKUP($A252,A:AL,28,FALSE)-50))</f>
        <v>219</v>
      </c>
      <c r="AB252" s="3">
        <v>238</v>
      </c>
      <c r="AC252" s="3">
        <f>IF(ISERROR((VLOOKUP($A252,'NonXtal_SegEnds_BW#'!$A:$Z,20,FALSE)+VLOOKUP($A252,A:AL,28,FALSE)-50)),"-",(VLOOKUP($A252,'NonXtal_SegEnds_BW#'!$A:$Z,20,FALSE)+VLOOKUP($A252,A:AL,28,FALSE)-50))</f>
        <v>256</v>
      </c>
      <c r="AD252" s="3">
        <f>IF(ISERROR(VLOOKUP($A252,'NonXtal_SegEnds_BW#'!$A:$Z,21,FALSE)+VLOOKUP($A252,A:AL,31,FALSE)-50),"-",(VLOOKUP($A252,'NonXtal_SegEnds_BW#'!$A:$Z,21,FALSE)+VLOOKUP($A252,A:AL,31,FALSE)-50))</f>
        <v>262</v>
      </c>
      <c r="AE252" s="3">
        <v>289</v>
      </c>
      <c r="AF252" s="3">
        <f>IF(ISERROR((VLOOKUP($A252,'NonXtal_SegEnds_BW#'!$A:$Z,22,FALSE)+VLOOKUP($A252,A:AL,31,FALSE)-50)),"-",(VLOOKUP($A252,'NonXtal_SegEnds_BW#'!$A:$Z,22,FALSE)+VLOOKUP($A252,A:AL,31,FALSE)-50))</f>
        <v>300</v>
      </c>
      <c r="AG252" s="3">
        <f>IF(ISERROR(VLOOKUP($A252,'NonXtal_SegEnds_BW#'!$A:$Z,23,FALSE)+VLOOKUP($A252,A:AL,34,FALSE)-50),"-",(VLOOKUP($A252,'NonXtal_SegEnds_BW#'!$A:$Z,23,FALSE)+VLOOKUP($A252,A:AL,34,FALSE)-50))</f>
        <v>305</v>
      </c>
      <c r="AH252" s="3">
        <v>327</v>
      </c>
      <c r="AI252" s="3">
        <f>IF(ISERROR((VLOOKUP($A252,'NonXtal_SegEnds_BW#'!$A:$Z,24,FALSE)+VLOOKUP($A252,A:AL,34,FALSE)-50)),"-",(VLOOKUP($A252,'NonXtal_SegEnds_BW#'!$A:$Z,24,FALSE)+VLOOKUP($A252,A:AL,34,FALSE)-50))</f>
        <v>333</v>
      </c>
      <c r="AJ252" s="3">
        <f>IF(ISERROR(VLOOKUP($A252,'NonXtal_SegEnds_BW#'!$A:$Z,25,FALSE)+VLOOKUP($A252,A:AL,37,FALSE)-50),"-",(VLOOKUP($A252,'NonXtal_SegEnds_BW#'!$A:$Z,25,FALSE)+VLOOKUP($A252,A:AL,37,FALSE)-50))</f>
        <v>334</v>
      </c>
      <c r="AK252" s="3">
        <v>337</v>
      </c>
      <c r="AL252" s="3">
        <f>IF(ISERROR((VLOOKUP($A252,'NonXtal_SegEnds_BW#'!$A:$Z,26,FALSE)+VLOOKUP($A252,A:AL,37,FALSE)-50)),"-",(VLOOKUP($A252,'NonXtal_SegEnds_BW#'!$A:$Z,26,FALSE)+VLOOKUP($A252,A:AL,37,FALSE)-50))</f>
        <v>346</v>
      </c>
      <c r="AM252" s="71" t="str">
        <f>VLOOKUP(A252,Classification!A:B,2,FALSE)</f>
        <v>A</v>
      </c>
      <c r="AN252" s="71" t="b">
        <f t="shared" si="102"/>
        <v>1</v>
      </c>
      <c r="AO252" s="3">
        <f t="shared" si="103"/>
        <v>1</v>
      </c>
      <c r="AP252" s="3">
        <f t="shared" si="104"/>
        <v>1</v>
      </c>
      <c r="AQ252" s="3">
        <f t="shared" si="105"/>
        <v>2</v>
      </c>
      <c r="AR252" s="3">
        <f t="shared" si="106"/>
        <v>1</v>
      </c>
      <c r="AS252" s="3">
        <f t="shared" si="107"/>
        <v>1</v>
      </c>
      <c r="AT252" s="3">
        <f t="shared" si="108"/>
        <v>2</v>
      </c>
      <c r="AU252" s="3">
        <f t="shared" si="109"/>
        <v>13</v>
      </c>
      <c r="AV252" s="3">
        <f t="shared" si="110"/>
        <v>7</v>
      </c>
      <c r="AW252" s="3">
        <f t="shared" si="111"/>
        <v>6</v>
      </c>
      <c r="AX252" s="3">
        <f t="shared" si="112"/>
        <v>5</v>
      </c>
      <c r="AY252" s="3">
        <f t="shared" si="113"/>
        <v>1</v>
      </c>
      <c r="AZ252" s="3">
        <f>IF(ISERROR(LEN(VLOOKUP(A252,Seqs!A:E,2,FALSE))-AL252),"-",LEN(VLOOKUP(A252,Seqs!A:E,2,FALSE))-AL252)</f>
        <v>34</v>
      </c>
      <c r="BA252" s="35">
        <f t="shared" si="114"/>
        <v>28</v>
      </c>
      <c r="BB252" s="3">
        <f t="shared" si="115"/>
        <v>20</v>
      </c>
      <c r="BC252" s="3">
        <f t="shared" si="116"/>
        <v>28</v>
      </c>
      <c r="BD252" s="3">
        <f t="shared" si="117"/>
        <v>51</v>
      </c>
    </row>
    <row r="253" spans="1:57" s="3" customFormat="1" x14ac:dyDescent="0.2">
      <c r="A253" s="3" t="s">
        <v>394</v>
      </c>
      <c r="B253" s="3" t="str">
        <f>LOWER(VLOOKUP(A253,Xtal_Templ!A:B,2,FALSE))</f>
        <v>oprk_human</v>
      </c>
      <c r="C253" s="3">
        <f>VLOOKUP($A253,'NonXtal_SegEnds_BW#'!$A:$Z,3,FALSE)+D253-50</f>
        <v>38</v>
      </c>
      <c r="D253" s="3">
        <v>58</v>
      </c>
      <c r="E253" s="3">
        <f>IF(ISERROR(VLOOKUP($A253,'NonXtal_SegEnds_BW#'!$A:$Z,4,FALSE)+VLOOKUP($A253,A:AL,4,FALSE)-50),"-",(VLOOKUP($A253,'NonXtal_SegEnds_BW#'!$A:$Z,4,FALSE)+VLOOKUP($A253,A:AL,4,FALSE)-50))</f>
        <v>68</v>
      </c>
      <c r="F253" s="3" t="str">
        <f>IF(ISERROR(VLOOKUP($A253,'NonXtal_SegEnds_BW#'!$A:$Z,5,FALSE)+VLOOKUP($A253,A:AL,7,FALSE)-50),"-",(VLOOKUP($A253,'NonXtal_SegEnds_BW#'!$A:$Z,5,FALSE)+VLOOKUP($A253,A:AL,7,FALSE)-50))</f>
        <v>-</v>
      </c>
      <c r="G253" s="3" t="s">
        <v>129</v>
      </c>
      <c r="H253" s="3" t="str">
        <f>IF(ISERROR(VLOOKUP($A253,'NonXtal_SegEnds_BW#'!$A:$Z,6,FALSE)+VLOOKUP($A253,A:AL,7,FALSE)-50),"-",(VLOOKUP($A253,'NonXtal_SegEnds_BW#'!$A:$Z,6,FALSE)+VLOOKUP($A253,A:AL,7,FALSE)-50))</f>
        <v>-</v>
      </c>
      <c r="I253" s="3">
        <f>VLOOKUP($A253,'NonXtal_SegEnds_BW#'!$A:$Z,7,FALSE)+J253-50</f>
        <v>72</v>
      </c>
      <c r="J253" s="3">
        <v>85</v>
      </c>
      <c r="K253" s="3">
        <f>VLOOKUP($A253,'NonXtal_SegEnds_BW#'!$A:$Z,8,FALSE)+VLOOKUP($A253,A:AL,10,FALSE)-50</f>
        <v>101</v>
      </c>
      <c r="L253" s="3">
        <f>M253-1</f>
        <v>103</v>
      </c>
      <c r="M253" s="3">
        <v>104</v>
      </c>
      <c r="N253" s="3">
        <f>M253+2</f>
        <v>106</v>
      </c>
      <c r="O253" s="3">
        <f>N253+1</f>
        <v>107</v>
      </c>
      <c r="P253" s="3">
        <v>136</v>
      </c>
      <c r="Q253" s="3">
        <f>VLOOKUP($A253,'NonXtal_SegEnds_BW#'!$A:$Z,12,FALSE)+VLOOKUP($A253,A:AL,16,FALSE)-50</f>
        <v>142</v>
      </c>
      <c r="R253" s="3">
        <f>IF(ISERROR(VLOOKUP($A253,'NonXtal_SegEnds_BW#'!$A:$Z,13,FALSE)+VLOOKUP($A253,A:AL,19,FALSE)-50),"-",VLOOKUP($A253,'NonXtal_SegEnds_BW#'!$A:$Z,13,FALSE)+VLOOKUP($A253,A:AL,19,FALSE)-50)</f>
        <v>143</v>
      </c>
      <c r="S253" s="3">
        <v>143</v>
      </c>
      <c r="T253" s="3">
        <f>IF(ISERROR(VLOOKUP($A253,'NonXtal_SegEnds_BW#'!$A:$Z,14,FALSE)+VLOOKUP($A253,A:AL,19,FALSE)-50),"-",(VLOOKUP($A253,'NonXtal_SegEnds_BW#'!$A:$Z,14,FALSE)+VLOOKUP($A253,A:AL,19,FALSE)-50))</f>
        <v>150</v>
      </c>
      <c r="U253" s="3">
        <f>IF(ISERROR(VLOOKUP($A253,'NonXtal_SegEnds_BW#'!$A:$Z,15,FALSE)+VLOOKUP($A253,A:AL,22,FALSE)-50),"-",VLOOKUP($A253,'NonXtal_SegEnds_BW#'!$A:$Z,15,FALSE)+VLOOKUP($A253,A:AL,22,FALSE)-50)</f>
        <v>152</v>
      </c>
      <c r="V253" s="3">
        <v>163</v>
      </c>
      <c r="W253" s="3">
        <f>IF(ISERROR(VLOOKUP($A253,'NonXtal_SegEnds_BW#'!$A:$Z,16,FALSE)+VLOOKUP($A253,A:AL,22,FALSE)-50),"-",(VLOOKUP($A253,'NonXtal_SegEnds_BW#'!$A:$Z,16,FALSE)+VLOOKUP($A253,A:AL,22,FALSE)-50))</f>
        <v>177</v>
      </c>
      <c r="X253" s="3">
        <f>IF(ISERROR(VLOOKUP($A253,'NonXtal_SegEnds_BW#'!$A:$Z,17,FALSE)+VLOOKUP($A253,A:AL,25,FALSE)-50),"-",(VLOOKUP($A253,'NonXtal_SegEnds_BW#'!$A:$Z,17,FALSE)+VLOOKUP($A253,A:AL,25,FALSE)-50))</f>
        <v>194</v>
      </c>
      <c r="Y253" s="3">
        <v>194</v>
      </c>
      <c r="Z253" s="3">
        <f>Y253+2</f>
        <v>196</v>
      </c>
      <c r="AA253" s="3">
        <f>IF(ISERROR(VLOOKUP($A253,'NonXtal_SegEnds_BW#'!$A:$Z,19,FALSE)+VLOOKUP($A253,A:AL,28,FALSE)-50),"-",(VLOOKUP($A253,'NonXtal_SegEnds_BW#'!$A:$Z,19,FALSE)+VLOOKUP($A253,A:AL,28,FALSE)-50))</f>
        <v>200</v>
      </c>
      <c r="AB253" s="3">
        <v>219</v>
      </c>
      <c r="AC253" s="3">
        <f>IF(ISERROR((VLOOKUP($A253,'NonXtal_SegEnds_BW#'!$A:$Z,20,FALSE)+VLOOKUP($A253,A:AL,28,FALSE)-50)),"-",(VLOOKUP($A253,'NonXtal_SegEnds_BW#'!$A:$Z,20,FALSE)+VLOOKUP($A253,A:AL,28,FALSE)-50))</f>
        <v>245</v>
      </c>
      <c r="AD253" s="3">
        <f>IF(ISERROR(VLOOKUP($A253,'NonXtal_SegEnds_BW#'!$A:$Z,21,FALSE)+VLOOKUP($A253,A:AL,31,FALSE)-50),"-",(VLOOKUP($A253,'NonXtal_SegEnds_BW#'!$A:$Z,21,FALSE)+VLOOKUP($A253,A:AL,31,FALSE)-50))</f>
        <v>269</v>
      </c>
      <c r="AE253" s="3">
        <v>295</v>
      </c>
      <c r="AF253" s="3">
        <f>IF(ISERROR((VLOOKUP($A253,'NonXtal_SegEnds_BW#'!$A:$Z,22,FALSE)+VLOOKUP($A253,A:AL,31,FALSE)-50)),"-",(VLOOKUP($A253,'NonXtal_SegEnds_BW#'!$A:$Z,22,FALSE)+VLOOKUP($A253,A:AL,31,FALSE)-50))</f>
        <v>306</v>
      </c>
      <c r="AG253" s="3">
        <f>IF(ISERROR(VLOOKUP($A253,'NonXtal_SegEnds_BW#'!$A:$Z,23,FALSE)+VLOOKUP($A253,A:AL,34,FALSE)-50),"-",(VLOOKUP($A253,'NonXtal_SegEnds_BW#'!$A:$Z,23,FALSE)+VLOOKUP($A253,A:AL,34,FALSE)-50))</f>
        <v>312</v>
      </c>
      <c r="AH253" s="3">
        <v>334</v>
      </c>
      <c r="AI253" s="3">
        <f>IF(ISERROR((VLOOKUP($A253,'NonXtal_SegEnds_BW#'!$A:$Z,24,FALSE)+VLOOKUP($A253,A:AL,34,FALSE)-50)),"-",(VLOOKUP($A253,'NonXtal_SegEnds_BW#'!$A:$Z,24,FALSE)+VLOOKUP($A253,A:AL,34,FALSE)-50))</f>
        <v>340</v>
      </c>
      <c r="AJ253" s="3">
        <f>IF(ISERROR(VLOOKUP($A253,'NonXtal_SegEnds_BW#'!$A:$Z,25,FALSE)+VLOOKUP($A253,A:AL,37,FALSE)-50),"-",(VLOOKUP($A253,'NonXtal_SegEnds_BW#'!$A:$Z,25,FALSE)+VLOOKUP($A253,A:AL,37,FALSE)-50))</f>
        <v>341</v>
      </c>
      <c r="AK253" s="3">
        <v>344</v>
      </c>
      <c r="AL253" s="3">
        <f>IF(ISERROR((VLOOKUP($A253,'NonXtal_SegEnds_BW#'!$A:$Z,26,FALSE)+VLOOKUP($A253,A:AL,37,FALSE)-50)),"-",(VLOOKUP($A253,'NonXtal_SegEnds_BW#'!$A:$Z,26,FALSE)+VLOOKUP($A253,A:AL,37,FALSE)-50))</f>
        <v>353</v>
      </c>
      <c r="AM253" s="71" t="str">
        <f>VLOOKUP(A253,Classification!A:B,2,FALSE)</f>
        <v>A</v>
      </c>
      <c r="AN253" s="71" t="b">
        <f t="shared" si="102"/>
        <v>1</v>
      </c>
      <c r="AO253" s="3" t="str">
        <f t="shared" si="103"/>
        <v>-</v>
      </c>
      <c r="AP253" s="3" t="str">
        <f t="shared" si="104"/>
        <v>-</v>
      </c>
      <c r="AQ253" s="3">
        <f t="shared" si="105"/>
        <v>2</v>
      </c>
      <c r="AR253" s="3">
        <f t="shared" si="106"/>
        <v>1</v>
      </c>
      <c r="AS253" s="3">
        <f t="shared" si="107"/>
        <v>1</v>
      </c>
      <c r="AT253" s="3">
        <f t="shared" si="108"/>
        <v>2</v>
      </c>
      <c r="AU253" s="3">
        <f t="shared" si="109"/>
        <v>17</v>
      </c>
      <c r="AV253" s="3">
        <f t="shared" si="110"/>
        <v>4</v>
      </c>
      <c r="AW253" s="3">
        <f t="shared" si="111"/>
        <v>24</v>
      </c>
      <c r="AX253" s="3">
        <f t="shared" si="112"/>
        <v>6</v>
      </c>
      <c r="AY253" s="3">
        <f t="shared" si="113"/>
        <v>1</v>
      </c>
      <c r="AZ253" s="3">
        <f>IF(ISERROR(LEN(VLOOKUP(A253,Seqs!A:E,2,FALSE))-AL253),"-",LEN(VLOOKUP(A253,Seqs!A:E,2,FALSE))-AL253)</f>
        <v>24</v>
      </c>
      <c r="BA253" s="35">
        <f t="shared" si="114"/>
        <v>27</v>
      </c>
      <c r="BB253" s="3">
        <f t="shared" si="115"/>
        <v>20</v>
      </c>
      <c r="BC253" s="3">
        <f t="shared" si="116"/>
        <v>27</v>
      </c>
      <c r="BD253" s="3">
        <f t="shared" si="117"/>
        <v>76</v>
      </c>
      <c r="BE253" s="3">
        <f>AH253-AE253</f>
        <v>39</v>
      </c>
    </row>
    <row r="254" spans="1:57" s="3" customFormat="1" x14ac:dyDescent="0.2">
      <c r="A254" s="3" t="s">
        <v>445</v>
      </c>
      <c r="B254" s="3" t="str">
        <f>LOWER(VLOOKUP(A254,Xtal_Templ!A:B,2,FALSE))</f>
        <v>oprk_human</v>
      </c>
      <c r="C254" s="3">
        <f>VLOOKUP($A254,'NonXtal_SegEnds_BW#'!$A:$Z,3,FALSE)+D254-50</f>
        <v>41</v>
      </c>
      <c r="D254" s="3">
        <v>61</v>
      </c>
      <c r="E254" s="3">
        <f>IF(ISERROR(VLOOKUP($A254,'NonXtal_SegEnds_BW#'!$A:$Z,4,FALSE)+VLOOKUP($A254,A:AL,4,FALSE)-50),"-",(VLOOKUP($A254,'NonXtal_SegEnds_BW#'!$A:$Z,4,FALSE)+VLOOKUP($A254,A:AL,4,FALSE)-50))</f>
        <v>71</v>
      </c>
      <c r="F254" s="3" t="str">
        <f>IF(ISERROR(VLOOKUP($A254,'NonXtal_SegEnds_BW#'!$A:$Z,5,FALSE)+VLOOKUP($A254,A:AL,7,FALSE)-50),"-",(VLOOKUP($A254,'NonXtal_SegEnds_BW#'!$A:$Z,5,FALSE)+VLOOKUP($A254,A:AL,7,FALSE)-50))</f>
        <v>-</v>
      </c>
      <c r="G254" s="3" t="s">
        <v>129</v>
      </c>
      <c r="H254" s="3" t="str">
        <f>IF(ISERROR(VLOOKUP($A254,'NonXtal_SegEnds_BW#'!$A:$Z,6,FALSE)+VLOOKUP($A254,A:AL,7,FALSE)-50),"-",(VLOOKUP($A254,'NonXtal_SegEnds_BW#'!$A:$Z,6,FALSE)+VLOOKUP($A254,A:AL,7,FALSE)-50))</f>
        <v>-</v>
      </c>
      <c r="I254" s="3">
        <f>VLOOKUP($A254,'NonXtal_SegEnds_BW#'!$A:$Z,7,FALSE)+J254-50</f>
        <v>75</v>
      </c>
      <c r="J254" s="3">
        <v>88</v>
      </c>
      <c r="K254" s="3">
        <f>VLOOKUP($A254,'NonXtal_SegEnds_BW#'!$A:$Z,8,FALSE)+VLOOKUP($A254,A:AL,10,FALSE)-50</f>
        <v>104</v>
      </c>
      <c r="L254" s="3">
        <f>M254-1</f>
        <v>106</v>
      </c>
      <c r="M254" s="3">
        <v>107</v>
      </c>
      <c r="N254" s="3">
        <f>M254+2</f>
        <v>109</v>
      </c>
      <c r="O254" s="3">
        <f>N254+1</f>
        <v>110</v>
      </c>
      <c r="P254" s="3">
        <v>139</v>
      </c>
      <c r="Q254" s="3">
        <f>VLOOKUP($A254,'NonXtal_SegEnds_BW#'!$A:$Z,12,FALSE)+VLOOKUP($A254,A:AL,16,FALSE)-50</f>
        <v>145</v>
      </c>
      <c r="R254" s="3">
        <f>IF(ISERROR(VLOOKUP($A254,'NonXtal_SegEnds_BW#'!$A:$Z,13,FALSE)+VLOOKUP($A254,A:AL,19,FALSE)-50),"-",VLOOKUP($A254,'NonXtal_SegEnds_BW#'!$A:$Z,13,FALSE)+VLOOKUP($A254,A:AL,19,FALSE)-50)</f>
        <v>146</v>
      </c>
      <c r="S254" s="3">
        <v>146</v>
      </c>
      <c r="T254" s="3">
        <f>IF(ISERROR(VLOOKUP($A254,'NonXtal_SegEnds_BW#'!$A:$Z,14,FALSE)+VLOOKUP($A254,A:AL,19,FALSE)-50),"-",(VLOOKUP($A254,'NonXtal_SegEnds_BW#'!$A:$Z,14,FALSE)+VLOOKUP($A254,A:AL,19,FALSE)-50))</f>
        <v>153</v>
      </c>
      <c r="U254" s="3">
        <f>IF(ISERROR(VLOOKUP($A254,'NonXtal_SegEnds_BW#'!$A:$Z,15,FALSE)+VLOOKUP($A254,A:AL,22,FALSE)-50),"-",VLOOKUP($A254,'NonXtal_SegEnds_BW#'!$A:$Z,15,FALSE)+VLOOKUP($A254,A:AL,22,FALSE)-50)</f>
        <v>155</v>
      </c>
      <c r="V254" s="3">
        <v>166</v>
      </c>
      <c r="W254" s="3">
        <f>IF(ISERROR(VLOOKUP($A254,'NonXtal_SegEnds_BW#'!$A:$Z,16,FALSE)+VLOOKUP($A254,A:AL,22,FALSE)-50),"-",(VLOOKUP($A254,'NonXtal_SegEnds_BW#'!$A:$Z,16,FALSE)+VLOOKUP($A254,A:AL,22,FALSE)-50))</f>
        <v>180</v>
      </c>
      <c r="X254" s="3">
        <f>IF(ISERROR(VLOOKUP($A254,'NonXtal_SegEnds_BW#'!$A:$Z,17,FALSE)+VLOOKUP($A254,A:AL,25,FALSE)-50),"-",(VLOOKUP($A254,'NonXtal_SegEnds_BW#'!$A:$Z,17,FALSE)+VLOOKUP($A254,A:AL,25,FALSE)-50))</f>
        <v>191</v>
      </c>
      <c r="Y254" s="3">
        <v>191</v>
      </c>
      <c r="Z254" s="3">
        <f>Y254+2</f>
        <v>193</v>
      </c>
      <c r="AA254" s="3">
        <f>IF(ISERROR(VLOOKUP($A254,'NonXtal_SegEnds_BW#'!$A:$Z,19,FALSE)+VLOOKUP($A254,A:AL,28,FALSE)-50),"-",(VLOOKUP($A254,'NonXtal_SegEnds_BW#'!$A:$Z,19,FALSE)+VLOOKUP($A254,A:AL,28,FALSE)-50))</f>
        <v>209</v>
      </c>
      <c r="AB254" s="3">
        <v>228</v>
      </c>
      <c r="AC254" s="3">
        <f>IF(ISERROR((VLOOKUP($A254,'NonXtal_SegEnds_BW#'!$A:$Z,20,FALSE)+VLOOKUP($A254,A:AL,28,FALSE)-50)),"-",(VLOOKUP($A254,'NonXtal_SegEnds_BW#'!$A:$Z,20,FALSE)+VLOOKUP($A254,A:AL,28,FALSE)-50))</f>
        <v>246</v>
      </c>
      <c r="AD254" s="3">
        <f>IF(ISERROR(VLOOKUP($A254,'NonXtal_SegEnds_BW#'!$A:$Z,21,FALSE)+VLOOKUP($A254,A:AL,31,FALSE)-50),"-",(VLOOKUP($A254,'NonXtal_SegEnds_BW#'!$A:$Z,21,FALSE)+VLOOKUP($A254,A:AL,31,FALSE)-50))</f>
        <v>251</v>
      </c>
      <c r="AE254" s="3">
        <v>271</v>
      </c>
      <c r="AF254" s="3">
        <f>IF(ISERROR((VLOOKUP($A254,'NonXtal_SegEnds_BW#'!$A:$Z,22,FALSE)+VLOOKUP($A254,A:AL,31,FALSE)-50)),"-",(VLOOKUP($A254,'NonXtal_SegEnds_BW#'!$A:$Z,22,FALSE)+VLOOKUP($A254,A:AL,31,FALSE)-50))</f>
        <v>282</v>
      </c>
      <c r="AG254" s="3">
        <f>IF(ISERROR(VLOOKUP($A254,'NonXtal_SegEnds_BW#'!$A:$Z,23,FALSE)+VLOOKUP($A254,A:AL,34,FALSE)-50),"-",(VLOOKUP($A254,'NonXtal_SegEnds_BW#'!$A:$Z,23,FALSE)+VLOOKUP($A254,A:AL,34,FALSE)-50))</f>
        <v>291</v>
      </c>
      <c r="AH254" s="3">
        <v>313</v>
      </c>
      <c r="AI254" s="3">
        <f>IF(ISERROR((VLOOKUP($A254,'NonXtal_SegEnds_BW#'!$A:$Z,24,FALSE)+VLOOKUP($A254,A:AL,34,FALSE)-50)),"-",(VLOOKUP($A254,'NonXtal_SegEnds_BW#'!$A:$Z,24,FALSE)+VLOOKUP($A254,A:AL,34,FALSE)-50))</f>
        <v>319</v>
      </c>
      <c r="AJ254" s="3">
        <f>IF(ISERROR(VLOOKUP($A254,'NonXtal_SegEnds_BW#'!$A:$Z,25,FALSE)+VLOOKUP($A254,A:AL,37,FALSE)-50),"-",(VLOOKUP($A254,'NonXtal_SegEnds_BW#'!$A:$Z,25,FALSE)+VLOOKUP($A254,A:AL,37,FALSE)-50))</f>
        <v>320</v>
      </c>
      <c r="AK254" s="3">
        <v>323</v>
      </c>
      <c r="AL254" s="3">
        <f>IF(ISERROR((VLOOKUP($A254,'NonXtal_SegEnds_BW#'!$A:$Z,26,FALSE)+VLOOKUP($A254,A:AL,37,FALSE)-50)),"-",(VLOOKUP($A254,'NonXtal_SegEnds_BW#'!$A:$Z,26,FALSE)+VLOOKUP($A254,A:AL,37,FALSE)-50))</f>
        <v>332</v>
      </c>
      <c r="AM254" s="71" t="str">
        <f>VLOOKUP(A254,Classification!A:B,2,FALSE)</f>
        <v>A</v>
      </c>
      <c r="AN254" s="71" t="b">
        <f t="shared" si="102"/>
        <v>1</v>
      </c>
      <c r="AO254" s="3" t="str">
        <f t="shared" si="103"/>
        <v>-</v>
      </c>
      <c r="AP254" s="3" t="str">
        <f t="shared" si="104"/>
        <v>-</v>
      </c>
      <c r="AQ254" s="3">
        <f t="shared" si="105"/>
        <v>2</v>
      </c>
      <c r="AR254" s="3">
        <f t="shared" si="106"/>
        <v>1</v>
      </c>
      <c r="AS254" s="3">
        <f t="shared" si="107"/>
        <v>1</v>
      </c>
      <c r="AT254" s="3">
        <f t="shared" si="108"/>
        <v>2</v>
      </c>
      <c r="AU254" s="3">
        <f t="shared" si="109"/>
        <v>11</v>
      </c>
      <c r="AV254" s="3">
        <f t="shared" si="110"/>
        <v>16</v>
      </c>
      <c r="AW254" s="3">
        <f t="shared" si="111"/>
        <v>5</v>
      </c>
      <c r="AX254" s="3">
        <f t="shared" si="112"/>
        <v>9</v>
      </c>
      <c r="AY254" s="3">
        <f t="shared" si="113"/>
        <v>1</v>
      </c>
      <c r="AZ254" s="3">
        <f>IF(ISERROR(LEN(VLOOKUP(A254,Seqs!A:E,2,FALSE))-AL254),"-",LEN(VLOOKUP(A254,Seqs!A:E,2,FALSE))-AL254)</f>
        <v>24</v>
      </c>
      <c r="BA254" s="35">
        <f t="shared" si="114"/>
        <v>27</v>
      </c>
      <c r="BB254" s="3">
        <f t="shared" si="115"/>
        <v>20</v>
      </c>
      <c r="BC254" s="3">
        <f t="shared" si="116"/>
        <v>27</v>
      </c>
      <c r="BD254" s="3">
        <f t="shared" si="117"/>
        <v>43</v>
      </c>
      <c r="BE254" s="3">
        <f>AH254-AE254</f>
        <v>42</v>
      </c>
    </row>
    <row r="255" spans="1:57" s="3" customFormat="1" x14ac:dyDescent="0.2">
      <c r="A255" s="3" t="s">
        <v>358</v>
      </c>
      <c r="B255" s="3" t="str">
        <f>LOWER(VLOOKUP(A255,Xtal_Templ!A:B,2,FALSE))</f>
        <v>oprk_human</v>
      </c>
      <c r="C255" s="3">
        <f>VLOOKUP($A255,'NonXtal_SegEnds_BW#'!$A:$Z,3,FALSE)+D255-50</f>
        <v>21</v>
      </c>
      <c r="D255" s="3">
        <v>41</v>
      </c>
      <c r="E255" s="3">
        <f>IF(ISERROR(VLOOKUP($A255,'NonXtal_SegEnds_BW#'!$A:$Z,4,FALSE)+VLOOKUP($A255,A:AL,4,FALSE)-50),"-",(VLOOKUP($A255,'NonXtal_SegEnds_BW#'!$A:$Z,4,FALSE)+VLOOKUP($A255,A:AL,4,FALSE)-50))</f>
        <v>51</v>
      </c>
      <c r="F255" s="3" t="str">
        <f>IF(ISERROR(VLOOKUP($A255,'NonXtal_SegEnds_BW#'!$A:$Z,5,FALSE)+VLOOKUP($A255,A:AL,7,FALSE)-50),"-",(VLOOKUP($A255,'NonXtal_SegEnds_BW#'!$A:$Z,5,FALSE)+VLOOKUP($A255,A:AL,7,FALSE)-50))</f>
        <v>-</v>
      </c>
      <c r="G255" s="3" t="s">
        <v>129</v>
      </c>
      <c r="H255" s="3" t="str">
        <f>IF(ISERROR(VLOOKUP($A255,'NonXtal_SegEnds_BW#'!$A:$Z,6,FALSE)+VLOOKUP($A255,A:AL,7,FALSE)-50),"-",(VLOOKUP($A255,'NonXtal_SegEnds_BW#'!$A:$Z,6,FALSE)+VLOOKUP($A255,A:AL,7,FALSE)-50))</f>
        <v>-</v>
      </c>
      <c r="I255" s="3">
        <f>VLOOKUP($A255,'NonXtal_SegEnds_BW#'!$A:$Z,7,FALSE)+J255-50</f>
        <v>55</v>
      </c>
      <c r="J255" s="3">
        <v>68</v>
      </c>
      <c r="K255" s="3">
        <f>VLOOKUP($A255,'NonXtal_SegEnds_BW#'!$A:$Z,8,FALSE)+VLOOKUP($A255,A:AL,10,FALSE)-50</f>
        <v>84</v>
      </c>
      <c r="L255" s="3">
        <f>M255-1</f>
        <v>87</v>
      </c>
      <c r="M255" s="3">
        <v>88</v>
      </c>
      <c r="N255" s="3">
        <f>M255+2</f>
        <v>90</v>
      </c>
      <c r="O255" s="3">
        <f>N255+1</f>
        <v>91</v>
      </c>
      <c r="P255" s="3">
        <v>120</v>
      </c>
      <c r="Q255" s="3">
        <f>VLOOKUP($A255,'NonXtal_SegEnds_BW#'!$A:$Z,12,FALSE)+VLOOKUP($A255,A:AL,16,FALSE)-50</f>
        <v>126</v>
      </c>
      <c r="R255" s="3">
        <f>IF(ISERROR(VLOOKUP($A255,'NonXtal_SegEnds_BW#'!$A:$Z,13,FALSE)+VLOOKUP($A255,A:AL,19,FALSE)-50),"-",VLOOKUP($A255,'NonXtal_SegEnds_BW#'!$A:$Z,13,FALSE)+VLOOKUP($A255,A:AL,19,FALSE)-50)</f>
        <v>127</v>
      </c>
      <c r="S255" s="3">
        <v>127</v>
      </c>
      <c r="T255" s="3">
        <f>IF(ISERROR(VLOOKUP($A255,'NonXtal_SegEnds_BW#'!$A:$Z,14,FALSE)+VLOOKUP($A255,A:AL,19,FALSE)-50),"-",(VLOOKUP($A255,'NonXtal_SegEnds_BW#'!$A:$Z,14,FALSE)+VLOOKUP($A255,A:AL,19,FALSE)-50))</f>
        <v>134</v>
      </c>
      <c r="U255" s="3">
        <f>IF(ISERROR(VLOOKUP($A255,'NonXtal_SegEnds_BW#'!$A:$Z,15,FALSE)+VLOOKUP($A255,A:AL,22,FALSE)-50),"-",VLOOKUP($A255,'NonXtal_SegEnds_BW#'!$A:$Z,15,FALSE)+VLOOKUP($A255,A:AL,22,FALSE)-50)</f>
        <v>136</v>
      </c>
      <c r="V255" s="3">
        <v>147</v>
      </c>
      <c r="W255" s="3">
        <f>IF(ISERROR(VLOOKUP($A255,'NonXtal_SegEnds_BW#'!$A:$Z,16,FALSE)+VLOOKUP($A255,A:AL,22,FALSE)-50),"-",(VLOOKUP($A255,'NonXtal_SegEnds_BW#'!$A:$Z,16,FALSE)+VLOOKUP($A255,A:AL,22,FALSE)-50))</f>
        <v>161</v>
      </c>
      <c r="X255" s="3">
        <f>IF(ISERROR(VLOOKUP($A255,'NonXtal_SegEnds_BW#'!$A:$Z,17,FALSE)+VLOOKUP($A255,A:AL,25,FALSE)-50),"-",(VLOOKUP($A255,'NonXtal_SegEnds_BW#'!$A:$Z,17,FALSE)+VLOOKUP($A255,A:AL,25,FALSE)-50))</f>
        <v>172</v>
      </c>
      <c r="Y255" s="3">
        <v>172</v>
      </c>
      <c r="Z255" s="3">
        <f>Y255+2</f>
        <v>174</v>
      </c>
      <c r="AA255" s="3">
        <f>IF(ISERROR(VLOOKUP($A255,'NonXtal_SegEnds_BW#'!$A:$Z,19,FALSE)+VLOOKUP($A255,A:AL,28,FALSE)-50),"-",(VLOOKUP($A255,'NonXtal_SegEnds_BW#'!$A:$Z,19,FALSE)+VLOOKUP($A255,A:AL,28,FALSE)-50))</f>
        <v>329</v>
      </c>
      <c r="AB255" s="3">
        <v>348</v>
      </c>
      <c r="AC255" s="3">
        <f>IF(ISERROR((VLOOKUP($A255,'NonXtal_SegEnds_BW#'!$A:$Z,20,FALSE)+VLOOKUP($A255,A:AL,28,FALSE)-50)),"-",(VLOOKUP($A255,'NonXtal_SegEnds_BW#'!$A:$Z,20,FALSE)+VLOOKUP($A255,A:AL,28,FALSE)-50))</f>
        <v>366</v>
      </c>
      <c r="AD255" s="3">
        <f>IF(ISERROR(VLOOKUP($A255,'NonXtal_SegEnds_BW#'!$A:$Z,21,FALSE)+VLOOKUP($A255,A:AL,31,FALSE)-50),"-",(VLOOKUP($A255,'NonXtal_SegEnds_BW#'!$A:$Z,21,FALSE)+VLOOKUP($A255,A:AL,31,FALSE)-50))</f>
        <v>372</v>
      </c>
      <c r="AE255" s="3">
        <v>392</v>
      </c>
      <c r="AF255" s="3">
        <f>IF(ISERROR((VLOOKUP($A255,'NonXtal_SegEnds_BW#'!$A:$Z,22,FALSE)+VLOOKUP($A255,A:AL,31,FALSE)-50)),"-",(VLOOKUP($A255,'NonXtal_SegEnds_BW#'!$A:$Z,22,FALSE)+VLOOKUP($A255,A:AL,31,FALSE)-50))</f>
        <v>403</v>
      </c>
      <c r="AG255" s="3">
        <f>IF(ISERROR(VLOOKUP($A255,'NonXtal_SegEnds_BW#'!$A:$Z,23,FALSE)+VLOOKUP($A255,A:AL,34,FALSE)-50),"-",(VLOOKUP($A255,'NonXtal_SegEnds_BW#'!$A:$Z,23,FALSE)+VLOOKUP($A255,A:AL,34,FALSE)-50))</f>
        <v>410</v>
      </c>
      <c r="AH255" s="3">
        <v>432</v>
      </c>
      <c r="AI255" s="3">
        <f>IF(ISERROR((VLOOKUP($A255,'NonXtal_SegEnds_BW#'!$A:$Z,24,FALSE)+VLOOKUP($A255,A:AL,34,FALSE)-50)),"-",(VLOOKUP($A255,'NonXtal_SegEnds_BW#'!$A:$Z,24,FALSE)+VLOOKUP($A255,A:AL,34,FALSE)-50))</f>
        <v>438</v>
      </c>
      <c r="AJ255" s="3">
        <f>IF(ISERROR(VLOOKUP($A255,'NonXtal_SegEnds_BW#'!$A:$Z,25,FALSE)+VLOOKUP($A255,A:AL,37,FALSE)-50),"-",(VLOOKUP($A255,'NonXtal_SegEnds_BW#'!$A:$Z,25,FALSE)+VLOOKUP($A255,A:AL,37,FALSE)-50))</f>
        <v>439</v>
      </c>
      <c r="AK255" s="3">
        <v>442</v>
      </c>
      <c r="AL255" s="3">
        <f>IF(ISERROR((VLOOKUP($A255,'NonXtal_SegEnds_BW#'!$A:$Z,26,FALSE)+VLOOKUP($A255,A:AL,37,FALSE)-50)),"-",(VLOOKUP($A255,'NonXtal_SegEnds_BW#'!$A:$Z,26,FALSE)+VLOOKUP($A255,A:AL,37,FALSE)-50))</f>
        <v>451</v>
      </c>
      <c r="AM255" s="71" t="str">
        <f>VLOOKUP(A255,Classification!A:B,2,FALSE)</f>
        <v>A</v>
      </c>
      <c r="AN255" s="71" t="b">
        <f t="shared" si="102"/>
        <v>1</v>
      </c>
      <c r="AO255" s="3" t="str">
        <f t="shared" si="103"/>
        <v>-</v>
      </c>
      <c r="AP255" s="3" t="str">
        <f t="shared" si="104"/>
        <v>-</v>
      </c>
      <c r="AQ255" s="3">
        <f t="shared" si="105"/>
        <v>3</v>
      </c>
      <c r="AR255" s="3">
        <f t="shared" si="106"/>
        <v>1</v>
      </c>
      <c r="AS255" s="3">
        <f t="shared" si="107"/>
        <v>1</v>
      </c>
      <c r="AT255" s="3">
        <f t="shared" si="108"/>
        <v>2</v>
      </c>
      <c r="AU255" s="3">
        <f t="shared" si="109"/>
        <v>11</v>
      </c>
      <c r="AV255" s="3">
        <f t="shared" si="110"/>
        <v>155</v>
      </c>
      <c r="AW255" s="3">
        <f t="shared" si="111"/>
        <v>6</v>
      </c>
      <c r="AX255" s="3">
        <f t="shared" si="112"/>
        <v>7</v>
      </c>
      <c r="AY255" s="3">
        <f t="shared" si="113"/>
        <v>1</v>
      </c>
      <c r="AZ255" s="3">
        <f>IF(ISERROR(LEN(VLOOKUP(A255,Seqs!A:E,2,FALSE))-AL255),"-",LEN(VLOOKUP(A255,Seqs!A:E,2,FALSE))-AL255)</f>
        <v>31</v>
      </c>
      <c r="BA255" s="35">
        <f t="shared" si="114"/>
        <v>27</v>
      </c>
      <c r="BB255" s="3">
        <f t="shared" si="115"/>
        <v>20</v>
      </c>
      <c r="BC255" s="3">
        <f t="shared" si="116"/>
        <v>27</v>
      </c>
      <c r="BD255" s="3">
        <f t="shared" si="117"/>
        <v>44</v>
      </c>
    </row>
    <row r="256" spans="1:57" s="3" customFormat="1" x14ac:dyDescent="0.2">
      <c r="A256" s="3" t="s">
        <v>661</v>
      </c>
      <c r="B256" s="3" t="str">
        <f>LOWER(VLOOKUP(A256,Xtal_Templ!A:B,2,FALSE))</f>
        <v>oprm_mouse</v>
      </c>
      <c r="C256" s="3">
        <f>VLOOKUP($A256,'NonXtal_SegEnds_BW#'!$A:$Z,3,FALSE)+D256-50</f>
        <v>18</v>
      </c>
      <c r="D256" s="3">
        <v>36</v>
      </c>
      <c r="E256" s="3">
        <f>F256-1</f>
        <v>48</v>
      </c>
      <c r="F256" s="3">
        <f t="shared" ref="F256:F262" si="129">G256-2</f>
        <v>49</v>
      </c>
      <c r="G256" s="3">
        <v>51</v>
      </c>
      <c r="H256" s="3">
        <f t="shared" ref="H256:I262" si="130">G256+1</f>
        <v>52</v>
      </c>
      <c r="I256" s="3">
        <f t="shared" si="130"/>
        <v>53</v>
      </c>
      <c r="J256" s="3">
        <v>67</v>
      </c>
      <c r="K256" s="3">
        <f>VLOOKUP($A256,'NonXtal_SegEnds_BW#'!$A:$Z,8,FALSE)+VLOOKUP($A256,A:AL,10,FALSE)-50</f>
        <v>84</v>
      </c>
      <c r="L256" s="3" t="str">
        <f>IF(ISERROR(VLOOKUP($A256,'NonXtal_SegEnds_BW#'!$A:$Z,9,FALSE)+VLOOKUP($A256,A:AL,13,FALSE)-50),"-",(VLOOKUP($A256,'NonXtal_SegEnds_BW#'!$A:$Z,9,FALSE)+VLOOKUP($A256,A:AL,13,FALSE)-50))</f>
        <v>-</v>
      </c>
      <c r="M256" s="3" t="s">
        <v>129</v>
      </c>
      <c r="N256" s="3" t="str">
        <f>IF(ISERROR(VLOOKUP($A256,'NonXtal_SegEnds_BW#'!$A:$Z,10,FALSE)+VLOOKUP($A256,A:AL,13,FALSE)-50),"-",(VLOOKUP($A256,'NonXtal_SegEnds_BW#'!$A:$Z,10,FALSE)+VLOOKUP($A256,A:AL,13,FALSE)-50))</f>
        <v>-</v>
      </c>
      <c r="O256" s="3">
        <f>VLOOKUP($A256,'NonXtal_SegEnds_BW#'!$A:$Z,11,FALSE)+VLOOKUP($A256,A:AL,16,FALSE)-50</f>
        <v>87</v>
      </c>
      <c r="P256" s="3">
        <v>119</v>
      </c>
      <c r="Q256" s="3">
        <f>VLOOKUP($A256,'NonXtal_SegEnds_BW#'!$A:$Z,12,FALSE)+VLOOKUP($A256,A:AL,16,FALSE)-50</f>
        <v>125</v>
      </c>
      <c r="R256" s="3">
        <f>S256</f>
        <v>128</v>
      </c>
      <c r="S256" s="3">
        <v>128</v>
      </c>
      <c r="T256" s="3">
        <f>S256+7</f>
        <v>135</v>
      </c>
      <c r="U256" s="3">
        <f>IF(ISERROR(VLOOKUP($A256,'NonXtal_SegEnds_BW#'!$A:$Z,15,FALSE)+VLOOKUP($A256,A:AL,22,FALSE)-50),"-",VLOOKUP($A256,'NonXtal_SegEnds_BW#'!$A:$Z,15,FALSE)+VLOOKUP($A256,A:AL,22,FALSE)-50)</f>
        <v>137</v>
      </c>
      <c r="V256" s="3">
        <v>148</v>
      </c>
      <c r="W256" s="3">
        <f>IF(ISERROR(VLOOKUP($A256,'NonXtal_SegEnds_BW#'!$A:$Z,16,FALSE)+VLOOKUP($A256,A:AL,22,FALSE)-50),"-",(VLOOKUP($A256,'NonXtal_SegEnds_BW#'!$A:$Z,16,FALSE)+VLOOKUP($A256,A:AL,22,FALSE)-50))</f>
        <v>162</v>
      </c>
      <c r="X256" s="3" t="str">
        <f>IF(ISERROR(VLOOKUP($A256,'NonXtal_SegEnds_BW#'!$A:$Z,17,FALSE)+VLOOKUP($A256,A:AL,25,FALSE)-50),"-",(VLOOKUP($A256,'NonXtal_SegEnds_BW#'!$A:$Z,17,FALSE)+VLOOKUP($A256,A:AL,25,FALSE)-50))</f>
        <v>-</v>
      </c>
      <c r="Y256" s="3" t="s">
        <v>129</v>
      </c>
      <c r="Z256" s="3" t="str">
        <f>IF(ISERROR(VLOOKUP($A256,'NonXtal_SegEnds_BW#'!$A:$Z,18,FALSE)+VLOOKUP($A256,A:AL,25,FALSE)-50),"-",(VLOOKUP($A256,'NonXtal_SegEnds_BW#'!$A:$Z,18,FALSE)+VLOOKUP($A256,A:AL,25,FALSE)-50))</f>
        <v>-</v>
      </c>
      <c r="AA256" s="3">
        <f>IF(ISERROR(VLOOKUP($A256,'NonXtal_SegEnds_BW#'!$A:$Z,19,FALSE)+VLOOKUP($A256,A:AL,28,FALSE)-50),"-",(VLOOKUP($A256,'NonXtal_SegEnds_BW#'!$A:$Z,19,FALSE)+VLOOKUP($A256,A:AL,28,FALSE)-50))</f>
        <v>187</v>
      </c>
      <c r="AB256" s="3">
        <v>205</v>
      </c>
      <c r="AC256" s="3">
        <f>IF(ISERROR((VLOOKUP($A256,'NonXtal_SegEnds_BW#'!$A:$Z,20,FALSE)+VLOOKUP($A256,A:AL,28,FALSE)-50)),"-",(VLOOKUP($A256,'NonXtal_SegEnds_BW#'!$A:$Z,20,FALSE)+VLOOKUP($A256,A:AL,28,FALSE)-50))</f>
        <v>227</v>
      </c>
      <c r="AD256" s="3">
        <f>IF(ISERROR(VLOOKUP($A256,'NonXtal_SegEnds_BW#'!$A:$Z,21,FALSE)+VLOOKUP($A256,A:AL,31,FALSE)-50),"-",(VLOOKUP($A256,'NonXtal_SegEnds_BW#'!$A:$Z,21,FALSE)+VLOOKUP($A256,A:AL,31,FALSE)-50))</f>
        <v>237</v>
      </c>
      <c r="AE256" s="3">
        <v>258</v>
      </c>
      <c r="AF256" s="3">
        <f>IF(ISERROR((VLOOKUP($A256,'NonXtal_SegEnds_BW#'!$A:$Z,22,FALSE)+VLOOKUP($A256,A:AL,31,FALSE)-50)),"-",(VLOOKUP($A256,'NonXtal_SegEnds_BW#'!$A:$Z,22,FALSE)+VLOOKUP($A256,A:AL,31,FALSE)-50))</f>
        <v>269</v>
      </c>
      <c r="AG256" s="3">
        <f>IF(ISERROR(VLOOKUP($A256,'NonXtal_SegEnds_BW#'!$A:$Z,23,FALSE)+VLOOKUP($A256,A:AL,34,FALSE)-50),"-",(VLOOKUP($A256,'NonXtal_SegEnds_BW#'!$A:$Z,23,FALSE)+VLOOKUP($A256,A:AL,34,FALSE)-50))</f>
        <v>274</v>
      </c>
      <c r="AH256" s="3">
        <v>293</v>
      </c>
      <c r="AI256" s="3">
        <f>IF(ISERROR((VLOOKUP($A256,'NonXtal_SegEnds_BW#'!$A:$Z,24,FALSE)+VLOOKUP($A256,A:AL,34,FALSE)-50)),"-",(VLOOKUP($A256,'NonXtal_SegEnds_BW#'!$A:$Z,24,FALSE)+VLOOKUP($A256,A:AL,34,FALSE)-50))</f>
        <v>299</v>
      </c>
      <c r="AJ256" s="3">
        <f>IF(ISERROR(VLOOKUP($A256,'NonXtal_SegEnds_BW#'!$A:$Z,25,FALSE)+VLOOKUP($A256,A:AL,37,FALSE)-50),"-",(VLOOKUP($A256,'NonXtal_SegEnds_BW#'!$A:$Z,25,FALSE)+VLOOKUP($A256,A:AL,37,FALSE)-50))</f>
        <v>300</v>
      </c>
      <c r="AK256" s="3">
        <v>303</v>
      </c>
      <c r="AL256" s="3">
        <f>IF(ISERROR((VLOOKUP($A256,'NonXtal_SegEnds_BW#'!$A:$Z,26,FALSE)+VLOOKUP($A256,A:AL,37,FALSE)-50)),"-",(VLOOKUP($A256,'NonXtal_SegEnds_BW#'!$A:$Z,26,FALSE)+VLOOKUP($A256,A:AL,37,FALSE)-50))</f>
        <v>313</v>
      </c>
      <c r="AM256" s="71" t="str">
        <f>VLOOKUP(A256,Classification!A:B,2,FALSE)</f>
        <v>T</v>
      </c>
      <c r="AN256" s="71" t="b">
        <f t="shared" si="102"/>
        <v>1</v>
      </c>
      <c r="AO256" s="3">
        <f t="shared" si="103"/>
        <v>1</v>
      </c>
      <c r="AP256" s="3">
        <f t="shared" si="104"/>
        <v>1</v>
      </c>
      <c r="AQ256" s="3" t="str">
        <f t="shared" si="105"/>
        <v>-</v>
      </c>
      <c r="AR256" s="3" t="str">
        <f t="shared" si="106"/>
        <v>-</v>
      </c>
      <c r="AS256" s="3">
        <f t="shared" si="107"/>
        <v>3</v>
      </c>
      <c r="AT256" s="3">
        <f t="shared" si="108"/>
        <v>2</v>
      </c>
      <c r="AU256" s="3" t="str">
        <f t="shared" si="109"/>
        <v>-</v>
      </c>
      <c r="AV256" s="3" t="str">
        <f t="shared" si="110"/>
        <v>-</v>
      </c>
      <c r="AW256" s="3">
        <f t="shared" si="111"/>
        <v>10</v>
      </c>
      <c r="AX256" s="3">
        <f t="shared" si="112"/>
        <v>5</v>
      </c>
      <c r="AY256" s="3">
        <f t="shared" si="113"/>
        <v>1</v>
      </c>
      <c r="AZ256" s="3">
        <f>IF(ISERROR(LEN(VLOOKUP(A256,Seqs!A:E,2,FALSE))-AL256),"-",LEN(VLOOKUP(A256,Seqs!A:E,2,FALSE))-AL256)</f>
        <v>10</v>
      </c>
      <c r="BA256" s="35">
        <f t="shared" si="114"/>
        <v>31</v>
      </c>
      <c r="BB256" s="3">
        <f t="shared" si="115"/>
        <v>20</v>
      </c>
      <c r="BC256" s="3">
        <f t="shared" si="116"/>
        <v>31</v>
      </c>
      <c r="BD256" s="3">
        <f t="shared" si="117"/>
        <v>53</v>
      </c>
      <c r="BE256" s="3">
        <f>AH256-AE256</f>
        <v>35</v>
      </c>
    </row>
    <row r="257" spans="1:57" s="3" customFormat="1" x14ac:dyDescent="0.2">
      <c r="A257" s="3" t="s">
        <v>531</v>
      </c>
      <c r="B257" s="3" t="str">
        <f>LOWER(VLOOKUP(A257,Xtal_Templ!A:B,2,FALSE))</f>
        <v>oprm_mouse</v>
      </c>
      <c r="C257" s="3">
        <f>VLOOKUP($A257,'NonXtal_SegEnds_BW#'!$A:$Z,3,FALSE)+D257-50</f>
        <v>67</v>
      </c>
      <c r="D257" s="3">
        <v>88</v>
      </c>
      <c r="E257" s="3">
        <f>IF(ISERROR(VLOOKUP($A257,'NonXtal_SegEnds_BW#'!$A:$Z,4,FALSE)+VLOOKUP($A257,A:AL,4,FALSE)-50),"-",(VLOOKUP($A257,'NonXtal_SegEnds_BW#'!$A:$Z,4,FALSE)+VLOOKUP($A257,A:AL,4,FALSE)-50))</f>
        <v>98</v>
      </c>
      <c r="F257" s="3">
        <f t="shared" si="129"/>
        <v>99</v>
      </c>
      <c r="G257" s="3">
        <v>101</v>
      </c>
      <c r="H257" s="3">
        <f t="shared" si="130"/>
        <v>102</v>
      </c>
      <c r="I257" s="3">
        <f t="shared" si="130"/>
        <v>103</v>
      </c>
      <c r="J257" s="3">
        <v>116</v>
      </c>
      <c r="K257" s="3">
        <f>VLOOKUP($A257,'NonXtal_SegEnds_BW#'!$A:$Z,8,FALSE)+VLOOKUP($A257,A:AL,10,FALSE)-50</f>
        <v>132</v>
      </c>
      <c r="L257" s="3">
        <f>M257-1</f>
        <v>134</v>
      </c>
      <c r="M257" s="3">
        <v>135</v>
      </c>
      <c r="N257" s="3">
        <f>M257+2</f>
        <v>137</v>
      </c>
      <c r="O257" s="3">
        <f t="shared" ref="O257:O266" si="131">N257+1</f>
        <v>138</v>
      </c>
      <c r="P257" s="3">
        <v>167</v>
      </c>
      <c r="Q257" s="3">
        <f>VLOOKUP($A257,'NonXtal_SegEnds_BW#'!$A:$Z,12,FALSE)+VLOOKUP($A257,A:AL,16,FALSE)-50</f>
        <v>173</v>
      </c>
      <c r="R257" s="3">
        <f>IF(ISERROR(VLOOKUP($A257,'NonXtal_SegEnds_BW#'!$A:$Z,13,FALSE)+VLOOKUP($A257,A:AL,19,FALSE)-50),"-",VLOOKUP($A257,'NonXtal_SegEnds_BW#'!$A:$Z,13,FALSE)+VLOOKUP($A257,A:AL,19,FALSE)-50)</f>
        <v>174</v>
      </c>
      <c r="S257" s="3">
        <v>174</v>
      </c>
      <c r="T257" s="3">
        <f>IF(ISERROR(VLOOKUP($A257,'NonXtal_SegEnds_BW#'!$A:$Z,14,FALSE)+VLOOKUP($A257,A:AL,19,FALSE)-50),"-",(VLOOKUP($A257,'NonXtal_SegEnds_BW#'!$A:$Z,14,FALSE)+VLOOKUP($A257,A:AL,19,FALSE)-50))</f>
        <v>181</v>
      </c>
      <c r="U257" s="3">
        <f>IF(ISERROR(VLOOKUP($A257,'NonXtal_SegEnds_BW#'!$A:$Z,15,FALSE)+VLOOKUP($A257,A:AL,22,FALSE)-50),"-",VLOOKUP($A257,'NonXtal_SegEnds_BW#'!$A:$Z,15,FALSE)+VLOOKUP($A257,A:AL,22,FALSE)-50)</f>
        <v>183</v>
      </c>
      <c r="V257" s="3">
        <v>194</v>
      </c>
      <c r="W257" s="3">
        <f>IF(ISERROR(VLOOKUP($A257,'NonXtal_SegEnds_BW#'!$A:$Z,16,FALSE)+VLOOKUP($A257,A:AL,22,FALSE)-50),"-",(VLOOKUP($A257,'NonXtal_SegEnds_BW#'!$A:$Z,16,FALSE)+VLOOKUP($A257,A:AL,22,FALSE)-50))</f>
        <v>208</v>
      </c>
      <c r="X257" s="3">
        <f>IF(ISERROR(VLOOKUP($A257,'NonXtal_SegEnds_BW#'!$A:$Z,17,FALSE)+VLOOKUP($A257,A:AL,25,FALSE)-50),"-",(VLOOKUP($A257,'NonXtal_SegEnds_BW#'!$A:$Z,17,FALSE)+VLOOKUP($A257,A:AL,25,FALSE)-50))</f>
        <v>219</v>
      </c>
      <c r="Y257" s="3">
        <v>219</v>
      </c>
      <c r="Z257" s="3">
        <f t="shared" ref="Z257:Z266" si="132">Y257+2</f>
        <v>221</v>
      </c>
      <c r="AA257" s="3">
        <f>IF(ISERROR(VLOOKUP($A257,'NonXtal_SegEnds_BW#'!$A:$Z,19,FALSE)+VLOOKUP($A257,A:AL,28,FALSE)-50),"-",(VLOOKUP($A257,'NonXtal_SegEnds_BW#'!$A:$Z,19,FALSE)+VLOOKUP($A257,A:AL,28,FALSE)-50))</f>
        <v>227</v>
      </c>
      <c r="AB257" s="3">
        <v>246</v>
      </c>
      <c r="AC257" s="3">
        <f>IF(ISERROR((VLOOKUP($A257,'NonXtal_SegEnds_BW#'!$A:$Z,20,FALSE)+VLOOKUP($A257,A:AL,28,FALSE)-50)),"-",(VLOOKUP($A257,'NonXtal_SegEnds_BW#'!$A:$Z,20,FALSE)+VLOOKUP($A257,A:AL,28,FALSE)-50))</f>
        <v>264</v>
      </c>
      <c r="AD257" s="3">
        <f>IF(ISERROR(VLOOKUP($A257,'NonXtal_SegEnds_BW#'!$A:$Z,21,FALSE)+VLOOKUP($A257,A:AL,31,FALSE)-50),"-",(VLOOKUP($A257,'NonXtal_SegEnds_BW#'!$A:$Z,21,FALSE)+VLOOKUP($A257,A:AL,31,FALSE)-50))</f>
        <v>270</v>
      </c>
      <c r="AE257" s="3">
        <v>297</v>
      </c>
      <c r="AF257" s="3">
        <f>IF(ISERROR((VLOOKUP($A257,'NonXtal_SegEnds_BW#'!$A:$Z,22,FALSE)+VLOOKUP($A257,A:AL,31,FALSE)-50)),"-",(VLOOKUP($A257,'NonXtal_SegEnds_BW#'!$A:$Z,22,FALSE)+VLOOKUP($A257,A:AL,31,FALSE)-50))</f>
        <v>308</v>
      </c>
      <c r="AG257" s="3">
        <f>IF(ISERROR(VLOOKUP($A257,'NonXtal_SegEnds_BW#'!$A:$Z,23,FALSE)+VLOOKUP($A257,A:AL,34,FALSE)-50),"-",(VLOOKUP($A257,'NonXtal_SegEnds_BW#'!$A:$Z,23,FALSE)+VLOOKUP($A257,A:AL,34,FALSE)-50))</f>
        <v>313</v>
      </c>
      <c r="AH257" s="3">
        <v>335</v>
      </c>
      <c r="AI257" s="3">
        <f>IF(ISERROR((VLOOKUP($A257,'NonXtal_SegEnds_BW#'!$A:$Z,24,FALSE)+VLOOKUP($A257,A:AL,34,FALSE)-50)),"-",(VLOOKUP($A257,'NonXtal_SegEnds_BW#'!$A:$Z,24,FALSE)+VLOOKUP($A257,A:AL,34,FALSE)-50))</f>
        <v>341</v>
      </c>
      <c r="AJ257" s="3">
        <f>IF(ISERROR(VLOOKUP($A257,'NonXtal_SegEnds_BW#'!$A:$Z,25,FALSE)+VLOOKUP($A257,A:AL,37,FALSE)-50),"-",(VLOOKUP($A257,'NonXtal_SegEnds_BW#'!$A:$Z,25,FALSE)+VLOOKUP($A257,A:AL,37,FALSE)-50))</f>
        <v>342</v>
      </c>
      <c r="AK257" s="3">
        <v>345</v>
      </c>
      <c r="AL257" s="3">
        <f>IF(ISERROR((VLOOKUP($A257,'NonXtal_SegEnds_BW#'!$A:$Z,26,FALSE)+VLOOKUP($A257,A:AL,37,FALSE)-50)),"-",(VLOOKUP($A257,'NonXtal_SegEnds_BW#'!$A:$Z,26,FALSE)+VLOOKUP($A257,A:AL,37,FALSE)-50))</f>
        <v>354</v>
      </c>
      <c r="AM257" s="71" t="str">
        <f>VLOOKUP(A257,Classification!A:B,2,FALSE)</f>
        <v>A</v>
      </c>
      <c r="AN257" s="71" t="b">
        <f t="shared" si="102"/>
        <v>1</v>
      </c>
      <c r="AO257" s="3">
        <f t="shared" si="103"/>
        <v>1</v>
      </c>
      <c r="AP257" s="3">
        <f t="shared" si="104"/>
        <v>1</v>
      </c>
      <c r="AQ257" s="3">
        <f t="shared" si="105"/>
        <v>2</v>
      </c>
      <c r="AR257" s="3">
        <f t="shared" si="106"/>
        <v>1</v>
      </c>
      <c r="AS257" s="3">
        <f t="shared" si="107"/>
        <v>1</v>
      </c>
      <c r="AT257" s="3">
        <f t="shared" si="108"/>
        <v>2</v>
      </c>
      <c r="AU257" s="3">
        <f t="shared" si="109"/>
        <v>11</v>
      </c>
      <c r="AV257" s="3">
        <f t="shared" si="110"/>
        <v>6</v>
      </c>
      <c r="AW257" s="3">
        <f t="shared" si="111"/>
        <v>6</v>
      </c>
      <c r="AX257" s="3">
        <f t="shared" si="112"/>
        <v>5</v>
      </c>
      <c r="AY257" s="3">
        <f t="shared" si="113"/>
        <v>1</v>
      </c>
      <c r="AZ257" s="3">
        <f>IF(ISERROR(LEN(VLOOKUP(A257,Seqs!A:E,2,FALSE))-AL257),"-",LEN(VLOOKUP(A257,Seqs!A:E,2,FALSE))-AL257)</f>
        <v>46</v>
      </c>
      <c r="BA257" s="35">
        <f t="shared" si="114"/>
        <v>28</v>
      </c>
      <c r="BB257" s="3">
        <f t="shared" si="115"/>
        <v>20</v>
      </c>
      <c r="BC257" s="3">
        <f t="shared" si="116"/>
        <v>28</v>
      </c>
      <c r="BD257" s="3">
        <f t="shared" si="117"/>
        <v>51</v>
      </c>
    </row>
    <row r="258" spans="1:57" s="3" customFormat="1" x14ac:dyDescent="0.2">
      <c r="A258" s="3" t="s">
        <v>1114</v>
      </c>
      <c r="B258" s="3" t="str">
        <f>LOWER(VLOOKUP(A258,Xtal_Templ!A:B,2,FALSE))</f>
        <v>oprm_mouse</v>
      </c>
      <c r="C258" s="3">
        <f>VLOOKUP($A258,'NonXtal_SegEnds_BW#'!$A:$Z,3,FALSE)+D258-50</f>
        <v>65</v>
      </c>
      <c r="D258" s="3">
        <v>86</v>
      </c>
      <c r="E258" s="3">
        <f>IF(ISERROR(VLOOKUP($A258,'NonXtal_SegEnds_BW#'!$A:$Z,4,FALSE)+VLOOKUP($A258,A:AL,4,FALSE)-50),"-",(VLOOKUP($A258,'NonXtal_SegEnds_BW#'!$A:$Z,4,FALSE)+VLOOKUP($A258,A:AL,4,FALSE)-50))</f>
        <v>96</v>
      </c>
      <c r="F258" s="3">
        <f t="shared" si="129"/>
        <v>97</v>
      </c>
      <c r="G258" s="3">
        <v>99</v>
      </c>
      <c r="H258" s="3">
        <f t="shared" si="130"/>
        <v>100</v>
      </c>
      <c r="I258" s="3">
        <f t="shared" si="130"/>
        <v>101</v>
      </c>
      <c r="J258" s="3">
        <v>114</v>
      </c>
      <c r="K258" s="3">
        <f>VLOOKUP($A258,'NonXtal_SegEnds_BW#'!$A:$Z,8,FALSE)+VLOOKUP($A258,A:AL,10,FALSE)-50</f>
        <v>130</v>
      </c>
      <c r="L258" s="3">
        <f>IF(ISERROR(VLOOKUP($A258,'NonXtal_SegEnds_BW#'!$A:$Z,9,FALSE)+VLOOKUP($A258,A:AL,13,FALSE)-50),"-",(VLOOKUP($A258,'NonXtal_SegEnds_BW#'!$A:$Z,9,FALSE)+VLOOKUP($A258,A:AL,13,FALSE)-50))</f>
        <v>132</v>
      </c>
      <c r="M258" s="3">
        <v>133</v>
      </c>
      <c r="N258" s="3">
        <f>IF(ISERROR(VLOOKUP($A258,'NonXtal_SegEnds_BW#'!$A:$Z,10,FALSE)+VLOOKUP($A258,A:AL,13,FALSE)-50),"-",(VLOOKUP($A258,'NonXtal_SegEnds_BW#'!$A:$Z,10,FALSE)+VLOOKUP($A258,A:AL,13,FALSE)-50))</f>
        <v>135</v>
      </c>
      <c r="O258" s="3">
        <f t="shared" si="131"/>
        <v>136</v>
      </c>
      <c r="P258" s="3">
        <v>165</v>
      </c>
      <c r="Q258" s="3">
        <f>VLOOKUP($A258,'NonXtal_SegEnds_BW#'!$A:$Z,12,FALSE)+VLOOKUP($A258,A:AL,16,FALSE)-50</f>
        <v>171</v>
      </c>
      <c r="R258" s="3">
        <f>IF(ISERROR(VLOOKUP($A258,'NonXtal_SegEnds_BW#'!$A:$Z,13,FALSE)+VLOOKUP($A258,A:AL,19,FALSE)-50),"-",VLOOKUP($A258,'NonXtal_SegEnds_BW#'!$A:$Z,13,FALSE)+VLOOKUP($A258,A:AL,19,FALSE)-50)</f>
        <v>172</v>
      </c>
      <c r="S258" s="3">
        <v>172</v>
      </c>
      <c r="T258" s="3">
        <f>IF(ISERROR(VLOOKUP($A258,'NonXtal_SegEnds_BW#'!$A:$Z,14,FALSE)+VLOOKUP($A258,A:AL,19,FALSE)-50),"-",(VLOOKUP($A258,'NonXtal_SegEnds_BW#'!$A:$Z,14,FALSE)+VLOOKUP($A258,A:AL,19,FALSE)-50))</f>
        <v>179</v>
      </c>
      <c r="U258" s="3">
        <f>IF(ISERROR(VLOOKUP($A258,'NonXtal_SegEnds_BW#'!$A:$Z,15,FALSE)+VLOOKUP($A258,A:AL,22,FALSE)-50),"-",VLOOKUP($A258,'NonXtal_SegEnds_BW#'!$A:$Z,15,FALSE)+VLOOKUP($A258,A:AL,22,FALSE)-50)</f>
        <v>181</v>
      </c>
      <c r="V258" s="3">
        <v>192</v>
      </c>
      <c r="W258" s="3">
        <f>IF(ISERROR(VLOOKUP($A258,'NonXtal_SegEnds_BW#'!$A:$Z,16,FALSE)+VLOOKUP($A258,A:AL,22,FALSE)-50),"-",(VLOOKUP($A258,'NonXtal_SegEnds_BW#'!$A:$Z,16,FALSE)+VLOOKUP($A258,A:AL,22,FALSE)-50))</f>
        <v>206</v>
      </c>
      <c r="X258" s="3">
        <f>IF(ISERROR(VLOOKUP($A258,'NonXtal_SegEnds_BW#'!$A:$Z,17,FALSE)+VLOOKUP($A258,A:AL,25,FALSE)-50),"-",(VLOOKUP($A258,'NonXtal_SegEnds_BW#'!$A:$Z,17,FALSE)+VLOOKUP($A258,A:AL,25,FALSE)-50))</f>
        <v>217</v>
      </c>
      <c r="Y258" s="3">
        <v>217</v>
      </c>
      <c r="Z258" s="3">
        <f t="shared" si="132"/>
        <v>219</v>
      </c>
      <c r="AA258" s="3">
        <f>IF(ISERROR(VLOOKUP($A258,'NonXtal_SegEnds_BW#'!$A:$Z,19,FALSE)+VLOOKUP($A258,A:AL,28,FALSE)-50),"-",(VLOOKUP($A258,'NonXtal_SegEnds_BW#'!$A:$Z,19,FALSE)+VLOOKUP($A258,A:AL,28,FALSE)-50))</f>
        <v>225</v>
      </c>
      <c r="AB258" s="3">
        <v>244</v>
      </c>
      <c r="AC258" s="3">
        <f>IF(ISERROR((VLOOKUP($A258,'NonXtal_SegEnds_BW#'!$A:$Z,20,FALSE)+VLOOKUP($A258,A:AL,28,FALSE)-50)),"-",(VLOOKUP($A258,'NonXtal_SegEnds_BW#'!$A:$Z,20,FALSE)+VLOOKUP($A258,A:AL,28,FALSE)-50))</f>
        <v>262</v>
      </c>
      <c r="AD258" s="3">
        <f>IF(ISERROR(VLOOKUP($A258,'NonXtal_SegEnds_BW#'!$A:$Z,21,FALSE)+VLOOKUP($A258,A:AL,31,FALSE)-50),"-",(VLOOKUP($A258,'NonXtal_SegEnds_BW#'!$A:$Z,21,FALSE)+VLOOKUP($A258,A:AL,31,FALSE)-50))</f>
        <v>268</v>
      </c>
      <c r="AE258" s="3">
        <v>295</v>
      </c>
      <c r="AF258" s="3">
        <f>IF(ISERROR((VLOOKUP($A258,'NonXtal_SegEnds_BW#'!$A:$Z,22,FALSE)+VLOOKUP($A258,A:AL,31,FALSE)-50)),"-",(VLOOKUP($A258,'NonXtal_SegEnds_BW#'!$A:$Z,22,FALSE)+VLOOKUP($A258,A:AL,31,FALSE)-50))</f>
        <v>306</v>
      </c>
      <c r="AG258" s="3">
        <f>IF(ISERROR(VLOOKUP($A258,'NonXtal_SegEnds_BW#'!$A:$Z,23,FALSE)+VLOOKUP($A258,A:AL,34,FALSE)-50),"-",(VLOOKUP($A258,'NonXtal_SegEnds_BW#'!$A:$Z,23,FALSE)+VLOOKUP($A258,A:AL,34,FALSE)-50))</f>
        <v>311</v>
      </c>
      <c r="AH258" s="3">
        <v>333</v>
      </c>
      <c r="AI258" s="3">
        <f>IF(ISERROR((VLOOKUP($A258,'NonXtal_SegEnds_BW#'!$A:$Z,24,FALSE)+VLOOKUP($A258,A:AL,34,FALSE)-50)),"-",(VLOOKUP($A258,'NonXtal_SegEnds_BW#'!$A:$Z,24,FALSE)+VLOOKUP($A258,A:AL,34,FALSE)-50))</f>
        <v>339</v>
      </c>
      <c r="AJ258" s="3">
        <f>IF(ISERROR(VLOOKUP($A258,'NonXtal_SegEnds_BW#'!$A:$Z,25,FALSE)+VLOOKUP($A258,A:AL,37,FALSE)-50),"-",(VLOOKUP($A258,'NonXtal_SegEnds_BW#'!$A:$Z,25,FALSE)+VLOOKUP($A258,A:AL,37,FALSE)-50))</f>
        <v>340</v>
      </c>
      <c r="AK258" s="3">
        <v>343</v>
      </c>
      <c r="AL258" s="3">
        <f>IF(ISERROR((VLOOKUP($A258,'NonXtal_SegEnds_BW#'!$A:$Z,26,FALSE)+VLOOKUP($A258,A:AL,37,FALSE)-50)),"-",(VLOOKUP($A258,'NonXtal_SegEnds_BW#'!$A:$Z,26,FALSE)+VLOOKUP($A258,A:AL,37,FALSE)-50))</f>
        <v>352</v>
      </c>
      <c r="AM258" s="71" t="str">
        <f>VLOOKUP(A258,Classification!A:B,2,FALSE)</f>
        <v>A</v>
      </c>
      <c r="AN258" s="71" t="b">
        <f t="shared" ref="AN258:AN321" si="133">AND(C258&lt;E258,OR(E258&lt;F258,F258="-"),OR(F258&lt;H258,F258="-"),OR(H258&lt;I258,H258="-"),I258&lt;K258,OR(K258&lt;L258,L258="-"),OR(L258&lt;N258,L258="-"),OR(N258&lt;O258,N258="-"),O258&lt;Q258,OR(Q258&lt;R258,R258="-"),OR(R258&lt;T258,R258="-"),OR(T258&lt;U258,T258="-"),U258&lt;W258,OR(W258&lt;X258,X258="-"),OR(X258&lt;Z258,X258="-"),OR(Z258&lt;AA258,Z258="-"),AA258&lt;AC258,AC258&lt;AD258,AD258&lt;AF258,AF258&lt;AG258,AG258&lt;AI258,OR(AI258&lt;AJ258,AJ258="-"),OR(AJ258&lt;AL258,AJ258="-"))</f>
        <v>1</v>
      </c>
      <c r="AO258" s="3">
        <f t="shared" ref="AO258:AO321" si="134">IF(ISERROR(F258-E258),"-",F258-E258)</f>
        <v>1</v>
      </c>
      <c r="AP258" s="3">
        <f t="shared" ref="AP258:AP321" si="135">IF(ISERROR(I258-H258),"-",I258-H258)</f>
        <v>1</v>
      </c>
      <c r="AQ258" s="3">
        <f t="shared" ref="AQ258:AQ321" si="136">IF(ISERROR(L258-K258),"-",L258-K258)</f>
        <v>2</v>
      </c>
      <c r="AR258" s="3">
        <f t="shared" ref="AR258:AR321" si="137">IF(ISERROR(O258-N258),"-",O258-N258)</f>
        <v>1</v>
      </c>
      <c r="AS258" s="3">
        <f t="shared" ref="AS258:AS321" si="138">IF(ISERROR(R258-Q258),"-",R258-Q258)</f>
        <v>1</v>
      </c>
      <c r="AT258" s="3">
        <f t="shared" ref="AT258:AT321" si="139">IF(ISERROR(U258-T258),"-",U258-T258)</f>
        <v>2</v>
      </c>
      <c r="AU258" s="3">
        <f t="shared" ref="AU258:AU321" si="140">IF(ISERROR(X258-W258),"-",X258-W258)</f>
        <v>11</v>
      </c>
      <c r="AV258" s="3">
        <f t="shared" ref="AV258:AV321" si="141">IF(ISERROR(AA258-Z258),"-",AA258-Z258)</f>
        <v>6</v>
      </c>
      <c r="AW258" s="3">
        <f t="shared" ref="AW258:AW321" si="142">IF(ISERROR(AD258-AC258),"-",AD258-AC258)</f>
        <v>6</v>
      </c>
      <c r="AX258" s="3">
        <f t="shared" ref="AX258:AX321" si="143">IF(ISERROR(AG258-AF258),"-",AG258-AF258)</f>
        <v>5</v>
      </c>
      <c r="AY258" s="3">
        <f t="shared" ref="AY258:AY321" si="144">IF(ISERROR(AJ258-AI258),"-",AJ258-AI258)</f>
        <v>1</v>
      </c>
      <c r="AZ258" s="3">
        <f>IF(ISERROR(LEN(VLOOKUP(A258,Seqs!A:E,2,FALSE))-AL258),"-",LEN(VLOOKUP(A258,Seqs!A:E,2,FALSE))-AL258)</f>
        <v>46</v>
      </c>
      <c r="BA258" s="35">
        <f t="shared" ref="BA258:BA321" si="145">J258-D258</f>
        <v>28</v>
      </c>
      <c r="BB258" s="3">
        <f t="shared" ref="BB258:BB321" si="146">IF(ISERROR(V258-S258),"-",V258-S258)</f>
        <v>20</v>
      </c>
      <c r="BC258" s="3">
        <f t="shared" ref="BC258:BC321" si="147">J258-D258</f>
        <v>28</v>
      </c>
      <c r="BD258" s="3">
        <f t="shared" ref="BD258:BD321" si="148">AE258-AB258</f>
        <v>51</v>
      </c>
    </row>
    <row r="259" spans="1:57" s="3" customFormat="1" x14ac:dyDescent="0.2">
      <c r="A259" s="3" t="s">
        <v>575</v>
      </c>
      <c r="B259" s="3" t="str">
        <f>LOWER(VLOOKUP(A259,Xtal_Templ!A:B,2,FALSE))</f>
        <v>oprm_mouse</v>
      </c>
      <c r="C259" s="3">
        <f>VLOOKUP($A259,'NonXtal_SegEnds_BW#'!$A:$Z,3,FALSE)+D259-50</f>
        <v>55</v>
      </c>
      <c r="D259" s="3">
        <v>76</v>
      </c>
      <c r="E259" s="3">
        <f>IF(ISERROR(VLOOKUP($A259,'NonXtal_SegEnds_BW#'!$A:$Z,4,FALSE)+VLOOKUP($A259,A:AL,4,FALSE)-50),"-",(VLOOKUP($A259,'NonXtal_SegEnds_BW#'!$A:$Z,4,FALSE)+VLOOKUP($A259,A:AL,4,FALSE)-50))</f>
        <v>86</v>
      </c>
      <c r="F259" s="3">
        <f t="shared" si="129"/>
        <v>87</v>
      </c>
      <c r="G259" s="3">
        <v>89</v>
      </c>
      <c r="H259" s="3">
        <f t="shared" si="130"/>
        <v>90</v>
      </c>
      <c r="I259" s="3">
        <f t="shared" si="130"/>
        <v>91</v>
      </c>
      <c r="J259" s="3">
        <v>104</v>
      </c>
      <c r="K259" s="3">
        <f>VLOOKUP($A259,'NonXtal_SegEnds_BW#'!$A:$Z,8,FALSE)+VLOOKUP($A259,A:AL,10,FALSE)-50</f>
        <v>120</v>
      </c>
      <c r="L259" s="3">
        <f t="shared" ref="L259:L266" si="149">M259-1</f>
        <v>122</v>
      </c>
      <c r="M259" s="3">
        <v>123</v>
      </c>
      <c r="N259" s="3">
        <f t="shared" ref="N259:N266" si="150">M259+2</f>
        <v>125</v>
      </c>
      <c r="O259" s="3">
        <f t="shared" si="131"/>
        <v>126</v>
      </c>
      <c r="P259" s="3">
        <v>155</v>
      </c>
      <c r="Q259" s="3">
        <f>VLOOKUP($A259,'NonXtal_SegEnds_BW#'!$A:$Z,12,FALSE)+VLOOKUP($A259,A:AL,16,FALSE)-50</f>
        <v>161</v>
      </c>
      <c r="R259" s="3">
        <f>IF(ISERROR(VLOOKUP($A259,'NonXtal_SegEnds_BW#'!$A:$Z,13,FALSE)+VLOOKUP($A259,A:AL,19,FALSE)-50),"-",VLOOKUP($A259,'NonXtal_SegEnds_BW#'!$A:$Z,13,FALSE)+VLOOKUP($A259,A:AL,19,FALSE)-50)</f>
        <v>162</v>
      </c>
      <c r="S259" s="3">
        <v>162</v>
      </c>
      <c r="T259" s="3">
        <f>IF(ISERROR(VLOOKUP($A259,'NonXtal_SegEnds_BW#'!$A:$Z,14,FALSE)+VLOOKUP($A259,A:AL,19,FALSE)-50),"-",(VLOOKUP($A259,'NonXtal_SegEnds_BW#'!$A:$Z,14,FALSE)+VLOOKUP($A259,A:AL,19,FALSE)-50))</f>
        <v>169</v>
      </c>
      <c r="U259" s="3">
        <f>IF(ISERROR(VLOOKUP($A259,'NonXtal_SegEnds_BW#'!$A:$Z,15,FALSE)+VLOOKUP($A259,A:AL,22,FALSE)-50),"-",VLOOKUP($A259,'NonXtal_SegEnds_BW#'!$A:$Z,15,FALSE)+VLOOKUP($A259,A:AL,22,FALSE)-50)</f>
        <v>171</v>
      </c>
      <c r="V259" s="3">
        <v>182</v>
      </c>
      <c r="W259" s="3">
        <f>IF(ISERROR(VLOOKUP($A259,'NonXtal_SegEnds_BW#'!$A:$Z,16,FALSE)+VLOOKUP($A259,A:AL,22,FALSE)-50),"-",(VLOOKUP($A259,'NonXtal_SegEnds_BW#'!$A:$Z,16,FALSE)+VLOOKUP($A259,A:AL,22,FALSE)-50))</f>
        <v>196</v>
      </c>
      <c r="X259" s="3">
        <f>IF(ISERROR(VLOOKUP($A259,'NonXtal_SegEnds_BW#'!$A:$Z,17,FALSE)+VLOOKUP($A259,A:AL,25,FALSE)-50),"-",(VLOOKUP($A259,'NonXtal_SegEnds_BW#'!$A:$Z,17,FALSE)+VLOOKUP($A259,A:AL,25,FALSE)-50))</f>
        <v>208</v>
      </c>
      <c r="Y259" s="3">
        <v>208</v>
      </c>
      <c r="Z259" s="3">
        <f t="shared" si="132"/>
        <v>210</v>
      </c>
      <c r="AA259" s="3">
        <f>IF(ISERROR(VLOOKUP($A259,'NonXtal_SegEnds_BW#'!$A:$Z,19,FALSE)+VLOOKUP($A259,A:AL,28,FALSE)-50),"-",(VLOOKUP($A259,'NonXtal_SegEnds_BW#'!$A:$Z,19,FALSE)+VLOOKUP($A259,A:AL,28,FALSE)-50))</f>
        <v>216</v>
      </c>
      <c r="AB259" s="3">
        <v>235</v>
      </c>
      <c r="AC259" s="3">
        <f>IF(ISERROR((VLOOKUP($A259,'NonXtal_SegEnds_BW#'!$A:$Z,20,FALSE)+VLOOKUP($A259,A:AL,28,FALSE)-50)),"-",(VLOOKUP($A259,'NonXtal_SegEnds_BW#'!$A:$Z,20,FALSE)+VLOOKUP($A259,A:AL,28,FALSE)-50))</f>
        <v>253</v>
      </c>
      <c r="AD259" s="3">
        <f>IF(ISERROR(VLOOKUP($A259,'NonXtal_SegEnds_BW#'!$A:$Z,21,FALSE)+VLOOKUP($A259,A:AL,31,FALSE)-50),"-",(VLOOKUP($A259,'NonXtal_SegEnds_BW#'!$A:$Z,21,FALSE)+VLOOKUP($A259,A:AL,31,FALSE)-50))</f>
        <v>259</v>
      </c>
      <c r="AE259" s="3">
        <v>286</v>
      </c>
      <c r="AF259" s="3">
        <f>IF(ISERROR((VLOOKUP($A259,'NonXtal_SegEnds_BW#'!$A:$Z,22,FALSE)+VLOOKUP($A259,A:AL,31,FALSE)-50)),"-",(VLOOKUP($A259,'NonXtal_SegEnds_BW#'!$A:$Z,22,FALSE)+VLOOKUP($A259,A:AL,31,FALSE)-50))</f>
        <v>297</v>
      </c>
      <c r="AG259" s="3">
        <f>IF(ISERROR(VLOOKUP($A259,'NonXtal_SegEnds_BW#'!$A:$Z,23,FALSE)+VLOOKUP($A259,A:AL,34,FALSE)-50),"-",(VLOOKUP($A259,'NonXtal_SegEnds_BW#'!$A:$Z,23,FALSE)+VLOOKUP($A259,A:AL,34,FALSE)-50))</f>
        <v>302</v>
      </c>
      <c r="AH259" s="3">
        <v>320</v>
      </c>
      <c r="AI259" s="3">
        <f>IF(ISERROR((VLOOKUP($A259,'NonXtal_SegEnds_BW#'!$A:$Z,24,FALSE)+VLOOKUP($A259,A:AL,34,FALSE)-50)),"-",(VLOOKUP($A259,'NonXtal_SegEnds_BW#'!$A:$Z,24,FALSE)+VLOOKUP($A259,A:AL,34,FALSE)-50))</f>
        <v>326</v>
      </c>
      <c r="AJ259" s="3">
        <f>IF(ISERROR(VLOOKUP($A259,'NonXtal_SegEnds_BW#'!$A:$Z,25,FALSE)+VLOOKUP($A259,A:AL,37,FALSE)-50),"-",(VLOOKUP($A259,'NonXtal_SegEnds_BW#'!$A:$Z,25,FALSE)+VLOOKUP($A259,A:AL,37,FALSE)-50))</f>
        <v>327</v>
      </c>
      <c r="AK259" s="3">
        <v>330</v>
      </c>
      <c r="AL259" s="3">
        <f>IF(ISERROR((VLOOKUP($A259,'NonXtal_SegEnds_BW#'!$A:$Z,26,FALSE)+VLOOKUP($A259,A:AL,37,FALSE)-50)),"-",(VLOOKUP($A259,'NonXtal_SegEnds_BW#'!$A:$Z,26,FALSE)+VLOOKUP($A259,A:AL,37,FALSE)-50))</f>
        <v>339</v>
      </c>
      <c r="AM259" s="71" t="str">
        <f>VLOOKUP(A259,Classification!A:B,2,FALSE)</f>
        <v>A</v>
      </c>
      <c r="AN259" s="71" t="b">
        <f t="shared" si="133"/>
        <v>1</v>
      </c>
      <c r="AO259" s="3">
        <f t="shared" si="134"/>
        <v>1</v>
      </c>
      <c r="AP259" s="3">
        <f t="shared" si="135"/>
        <v>1</v>
      </c>
      <c r="AQ259" s="3">
        <f t="shared" si="136"/>
        <v>2</v>
      </c>
      <c r="AR259" s="3">
        <f t="shared" si="137"/>
        <v>1</v>
      </c>
      <c r="AS259" s="3">
        <f t="shared" si="138"/>
        <v>1</v>
      </c>
      <c r="AT259" s="3">
        <f t="shared" si="139"/>
        <v>2</v>
      </c>
      <c r="AU259" s="3">
        <f t="shared" si="140"/>
        <v>12</v>
      </c>
      <c r="AV259" s="3">
        <f t="shared" si="141"/>
        <v>6</v>
      </c>
      <c r="AW259" s="3">
        <f t="shared" si="142"/>
        <v>6</v>
      </c>
      <c r="AX259" s="3">
        <f t="shared" si="143"/>
        <v>5</v>
      </c>
      <c r="AY259" s="3">
        <f t="shared" si="144"/>
        <v>1</v>
      </c>
      <c r="AZ259" s="3">
        <f>IF(ISERROR(LEN(VLOOKUP(A259,Seqs!A:E,2,FALSE))-AL259),"-",LEN(VLOOKUP(A259,Seqs!A:E,2,FALSE))-AL259)</f>
        <v>52</v>
      </c>
      <c r="BA259" s="35">
        <f t="shared" si="145"/>
        <v>28</v>
      </c>
      <c r="BB259" s="3">
        <f t="shared" si="146"/>
        <v>20</v>
      </c>
      <c r="BC259" s="3">
        <f t="shared" si="147"/>
        <v>28</v>
      </c>
      <c r="BD259" s="3">
        <f t="shared" si="148"/>
        <v>51</v>
      </c>
    </row>
    <row r="260" spans="1:57" s="3" customFormat="1" x14ac:dyDescent="0.2">
      <c r="A260" s="3" t="s">
        <v>591</v>
      </c>
      <c r="B260" s="3" t="str">
        <f>LOWER(VLOOKUP(A260,Xtal_Templ!A:B,2,FALSE))</f>
        <v>oprm_mouse</v>
      </c>
      <c r="C260" s="3">
        <f>VLOOKUP($A260,'NonXtal_SegEnds_BW#'!$A:$Z,3,FALSE)+D260-50</f>
        <v>48</v>
      </c>
      <c r="D260" s="3">
        <v>69</v>
      </c>
      <c r="E260" s="3">
        <f>IF(ISERROR(VLOOKUP($A260,'NonXtal_SegEnds_BW#'!$A:$Z,4,FALSE)+VLOOKUP($A260,A:AL,4,FALSE)-50),"-",(VLOOKUP($A260,'NonXtal_SegEnds_BW#'!$A:$Z,4,FALSE)+VLOOKUP($A260,A:AL,4,FALSE)-50))</f>
        <v>79</v>
      </c>
      <c r="F260" s="3">
        <f t="shared" si="129"/>
        <v>80</v>
      </c>
      <c r="G260" s="3">
        <v>82</v>
      </c>
      <c r="H260" s="3">
        <f t="shared" si="130"/>
        <v>83</v>
      </c>
      <c r="I260" s="3">
        <f t="shared" si="130"/>
        <v>84</v>
      </c>
      <c r="J260" s="3">
        <v>97</v>
      </c>
      <c r="K260" s="3">
        <f>VLOOKUP($A260,'NonXtal_SegEnds_BW#'!$A:$Z,8,FALSE)+VLOOKUP($A260,A:AL,10,FALSE)-50</f>
        <v>113</v>
      </c>
      <c r="L260" s="3">
        <f t="shared" si="149"/>
        <v>114</v>
      </c>
      <c r="M260" s="3">
        <v>115</v>
      </c>
      <c r="N260" s="3">
        <f t="shared" si="150"/>
        <v>117</v>
      </c>
      <c r="O260" s="3">
        <f t="shared" si="131"/>
        <v>118</v>
      </c>
      <c r="P260" s="3">
        <v>149</v>
      </c>
      <c r="Q260" s="3">
        <f>VLOOKUP($A260,'NonXtal_SegEnds_BW#'!$A:$Z,12,FALSE)+VLOOKUP($A260,A:AL,16,FALSE)-50</f>
        <v>155</v>
      </c>
      <c r="R260" s="3">
        <f>IF(ISERROR(VLOOKUP($A260,'NonXtal_SegEnds_BW#'!$A:$Z,13,FALSE)+VLOOKUP($A260,A:AL,19,FALSE)-50),"-",VLOOKUP($A260,'NonXtal_SegEnds_BW#'!$A:$Z,13,FALSE)+VLOOKUP($A260,A:AL,19,FALSE)-50)</f>
        <v>156</v>
      </c>
      <c r="S260" s="3">
        <v>156</v>
      </c>
      <c r="T260" s="3">
        <f>IF(ISERROR(VLOOKUP($A260,'NonXtal_SegEnds_BW#'!$A:$Z,14,FALSE)+VLOOKUP($A260,A:AL,19,FALSE)-50),"-",(VLOOKUP($A260,'NonXtal_SegEnds_BW#'!$A:$Z,14,FALSE)+VLOOKUP($A260,A:AL,19,FALSE)-50))</f>
        <v>163</v>
      </c>
      <c r="U260" s="3">
        <f>IF(ISERROR(VLOOKUP($A260,'NonXtal_SegEnds_BW#'!$A:$Z,15,FALSE)+VLOOKUP($A260,A:AL,22,FALSE)-50),"-",VLOOKUP($A260,'NonXtal_SegEnds_BW#'!$A:$Z,15,FALSE)+VLOOKUP($A260,A:AL,22,FALSE)-50)</f>
        <v>164</v>
      </c>
      <c r="V260" s="3">
        <v>175</v>
      </c>
      <c r="W260" s="3">
        <f>IF(ISERROR(VLOOKUP($A260,'NonXtal_SegEnds_BW#'!$A:$Z,16,FALSE)+VLOOKUP($A260,A:AL,22,FALSE)-50),"-",(VLOOKUP($A260,'NonXtal_SegEnds_BW#'!$A:$Z,16,FALSE)+VLOOKUP($A260,A:AL,22,FALSE)-50))</f>
        <v>189</v>
      </c>
      <c r="X260" s="3">
        <f>IF(ISERROR(VLOOKUP($A260,'NonXtal_SegEnds_BW#'!$A:$Z,17,FALSE)+VLOOKUP($A260,A:AL,25,FALSE)-50),"-",(VLOOKUP($A260,'NonXtal_SegEnds_BW#'!$A:$Z,17,FALSE)+VLOOKUP($A260,A:AL,25,FALSE)-50))</f>
        <v>203</v>
      </c>
      <c r="Y260" s="3">
        <v>203</v>
      </c>
      <c r="Z260" s="3">
        <f t="shared" si="132"/>
        <v>205</v>
      </c>
      <c r="AA260" s="3">
        <f>IF(ISERROR(VLOOKUP($A260,'NonXtal_SegEnds_BW#'!$A:$Z,19,FALSE)+VLOOKUP($A260,A:AL,28,FALSE)-50),"-",(VLOOKUP($A260,'NonXtal_SegEnds_BW#'!$A:$Z,19,FALSE)+VLOOKUP($A260,A:AL,28,FALSE)-50))</f>
        <v>209</v>
      </c>
      <c r="AB260" s="3">
        <v>228</v>
      </c>
      <c r="AC260" s="3">
        <f>IF(ISERROR((VLOOKUP($A260,'NonXtal_SegEnds_BW#'!$A:$Z,20,FALSE)+VLOOKUP($A260,A:AL,28,FALSE)-50)),"-",(VLOOKUP($A260,'NonXtal_SegEnds_BW#'!$A:$Z,20,FALSE)+VLOOKUP($A260,A:AL,28,FALSE)-50))</f>
        <v>254</v>
      </c>
      <c r="AD260" s="3">
        <f>IF(ISERROR(VLOOKUP($A260,'NonXtal_SegEnds_BW#'!$A:$Z,21,FALSE)+VLOOKUP($A260,A:AL,31,FALSE)-50),"-",(VLOOKUP($A260,'NonXtal_SegEnds_BW#'!$A:$Z,21,FALSE)+VLOOKUP($A260,A:AL,31,FALSE)-50))</f>
        <v>280</v>
      </c>
      <c r="AE260" s="3">
        <v>306</v>
      </c>
      <c r="AF260" s="3">
        <f>IF(ISERROR((VLOOKUP($A260,'NonXtal_SegEnds_BW#'!$A:$Z,22,FALSE)+VLOOKUP($A260,A:AL,31,FALSE)-50)),"-",(VLOOKUP($A260,'NonXtal_SegEnds_BW#'!$A:$Z,22,FALSE)+VLOOKUP($A260,A:AL,31,FALSE)-50))</f>
        <v>317</v>
      </c>
      <c r="AG260" s="3">
        <f>IF(ISERROR(VLOOKUP($A260,'NonXtal_SegEnds_BW#'!$A:$Z,23,FALSE)+VLOOKUP($A260,A:AL,34,FALSE)-50),"-",(VLOOKUP($A260,'NonXtal_SegEnds_BW#'!$A:$Z,23,FALSE)+VLOOKUP($A260,A:AL,34,FALSE)-50))</f>
        <v>323</v>
      </c>
      <c r="AH260" s="3">
        <v>345</v>
      </c>
      <c r="AI260" s="3">
        <f>IF(ISERROR((VLOOKUP($A260,'NonXtal_SegEnds_BW#'!$A:$Z,24,FALSE)+VLOOKUP($A260,A:AL,34,FALSE)-50)),"-",(VLOOKUP($A260,'NonXtal_SegEnds_BW#'!$A:$Z,24,FALSE)+VLOOKUP($A260,A:AL,34,FALSE)-50))</f>
        <v>351</v>
      </c>
      <c r="AJ260" s="3">
        <f>IF(ISERROR(VLOOKUP($A260,'NonXtal_SegEnds_BW#'!$A:$Z,25,FALSE)+VLOOKUP($A260,A:AL,37,FALSE)-50),"-",(VLOOKUP($A260,'NonXtal_SegEnds_BW#'!$A:$Z,25,FALSE)+VLOOKUP($A260,A:AL,37,FALSE)-50))</f>
        <v>352</v>
      </c>
      <c r="AK260" s="3">
        <v>355</v>
      </c>
      <c r="AL260" s="3">
        <f>IF(ISERROR((VLOOKUP($A260,'NonXtal_SegEnds_BW#'!$A:$Z,26,FALSE)+VLOOKUP($A260,A:AL,37,FALSE)-50)),"-",(VLOOKUP($A260,'NonXtal_SegEnds_BW#'!$A:$Z,26,FALSE)+VLOOKUP($A260,A:AL,37,FALSE)-50))</f>
        <v>364</v>
      </c>
      <c r="AM260" s="71" t="str">
        <f>VLOOKUP(A260,Classification!A:B,2,FALSE)</f>
        <v>A</v>
      </c>
      <c r="AN260" s="71" t="b">
        <f t="shared" si="133"/>
        <v>1</v>
      </c>
      <c r="AO260" s="3">
        <f t="shared" si="134"/>
        <v>1</v>
      </c>
      <c r="AP260" s="3">
        <f t="shared" si="135"/>
        <v>1</v>
      </c>
      <c r="AQ260" s="3">
        <f t="shared" si="136"/>
        <v>1</v>
      </c>
      <c r="AR260" s="3">
        <f t="shared" si="137"/>
        <v>1</v>
      </c>
      <c r="AS260" s="3">
        <f t="shared" si="138"/>
        <v>1</v>
      </c>
      <c r="AT260" s="3">
        <f t="shared" si="139"/>
        <v>1</v>
      </c>
      <c r="AU260" s="3">
        <f t="shared" si="140"/>
        <v>14</v>
      </c>
      <c r="AV260" s="3">
        <f t="shared" si="141"/>
        <v>4</v>
      </c>
      <c r="AW260" s="3">
        <f t="shared" si="142"/>
        <v>26</v>
      </c>
      <c r="AX260" s="3">
        <f t="shared" si="143"/>
        <v>6</v>
      </c>
      <c r="AY260" s="3">
        <f t="shared" si="144"/>
        <v>1</v>
      </c>
      <c r="AZ260" s="3">
        <f>IF(ISERROR(LEN(VLOOKUP(A260,Seqs!A:E,2,FALSE))-AL260),"-",LEN(VLOOKUP(A260,Seqs!A:E,2,FALSE))-AL260)</f>
        <v>54</v>
      </c>
      <c r="BA260" s="35">
        <f t="shared" si="145"/>
        <v>28</v>
      </c>
      <c r="BB260" s="3">
        <f t="shared" si="146"/>
        <v>19</v>
      </c>
      <c r="BC260" s="3">
        <f t="shared" si="147"/>
        <v>28</v>
      </c>
      <c r="BD260" s="3">
        <f t="shared" si="148"/>
        <v>78</v>
      </c>
    </row>
    <row r="261" spans="1:57" s="3" customFormat="1" x14ac:dyDescent="0.2">
      <c r="A261" s="3" t="s">
        <v>404</v>
      </c>
      <c r="B261" s="3" t="str">
        <f>LOWER(VLOOKUP(A261,Xtal_Templ!A:B,2,FALSE))</f>
        <v>oprm_mouse</v>
      </c>
      <c r="C261" s="3">
        <f>VLOOKUP($A261,'NonXtal_SegEnds_BW#'!$A:$Z,3,FALSE)+D261-50</f>
        <v>32</v>
      </c>
      <c r="D261" s="3">
        <v>53</v>
      </c>
      <c r="E261" s="3">
        <f>IF(ISERROR(VLOOKUP($A261,'NonXtal_SegEnds_BW#'!$A:$Z,4,FALSE)+VLOOKUP($A261,A:AL,4,FALSE)-50),"-",(VLOOKUP($A261,'NonXtal_SegEnds_BW#'!$A:$Z,4,FALSE)+VLOOKUP($A261,A:AL,4,FALSE)-50))</f>
        <v>63</v>
      </c>
      <c r="F261" s="3">
        <f t="shared" si="129"/>
        <v>71</v>
      </c>
      <c r="G261" s="3">
        <v>73</v>
      </c>
      <c r="H261" s="3">
        <f t="shared" si="130"/>
        <v>74</v>
      </c>
      <c r="I261" s="3">
        <f t="shared" si="130"/>
        <v>75</v>
      </c>
      <c r="J261" s="3">
        <v>88</v>
      </c>
      <c r="K261" s="3">
        <f>VLOOKUP($A261,'NonXtal_SegEnds_BW#'!$A:$Z,8,FALSE)+VLOOKUP($A261,A:AL,10,FALSE)-50</f>
        <v>104</v>
      </c>
      <c r="L261" s="3">
        <f t="shared" si="149"/>
        <v>106</v>
      </c>
      <c r="M261" s="3">
        <v>107</v>
      </c>
      <c r="N261" s="3">
        <f t="shared" si="150"/>
        <v>109</v>
      </c>
      <c r="O261" s="3">
        <f t="shared" si="131"/>
        <v>110</v>
      </c>
      <c r="P261" s="3">
        <v>139</v>
      </c>
      <c r="Q261" s="3">
        <f>VLOOKUP($A261,'NonXtal_SegEnds_BW#'!$A:$Z,12,FALSE)+VLOOKUP($A261,A:AL,16,FALSE)-50</f>
        <v>145</v>
      </c>
      <c r="R261" s="3">
        <f>IF(ISERROR(VLOOKUP($A261,'NonXtal_SegEnds_BW#'!$A:$Z,13,FALSE)+VLOOKUP($A261,A:AL,19,FALSE)-50),"-",VLOOKUP($A261,'NonXtal_SegEnds_BW#'!$A:$Z,13,FALSE)+VLOOKUP($A261,A:AL,19,FALSE)-50)</f>
        <v>146</v>
      </c>
      <c r="S261" s="3">
        <v>146</v>
      </c>
      <c r="T261" s="3">
        <f>IF(ISERROR(VLOOKUP($A261,'NonXtal_SegEnds_BW#'!$A:$Z,14,FALSE)+VLOOKUP($A261,A:AL,19,FALSE)-50),"-",(VLOOKUP($A261,'NonXtal_SegEnds_BW#'!$A:$Z,14,FALSE)+VLOOKUP($A261,A:AL,19,FALSE)-50))</f>
        <v>152</v>
      </c>
      <c r="U261" s="3">
        <f>IF(ISERROR(VLOOKUP($A261,'NonXtal_SegEnds_BW#'!$A:$Z,15,FALSE)+VLOOKUP($A261,A:AL,22,FALSE)-50),"-",VLOOKUP($A261,'NonXtal_SegEnds_BW#'!$A:$Z,15,FALSE)+VLOOKUP($A261,A:AL,22,FALSE)-50)</f>
        <v>153</v>
      </c>
      <c r="V261" s="3">
        <v>164</v>
      </c>
      <c r="W261" s="3">
        <f>IF(ISERROR(VLOOKUP($A261,'NonXtal_SegEnds_BW#'!$A:$Z,16,FALSE)+VLOOKUP($A261,A:AL,22,FALSE)-50),"-",(VLOOKUP($A261,'NonXtal_SegEnds_BW#'!$A:$Z,16,FALSE)+VLOOKUP($A261,A:AL,22,FALSE)-50))</f>
        <v>178</v>
      </c>
      <c r="X261" s="3">
        <f>IF(ISERROR(VLOOKUP($A261,'NonXtal_SegEnds_BW#'!$A:$Z,17,FALSE)+VLOOKUP($A261,A:AL,25,FALSE)-50),"-",(VLOOKUP($A261,'NonXtal_SegEnds_BW#'!$A:$Z,17,FALSE)+VLOOKUP($A261,A:AL,25,FALSE)-50))</f>
        <v>200</v>
      </c>
      <c r="Y261" s="3">
        <v>200</v>
      </c>
      <c r="Z261" s="3">
        <f t="shared" si="132"/>
        <v>202</v>
      </c>
      <c r="AA261" s="3">
        <f>IF(ISERROR(VLOOKUP($A261,'NonXtal_SegEnds_BW#'!$A:$Z,19,FALSE)+VLOOKUP($A261,A:AL,28,FALSE)-50),"-",(VLOOKUP($A261,'NonXtal_SegEnds_BW#'!$A:$Z,19,FALSE)+VLOOKUP($A261,A:AL,28,FALSE)-50))</f>
        <v>204</v>
      </c>
      <c r="AB261" s="3">
        <v>223</v>
      </c>
      <c r="AC261" s="3">
        <f>IF(ISERROR((VLOOKUP($A261,'NonXtal_SegEnds_BW#'!$A:$Z,20,FALSE)+VLOOKUP($A261,A:AL,28,FALSE)-50)),"-",(VLOOKUP($A261,'NonXtal_SegEnds_BW#'!$A:$Z,20,FALSE)+VLOOKUP($A261,A:AL,28,FALSE)-50))</f>
        <v>247</v>
      </c>
      <c r="AD261" s="3">
        <f>IF(ISERROR(VLOOKUP($A261,'NonXtal_SegEnds_BW#'!$A:$Z,21,FALSE)+VLOOKUP($A261,A:AL,31,FALSE)-50),"-",(VLOOKUP($A261,'NonXtal_SegEnds_BW#'!$A:$Z,21,FALSE)+VLOOKUP($A261,A:AL,31,FALSE)-50))</f>
        <v>253</v>
      </c>
      <c r="AE261" s="3">
        <v>282</v>
      </c>
      <c r="AF261" s="3">
        <f>IF(ISERROR((VLOOKUP($A261,'NonXtal_SegEnds_BW#'!$A:$Z,22,FALSE)+VLOOKUP($A261,A:AL,31,FALSE)-50)),"-",(VLOOKUP($A261,'NonXtal_SegEnds_BW#'!$A:$Z,22,FALSE)+VLOOKUP($A261,A:AL,31,FALSE)-50))</f>
        <v>293</v>
      </c>
      <c r="AG261" s="3">
        <f>IF(ISERROR(VLOOKUP($A261,'NonXtal_SegEnds_BW#'!$A:$Z,23,FALSE)+VLOOKUP($A261,A:AL,34,FALSE)-50),"-",(VLOOKUP($A261,'NonXtal_SegEnds_BW#'!$A:$Z,23,FALSE)+VLOOKUP($A261,A:AL,34,FALSE)-50))</f>
        <v>298</v>
      </c>
      <c r="AH261" s="3">
        <v>320</v>
      </c>
      <c r="AI261" s="3">
        <f>IF(ISERROR((VLOOKUP($A261,'NonXtal_SegEnds_BW#'!$A:$Z,24,FALSE)+VLOOKUP($A261,A:AL,34,FALSE)-50)),"-",(VLOOKUP($A261,'NonXtal_SegEnds_BW#'!$A:$Z,24,FALSE)+VLOOKUP($A261,A:AL,34,FALSE)-50))</f>
        <v>326</v>
      </c>
      <c r="AJ261" s="3" t="str">
        <f>IF(ISERROR(VLOOKUP($A261,'NonXtal_SegEnds_BW#'!$A:$Z,25,FALSE)+VLOOKUP($A261,A:AL,37,FALSE)-50),"-",(VLOOKUP($A261,'NonXtal_SegEnds_BW#'!$A:$Z,25,FALSE)+VLOOKUP($A261,A:AL,37,FALSE)-50))</f>
        <v>-</v>
      </c>
      <c r="AK261" s="3" t="s">
        <v>129</v>
      </c>
      <c r="AL261" s="3" t="str">
        <f>IF(ISERROR((VLOOKUP($A261,'NonXtal_SegEnds_BW#'!$A:$Z,26,FALSE)+VLOOKUP($A261,A:AL,37,FALSE)-50)),"-",(VLOOKUP($A261,'NonXtal_SegEnds_BW#'!$A:$Z,26,FALSE)+VLOOKUP($A261,A:AL,37,FALSE)-50))</f>
        <v>-</v>
      </c>
      <c r="AM261" s="71" t="str">
        <f>VLOOKUP(A261,Classification!A:B,2,FALSE)</f>
        <v>A</v>
      </c>
      <c r="AN261" s="71" t="b">
        <f t="shared" si="133"/>
        <v>1</v>
      </c>
      <c r="AO261" s="3">
        <f t="shared" si="134"/>
        <v>8</v>
      </c>
      <c r="AP261" s="3">
        <f t="shared" si="135"/>
        <v>1</v>
      </c>
      <c r="AQ261" s="3">
        <f t="shared" si="136"/>
        <v>2</v>
      </c>
      <c r="AR261" s="3">
        <f t="shared" si="137"/>
        <v>1</v>
      </c>
      <c r="AS261" s="3">
        <f t="shared" si="138"/>
        <v>1</v>
      </c>
      <c r="AT261" s="3">
        <f t="shared" si="139"/>
        <v>1</v>
      </c>
      <c r="AU261" s="3">
        <f t="shared" si="140"/>
        <v>22</v>
      </c>
      <c r="AV261" s="3">
        <f t="shared" si="141"/>
        <v>2</v>
      </c>
      <c r="AW261" s="3">
        <f t="shared" si="142"/>
        <v>6</v>
      </c>
      <c r="AX261" s="3">
        <f t="shared" si="143"/>
        <v>5</v>
      </c>
      <c r="AY261" s="3" t="str">
        <f t="shared" si="144"/>
        <v>-</v>
      </c>
      <c r="AZ261" s="3" t="str">
        <f>IF(ISERROR(LEN(VLOOKUP(A261,Seqs!A:E,2,FALSE))-AL261),"-",LEN(VLOOKUP(A261,Seqs!A:E,2,FALSE))-AL261)</f>
        <v>-</v>
      </c>
      <c r="BA261" s="35">
        <f t="shared" si="145"/>
        <v>35</v>
      </c>
      <c r="BB261" s="3">
        <f t="shared" si="146"/>
        <v>18</v>
      </c>
      <c r="BC261" s="3">
        <f t="shared" si="147"/>
        <v>35</v>
      </c>
      <c r="BD261" s="3">
        <f t="shared" si="148"/>
        <v>59</v>
      </c>
    </row>
    <row r="262" spans="1:57" s="3" customFormat="1" x14ac:dyDescent="0.2">
      <c r="A262" s="3" t="s">
        <v>576</v>
      </c>
      <c r="B262" s="3" t="str">
        <f>LOWER(VLOOKUP(A262,Xtal_Templ!A:B,2,FALSE))</f>
        <v>oprm_mouse</v>
      </c>
      <c r="C262" s="3">
        <f>VLOOKUP($A262,'NonXtal_SegEnds_BW#'!$A:$Z,3,FALSE)+D262-50</f>
        <v>40</v>
      </c>
      <c r="D262" s="3">
        <v>61</v>
      </c>
      <c r="E262" s="3">
        <f>IF(ISERROR(VLOOKUP($A262,'NonXtal_SegEnds_BW#'!$A:$Z,4,FALSE)+VLOOKUP($A262,A:AL,4,FALSE)-50),"-",(VLOOKUP($A262,'NonXtal_SegEnds_BW#'!$A:$Z,4,FALSE)+VLOOKUP($A262,A:AL,4,FALSE)-50))</f>
        <v>71</v>
      </c>
      <c r="F262" s="3">
        <f t="shared" si="129"/>
        <v>72</v>
      </c>
      <c r="G262" s="3">
        <v>74</v>
      </c>
      <c r="H262" s="3">
        <f t="shared" si="130"/>
        <v>75</v>
      </c>
      <c r="I262" s="3">
        <f t="shared" si="130"/>
        <v>76</v>
      </c>
      <c r="J262" s="3">
        <v>89</v>
      </c>
      <c r="K262" s="3">
        <f>VLOOKUP($A262,'NonXtal_SegEnds_BW#'!$A:$Z,8,FALSE)+VLOOKUP($A262,A:AL,10,FALSE)-50</f>
        <v>105</v>
      </c>
      <c r="L262" s="3">
        <f t="shared" si="149"/>
        <v>107</v>
      </c>
      <c r="M262" s="3">
        <v>108</v>
      </c>
      <c r="N262" s="3">
        <f t="shared" si="150"/>
        <v>110</v>
      </c>
      <c r="O262" s="3">
        <f t="shared" si="131"/>
        <v>111</v>
      </c>
      <c r="P262" s="3">
        <v>140</v>
      </c>
      <c r="Q262" s="3">
        <f>VLOOKUP($A262,'NonXtal_SegEnds_BW#'!$A:$Z,12,FALSE)+VLOOKUP($A262,A:AL,16,FALSE)-50</f>
        <v>146</v>
      </c>
      <c r="R262" s="3">
        <f>IF(ISERROR(VLOOKUP($A262,'NonXtal_SegEnds_BW#'!$A:$Z,13,FALSE)+VLOOKUP($A262,A:AL,19,FALSE)-50),"-",VLOOKUP($A262,'NonXtal_SegEnds_BW#'!$A:$Z,13,FALSE)+VLOOKUP($A262,A:AL,19,FALSE)-50)</f>
        <v>147</v>
      </c>
      <c r="S262" s="3">
        <v>147</v>
      </c>
      <c r="T262" s="3">
        <f>IF(ISERROR(VLOOKUP($A262,'NonXtal_SegEnds_BW#'!$A:$Z,14,FALSE)+VLOOKUP($A262,A:AL,19,FALSE)-50),"-",(VLOOKUP($A262,'NonXtal_SegEnds_BW#'!$A:$Z,14,FALSE)+VLOOKUP($A262,A:AL,19,FALSE)-50))</f>
        <v>154</v>
      </c>
      <c r="U262" s="3">
        <f>IF(ISERROR(VLOOKUP($A262,'NonXtal_SegEnds_BW#'!$A:$Z,15,FALSE)+VLOOKUP($A262,A:AL,22,FALSE)-50),"-",VLOOKUP($A262,'NonXtal_SegEnds_BW#'!$A:$Z,15,FALSE)+VLOOKUP($A262,A:AL,22,FALSE)-50)</f>
        <v>156</v>
      </c>
      <c r="V262" s="3">
        <v>167</v>
      </c>
      <c r="W262" s="3">
        <f>IF(ISERROR(VLOOKUP($A262,'NonXtal_SegEnds_BW#'!$A:$Z,16,FALSE)+VLOOKUP($A262,A:AL,22,FALSE)-50),"-",(VLOOKUP($A262,'NonXtal_SegEnds_BW#'!$A:$Z,16,FALSE)+VLOOKUP($A262,A:AL,22,FALSE)-50))</f>
        <v>181</v>
      </c>
      <c r="X262" s="3">
        <f>IF(ISERROR(VLOOKUP($A262,'NonXtal_SegEnds_BW#'!$A:$Z,17,FALSE)+VLOOKUP($A262,A:AL,25,FALSE)-50),"-",(VLOOKUP($A262,'NonXtal_SegEnds_BW#'!$A:$Z,17,FALSE)+VLOOKUP($A262,A:AL,25,FALSE)-50))</f>
        <v>193</v>
      </c>
      <c r="Y262" s="3">
        <v>193</v>
      </c>
      <c r="Z262" s="3">
        <f t="shared" si="132"/>
        <v>195</v>
      </c>
      <c r="AA262" s="3">
        <f>IF(ISERROR(VLOOKUP($A262,'NonXtal_SegEnds_BW#'!$A:$Z,19,FALSE)+VLOOKUP($A262,A:AL,28,FALSE)-50),"-",(VLOOKUP($A262,'NonXtal_SegEnds_BW#'!$A:$Z,19,FALSE)+VLOOKUP($A262,A:AL,28,FALSE)-50))</f>
        <v>201</v>
      </c>
      <c r="AB262" s="3">
        <v>220</v>
      </c>
      <c r="AC262" s="3">
        <f>IF(ISERROR((VLOOKUP($A262,'NonXtal_SegEnds_BW#'!$A:$Z,20,FALSE)+VLOOKUP($A262,A:AL,28,FALSE)-50)),"-",(VLOOKUP($A262,'NonXtal_SegEnds_BW#'!$A:$Z,20,FALSE)+VLOOKUP($A262,A:AL,28,FALSE)-50))</f>
        <v>238</v>
      </c>
      <c r="AD262" s="3">
        <f>IF(ISERROR(VLOOKUP($A262,'NonXtal_SegEnds_BW#'!$A:$Z,21,FALSE)+VLOOKUP($A262,A:AL,31,FALSE)-50),"-",(VLOOKUP($A262,'NonXtal_SegEnds_BW#'!$A:$Z,21,FALSE)+VLOOKUP($A262,A:AL,31,FALSE)-50))</f>
        <v>244</v>
      </c>
      <c r="AE262" s="3">
        <v>271</v>
      </c>
      <c r="AF262" s="3">
        <f>IF(ISERROR((VLOOKUP($A262,'NonXtal_SegEnds_BW#'!$A:$Z,22,FALSE)+VLOOKUP($A262,A:AL,31,FALSE)-50)),"-",(VLOOKUP($A262,'NonXtal_SegEnds_BW#'!$A:$Z,22,FALSE)+VLOOKUP($A262,A:AL,31,FALSE)-50))</f>
        <v>282</v>
      </c>
      <c r="AG262" s="3">
        <f>IF(ISERROR(VLOOKUP($A262,'NonXtal_SegEnds_BW#'!$A:$Z,23,FALSE)+VLOOKUP($A262,A:AL,34,FALSE)-50),"-",(VLOOKUP($A262,'NonXtal_SegEnds_BW#'!$A:$Z,23,FALSE)+VLOOKUP($A262,A:AL,34,FALSE)-50))</f>
        <v>287</v>
      </c>
      <c r="AH262" s="3">
        <v>309</v>
      </c>
      <c r="AI262" s="3">
        <f>IF(ISERROR((VLOOKUP($A262,'NonXtal_SegEnds_BW#'!$A:$Z,24,FALSE)+VLOOKUP($A262,A:AL,34,FALSE)-50)),"-",(VLOOKUP($A262,'NonXtal_SegEnds_BW#'!$A:$Z,24,FALSE)+VLOOKUP($A262,A:AL,34,FALSE)-50))</f>
        <v>315</v>
      </c>
      <c r="AJ262" s="3">
        <f>IF(ISERROR(VLOOKUP($A262,'NonXtal_SegEnds_BW#'!$A:$Z,25,FALSE)+VLOOKUP($A262,A:AL,37,FALSE)-50),"-",(VLOOKUP($A262,'NonXtal_SegEnds_BW#'!$A:$Z,25,FALSE)+VLOOKUP($A262,A:AL,37,FALSE)-50))</f>
        <v>316</v>
      </c>
      <c r="AK262" s="3">
        <v>319</v>
      </c>
      <c r="AL262" s="3">
        <f>IF(ISERROR((VLOOKUP($A262,'NonXtal_SegEnds_BW#'!$A:$Z,26,FALSE)+VLOOKUP($A262,A:AL,37,FALSE)-50)),"-",(VLOOKUP($A262,'NonXtal_SegEnds_BW#'!$A:$Z,26,FALSE)+VLOOKUP($A262,A:AL,37,FALSE)-50))</f>
        <v>328</v>
      </c>
      <c r="AM262" s="71" t="str">
        <f>VLOOKUP(A262,Classification!A:B,2,FALSE)</f>
        <v>A</v>
      </c>
      <c r="AN262" s="71" t="b">
        <f t="shared" si="133"/>
        <v>1</v>
      </c>
      <c r="AO262" s="3">
        <f t="shared" si="134"/>
        <v>1</v>
      </c>
      <c r="AP262" s="3">
        <f t="shared" si="135"/>
        <v>1</v>
      </c>
      <c r="AQ262" s="3">
        <f t="shared" si="136"/>
        <v>2</v>
      </c>
      <c r="AR262" s="3">
        <f t="shared" si="137"/>
        <v>1</v>
      </c>
      <c r="AS262" s="3">
        <f t="shared" si="138"/>
        <v>1</v>
      </c>
      <c r="AT262" s="3">
        <f t="shared" si="139"/>
        <v>2</v>
      </c>
      <c r="AU262" s="3">
        <f t="shared" si="140"/>
        <v>12</v>
      </c>
      <c r="AV262" s="3">
        <f t="shared" si="141"/>
        <v>6</v>
      </c>
      <c r="AW262" s="3">
        <f t="shared" si="142"/>
        <v>6</v>
      </c>
      <c r="AX262" s="3">
        <f t="shared" si="143"/>
        <v>5</v>
      </c>
      <c r="AY262" s="3">
        <f t="shared" si="144"/>
        <v>1</v>
      </c>
      <c r="AZ262" s="3">
        <f>IF(ISERROR(LEN(VLOOKUP(A262,Seqs!A:E,2,FALSE))-AL262),"-",LEN(VLOOKUP(A262,Seqs!A:E,2,FALSE))-AL262)</f>
        <v>41</v>
      </c>
      <c r="BA262" s="35">
        <f t="shared" si="145"/>
        <v>28</v>
      </c>
      <c r="BB262" s="3">
        <f t="shared" si="146"/>
        <v>20</v>
      </c>
      <c r="BC262" s="3">
        <f t="shared" si="147"/>
        <v>28</v>
      </c>
      <c r="BD262" s="3">
        <f t="shared" si="148"/>
        <v>51</v>
      </c>
    </row>
    <row r="263" spans="1:57" s="3" customFormat="1" x14ac:dyDescent="0.2">
      <c r="A263" s="3" t="s">
        <v>399</v>
      </c>
      <c r="B263" s="3" t="str">
        <f>LOWER(VLOOKUP(A263,Xtal_Templ!A:B,2,FALSE))</f>
        <v>oprm_mouse</v>
      </c>
      <c r="C263" s="3">
        <f>VLOOKUP($A263,'NonXtal_SegEnds_BW#'!$A:$Z,3,FALSE)+D263-50</f>
        <v>30</v>
      </c>
      <c r="D263" s="3">
        <v>51</v>
      </c>
      <c r="E263" s="3">
        <f>IF(ISERROR(VLOOKUP($A263,'NonXtal_SegEnds_BW#'!$A:$Z,4,FALSE)+VLOOKUP($A263,A:AL,4,FALSE)-50),"-",(VLOOKUP($A263,'NonXtal_SegEnds_BW#'!$A:$Z,4,FALSE)+VLOOKUP($A263,A:AL,4,FALSE)-50))</f>
        <v>61</v>
      </c>
      <c r="F263" s="3" t="str">
        <f>IF(ISERROR(VLOOKUP($A263,'NonXtal_SegEnds_BW#'!$A:$Z,5,FALSE)+VLOOKUP($A263,A:AL,7,FALSE)-50),"-",(VLOOKUP($A263,'NonXtal_SegEnds_BW#'!$A:$Z,5,FALSE)+VLOOKUP($A263,A:AL,7,FALSE)-50))</f>
        <v>-</v>
      </c>
      <c r="G263" s="3" t="s">
        <v>129</v>
      </c>
      <c r="H263" s="3" t="str">
        <f>IF(ISERROR(VLOOKUP($A263,'NonXtal_SegEnds_BW#'!$A:$Z,6,FALSE)+VLOOKUP($A263,A:AL,7,FALSE)-50),"-",(VLOOKUP($A263,'NonXtal_SegEnds_BW#'!$A:$Z,6,FALSE)+VLOOKUP($A263,A:AL,7,FALSE)-50))</f>
        <v>-</v>
      </c>
      <c r="I263" s="3">
        <f>VLOOKUP($A263,'NonXtal_SegEnds_BW#'!$A:$Z,7,FALSE)+J263-50</f>
        <v>68</v>
      </c>
      <c r="J263" s="3">
        <v>81</v>
      </c>
      <c r="K263" s="3">
        <f>VLOOKUP($A263,'NonXtal_SegEnds_BW#'!$A:$Z,8,FALSE)+VLOOKUP($A263,A:AL,10,FALSE)-50</f>
        <v>97</v>
      </c>
      <c r="L263" s="3">
        <f t="shared" si="149"/>
        <v>100</v>
      </c>
      <c r="M263" s="3">
        <v>101</v>
      </c>
      <c r="N263" s="3">
        <f t="shared" si="150"/>
        <v>103</v>
      </c>
      <c r="O263" s="3">
        <f t="shared" si="131"/>
        <v>104</v>
      </c>
      <c r="P263" s="3">
        <v>133</v>
      </c>
      <c r="Q263" s="3">
        <f>VLOOKUP($A263,'NonXtal_SegEnds_BW#'!$A:$Z,12,FALSE)+VLOOKUP($A263,A:AL,16,FALSE)-50</f>
        <v>139</v>
      </c>
      <c r="R263" s="3">
        <f>IF(ISERROR(VLOOKUP($A263,'NonXtal_SegEnds_BW#'!$A:$Z,13,FALSE)+VLOOKUP($A263,A:AL,19,FALSE)-50),"-",VLOOKUP($A263,'NonXtal_SegEnds_BW#'!$A:$Z,13,FALSE)+VLOOKUP($A263,A:AL,19,FALSE)-50)</f>
        <v>140</v>
      </c>
      <c r="S263" s="3">
        <v>140</v>
      </c>
      <c r="T263" s="3">
        <f>IF(ISERROR(VLOOKUP($A263,'NonXtal_SegEnds_BW#'!$A:$Z,14,FALSE)+VLOOKUP($A263,A:AL,19,FALSE)-50),"-",(VLOOKUP($A263,'NonXtal_SegEnds_BW#'!$A:$Z,14,FALSE)+VLOOKUP($A263,A:AL,19,FALSE)-50))</f>
        <v>147</v>
      </c>
      <c r="U263" s="3">
        <f>IF(ISERROR(VLOOKUP($A263,'NonXtal_SegEnds_BW#'!$A:$Z,15,FALSE)+VLOOKUP($A263,A:AL,22,FALSE)-50),"-",VLOOKUP($A263,'NonXtal_SegEnds_BW#'!$A:$Z,15,FALSE)+VLOOKUP($A263,A:AL,22,FALSE)-50)</f>
        <v>149</v>
      </c>
      <c r="V263" s="3">
        <v>160</v>
      </c>
      <c r="W263" s="3">
        <f>IF(ISERROR(VLOOKUP($A263,'NonXtal_SegEnds_BW#'!$A:$Z,16,FALSE)+VLOOKUP($A263,A:AL,22,FALSE)-50),"-",(VLOOKUP($A263,'NonXtal_SegEnds_BW#'!$A:$Z,16,FALSE)+VLOOKUP($A263,A:AL,22,FALSE)-50))</f>
        <v>174</v>
      </c>
      <c r="X263" s="3">
        <f>IF(ISERROR(VLOOKUP($A263,'NonXtal_SegEnds_BW#'!$A:$Z,17,FALSE)+VLOOKUP($A263,A:AL,25,FALSE)-50),"-",(VLOOKUP($A263,'NonXtal_SegEnds_BW#'!$A:$Z,17,FALSE)+VLOOKUP($A263,A:AL,25,FALSE)-50))</f>
        <v>187</v>
      </c>
      <c r="Y263" s="3">
        <v>187</v>
      </c>
      <c r="Z263" s="3">
        <f t="shared" si="132"/>
        <v>189</v>
      </c>
      <c r="AA263" s="3">
        <f>IF(ISERROR(VLOOKUP($A263,'NonXtal_SegEnds_BW#'!$A:$Z,19,FALSE)+VLOOKUP($A263,A:AL,28,FALSE)-50),"-",(VLOOKUP($A263,'NonXtal_SegEnds_BW#'!$A:$Z,19,FALSE)+VLOOKUP($A263,A:AL,28,FALSE)-50))</f>
        <v>193</v>
      </c>
      <c r="AB263" s="3">
        <v>212</v>
      </c>
      <c r="AC263" s="3">
        <f>IF(ISERROR((VLOOKUP($A263,'NonXtal_SegEnds_BW#'!$A:$Z,20,FALSE)+VLOOKUP($A263,A:AL,28,FALSE)-50)),"-",(VLOOKUP($A263,'NonXtal_SegEnds_BW#'!$A:$Z,20,FALSE)+VLOOKUP($A263,A:AL,28,FALSE)-50))</f>
        <v>234</v>
      </c>
      <c r="AD263" s="3">
        <f>IF(ISERROR(VLOOKUP($A263,'NonXtal_SegEnds_BW#'!$A:$Z,21,FALSE)+VLOOKUP($A263,A:AL,31,FALSE)-50),"-",(VLOOKUP($A263,'NonXtal_SegEnds_BW#'!$A:$Z,21,FALSE)+VLOOKUP($A263,A:AL,31,FALSE)-50))</f>
        <v>241</v>
      </c>
      <c r="AE263" s="3">
        <v>262</v>
      </c>
      <c r="AF263" s="3">
        <f>IF(ISERROR((VLOOKUP($A263,'NonXtal_SegEnds_BW#'!$A:$Z,22,FALSE)+VLOOKUP($A263,A:AL,31,FALSE)-50)),"-",(VLOOKUP($A263,'NonXtal_SegEnds_BW#'!$A:$Z,22,FALSE)+VLOOKUP($A263,A:AL,31,FALSE)-50))</f>
        <v>273</v>
      </c>
      <c r="AG263" s="3">
        <f>IF(ISERROR(VLOOKUP($A263,'NonXtal_SegEnds_BW#'!$A:$Z,23,FALSE)+VLOOKUP($A263,A:AL,34,FALSE)-50),"-",(VLOOKUP($A263,'NonXtal_SegEnds_BW#'!$A:$Z,23,FALSE)+VLOOKUP($A263,A:AL,34,FALSE)-50))</f>
        <v>278</v>
      </c>
      <c r="AH263" s="3">
        <v>300</v>
      </c>
      <c r="AI263" s="3">
        <f>IF(ISERROR((VLOOKUP($A263,'NonXtal_SegEnds_BW#'!$A:$Z,24,FALSE)+VLOOKUP($A263,A:AL,34,FALSE)-50)),"-",(VLOOKUP($A263,'NonXtal_SegEnds_BW#'!$A:$Z,24,FALSE)+VLOOKUP($A263,A:AL,34,FALSE)-50))</f>
        <v>306</v>
      </c>
      <c r="AJ263" s="3">
        <f>IF(ISERROR(VLOOKUP($A263,'NonXtal_SegEnds_BW#'!$A:$Z,25,FALSE)+VLOOKUP($A263,A:AL,37,FALSE)-50),"-",(VLOOKUP($A263,'NonXtal_SegEnds_BW#'!$A:$Z,25,FALSE)+VLOOKUP($A263,A:AL,37,FALSE)-50))</f>
        <v>307</v>
      </c>
      <c r="AK263" s="3">
        <v>310</v>
      </c>
      <c r="AL263" s="3">
        <f>IF(ISERROR((VLOOKUP($A263,'NonXtal_SegEnds_BW#'!$A:$Z,26,FALSE)+VLOOKUP($A263,A:AL,37,FALSE)-50)),"-",(VLOOKUP($A263,'NonXtal_SegEnds_BW#'!$A:$Z,26,FALSE)+VLOOKUP($A263,A:AL,37,FALSE)-50))</f>
        <v>319</v>
      </c>
      <c r="AM263" s="71" t="str">
        <f>VLOOKUP(A263,Classification!A:B,2,FALSE)</f>
        <v>A</v>
      </c>
      <c r="AN263" s="71" t="b">
        <f t="shared" si="133"/>
        <v>1</v>
      </c>
      <c r="AO263" s="3" t="str">
        <f t="shared" si="134"/>
        <v>-</v>
      </c>
      <c r="AP263" s="3" t="str">
        <f t="shared" si="135"/>
        <v>-</v>
      </c>
      <c r="AQ263" s="3">
        <f t="shared" si="136"/>
        <v>3</v>
      </c>
      <c r="AR263" s="3">
        <f t="shared" si="137"/>
        <v>1</v>
      </c>
      <c r="AS263" s="3">
        <f t="shared" si="138"/>
        <v>1</v>
      </c>
      <c r="AT263" s="3">
        <f t="shared" si="139"/>
        <v>2</v>
      </c>
      <c r="AU263" s="3">
        <f t="shared" si="140"/>
        <v>13</v>
      </c>
      <c r="AV263" s="3">
        <f t="shared" si="141"/>
        <v>4</v>
      </c>
      <c r="AW263" s="3">
        <f t="shared" si="142"/>
        <v>7</v>
      </c>
      <c r="AX263" s="3">
        <f t="shared" si="143"/>
        <v>5</v>
      </c>
      <c r="AY263" s="3">
        <f t="shared" si="144"/>
        <v>1</v>
      </c>
      <c r="AZ263" s="3">
        <f>IF(ISERROR(LEN(VLOOKUP(A263,Seqs!A:E,2,FALSE))-AL263),"-",LEN(VLOOKUP(A263,Seqs!A:E,2,FALSE))-AL263)</f>
        <v>30</v>
      </c>
      <c r="BA263" s="35">
        <f t="shared" si="145"/>
        <v>30</v>
      </c>
      <c r="BB263" s="3">
        <f t="shared" si="146"/>
        <v>20</v>
      </c>
      <c r="BC263" s="3">
        <f t="shared" si="147"/>
        <v>30</v>
      </c>
      <c r="BD263" s="3">
        <f t="shared" si="148"/>
        <v>50</v>
      </c>
    </row>
    <row r="264" spans="1:57" s="3" customFormat="1" x14ac:dyDescent="0.2">
      <c r="A264" s="3" t="s">
        <v>579</v>
      </c>
      <c r="B264" s="3" t="str">
        <f>LOWER(VLOOKUP(A264,Xtal_Templ!A:B,2,FALSE))</f>
        <v>oprm_mouse</v>
      </c>
      <c r="C264" s="3">
        <f>VLOOKUP($A264,'NonXtal_SegEnds_BW#'!$A:$Z,3,FALSE)+D264-50</f>
        <v>37</v>
      </c>
      <c r="D264" s="3">
        <v>58</v>
      </c>
      <c r="E264" s="3">
        <f>IF(ISERROR(VLOOKUP($A264,'NonXtal_SegEnds_BW#'!$A:$Z,4,FALSE)+VLOOKUP($A264,A:AL,4,FALSE)-50),"-",(VLOOKUP($A264,'NonXtal_SegEnds_BW#'!$A:$Z,4,FALSE)+VLOOKUP($A264,A:AL,4,FALSE)-50))</f>
        <v>68</v>
      </c>
      <c r="F264" s="3">
        <f>G264-2</f>
        <v>69</v>
      </c>
      <c r="G264" s="3">
        <v>71</v>
      </c>
      <c r="H264" s="3">
        <f t="shared" ref="H264:I266" si="151">G264+1</f>
        <v>72</v>
      </c>
      <c r="I264" s="3">
        <f t="shared" si="151"/>
        <v>73</v>
      </c>
      <c r="J264" s="3">
        <v>86</v>
      </c>
      <c r="K264" s="3">
        <f>VLOOKUP($A264,'NonXtal_SegEnds_BW#'!$A:$Z,8,FALSE)+VLOOKUP($A264,A:AL,10,FALSE)-50</f>
        <v>102</v>
      </c>
      <c r="L264" s="3">
        <f t="shared" si="149"/>
        <v>104</v>
      </c>
      <c r="M264" s="3">
        <v>105</v>
      </c>
      <c r="N264" s="3">
        <f t="shared" si="150"/>
        <v>107</v>
      </c>
      <c r="O264" s="3">
        <f t="shared" si="131"/>
        <v>108</v>
      </c>
      <c r="P264" s="3">
        <v>137</v>
      </c>
      <c r="Q264" s="3">
        <f>VLOOKUP($A264,'NonXtal_SegEnds_BW#'!$A:$Z,12,FALSE)+VLOOKUP($A264,A:AL,16,FALSE)-50</f>
        <v>143</v>
      </c>
      <c r="R264" s="3">
        <f>IF(ISERROR(VLOOKUP($A264,'NonXtal_SegEnds_BW#'!$A:$Z,13,FALSE)+VLOOKUP($A264,A:AL,19,FALSE)-50),"-",VLOOKUP($A264,'NonXtal_SegEnds_BW#'!$A:$Z,13,FALSE)+VLOOKUP($A264,A:AL,19,FALSE)-50)</f>
        <v>144</v>
      </c>
      <c r="S264" s="3">
        <v>144</v>
      </c>
      <c r="T264" s="3">
        <f>IF(ISERROR(VLOOKUP($A264,'NonXtal_SegEnds_BW#'!$A:$Z,14,FALSE)+VLOOKUP($A264,A:AL,19,FALSE)-50),"-",(VLOOKUP($A264,'NonXtal_SegEnds_BW#'!$A:$Z,14,FALSE)+VLOOKUP($A264,A:AL,19,FALSE)-50))</f>
        <v>151</v>
      </c>
      <c r="U264" s="3">
        <f>IF(ISERROR(VLOOKUP($A264,'NonXtal_SegEnds_BW#'!$A:$Z,15,FALSE)+VLOOKUP($A264,A:AL,22,FALSE)-50),"-",VLOOKUP($A264,'NonXtal_SegEnds_BW#'!$A:$Z,15,FALSE)+VLOOKUP($A264,A:AL,22,FALSE)-50)</f>
        <v>153</v>
      </c>
      <c r="V264" s="3">
        <v>164</v>
      </c>
      <c r="W264" s="3">
        <f>IF(ISERROR(VLOOKUP($A264,'NonXtal_SegEnds_BW#'!$A:$Z,16,FALSE)+VLOOKUP($A264,A:AL,22,FALSE)-50),"-",(VLOOKUP($A264,'NonXtal_SegEnds_BW#'!$A:$Z,16,FALSE)+VLOOKUP($A264,A:AL,22,FALSE)-50))</f>
        <v>178</v>
      </c>
      <c r="X264" s="3">
        <f>IF(ISERROR(VLOOKUP($A264,'NonXtal_SegEnds_BW#'!$A:$Z,17,FALSE)+VLOOKUP($A264,A:AL,25,FALSE)-50),"-",(VLOOKUP($A264,'NonXtal_SegEnds_BW#'!$A:$Z,17,FALSE)+VLOOKUP($A264,A:AL,25,FALSE)-50))</f>
        <v>186</v>
      </c>
      <c r="Y264" s="3">
        <v>186</v>
      </c>
      <c r="Z264" s="3">
        <f t="shared" si="132"/>
        <v>188</v>
      </c>
      <c r="AA264" s="3">
        <f>IF(ISERROR(VLOOKUP($A264,'NonXtal_SegEnds_BW#'!$A:$Z,19,FALSE)+VLOOKUP($A264,A:AL,28,FALSE)-50),"-",(VLOOKUP($A264,'NonXtal_SegEnds_BW#'!$A:$Z,19,FALSE)+VLOOKUP($A264,A:AL,28,FALSE)-50))</f>
        <v>194</v>
      </c>
      <c r="AB264" s="3">
        <v>213</v>
      </c>
      <c r="AC264" s="3">
        <f>IF(ISERROR((VLOOKUP($A264,'NonXtal_SegEnds_BW#'!$A:$Z,20,FALSE)+VLOOKUP($A264,A:AL,28,FALSE)-50)),"-",(VLOOKUP($A264,'NonXtal_SegEnds_BW#'!$A:$Z,20,FALSE)+VLOOKUP($A264,A:AL,28,FALSE)-50))</f>
        <v>235</v>
      </c>
      <c r="AD264" s="3">
        <f>IF(ISERROR(VLOOKUP($A264,'NonXtal_SegEnds_BW#'!$A:$Z,21,FALSE)+VLOOKUP($A264,A:AL,31,FALSE)-50),"-",(VLOOKUP($A264,'NonXtal_SegEnds_BW#'!$A:$Z,21,FALSE)+VLOOKUP($A264,A:AL,31,FALSE)-50))</f>
        <v>242</v>
      </c>
      <c r="AE264" s="3">
        <v>263</v>
      </c>
      <c r="AF264" s="3">
        <f>IF(ISERROR((VLOOKUP($A264,'NonXtal_SegEnds_BW#'!$A:$Z,22,FALSE)+VLOOKUP($A264,A:AL,31,FALSE)-50)),"-",(VLOOKUP($A264,'NonXtal_SegEnds_BW#'!$A:$Z,22,FALSE)+VLOOKUP($A264,A:AL,31,FALSE)-50))</f>
        <v>274</v>
      </c>
      <c r="AG264" s="3">
        <f>IF(ISERROR(VLOOKUP($A264,'NonXtal_SegEnds_BW#'!$A:$Z,23,FALSE)+VLOOKUP($A264,A:AL,34,FALSE)-50),"-",(VLOOKUP($A264,'NonXtal_SegEnds_BW#'!$A:$Z,23,FALSE)+VLOOKUP($A264,A:AL,34,FALSE)-50))</f>
        <v>279</v>
      </c>
      <c r="AH264" s="3">
        <v>301</v>
      </c>
      <c r="AI264" s="3">
        <f>IF(ISERROR((VLOOKUP($A264,'NonXtal_SegEnds_BW#'!$A:$Z,24,FALSE)+VLOOKUP($A264,A:AL,34,FALSE)-50)),"-",(VLOOKUP($A264,'NonXtal_SegEnds_BW#'!$A:$Z,24,FALSE)+VLOOKUP($A264,A:AL,34,FALSE)-50))</f>
        <v>307</v>
      </c>
      <c r="AJ264" s="3">
        <f>IF(ISERROR(VLOOKUP($A264,'NonXtal_SegEnds_BW#'!$A:$Z,25,FALSE)+VLOOKUP($A264,A:AL,37,FALSE)-50),"-",(VLOOKUP($A264,'NonXtal_SegEnds_BW#'!$A:$Z,25,FALSE)+VLOOKUP($A264,A:AL,37,FALSE)-50))</f>
        <v>308</v>
      </c>
      <c r="AK264" s="3">
        <v>311</v>
      </c>
      <c r="AL264" s="3">
        <f>IF(ISERROR((VLOOKUP($A264,'NonXtal_SegEnds_BW#'!$A:$Z,26,FALSE)+VLOOKUP($A264,A:AL,37,FALSE)-50)),"-",(VLOOKUP($A264,'NonXtal_SegEnds_BW#'!$A:$Z,26,FALSE)+VLOOKUP($A264,A:AL,37,FALSE)-50))</f>
        <v>320</v>
      </c>
      <c r="AM264" s="71" t="str">
        <f>VLOOKUP(A264,Classification!A:B,2,FALSE)</f>
        <v>A</v>
      </c>
      <c r="AN264" s="71" t="b">
        <f t="shared" si="133"/>
        <v>1</v>
      </c>
      <c r="AO264" s="3">
        <f t="shared" si="134"/>
        <v>1</v>
      </c>
      <c r="AP264" s="3">
        <f t="shared" si="135"/>
        <v>1</v>
      </c>
      <c r="AQ264" s="3">
        <f t="shared" si="136"/>
        <v>2</v>
      </c>
      <c r="AR264" s="3">
        <f t="shared" si="137"/>
        <v>1</v>
      </c>
      <c r="AS264" s="3">
        <f t="shared" si="138"/>
        <v>1</v>
      </c>
      <c r="AT264" s="3">
        <f t="shared" si="139"/>
        <v>2</v>
      </c>
      <c r="AU264" s="3">
        <f t="shared" si="140"/>
        <v>8</v>
      </c>
      <c r="AV264" s="3">
        <f t="shared" si="141"/>
        <v>6</v>
      </c>
      <c r="AW264" s="3">
        <f t="shared" si="142"/>
        <v>7</v>
      </c>
      <c r="AX264" s="3">
        <f t="shared" si="143"/>
        <v>5</v>
      </c>
      <c r="AY264" s="3">
        <f t="shared" si="144"/>
        <v>1</v>
      </c>
      <c r="AZ264" s="3">
        <f>IF(ISERROR(LEN(VLOOKUP(A264,Seqs!A:E,2,FALSE))-AL264),"-",LEN(VLOOKUP(A264,Seqs!A:E,2,FALSE))-AL264)</f>
        <v>44</v>
      </c>
      <c r="BA264" s="35">
        <f t="shared" si="145"/>
        <v>28</v>
      </c>
      <c r="BB264" s="3">
        <f t="shared" si="146"/>
        <v>20</v>
      </c>
      <c r="BC264" s="3">
        <f t="shared" si="147"/>
        <v>28</v>
      </c>
      <c r="BD264" s="3">
        <f t="shared" si="148"/>
        <v>50</v>
      </c>
    </row>
    <row r="265" spans="1:57" s="3" customFormat="1" x14ac:dyDescent="0.2">
      <c r="A265" s="3" t="s">
        <v>400</v>
      </c>
      <c r="B265" s="3" t="str">
        <f>LOWER(VLOOKUP(A265,Xtal_Templ!A:B,2,FALSE))</f>
        <v>oprm_mouse</v>
      </c>
      <c r="C265" s="3">
        <f>VLOOKUP($A265,'NonXtal_SegEnds_BW#'!$A:$Z,3,FALSE)+D265-50</f>
        <v>22</v>
      </c>
      <c r="D265" s="3">
        <v>43</v>
      </c>
      <c r="E265" s="3">
        <f>IF(ISERROR(VLOOKUP($A265,'NonXtal_SegEnds_BW#'!$A:$Z,4,FALSE)+VLOOKUP($A265,A:AL,4,FALSE)-50),"-",(VLOOKUP($A265,'NonXtal_SegEnds_BW#'!$A:$Z,4,FALSE)+VLOOKUP($A265,A:AL,4,FALSE)-50))</f>
        <v>53</v>
      </c>
      <c r="F265" s="3">
        <f>G265-2</f>
        <v>54</v>
      </c>
      <c r="G265" s="3">
        <v>56</v>
      </c>
      <c r="H265" s="3">
        <f t="shared" si="151"/>
        <v>57</v>
      </c>
      <c r="I265" s="3">
        <f t="shared" si="151"/>
        <v>58</v>
      </c>
      <c r="J265" s="3">
        <v>71</v>
      </c>
      <c r="K265" s="3">
        <f>VLOOKUP($A265,'NonXtal_SegEnds_BW#'!$A:$Z,8,FALSE)+VLOOKUP($A265,A:AL,10,FALSE)-50</f>
        <v>87</v>
      </c>
      <c r="L265" s="3">
        <f t="shared" si="149"/>
        <v>90</v>
      </c>
      <c r="M265" s="3">
        <v>91</v>
      </c>
      <c r="N265" s="3">
        <f t="shared" si="150"/>
        <v>93</v>
      </c>
      <c r="O265" s="3">
        <f t="shared" si="131"/>
        <v>94</v>
      </c>
      <c r="P265" s="3">
        <v>123</v>
      </c>
      <c r="Q265" s="3">
        <f>VLOOKUP($A265,'NonXtal_SegEnds_BW#'!$A:$Z,12,FALSE)+VLOOKUP($A265,A:AL,16,FALSE)-50</f>
        <v>129</v>
      </c>
      <c r="R265" s="3">
        <f>IF(ISERROR(VLOOKUP($A265,'NonXtal_SegEnds_BW#'!$A:$Z,13,FALSE)+VLOOKUP($A265,A:AL,19,FALSE)-50),"-",VLOOKUP($A265,'NonXtal_SegEnds_BW#'!$A:$Z,13,FALSE)+VLOOKUP($A265,A:AL,19,FALSE)-50)</f>
        <v>130</v>
      </c>
      <c r="S265" s="3">
        <v>130</v>
      </c>
      <c r="T265" s="3">
        <f>IF(ISERROR(VLOOKUP($A265,'NonXtal_SegEnds_BW#'!$A:$Z,14,FALSE)+VLOOKUP($A265,A:AL,19,FALSE)-50),"-",(VLOOKUP($A265,'NonXtal_SegEnds_BW#'!$A:$Z,14,FALSE)+VLOOKUP($A265,A:AL,19,FALSE)-50))</f>
        <v>137</v>
      </c>
      <c r="U265" s="3">
        <f>IF(ISERROR(VLOOKUP($A265,'NonXtal_SegEnds_BW#'!$A:$Z,15,FALSE)+VLOOKUP($A265,A:AL,22,FALSE)-50),"-",VLOOKUP($A265,'NonXtal_SegEnds_BW#'!$A:$Z,15,FALSE)+VLOOKUP($A265,A:AL,22,FALSE)-50)</f>
        <v>139</v>
      </c>
      <c r="V265" s="3">
        <v>150</v>
      </c>
      <c r="W265" s="3">
        <f>IF(ISERROR(VLOOKUP($A265,'NonXtal_SegEnds_BW#'!$A:$Z,16,FALSE)+VLOOKUP($A265,A:AL,22,FALSE)-50),"-",(VLOOKUP($A265,'NonXtal_SegEnds_BW#'!$A:$Z,16,FALSE)+VLOOKUP($A265,A:AL,22,FALSE)-50))</f>
        <v>164</v>
      </c>
      <c r="X265" s="3">
        <f>IF(ISERROR(VLOOKUP($A265,'NonXtal_SegEnds_BW#'!$A:$Z,17,FALSE)+VLOOKUP($A265,A:AL,25,FALSE)-50),"-",(VLOOKUP($A265,'NonXtal_SegEnds_BW#'!$A:$Z,17,FALSE)+VLOOKUP($A265,A:AL,25,FALSE)-50))</f>
        <v>175</v>
      </c>
      <c r="Y265" s="3">
        <v>175</v>
      </c>
      <c r="Z265" s="3">
        <f t="shared" si="132"/>
        <v>177</v>
      </c>
      <c r="AA265" s="3">
        <f>IF(ISERROR(VLOOKUP($A265,'NonXtal_SegEnds_BW#'!$A:$Z,19,FALSE)+VLOOKUP($A265,A:AL,28,FALSE)-50),"-",(VLOOKUP($A265,'NonXtal_SegEnds_BW#'!$A:$Z,19,FALSE)+VLOOKUP($A265,A:AL,28,FALSE)-50))</f>
        <v>180</v>
      </c>
      <c r="AB265" s="3">
        <v>199</v>
      </c>
      <c r="AC265" s="3">
        <f>IF(ISERROR((VLOOKUP($A265,'NonXtal_SegEnds_BW#'!$A:$Z,20,FALSE)+VLOOKUP($A265,A:AL,28,FALSE)-50)),"-",(VLOOKUP($A265,'NonXtal_SegEnds_BW#'!$A:$Z,20,FALSE)+VLOOKUP($A265,A:AL,28,FALSE)-50))</f>
        <v>221</v>
      </c>
      <c r="AD265" s="3">
        <f>IF(ISERROR(VLOOKUP($A265,'NonXtal_SegEnds_BW#'!$A:$Z,21,FALSE)+VLOOKUP($A265,A:AL,31,FALSE)-50),"-",(VLOOKUP($A265,'NonXtal_SegEnds_BW#'!$A:$Z,21,FALSE)+VLOOKUP($A265,A:AL,31,FALSE)-50))</f>
        <v>225</v>
      </c>
      <c r="AE265" s="3">
        <v>251</v>
      </c>
      <c r="AF265" s="3">
        <f>IF(ISERROR((VLOOKUP($A265,'NonXtal_SegEnds_BW#'!$A:$Z,22,FALSE)+VLOOKUP($A265,A:AL,31,FALSE)-50)),"-",(VLOOKUP($A265,'NonXtal_SegEnds_BW#'!$A:$Z,22,FALSE)+VLOOKUP($A265,A:AL,31,FALSE)-50))</f>
        <v>262</v>
      </c>
      <c r="AG265" s="3">
        <f>IF(ISERROR(VLOOKUP($A265,'NonXtal_SegEnds_BW#'!$A:$Z,23,FALSE)+VLOOKUP($A265,A:AL,34,FALSE)-50),"-",(VLOOKUP($A265,'NonXtal_SegEnds_BW#'!$A:$Z,23,FALSE)+VLOOKUP($A265,A:AL,34,FALSE)-50))</f>
        <v>267</v>
      </c>
      <c r="AH265" s="3">
        <v>289</v>
      </c>
      <c r="AI265" s="3">
        <f>IF(ISERROR((VLOOKUP($A265,'NonXtal_SegEnds_BW#'!$A:$Z,24,FALSE)+VLOOKUP($A265,A:AL,34,FALSE)-50)),"-",(VLOOKUP($A265,'NonXtal_SegEnds_BW#'!$A:$Z,24,FALSE)+VLOOKUP($A265,A:AL,34,FALSE)-50))</f>
        <v>295</v>
      </c>
      <c r="AJ265" s="3">
        <f>IF(ISERROR(VLOOKUP($A265,'NonXtal_SegEnds_BW#'!$A:$Z,25,FALSE)+VLOOKUP($A265,A:AL,37,FALSE)-50),"-",(VLOOKUP($A265,'NonXtal_SegEnds_BW#'!$A:$Z,25,FALSE)+VLOOKUP($A265,A:AL,37,FALSE)-50))</f>
        <v>296</v>
      </c>
      <c r="AK265" s="3">
        <v>299</v>
      </c>
      <c r="AL265" s="3">
        <f>IF(ISERROR((VLOOKUP($A265,'NonXtal_SegEnds_BW#'!$A:$Z,26,FALSE)+VLOOKUP($A265,A:AL,37,FALSE)-50)),"-",(VLOOKUP($A265,'NonXtal_SegEnds_BW#'!$A:$Z,26,FALSE)+VLOOKUP($A265,A:AL,37,FALSE)-50))</f>
        <v>308</v>
      </c>
      <c r="AM265" s="71" t="str">
        <f>VLOOKUP(A265,Classification!A:B,2,FALSE)</f>
        <v>A</v>
      </c>
      <c r="AN265" s="71" t="b">
        <f t="shared" si="133"/>
        <v>1</v>
      </c>
      <c r="AO265" s="3">
        <f t="shared" si="134"/>
        <v>1</v>
      </c>
      <c r="AP265" s="3">
        <f t="shared" si="135"/>
        <v>1</v>
      </c>
      <c r="AQ265" s="3">
        <f t="shared" si="136"/>
        <v>3</v>
      </c>
      <c r="AR265" s="3">
        <f t="shared" si="137"/>
        <v>1</v>
      </c>
      <c r="AS265" s="3">
        <f t="shared" si="138"/>
        <v>1</v>
      </c>
      <c r="AT265" s="3">
        <f t="shared" si="139"/>
        <v>2</v>
      </c>
      <c r="AU265" s="3">
        <f t="shared" si="140"/>
        <v>11</v>
      </c>
      <c r="AV265" s="3">
        <f t="shared" si="141"/>
        <v>3</v>
      </c>
      <c r="AW265" s="3">
        <f t="shared" si="142"/>
        <v>4</v>
      </c>
      <c r="AX265" s="3">
        <f t="shared" si="143"/>
        <v>5</v>
      </c>
      <c r="AY265" s="3">
        <f t="shared" si="144"/>
        <v>1</v>
      </c>
      <c r="AZ265" s="3">
        <f>IF(ISERROR(LEN(VLOOKUP(A265,Seqs!A:E,2,FALSE))-AL265),"-",LEN(VLOOKUP(A265,Seqs!A:E,2,FALSE))-AL265)</f>
        <v>79</v>
      </c>
      <c r="BA265" s="35">
        <f t="shared" si="145"/>
        <v>28</v>
      </c>
      <c r="BB265" s="3">
        <f t="shared" si="146"/>
        <v>20</v>
      </c>
      <c r="BC265" s="3">
        <f t="shared" si="147"/>
        <v>28</v>
      </c>
      <c r="BD265" s="3">
        <f t="shared" si="148"/>
        <v>52</v>
      </c>
    </row>
    <row r="266" spans="1:57" s="3" customFormat="1" x14ac:dyDescent="0.2">
      <c r="A266" s="3" t="s">
        <v>401</v>
      </c>
      <c r="B266" s="3" t="str">
        <f>LOWER(VLOOKUP(A266,Xtal_Templ!A:B,2,FALSE))</f>
        <v>oprm_mouse</v>
      </c>
      <c r="C266" s="3">
        <f>VLOOKUP($A266,'NonXtal_SegEnds_BW#'!$A:$Z,3,FALSE)+D266-50</f>
        <v>14</v>
      </c>
      <c r="D266" s="3">
        <v>35</v>
      </c>
      <c r="E266" s="3">
        <f>IF(ISERROR(VLOOKUP($A266,'NonXtal_SegEnds_BW#'!$A:$Z,4,FALSE)+VLOOKUP($A266,A:AL,4,FALSE)-50),"-",(VLOOKUP($A266,'NonXtal_SegEnds_BW#'!$A:$Z,4,FALSE)+VLOOKUP($A266,A:AL,4,FALSE)-50))</f>
        <v>45</v>
      </c>
      <c r="F266" s="3">
        <f>G266-2</f>
        <v>47</v>
      </c>
      <c r="G266" s="3">
        <v>49</v>
      </c>
      <c r="H266" s="3">
        <f t="shared" si="151"/>
        <v>50</v>
      </c>
      <c r="I266" s="3">
        <f t="shared" si="151"/>
        <v>51</v>
      </c>
      <c r="J266" s="3">
        <v>68</v>
      </c>
      <c r="K266" s="3">
        <f>VLOOKUP($A266,'NonXtal_SegEnds_BW#'!$A:$Z,8,FALSE)+VLOOKUP($A266,A:AL,10,FALSE)-50</f>
        <v>84</v>
      </c>
      <c r="L266" s="3">
        <f t="shared" si="149"/>
        <v>87</v>
      </c>
      <c r="M266" s="3">
        <v>88</v>
      </c>
      <c r="N266" s="3">
        <f t="shared" si="150"/>
        <v>90</v>
      </c>
      <c r="O266" s="3">
        <f t="shared" si="131"/>
        <v>91</v>
      </c>
      <c r="P266" s="3">
        <v>120</v>
      </c>
      <c r="Q266" s="3">
        <f>VLOOKUP($A266,'NonXtal_SegEnds_BW#'!$A:$Z,12,FALSE)+VLOOKUP($A266,A:AL,16,FALSE)-50</f>
        <v>126</v>
      </c>
      <c r="R266" s="3">
        <f>IF(ISERROR(VLOOKUP($A266,'NonXtal_SegEnds_BW#'!$A:$Z,13,FALSE)+VLOOKUP($A266,A:AL,19,FALSE)-50),"-",VLOOKUP($A266,'NonXtal_SegEnds_BW#'!$A:$Z,13,FALSE)+VLOOKUP($A266,A:AL,19,FALSE)-50)</f>
        <v>127</v>
      </c>
      <c r="S266" s="3">
        <v>127</v>
      </c>
      <c r="T266" s="3">
        <f>IF(ISERROR(VLOOKUP($A266,'NonXtal_SegEnds_BW#'!$A:$Z,14,FALSE)+VLOOKUP($A266,A:AL,19,FALSE)-50),"-",(VLOOKUP($A266,'NonXtal_SegEnds_BW#'!$A:$Z,14,FALSE)+VLOOKUP($A266,A:AL,19,FALSE)-50))</f>
        <v>134</v>
      </c>
      <c r="U266" s="3">
        <f>IF(ISERROR(VLOOKUP($A266,'NonXtal_SegEnds_BW#'!$A:$Z,15,FALSE)+VLOOKUP($A266,A:AL,22,FALSE)-50),"-",VLOOKUP($A266,'NonXtal_SegEnds_BW#'!$A:$Z,15,FALSE)+VLOOKUP($A266,A:AL,22,FALSE)-50)</f>
        <v>136</v>
      </c>
      <c r="V266" s="3">
        <v>147</v>
      </c>
      <c r="W266" s="3">
        <f>IF(ISERROR(VLOOKUP($A266,'NonXtal_SegEnds_BW#'!$A:$Z,16,FALSE)+VLOOKUP($A266,A:AL,22,FALSE)-50),"-",(VLOOKUP($A266,'NonXtal_SegEnds_BW#'!$A:$Z,16,FALSE)+VLOOKUP($A266,A:AL,22,FALSE)-50))</f>
        <v>161</v>
      </c>
      <c r="X266" s="3">
        <f>IF(ISERROR(VLOOKUP($A266,'NonXtal_SegEnds_BW#'!$A:$Z,17,FALSE)+VLOOKUP($A266,A:AL,25,FALSE)-50),"-",(VLOOKUP($A266,'NonXtal_SegEnds_BW#'!$A:$Z,17,FALSE)+VLOOKUP($A266,A:AL,25,FALSE)-50))</f>
        <v>172</v>
      </c>
      <c r="Y266" s="3">
        <v>172</v>
      </c>
      <c r="Z266" s="3">
        <f t="shared" si="132"/>
        <v>174</v>
      </c>
      <c r="AA266" s="3">
        <f>IF(ISERROR(VLOOKUP($A266,'NonXtal_SegEnds_BW#'!$A:$Z,19,FALSE)+VLOOKUP($A266,A:AL,28,FALSE)-50),"-",(VLOOKUP($A266,'NonXtal_SegEnds_BW#'!$A:$Z,19,FALSE)+VLOOKUP($A266,A:AL,28,FALSE)-50))</f>
        <v>177</v>
      </c>
      <c r="AB266" s="3">
        <v>196</v>
      </c>
      <c r="AC266" s="3">
        <f>IF(ISERROR((VLOOKUP($A266,'NonXtal_SegEnds_BW#'!$A:$Z,20,FALSE)+VLOOKUP($A266,A:AL,28,FALSE)-50)),"-",(VLOOKUP($A266,'NonXtal_SegEnds_BW#'!$A:$Z,20,FALSE)+VLOOKUP($A266,A:AL,28,FALSE)-50))</f>
        <v>218</v>
      </c>
      <c r="AD266" s="3">
        <f>IF(ISERROR(VLOOKUP($A266,'NonXtal_SegEnds_BW#'!$A:$Z,21,FALSE)+VLOOKUP($A266,A:AL,31,FALSE)-50),"-",(VLOOKUP($A266,'NonXtal_SegEnds_BW#'!$A:$Z,21,FALSE)+VLOOKUP($A266,A:AL,31,FALSE)-50))</f>
        <v>224</v>
      </c>
      <c r="AE266" s="3">
        <v>250</v>
      </c>
      <c r="AF266" s="3">
        <f>IF(ISERROR((VLOOKUP($A266,'NonXtal_SegEnds_BW#'!$A:$Z,22,FALSE)+VLOOKUP($A266,A:AL,31,FALSE)-50)),"-",(VLOOKUP($A266,'NonXtal_SegEnds_BW#'!$A:$Z,22,FALSE)+VLOOKUP($A266,A:AL,31,FALSE)-50))</f>
        <v>261</v>
      </c>
      <c r="AG266" s="3">
        <f>IF(ISERROR(VLOOKUP($A266,'NonXtal_SegEnds_BW#'!$A:$Z,23,FALSE)+VLOOKUP($A266,A:AL,34,FALSE)-50),"-",(VLOOKUP($A266,'NonXtal_SegEnds_BW#'!$A:$Z,23,FALSE)+VLOOKUP($A266,A:AL,34,FALSE)-50))</f>
        <v>266</v>
      </c>
      <c r="AH266" s="3">
        <v>288</v>
      </c>
      <c r="AI266" s="3">
        <f>IF(ISERROR((VLOOKUP($A266,'NonXtal_SegEnds_BW#'!$A:$Z,24,FALSE)+VLOOKUP($A266,A:AL,34,FALSE)-50)),"-",(VLOOKUP($A266,'NonXtal_SegEnds_BW#'!$A:$Z,24,FALSE)+VLOOKUP($A266,A:AL,34,FALSE)-50))</f>
        <v>294</v>
      </c>
      <c r="AJ266" s="3">
        <f>IF(ISERROR(VLOOKUP($A266,'NonXtal_SegEnds_BW#'!$A:$Z,25,FALSE)+VLOOKUP($A266,A:AL,37,FALSE)-50),"-",(VLOOKUP($A266,'NonXtal_SegEnds_BW#'!$A:$Z,25,FALSE)+VLOOKUP($A266,A:AL,37,FALSE)-50))</f>
        <v>295</v>
      </c>
      <c r="AK266" s="3">
        <v>298</v>
      </c>
      <c r="AL266" s="3">
        <f>IF(ISERROR((VLOOKUP($A266,'NonXtal_SegEnds_BW#'!$A:$Z,26,FALSE)+VLOOKUP($A266,A:AL,37,FALSE)-50)),"-",(VLOOKUP($A266,'NonXtal_SegEnds_BW#'!$A:$Z,26,FALSE)+VLOOKUP($A266,A:AL,37,FALSE)-50))</f>
        <v>307</v>
      </c>
      <c r="AM266" s="71" t="str">
        <f>VLOOKUP(A266,Classification!A:B,2,FALSE)</f>
        <v>A</v>
      </c>
      <c r="AN266" s="71" t="b">
        <f t="shared" si="133"/>
        <v>1</v>
      </c>
      <c r="AO266" s="3">
        <f t="shared" si="134"/>
        <v>2</v>
      </c>
      <c r="AP266" s="3">
        <f t="shared" si="135"/>
        <v>1</v>
      </c>
      <c r="AQ266" s="3">
        <f t="shared" si="136"/>
        <v>3</v>
      </c>
      <c r="AR266" s="3">
        <f t="shared" si="137"/>
        <v>1</v>
      </c>
      <c r="AS266" s="3">
        <f t="shared" si="138"/>
        <v>1</v>
      </c>
      <c r="AT266" s="3">
        <f t="shared" si="139"/>
        <v>2</v>
      </c>
      <c r="AU266" s="3">
        <f t="shared" si="140"/>
        <v>11</v>
      </c>
      <c r="AV266" s="3">
        <f t="shared" si="141"/>
        <v>3</v>
      </c>
      <c r="AW266" s="3">
        <f t="shared" si="142"/>
        <v>6</v>
      </c>
      <c r="AX266" s="3">
        <f t="shared" si="143"/>
        <v>5</v>
      </c>
      <c r="AY266" s="3">
        <f t="shared" si="144"/>
        <v>1</v>
      </c>
      <c r="AZ266" s="3">
        <f>IF(ISERROR(LEN(VLOOKUP(A266,Seqs!A:E,2,FALSE))-AL266),"-",LEN(VLOOKUP(A266,Seqs!A:E,2,FALSE))-AL266)</f>
        <v>61</v>
      </c>
      <c r="BA266" s="35">
        <f t="shared" si="145"/>
        <v>33</v>
      </c>
      <c r="BB266" s="3">
        <f t="shared" si="146"/>
        <v>20</v>
      </c>
      <c r="BC266" s="3">
        <f t="shared" si="147"/>
        <v>33</v>
      </c>
      <c r="BD266" s="3">
        <f t="shared" si="148"/>
        <v>54</v>
      </c>
    </row>
    <row r="267" spans="1:57" s="3" customFormat="1" x14ac:dyDescent="0.2">
      <c r="A267" s="3" t="s">
        <v>412</v>
      </c>
      <c r="B267" s="3" t="str">
        <f>LOWER(VLOOKUP(A267,Xtal_Templ!A:B,2,FALSE))</f>
        <v>oprx_human</v>
      </c>
      <c r="C267" s="3">
        <f>VLOOKUP($A267,'NonXtal_SegEnds_BW#'!$A:$Z,3,FALSE)+D267-50</f>
        <v>153</v>
      </c>
      <c r="D267" s="3">
        <v>174</v>
      </c>
      <c r="E267" s="3">
        <f>IF(ISERROR(VLOOKUP($A267,'NonXtal_SegEnds_BW#'!$A:$Z,4,FALSE)+VLOOKUP($A267,A:AL,4,FALSE)-50),"-",(VLOOKUP($A267,'NonXtal_SegEnds_BW#'!$A:$Z,4,FALSE)+VLOOKUP($A267,A:AL,4,FALSE)-50))</f>
        <v>184</v>
      </c>
      <c r="F267" s="3" t="str">
        <f>IF(ISERROR(VLOOKUP($A267,'NonXtal_SegEnds_BW#'!$A:$Z,5,FALSE)+VLOOKUP($A267,A:AL,7,FALSE)-50),"-",(VLOOKUP($A267,'NonXtal_SegEnds_BW#'!$A:$Z,5,FALSE)+VLOOKUP($A267,A:AL,7,FALSE)-50))</f>
        <v>-</v>
      </c>
      <c r="G267" s="3" t="s">
        <v>129</v>
      </c>
      <c r="H267" s="3" t="str">
        <f>IF(ISERROR(VLOOKUP($A267,'NonXtal_SegEnds_BW#'!$A:$Z,6,FALSE)+VLOOKUP($A267,A:AL,7,FALSE)-50),"-",(VLOOKUP($A267,'NonXtal_SegEnds_BW#'!$A:$Z,6,FALSE)+VLOOKUP($A267,A:AL,7,FALSE)-50))</f>
        <v>-</v>
      </c>
      <c r="I267" s="3">
        <f>VLOOKUP($A267,'NonXtal_SegEnds_BW#'!$A:$Z,7,FALSE)+J267-50</f>
        <v>190</v>
      </c>
      <c r="J267" s="3">
        <v>203</v>
      </c>
      <c r="K267" s="3">
        <f>VLOOKUP($A267,'NonXtal_SegEnds_BW#'!$A:$Z,8,FALSE)+VLOOKUP($A267,A:AL,10,FALSE)-50</f>
        <v>220</v>
      </c>
      <c r="L267" s="3" t="str">
        <f>IF(ISERROR(VLOOKUP($A267,'NonXtal_SegEnds_BW#'!$A:$Z,9,FALSE)+VLOOKUP($A267,A:AL,13,FALSE)-50),"-",(VLOOKUP($A267,'NonXtal_SegEnds_BW#'!$A:$Z,9,FALSE)+VLOOKUP($A267,A:AL,13,FALSE)-50))</f>
        <v>-</v>
      </c>
      <c r="M267" s="3" t="s">
        <v>129</v>
      </c>
      <c r="N267" s="3" t="str">
        <f>IF(ISERROR(VLOOKUP($A267,'NonXtal_SegEnds_BW#'!$A:$Z,10,FALSE)+VLOOKUP($A267,A:AL,13,FALSE)-50),"-",(VLOOKUP($A267,'NonXtal_SegEnds_BW#'!$A:$Z,10,FALSE)+VLOOKUP($A267,A:AL,13,FALSE)-50))</f>
        <v>-</v>
      </c>
      <c r="O267" s="3">
        <f>VLOOKUP($A267,'NonXtal_SegEnds_BW#'!$A:$Z,11,FALSE)+VLOOKUP($A267,A:AL,16,FALSE)-50</f>
        <v>224</v>
      </c>
      <c r="P267" s="3">
        <v>256</v>
      </c>
      <c r="Q267" s="3">
        <f>VLOOKUP($A267,'NonXtal_SegEnds_BW#'!$A:$Z,12,FALSE)+VLOOKUP($A267,A:AL,16,FALSE)-50</f>
        <v>262</v>
      </c>
      <c r="R267" s="3">
        <f>IF(ISERROR(VLOOKUP($A267,'NonXtal_SegEnds_BW#'!$A:$Z,13,FALSE)+VLOOKUP($A267,A:AL,19,FALSE)-50),"-",VLOOKUP($A267,'NonXtal_SegEnds_BW#'!$A:$Z,13,FALSE)+VLOOKUP($A267,A:AL,19,FALSE)-50)</f>
        <v>263</v>
      </c>
      <c r="S267" s="3">
        <v>263</v>
      </c>
      <c r="T267" s="3">
        <f>IF(ISERROR(VLOOKUP($A267,'NonXtal_SegEnds_BW#'!$A:$Z,14,FALSE)+VLOOKUP($A267,A:AL,19,FALSE)-50),"-",(VLOOKUP($A267,'NonXtal_SegEnds_BW#'!$A:$Z,14,FALSE)+VLOOKUP($A267,A:AL,19,FALSE)-50))</f>
        <v>270</v>
      </c>
      <c r="U267" s="3">
        <f>IF(ISERROR(VLOOKUP($A267,'NonXtal_SegEnds_BW#'!$A:$Z,15,FALSE)+VLOOKUP($A267,A:AL,22,FALSE)-50),"-",VLOOKUP($A267,'NonXtal_SegEnds_BW#'!$A:$Z,15,FALSE)+VLOOKUP($A267,A:AL,22,FALSE)-50)</f>
        <v>271</v>
      </c>
      <c r="V267" s="3">
        <v>282</v>
      </c>
      <c r="W267" s="3">
        <f>IF(ISERROR(VLOOKUP($A267,'NonXtal_SegEnds_BW#'!$A:$Z,16,FALSE)+VLOOKUP($A267,A:AL,22,FALSE)-50),"-",(VLOOKUP($A267,'NonXtal_SegEnds_BW#'!$A:$Z,16,FALSE)+VLOOKUP($A267,A:AL,22,FALSE)-50))</f>
        <v>296</v>
      </c>
      <c r="X267" s="3" t="str">
        <f>IF(ISERROR(VLOOKUP($A267,'NonXtal_SegEnds_BW#'!$A:$Z,17,FALSE)+VLOOKUP($A267,A:AL,25,FALSE)-50),"-",(VLOOKUP($A267,'NonXtal_SegEnds_BW#'!$A:$Z,17,FALSE)+VLOOKUP($A267,A:AL,25,FALSE)-50))</f>
        <v>-</v>
      </c>
      <c r="Y267" s="3" t="s">
        <v>129</v>
      </c>
      <c r="Z267" s="3" t="str">
        <f>IF(ISERROR(VLOOKUP($A267,'NonXtal_SegEnds_BW#'!$A:$Z,18,FALSE)+VLOOKUP($A267,A:AL,25,FALSE)-50),"-",(VLOOKUP($A267,'NonXtal_SegEnds_BW#'!$A:$Z,18,FALSE)+VLOOKUP($A267,A:AL,25,FALSE)-50))</f>
        <v>-</v>
      </c>
      <c r="AA267" s="3">
        <f>IF(ISERROR(VLOOKUP($A267,'NonXtal_SegEnds_BW#'!$A:$Z,19,FALSE)+VLOOKUP($A267,A:AL,28,FALSE)-50),"-",(VLOOKUP($A267,'NonXtal_SegEnds_BW#'!$A:$Z,19,FALSE)+VLOOKUP($A267,A:AL,28,FALSE)-50))</f>
        <v>306</v>
      </c>
      <c r="AB267" s="3">
        <v>325</v>
      </c>
      <c r="AC267" s="3">
        <f>IF(ISERROR((VLOOKUP($A267,'NonXtal_SegEnds_BW#'!$A:$Z,20,FALSE)+VLOOKUP($A267,A:AL,28,FALSE)-50)),"-",(VLOOKUP($A267,'NonXtal_SegEnds_BW#'!$A:$Z,20,FALSE)+VLOOKUP($A267,A:AL,28,FALSE)-50))</f>
        <v>342</v>
      </c>
      <c r="AD267" s="3">
        <f>IF(ISERROR(VLOOKUP($A267,'NonXtal_SegEnds_BW#'!$A:$Z,21,FALSE)+VLOOKUP($A267,A:AL,31,FALSE)-50),"-",(VLOOKUP($A267,'NonXtal_SegEnds_BW#'!$A:$Z,21,FALSE)+VLOOKUP($A267,A:AL,31,FALSE)-50))</f>
        <v>348</v>
      </c>
      <c r="AE267" s="3">
        <v>372</v>
      </c>
      <c r="AF267" s="3">
        <f>IF(ISERROR((VLOOKUP($A267,'NonXtal_SegEnds_BW#'!$A:$Z,22,FALSE)+VLOOKUP($A267,A:AL,31,FALSE)-50)),"-",(VLOOKUP($A267,'NonXtal_SegEnds_BW#'!$A:$Z,22,FALSE)+VLOOKUP($A267,A:AL,31,FALSE)-50))</f>
        <v>383</v>
      </c>
      <c r="AG267" s="3">
        <f>IF(ISERROR(VLOOKUP($A267,'NonXtal_SegEnds_BW#'!$A:$Z,23,FALSE)+VLOOKUP($A267,A:AL,34,FALSE)-50),"-",(VLOOKUP($A267,'NonXtal_SegEnds_BW#'!$A:$Z,23,FALSE)+VLOOKUP($A267,A:AL,34,FALSE)-50))</f>
        <v>389</v>
      </c>
      <c r="AH267" s="3">
        <v>411</v>
      </c>
      <c r="AI267" s="3">
        <f>IF(ISERROR((VLOOKUP($A267,'NonXtal_SegEnds_BW#'!$A:$Z,24,FALSE)+VLOOKUP($A267,A:AL,34,FALSE)-50)),"-",(VLOOKUP($A267,'NonXtal_SegEnds_BW#'!$A:$Z,24,FALSE)+VLOOKUP($A267,A:AL,34,FALSE)-50))</f>
        <v>417</v>
      </c>
      <c r="AJ267" s="3">
        <f>IF(ISERROR(VLOOKUP($A267,'NonXtal_SegEnds_BW#'!$A:$Z,25,FALSE)+VLOOKUP($A267,A:AL,37,FALSE)-50),"-",(VLOOKUP($A267,'NonXtal_SegEnds_BW#'!$A:$Z,25,FALSE)+VLOOKUP($A267,A:AL,37,FALSE)-50))</f>
        <v>418</v>
      </c>
      <c r="AK267" s="3">
        <v>421</v>
      </c>
      <c r="AL267" s="3">
        <f>IF(ISERROR((VLOOKUP($A267,'NonXtal_SegEnds_BW#'!$A:$Z,26,FALSE)+VLOOKUP($A267,A:AL,37,FALSE)-50)),"-",(VLOOKUP($A267,'NonXtal_SegEnds_BW#'!$A:$Z,26,FALSE)+VLOOKUP($A267,A:AL,37,FALSE)-50))</f>
        <v>430</v>
      </c>
      <c r="AM267" s="71" t="str">
        <f>VLOOKUP(A267,Classification!A:B,2,FALSE)</f>
        <v>A</v>
      </c>
      <c r="AN267" s="71" t="b">
        <f t="shared" si="133"/>
        <v>1</v>
      </c>
      <c r="AO267" s="3" t="str">
        <f t="shared" si="134"/>
        <v>-</v>
      </c>
      <c r="AP267" s="3" t="str">
        <f t="shared" si="135"/>
        <v>-</v>
      </c>
      <c r="AQ267" s="3" t="str">
        <f t="shared" si="136"/>
        <v>-</v>
      </c>
      <c r="AR267" s="3" t="str">
        <f t="shared" si="137"/>
        <v>-</v>
      </c>
      <c r="AS267" s="3">
        <f t="shared" si="138"/>
        <v>1</v>
      </c>
      <c r="AT267" s="3">
        <f t="shared" si="139"/>
        <v>1</v>
      </c>
      <c r="AU267" s="3" t="str">
        <f t="shared" si="140"/>
        <v>-</v>
      </c>
      <c r="AV267" s="3" t="str">
        <f t="shared" si="141"/>
        <v>-</v>
      </c>
      <c r="AW267" s="3">
        <f t="shared" si="142"/>
        <v>6</v>
      </c>
      <c r="AX267" s="3">
        <f t="shared" si="143"/>
        <v>6</v>
      </c>
      <c r="AY267" s="3">
        <f t="shared" si="144"/>
        <v>1</v>
      </c>
      <c r="AZ267" s="3">
        <f>IF(ISERROR(LEN(VLOOKUP(A267,Seqs!A:E,2,FALSE))-AL267),"-",LEN(VLOOKUP(A267,Seqs!A:E,2,FALSE))-AL267)</f>
        <v>32</v>
      </c>
      <c r="BA267" s="35">
        <f t="shared" si="145"/>
        <v>29</v>
      </c>
      <c r="BB267" s="3">
        <f t="shared" si="146"/>
        <v>19</v>
      </c>
      <c r="BC267" s="3">
        <f t="shared" si="147"/>
        <v>29</v>
      </c>
      <c r="BD267" s="3">
        <f t="shared" si="148"/>
        <v>47</v>
      </c>
    </row>
    <row r="268" spans="1:57" s="3" customFormat="1" x14ac:dyDescent="0.2">
      <c r="A268" s="3" t="s">
        <v>493</v>
      </c>
      <c r="B268" s="3" t="str">
        <f>LOWER(VLOOKUP(A268,Xtal_Templ!A:B,2,FALSE))</f>
        <v>oprx_human</v>
      </c>
      <c r="C268" s="3">
        <f>VLOOKUP($A268,'NonXtal_SegEnds_BW#'!$A:$Z,3,FALSE)+D268-50</f>
        <v>106</v>
      </c>
      <c r="D268" s="3">
        <v>127</v>
      </c>
      <c r="E268" s="3">
        <f>IF(ISERROR(VLOOKUP($A268,'NonXtal_SegEnds_BW#'!$A:$Z,4,FALSE)+VLOOKUP($A268,A:AL,4,FALSE)-50),"-",(VLOOKUP($A268,'NonXtal_SegEnds_BW#'!$A:$Z,4,FALSE)+VLOOKUP($A268,A:AL,4,FALSE)-50))</f>
        <v>137</v>
      </c>
      <c r="F268" s="3">
        <f t="shared" ref="F268:F282" si="152">G268-2</f>
        <v>138</v>
      </c>
      <c r="G268" s="3">
        <v>140</v>
      </c>
      <c r="H268" s="3">
        <f t="shared" ref="H268:I282" si="153">G268+1</f>
        <v>141</v>
      </c>
      <c r="I268" s="3">
        <f t="shared" si="153"/>
        <v>142</v>
      </c>
      <c r="J268" s="3">
        <v>158</v>
      </c>
      <c r="K268" s="3">
        <f>VLOOKUP($A268,'NonXtal_SegEnds_BW#'!$A:$Z,8,FALSE)+VLOOKUP($A268,A:AL,10,FALSE)-50</f>
        <v>174</v>
      </c>
      <c r="L268" s="3">
        <f t="shared" ref="L268:L279" si="154">M268-1</f>
        <v>177</v>
      </c>
      <c r="M268" s="3">
        <v>178</v>
      </c>
      <c r="N268" s="3">
        <f t="shared" ref="N268:N279" si="155">M268+2</f>
        <v>180</v>
      </c>
      <c r="O268" s="3">
        <f t="shared" ref="O268:O281" si="156">N268+1</f>
        <v>181</v>
      </c>
      <c r="P268" s="3">
        <v>210</v>
      </c>
      <c r="Q268" s="3">
        <f>VLOOKUP($A268,'NonXtal_SegEnds_BW#'!$A:$Z,12,FALSE)+VLOOKUP($A268,A:AL,16,FALSE)-50</f>
        <v>216</v>
      </c>
      <c r="R268" s="3">
        <f>IF(ISERROR(VLOOKUP($A268,'NonXtal_SegEnds_BW#'!$A:$Z,13,FALSE)+VLOOKUP($A268,A:AL,19,FALSE)-50),"-",VLOOKUP($A268,'NonXtal_SegEnds_BW#'!$A:$Z,13,FALSE)+VLOOKUP($A268,A:AL,19,FALSE)-50)</f>
        <v>217</v>
      </c>
      <c r="S268" s="3">
        <v>217</v>
      </c>
      <c r="T268" s="3">
        <f>IF(ISERROR(VLOOKUP($A268,'NonXtal_SegEnds_BW#'!$A:$Z,14,FALSE)+VLOOKUP($A268,A:AL,19,FALSE)-50),"-",(VLOOKUP($A268,'NonXtal_SegEnds_BW#'!$A:$Z,14,FALSE)+VLOOKUP($A268,A:AL,19,FALSE)-50))</f>
        <v>224</v>
      </c>
      <c r="U268" s="3">
        <f>IF(ISERROR(VLOOKUP($A268,'NonXtal_SegEnds_BW#'!$A:$Z,15,FALSE)+VLOOKUP($A268,A:AL,22,FALSE)-50),"-",VLOOKUP($A268,'NonXtal_SegEnds_BW#'!$A:$Z,15,FALSE)+VLOOKUP($A268,A:AL,22,FALSE)-50)</f>
        <v>226</v>
      </c>
      <c r="V268" s="3">
        <v>237</v>
      </c>
      <c r="W268" s="3">
        <f>IF(ISERROR(VLOOKUP($A268,'NonXtal_SegEnds_BW#'!$A:$Z,16,FALSE)+VLOOKUP($A268,A:AL,22,FALSE)-50),"-",(VLOOKUP($A268,'NonXtal_SegEnds_BW#'!$A:$Z,16,FALSE)+VLOOKUP($A268,A:AL,22,FALSE)-50))</f>
        <v>251</v>
      </c>
      <c r="X268" s="3">
        <f>IF(ISERROR(VLOOKUP($A268,'NonXtal_SegEnds_BW#'!$A:$Z,17,FALSE)+VLOOKUP($A268,A:AL,25,FALSE)-50),"-",(VLOOKUP($A268,'NonXtal_SegEnds_BW#'!$A:$Z,17,FALSE)+VLOOKUP($A268,A:AL,25,FALSE)-50))</f>
        <v>263</v>
      </c>
      <c r="Y268" s="3">
        <v>263</v>
      </c>
      <c r="Z268" s="3">
        <f t="shared" ref="Z268:Z281" si="157">Y268+2</f>
        <v>265</v>
      </c>
      <c r="AA268" s="3">
        <f>IF(ISERROR(VLOOKUP($A268,'NonXtal_SegEnds_BW#'!$A:$Z,19,FALSE)+VLOOKUP($A268,A:AL,28,FALSE)-50),"-",(VLOOKUP($A268,'NonXtal_SegEnds_BW#'!$A:$Z,19,FALSE)+VLOOKUP($A268,A:AL,28,FALSE)-50))</f>
        <v>270</v>
      </c>
      <c r="AB268" s="3">
        <v>289</v>
      </c>
      <c r="AC268" s="3">
        <f>IF(ISERROR((VLOOKUP($A268,'NonXtal_SegEnds_BW#'!$A:$Z,20,FALSE)+VLOOKUP($A268,A:AL,28,FALSE)-50)),"-",(VLOOKUP($A268,'NonXtal_SegEnds_BW#'!$A:$Z,20,FALSE)+VLOOKUP($A268,A:AL,28,FALSE)-50))</f>
        <v>307</v>
      </c>
      <c r="AD268" s="3">
        <f>IF(ISERROR(VLOOKUP($A268,'NonXtal_SegEnds_BW#'!$A:$Z,21,FALSE)+VLOOKUP($A268,A:AL,31,FALSE)-50),"-",(VLOOKUP($A268,'NonXtal_SegEnds_BW#'!$A:$Z,21,FALSE)+VLOOKUP($A268,A:AL,31,FALSE)-50))</f>
        <v>313</v>
      </c>
      <c r="AE268" s="3">
        <v>340</v>
      </c>
      <c r="AF268" s="3">
        <f>IF(ISERROR((VLOOKUP($A268,'NonXtal_SegEnds_BW#'!$A:$Z,22,FALSE)+VLOOKUP($A268,A:AL,31,FALSE)-50)),"-",(VLOOKUP($A268,'NonXtal_SegEnds_BW#'!$A:$Z,22,FALSE)+VLOOKUP($A268,A:AL,31,FALSE)-50))</f>
        <v>351</v>
      </c>
      <c r="AG268" s="3">
        <f>IF(ISERROR(VLOOKUP($A268,'NonXtal_SegEnds_BW#'!$A:$Z,23,FALSE)+VLOOKUP($A268,A:AL,34,FALSE)-50),"-",(VLOOKUP($A268,'NonXtal_SegEnds_BW#'!$A:$Z,23,FALSE)+VLOOKUP($A268,A:AL,34,FALSE)-50))</f>
        <v>358</v>
      </c>
      <c r="AH268" s="3">
        <v>377</v>
      </c>
      <c r="AI268" s="3">
        <f>IF(ISERROR((VLOOKUP($A268,'NonXtal_SegEnds_BW#'!$A:$Z,24,FALSE)+VLOOKUP($A268,A:AL,34,FALSE)-50)),"-",(VLOOKUP($A268,'NonXtal_SegEnds_BW#'!$A:$Z,24,FALSE)+VLOOKUP($A268,A:AL,34,FALSE)-50))</f>
        <v>383</v>
      </c>
      <c r="AJ268" s="3">
        <f>IF(ISERROR(VLOOKUP($A268,'NonXtal_SegEnds_BW#'!$A:$Z,25,FALSE)+VLOOKUP($A268,A:AL,37,FALSE)-50),"-",(VLOOKUP($A268,'NonXtal_SegEnds_BW#'!$A:$Z,25,FALSE)+VLOOKUP($A268,A:AL,37,FALSE)-50))</f>
        <v>384</v>
      </c>
      <c r="AK268" s="3">
        <v>387</v>
      </c>
      <c r="AL268" s="3">
        <f>IF(ISERROR((VLOOKUP($A268,'NonXtal_SegEnds_BW#'!$A:$Z,26,FALSE)+VLOOKUP($A268,A:AL,37,FALSE)-50)),"-",(VLOOKUP($A268,'NonXtal_SegEnds_BW#'!$A:$Z,26,FALSE)+VLOOKUP($A268,A:AL,37,FALSE)-50))</f>
        <v>396</v>
      </c>
      <c r="AM268" s="71" t="str">
        <f>VLOOKUP(A268,Classification!A:B,2,FALSE)</f>
        <v>A</v>
      </c>
      <c r="AN268" s="71" t="b">
        <f t="shared" si="133"/>
        <v>1</v>
      </c>
      <c r="AO268" s="3">
        <f t="shared" si="134"/>
        <v>1</v>
      </c>
      <c r="AP268" s="3">
        <f t="shared" si="135"/>
        <v>1</v>
      </c>
      <c r="AQ268" s="3">
        <f t="shared" si="136"/>
        <v>3</v>
      </c>
      <c r="AR268" s="3">
        <f t="shared" si="137"/>
        <v>1</v>
      </c>
      <c r="AS268" s="3">
        <f t="shared" si="138"/>
        <v>1</v>
      </c>
      <c r="AT268" s="3">
        <f t="shared" si="139"/>
        <v>2</v>
      </c>
      <c r="AU268" s="3">
        <f t="shared" si="140"/>
        <v>12</v>
      </c>
      <c r="AV268" s="3">
        <f t="shared" si="141"/>
        <v>5</v>
      </c>
      <c r="AW268" s="3">
        <f t="shared" si="142"/>
        <v>6</v>
      </c>
      <c r="AX268" s="3">
        <f t="shared" si="143"/>
        <v>7</v>
      </c>
      <c r="AY268" s="3">
        <f t="shared" si="144"/>
        <v>1</v>
      </c>
      <c r="AZ268" s="3">
        <f>IF(ISERROR(LEN(VLOOKUP(A268,Seqs!A:E,2,FALSE))-AL268),"-",LEN(VLOOKUP(A268,Seqs!A:E,2,FALSE))-AL268)</f>
        <v>26</v>
      </c>
      <c r="BA268" s="35">
        <f t="shared" si="145"/>
        <v>31</v>
      </c>
      <c r="BB268" s="3">
        <f t="shared" si="146"/>
        <v>20</v>
      </c>
      <c r="BC268" s="3">
        <f t="shared" si="147"/>
        <v>31</v>
      </c>
      <c r="BD268" s="3">
        <f t="shared" si="148"/>
        <v>51</v>
      </c>
      <c r="BE268" s="3">
        <f>AH268-AE268</f>
        <v>37</v>
      </c>
    </row>
    <row r="269" spans="1:57" s="3" customFormat="1" x14ac:dyDescent="0.2">
      <c r="A269" s="3" t="s">
        <v>1393</v>
      </c>
      <c r="B269" s="3" t="str">
        <f>LOWER(VLOOKUP(A269,Xtal_Templ!A:B,2,FALSE))</f>
        <v>oprx_human</v>
      </c>
      <c r="C269" s="3">
        <f>VLOOKUP($A269,'NonXtal_SegEnds_BW#'!$A:$Z,3,FALSE)+D269-50</f>
        <v>48</v>
      </c>
      <c r="D269" s="3">
        <v>69</v>
      </c>
      <c r="E269" s="3">
        <f>IF(ISERROR(VLOOKUP($A269,'NonXtal_SegEnds_BW#'!$A:$Z,4,FALSE)+VLOOKUP($A269,A:AL,4,FALSE)-50),"-",(VLOOKUP($A269,'NonXtal_SegEnds_BW#'!$A:$Z,4,FALSE)+VLOOKUP($A269,A:AL,4,FALSE)-50))</f>
        <v>79</v>
      </c>
      <c r="F269" s="3">
        <f t="shared" si="152"/>
        <v>80</v>
      </c>
      <c r="G269" s="3">
        <v>82</v>
      </c>
      <c r="H269" s="3">
        <f t="shared" si="153"/>
        <v>83</v>
      </c>
      <c r="I269" s="3">
        <f t="shared" si="153"/>
        <v>84</v>
      </c>
      <c r="J269" s="3">
        <v>97</v>
      </c>
      <c r="K269" s="3">
        <f>VLOOKUP($A269,'NonXtal_SegEnds_BW#'!$A:$Z,8,FALSE)+VLOOKUP($A269,A:AL,10,FALSE)-50</f>
        <v>113</v>
      </c>
      <c r="L269" s="3">
        <f t="shared" si="154"/>
        <v>115</v>
      </c>
      <c r="M269" s="3">
        <v>116</v>
      </c>
      <c r="N269" s="3">
        <f t="shared" si="155"/>
        <v>118</v>
      </c>
      <c r="O269" s="3">
        <f t="shared" si="156"/>
        <v>119</v>
      </c>
      <c r="P269" s="3">
        <v>148</v>
      </c>
      <c r="Q269" s="3">
        <f>VLOOKUP($A269,'NonXtal_SegEnds_BW#'!$A:$Z,12,FALSE)+VLOOKUP($A269,A:AL,16,FALSE)-50</f>
        <v>154</v>
      </c>
      <c r="R269" s="3">
        <f>IF(ISERROR(VLOOKUP($A269,'NonXtal_SegEnds_BW#'!$A:$Z,13,FALSE)+VLOOKUP($A269,A:AL,19,FALSE)-50),"-",VLOOKUP($A269,'NonXtal_SegEnds_BW#'!$A:$Z,13,FALSE)+VLOOKUP($A269,A:AL,19,FALSE)-50)</f>
        <v>155</v>
      </c>
      <c r="S269" s="3">
        <v>155</v>
      </c>
      <c r="T269" s="3">
        <f>IF(ISERROR(VLOOKUP($A269,'NonXtal_SegEnds_BW#'!$A:$Z,14,FALSE)+VLOOKUP($A269,A:AL,19,FALSE)-50),"-",(VLOOKUP($A269,'NonXtal_SegEnds_BW#'!$A:$Z,14,FALSE)+VLOOKUP($A269,A:AL,19,FALSE)-50))</f>
        <v>162</v>
      </c>
      <c r="U269" s="3">
        <f>IF(ISERROR(VLOOKUP($A269,'NonXtal_SegEnds_BW#'!$A:$Z,15,FALSE)+VLOOKUP($A269,A:AL,22,FALSE)-50),"-",VLOOKUP($A269,'NonXtal_SegEnds_BW#'!$A:$Z,15,FALSE)+VLOOKUP($A269,A:AL,22,FALSE)-50)</f>
        <v>164</v>
      </c>
      <c r="V269" s="3">
        <v>175</v>
      </c>
      <c r="W269" s="3">
        <f>IF(ISERROR(VLOOKUP($A269,'NonXtal_SegEnds_BW#'!$A:$Z,16,FALSE)+VLOOKUP($A269,A:AL,22,FALSE)-50),"-",(VLOOKUP($A269,'NonXtal_SegEnds_BW#'!$A:$Z,16,FALSE)+VLOOKUP($A269,A:AL,22,FALSE)-50))</f>
        <v>189</v>
      </c>
      <c r="X269" s="3">
        <f>IF(ISERROR(VLOOKUP($A269,'NonXtal_SegEnds_BW#'!$A:$Z,17,FALSE)+VLOOKUP($A269,A:AL,25,FALSE)-50),"-",(VLOOKUP($A269,'NonXtal_SegEnds_BW#'!$A:$Z,17,FALSE)+VLOOKUP($A269,A:AL,25,FALSE)-50))</f>
        <v>200</v>
      </c>
      <c r="Y269" s="3">
        <v>200</v>
      </c>
      <c r="Z269" s="3">
        <f t="shared" si="157"/>
        <v>202</v>
      </c>
      <c r="AA269" s="3">
        <f>IF(ISERROR(VLOOKUP($A269,'NonXtal_SegEnds_BW#'!$A:$Z,19,FALSE)+VLOOKUP($A269,A:AL,28,FALSE)-50),"-",(VLOOKUP($A269,'NonXtal_SegEnds_BW#'!$A:$Z,19,FALSE)+VLOOKUP($A269,A:AL,28,FALSE)-50))</f>
        <v>208</v>
      </c>
      <c r="AB269" s="3">
        <v>227</v>
      </c>
      <c r="AC269" s="3">
        <f>IF(ISERROR((VLOOKUP($A269,'NonXtal_SegEnds_BW#'!$A:$Z,20,FALSE)+VLOOKUP($A269,A:AL,28,FALSE)-50)),"-",(VLOOKUP($A269,'NonXtal_SegEnds_BW#'!$A:$Z,20,FALSE)+VLOOKUP($A269,A:AL,28,FALSE)-50))</f>
        <v>245</v>
      </c>
      <c r="AD269" s="3">
        <f>IF(ISERROR(VLOOKUP($A269,'NonXtal_SegEnds_BW#'!$A:$Z,21,FALSE)+VLOOKUP($A269,A:AL,31,FALSE)-50),"-",(VLOOKUP($A269,'NonXtal_SegEnds_BW#'!$A:$Z,21,FALSE)+VLOOKUP($A269,A:AL,31,FALSE)-50))</f>
        <v>251</v>
      </c>
      <c r="AE269" s="3">
        <v>278</v>
      </c>
      <c r="AF269" s="3">
        <f>IF(ISERROR((VLOOKUP($A269,'NonXtal_SegEnds_BW#'!$A:$Z,22,FALSE)+VLOOKUP($A269,A:AL,31,FALSE)-50)),"-",(VLOOKUP($A269,'NonXtal_SegEnds_BW#'!$A:$Z,22,FALSE)+VLOOKUP($A269,A:AL,31,FALSE)-50))</f>
        <v>289</v>
      </c>
      <c r="AG269" s="3">
        <f>IF(ISERROR(VLOOKUP($A269,'NonXtal_SegEnds_BW#'!$A:$Z,23,FALSE)+VLOOKUP($A269,A:AL,34,FALSE)-50),"-",(VLOOKUP($A269,'NonXtal_SegEnds_BW#'!$A:$Z,23,FALSE)+VLOOKUP($A269,A:AL,34,FALSE)-50))</f>
        <v>294</v>
      </c>
      <c r="AH269" s="3">
        <v>316</v>
      </c>
      <c r="AI269" s="3">
        <f>IF(ISERROR((VLOOKUP($A269,'NonXtal_SegEnds_BW#'!$A:$Z,24,FALSE)+VLOOKUP($A269,A:AL,34,FALSE)-50)),"-",(VLOOKUP($A269,'NonXtal_SegEnds_BW#'!$A:$Z,24,FALSE)+VLOOKUP($A269,A:AL,34,FALSE)-50))</f>
        <v>322</v>
      </c>
      <c r="AJ269" s="3">
        <f>IF(ISERROR(VLOOKUP($A269,'NonXtal_SegEnds_BW#'!$A:$Z,25,FALSE)+VLOOKUP($A269,A:AL,37,FALSE)-50),"-",(VLOOKUP($A269,'NonXtal_SegEnds_BW#'!$A:$Z,25,FALSE)+VLOOKUP($A269,A:AL,37,FALSE)-50))</f>
        <v>323</v>
      </c>
      <c r="AK269" s="3">
        <v>326</v>
      </c>
      <c r="AL269" s="3">
        <f>IF(ISERROR((VLOOKUP($A269,'NonXtal_SegEnds_BW#'!$A:$Z,26,FALSE)+VLOOKUP($A269,A:AL,37,FALSE)-50)),"-",(VLOOKUP($A269,'NonXtal_SegEnds_BW#'!$A:$Z,26,FALSE)+VLOOKUP($A269,A:AL,37,FALSE)-50))</f>
        <v>335</v>
      </c>
      <c r="AM269" s="71" t="str">
        <f>VLOOKUP(A269,Classification!A:B,2,FALSE)</f>
        <v>A</v>
      </c>
      <c r="AN269" s="71" t="b">
        <f t="shared" si="133"/>
        <v>1</v>
      </c>
      <c r="AO269" s="3">
        <f t="shared" si="134"/>
        <v>1</v>
      </c>
      <c r="AP269" s="3">
        <f t="shared" si="135"/>
        <v>1</v>
      </c>
      <c r="AQ269" s="3">
        <f t="shared" si="136"/>
        <v>2</v>
      </c>
      <c r="AR269" s="3">
        <f t="shared" si="137"/>
        <v>1</v>
      </c>
      <c r="AS269" s="3">
        <f t="shared" si="138"/>
        <v>1</v>
      </c>
      <c r="AT269" s="3">
        <f t="shared" si="139"/>
        <v>2</v>
      </c>
      <c r="AU269" s="3">
        <f t="shared" si="140"/>
        <v>11</v>
      </c>
      <c r="AV269" s="3">
        <f t="shared" si="141"/>
        <v>6</v>
      </c>
      <c r="AW269" s="3">
        <f t="shared" si="142"/>
        <v>6</v>
      </c>
      <c r="AX269" s="3">
        <f t="shared" si="143"/>
        <v>5</v>
      </c>
      <c r="AY269" s="3">
        <f t="shared" si="144"/>
        <v>1</v>
      </c>
      <c r="AZ269" s="3">
        <f>IF(ISERROR(LEN(VLOOKUP(A269,Seqs!A:E,2,FALSE))-AL269),"-",LEN(VLOOKUP(A269,Seqs!A:E,2,FALSE))-AL269)</f>
        <v>35</v>
      </c>
      <c r="BA269" s="35">
        <f t="shared" si="145"/>
        <v>28</v>
      </c>
      <c r="BB269" s="3">
        <f t="shared" si="146"/>
        <v>20</v>
      </c>
      <c r="BC269" s="3">
        <f t="shared" si="147"/>
        <v>28</v>
      </c>
      <c r="BD269" s="3">
        <f t="shared" si="148"/>
        <v>51</v>
      </c>
    </row>
    <row r="270" spans="1:57" s="3" customFormat="1" x14ac:dyDescent="0.2">
      <c r="A270" s="3" t="s">
        <v>590</v>
      </c>
      <c r="B270" s="3" t="str">
        <f>LOWER(VLOOKUP(A270,Xtal_Templ!A:B,2,FALSE))</f>
        <v>oprx_human</v>
      </c>
      <c r="C270" s="3">
        <f>VLOOKUP($A270,'NonXtal_SegEnds_BW#'!$A:$Z,3,FALSE)+D270-50</f>
        <v>48</v>
      </c>
      <c r="D270" s="3">
        <v>69</v>
      </c>
      <c r="E270" s="3">
        <f>IF(ISERROR(VLOOKUP($A270,'NonXtal_SegEnds_BW#'!$A:$Z,4,FALSE)+VLOOKUP($A270,A:AL,4,FALSE)-50),"-",(VLOOKUP($A270,'NonXtal_SegEnds_BW#'!$A:$Z,4,FALSE)+VLOOKUP($A270,A:AL,4,FALSE)-50))</f>
        <v>79</v>
      </c>
      <c r="F270" s="3">
        <f t="shared" si="152"/>
        <v>80</v>
      </c>
      <c r="G270" s="3">
        <v>82</v>
      </c>
      <c r="H270" s="3">
        <f t="shared" si="153"/>
        <v>83</v>
      </c>
      <c r="I270" s="3">
        <f t="shared" si="153"/>
        <v>84</v>
      </c>
      <c r="J270" s="3">
        <v>97</v>
      </c>
      <c r="K270" s="3">
        <f>VLOOKUP($A270,'NonXtal_SegEnds_BW#'!$A:$Z,8,FALSE)+VLOOKUP($A270,A:AL,10,FALSE)-50</f>
        <v>113</v>
      </c>
      <c r="L270" s="3">
        <f t="shared" si="154"/>
        <v>115</v>
      </c>
      <c r="M270" s="3">
        <v>116</v>
      </c>
      <c r="N270" s="3">
        <f t="shared" si="155"/>
        <v>118</v>
      </c>
      <c r="O270" s="3">
        <f t="shared" si="156"/>
        <v>119</v>
      </c>
      <c r="P270" s="3">
        <v>148</v>
      </c>
      <c r="Q270" s="3">
        <f>VLOOKUP($A270,'NonXtal_SegEnds_BW#'!$A:$Z,12,FALSE)+VLOOKUP($A270,A:AL,16,FALSE)-50</f>
        <v>154</v>
      </c>
      <c r="R270" s="3">
        <f>IF(ISERROR(VLOOKUP($A270,'NonXtal_SegEnds_BW#'!$A:$Z,13,FALSE)+VLOOKUP($A270,A:AL,19,FALSE)-50),"-",VLOOKUP($A270,'NonXtal_SegEnds_BW#'!$A:$Z,13,FALSE)+VLOOKUP($A270,A:AL,19,FALSE)-50)</f>
        <v>155</v>
      </c>
      <c r="S270" s="3">
        <v>155</v>
      </c>
      <c r="T270" s="3">
        <f>IF(ISERROR(VLOOKUP($A270,'NonXtal_SegEnds_BW#'!$A:$Z,14,FALSE)+VLOOKUP($A270,A:AL,19,FALSE)-50),"-",(VLOOKUP($A270,'NonXtal_SegEnds_BW#'!$A:$Z,14,FALSE)+VLOOKUP($A270,A:AL,19,FALSE)-50))</f>
        <v>162</v>
      </c>
      <c r="U270" s="3">
        <f>IF(ISERROR(VLOOKUP($A270,'NonXtal_SegEnds_BW#'!$A:$Z,15,FALSE)+VLOOKUP($A270,A:AL,22,FALSE)-50),"-",VLOOKUP($A270,'NonXtal_SegEnds_BW#'!$A:$Z,15,FALSE)+VLOOKUP($A270,A:AL,22,FALSE)-50)</f>
        <v>163</v>
      </c>
      <c r="V270" s="3">
        <v>174</v>
      </c>
      <c r="W270" s="3">
        <f>IF(ISERROR(VLOOKUP($A270,'NonXtal_SegEnds_BW#'!$A:$Z,16,FALSE)+VLOOKUP($A270,A:AL,22,FALSE)-50),"-",(VLOOKUP($A270,'NonXtal_SegEnds_BW#'!$A:$Z,16,FALSE)+VLOOKUP($A270,A:AL,22,FALSE)-50))</f>
        <v>188</v>
      </c>
      <c r="X270" s="3">
        <f>IF(ISERROR(VLOOKUP($A270,'NonXtal_SegEnds_BW#'!$A:$Z,17,FALSE)+VLOOKUP($A270,A:AL,25,FALSE)-50),"-",(VLOOKUP($A270,'NonXtal_SegEnds_BW#'!$A:$Z,17,FALSE)+VLOOKUP($A270,A:AL,25,FALSE)-50))</f>
        <v>199</v>
      </c>
      <c r="Y270" s="3">
        <v>199</v>
      </c>
      <c r="Z270" s="3">
        <f t="shared" si="157"/>
        <v>201</v>
      </c>
      <c r="AA270" s="3">
        <f>IF(ISERROR(VLOOKUP($A270,'NonXtal_SegEnds_BW#'!$A:$Z,19,FALSE)+VLOOKUP($A270,A:AL,28,FALSE)-50),"-",(VLOOKUP($A270,'NonXtal_SegEnds_BW#'!$A:$Z,19,FALSE)+VLOOKUP($A270,A:AL,28,FALSE)-50))</f>
        <v>204</v>
      </c>
      <c r="AB270" s="3">
        <v>223</v>
      </c>
      <c r="AC270" s="3">
        <f>IF(ISERROR((VLOOKUP($A270,'NonXtal_SegEnds_BW#'!$A:$Z,20,FALSE)+VLOOKUP($A270,A:AL,28,FALSE)-50)),"-",(VLOOKUP($A270,'NonXtal_SegEnds_BW#'!$A:$Z,20,FALSE)+VLOOKUP($A270,A:AL,28,FALSE)-50))</f>
        <v>245</v>
      </c>
      <c r="AD270" s="3">
        <f>IF(ISERROR(VLOOKUP($A270,'NonXtal_SegEnds_BW#'!$A:$Z,21,FALSE)+VLOOKUP($A270,A:AL,31,FALSE)-50),"-",(VLOOKUP($A270,'NonXtal_SegEnds_BW#'!$A:$Z,21,FALSE)+VLOOKUP($A270,A:AL,31,FALSE)-50))</f>
        <v>252</v>
      </c>
      <c r="AE270" s="3">
        <v>273</v>
      </c>
      <c r="AF270" s="3">
        <f>IF(ISERROR((VLOOKUP($A270,'NonXtal_SegEnds_BW#'!$A:$Z,22,FALSE)+VLOOKUP($A270,A:AL,31,FALSE)-50)),"-",(VLOOKUP($A270,'NonXtal_SegEnds_BW#'!$A:$Z,22,FALSE)+VLOOKUP($A270,A:AL,31,FALSE)-50))</f>
        <v>284</v>
      </c>
      <c r="AG270" s="3">
        <f>IF(ISERROR(VLOOKUP($A270,'NonXtal_SegEnds_BW#'!$A:$Z,23,FALSE)+VLOOKUP($A270,A:AL,34,FALSE)-50),"-",(VLOOKUP($A270,'NonXtal_SegEnds_BW#'!$A:$Z,23,FALSE)+VLOOKUP($A270,A:AL,34,FALSE)-50))</f>
        <v>290</v>
      </c>
      <c r="AH270" s="3">
        <v>312</v>
      </c>
      <c r="AI270" s="3">
        <f>IF(ISERROR((VLOOKUP($A270,'NonXtal_SegEnds_BW#'!$A:$Z,24,FALSE)+VLOOKUP($A270,A:AL,34,FALSE)-50)),"-",(VLOOKUP($A270,'NonXtal_SegEnds_BW#'!$A:$Z,24,FALSE)+VLOOKUP($A270,A:AL,34,FALSE)-50))</f>
        <v>318</v>
      </c>
      <c r="AJ270" s="3">
        <f>IF(ISERROR(VLOOKUP($A270,'NonXtal_SegEnds_BW#'!$A:$Z,25,FALSE)+VLOOKUP($A270,A:AL,37,FALSE)-50),"-",(VLOOKUP($A270,'NonXtal_SegEnds_BW#'!$A:$Z,25,FALSE)+VLOOKUP($A270,A:AL,37,FALSE)-50))</f>
        <v>319</v>
      </c>
      <c r="AK270" s="3">
        <v>322</v>
      </c>
      <c r="AL270" s="3">
        <f>IF(ISERROR((VLOOKUP($A270,'NonXtal_SegEnds_BW#'!$A:$Z,26,FALSE)+VLOOKUP($A270,A:AL,37,FALSE)-50)),"-",(VLOOKUP($A270,'NonXtal_SegEnds_BW#'!$A:$Z,26,FALSE)+VLOOKUP($A270,A:AL,37,FALSE)-50))</f>
        <v>331</v>
      </c>
      <c r="AM270" s="71" t="str">
        <f>VLOOKUP(A270,Classification!A:B,2,FALSE)</f>
        <v>A</v>
      </c>
      <c r="AN270" s="71" t="b">
        <f t="shared" si="133"/>
        <v>1</v>
      </c>
      <c r="AO270" s="3">
        <f t="shared" si="134"/>
        <v>1</v>
      </c>
      <c r="AP270" s="3">
        <f t="shared" si="135"/>
        <v>1</v>
      </c>
      <c r="AQ270" s="3">
        <f t="shared" si="136"/>
        <v>2</v>
      </c>
      <c r="AR270" s="3">
        <f t="shared" si="137"/>
        <v>1</v>
      </c>
      <c r="AS270" s="3">
        <f t="shared" si="138"/>
        <v>1</v>
      </c>
      <c r="AT270" s="3">
        <f t="shared" si="139"/>
        <v>1</v>
      </c>
      <c r="AU270" s="3">
        <f t="shared" si="140"/>
        <v>11</v>
      </c>
      <c r="AV270" s="3">
        <f t="shared" si="141"/>
        <v>3</v>
      </c>
      <c r="AW270" s="3">
        <f t="shared" si="142"/>
        <v>7</v>
      </c>
      <c r="AX270" s="3">
        <f t="shared" si="143"/>
        <v>6</v>
      </c>
      <c r="AY270" s="3">
        <f t="shared" si="144"/>
        <v>1</v>
      </c>
      <c r="AZ270" s="3">
        <f>IF(ISERROR(LEN(VLOOKUP(A270,Seqs!A:E,2,FALSE))-AL270),"-",LEN(VLOOKUP(A270,Seqs!A:E,2,FALSE))-AL270)</f>
        <v>58</v>
      </c>
      <c r="BA270" s="35">
        <f t="shared" si="145"/>
        <v>28</v>
      </c>
      <c r="BB270" s="3">
        <f t="shared" si="146"/>
        <v>19</v>
      </c>
      <c r="BC270" s="3">
        <f t="shared" si="147"/>
        <v>28</v>
      </c>
      <c r="BD270" s="3">
        <f t="shared" si="148"/>
        <v>50</v>
      </c>
    </row>
    <row r="271" spans="1:57" s="3" customFormat="1" x14ac:dyDescent="0.2">
      <c r="A271" s="3" t="s">
        <v>593</v>
      </c>
      <c r="B271" s="3" t="str">
        <f>LOWER(VLOOKUP(A271,Xtal_Templ!A:B,2,FALSE))</f>
        <v>oprx_human</v>
      </c>
      <c r="C271" s="3">
        <f>VLOOKUP($A271,'NonXtal_SegEnds_BW#'!$A:$Z,3,FALSE)+D271-50</f>
        <v>34</v>
      </c>
      <c r="D271" s="3">
        <v>55</v>
      </c>
      <c r="E271" s="3">
        <f>IF(ISERROR(VLOOKUP($A271,'NonXtal_SegEnds_BW#'!$A:$Z,4,FALSE)+VLOOKUP($A271,A:AL,4,FALSE)-50),"-",(VLOOKUP($A271,'NonXtal_SegEnds_BW#'!$A:$Z,4,FALSE)+VLOOKUP($A271,A:AL,4,FALSE)-50))</f>
        <v>65</v>
      </c>
      <c r="F271" s="3">
        <f t="shared" si="152"/>
        <v>67</v>
      </c>
      <c r="G271" s="3">
        <v>69</v>
      </c>
      <c r="H271" s="3">
        <f t="shared" si="153"/>
        <v>70</v>
      </c>
      <c r="I271" s="3">
        <f t="shared" si="153"/>
        <v>71</v>
      </c>
      <c r="J271" s="3">
        <v>85</v>
      </c>
      <c r="K271" s="3">
        <f>VLOOKUP($A271,'NonXtal_SegEnds_BW#'!$A:$Z,8,FALSE)+VLOOKUP($A271,A:AL,10,FALSE)-50</f>
        <v>101</v>
      </c>
      <c r="L271" s="3">
        <f t="shared" si="154"/>
        <v>102</v>
      </c>
      <c r="M271" s="3">
        <v>103</v>
      </c>
      <c r="N271" s="3">
        <f t="shared" si="155"/>
        <v>105</v>
      </c>
      <c r="O271" s="3">
        <f t="shared" si="156"/>
        <v>106</v>
      </c>
      <c r="P271" s="3">
        <v>137</v>
      </c>
      <c r="Q271" s="3">
        <f>VLOOKUP($A271,'NonXtal_SegEnds_BW#'!$A:$Z,12,FALSE)+VLOOKUP($A271,A:AL,16,FALSE)-50</f>
        <v>143</v>
      </c>
      <c r="R271" s="3">
        <f>IF(ISERROR(VLOOKUP($A271,'NonXtal_SegEnds_BW#'!$A:$Z,13,FALSE)+VLOOKUP($A271,A:AL,19,FALSE)-50),"-",VLOOKUP($A271,'NonXtal_SegEnds_BW#'!$A:$Z,13,FALSE)+VLOOKUP($A271,A:AL,19,FALSE)-50)</f>
        <v>144</v>
      </c>
      <c r="S271" s="3">
        <v>144</v>
      </c>
      <c r="T271" s="3">
        <f>IF(ISERROR(VLOOKUP($A271,'NonXtal_SegEnds_BW#'!$A:$Z,14,FALSE)+VLOOKUP($A271,A:AL,19,FALSE)-50),"-",(VLOOKUP($A271,'NonXtal_SegEnds_BW#'!$A:$Z,14,FALSE)+VLOOKUP($A271,A:AL,19,FALSE)-50))</f>
        <v>151</v>
      </c>
      <c r="U271" s="3">
        <f>IF(ISERROR(VLOOKUP($A271,'NonXtal_SegEnds_BW#'!$A:$Z,15,FALSE)+VLOOKUP($A271,A:AL,22,FALSE)-50),"-",VLOOKUP($A271,'NonXtal_SegEnds_BW#'!$A:$Z,15,FALSE)+VLOOKUP($A271,A:AL,22,FALSE)-50)</f>
        <v>153</v>
      </c>
      <c r="V271" s="3">
        <v>164</v>
      </c>
      <c r="W271" s="3">
        <f>IF(ISERROR(VLOOKUP($A271,'NonXtal_SegEnds_BW#'!$A:$Z,16,FALSE)+VLOOKUP($A271,A:AL,22,FALSE)-50),"-",(VLOOKUP($A271,'NonXtal_SegEnds_BW#'!$A:$Z,16,FALSE)+VLOOKUP($A271,A:AL,22,FALSE)-50))</f>
        <v>178</v>
      </c>
      <c r="X271" s="3">
        <f>IF(ISERROR(VLOOKUP($A271,'NonXtal_SegEnds_BW#'!$A:$Z,17,FALSE)+VLOOKUP($A271,A:AL,25,FALSE)-50),"-",(VLOOKUP($A271,'NonXtal_SegEnds_BW#'!$A:$Z,17,FALSE)+VLOOKUP($A271,A:AL,25,FALSE)-50))</f>
        <v>192</v>
      </c>
      <c r="Y271" s="3">
        <v>192</v>
      </c>
      <c r="Z271" s="3">
        <f t="shared" si="157"/>
        <v>194</v>
      </c>
      <c r="AA271" s="3">
        <f>IF(ISERROR(VLOOKUP($A271,'NonXtal_SegEnds_BW#'!$A:$Z,19,FALSE)+VLOOKUP($A271,A:AL,28,FALSE)-50),"-",(VLOOKUP($A271,'NonXtal_SegEnds_BW#'!$A:$Z,19,FALSE)+VLOOKUP($A271,A:AL,28,FALSE)-50))</f>
        <v>198</v>
      </c>
      <c r="AB271" s="3">
        <v>217</v>
      </c>
      <c r="AC271" s="3">
        <f>IF(ISERROR((VLOOKUP($A271,'NonXtal_SegEnds_BW#'!$A:$Z,20,FALSE)+VLOOKUP($A271,A:AL,28,FALSE)-50)),"-",(VLOOKUP($A271,'NonXtal_SegEnds_BW#'!$A:$Z,20,FALSE)+VLOOKUP($A271,A:AL,28,FALSE)-50))</f>
        <v>243</v>
      </c>
      <c r="AD271" s="3">
        <f>IF(ISERROR(VLOOKUP($A271,'NonXtal_SegEnds_BW#'!$A:$Z,21,FALSE)+VLOOKUP($A271,A:AL,31,FALSE)-50),"-",(VLOOKUP($A271,'NonXtal_SegEnds_BW#'!$A:$Z,21,FALSE)+VLOOKUP($A271,A:AL,31,FALSE)-50))</f>
        <v>260</v>
      </c>
      <c r="AE271" s="3">
        <v>286</v>
      </c>
      <c r="AF271" s="3">
        <f>IF(ISERROR((VLOOKUP($A271,'NonXtal_SegEnds_BW#'!$A:$Z,22,FALSE)+VLOOKUP($A271,A:AL,31,FALSE)-50)),"-",(VLOOKUP($A271,'NonXtal_SegEnds_BW#'!$A:$Z,22,FALSE)+VLOOKUP($A271,A:AL,31,FALSE)-50))</f>
        <v>297</v>
      </c>
      <c r="AG271" s="3">
        <f>IF(ISERROR(VLOOKUP($A271,'NonXtal_SegEnds_BW#'!$A:$Z,23,FALSE)+VLOOKUP($A271,A:AL,34,FALSE)-50),"-",(VLOOKUP($A271,'NonXtal_SegEnds_BW#'!$A:$Z,23,FALSE)+VLOOKUP($A271,A:AL,34,FALSE)-50))</f>
        <v>303</v>
      </c>
      <c r="AH271" s="3">
        <v>322</v>
      </c>
      <c r="AI271" s="3">
        <f>IF(ISERROR((VLOOKUP($A271,'NonXtal_SegEnds_BW#'!$A:$Z,24,FALSE)+VLOOKUP($A271,A:AL,34,FALSE)-50)),"-",(VLOOKUP($A271,'NonXtal_SegEnds_BW#'!$A:$Z,24,FALSE)+VLOOKUP($A271,A:AL,34,FALSE)-50))</f>
        <v>328</v>
      </c>
      <c r="AJ271" s="3">
        <f>IF(ISERROR(VLOOKUP($A271,'NonXtal_SegEnds_BW#'!$A:$Z,25,FALSE)+VLOOKUP($A271,A:AL,37,FALSE)-50),"-",(VLOOKUP($A271,'NonXtal_SegEnds_BW#'!$A:$Z,25,FALSE)+VLOOKUP($A271,A:AL,37,FALSE)-50))</f>
        <v>329</v>
      </c>
      <c r="AK271" s="3">
        <v>332</v>
      </c>
      <c r="AL271" s="3">
        <f>IF(ISERROR((VLOOKUP($A271,'NonXtal_SegEnds_BW#'!$A:$Z,26,FALSE)+VLOOKUP($A271,A:AL,37,FALSE)-50)),"-",(VLOOKUP($A271,'NonXtal_SegEnds_BW#'!$A:$Z,26,FALSE)+VLOOKUP($A271,A:AL,37,FALSE)-50))</f>
        <v>341</v>
      </c>
      <c r="AM271" s="71" t="str">
        <f>VLOOKUP(A271,Classification!A:B,2,FALSE)</f>
        <v>A</v>
      </c>
      <c r="AN271" s="71" t="b">
        <f t="shared" si="133"/>
        <v>1</v>
      </c>
      <c r="AO271" s="3">
        <f t="shared" si="134"/>
        <v>2</v>
      </c>
      <c r="AP271" s="3">
        <f t="shared" si="135"/>
        <v>1</v>
      </c>
      <c r="AQ271" s="3">
        <f t="shared" si="136"/>
        <v>1</v>
      </c>
      <c r="AR271" s="3">
        <f t="shared" si="137"/>
        <v>1</v>
      </c>
      <c r="AS271" s="3">
        <f t="shared" si="138"/>
        <v>1</v>
      </c>
      <c r="AT271" s="3">
        <f t="shared" si="139"/>
        <v>2</v>
      </c>
      <c r="AU271" s="3">
        <f t="shared" si="140"/>
        <v>14</v>
      </c>
      <c r="AV271" s="3">
        <f t="shared" si="141"/>
        <v>4</v>
      </c>
      <c r="AW271" s="3">
        <f t="shared" si="142"/>
        <v>17</v>
      </c>
      <c r="AX271" s="3">
        <f t="shared" si="143"/>
        <v>6</v>
      </c>
      <c r="AY271" s="3">
        <f t="shared" si="144"/>
        <v>1</v>
      </c>
      <c r="AZ271" s="3">
        <f>IF(ISERROR(LEN(VLOOKUP(A271,Seqs!A:E,2,FALSE))-AL271),"-",LEN(VLOOKUP(A271,Seqs!A:E,2,FALSE))-AL271)</f>
        <v>30</v>
      </c>
      <c r="BA271" s="35">
        <f t="shared" si="145"/>
        <v>30</v>
      </c>
      <c r="BB271" s="3">
        <f t="shared" si="146"/>
        <v>20</v>
      </c>
      <c r="BC271" s="3">
        <f t="shared" si="147"/>
        <v>30</v>
      </c>
      <c r="BD271" s="3">
        <f t="shared" si="148"/>
        <v>69</v>
      </c>
    </row>
    <row r="272" spans="1:57" s="3" customFormat="1" x14ac:dyDescent="0.2">
      <c r="A272" s="3" t="s">
        <v>476</v>
      </c>
      <c r="B272" s="3" t="str">
        <f>LOWER(VLOOKUP(A272,Xtal_Templ!A:B,2,FALSE))</f>
        <v>oprx_human</v>
      </c>
      <c r="C272" s="3">
        <f>VLOOKUP($A272,'NonXtal_SegEnds_BW#'!$A:$Z,3,FALSE)+D272-50</f>
        <v>39</v>
      </c>
      <c r="D272" s="3">
        <v>60</v>
      </c>
      <c r="E272" s="3">
        <f>IF(ISERROR(VLOOKUP($A272,'NonXtal_SegEnds_BW#'!$A:$Z,4,FALSE)+VLOOKUP($A272,A:AL,4,FALSE)-50),"-",(VLOOKUP($A272,'NonXtal_SegEnds_BW#'!$A:$Z,4,FALSE)+VLOOKUP($A272,A:AL,4,FALSE)-50))</f>
        <v>70</v>
      </c>
      <c r="F272" s="3">
        <f t="shared" si="152"/>
        <v>71</v>
      </c>
      <c r="G272" s="3">
        <v>73</v>
      </c>
      <c r="H272" s="3">
        <f t="shared" si="153"/>
        <v>74</v>
      </c>
      <c r="I272" s="3">
        <f t="shared" si="153"/>
        <v>75</v>
      </c>
      <c r="J272" s="3">
        <v>88</v>
      </c>
      <c r="K272" s="3">
        <f>VLOOKUP($A272,'NonXtal_SegEnds_BW#'!$A:$Z,8,FALSE)+VLOOKUP($A272,A:AL,10,FALSE)-50</f>
        <v>104</v>
      </c>
      <c r="L272" s="3">
        <f t="shared" si="154"/>
        <v>107</v>
      </c>
      <c r="M272" s="3">
        <v>108</v>
      </c>
      <c r="N272" s="3">
        <f t="shared" si="155"/>
        <v>110</v>
      </c>
      <c r="O272" s="3">
        <f t="shared" si="156"/>
        <v>111</v>
      </c>
      <c r="P272" s="3">
        <v>140</v>
      </c>
      <c r="Q272" s="3">
        <f>VLOOKUP($A272,'NonXtal_SegEnds_BW#'!$A:$Z,12,FALSE)+VLOOKUP($A272,A:AL,16,FALSE)-50</f>
        <v>146</v>
      </c>
      <c r="R272" s="3">
        <f>IF(ISERROR(VLOOKUP($A272,'NonXtal_SegEnds_BW#'!$A:$Z,13,FALSE)+VLOOKUP($A272,A:AL,19,FALSE)-50),"-",VLOOKUP($A272,'NonXtal_SegEnds_BW#'!$A:$Z,13,FALSE)+VLOOKUP($A272,A:AL,19,FALSE)-50)</f>
        <v>147</v>
      </c>
      <c r="S272" s="3">
        <v>147</v>
      </c>
      <c r="T272" s="3">
        <f>IF(ISERROR(VLOOKUP($A272,'NonXtal_SegEnds_BW#'!$A:$Z,14,FALSE)+VLOOKUP($A272,A:AL,19,FALSE)-50),"-",(VLOOKUP($A272,'NonXtal_SegEnds_BW#'!$A:$Z,14,FALSE)+VLOOKUP($A272,A:AL,19,FALSE)-50))</f>
        <v>154</v>
      </c>
      <c r="U272" s="3">
        <f>IF(ISERROR(VLOOKUP($A272,'NonXtal_SegEnds_BW#'!$A:$Z,15,FALSE)+VLOOKUP($A272,A:AL,22,FALSE)-50),"-",VLOOKUP($A272,'NonXtal_SegEnds_BW#'!$A:$Z,15,FALSE)+VLOOKUP($A272,A:AL,22,FALSE)-50)</f>
        <v>156</v>
      </c>
      <c r="V272" s="3">
        <v>167</v>
      </c>
      <c r="W272" s="3">
        <f>IF(ISERROR(VLOOKUP($A272,'NonXtal_SegEnds_BW#'!$A:$Z,16,FALSE)+VLOOKUP($A272,A:AL,22,FALSE)-50),"-",(VLOOKUP($A272,'NonXtal_SegEnds_BW#'!$A:$Z,16,FALSE)+VLOOKUP($A272,A:AL,22,FALSE)-50))</f>
        <v>181</v>
      </c>
      <c r="X272" s="3">
        <f>IF(ISERROR(VLOOKUP($A272,'NonXtal_SegEnds_BW#'!$A:$Z,17,FALSE)+VLOOKUP($A272,A:AL,25,FALSE)-50),"-",(VLOOKUP($A272,'NonXtal_SegEnds_BW#'!$A:$Z,17,FALSE)+VLOOKUP($A272,A:AL,25,FALSE)-50))</f>
        <v>191</v>
      </c>
      <c r="Y272" s="3">
        <v>191</v>
      </c>
      <c r="Z272" s="3">
        <f t="shared" si="157"/>
        <v>193</v>
      </c>
      <c r="AA272" s="3">
        <f>IF(ISERROR(VLOOKUP($A272,'NonXtal_SegEnds_BW#'!$A:$Z,19,FALSE)+VLOOKUP($A272,A:AL,28,FALSE)-50),"-",(VLOOKUP($A272,'NonXtal_SegEnds_BW#'!$A:$Z,19,FALSE)+VLOOKUP($A272,A:AL,28,FALSE)-50))</f>
        <v>197</v>
      </c>
      <c r="AB272" s="3">
        <v>216</v>
      </c>
      <c r="AC272" s="3">
        <f>IF(ISERROR((VLOOKUP($A272,'NonXtal_SegEnds_BW#'!$A:$Z,20,FALSE)+VLOOKUP($A272,A:AL,28,FALSE)-50)),"-",(VLOOKUP($A272,'NonXtal_SegEnds_BW#'!$A:$Z,20,FALSE)+VLOOKUP($A272,A:AL,28,FALSE)-50))</f>
        <v>240</v>
      </c>
      <c r="AD272" s="3">
        <f>IF(ISERROR(VLOOKUP($A272,'NonXtal_SegEnds_BW#'!$A:$Z,21,FALSE)+VLOOKUP($A272,A:AL,31,FALSE)-50),"-",(VLOOKUP($A272,'NonXtal_SegEnds_BW#'!$A:$Z,21,FALSE)+VLOOKUP($A272,A:AL,31,FALSE)-50))</f>
        <v>249</v>
      </c>
      <c r="AE272" s="3">
        <v>278</v>
      </c>
      <c r="AF272" s="3">
        <f>IF(ISERROR((VLOOKUP($A272,'NonXtal_SegEnds_BW#'!$A:$Z,22,FALSE)+VLOOKUP($A272,A:AL,31,FALSE)-50)),"-",(VLOOKUP($A272,'NonXtal_SegEnds_BW#'!$A:$Z,22,FALSE)+VLOOKUP($A272,A:AL,31,FALSE)-50))</f>
        <v>289</v>
      </c>
      <c r="AG272" s="3">
        <f>IF(ISERROR(VLOOKUP($A272,'NonXtal_SegEnds_BW#'!$A:$Z,23,FALSE)+VLOOKUP($A272,A:AL,34,FALSE)-50),"-",(VLOOKUP($A272,'NonXtal_SegEnds_BW#'!$A:$Z,23,FALSE)+VLOOKUP($A272,A:AL,34,FALSE)-50))</f>
        <v>298</v>
      </c>
      <c r="AH272" s="3">
        <v>320</v>
      </c>
      <c r="AI272" s="3">
        <f>IF(ISERROR((VLOOKUP($A272,'NonXtal_SegEnds_BW#'!$A:$Z,24,FALSE)+VLOOKUP($A272,A:AL,34,FALSE)-50)),"-",(VLOOKUP($A272,'NonXtal_SegEnds_BW#'!$A:$Z,24,FALSE)+VLOOKUP($A272,A:AL,34,FALSE)-50))</f>
        <v>326</v>
      </c>
      <c r="AJ272" s="3">
        <f>IF(ISERROR(VLOOKUP($A272,'NonXtal_SegEnds_BW#'!$A:$Z,25,FALSE)+VLOOKUP($A272,A:AL,37,FALSE)-50),"-",(VLOOKUP($A272,'NonXtal_SegEnds_BW#'!$A:$Z,25,FALSE)+VLOOKUP($A272,A:AL,37,FALSE)-50))</f>
        <v>327</v>
      </c>
      <c r="AK272" s="3">
        <v>330</v>
      </c>
      <c r="AL272" s="3">
        <f>IF(ISERROR((VLOOKUP($A272,'NonXtal_SegEnds_BW#'!$A:$Z,26,FALSE)+VLOOKUP($A272,A:AL,37,FALSE)-50)),"-",(VLOOKUP($A272,'NonXtal_SegEnds_BW#'!$A:$Z,26,FALSE)+VLOOKUP($A272,A:AL,37,FALSE)-50))</f>
        <v>339</v>
      </c>
      <c r="AM272" s="71" t="str">
        <f>VLOOKUP(A272,Classification!A:B,2,FALSE)</f>
        <v>A</v>
      </c>
      <c r="AN272" s="71" t="b">
        <f t="shared" si="133"/>
        <v>1</v>
      </c>
      <c r="AO272" s="3">
        <f t="shared" si="134"/>
        <v>1</v>
      </c>
      <c r="AP272" s="3">
        <f t="shared" si="135"/>
        <v>1</v>
      </c>
      <c r="AQ272" s="3">
        <f t="shared" si="136"/>
        <v>3</v>
      </c>
      <c r="AR272" s="3">
        <f t="shared" si="137"/>
        <v>1</v>
      </c>
      <c r="AS272" s="3">
        <f t="shared" si="138"/>
        <v>1</v>
      </c>
      <c r="AT272" s="3">
        <f t="shared" si="139"/>
        <v>2</v>
      </c>
      <c r="AU272" s="3">
        <f t="shared" si="140"/>
        <v>10</v>
      </c>
      <c r="AV272" s="3">
        <f t="shared" si="141"/>
        <v>4</v>
      </c>
      <c r="AW272" s="3">
        <f t="shared" si="142"/>
        <v>9</v>
      </c>
      <c r="AX272" s="3">
        <f t="shared" si="143"/>
        <v>9</v>
      </c>
      <c r="AY272" s="3">
        <f t="shared" si="144"/>
        <v>1</v>
      </c>
      <c r="AZ272" s="3">
        <f>IF(ISERROR(LEN(VLOOKUP(A272,Seqs!A:E,2,FALSE))-AL272),"-",LEN(VLOOKUP(A272,Seqs!A:E,2,FALSE))-AL272)</f>
        <v>59</v>
      </c>
      <c r="BA272" s="35">
        <f t="shared" si="145"/>
        <v>28</v>
      </c>
      <c r="BB272" s="3">
        <f t="shared" si="146"/>
        <v>20</v>
      </c>
      <c r="BC272" s="3">
        <f t="shared" si="147"/>
        <v>28</v>
      </c>
      <c r="BD272" s="3">
        <f t="shared" si="148"/>
        <v>62</v>
      </c>
    </row>
    <row r="273" spans="1:57" s="3" customFormat="1" x14ac:dyDescent="0.2">
      <c r="A273" s="3" t="s">
        <v>577</v>
      </c>
      <c r="B273" s="3" t="str">
        <f>LOWER(VLOOKUP(A273,Xtal_Templ!A:B,2,FALSE))</f>
        <v>oprx_human</v>
      </c>
      <c r="C273" s="3">
        <f>VLOOKUP($A273,'NonXtal_SegEnds_BW#'!$A:$Z,3,FALSE)+D273-50</f>
        <v>41</v>
      </c>
      <c r="D273" s="3">
        <v>62</v>
      </c>
      <c r="E273" s="3">
        <f>IF(ISERROR(VLOOKUP($A273,'NonXtal_SegEnds_BW#'!$A:$Z,4,FALSE)+VLOOKUP($A273,A:AL,4,FALSE)-50),"-",(VLOOKUP($A273,'NonXtal_SegEnds_BW#'!$A:$Z,4,FALSE)+VLOOKUP($A273,A:AL,4,FALSE)-50))</f>
        <v>72</v>
      </c>
      <c r="F273" s="3">
        <f t="shared" si="152"/>
        <v>73</v>
      </c>
      <c r="G273" s="3">
        <v>75</v>
      </c>
      <c r="H273" s="3">
        <f t="shared" si="153"/>
        <v>76</v>
      </c>
      <c r="I273" s="3">
        <f t="shared" si="153"/>
        <v>77</v>
      </c>
      <c r="J273" s="3">
        <v>90</v>
      </c>
      <c r="K273" s="3">
        <f>VLOOKUP($A273,'NonXtal_SegEnds_BW#'!$A:$Z,8,FALSE)+VLOOKUP($A273,A:AL,10,FALSE)-50</f>
        <v>106</v>
      </c>
      <c r="L273" s="3">
        <f t="shared" si="154"/>
        <v>108</v>
      </c>
      <c r="M273" s="3">
        <v>109</v>
      </c>
      <c r="N273" s="3">
        <f t="shared" si="155"/>
        <v>111</v>
      </c>
      <c r="O273" s="3">
        <f t="shared" si="156"/>
        <v>112</v>
      </c>
      <c r="P273" s="3">
        <v>141</v>
      </c>
      <c r="Q273" s="3">
        <f>VLOOKUP($A273,'NonXtal_SegEnds_BW#'!$A:$Z,12,FALSE)+VLOOKUP($A273,A:AL,16,FALSE)-50</f>
        <v>147</v>
      </c>
      <c r="R273" s="3">
        <f>IF(ISERROR(VLOOKUP($A273,'NonXtal_SegEnds_BW#'!$A:$Z,13,FALSE)+VLOOKUP($A273,A:AL,19,FALSE)-50),"-",VLOOKUP($A273,'NonXtal_SegEnds_BW#'!$A:$Z,13,FALSE)+VLOOKUP($A273,A:AL,19,FALSE)-50)</f>
        <v>148</v>
      </c>
      <c r="S273" s="3">
        <v>148</v>
      </c>
      <c r="T273" s="3">
        <f>IF(ISERROR(VLOOKUP($A273,'NonXtal_SegEnds_BW#'!$A:$Z,14,FALSE)+VLOOKUP($A273,A:AL,19,FALSE)-50),"-",(VLOOKUP($A273,'NonXtal_SegEnds_BW#'!$A:$Z,14,FALSE)+VLOOKUP($A273,A:AL,19,FALSE)-50))</f>
        <v>155</v>
      </c>
      <c r="U273" s="3">
        <f>IF(ISERROR(VLOOKUP($A273,'NonXtal_SegEnds_BW#'!$A:$Z,15,FALSE)+VLOOKUP($A273,A:AL,22,FALSE)-50),"-",VLOOKUP($A273,'NonXtal_SegEnds_BW#'!$A:$Z,15,FALSE)+VLOOKUP($A273,A:AL,22,FALSE)-50)</f>
        <v>157</v>
      </c>
      <c r="V273" s="3">
        <v>168</v>
      </c>
      <c r="W273" s="3">
        <f>IF(ISERROR(VLOOKUP($A273,'NonXtal_SegEnds_BW#'!$A:$Z,16,FALSE)+VLOOKUP($A273,A:AL,22,FALSE)-50),"-",(VLOOKUP($A273,'NonXtal_SegEnds_BW#'!$A:$Z,16,FALSE)+VLOOKUP($A273,A:AL,22,FALSE)-50))</f>
        <v>182</v>
      </c>
      <c r="X273" s="3">
        <f>IF(ISERROR(VLOOKUP($A273,'NonXtal_SegEnds_BW#'!$A:$Z,17,FALSE)+VLOOKUP($A273,A:AL,25,FALSE)-50),"-",(VLOOKUP($A273,'NonXtal_SegEnds_BW#'!$A:$Z,17,FALSE)+VLOOKUP($A273,A:AL,25,FALSE)-50))</f>
        <v>191</v>
      </c>
      <c r="Y273" s="3">
        <v>191</v>
      </c>
      <c r="Z273" s="3">
        <f t="shared" si="157"/>
        <v>193</v>
      </c>
      <c r="AA273" s="3">
        <f>IF(ISERROR(VLOOKUP($A273,'NonXtal_SegEnds_BW#'!$A:$Z,19,FALSE)+VLOOKUP($A273,A:AL,28,FALSE)-50),"-",(VLOOKUP($A273,'NonXtal_SegEnds_BW#'!$A:$Z,19,FALSE)+VLOOKUP($A273,A:AL,28,FALSE)-50))</f>
        <v>199</v>
      </c>
      <c r="AB273" s="3">
        <v>218</v>
      </c>
      <c r="AC273" s="3">
        <f>IF(ISERROR((VLOOKUP($A273,'NonXtal_SegEnds_BW#'!$A:$Z,20,FALSE)+VLOOKUP($A273,A:AL,28,FALSE)-50)),"-",(VLOOKUP($A273,'NonXtal_SegEnds_BW#'!$A:$Z,20,FALSE)+VLOOKUP($A273,A:AL,28,FALSE)-50))</f>
        <v>240</v>
      </c>
      <c r="AD273" s="3">
        <f>IF(ISERROR(VLOOKUP($A273,'NonXtal_SegEnds_BW#'!$A:$Z,21,FALSE)+VLOOKUP($A273,A:AL,31,FALSE)-50),"-",(VLOOKUP($A273,'NonXtal_SegEnds_BW#'!$A:$Z,21,FALSE)+VLOOKUP($A273,A:AL,31,FALSE)-50))</f>
        <v>246</v>
      </c>
      <c r="AE273" s="3">
        <v>272</v>
      </c>
      <c r="AF273" s="3">
        <f>IF(ISERROR((VLOOKUP($A273,'NonXtal_SegEnds_BW#'!$A:$Z,22,FALSE)+VLOOKUP($A273,A:AL,31,FALSE)-50)),"-",(VLOOKUP($A273,'NonXtal_SegEnds_BW#'!$A:$Z,22,FALSE)+VLOOKUP($A273,A:AL,31,FALSE)-50))</f>
        <v>283</v>
      </c>
      <c r="AG273" s="3">
        <f>IF(ISERROR(VLOOKUP($A273,'NonXtal_SegEnds_BW#'!$A:$Z,23,FALSE)+VLOOKUP($A273,A:AL,34,FALSE)-50),"-",(VLOOKUP($A273,'NonXtal_SegEnds_BW#'!$A:$Z,23,FALSE)+VLOOKUP($A273,A:AL,34,FALSE)-50))</f>
        <v>288</v>
      </c>
      <c r="AH273" s="3">
        <v>310</v>
      </c>
      <c r="AI273" s="3">
        <f>IF(ISERROR((VLOOKUP($A273,'NonXtal_SegEnds_BW#'!$A:$Z,24,FALSE)+VLOOKUP($A273,A:AL,34,FALSE)-50)),"-",(VLOOKUP($A273,'NonXtal_SegEnds_BW#'!$A:$Z,24,FALSE)+VLOOKUP($A273,A:AL,34,FALSE)-50))</f>
        <v>316</v>
      </c>
      <c r="AJ273" s="3">
        <f>IF(ISERROR(VLOOKUP($A273,'NonXtal_SegEnds_BW#'!$A:$Z,25,FALSE)+VLOOKUP($A273,A:AL,37,FALSE)-50),"-",(VLOOKUP($A273,'NonXtal_SegEnds_BW#'!$A:$Z,25,FALSE)+VLOOKUP($A273,A:AL,37,FALSE)-50))</f>
        <v>317</v>
      </c>
      <c r="AK273" s="3">
        <v>320</v>
      </c>
      <c r="AL273" s="3">
        <f>IF(ISERROR((VLOOKUP($A273,'NonXtal_SegEnds_BW#'!$A:$Z,26,FALSE)+VLOOKUP($A273,A:AL,37,FALSE)-50)),"-",(VLOOKUP($A273,'NonXtal_SegEnds_BW#'!$A:$Z,26,FALSE)+VLOOKUP($A273,A:AL,37,FALSE)-50))</f>
        <v>329</v>
      </c>
      <c r="AM273" s="71" t="str">
        <f>VLOOKUP(A273,Classification!A:B,2,FALSE)</f>
        <v>A</v>
      </c>
      <c r="AN273" s="71" t="b">
        <f t="shared" si="133"/>
        <v>1</v>
      </c>
      <c r="AO273" s="3">
        <f t="shared" si="134"/>
        <v>1</v>
      </c>
      <c r="AP273" s="3">
        <f t="shared" si="135"/>
        <v>1</v>
      </c>
      <c r="AQ273" s="3">
        <f t="shared" si="136"/>
        <v>2</v>
      </c>
      <c r="AR273" s="3">
        <f t="shared" si="137"/>
        <v>1</v>
      </c>
      <c r="AS273" s="3">
        <f t="shared" si="138"/>
        <v>1</v>
      </c>
      <c r="AT273" s="3">
        <f t="shared" si="139"/>
        <v>2</v>
      </c>
      <c r="AU273" s="3">
        <f t="shared" si="140"/>
        <v>9</v>
      </c>
      <c r="AV273" s="3">
        <f t="shared" si="141"/>
        <v>6</v>
      </c>
      <c r="AW273" s="3">
        <f t="shared" si="142"/>
        <v>6</v>
      </c>
      <c r="AX273" s="3">
        <f t="shared" si="143"/>
        <v>5</v>
      </c>
      <c r="AY273" s="3">
        <f t="shared" si="144"/>
        <v>1</v>
      </c>
      <c r="AZ273" s="3">
        <f>IF(ISERROR(LEN(VLOOKUP(A273,Seqs!A:E,2,FALSE))-AL273),"-",LEN(VLOOKUP(A273,Seqs!A:E,2,FALSE))-AL273)</f>
        <v>89</v>
      </c>
      <c r="BA273" s="35">
        <f t="shared" si="145"/>
        <v>28</v>
      </c>
      <c r="BB273" s="3">
        <f t="shared" si="146"/>
        <v>20</v>
      </c>
      <c r="BC273" s="3">
        <f t="shared" si="147"/>
        <v>28</v>
      </c>
      <c r="BD273" s="3">
        <f t="shared" si="148"/>
        <v>54</v>
      </c>
    </row>
    <row r="274" spans="1:57" s="3" customFormat="1" x14ac:dyDescent="0.2">
      <c r="A274" s="3" t="s">
        <v>514</v>
      </c>
      <c r="B274" s="3" t="str">
        <f>LOWER(VLOOKUP(A274,Xtal_Templ!A:B,2,FALSE))</f>
        <v>oprx_human</v>
      </c>
      <c r="C274" s="3">
        <f>VLOOKUP($A274,'NonXtal_SegEnds_BW#'!$A:$Z,3,FALSE)+D274-50</f>
        <v>34</v>
      </c>
      <c r="D274" s="3">
        <v>55</v>
      </c>
      <c r="E274" s="3">
        <f>IF(ISERROR(VLOOKUP($A274,'NonXtal_SegEnds_BW#'!$A:$Z,4,FALSE)+VLOOKUP($A274,A:AL,4,FALSE)-50),"-",(VLOOKUP($A274,'NonXtal_SegEnds_BW#'!$A:$Z,4,FALSE)+VLOOKUP($A274,A:AL,4,FALSE)-50))</f>
        <v>65</v>
      </c>
      <c r="F274" s="3">
        <f t="shared" si="152"/>
        <v>66</v>
      </c>
      <c r="G274" s="3">
        <v>68</v>
      </c>
      <c r="H274" s="3">
        <f t="shared" si="153"/>
        <v>69</v>
      </c>
      <c r="I274" s="3">
        <f t="shared" si="153"/>
        <v>70</v>
      </c>
      <c r="J274" s="3">
        <v>83</v>
      </c>
      <c r="K274" s="3">
        <f>VLOOKUP($A274,'NonXtal_SegEnds_BW#'!$A:$Z,8,FALSE)+VLOOKUP($A274,A:AL,10,FALSE)-50</f>
        <v>99</v>
      </c>
      <c r="L274" s="3">
        <f t="shared" si="154"/>
        <v>101</v>
      </c>
      <c r="M274" s="3">
        <v>102</v>
      </c>
      <c r="N274" s="3">
        <f t="shared" si="155"/>
        <v>104</v>
      </c>
      <c r="O274" s="3">
        <f t="shared" si="156"/>
        <v>105</v>
      </c>
      <c r="P274" s="3">
        <v>134</v>
      </c>
      <c r="Q274" s="3">
        <f>VLOOKUP($A274,'NonXtal_SegEnds_BW#'!$A:$Z,12,FALSE)+VLOOKUP($A274,A:AL,16,FALSE)-50</f>
        <v>140</v>
      </c>
      <c r="R274" s="3" t="str">
        <f>IF(ISERROR(VLOOKUP($A274,'NonXtal_SegEnds_BW#'!$A:$Z,13,FALSE)+VLOOKUP($A274,A:AL,19,FALSE)-50),"-",VLOOKUP($A274,'NonXtal_SegEnds_BW#'!$A:$Z,13,FALSE)+VLOOKUP($A274,A:AL,19,FALSE)-50)</f>
        <v>-</v>
      </c>
      <c r="S274" s="3" t="s">
        <v>129</v>
      </c>
      <c r="T274" s="3" t="str">
        <f>IF(ISERROR(VLOOKUP($A274,'NonXtal_SegEnds_BW#'!$A:$Z,14,FALSE)+VLOOKUP($A274,A:AL,19,FALSE)-50),"-",(VLOOKUP($A274,'NonXtal_SegEnds_BW#'!$A:$Z,14,FALSE)+VLOOKUP($A274,A:AL,19,FALSE)-50))</f>
        <v>-</v>
      </c>
      <c r="U274" s="3">
        <f>IF(ISERROR(VLOOKUP($A274,'NonXtal_SegEnds_BW#'!$A:$Z,15,FALSE)+VLOOKUP($A274,A:AL,22,FALSE)-50),"-",VLOOKUP($A274,'NonXtal_SegEnds_BW#'!$A:$Z,15,FALSE)+VLOOKUP($A274,A:AL,22,FALSE)-50)</f>
        <v>152</v>
      </c>
      <c r="V274" s="3">
        <v>163</v>
      </c>
      <c r="W274" s="3">
        <f>IF(ISERROR(VLOOKUP($A274,'NonXtal_SegEnds_BW#'!$A:$Z,16,FALSE)+VLOOKUP($A274,A:AL,22,FALSE)-50),"-",(VLOOKUP($A274,'NonXtal_SegEnds_BW#'!$A:$Z,16,FALSE)+VLOOKUP($A274,A:AL,22,FALSE)-50))</f>
        <v>177</v>
      </c>
      <c r="X274" s="3">
        <f>IF(ISERROR(VLOOKUP($A274,'NonXtal_SegEnds_BW#'!$A:$Z,17,FALSE)+VLOOKUP($A274,A:AL,25,FALSE)-50),"-",(VLOOKUP($A274,'NonXtal_SegEnds_BW#'!$A:$Z,17,FALSE)+VLOOKUP($A274,A:AL,25,FALSE)-50))</f>
        <v>188</v>
      </c>
      <c r="Y274" s="3">
        <v>188</v>
      </c>
      <c r="Z274" s="3">
        <f t="shared" si="157"/>
        <v>190</v>
      </c>
      <c r="AA274" s="3">
        <f>IF(ISERROR(VLOOKUP($A274,'NonXtal_SegEnds_BW#'!$A:$Z,19,FALSE)+VLOOKUP($A274,A:AL,28,FALSE)-50),"-",(VLOOKUP($A274,'NonXtal_SegEnds_BW#'!$A:$Z,19,FALSE)+VLOOKUP($A274,A:AL,28,FALSE)-50))</f>
        <v>196</v>
      </c>
      <c r="AB274" s="3">
        <v>215</v>
      </c>
      <c r="AC274" s="3">
        <f>IF(ISERROR((VLOOKUP($A274,'NonXtal_SegEnds_BW#'!$A:$Z,20,FALSE)+VLOOKUP($A274,A:AL,28,FALSE)-50)),"-",(VLOOKUP($A274,'NonXtal_SegEnds_BW#'!$A:$Z,20,FALSE)+VLOOKUP($A274,A:AL,28,FALSE)-50))</f>
        <v>233</v>
      </c>
      <c r="AD274" s="3">
        <f>IF(ISERROR(VLOOKUP($A274,'NonXtal_SegEnds_BW#'!$A:$Z,21,FALSE)+VLOOKUP($A274,A:AL,31,FALSE)-50),"-",(VLOOKUP($A274,'NonXtal_SegEnds_BW#'!$A:$Z,21,FALSE)+VLOOKUP($A274,A:AL,31,FALSE)-50))</f>
        <v>239</v>
      </c>
      <c r="AE274" s="3">
        <v>266</v>
      </c>
      <c r="AF274" s="3">
        <f>IF(ISERROR((VLOOKUP($A274,'NonXtal_SegEnds_BW#'!$A:$Z,22,FALSE)+VLOOKUP($A274,A:AL,31,FALSE)-50)),"-",(VLOOKUP($A274,'NonXtal_SegEnds_BW#'!$A:$Z,22,FALSE)+VLOOKUP($A274,A:AL,31,FALSE)-50))</f>
        <v>277</v>
      </c>
      <c r="AG274" s="3">
        <f>IF(ISERROR(VLOOKUP($A274,'NonXtal_SegEnds_BW#'!$A:$Z,23,FALSE)+VLOOKUP($A274,A:AL,34,FALSE)-50),"-",(VLOOKUP($A274,'NonXtal_SegEnds_BW#'!$A:$Z,23,FALSE)+VLOOKUP($A274,A:AL,34,FALSE)-50))</f>
        <v>282</v>
      </c>
      <c r="AH274" s="3">
        <v>304</v>
      </c>
      <c r="AI274" s="3">
        <f>IF(ISERROR((VLOOKUP($A274,'NonXtal_SegEnds_BW#'!$A:$Z,24,FALSE)+VLOOKUP($A274,A:AL,34,FALSE)-50)),"-",(VLOOKUP($A274,'NonXtal_SegEnds_BW#'!$A:$Z,24,FALSE)+VLOOKUP($A274,A:AL,34,FALSE)-50))</f>
        <v>310</v>
      </c>
      <c r="AJ274" s="3">
        <f>IF(ISERROR(VLOOKUP($A274,'NonXtal_SegEnds_BW#'!$A:$Z,25,FALSE)+VLOOKUP($A274,A:AL,37,FALSE)-50),"-",(VLOOKUP($A274,'NonXtal_SegEnds_BW#'!$A:$Z,25,FALSE)+VLOOKUP($A274,A:AL,37,FALSE)-50))</f>
        <v>311</v>
      </c>
      <c r="AK274" s="3">
        <v>314</v>
      </c>
      <c r="AL274" s="3">
        <f>IF(ISERROR((VLOOKUP($A274,'NonXtal_SegEnds_BW#'!$A:$Z,26,FALSE)+VLOOKUP($A274,A:AL,37,FALSE)-50)),"-",(VLOOKUP($A274,'NonXtal_SegEnds_BW#'!$A:$Z,26,FALSE)+VLOOKUP($A274,A:AL,37,FALSE)-50))</f>
        <v>323</v>
      </c>
      <c r="AM274" s="71" t="str">
        <f>VLOOKUP(A274,Classification!A:B,2,FALSE)</f>
        <v>A</v>
      </c>
      <c r="AN274" s="71" t="b">
        <f t="shared" si="133"/>
        <v>1</v>
      </c>
      <c r="AO274" s="3">
        <f t="shared" si="134"/>
        <v>1</v>
      </c>
      <c r="AP274" s="3">
        <f t="shared" si="135"/>
        <v>1</v>
      </c>
      <c r="AQ274" s="3">
        <f t="shared" si="136"/>
        <v>2</v>
      </c>
      <c r="AR274" s="3">
        <f t="shared" si="137"/>
        <v>1</v>
      </c>
      <c r="AS274" s="3" t="str">
        <f t="shared" si="138"/>
        <v>-</v>
      </c>
      <c r="AT274" s="3" t="str">
        <f t="shared" si="139"/>
        <v>-</v>
      </c>
      <c r="AU274" s="3">
        <f t="shared" si="140"/>
        <v>11</v>
      </c>
      <c r="AV274" s="3">
        <f t="shared" si="141"/>
        <v>6</v>
      </c>
      <c r="AW274" s="3">
        <f t="shared" si="142"/>
        <v>6</v>
      </c>
      <c r="AX274" s="3">
        <f t="shared" si="143"/>
        <v>5</v>
      </c>
      <c r="AY274" s="3">
        <f t="shared" si="144"/>
        <v>1</v>
      </c>
      <c r="AZ274" s="3">
        <f>IF(ISERROR(LEN(VLOOKUP(A274,Seqs!A:E,2,FALSE))-AL274),"-",LEN(VLOOKUP(A274,Seqs!A:E,2,FALSE))-AL274)</f>
        <v>5</v>
      </c>
      <c r="BA274" s="35">
        <f t="shared" si="145"/>
        <v>28</v>
      </c>
      <c r="BB274" s="3" t="str">
        <f t="shared" si="146"/>
        <v>-</v>
      </c>
      <c r="BC274" s="3">
        <f t="shared" si="147"/>
        <v>28</v>
      </c>
      <c r="BD274" s="3">
        <f t="shared" si="148"/>
        <v>51</v>
      </c>
      <c r="BE274" s="3">
        <f>AH274-AE274</f>
        <v>38</v>
      </c>
    </row>
    <row r="275" spans="1:57" s="3" customFormat="1" x14ac:dyDescent="0.2">
      <c r="A275" s="3" t="s">
        <v>592</v>
      </c>
      <c r="B275" s="3" t="str">
        <f>LOWER(VLOOKUP(A275,Xtal_Templ!A:B,2,FALSE))</f>
        <v>oprx_human</v>
      </c>
      <c r="C275" s="3">
        <f>VLOOKUP($A275,'NonXtal_SegEnds_BW#'!$A:$Z,3,FALSE)+D275-50</f>
        <v>31</v>
      </c>
      <c r="D275" s="3">
        <v>52</v>
      </c>
      <c r="E275" s="3">
        <f>IF(ISERROR(VLOOKUP($A275,'NonXtal_SegEnds_BW#'!$A:$Z,4,FALSE)+VLOOKUP($A275,A:AL,4,FALSE)-50),"-",(VLOOKUP($A275,'NonXtal_SegEnds_BW#'!$A:$Z,4,FALSE)+VLOOKUP($A275,A:AL,4,FALSE)-50))</f>
        <v>62</v>
      </c>
      <c r="F275" s="3">
        <f t="shared" si="152"/>
        <v>63</v>
      </c>
      <c r="G275" s="3">
        <v>65</v>
      </c>
      <c r="H275" s="3">
        <f t="shared" si="153"/>
        <v>66</v>
      </c>
      <c r="I275" s="3">
        <f t="shared" si="153"/>
        <v>67</v>
      </c>
      <c r="J275" s="3">
        <v>80</v>
      </c>
      <c r="K275" s="3">
        <f>VLOOKUP($A275,'NonXtal_SegEnds_BW#'!$A:$Z,8,FALSE)+VLOOKUP($A275,A:AL,10,FALSE)-50</f>
        <v>96</v>
      </c>
      <c r="L275" s="3">
        <f t="shared" si="154"/>
        <v>97</v>
      </c>
      <c r="M275" s="3">
        <v>98</v>
      </c>
      <c r="N275" s="3">
        <f t="shared" si="155"/>
        <v>100</v>
      </c>
      <c r="O275" s="3">
        <f t="shared" si="156"/>
        <v>101</v>
      </c>
      <c r="P275" s="3">
        <v>132</v>
      </c>
      <c r="Q275" s="3">
        <f>VLOOKUP($A275,'NonXtal_SegEnds_BW#'!$A:$Z,12,FALSE)+VLOOKUP($A275,A:AL,16,FALSE)-50</f>
        <v>138</v>
      </c>
      <c r="R275" s="3">
        <f>IF(ISERROR(VLOOKUP($A275,'NonXtal_SegEnds_BW#'!$A:$Z,13,FALSE)+VLOOKUP($A275,A:AL,19,FALSE)-50),"-",VLOOKUP($A275,'NonXtal_SegEnds_BW#'!$A:$Z,13,FALSE)+VLOOKUP($A275,A:AL,19,FALSE)-50)</f>
        <v>139</v>
      </c>
      <c r="S275" s="3">
        <v>139</v>
      </c>
      <c r="T275" s="3">
        <f>IF(ISERROR(VLOOKUP($A275,'NonXtal_SegEnds_BW#'!$A:$Z,14,FALSE)+VLOOKUP($A275,A:AL,19,FALSE)-50),"-",(VLOOKUP($A275,'NonXtal_SegEnds_BW#'!$A:$Z,14,FALSE)+VLOOKUP($A275,A:AL,19,FALSE)-50))</f>
        <v>146</v>
      </c>
      <c r="U275" s="3">
        <f>IF(ISERROR(VLOOKUP($A275,'NonXtal_SegEnds_BW#'!$A:$Z,15,FALSE)+VLOOKUP($A275,A:AL,22,FALSE)-50),"-",VLOOKUP($A275,'NonXtal_SegEnds_BW#'!$A:$Z,15,FALSE)+VLOOKUP($A275,A:AL,22,FALSE)-50)</f>
        <v>147</v>
      </c>
      <c r="V275" s="3">
        <v>158</v>
      </c>
      <c r="W275" s="3">
        <f>IF(ISERROR(VLOOKUP($A275,'NonXtal_SegEnds_BW#'!$A:$Z,16,FALSE)+VLOOKUP($A275,A:AL,22,FALSE)-50),"-",(VLOOKUP($A275,'NonXtal_SegEnds_BW#'!$A:$Z,16,FALSE)+VLOOKUP($A275,A:AL,22,FALSE)-50))</f>
        <v>172</v>
      </c>
      <c r="X275" s="3">
        <f>IF(ISERROR(VLOOKUP($A275,'NonXtal_SegEnds_BW#'!$A:$Z,17,FALSE)+VLOOKUP($A275,A:AL,25,FALSE)-50),"-",(VLOOKUP($A275,'NonXtal_SegEnds_BW#'!$A:$Z,17,FALSE)+VLOOKUP($A275,A:AL,25,FALSE)-50))</f>
        <v>186</v>
      </c>
      <c r="Y275" s="3">
        <v>186</v>
      </c>
      <c r="Z275" s="3">
        <f t="shared" si="157"/>
        <v>188</v>
      </c>
      <c r="AA275" s="3">
        <f>IF(ISERROR(VLOOKUP($A275,'NonXtal_SegEnds_BW#'!$A:$Z,19,FALSE)+VLOOKUP($A275,A:AL,28,FALSE)-50),"-",(VLOOKUP($A275,'NonXtal_SegEnds_BW#'!$A:$Z,19,FALSE)+VLOOKUP($A275,A:AL,28,FALSE)-50))</f>
        <v>192</v>
      </c>
      <c r="AB275" s="3">
        <v>211</v>
      </c>
      <c r="AC275" s="3">
        <f>IF(ISERROR((VLOOKUP($A275,'NonXtal_SegEnds_BW#'!$A:$Z,20,FALSE)+VLOOKUP($A275,A:AL,28,FALSE)-50)),"-",(VLOOKUP($A275,'NonXtal_SegEnds_BW#'!$A:$Z,20,FALSE)+VLOOKUP($A275,A:AL,28,FALSE)-50))</f>
        <v>237</v>
      </c>
      <c r="AD275" s="3">
        <f>IF(ISERROR(VLOOKUP($A275,'NonXtal_SegEnds_BW#'!$A:$Z,21,FALSE)+VLOOKUP($A275,A:AL,31,FALSE)-50),"-",(VLOOKUP($A275,'NonXtal_SegEnds_BW#'!$A:$Z,21,FALSE)+VLOOKUP($A275,A:AL,31,FALSE)-50))</f>
        <v>270</v>
      </c>
      <c r="AE275" s="3">
        <v>296</v>
      </c>
      <c r="AF275" s="3">
        <f>IF(ISERROR((VLOOKUP($A275,'NonXtal_SegEnds_BW#'!$A:$Z,22,FALSE)+VLOOKUP($A275,A:AL,31,FALSE)-50)),"-",(VLOOKUP($A275,'NonXtal_SegEnds_BW#'!$A:$Z,22,FALSE)+VLOOKUP($A275,A:AL,31,FALSE)-50))</f>
        <v>307</v>
      </c>
      <c r="AG275" s="3">
        <f>IF(ISERROR(VLOOKUP($A275,'NonXtal_SegEnds_BW#'!$A:$Z,23,FALSE)+VLOOKUP($A275,A:AL,34,FALSE)-50),"-",(VLOOKUP($A275,'NonXtal_SegEnds_BW#'!$A:$Z,23,FALSE)+VLOOKUP($A275,A:AL,34,FALSE)-50))</f>
        <v>313</v>
      </c>
      <c r="AH275" s="3">
        <v>335</v>
      </c>
      <c r="AI275" s="3">
        <f>IF(ISERROR((VLOOKUP($A275,'NonXtal_SegEnds_BW#'!$A:$Z,24,FALSE)+VLOOKUP($A275,A:AL,34,FALSE)-50)),"-",(VLOOKUP($A275,'NonXtal_SegEnds_BW#'!$A:$Z,24,FALSE)+VLOOKUP($A275,A:AL,34,FALSE)-50))</f>
        <v>341</v>
      </c>
      <c r="AJ275" s="3">
        <f>IF(ISERROR(VLOOKUP($A275,'NonXtal_SegEnds_BW#'!$A:$Z,25,FALSE)+VLOOKUP($A275,A:AL,37,FALSE)-50),"-",(VLOOKUP($A275,'NonXtal_SegEnds_BW#'!$A:$Z,25,FALSE)+VLOOKUP($A275,A:AL,37,FALSE)-50))</f>
        <v>342</v>
      </c>
      <c r="AK275" s="3">
        <v>345</v>
      </c>
      <c r="AL275" s="3">
        <f>IF(ISERROR((VLOOKUP($A275,'NonXtal_SegEnds_BW#'!$A:$Z,26,FALSE)+VLOOKUP($A275,A:AL,37,FALSE)-50)),"-",(VLOOKUP($A275,'NonXtal_SegEnds_BW#'!$A:$Z,26,FALSE)+VLOOKUP($A275,A:AL,37,FALSE)-50))</f>
        <v>354</v>
      </c>
      <c r="AM275" s="71" t="str">
        <f>VLOOKUP(A275,Classification!A:B,2,FALSE)</f>
        <v>A</v>
      </c>
      <c r="AN275" s="71" t="b">
        <f t="shared" si="133"/>
        <v>1</v>
      </c>
      <c r="AO275" s="3">
        <f t="shared" si="134"/>
        <v>1</v>
      </c>
      <c r="AP275" s="3">
        <f t="shared" si="135"/>
        <v>1</v>
      </c>
      <c r="AQ275" s="3">
        <f t="shared" si="136"/>
        <v>1</v>
      </c>
      <c r="AR275" s="3">
        <f t="shared" si="137"/>
        <v>1</v>
      </c>
      <c r="AS275" s="3">
        <f t="shared" si="138"/>
        <v>1</v>
      </c>
      <c r="AT275" s="3">
        <f t="shared" si="139"/>
        <v>1</v>
      </c>
      <c r="AU275" s="3">
        <f t="shared" si="140"/>
        <v>14</v>
      </c>
      <c r="AV275" s="3">
        <f t="shared" si="141"/>
        <v>4</v>
      </c>
      <c r="AW275" s="3">
        <f t="shared" si="142"/>
        <v>33</v>
      </c>
      <c r="AX275" s="3">
        <f t="shared" si="143"/>
        <v>6</v>
      </c>
      <c r="AY275" s="3">
        <f t="shared" si="144"/>
        <v>1</v>
      </c>
      <c r="AZ275" s="3">
        <f>IF(ISERROR(LEN(VLOOKUP(A275,Seqs!A:E,2,FALSE))-AL275),"-",LEN(VLOOKUP(A275,Seqs!A:E,2,FALSE))-AL275)</f>
        <v>70</v>
      </c>
      <c r="BA275" s="35">
        <f t="shared" si="145"/>
        <v>28</v>
      </c>
      <c r="BB275" s="3">
        <f t="shared" si="146"/>
        <v>19</v>
      </c>
      <c r="BC275" s="3">
        <f t="shared" si="147"/>
        <v>28</v>
      </c>
      <c r="BD275" s="3">
        <f t="shared" si="148"/>
        <v>85</v>
      </c>
    </row>
    <row r="276" spans="1:57" s="3" customFormat="1" x14ac:dyDescent="0.2">
      <c r="A276" s="3" t="s">
        <v>588</v>
      </c>
      <c r="B276" s="3" t="str">
        <f>LOWER(VLOOKUP(A276,Xtal_Templ!A:B,2,FALSE))</f>
        <v>oprx_human</v>
      </c>
      <c r="C276" s="3">
        <f>VLOOKUP($A276,'NonXtal_SegEnds_BW#'!$A:$Z,3,FALSE)+D276-50</f>
        <v>22</v>
      </c>
      <c r="D276" s="3">
        <v>43</v>
      </c>
      <c r="E276" s="3">
        <f>IF(ISERROR(VLOOKUP($A276,'NonXtal_SegEnds_BW#'!$A:$Z,4,FALSE)+VLOOKUP($A276,A:AL,4,FALSE)-50),"-",(VLOOKUP($A276,'NonXtal_SegEnds_BW#'!$A:$Z,4,FALSE)+VLOOKUP($A276,A:AL,4,FALSE)-50))</f>
        <v>53</v>
      </c>
      <c r="F276" s="3">
        <f t="shared" si="152"/>
        <v>54</v>
      </c>
      <c r="G276" s="3">
        <v>56</v>
      </c>
      <c r="H276" s="3">
        <f t="shared" si="153"/>
        <v>57</v>
      </c>
      <c r="I276" s="3">
        <f t="shared" si="153"/>
        <v>58</v>
      </c>
      <c r="J276" s="3">
        <v>71</v>
      </c>
      <c r="K276" s="3">
        <f>VLOOKUP($A276,'NonXtal_SegEnds_BW#'!$A:$Z,8,FALSE)+VLOOKUP($A276,A:AL,10,FALSE)-50</f>
        <v>87</v>
      </c>
      <c r="L276" s="3">
        <f t="shared" si="154"/>
        <v>90</v>
      </c>
      <c r="M276" s="3">
        <v>91</v>
      </c>
      <c r="N276" s="3">
        <f t="shared" si="155"/>
        <v>93</v>
      </c>
      <c r="O276" s="3">
        <f t="shared" si="156"/>
        <v>94</v>
      </c>
      <c r="P276" s="3">
        <v>123</v>
      </c>
      <c r="Q276" s="3">
        <f>VLOOKUP($A276,'NonXtal_SegEnds_BW#'!$A:$Z,12,FALSE)+VLOOKUP($A276,A:AL,16,FALSE)-50</f>
        <v>129</v>
      </c>
      <c r="R276" s="3">
        <f>IF(ISERROR(VLOOKUP($A276,'NonXtal_SegEnds_BW#'!$A:$Z,13,FALSE)+VLOOKUP($A276,A:AL,19,FALSE)-50),"-",VLOOKUP($A276,'NonXtal_SegEnds_BW#'!$A:$Z,13,FALSE)+VLOOKUP($A276,A:AL,19,FALSE)-50)</f>
        <v>130</v>
      </c>
      <c r="S276" s="3">
        <v>130</v>
      </c>
      <c r="T276" s="3">
        <f>IF(ISERROR(VLOOKUP($A276,'NonXtal_SegEnds_BW#'!$A:$Z,14,FALSE)+VLOOKUP($A276,A:AL,19,FALSE)-50),"-",(VLOOKUP($A276,'NonXtal_SegEnds_BW#'!$A:$Z,14,FALSE)+VLOOKUP($A276,A:AL,19,FALSE)-50))</f>
        <v>137</v>
      </c>
      <c r="U276" s="3">
        <f>IF(ISERROR(VLOOKUP($A276,'NonXtal_SegEnds_BW#'!$A:$Z,15,FALSE)+VLOOKUP($A276,A:AL,22,FALSE)-50),"-",VLOOKUP($A276,'NonXtal_SegEnds_BW#'!$A:$Z,15,FALSE)+VLOOKUP($A276,A:AL,22,FALSE)-50)</f>
        <v>139</v>
      </c>
      <c r="V276" s="3">
        <v>150</v>
      </c>
      <c r="W276" s="3">
        <f>IF(ISERROR(VLOOKUP($A276,'NonXtal_SegEnds_BW#'!$A:$Z,16,FALSE)+VLOOKUP($A276,A:AL,22,FALSE)-50),"-",(VLOOKUP($A276,'NonXtal_SegEnds_BW#'!$A:$Z,16,FALSE)+VLOOKUP($A276,A:AL,22,FALSE)-50))</f>
        <v>164</v>
      </c>
      <c r="X276" s="3">
        <f>IF(ISERROR(VLOOKUP($A276,'NonXtal_SegEnds_BW#'!$A:$Z,17,FALSE)+VLOOKUP($A276,A:AL,25,FALSE)-50),"-",(VLOOKUP($A276,'NonXtal_SegEnds_BW#'!$A:$Z,17,FALSE)+VLOOKUP($A276,A:AL,25,FALSE)-50))</f>
        <v>179</v>
      </c>
      <c r="Y276" s="3">
        <v>179</v>
      </c>
      <c r="Z276" s="3">
        <f t="shared" si="157"/>
        <v>181</v>
      </c>
      <c r="AA276" s="3">
        <f>IF(ISERROR(VLOOKUP($A276,'NonXtal_SegEnds_BW#'!$A:$Z,19,FALSE)+VLOOKUP($A276,A:AL,28,FALSE)-50),"-",(VLOOKUP($A276,'NonXtal_SegEnds_BW#'!$A:$Z,19,FALSE)+VLOOKUP($A276,A:AL,28,FALSE)-50))</f>
        <v>184</v>
      </c>
      <c r="AB276" s="3">
        <v>203</v>
      </c>
      <c r="AC276" s="3">
        <f>IF(ISERROR((VLOOKUP($A276,'NonXtal_SegEnds_BW#'!$A:$Z,20,FALSE)+VLOOKUP($A276,A:AL,28,FALSE)-50)),"-",(VLOOKUP($A276,'NonXtal_SegEnds_BW#'!$A:$Z,20,FALSE)+VLOOKUP($A276,A:AL,28,FALSE)-50))</f>
        <v>229</v>
      </c>
      <c r="AD276" s="3">
        <f>IF(ISERROR(VLOOKUP($A276,'NonXtal_SegEnds_BW#'!$A:$Z,21,FALSE)+VLOOKUP($A276,A:AL,31,FALSE)-50),"-",(VLOOKUP($A276,'NonXtal_SegEnds_BW#'!$A:$Z,21,FALSE)+VLOOKUP($A276,A:AL,31,FALSE)-50))</f>
        <v>255</v>
      </c>
      <c r="AE276" s="3">
        <v>281</v>
      </c>
      <c r="AF276" s="3">
        <f>IF(ISERROR((VLOOKUP($A276,'NonXtal_SegEnds_BW#'!$A:$Z,22,FALSE)+VLOOKUP($A276,A:AL,31,FALSE)-50)),"-",(VLOOKUP($A276,'NonXtal_SegEnds_BW#'!$A:$Z,22,FALSE)+VLOOKUP($A276,A:AL,31,FALSE)-50))</f>
        <v>292</v>
      </c>
      <c r="AG276" s="3">
        <f>IF(ISERROR(VLOOKUP($A276,'NonXtal_SegEnds_BW#'!$A:$Z,23,FALSE)+VLOOKUP($A276,A:AL,34,FALSE)-50),"-",(VLOOKUP($A276,'NonXtal_SegEnds_BW#'!$A:$Z,23,FALSE)+VLOOKUP($A276,A:AL,34,FALSE)-50))</f>
        <v>298</v>
      </c>
      <c r="AH276" s="3">
        <v>317</v>
      </c>
      <c r="AI276" s="3">
        <f>IF(ISERROR((VLOOKUP($A276,'NonXtal_SegEnds_BW#'!$A:$Z,24,FALSE)+VLOOKUP($A276,A:AL,34,FALSE)-50)),"-",(VLOOKUP($A276,'NonXtal_SegEnds_BW#'!$A:$Z,24,FALSE)+VLOOKUP($A276,A:AL,34,FALSE)-50))</f>
        <v>323</v>
      </c>
      <c r="AJ276" s="3">
        <f>IF(ISERROR(VLOOKUP($A276,'NonXtal_SegEnds_BW#'!$A:$Z,25,FALSE)+VLOOKUP($A276,A:AL,37,FALSE)-50),"-",(VLOOKUP($A276,'NonXtal_SegEnds_BW#'!$A:$Z,25,FALSE)+VLOOKUP($A276,A:AL,37,FALSE)-50))</f>
        <v>324</v>
      </c>
      <c r="AK276" s="3">
        <v>327</v>
      </c>
      <c r="AL276" s="3">
        <f>IF(ISERROR((VLOOKUP($A276,'NonXtal_SegEnds_BW#'!$A:$Z,26,FALSE)+VLOOKUP($A276,A:AL,37,FALSE)-50)),"-",(VLOOKUP($A276,'NonXtal_SegEnds_BW#'!$A:$Z,26,FALSE)+VLOOKUP($A276,A:AL,37,FALSE)-50))</f>
        <v>336</v>
      </c>
      <c r="AM276" s="71" t="str">
        <f>VLOOKUP(A276,Classification!A:B,2,FALSE)</f>
        <v>A</v>
      </c>
      <c r="AN276" s="71" t="b">
        <f t="shared" si="133"/>
        <v>1</v>
      </c>
      <c r="AO276" s="3">
        <f t="shared" si="134"/>
        <v>1</v>
      </c>
      <c r="AP276" s="3">
        <f t="shared" si="135"/>
        <v>1</v>
      </c>
      <c r="AQ276" s="3">
        <f t="shared" si="136"/>
        <v>3</v>
      </c>
      <c r="AR276" s="3">
        <f t="shared" si="137"/>
        <v>1</v>
      </c>
      <c r="AS276" s="3">
        <f t="shared" si="138"/>
        <v>1</v>
      </c>
      <c r="AT276" s="3">
        <f t="shared" si="139"/>
        <v>2</v>
      </c>
      <c r="AU276" s="3">
        <f t="shared" si="140"/>
        <v>15</v>
      </c>
      <c r="AV276" s="3">
        <f t="shared" si="141"/>
        <v>3</v>
      </c>
      <c r="AW276" s="3">
        <f t="shared" si="142"/>
        <v>26</v>
      </c>
      <c r="AX276" s="3">
        <f t="shared" si="143"/>
        <v>6</v>
      </c>
      <c r="AY276" s="3">
        <f t="shared" si="144"/>
        <v>1</v>
      </c>
      <c r="AZ276" s="3">
        <f>IF(ISERROR(LEN(VLOOKUP(A276,Seqs!A:E,2,FALSE))-AL276),"-",LEN(VLOOKUP(A276,Seqs!A:E,2,FALSE))-AL276)</f>
        <v>62</v>
      </c>
      <c r="BA276" s="35">
        <f t="shared" si="145"/>
        <v>28</v>
      </c>
      <c r="BB276" s="3">
        <f t="shared" si="146"/>
        <v>20</v>
      </c>
      <c r="BC276" s="3">
        <f t="shared" si="147"/>
        <v>28</v>
      </c>
      <c r="BD276" s="3">
        <f t="shared" si="148"/>
        <v>78</v>
      </c>
    </row>
    <row r="277" spans="1:57" s="3" customFormat="1" x14ac:dyDescent="0.2">
      <c r="A277" s="3" t="s">
        <v>411</v>
      </c>
      <c r="B277" s="3" t="str">
        <f>LOWER(VLOOKUP(A277,Xtal_Templ!A:B,2,FALSE))</f>
        <v>oprx_human</v>
      </c>
      <c r="C277" s="3">
        <f>VLOOKUP($A277,'NonXtal_SegEnds_BW#'!$A:$Z,3,FALSE)+D277-50</f>
        <v>13</v>
      </c>
      <c r="D277" s="3">
        <v>34</v>
      </c>
      <c r="E277" s="3">
        <f>IF(ISERROR(VLOOKUP($A277,'NonXtal_SegEnds_BW#'!$A:$Z,4,FALSE)+VLOOKUP($A277,A:AL,4,FALSE)-50),"-",(VLOOKUP($A277,'NonXtal_SegEnds_BW#'!$A:$Z,4,FALSE)+VLOOKUP($A277,A:AL,4,FALSE)-50))</f>
        <v>44</v>
      </c>
      <c r="F277" s="3">
        <f t="shared" si="152"/>
        <v>45</v>
      </c>
      <c r="G277" s="3">
        <v>47</v>
      </c>
      <c r="H277" s="3">
        <f t="shared" si="153"/>
        <v>48</v>
      </c>
      <c r="I277" s="3">
        <f t="shared" si="153"/>
        <v>49</v>
      </c>
      <c r="J277" s="3">
        <v>62</v>
      </c>
      <c r="K277" s="3">
        <f>VLOOKUP($A277,'NonXtal_SegEnds_BW#'!$A:$Z,8,FALSE)+VLOOKUP($A277,A:AL,10,FALSE)-50</f>
        <v>78</v>
      </c>
      <c r="L277" s="3">
        <f t="shared" si="154"/>
        <v>80</v>
      </c>
      <c r="M277" s="3">
        <v>81</v>
      </c>
      <c r="N277" s="3">
        <f t="shared" si="155"/>
        <v>83</v>
      </c>
      <c r="O277" s="3">
        <f t="shared" si="156"/>
        <v>84</v>
      </c>
      <c r="P277" s="3">
        <v>113</v>
      </c>
      <c r="Q277" s="3">
        <f>VLOOKUP($A277,'NonXtal_SegEnds_BW#'!$A:$Z,12,FALSE)+VLOOKUP($A277,A:AL,16,FALSE)-50</f>
        <v>119</v>
      </c>
      <c r="R277" s="3">
        <f>IF(ISERROR(VLOOKUP($A277,'NonXtal_SegEnds_BW#'!$A:$Z,13,FALSE)+VLOOKUP($A277,A:AL,19,FALSE)-50),"-",VLOOKUP($A277,'NonXtal_SegEnds_BW#'!$A:$Z,13,FALSE)+VLOOKUP($A277,A:AL,19,FALSE)-50)</f>
        <v>120</v>
      </c>
      <c r="S277" s="3">
        <v>120</v>
      </c>
      <c r="T277" s="3">
        <f>IF(ISERROR(VLOOKUP($A277,'NonXtal_SegEnds_BW#'!$A:$Z,14,FALSE)+VLOOKUP($A277,A:AL,19,FALSE)-50),"-",(VLOOKUP($A277,'NonXtal_SegEnds_BW#'!$A:$Z,14,FALSE)+VLOOKUP($A277,A:AL,19,FALSE)-50))</f>
        <v>127</v>
      </c>
      <c r="U277" s="3">
        <f>IF(ISERROR(VLOOKUP($A277,'NonXtal_SegEnds_BW#'!$A:$Z,15,FALSE)+VLOOKUP($A277,A:AL,22,FALSE)-50),"-",VLOOKUP($A277,'NonXtal_SegEnds_BW#'!$A:$Z,15,FALSE)+VLOOKUP($A277,A:AL,22,FALSE)-50)</f>
        <v>129</v>
      </c>
      <c r="V277" s="3">
        <v>140</v>
      </c>
      <c r="W277" s="3">
        <f>IF(ISERROR(VLOOKUP($A277,'NonXtal_SegEnds_BW#'!$A:$Z,16,FALSE)+VLOOKUP($A277,A:AL,22,FALSE)-50),"-",(VLOOKUP($A277,'NonXtal_SegEnds_BW#'!$A:$Z,16,FALSE)+VLOOKUP($A277,A:AL,22,FALSE)-50))</f>
        <v>154</v>
      </c>
      <c r="X277" s="3">
        <f>IF(ISERROR(VLOOKUP($A277,'NonXtal_SegEnds_BW#'!$A:$Z,17,FALSE)+VLOOKUP($A277,A:AL,25,FALSE)-50),"-",(VLOOKUP($A277,'NonXtal_SegEnds_BW#'!$A:$Z,17,FALSE)+VLOOKUP($A277,A:AL,25,FALSE)-50))</f>
        <v>166</v>
      </c>
      <c r="Y277" s="3">
        <v>166</v>
      </c>
      <c r="Z277" s="3">
        <f t="shared" si="157"/>
        <v>168</v>
      </c>
      <c r="AA277" s="3">
        <f>IF(ISERROR(VLOOKUP($A277,'NonXtal_SegEnds_BW#'!$A:$Z,19,FALSE)+VLOOKUP($A277,A:AL,28,FALSE)-50),"-",(VLOOKUP($A277,'NonXtal_SegEnds_BW#'!$A:$Z,19,FALSE)+VLOOKUP($A277,A:AL,28,FALSE)-50))</f>
        <v>177</v>
      </c>
      <c r="AB277" s="3">
        <v>196</v>
      </c>
      <c r="AC277" s="3">
        <f>IF(ISERROR((VLOOKUP($A277,'NonXtal_SegEnds_BW#'!$A:$Z,20,FALSE)+VLOOKUP($A277,A:AL,28,FALSE)-50)),"-",(VLOOKUP($A277,'NonXtal_SegEnds_BW#'!$A:$Z,20,FALSE)+VLOOKUP($A277,A:AL,28,FALSE)-50))</f>
        <v>214</v>
      </c>
      <c r="AD277" s="3">
        <f>IF(ISERROR(VLOOKUP($A277,'NonXtal_SegEnds_BW#'!$A:$Z,21,FALSE)+VLOOKUP($A277,A:AL,31,FALSE)-50),"-",(VLOOKUP($A277,'NonXtal_SegEnds_BW#'!$A:$Z,21,FALSE)+VLOOKUP($A277,A:AL,31,FALSE)-50))</f>
        <v>220</v>
      </c>
      <c r="AE277" s="3">
        <v>240</v>
      </c>
      <c r="AF277" s="3">
        <f>IF(ISERROR((VLOOKUP($A277,'NonXtal_SegEnds_BW#'!$A:$Z,22,FALSE)+VLOOKUP($A277,A:AL,31,FALSE)-50)),"-",(VLOOKUP($A277,'NonXtal_SegEnds_BW#'!$A:$Z,22,FALSE)+VLOOKUP($A277,A:AL,31,FALSE)-50))</f>
        <v>251</v>
      </c>
      <c r="AG277" s="3">
        <f>IF(ISERROR(VLOOKUP($A277,'NonXtal_SegEnds_BW#'!$A:$Z,23,FALSE)+VLOOKUP($A277,A:AL,34,FALSE)-50),"-",(VLOOKUP($A277,'NonXtal_SegEnds_BW#'!$A:$Z,23,FALSE)+VLOOKUP($A277,A:AL,34,FALSE)-50))</f>
        <v>258</v>
      </c>
      <c r="AH277" s="3">
        <v>280</v>
      </c>
      <c r="AI277" s="3">
        <f>IF(ISERROR((VLOOKUP($A277,'NonXtal_SegEnds_BW#'!$A:$Z,24,FALSE)+VLOOKUP($A277,A:AL,34,FALSE)-50)),"-",(VLOOKUP($A277,'NonXtal_SegEnds_BW#'!$A:$Z,24,FALSE)+VLOOKUP($A277,A:AL,34,FALSE)-50))</f>
        <v>286</v>
      </c>
      <c r="AJ277" s="3">
        <v>288</v>
      </c>
      <c r="AK277" s="3">
        <v>291</v>
      </c>
      <c r="AL277" s="3">
        <v>300</v>
      </c>
      <c r="AM277" s="71" t="str">
        <f>VLOOKUP(A277,Classification!A:B,2,FALSE)</f>
        <v>A</v>
      </c>
      <c r="AN277" s="71" t="b">
        <f t="shared" si="133"/>
        <v>1</v>
      </c>
      <c r="AO277" s="3">
        <f t="shared" si="134"/>
        <v>1</v>
      </c>
      <c r="AP277" s="3">
        <f t="shared" si="135"/>
        <v>1</v>
      </c>
      <c r="AQ277" s="3">
        <f t="shared" si="136"/>
        <v>2</v>
      </c>
      <c r="AR277" s="3">
        <f t="shared" si="137"/>
        <v>1</v>
      </c>
      <c r="AS277" s="3">
        <f t="shared" si="138"/>
        <v>1</v>
      </c>
      <c r="AT277" s="3">
        <f t="shared" si="139"/>
        <v>2</v>
      </c>
      <c r="AU277" s="3">
        <f t="shared" si="140"/>
        <v>12</v>
      </c>
      <c r="AV277" s="3">
        <f t="shared" si="141"/>
        <v>9</v>
      </c>
      <c r="AW277" s="3">
        <f t="shared" si="142"/>
        <v>6</v>
      </c>
      <c r="AX277" s="3">
        <f t="shared" si="143"/>
        <v>7</v>
      </c>
      <c r="AY277" s="3">
        <f t="shared" si="144"/>
        <v>2</v>
      </c>
      <c r="AZ277" s="3">
        <f>IF(ISERROR(LEN(VLOOKUP(A277,Seqs!A:E,2,FALSE))-AL277),"-",LEN(VLOOKUP(A277,Seqs!A:E,2,FALSE))-AL277)</f>
        <v>5</v>
      </c>
      <c r="BA277" s="35">
        <f t="shared" si="145"/>
        <v>28</v>
      </c>
      <c r="BB277" s="3">
        <f t="shared" si="146"/>
        <v>20</v>
      </c>
      <c r="BC277" s="3">
        <f t="shared" si="147"/>
        <v>28</v>
      </c>
      <c r="BD277" s="3">
        <f t="shared" si="148"/>
        <v>44</v>
      </c>
      <c r="BE277" s="3">
        <f>AH277-AE277</f>
        <v>40</v>
      </c>
    </row>
    <row r="278" spans="1:57" s="3" customFormat="1" x14ac:dyDescent="0.2">
      <c r="A278" s="3" t="s">
        <v>527</v>
      </c>
      <c r="B278" s="3" t="s">
        <v>1116</v>
      </c>
      <c r="C278" s="3">
        <f>VLOOKUP($A278,'NonXtal_SegEnds_BW#'!$A:$Z,3,FALSE)+D278-50</f>
        <v>67</v>
      </c>
      <c r="D278" s="3">
        <v>88</v>
      </c>
      <c r="E278" s="3">
        <f>IF(ISERROR(VLOOKUP($A278,'NonXtal_SegEnds_BW#'!$A:$Z,4,FALSE)+VLOOKUP($A278,A:AL,4,FALSE)-50),"-",(VLOOKUP($A278,'NonXtal_SegEnds_BW#'!$A:$Z,4,FALSE)+VLOOKUP($A278,A:AL,4,FALSE)-50))</f>
        <v>98</v>
      </c>
      <c r="F278" s="3">
        <f t="shared" si="152"/>
        <v>99</v>
      </c>
      <c r="G278" s="3">
        <v>101</v>
      </c>
      <c r="H278" s="3">
        <f t="shared" si="153"/>
        <v>102</v>
      </c>
      <c r="I278" s="3">
        <f t="shared" si="153"/>
        <v>103</v>
      </c>
      <c r="J278" s="3">
        <v>116</v>
      </c>
      <c r="K278" s="3">
        <v>134</v>
      </c>
      <c r="L278" s="3">
        <f t="shared" si="154"/>
        <v>135</v>
      </c>
      <c r="M278" s="3">
        <v>136</v>
      </c>
      <c r="N278" s="3">
        <f t="shared" si="155"/>
        <v>138</v>
      </c>
      <c r="O278" s="3">
        <f t="shared" si="156"/>
        <v>139</v>
      </c>
      <c r="P278" s="3">
        <v>168</v>
      </c>
      <c r="Q278" s="3">
        <f>VLOOKUP($A278,'NonXtal_SegEnds_BW#'!$A:$Z,12,FALSE)+VLOOKUP($A278,A:AL,16,FALSE)-50</f>
        <v>174</v>
      </c>
      <c r="R278" s="3">
        <f>IF(ISERROR(VLOOKUP($A278,'NonXtal_SegEnds_BW#'!$A:$Z,13,FALSE)+VLOOKUP($A278,A:AL,19,FALSE)-50),"-",VLOOKUP($A278,'NonXtal_SegEnds_BW#'!$A:$Z,13,FALSE)+VLOOKUP($A278,A:AL,19,FALSE)-50)</f>
        <v>175</v>
      </c>
      <c r="S278" s="3">
        <v>175</v>
      </c>
      <c r="T278" s="3">
        <f>IF(ISERROR(VLOOKUP($A278,'NonXtal_SegEnds_BW#'!$A:$Z,14,FALSE)+VLOOKUP($A278,A:AL,19,FALSE)-50),"-",(VLOOKUP($A278,'NonXtal_SegEnds_BW#'!$A:$Z,14,FALSE)+VLOOKUP($A278,A:AL,19,FALSE)-50))</f>
        <v>182</v>
      </c>
      <c r="U278" s="3">
        <f>IF(ISERROR(VLOOKUP($A278,'NonXtal_SegEnds_BW#'!$A:$Z,15,FALSE)+VLOOKUP($A278,A:AL,22,FALSE)-50),"-",VLOOKUP($A278,'NonXtal_SegEnds_BW#'!$A:$Z,15,FALSE)+VLOOKUP($A278,A:AL,22,FALSE)-50)</f>
        <v>184</v>
      </c>
      <c r="V278" s="3">
        <v>195</v>
      </c>
      <c r="W278" s="3">
        <f>IF(ISERROR(VLOOKUP($A278,'NonXtal_SegEnds_BW#'!$A:$Z,16,FALSE)+VLOOKUP($A278,A:AL,22,FALSE)-50),"-",(VLOOKUP($A278,'NonXtal_SegEnds_BW#'!$A:$Z,16,FALSE)+VLOOKUP($A278,A:AL,22,FALSE)-50))</f>
        <v>207</v>
      </c>
      <c r="X278" s="3">
        <f>IF(ISERROR(VLOOKUP($A278,'NonXtal_SegEnds_BW#'!$A:$Z,17,FALSE)+VLOOKUP($A278,A:AL,25,FALSE)-50),"-",(VLOOKUP($A278,'NonXtal_SegEnds_BW#'!$A:$Z,17,FALSE)+VLOOKUP($A278,A:AL,25,FALSE)-50))</f>
        <v>221</v>
      </c>
      <c r="Y278" s="3">
        <v>221</v>
      </c>
      <c r="Z278" s="3">
        <f t="shared" si="157"/>
        <v>223</v>
      </c>
      <c r="AA278" s="3">
        <f>IF(ISERROR(VLOOKUP($A278,'NonXtal_SegEnds_BW#'!$A:$Z,19,FALSE)+VLOOKUP($A278,A:AL,28,FALSE)-50),"-",(VLOOKUP($A278,'NonXtal_SegEnds_BW#'!$A:$Z,19,FALSE)+VLOOKUP($A278,A:AL,28,FALSE)-50))</f>
        <v>229</v>
      </c>
      <c r="AB278" s="3">
        <v>247</v>
      </c>
      <c r="AC278" s="3">
        <f>IF(ISERROR((VLOOKUP($A278,'NonXtal_SegEnds_BW#'!$A:$Z,20,FALSE)+VLOOKUP($A278,A:AL,28,FALSE)-50)),"-",(VLOOKUP($A278,'NonXtal_SegEnds_BW#'!$A:$Z,20,FALSE)+VLOOKUP($A278,A:AL,28,FALSE)-50))</f>
        <v>271</v>
      </c>
      <c r="AD278" s="3">
        <f>IF(ISERROR(VLOOKUP($A278,'NonXtal_SegEnds_BW#'!$A:$Z,21,FALSE)+VLOOKUP($A278,A:AL,31,FALSE)-50),"-",(VLOOKUP($A278,'NonXtal_SegEnds_BW#'!$A:$Z,21,FALSE)+VLOOKUP($A278,A:AL,31,FALSE)-50))</f>
        <v>282</v>
      </c>
      <c r="AE278" s="3">
        <v>311</v>
      </c>
      <c r="AF278" s="3">
        <f>IF(ISERROR((VLOOKUP($A278,'NonXtal_SegEnds_BW#'!$A:$Z,22,FALSE)+VLOOKUP($A278,A:AL,31,FALSE)-50)),"-",(VLOOKUP($A278,'NonXtal_SegEnds_BW#'!$A:$Z,22,FALSE)+VLOOKUP($A278,A:AL,31,FALSE)-50))</f>
        <v>322</v>
      </c>
      <c r="AG278" s="3">
        <f>IF(ISERROR(VLOOKUP($A278,'NonXtal_SegEnds_BW#'!$A:$Z,23,FALSE)+VLOOKUP($A278,A:AL,34,FALSE)-50),"-",(VLOOKUP($A278,'NonXtal_SegEnds_BW#'!$A:$Z,23,FALSE)+VLOOKUP($A278,A:AL,34,FALSE)-50))</f>
        <v>328</v>
      </c>
      <c r="AH278" s="3">
        <v>347</v>
      </c>
      <c r="AI278" s="3">
        <f>IF(ISERROR((VLOOKUP($A278,'NonXtal_SegEnds_BW#'!$A:$Z,24,FALSE)+VLOOKUP($A278,A:AL,34,FALSE)-50)),"-",(VLOOKUP($A278,'NonXtal_SegEnds_BW#'!$A:$Z,24,FALSE)+VLOOKUP($A278,A:AL,34,FALSE)-50))</f>
        <v>353</v>
      </c>
      <c r="AJ278" s="3">
        <f>IF(ISERROR(VLOOKUP($A278,'NonXtal_SegEnds_BW#'!$A:$Z,25,FALSE)+VLOOKUP($A278,A:AL,37,FALSE)-50),"-",(VLOOKUP($A278,'NonXtal_SegEnds_BW#'!$A:$Z,25,FALSE)+VLOOKUP($A278,A:AL,37,FALSE)-50))</f>
        <v>354</v>
      </c>
      <c r="AK278" s="3">
        <v>357</v>
      </c>
      <c r="AL278" s="3">
        <f>IF(ISERROR((VLOOKUP($A278,'NonXtal_SegEnds_BW#'!$A:$Z,26,FALSE)+VLOOKUP($A278,A:AL,37,FALSE)-50)),"-",(VLOOKUP($A278,'NonXtal_SegEnds_BW#'!$A:$Z,26,FALSE)+VLOOKUP($A278,A:AL,37,FALSE)-50))</f>
        <v>365</v>
      </c>
      <c r="AM278" s="71" t="str">
        <f>VLOOKUP(A278,Classification!A:B,2,FALSE)</f>
        <v>A</v>
      </c>
      <c r="AN278" s="71" t="b">
        <f t="shared" si="133"/>
        <v>1</v>
      </c>
      <c r="AO278" s="3">
        <f t="shared" si="134"/>
        <v>1</v>
      </c>
      <c r="AP278" s="3">
        <f t="shared" si="135"/>
        <v>1</v>
      </c>
      <c r="AQ278" s="3">
        <f t="shared" si="136"/>
        <v>1</v>
      </c>
      <c r="AR278" s="3">
        <f t="shared" si="137"/>
        <v>1</v>
      </c>
      <c r="AS278" s="3">
        <f t="shared" si="138"/>
        <v>1</v>
      </c>
      <c r="AT278" s="3">
        <f t="shared" si="139"/>
        <v>2</v>
      </c>
      <c r="AU278" s="3">
        <f t="shared" si="140"/>
        <v>14</v>
      </c>
      <c r="AV278" s="3">
        <f t="shared" si="141"/>
        <v>6</v>
      </c>
      <c r="AW278" s="3">
        <f t="shared" si="142"/>
        <v>11</v>
      </c>
      <c r="AX278" s="3">
        <f t="shared" si="143"/>
        <v>6</v>
      </c>
      <c r="AY278" s="3">
        <f t="shared" si="144"/>
        <v>1</v>
      </c>
      <c r="AZ278" s="3">
        <f>IF(ISERROR(LEN(VLOOKUP(A278,Seqs!A:E,2,FALSE))-AL278),"-",LEN(VLOOKUP(A278,Seqs!A:E,2,FALSE))-AL278)</f>
        <v>113</v>
      </c>
      <c r="BA278" s="35">
        <f t="shared" si="145"/>
        <v>28</v>
      </c>
      <c r="BB278" s="3">
        <f t="shared" si="146"/>
        <v>20</v>
      </c>
      <c r="BC278" s="3">
        <f t="shared" si="147"/>
        <v>28</v>
      </c>
      <c r="BD278" s="3">
        <f t="shared" si="148"/>
        <v>64</v>
      </c>
    </row>
    <row r="279" spans="1:57" s="3" customFormat="1" x14ac:dyDescent="0.2">
      <c r="A279" s="3" t="s">
        <v>526</v>
      </c>
      <c r="B279" s="3" t="str">
        <f>LOWER(VLOOKUP(A279,Xtal_Templ!A:B,2,FALSE))</f>
        <v>opsd_bovin</v>
      </c>
      <c r="C279" s="3">
        <f>VLOOKUP($A279,'NonXtal_SegEnds_BW#'!$A:$Z,3,FALSE)+D279-50</f>
        <v>38</v>
      </c>
      <c r="D279" s="3">
        <v>59</v>
      </c>
      <c r="E279" s="3">
        <f>IF(ISERROR(VLOOKUP($A279,'NonXtal_SegEnds_BW#'!$A:$Z,4,FALSE)+VLOOKUP($A279,A:AL,4,FALSE)-50),"-",(VLOOKUP($A279,'NonXtal_SegEnds_BW#'!$A:$Z,4,FALSE)+VLOOKUP($A279,A:AL,4,FALSE)-50))</f>
        <v>69</v>
      </c>
      <c r="F279" s="3">
        <f t="shared" si="152"/>
        <v>70</v>
      </c>
      <c r="G279" s="3">
        <v>72</v>
      </c>
      <c r="H279" s="3">
        <f t="shared" si="153"/>
        <v>73</v>
      </c>
      <c r="I279" s="3">
        <f t="shared" si="153"/>
        <v>74</v>
      </c>
      <c r="J279" s="3">
        <v>87</v>
      </c>
      <c r="K279" s="3">
        <f>VLOOKUP($A279,'NonXtal_SegEnds_BW#'!$A:$Z,8,FALSE)+VLOOKUP($A279,A:AL,10,FALSE)-50</f>
        <v>104</v>
      </c>
      <c r="L279" s="3">
        <f t="shared" si="154"/>
        <v>106</v>
      </c>
      <c r="M279" s="3">
        <v>107</v>
      </c>
      <c r="N279" s="3">
        <f t="shared" si="155"/>
        <v>109</v>
      </c>
      <c r="O279" s="3">
        <f t="shared" si="156"/>
        <v>110</v>
      </c>
      <c r="P279" s="3">
        <v>139</v>
      </c>
      <c r="Q279" s="3">
        <f>VLOOKUP($A279,'NonXtal_SegEnds_BW#'!$A:$Z,12,FALSE)+VLOOKUP($A279,A:AL,16,FALSE)-50</f>
        <v>145</v>
      </c>
      <c r="R279" s="3" t="str">
        <f>IF(ISERROR(VLOOKUP($A279,'NonXtal_SegEnds_BW#'!$A:$Z,13,FALSE)+VLOOKUP($A279,A:AL,19,FALSE)-50),"-",VLOOKUP($A279,'NonXtal_SegEnds_BW#'!$A:$Z,13,FALSE)+VLOOKUP($A279,A:AL,19,FALSE)-50)</f>
        <v>-</v>
      </c>
      <c r="S279" s="3" t="s">
        <v>129</v>
      </c>
      <c r="T279" s="3" t="str">
        <f>IF(ISERROR(VLOOKUP($A279,'NonXtal_SegEnds_BW#'!$A:$Z,14,FALSE)+VLOOKUP($A279,A:AL,19,FALSE)-50),"-",(VLOOKUP($A279,'NonXtal_SegEnds_BW#'!$A:$Z,14,FALSE)+VLOOKUP($A279,A:AL,19,FALSE)-50))</f>
        <v>-</v>
      </c>
      <c r="U279" s="3">
        <f>IF(ISERROR(VLOOKUP($A279,'NonXtal_SegEnds_BW#'!$A:$Z,15,FALSE)+VLOOKUP($A279,A:AL,22,FALSE)-50),"-",VLOOKUP($A279,'NonXtal_SegEnds_BW#'!$A:$Z,15,FALSE)+VLOOKUP($A279,A:AL,22,FALSE)-50)</f>
        <v>151</v>
      </c>
      <c r="V279" s="3">
        <v>162</v>
      </c>
      <c r="W279" s="3">
        <f>IF(ISERROR(VLOOKUP($A279,'NonXtal_SegEnds_BW#'!$A:$Z,16,FALSE)+VLOOKUP($A279,A:AL,22,FALSE)-50),"-",(VLOOKUP($A279,'NonXtal_SegEnds_BW#'!$A:$Z,16,FALSE)+VLOOKUP($A279,A:AL,22,FALSE)-50))</f>
        <v>174</v>
      </c>
      <c r="X279" s="3">
        <f>IF(ISERROR(VLOOKUP($A279,'NonXtal_SegEnds_BW#'!$A:$Z,17,FALSE)+VLOOKUP($A279,A:AL,25,FALSE)-50),"-",(VLOOKUP($A279,'NonXtal_SegEnds_BW#'!$A:$Z,17,FALSE)+VLOOKUP($A279,A:AL,25,FALSE)-50))</f>
        <v>188</v>
      </c>
      <c r="Y279" s="3">
        <v>188</v>
      </c>
      <c r="Z279" s="3">
        <f t="shared" si="157"/>
        <v>190</v>
      </c>
      <c r="AA279" s="3">
        <f>IF(ISERROR(VLOOKUP($A279,'NonXtal_SegEnds_BW#'!$A:$Z,19,FALSE)+VLOOKUP($A279,A:AL,28,FALSE)-50),"-",(VLOOKUP($A279,'NonXtal_SegEnds_BW#'!$A:$Z,19,FALSE)+VLOOKUP($A279,A:AL,28,FALSE)-50))</f>
        <v>198</v>
      </c>
      <c r="AB279" s="3">
        <v>214</v>
      </c>
      <c r="AC279" s="3">
        <f>IF(ISERROR((VLOOKUP($A279,'NonXtal_SegEnds_BW#'!$A:$Z,20,FALSE)+VLOOKUP($A279,A:AL,28,FALSE)-50)),"-",(VLOOKUP($A279,'NonXtal_SegEnds_BW#'!$A:$Z,20,FALSE)+VLOOKUP($A279,A:AL,28,FALSE)-50))</f>
        <v>237</v>
      </c>
      <c r="AD279" s="3">
        <f>IF(ISERROR(VLOOKUP($A279,'NonXtal_SegEnds_BW#'!$A:$Z,21,FALSE)+VLOOKUP($A279,A:AL,31,FALSE)-50),"-",(VLOOKUP($A279,'NonXtal_SegEnds_BW#'!$A:$Z,21,FALSE)+VLOOKUP($A279,A:AL,31,FALSE)-50))</f>
        <v>242</v>
      </c>
      <c r="AE279" s="3">
        <v>270</v>
      </c>
      <c r="AF279" s="3">
        <f>IF(ISERROR((VLOOKUP($A279,'NonXtal_SegEnds_BW#'!$A:$Z,22,FALSE)+VLOOKUP($A279,A:AL,31,FALSE)-50)),"-",(VLOOKUP($A279,'NonXtal_SegEnds_BW#'!$A:$Z,22,FALSE)+VLOOKUP($A279,A:AL,31,FALSE)-50))</f>
        <v>281</v>
      </c>
      <c r="AG279" s="3">
        <f>IF(ISERROR(VLOOKUP($A279,'NonXtal_SegEnds_BW#'!$A:$Z,23,FALSE)+VLOOKUP($A279,A:AL,34,FALSE)-50),"-",(VLOOKUP($A279,'NonXtal_SegEnds_BW#'!$A:$Z,23,FALSE)+VLOOKUP($A279,A:AL,34,FALSE)-50))</f>
        <v>287</v>
      </c>
      <c r="AH279" s="3">
        <v>306</v>
      </c>
      <c r="AI279" s="3">
        <f>IF(ISERROR((VLOOKUP($A279,'NonXtal_SegEnds_BW#'!$A:$Z,24,FALSE)+VLOOKUP($A279,A:AL,34,FALSE)-50)),"-",(VLOOKUP($A279,'NonXtal_SegEnds_BW#'!$A:$Z,24,FALSE)+VLOOKUP($A279,A:AL,34,FALSE)-50))</f>
        <v>312</v>
      </c>
      <c r="AJ279" s="3">
        <f>IF(ISERROR(VLOOKUP($A279,'NonXtal_SegEnds_BW#'!$A:$Z,25,FALSE)+VLOOKUP($A279,A:AL,37,FALSE)-50),"-",(VLOOKUP($A279,'NonXtal_SegEnds_BW#'!$A:$Z,25,FALSE)+VLOOKUP($A279,A:AL,37,FALSE)-50))</f>
        <v>313</v>
      </c>
      <c r="AK279" s="3">
        <v>316</v>
      </c>
      <c r="AL279" s="3">
        <f>IF(ISERROR((VLOOKUP($A279,'NonXtal_SegEnds_BW#'!$A:$Z,26,FALSE)+VLOOKUP($A279,A:AL,37,FALSE)-50)),"-",(VLOOKUP($A279,'NonXtal_SegEnds_BW#'!$A:$Z,26,FALSE)+VLOOKUP($A279,A:AL,37,FALSE)-50))</f>
        <v>325</v>
      </c>
      <c r="AM279" s="71" t="str">
        <f>VLOOKUP(A279,Classification!A:B,2,FALSE)</f>
        <v>A</v>
      </c>
      <c r="AN279" s="71" t="b">
        <f t="shared" si="133"/>
        <v>1</v>
      </c>
      <c r="AO279" s="3">
        <f t="shared" si="134"/>
        <v>1</v>
      </c>
      <c r="AP279" s="3">
        <f t="shared" si="135"/>
        <v>1</v>
      </c>
      <c r="AQ279" s="3">
        <f t="shared" si="136"/>
        <v>2</v>
      </c>
      <c r="AR279" s="3">
        <f t="shared" si="137"/>
        <v>1</v>
      </c>
      <c r="AS279" s="3" t="str">
        <f t="shared" si="138"/>
        <v>-</v>
      </c>
      <c r="AT279" s="3" t="str">
        <f t="shared" si="139"/>
        <v>-</v>
      </c>
      <c r="AU279" s="3">
        <f t="shared" si="140"/>
        <v>14</v>
      </c>
      <c r="AV279" s="3">
        <f t="shared" si="141"/>
        <v>8</v>
      </c>
      <c r="AW279" s="3">
        <f t="shared" si="142"/>
        <v>5</v>
      </c>
      <c r="AX279" s="3">
        <f t="shared" si="143"/>
        <v>6</v>
      </c>
      <c r="AY279" s="3">
        <f t="shared" si="144"/>
        <v>1</v>
      </c>
      <c r="AZ279" s="3">
        <f>IF(ISERROR(LEN(VLOOKUP(A279,Seqs!A:E,2,FALSE))-AL279),"-",LEN(VLOOKUP(A279,Seqs!A:E,2,FALSE))-AL279)</f>
        <v>77</v>
      </c>
      <c r="BA279" s="35">
        <f t="shared" si="145"/>
        <v>28</v>
      </c>
      <c r="BB279" s="3" t="str">
        <f t="shared" si="146"/>
        <v>-</v>
      </c>
      <c r="BC279" s="3">
        <f t="shared" si="147"/>
        <v>28</v>
      </c>
      <c r="BD279" s="3">
        <f t="shared" si="148"/>
        <v>56</v>
      </c>
    </row>
    <row r="280" spans="1:57" s="3" customFormat="1" x14ac:dyDescent="0.2">
      <c r="A280" s="3" t="s">
        <v>1116</v>
      </c>
      <c r="B280" s="3" t="str">
        <f>LOWER(VLOOKUP(A280,Xtal_Templ!A:B,2,FALSE))</f>
        <v>opsd_bovin</v>
      </c>
      <c r="C280" s="3">
        <f>VLOOKUP($A280,'NonXtal_SegEnds_BW#'!$A:$Z,3,FALSE)+D280-50</f>
        <v>34</v>
      </c>
      <c r="D280" s="3">
        <v>55</v>
      </c>
      <c r="E280" s="3">
        <f>IF(ISERROR(VLOOKUP($A280,'NonXtal_SegEnds_BW#'!$A:$Z,4,FALSE)+VLOOKUP($A280,A:AL,4,FALSE)-50),"-",(VLOOKUP($A280,'NonXtal_SegEnds_BW#'!$A:$Z,4,FALSE)+VLOOKUP($A280,A:AL,4,FALSE)-50))</f>
        <v>65</v>
      </c>
      <c r="F280" s="3">
        <f t="shared" si="152"/>
        <v>66</v>
      </c>
      <c r="G280" s="3">
        <v>68</v>
      </c>
      <c r="H280" s="3">
        <f t="shared" si="153"/>
        <v>69</v>
      </c>
      <c r="I280" s="3">
        <f t="shared" si="153"/>
        <v>70</v>
      </c>
      <c r="J280" s="3">
        <v>83</v>
      </c>
      <c r="K280" s="3">
        <f>VLOOKUP($A280,'NonXtal_SegEnds_BW#'!$A:$Z,8,FALSE)+VLOOKUP($A280,A:AL,10,FALSE)-50</f>
        <v>100</v>
      </c>
      <c r="L280" s="3">
        <f>IF(ISERROR(VLOOKUP($A280,'NonXtal_SegEnds_BW#'!$A:$Z,9,FALSE)+VLOOKUP($A280,A:AL,13,FALSE)-50),"-",(VLOOKUP($A280,'NonXtal_SegEnds_BW#'!$A:$Z,9,FALSE)+VLOOKUP($A280,A:AL,13,FALSE)-50))</f>
        <v>102</v>
      </c>
      <c r="M280" s="3">
        <v>103</v>
      </c>
      <c r="N280" s="3">
        <f>IF(ISERROR(VLOOKUP($A280,'NonXtal_SegEnds_BW#'!$A:$Z,10,FALSE)+VLOOKUP($A280,A:AL,13,FALSE)-50),"-",(VLOOKUP($A280,'NonXtal_SegEnds_BW#'!$A:$Z,10,FALSE)+VLOOKUP($A280,A:AL,13,FALSE)-50))</f>
        <v>105</v>
      </c>
      <c r="O280" s="3">
        <f t="shared" si="156"/>
        <v>106</v>
      </c>
      <c r="P280" s="3">
        <v>135</v>
      </c>
      <c r="Q280" s="3">
        <f>VLOOKUP($A280,'NonXtal_SegEnds_BW#'!$A:$Z,12,FALSE)+VLOOKUP($A280,A:AL,16,FALSE)-50</f>
        <v>141</v>
      </c>
      <c r="R280" s="3">
        <f>IF(ISERROR(VLOOKUP($A280,'NonXtal_SegEnds_BW#'!$A:$Z,13,FALSE)+VLOOKUP($A280,A:AL,19,FALSE)-50),"-",VLOOKUP($A280,'NonXtal_SegEnds_BW#'!$A:$Z,13,FALSE)+VLOOKUP($A280,A:AL,19,FALSE)-50)</f>
        <v>142</v>
      </c>
      <c r="S280" s="3">
        <v>142</v>
      </c>
      <c r="T280" s="3">
        <f>IF(ISERROR(VLOOKUP($A280,'NonXtal_SegEnds_BW#'!$A:$Z,14,FALSE)+VLOOKUP($A280,A:AL,19,FALSE)-50),"-",(VLOOKUP($A280,'NonXtal_SegEnds_BW#'!$A:$Z,14,FALSE)+VLOOKUP($A280,A:AL,19,FALSE)-50))</f>
        <v>149</v>
      </c>
      <c r="U280" s="3">
        <f>IF(ISERROR(VLOOKUP($A280,'NonXtal_SegEnds_BW#'!$A:$Z,15,FALSE)+VLOOKUP($A280,A:AL,22,FALSE)-50),"-",VLOOKUP($A280,'NonXtal_SegEnds_BW#'!$A:$Z,15,FALSE)+VLOOKUP($A280,A:AL,22,FALSE)-50)</f>
        <v>150</v>
      </c>
      <c r="V280" s="3">
        <v>161</v>
      </c>
      <c r="W280" s="3">
        <f>IF(ISERROR(VLOOKUP($A280,'NonXtal_SegEnds_BW#'!$A:$Z,16,FALSE)+VLOOKUP($A280,A:AL,22,FALSE)-50),"-",(VLOOKUP($A280,'NonXtal_SegEnds_BW#'!$A:$Z,16,FALSE)+VLOOKUP($A280,A:AL,22,FALSE)-50))</f>
        <v>173</v>
      </c>
      <c r="X280" s="3">
        <f>IF(ISERROR(VLOOKUP($A280,'NonXtal_SegEnds_BW#'!$A:$Z,17,FALSE)+VLOOKUP($A280,A:AL,25,FALSE)-50),"-",(VLOOKUP($A280,'NonXtal_SegEnds_BW#'!$A:$Z,17,FALSE)+VLOOKUP($A280,A:AL,25,FALSE)-50))</f>
        <v>187</v>
      </c>
      <c r="Y280" s="3">
        <v>187</v>
      </c>
      <c r="Z280" s="3">
        <f t="shared" si="157"/>
        <v>189</v>
      </c>
      <c r="AA280" s="3">
        <f>IF(ISERROR(VLOOKUP($A280,'NonXtal_SegEnds_BW#'!$A:$Z,19,FALSE)+VLOOKUP($A280,A:AL,28,FALSE)-50),"-",(VLOOKUP($A280,'NonXtal_SegEnds_BW#'!$A:$Z,19,FALSE)+VLOOKUP($A280,A:AL,28,FALSE)-50))</f>
        <v>199</v>
      </c>
      <c r="AB280" s="3">
        <v>215</v>
      </c>
      <c r="AC280" s="3">
        <f>IF(ISERROR((VLOOKUP($A280,'NonXtal_SegEnds_BW#'!$A:$Z,20,FALSE)+VLOOKUP($A280,A:AL,28,FALSE)-50)),"-",(VLOOKUP($A280,'NonXtal_SegEnds_BW#'!$A:$Z,20,FALSE)+VLOOKUP($A280,A:AL,28,FALSE)-50))</f>
        <v>237</v>
      </c>
      <c r="AD280" s="3">
        <f>IF(ISERROR(VLOOKUP($A280,'NonXtal_SegEnds_BW#'!$A:$Z,21,FALSE)+VLOOKUP($A280,A:AL,31,FALSE)-50),"-",(VLOOKUP($A280,'NonXtal_SegEnds_BW#'!$A:$Z,21,FALSE)+VLOOKUP($A280,A:AL,31,FALSE)-50))</f>
        <v>241</v>
      </c>
      <c r="AE280" s="3">
        <v>267</v>
      </c>
      <c r="AF280" s="3">
        <f>IF(ISERROR((VLOOKUP($A280,'NonXtal_SegEnds_BW#'!$A:$Z,22,FALSE)+VLOOKUP($A280,A:AL,31,FALSE)-50)),"-",(VLOOKUP($A280,'NonXtal_SegEnds_BW#'!$A:$Z,22,FALSE)+VLOOKUP($A280,A:AL,31,FALSE)-50))</f>
        <v>278</v>
      </c>
      <c r="AG280" s="3">
        <f>IF(ISERROR(VLOOKUP($A280,'NonXtal_SegEnds_BW#'!$A:$Z,23,FALSE)+VLOOKUP($A280,A:AL,34,FALSE)-50),"-",(VLOOKUP($A280,'NonXtal_SegEnds_BW#'!$A:$Z,23,FALSE)+VLOOKUP($A280,A:AL,34,FALSE)-50))</f>
        <v>284</v>
      </c>
      <c r="AH280" s="3">
        <v>303</v>
      </c>
      <c r="AI280" s="3">
        <f>IF(ISERROR((VLOOKUP($A280,'NonXtal_SegEnds_BW#'!$A:$Z,24,FALSE)+VLOOKUP($A280,A:AL,34,FALSE)-50)),"-",(VLOOKUP($A280,'NonXtal_SegEnds_BW#'!$A:$Z,24,FALSE)+VLOOKUP($A280,A:AL,34,FALSE)-50))</f>
        <v>309</v>
      </c>
      <c r="AJ280" s="3">
        <f>IF(ISERROR(VLOOKUP($A280,'NonXtal_SegEnds_BW#'!$A:$Z,25,FALSE)+VLOOKUP($A280,A:AL,37,FALSE)-50),"-",(VLOOKUP($A280,'NonXtal_SegEnds_BW#'!$A:$Z,25,FALSE)+VLOOKUP($A280,A:AL,37,FALSE)-50))</f>
        <v>310</v>
      </c>
      <c r="AK280" s="3">
        <v>313</v>
      </c>
      <c r="AL280" s="3">
        <f>IF(ISERROR((VLOOKUP($A280,'NonXtal_SegEnds_BW#'!$A:$Z,26,FALSE)+VLOOKUP($A280,A:AL,37,FALSE)-50)),"-",(VLOOKUP($A280,'NonXtal_SegEnds_BW#'!$A:$Z,26,FALSE)+VLOOKUP($A280,A:AL,37,FALSE)-50))</f>
        <v>322</v>
      </c>
      <c r="AM280" s="71" t="str">
        <f>VLOOKUP(A280,Classification!A:B,2,FALSE)</f>
        <v>A</v>
      </c>
      <c r="AN280" s="71" t="b">
        <f t="shared" si="133"/>
        <v>1</v>
      </c>
      <c r="AO280" s="3">
        <f t="shared" si="134"/>
        <v>1</v>
      </c>
      <c r="AP280" s="3">
        <f t="shared" si="135"/>
        <v>1</v>
      </c>
      <c r="AQ280" s="3">
        <f t="shared" si="136"/>
        <v>2</v>
      </c>
      <c r="AR280" s="3">
        <f t="shared" si="137"/>
        <v>1</v>
      </c>
      <c r="AS280" s="3">
        <f t="shared" si="138"/>
        <v>1</v>
      </c>
      <c r="AT280" s="3">
        <f t="shared" si="139"/>
        <v>1</v>
      </c>
      <c r="AU280" s="3">
        <f t="shared" si="140"/>
        <v>14</v>
      </c>
      <c r="AV280" s="3">
        <f t="shared" si="141"/>
        <v>10</v>
      </c>
      <c r="AW280" s="3">
        <f t="shared" si="142"/>
        <v>4</v>
      </c>
      <c r="AX280" s="3">
        <f t="shared" si="143"/>
        <v>6</v>
      </c>
      <c r="AY280" s="3">
        <f t="shared" si="144"/>
        <v>1</v>
      </c>
      <c r="AZ280" s="3">
        <f>IF(ISERROR(LEN(VLOOKUP(A280,Seqs!A:E,2,FALSE))-AL280),"-",LEN(VLOOKUP(A280,Seqs!A:E,2,FALSE))-AL280)</f>
        <v>26</v>
      </c>
      <c r="BA280" s="35">
        <f t="shared" si="145"/>
        <v>28</v>
      </c>
      <c r="BB280" s="3">
        <f t="shared" si="146"/>
        <v>19</v>
      </c>
      <c r="BC280" s="3">
        <f t="shared" si="147"/>
        <v>28</v>
      </c>
      <c r="BD280" s="3">
        <f t="shared" si="148"/>
        <v>52</v>
      </c>
      <c r="BE280" s="3">
        <f>AH280-AE280</f>
        <v>36</v>
      </c>
    </row>
    <row r="281" spans="1:57" s="3" customFormat="1" x14ac:dyDescent="0.2">
      <c r="A281" s="3" t="s">
        <v>528</v>
      </c>
      <c r="B281" s="3" t="s">
        <v>1116</v>
      </c>
      <c r="C281" s="3">
        <f>VLOOKUP($A281,'NonXtal_SegEnds_BW#'!$A:$Z,3,FALSE)+D281-50</f>
        <v>30</v>
      </c>
      <c r="D281" s="3">
        <v>51</v>
      </c>
      <c r="E281" s="3">
        <f>IF(ISERROR(VLOOKUP($A281,'NonXtal_SegEnds_BW#'!$A:$Z,4,FALSE)+VLOOKUP($A281,A:AL,4,FALSE)-50),"-",(VLOOKUP($A281,'NonXtal_SegEnds_BW#'!$A:$Z,4,FALSE)+VLOOKUP($A281,A:AL,4,FALSE)-50))</f>
        <v>61</v>
      </c>
      <c r="F281" s="3">
        <f t="shared" si="152"/>
        <v>63</v>
      </c>
      <c r="G281" s="3">
        <v>65</v>
      </c>
      <c r="H281" s="3">
        <f t="shared" si="153"/>
        <v>66</v>
      </c>
      <c r="I281" s="3">
        <f t="shared" si="153"/>
        <v>67</v>
      </c>
      <c r="J281" s="3">
        <v>79</v>
      </c>
      <c r="K281" s="3">
        <v>97</v>
      </c>
      <c r="L281" s="3">
        <f>M281-1</f>
        <v>98</v>
      </c>
      <c r="M281" s="3">
        <v>99</v>
      </c>
      <c r="N281" s="3">
        <f>M281+2</f>
        <v>101</v>
      </c>
      <c r="O281" s="3">
        <f t="shared" si="156"/>
        <v>102</v>
      </c>
      <c r="P281" s="3">
        <v>131</v>
      </c>
      <c r="Q281" s="3">
        <f>VLOOKUP($A281,'NonXtal_SegEnds_BW#'!$A:$Z,12,FALSE)+VLOOKUP($A281,A:AL,16,FALSE)-50</f>
        <v>137</v>
      </c>
      <c r="R281" s="3">
        <f>IF(ISERROR(VLOOKUP($A281,'NonXtal_SegEnds_BW#'!$A:$Z,13,FALSE)+VLOOKUP($A281,A:AL,19,FALSE)-50),"-",VLOOKUP($A281,'NonXtal_SegEnds_BW#'!$A:$Z,13,FALSE)+VLOOKUP($A281,A:AL,19,FALSE)-50)</f>
        <v>138</v>
      </c>
      <c r="S281" s="3">
        <v>138</v>
      </c>
      <c r="T281" s="3">
        <f>IF(ISERROR(VLOOKUP($A281,'NonXtal_SegEnds_BW#'!$A:$Z,14,FALSE)+VLOOKUP($A281,A:AL,19,FALSE)-50),"-",(VLOOKUP($A281,'NonXtal_SegEnds_BW#'!$A:$Z,14,FALSE)+VLOOKUP($A281,A:AL,19,FALSE)-50))</f>
        <v>145</v>
      </c>
      <c r="U281" s="3">
        <f>IF(ISERROR(VLOOKUP($A281,'NonXtal_SegEnds_BW#'!$A:$Z,15,FALSE)+VLOOKUP($A281,A:AL,22,FALSE)-50),"-",VLOOKUP($A281,'NonXtal_SegEnds_BW#'!$A:$Z,15,FALSE)+VLOOKUP($A281,A:AL,22,FALSE)-50)</f>
        <v>146</v>
      </c>
      <c r="V281" s="3">
        <v>157</v>
      </c>
      <c r="W281" s="3">
        <f>IF(ISERROR(VLOOKUP($A281,'NonXtal_SegEnds_BW#'!$A:$Z,16,FALSE)+VLOOKUP($A281,A:AL,22,FALSE)-50),"-",(VLOOKUP($A281,'NonXtal_SegEnds_BW#'!$A:$Z,16,FALSE)+VLOOKUP($A281,A:AL,22,FALSE)-50))</f>
        <v>169</v>
      </c>
      <c r="X281" s="3">
        <f>IF(ISERROR(VLOOKUP($A281,'NonXtal_SegEnds_BW#'!$A:$Z,17,FALSE)+VLOOKUP($A281,A:AL,25,FALSE)-50),"-",(VLOOKUP($A281,'NonXtal_SegEnds_BW#'!$A:$Z,17,FALSE)+VLOOKUP($A281,A:AL,25,FALSE)-50))</f>
        <v>183</v>
      </c>
      <c r="Y281" s="3">
        <v>183</v>
      </c>
      <c r="Z281" s="3">
        <f t="shared" si="157"/>
        <v>185</v>
      </c>
      <c r="AA281" s="3">
        <f>IF(ISERROR(VLOOKUP($A281,'NonXtal_SegEnds_BW#'!$A:$Z,19,FALSE)+VLOOKUP($A281,A:AL,28,FALSE)-50),"-",(VLOOKUP($A281,'NonXtal_SegEnds_BW#'!$A:$Z,19,FALSE)+VLOOKUP($A281,A:AL,28,FALSE)-50))</f>
        <v>193</v>
      </c>
      <c r="AB281" s="3">
        <v>211</v>
      </c>
      <c r="AC281" s="3">
        <f>IF(ISERROR((VLOOKUP($A281,'NonXtal_SegEnds_BW#'!$A:$Z,20,FALSE)+VLOOKUP($A281,A:AL,28,FALSE)-50)),"-",(VLOOKUP($A281,'NonXtal_SegEnds_BW#'!$A:$Z,20,FALSE)+VLOOKUP($A281,A:AL,28,FALSE)-50))</f>
        <v>234</v>
      </c>
      <c r="AD281" s="3">
        <f>IF(ISERROR(VLOOKUP($A281,'NonXtal_SegEnds_BW#'!$A:$Z,21,FALSE)+VLOOKUP($A281,A:AL,31,FALSE)-50),"-",(VLOOKUP($A281,'NonXtal_SegEnds_BW#'!$A:$Z,21,FALSE)+VLOOKUP($A281,A:AL,31,FALSE)-50))</f>
        <v>239</v>
      </c>
      <c r="AE281" s="3">
        <v>267</v>
      </c>
      <c r="AF281" s="3">
        <f>IF(ISERROR((VLOOKUP($A281,'NonXtal_SegEnds_BW#'!$A:$Z,22,FALSE)+VLOOKUP($A281,A:AL,31,FALSE)-50)),"-",(VLOOKUP($A281,'NonXtal_SegEnds_BW#'!$A:$Z,22,FALSE)+VLOOKUP($A281,A:AL,31,FALSE)-50))</f>
        <v>278</v>
      </c>
      <c r="AG281" s="3">
        <f>IF(ISERROR(VLOOKUP($A281,'NonXtal_SegEnds_BW#'!$A:$Z,23,FALSE)+VLOOKUP($A281,A:AL,34,FALSE)-50),"-",(VLOOKUP($A281,'NonXtal_SegEnds_BW#'!$A:$Z,23,FALSE)+VLOOKUP($A281,A:AL,34,FALSE)-50))</f>
        <v>284</v>
      </c>
      <c r="AH281" s="3">
        <v>303</v>
      </c>
      <c r="AI281" s="3">
        <f>IF(ISERROR((VLOOKUP($A281,'NonXtal_SegEnds_BW#'!$A:$Z,24,FALSE)+VLOOKUP($A281,A:AL,34,FALSE)-50)),"-",(VLOOKUP($A281,'NonXtal_SegEnds_BW#'!$A:$Z,24,FALSE)+VLOOKUP($A281,A:AL,34,FALSE)-50))</f>
        <v>309</v>
      </c>
      <c r="AJ281" s="3">
        <f>IF(ISERROR(VLOOKUP($A281,'NonXtal_SegEnds_BW#'!$A:$Z,25,FALSE)+VLOOKUP($A281,A:AL,37,FALSE)-50),"-",(VLOOKUP($A281,'NonXtal_SegEnds_BW#'!$A:$Z,25,FALSE)+VLOOKUP($A281,A:AL,37,FALSE)-50))</f>
        <v>310</v>
      </c>
      <c r="AK281" s="3">
        <v>313</v>
      </c>
      <c r="AL281" s="3">
        <f>IF(ISERROR((VLOOKUP($A281,'NonXtal_SegEnds_BW#'!$A:$Z,26,FALSE)+VLOOKUP($A281,A:AL,37,FALSE)-50)),"-",(VLOOKUP($A281,'NonXtal_SegEnds_BW#'!$A:$Z,26,FALSE)+VLOOKUP($A281,A:AL,37,FALSE)-50))</f>
        <v>321</v>
      </c>
      <c r="AM281" s="71" t="str">
        <f>VLOOKUP(A281,Classification!A:B,2,FALSE)</f>
        <v>A</v>
      </c>
      <c r="AN281" s="71" t="b">
        <f t="shared" si="133"/>
        <v>1</v>
      </c>
      <c r="AO281" s="3">
        <f t="shared" si="134"/>
        <v>2</v>
      </c>
      <c r="AP281" s="3">
        <f t="shared" si="135"/>
        <v>1</v>
      </c>
      <c r="AQ281" s="3">
        <f t="shared" si="136"/>
        <v>1</v>
      </c>
      <c r="AR281" s="3">
        <f t="shared" si="137"/>
        <v>1</v>
      </c>
      <c r="AS281" s="3">
        <f t="shared" si="138"/>
        <v>1</v>
      </c>
      <c r="AT281" s="3">
        <f t="shared" si="139"/>
        <v>1</v>
      </c>
      <c r="AU281" s="3">
        <f t="shared" si="140"/>
        <v>14</v>
      </c>
      <c r="AV281" s="3">
        <f t="shared" si="141"/>
        <v>8</v>
      </c>
      <c r="AW281" s="3">
        <f t="shared" si="142"/>
        <v>5</v>
      </c>
      <c r="AX281" s="3">
        <f t="shared" si="143"/>
        <v>6</v>
      </c>
      <c r="AY281" s="3">
        <f t="shared" si="144"/>
        <v>1</v>
      </c>
      <c r="AZ281" s="3">
        <f>IF(ISERROR(LEN(VLOOKUP(A281,Seqs!A:E,2,FALSE))-AL281),"-",LEN(VLOOKUP(A281,Seqs!A:E,2,FALSE))-AL281)</f>
        <v>33</v>
      </c>
      <c r="BA281" s="35">
        <f t="shared" si="145"/>
        <v>28</v>
      </c>
      <c r="BB281" s="3">
        <f t="shared" si="146"/>
        <v>19</v>
      </c>
      <c r="BC281" s="3">
        <f t="shared" si="147"/>
        <v>28</v>
      </c>
      <c r="BD281" s="3">
        <f t="shared" si="148"/>
        <v>56</v>
      </c>
    </row>
    <row r="282" spans="1:57" s="3" customFormat="1" x14ac:dyDescent="0.2">
      <c r="A282" s="3" t="s">
        <v>669</v>
      </c>
      <c r="B282" s="3" t="str">
        <f>LOWER(VLOOKUP(A282,Xtal_Templ!A:B,2,FALSE))</f>
        <v>opsd_human</v>
      </c>
      <c r="C282" s="3">
        <f>VLOOKUP($A282,'NonXtal_SegEnds_BW#'!$A:$Z,3,FALSE)+D282-50</f>
        <v>6</v>
      </c>
      <c r="D282" s="3">
        <v>24</v>
      </c>
      <c r="E282" s="3">
        <f>F282-1</f>
        <v>36</v>
      </c>
      <c r="F282" s="3">
        <f t="shared" si="152"/>
        <v>37</v>
      </c>
      <c r="G282" s="3">
        <v>39</v>
      </c>
      <c r="H282" s="3">
        <f t="shared" si="153"/>
        <v>40</v>
      </c>
      <c r="I282" s="3">
        <f t="shared" si="153"/>
        <v>41</v>
      </c>
      <c r="J282" s="3">
        <v>55</v>
      </c>
      <c r="K282" s="3">
        <f>VLOOKUP($A282,'NonXtal_SegEnds_BW#'!$A:$Z,8,FALSE)+VLOOKUP($A282,A:AL,10,FALSE)-50</f>
        <v>71</v>
      </c>
      <c r="L282" s="3" t="str">
        <f>IF(ISERROR(VLOOKUP($A282,'NonXtal_SegEnds_BW#'!$A:$Z,9,FALSE)+VLOOKUP($A282,A:AL,13,FALSE)-50),"-",(VLOOKUP($A282,'NonXtal_SegEnds_BW#'!$A:$Z,9,FALSE)+VLOOKUP($A282,A:AL,13,FALSE)-50))</f>
        <v>-</v>
      </c>
      <c r="M282" s="3" t="s">
        <v>129</v>
      </c>
      <c r="N282" s="3" t="str">
        <f>IF(ISERROR(VLOOKUP($A282,'NonXtal_SegEnds_BW#'!$A:$Z,10,FALSE)+VLOOKUP($A282,A:AL,13,FALSE)-50),"-",(VLOOKUP($A282,'NonXtal_SegEnds_BW#'!$A:$Z,10,FALSE)+VLOOKUP($A282,A:AL,13,FALSE)-50))</f>
        <v>-</v>
      </c>
      <c r="O282" s="3">
        <f>VLOOKUP($A282,'NonXtal_SegEnds_BW#'!$A:$Z,11,FALSE)+VLOOKUP($A282,A:AL,16,FALSE)-50</f>
        <v>77</v>
      </c>
      <c r="P282" s="3">
        <v>103</v>
      </c>
      <c r="Q282" s="3">
        <f>VLOOKUP($A282,'NonXtal_SegEnds_BW#'!$A:$Z,12,FALSE)+VLOOKUP($A282,A:AL,16,FALSE)-50</f>
        <v>109</v>
      </c>
      <c r="R282" s="3">
        <f>S282</f>
        <v>112</v>
      </c>
      <c r="S282" s="3">
        <v>112</v>
      </c>
      <c r="T282" s="3">
        <f>S282+7</f>
        <v>119</v>
      </c>
      <c r="U282" s="3">
        <f>IF(ISERROR(VLOOKUP($A282,'NonXtal_SegEnds_BW#'!$A:$Z,15,FALSE)+VLOOKUP($A282,A:AL,22,FALSE)-50),"-",VLOOKUP($A282,'NonXtal_SegEnds_BW#'!$A:$Z,15,FALSE)+VLOOKUP($A282,A:AL,22,FALSE)-50)</f>
        <v>121</v>
      </c>
      <c r="V282" s="3">
        <v>132</v>
      </c>
      <c r="W282" s="3">
        <f>IF(ISERROR(VLOOKUP($A282,'NonXtal_SegEnds_BW#'!$A:$Z,16,FALSE)+VLOOKUP($A282,A:AL,22,FALSE)-50),"-",(VLOOKUP($A282,'NonXtal_SegEnds_BW#'!$A:$Z,16,FALSE)+VLOOKUP($A282,A:AL,22,FALSE)-50))</f>
        <v>144</v>
      </c>
      <c r="X282" s="3" t="str">
        <f>IF(ISERROR(VLOOKUP($A282,'NonXtal_SegEnds_BW#'!$A:$Z,17,FALSE)+VLOOKUP($A282,A:AL,25,FALSE)-50),"-",(VLOOKUP($A282,'NonXtal_SegEnds_BW#'!$A:$Z,17,FALSE)+VLOOKUP($A282,A:AL,25,FALSE)-50))</f>
        <v>-</v>
      </c>
      <c r="Y282" s="3" t="s">
        <v>129</v>
      </c>
      <c r="Z282" s="3" t="str">
        <f>IF(ISERROR(VLOOKUP($A282,'NonXtal_SegEnds_BW#'!$A:$Z,18,FALSE)+VLOOKUP($A282,A:AL,25,FALSE)-50),"-",(VLOOKUP($A282,'NonXtal_SegEnds_BW#'!$A:$Z,18,FALSE)+VLOOKUP($A282,A:AL,25,FALSE)-50))</f>
        <v>-</v>
      </c>
      <c r="AA282" s="3">
        <f>IF(ISERROR(VLOOKUP($A282,'NonXtal_SegEnds_BW#'!$A:$Z,19,FALSE)+VLOOKUP($A282,A:AL,28,FALSE)-50),"-",(VLOOKUP($A282,'NonXtal_SegEnds_BW#'!$A:$Z,19,FALSE)+VLOOKUP($A282,A:AL,28,FALSE)-50))</f>
        <v>168</v>
      </c>
      <c r="AB282" s="3">
        <v>186</v>
      </c>
      <c r="AC282" s="3">
        <f>IF(ISERROR((VLOOKUP($A282,'NonXtal_SegEnds_BW#'!$A:$Z,20,FALSE)+VLOOKUP($A282,A:AL,28,FALSE)-50)),"-",(VLOOKUP($A282,'NonXtal_SegEnds_BW#'!$A:$Z,20,FALSE)+VLOOKUP($A282,A:AL,28,FALSE)-50))</f>
        <v>208</v>
      </c>
      <c r="AD282" s="3">
        <f>IF(ISERROR(VLOOKUP($A282,'NonXtal_SegEnds_BW#'!$A:$Z,21,FALSE)+VLOOKUP($A282,A:AL,31,FALSE)-50),"-",(VLOOKUP($A282,'NonXtal_SegEnds_BW#'!$A:$Z,21,FALSE)+VLOOKUP($A282,A:AL,31,FALSE)-50))</f>
        <v>218</v>
      </c>
      <c r="AE282" s="3">
        <v>239</v>
      </c>
      <c r="AF282" s="3">
        <f>IF(ISERROR((VLOOKUP($A282,'NonXtal_SegEnds_BW#'!$A:$Z,22,FALSE)+VLOOKUP($A282,A:AL,31,FALSE)-50)),"-",(VLOOKUP($A282,'NonXtal_SegEnds_BW#'!$A:$Z,22,FALSE)+VLOOKUP($A282,A:AL,31,FALSE)-50))</f>
        <v>250</v>
      </c>
      <c r="AG282" s="3">
        <f>IF(ISERROR(VLOOKUP($A282,'NonXtal_SegEnds_BW#'!$A:$Z,23,FALSE)+VLOOKUP($A282,A:AL,34,FALSE)-50),"-",(VLOOKUP($A282,'NonXtal_SegEnds_BW#'!$A:$Z,23,FALSE)+VLOOKUP($A282,A:AL,34,FALSE)-50))</f>
        <v>255</v>
      </c>
      <c r="AH282" s="3">
        <v>274</v>
      </c>
      <c r="AI282" s="3">
        <f>IF(ISERROR((VLOOKUP($A282,'NonXtal_SegEnds_BW#'!$A:$Z,24,FALSE)+VLOOKUP($A282,A:AL,34,FALSE)-50)),"-",(VLOOKUP($A282,'NonXtal_SegEnds_BW#'!$A:$Z,24,FALSE)+VLOOKUP($A282,A:AL,34,FALSE)-50))</f>
        <v>280</v>
      </c>
      <c r="AJ282" s="3">
        <f>IF(ISERROR(VLOOKUP($A282,'NonXtal_SegEnds_BW#'!$A:$Z,25,FALSE)+VLOOKUP($A282,A:AL,37,FALSE)-50),"-",(VLOOKUP($A282,'NonXtal_SegEnds_BW#'!$A:$Z,25,FALSE)+VLOOKUP($A282,A:AL,37,FALSE)-50))</f>
        <v>281</v>
      </c>
      <c r="AK282" s="3">
        <v>284</v>
      </c>
      <c r="AL282" s="3">
        <f>IF(ISERROR((VLOOKUP($A282,'NonXtal_SegEnds_BW#'!$A:$Z,26,FALSE)+VLOOKUP($A282,A:AL,37,FALSE)-50)),"-",(VLOOKUP($A282,'NonXtal_SegEnds_BW#'!$A:$Z,26,FALSE)+VLOOKUP($A282,A:AL,37,FALSE)-50))</f>
        <v>294</v>
      </c>
      <c r="AM282" s="71" t="str">
        <f>VLOOKUP(A282,Classification!A:B,2,FALSE)</f>
        <v>T</v>
      </c>
      <c r="AN282" s="71" t="b">
        <f t="shared" si="133"/>
        <v>1</v>
      </c>
      <c r="AO282" s="3">
        <f t="shared" si="134"/>
        <v>1</v>
      </c>
      <c r="AP282" s="3">
        <f t="shared" si="135"/>
        <v>1</v>
      </c>
      <c r="AQ282" s="3" t="str">
        <f t="shared" si="136"/>
        <v>-</v>
      </c>
      <c r="AR282" s="3" t="str">
        <f t="shared" si="137"/>
        <v>-</v>
      </c>
      <c r="AS282" s="3">
        <f t="shared" si="138"/>
        <v>3</v>
      </c>
      <c r="AT282" s="3">
        <f t="shared" si="139"/>
        <v>2</v>
      </c>
      <c r="AU282" s="3" t="str">
        <f t="shared" si="140"/>
        <v>-</v>
      </c>
      <c r="AV282" s="3" t="str">
        <f t="shared" si="141"/>
        <v>-</v>
      </c>
      <c r="AW282" s="3">
        <f t="shared" si="142"/>
        <v>10</v>
      </c>
      <c r="AX282" s="3">
        <f t="shared" si="143"/>
        <v>5</v>
      </c>
      <c r="AY282" s="3">
        <f t="shared" si="144"/>
        <v>1</v>
      </c>
      <c r="AZ282" s="3">
        <f>IF(ISERROR(LEN(VLOOKUP(A282,Seqs!A:E,2,FALSE))-AL282),"-",LEN(VLOOKUP(A282,Seqs!A:E,2,FALSE))-AL282)</f>
        <v>5</v>
      </c>
      <c r="BA282" s="35">
        <f t="shared" si="145"/>
        <v>31</v>
      </c>
      <c r="BB282" s="3">
        <f t="shared" si="146"/>
        <v>20</v>
      </c>
      <c r="BC282" s="3">
        <f t="shared" si="147"/>
        <v>31</v>
      </c>
      <c r="BD282" s="3">
        <f t="shared" si="148"/>
        <v>53</v>
      </c>
      <c r="BE282" s="3">
        <f>AH282-AE282</f>
        <v>35</v>
      </c>
    </row>
    <row r="283" spans="1:57" s="3" customFormat="1" x14ac:dyDescent="0.2">
      <c r="A283" s="3" t="s">
        <v>479</v>
      </c>
      <c r="B283" s="3" t="str">
        <f>LOWER(VLOOKUP(A283,Xtal_Templ!A:B,2,FALSE))</f>
        <v>opsd_human</v>
      </c>
      <c r="C283" s="3">
        <f>VLOOKUP($A283,'NonXtal_SegEnds_BW#'!$A:$Z,3,FALSE)+D283-50</f>
        <v>558</v>
      </c>
      <c r="D283" s="3">
        <v>579</v>
      </c>
      <c r="E283" s="3">
        <f>IF(ISERROR(VLOOKUP($A283,'NonXtal_SegEnds_BW#'!$A:$Z,4,FALSE)+VLOOKUP($A283,A:AL,4,FALSE)-50),"-",(VLOOKUP($A283,'NonXtal_SegEnds_BW#'!$A:$Z,4,FALSE)+VLOOKUP($A283,A:AL,4,FALSE)-50))</f>
        <v>589</v>
      </c>
      <c r="F283" s="3" t="str">
        <f>IF(ISERROR(VLOOKUP($A283,'NonXtal_SegEnds_BW#'!$A:$Z,5,FALSE)+VLOOKUP($A283,A:AL,7,FALSE)-50),"-",(VLOOKUP($A283,'NonXtal_SegEnds_BW#'!$A:$Z,5,FALSE)+VLOOKUP($A283,A:AL,7,FALSE)-50))</f>
        <v>-</v>
      </c>
      <c r="G283" s="3" t="s">
        <v>129</v>
      </c>
      <c r="H283" s="3" t="str">
        <f>IF(ISERROR(VLOOKUP($A283,'NonXtal_SegEnds_BW#'!$A:$Z,6,FALSE)+VLOOKUP($A283,A:AL,7,FALSE)-50),"-",(VLOOKUP($A283,'NonXtal_SegEnds_BW#'!$A:$Z,6,FALSE)+VLOOKUP($A283,A:AL,7,FALSE)-50))</f>
        <v>-</v>
      </c>
      <c r="I283" s="3">
        <f>VLOOKUP($A283,'NonXtal_SegEnds_BW#'!$A:$Z,7,FALSE)+J283-50</f>
        <v>595</v>
      </c>
      <c r="J283" s="3">
        <v>608</v>
      </c>
      <c r="K283" s="3">
        <f>VLOOKUP($A283,'NonXtal_SegEnds_BW#'!$A:$Z,8,FALSE)+VLOOKUP($A283,A:AL,10,FALSE)-50</f>
        <v>625</v>
      </c>
      <c r="L283" s="3" t="str">
        <f>IF(ISERROR(VLOOKUP($A283,'NonXtal_SegEnds_BW#'!$A:$Z,9,FALSE)+VLOOKUP($A283,A:AL,13,FALSE)-50),"-",(VLOOKUP($A283,'NonXtal_SegEnds_BW#'!$A:$Z,9,FALSE)+VLOOKUP($A283,A:AL,13,FALSE)-50))</f>
        <v>-</v>
      </c>
      <c r="M283" s="3" t="s">
        <v>129</v>
      </c>
      <c r="N283" s="3" t="str">
        <f>IF(ISERROR(VLOOKUP($A283,'NonXtal_SegEnds_BW#'!$A:$Z,10,FALSE)+VLOOKUP($A283,A:AL,13,FALSE)-50),"-",(VLOOKUP($A283,'NonXtal_SegEnds_BW#'!$A:$Z,10,FALSE)+VLOOKUP($A283,A:AL,13,FALSE)-50))</f>
        <v>-</v>
      </c>
      <c r="O283" s="3">
        <f>VLOOKUP($A283,'NonXtal_SegEnds_BW#'!$A:$Z,11,FALSE)+VLOOKUP($A283,A:AL,16,FALSE)-50</f>
        <v>635</v>
      </c>
      <c r="P283" s="3">
        <v>667</v>
      </c>
      <c r="Q283" s="3">
        <f>VLOOKUP($A283,'NonXtal_SegEnds_BW#'!$A:$Z,12,FALSE)+VLOOKUP($A283,A:AL,16,FALSE)-50</f>
        <v>673</v>
      </c>
      <c r="R283" s="3">
        <f>IF(ISERROR(VLOOKUP($A283,'NonXtal_SegEnds_BW#'!$A:$Z,13,FALSE)+VLOOKUP($A283,A:AL,19,FALSE)-50),"-",VLOOKUP($A283,'NonXtal_SegEnds_BW#'!$A:$Z,13,FALSE)+VLOOKUP($A283,A:AL,19,FALSE)-50)</f>
        <v>674</v>
      </c>
      <c r="S283" s="3">
        <v>674</v>
      </c>
      <c r="T283" s="3">
        <f>IF(ISERROR(VLOOKUP($A283,'NonXtal_SegEnds_BW#'!$A:$Z,14,FALSE)+VLOOKUP($A283,A:AL,19,FALSE)-50),"-",(VLOOKUP($A283,'NonXtal_SegEnds_BW#'!$A:$Z,14,FALSE)+VLOOKUP($A283,A:AL,19,FALSE)-50))</f>
        <v>681</v>
      </c>
      <c r="U283" s="3">
        <f>IF(ISERROR(VLOOKUP($A283,'NonXtal_SegEnds_BW#'!$A:$Z,15,FALSE)+VLOOKUP($A283,A:AL,22,FALSE)-50),"-",VLOOKUP($A283,'NonXtal_SegEnds_BW#'!$A:$Z,15,FALSE)+VLOOKUP($A283,A:AL,22,FALSE)-50)</f>
        <v>683</v>
      </c>
      <c r="V283" s="3">
        <v>694</v>
      </c>
      <c r="W283" s="3">
        <f>IF(ISERROR(VLOOKUP($A283,'NonXtal_SegEnds_BW#'!$A:$Z,16,FALSE)+VLOOKUP($A283,A:AL,22,FALSE)-50),"-",(VLOOKUP($A283,'NonXtal_SegEnds_BW#'!$A:$Z,16,FALSE)+VLOOKUP($A283,A:AL,22,FALSE)-50))</f>
        <v>706</v>
      </c>
      <c r="X283" s="3">
        <f>IF(ISERROR(VLOOKUP($A283,'NonXtal_SegEnds_BW#'!$A:$Z,17,FALSE)+VLOOKUP($A283,A:AL,25,FALSE)-50),"-",(VLOOKUP($A283,'NonXtal_SegEnds_BW#'!$A:$Z,17,FALSE)+VLOOKUP($A283,A:AL,25,FALSE)-50))</f>
        <v>717</v>
      </c>
      <c r="Y283" s="3">
        <v>717</v>
      </c>
      <c r="Z283" s="3">
        <f t="shared" ref="Z283:Z298" si="158">Y283+2</f>
        <v>719</v>
      </c>
      <c r="AA283" s="3">
        <f>IF(ISERROR(VLOOKUP($A283,'NonXtal_SegEnds_BW#'!$A:$Z,19,FALSE)+VLOOKUP($A283,A:AL,28,FALSE)-50),"-",(VLOOKUP($A283,'NonXtal_SegEnds_BW#'!$A:$Z,19,FALSE)+VLOOKUP($A283,A:AL,28,FALSE)-50))</f>
        <v>728</v>
      </c>
      <c r="AB283" s="3">
        <v>743</v>
      </c>
      <c r="AC283" s="3">
        <f>IF(ISERROR((VLOOKUP($A283,'NonXtal_SegEnds_BW#'!$A:$Z,20,FALSE)+VLOOKUP($A283,A:AL,28,FALSE)-50)),"-",(VLOOKUP($A283,'NonXtal_SegEnds_BW#'!$A:$Z,20,FALSE)+VLOOKUP($A283,A:AL,28,FALSE)-50))</f>
        <v>760</v>
      </c>
      <c r="AD283" s="3">
        <f>IF(ISERROR(VLOOKUP($A283,'NonXtal_SegEnds_BW#'!$A:$Z,21,FALSE)+VLOOKUP($A283,A:AL,31,FALSE)-50),"-",(VLOOKUP($A283,'NonXtal_SegEnds_BW#'!$A:$Z,21,FALSE)+VLOOKUP($A283,A:AL,31,FALSE)-50))</f>
        <v>766</v>
      </c>
      <c r="AE283" s="3">
        <v>788</v>
      </c>
      <c r="AF283" s="3">
        <f>IF(ISERROR((VLOOKUP($A283,'NonXtal_SegEnds_BW#'!$A:$Z,22,FALSE)+VLOOKUP($A283,A:AL,31,FALSE)-50)),"-",(VLOOKUP($A283,'NonXtal_SegEnds_BW#'!$A:$Z,22,FALSE)+VLOOKUP($A283,A:AL,31,FALSE)-50))</f>
        <v>799</v>
      </c>
      <c r="AG283" s="3">
        <f>IF(ISERROR(VLOOKUP($A283,'NonXtal_SegEnds_BW#'!$A:$Z,23,FALSE)+VLOOKUP($A283,A:AL,34,FALSE)-50),"-",(VLOOKUP($A283,'NonXtal_SegEnds_BW#'!$A:$Z,23,FALSE)+VLOOKUP($A283,A:AL,34,FALSE)-50))</f>
        <v>805</v>
      </c>
      <c r="AH283" s="3">
        <v>824</v>
      </c>
      <c r="AI283" s="3">
        <f>IF(ISERROR((VLOOKUP($A283,'NonXtal_SegEnds_BW#'!$A:$Z,24,FALSE)+VLOOKUP($A283,A:AL,34,FALSE)-50)),"-",(VLOOKUP($A283,'NonXtal_SegEnds_BW#'!$A:$Z,24,FALSE)+VLOOKUP($A283,A:AL,34,FALSE)-50))</f>
        <v>830</v>
      </c>
      <c r="AJ283" s="3">
        <f>IF(ISERROR(VLOOKUP($A283,'NonXtal_SegEnds_BW#'!$A:$Z,25,FALSE)+VLOOKUP($A283,A:AL,37,FALSE)-50),"-",(VLOOKUP($A283,'NonXtal_SegEnds_BW#'!$A:$Z,25,FALSE)+VLOOKUP($A283,A:AL,37,FALSE)-50))</f>
        <v>831</v>
      </c>
      <c r="AK283" s="3">
        <v>834</v>
      </c>
      <c r="AL283" s="3">
        <f>IF(ISERROR((VLOOKUP($A283,'NonXtal_SegEnds_BW#'!$A:$Z,26,FALSE)+VLOOKUP($A283,A:AL,37,FALSE)-50)),"-",(VLOOKUP($A283,'NonXtal_SegEnds_BW#'!$A:$Z,26,FALSE)+VLOOKUP($A283,A:AL,37,FALSE)-50))</f>
        <v>843</v>
      </c>
      <c r="AM283" s="71" t="str">
        <f>VLOOKUP(A283,Classification!A:B,2,FALSE)</f>
        <v>A</v>
      </c>
      <c r="AN283" s="71" t="b">
        <f t="shared" si="133"/>
        <v>1</v>
      </c>
      <c r="AO283" s="3" t="str">
        <f t="shared" si="134"/>
        <v>-</v>
      </c>
      <c r="AP283" s="3" t="str">
        <f t="shared" si="135"/>
        <v>-</v>
      </c>
      <c r="AQ283" s="3" t="str">
        <f t="shared" si="136"/>
        <v>-</v>
      </c>
      <c r="AR283" s="3" t="str">
        <f t="shared" si="137"/>
        <v>-</v>
      </c>
      <c r="AS283" s="3">
        <f t="shared" si="138"/>
        <v>1</v>
      </c>
      <c r="AT283" s="3">
        <f t="shared" si="139"/>
        <v>2</v>
      </c>
      <c r="AU283" s="3">
        <f t="shared" si="140"/>
        <v>11</v>
      </c>
      <c r="AV283" s="3">
        <f t="shared" si="141"/>
        <v>9</v>
      </c>
      <c r="AW283" s="3">
        <f t="shared" si="142"/>
        <v>6</v>
      </c>
      <c r="AX283" s="3">
        <f t="shared" si="143"/>
        <v>6</v>
      </c>
      <c r="AY283" s="3">
        <f t="shared" si="144"/>
        <v>1</v>
      </c>
      <c r="AZ283" s="3">
        <f>IF(ISERROR(LEN(VLOOKUP(A283,Seqs!A:E,2,FALSE))-AL283),"-",LEN(VLOOKUP(A283,Seqs!A:E,2,FALSE))-AL283)</f>
        <v>124</v>
      </c>
      <c r="BA283" s="35">
        <f t="shared" si="145"/>
        <v>29</v>
      </c>
      <c r="BB283" s="3">
        <f t="shared" si="146"/>
        <v>20</v>
      </c>
      <c r="BC283" s="3">
        <f t="shared" si="147"/>
        <v>29</v>
      </c>
      <c r="BD283" s="3">
        <f t="shared" si="148"/>
        <v>45</v>
      </c>
    </row>
    <row r="284" spans="1:57" s="3" customFormat="1" x14ac:dyDescent="0.2">
      <c r="A284" s="3" t="s">
        <v>534</v>
      </c>
      <c r="B284" s="3" t="str">
        <f>LOWER(VLOOKUP(A284,Xtal_Templ!A:B,2,FALSE))</f>
        <v>opsd_human</v>
      </c>
      <c r="C284" s="3">
        <f>VLOOKUP($A284,'NonXtal_SegEnds_BW#'!$A:$Z,3,FALSE)+D284-50</f>
        <v>50</v>
      </c>
      <c r="D284" s="3">
        <v>71</v>
      </c>
      <c r="E284" s="3">
        <f>IF(ISERROR(VLOOKUP($A284,'NonXtal_SegEnds_BW#'!$A:$Z,4,FALSE)+VLOOKUP($A284,A:AL,4,FALSE)-50),"-",(VLOOKUP($A284,'NonXtal_SegEnds_BW#'!$A:$Z,4,FALSE)+VLOOKUP($A284,A:AL,4,FALSE)-50))</f>
        <v>81</v>
      </c>
      <c r="F284" s="3">
        <f t="shared" ref="F284:F290" si="159">G284-2</f>
        <v>82</v>
      </c>
      <c r="G284" s="3">
        <v>84</v>
      </c>
      <c r="H284" s="3">
        <f t="shared" ref="H284:I290" si="160">G284+1</f>
        <v>85</v>
      </c>
      <c r="I284" s="3">
        <f t="shared" si="160"/>
        <v>86</v>
      </c>
      <c r="J284" s="3">
        <v>99</v>
      </c>
      <c r="K284" s="3">
        <f>VLOOKUP($A284,'NonXtal_SegEnds_BW#'!$A:$Z,8,FALSE)+VLOOKUP($A284,A:AL,10,FALSE)-50</f>
        <v>116</v>
      </c>
      <c r="L284" s="3">
        <f>M284-1</f>
        <v>118</v>
      </c>
      <c r="M284" s="3">
        <v>119</v>
      </c>
      <c r="N284" s="3">
        <f>M284+2</f>
        <v>121</v>
      </c>
      <c r="O284" s="3">
        <f t="shared" ref="O284:O289" si="161">N284+1</f>
        <v>122</v>
      </c>
      <c r="P284" s="3">
        <v>151</v>
      </c>
      <c r="Q284" s="3">
        <f>VLOOKUP($A284,'NonXtal_SegEnds_BW#'!$A:$Z,12,FALSE)+VLOOKUP($A284,A:AL,16,FALSE)-50</f>
        <v>157</v>
      </c>
      <c r="R284" s="3">
        <f>IF(ISERROR(VLOOKUP($A284,'NonXtal_SegEnds_BW#'!$A:$Z,13,FALSE)+VLOOKUP($A284,A:AL,19,FALSE)-50),"-",VLOOKUP($A284,'NonXtal_SegEnds_BW#'!$A:$Z,13,FALSE)+VLOOKUP($A284,A:AL,19,FALSE)-50)</f>
        <v>158</v>
      </c>
      <c r="S284" s="3">
        <v>158</v>
      </c>
      <c r="T284" s="3">
        <f>IF(ISERROR(VLOOKUP($A284,'NonXtal_SegEnds_BW#'!$A:$Z,14,FALSE)+VLOOKUP($A284,A:AL,19,FALSE)-50),"-",(VLOOKUP($A284,'NonXtal_SegEnds_BW#'!$A:$Z,14,FALSE)+VLOOKUP($A284,A:AL,19,FALSE)-50))</f>
        <v>165</v>
      </c>
      <c r="U284" s="3">
        <f>IF(ISERROR(VLOOKUP($A284,'NonXtal_SegEnds_BW#'!$A:$Z,15,FALSE)+VLOOKUP($A284,A:AL,22,FALSE)-50),"-",VLOOKUP($A284,'NonXtal_SegEnds_BW#'!$A:$Z,15,FALSE)+VLOOKUP($A284,A:AL,22,FALSE)-50)</f>
        <v>166</v>
      </c>
      <c r="V284" s="3">
        <v>177</v>
      </c>
      <c r="W284" s="3">
        <f>IF(ISERROR(VLOOKUP($A284,'NonXtal_SegEnds_BW#'!$A:$Z,16,FALSE)+VLOOKUP($A284,A:AL,22,FALSE)-50),"-",(VLOOKUP($A284,'NonXtal_SegEnds_BW#'!$A:$Z,16,FALSE)+VLOOKUP($A284,A:AL,22,FALSE)-50))</f>
        <v>189</v>
      </c>
      <c r="X284" s="3">
        <f>IF(ISERROR(VLOOKUP($A284,'NonXtal_SegEnds_BW#'!$A:$Z,17,FALSE)+VLOOKUP($A284,A:AL,25,FALSE)-50),"-",(VLOOKUP($A284,'NonXtal_SegEnds_BW#'!$A:$Z,17,FALSE)+VLOOKUP($A284,A:AL,25,FALSE)-50))</f>
        <v>203</v>
      </c>
      <c r="Y284" s="3">
        <v>203</v>
      </c>
      <c r="Z284" s="3">
        <f t="shared" si="158"/>
        <v>205</v>
      </c>
      <c r="AA284" s="3">
        <f>IF(ISERROR(VLOOKUP($A284,'NonXtal_SegEnds_BW#'!$A:$Z,19,FALSE)+VLOOKUP($A284,A:AL,28,FALSE)-50),"-",(VLOOKUP($A284,'NonXtal_SegEnds_BW#'!$A:$Z,19,FALSE)+VLOOKUP($A284,A:AL,28,FALSE)-50))</f>
        <v>215</v>
      </c>
      <c r="AB284" s="3">
        <v>231</v>
      </c>
      <c r="AC284" s="3">
        <f>IF(ISERROR((VLOOKUP($A284,'NonXtal_SegEnds_BW#'!$A:$Z,20,FALSE)+VLOOKUP($A284,A:AL,28,FALSE)-50)),"-",(VLOOKUP($A284,'NonXtal_SegEnds_BW#'!$A:$Z,20,FALSE)+VLOOKUP($A284,A:AL,28,FALSE)-50))</f>
        <v>253</v>
      </c>
      <c r="AD284" s="3">
        <f>IF(ISERROR(VLOOKUP($A284,'NonXtal_SegEnds_BW#'!$A:$Z,21,FALSE)+VLOOKUP($A284,A:AL,31,FALSE)-50),"-",(VLOOKUP($A284,'NonXtal_SegEnds_BW#'!$A:$Z,21,FALSE)+VLOOKUP($A284,A:AL,31,FALSE)-50))</f>
        <v>257</v>
      </c>
      <c r="AE284" s="3">
        <v>283</v>
      </c>
      <c r="AF284" s="3">
        <f>IF(ISERROR((VLOOKUP($A284,'NonXtal_SegEnds_BW#'!$A:$Z,22,FALSE)+VLOOKUP($A284,A:AL,31,FALSE)-50)),"-",(VLOOKUP($A284,'NonXtal_SegEnds_BW#'!$A:$Z,22,FALSE)+VLOOKUP($A284,A:AL,31,FALSE)-50))</f>
        <v>294</v>
      </c>
      <c r="AG284" s="3">
        <f>IF(ISERROR(VLOOKUP($A284,'NonXtal_SegEnds_BW#'!$A:$Z,23,FALSE)+VLOOKUP($A284,A:AL,34,FALSE)-50),"-",(VLOOKUP($A284,'NonXtal_SegEnds_BW#'!$A:$Z,23,FALSE)+VLOOKUP($A284,A:AL,34,FALSE)-50))</f>
        <v>300</v>
      </c>
      <c r="AH284" s="3">
        <v>319</v>
      </c>
      <c r="AI284" s="3">
        <f>IF(ISERROR((VLOOKUP($A284,'NonXtal_SegEnds_BW#'!$A:$Z,24,FALSE)+VLOOKUP($A284,A:AL,34,FALSE)-50)),"-",(VLOOKUP($A284,'NonXtal_SegEnds_BW#'!$A:$Z,24,FALSE)+VLOOKUP($A284,A:AL,34,FALSE)-50))</f>
        <v>325</v>
      </c>
      <c r="AJ284" s="3">
        <f>IF(ISERROR(VLOOKUP($A284,'NonXtal_SegEnds_BW#'!$A:$Z,25,FALSE)+VLOOKUP($A284,A:AL,37,FALSE)-50),"-",(VLOOKUP($A284,'NonXtal_SegEnds_BW#'!$A:$Z,25,FALSE)+VLOOKUP($A284,A:AL,37,FALSE)-50))</f>
        <v>326</v>
      </c>
      <c r="AK284" s="3">
        <v>329</v>
      </c>
      <c r="AL284" s="3">
        <f>IF(ISERROR((VLOOKUP($A284,'NonXtal_SegEnds_BW#'!$A:$Z,26,FALSE)+VLOOKUP($A284,A:AL,37,FALSE)-50)),"-",(VLOOKUP($A284,'NonXtal_SegEnds_BW#'!$A:$Z,26,FALSE)+VLOOKUP($A284,A:AL,37,FALSE)-50))</f>
        <v>338</v>
      </c>
      <c r="AM284" s="71" t="str">
        <f>VLOOKUP(A284,Classification!A:B,2,FALSE)</f>
        <v>A</v>
      </c>
      <c r="AN284" s="71" t="b">
        <f t="shared" si="133"/>
        <v>1</v>
      </c>
      <c r="AO284" s="3">
        <f t="shared" si="134"/>
        <v>1</v>
      </c>
      <c r="AP284" s="3">
        <f t="shared" si="135"/>
        <v>1</v>
      </c>
      <c r="AQ284" s="3">
        <f t="shared" si="136"/>
        <v>2</v>
      </c>
      <c r="AR284" s="3">
        <f t="shared" si="137"/>
        <v>1</v>
      </c>
      <c r="AS284" s="3">
        <f t="shared" si="138"/>
        <v>1</v>
      </c>
      <c r="AT284" s="3">
        <f t="shared" si="139"/>
        <v>1</v>
      </c>
      <c r="AU284" s="3">
        <f t="shared" si="140"/>
        <v>14</v>
      </c>
      <c r="AV284" s="3">
        <f t="shared" si="141"/>
        <v>10</v>
      </c>
      <c r="AW284" s="3">
        <f t="shared" si="142"/>
        <v>4</v>
      </c>
      <c r="AX284" s="3">
        <f t="shared" si="143"/>
        <v>6</v>
      </c>
      <c r="AY284" s="3">
        <f t="shared" si="144"/>
        <v>1</v>
      </c>
      <c r="AZ284" s="3">
        <f>IF(ISERROR(LEN(VLOOKUP(A284,Seqs!A:E,2,FALSE))-AL284),"-",LEN(VLOOKUP(A284,Seqs!A:E,2,FALSE))-AL284)</f>
        <v>26</v>
      </c>
      <c r="BA284" s="35">
        <f t="shared" si="145"/>
        <v>28</v>
      </c>
      <c r="BB284" s="3">
        <f t="shared" si="146"/>
        <v>19</v>
      </c>
      <c r="BC284" s="3">
        <f t="shared" si="147"/>
        <v>28</v>
      </c>
      <c r="BD284" s="3">
        <f t="shared" si="148"/>
        <v>52</v>
      </c>
      <c r="BE284" s="3">
        <f>AH284-AE284</f>
        <v>36</v>
      </c>
    </row>
    <row r="285" spans="1:57" s="3" customFormat="1" x14ac:dyDescent="0.2">
      <c r="A285" s="3" t="s">
        <v>535</v>
      </c>
      <c r="B285" s="3" t="str">
        <f>LOWER(VLOOKUP(A285,Xtal_Templ!A:B,2,FALSE))</f>
        <v>opsd_human</v>
      </c>
      <c r="C285" s="3">
        <f>VLOOKUP($A285,'NonXtal_SegEnds_BW#'!$A:$Z,3,FALSE)+D285-50</f>
        <v>50</v>
      </c>
      <c r="D285" s="3">
        <v>71</v>
      </c>
      <c r="E285" s="3">
        <f>IF(ISERROR(VLOOKUP($A285,'NonXtal_SegEnds_BW#'!$A:$Z,4,FALSE)+VLOOKUP($A285,A:AL,4,FALSE)-50),"-",(VLOOKUP($A285,'NonXtal_SegEnds_BW#'!$A:$Z,4,FALSE)+VLOOKUP($A285,A:AL,4,FALSE)-50))</f>
        <v>81</v>
      </c>
      <c r="F285" s="3">
        <f t="shared" si="159"/>
        <v>82</v>
      </c>
      <c r="G285" s="3">
        <v>84</v>
      </c>
      <c r="H285" s="3">
        <f t="shared" si="160"/>
        <v>85</v>
      </c>
      <c r="I285" s="3">
        <f t="shared" si="160"/>
        <v>86</v>
      </c>
      <c r="J285" s="3">
        <v>99</v>
      </c>
      <c r="K285" s="3">
        <f>VLOOKUP($A285,'NonXtal_SegEnds_BW#'!$A:$Z,8,FALSE)+VLOOKUP($A285,A:AL,10,FALSE)-50</f>
        <v>116</v>
      </c>
      <c r="L285" s="3">
        <f>M285-1</f>
        <v>117</v>
      </c>
      <c r="M285" s="3">
        <v>118</v>
      </c>
      <c r="N285" s="3">
        <f>M285+2</f>
        <v>120</v>
      </c>
      <c r="O285" s="3">
        <f t="shared" si="161"/>
        <v>121</v>
      </c>
      <c r="P285" s="3">
        <v>151</v>
      </c>
      <c r="Q285" s="3">
        <f>VLOOKUP($A285,'NonXtal_SegEnds_BW#'!$A:$Z,12,FALSE)+VLOOKUP($A285,A:AL,16,FALSE)-50</f>
        <v>157</v>
      </c>
      <c r="R285" s="3">
        <f>IF(ISERROR(VLOOKUP($A285,'NonXtal_SegEnds_BW#'!$A:$Z,13,FALSE)+VLOOKUP($A285,A:AL,19,FALSE)-50),"-",VLOOKUP($A285,'NonXtal_SegEnds_BW#'!$A:$Z,13,FALSE)+VLOOKUP($A285,A:AL,19,FALSE)-50)</f>
        <v>158</v>
      </c>
      <c r="S285" s="3">
        <v>158</v>
      </c>
      <c r="T285" s="3">
        <f>IF(ISERROR(VLOOKUP($A285,'NonXtal_SegEnds_BW#'!$A:$Z,14,FALSE)+VLOOKUP($A285,A:AL,19,FALSE)-50),"-",(VLOOKUP($A285,'NonXtal_SegEnds_BW#'!$A:$Z,14,FALSE)+VLOOKUP($A285,A:AL,19,FALSE)-50))</f>
        <v>165</v>
      </c>
      <c r="U285" s="3">
        <f>IF(ISERROR(VLOOKUP($A285,'NonXtal_SegEnds_BW#'!$A:$Z,15,FALSE)+VLOOKUP($A285,A:AL,22,FALSE)-50),"-",VLOOKUP($A285,'NonXtal_SegEnds_BW#'!$A:$Z,15,FALSE)+VLOOKUP($A285,A:AL,22,FALSE)-50)</f>
        <v>166</v>
      </c>
      <c r="V285" s="3">
        <v>177</v>
      </c>
      <c r="W285" s="3">
        <f>IF(ISERROR(VLOOKUP($A285,'NonXtal_SegEnds_BW#'!$A:$Z,16,FALSE)+VLOOKUP($A285,A:AL,22,FALSE)-50),"-",(VLOOKUP($A285,'NonXtal_SegEnds_BW#'!$A:$Z,16,FALSE)+VLOOKUP($A285,A:AL,22,FALSE)-50))</f>
        <v>189</v>
      </c>
      <c r="X285" s="3">
        <f>IF(ISERROR(VLOOKUP($A285,'NonXtal_SegEnds_BW#'!$A:$Z,17,FALSE)+VLOOKUP($A285,A:AL,25,FALSE)-50),"-",(VLOOKUP($A285,'NonXtal_SegEnds_BW#'!$A:$Z,17,FALSE)+VLOOKUP($A285,A:AL,25,FALSE)-50))</f>
        <v>203</v>
      </c>
      <c r="Y285" s="3">
        <v>203</v>
      </c>
      <c r="Z285" s="3">
        <f t="shared" si="158"/>
        <v>205</v>
      </c>
      <c r="AA285" s="3">
        <f>IF(ISERROR(VLOOKUP($A285,'NonXtal_SegEnds_BW#'!$A:$Z,19,FALSE)+VLOOKUP($A285,A:AL,28,FALSE)-50),"-",(VLOOKUP($A285,'NonXtal_SegEnds_BW#'!$A:$Z,19,FALSE)+VLOOKUP($A285,A:AL,28,FALSE)-50))</f>
        <v>215</v>
      </c>
      <c r="AB285" s="3">
        <v>231</v>
      </c>
      <c r="AC285" s="3">
        <f>IF(ISERROR((VLOOKUP($A285,'NonXtal_SegEnds_BW#'!$A:$Z,20,FALSE)+VLOOKUP($A285,A:AL,28,FALSE)-50)),"-",(VLOOKUP($A285,'NonXtal_SegEnds_BW#'!$A:$Z,20,FALSE)+VLOOKUP($A285,A:AL,28,FALSE)-50))</f>
        <v>253</v>
      </c>
      <c r="AD285" s="3">
        <f>IF(ISERROR(VLOOKUP($A285,'NonXtal_SegEnds_BW#'!$A:$Z,21,FALSE)+VLOOKUP($A285,A:AL,31,FALSE)-50),"-",(VLOOKUP($A285,'NonXtal_SegEnds_BW#'!$A:$Z,21,FALSE)+VLOOKUP($A285,A:AL,31,FALSE)-50))</f>
        <v>257</v>
      </c>
      <c r="AE285" s="3">
        <v>283</v>
      </c>
      <c r="AF285" s="3">
        <f>IF(ISERROR((VLOOKUP($A285,'NonXtal_SegEnds_BW#'!$A:$Z,22,FALSE)+VLOOKUP($A285,A:AL,31,FALSE)-50)),"-",(VLOOKUP($A285,'NonXtal_SegEnds_BW#'!$A:$Z,22,FALSE)+VLOOKUP($A285,A:AL,31,FALSE)-50))</f>
        <v>294</v>
      </c>
      <c r="AG285" s="3">
        <f>IF(ISERROR(VLOOKUP($A285,'NonXtal_SegEnds_BW#'!$A:$Z,23,FALSE)+VLOOKUP($A285,A:AL,34,FALSE)-50),"-",(VLOOKUP($A285,'NonXtal_SegEnds_BW#'!$A:$Z,23,FALSE)+VLOOKUP($A285,A:AL,34,FALSE)-50))</f>
        <v>300</v>
      </c>
      <c r="AH285" s="3">
        <v>319</v>
      </c>
      <c r="AI285" s="3">
        <f>IF(ISERROR((VLOOKUP($A285,'NonXtal_SegEnds_BW#'!$A:$Z,24,FALSE)+VLOOKUP($A285,A:AL,34,FALSE)-50)),"-",(VLOOKUP($A285,'NonXtal_SegEnds_BW#'!$A:$Z,24,FALSE)+VLOOKUP($A285,A:AL,34,FALSE)-50))</f>
        <v>325</v>
      </c>
      <c r="AJ285" s="3">
        <f>IF(ISERROR(VLOOKUP($A285,'NonXtal_SegEnds_BW#'!$A:$Z,25,FALSE)+VLOOKUP($A285,A:AL,37,FALSE)-50),"-",(VLOOKUP($A285,'NonXtal_SegEnds_BW#'!$A:$Z,25,FALSE)+VLOOKUP($A285,A:AL,37,FALSE)-50))</f>
        <v>326</v>
      </c>
      <c r="AK285" s="3">
        <v>329</v>
      </c>
      <c r="AL285" s="3">
        <f>IF(ISERROR((VLOOKUP($A285,'NonXtal_SegEnds_BW#'!$A:$Z,26,FALSE)+VLOOKUP($A285,A:AL,37,FALSE)-50)),"-",(VLOOKUP($A285,'NonXtal_SegEnds_BW#'!$A:$Z,26,FALSE)+VLOOKUP($A285,A:AL,37,FALSE)-50))</f>
        <v>338</v>
      </c>
      <c r="AM285" s="71" t="str">
        <f>VLOOKUP(A285,Classification!A:B,2,FALSE)</f>
        <v>A</v>
      </c>
      <c r="AN285" s="71" t="b">
        <f t="shared" si="133"/>
        <v>1</v>
      </c>
      <c r="AO285" s="3">
        <f t="shared" si="134"/>
        <v>1</v>
      </c>
      <c r="AP285" s="3">
        <f t="shared" si="135"/>
        <v>1</v>
      </c>
      <c r="AQ285" s="3">
        <f t="shared" si="136"/>
        <v>1</v>
      </c>
      <c r="AR285" s="3">
        <f t="shared" si="137"/>
        <v>1</v>
      </c>
      <c r="AS285" s="3">
        <f t="shared" si="138"/>
        <v>1</v>
      </c>
      <c r="AT285" s="3">
        <f t="shared" si="139"/>
        <v>1</v>
      </c>
      <c r="AU285" s="3">
        <f t="shared" si="140"/>
        <v>14</v>
      </c>
      <c r="AV285" s="3">
        <f t="shared" si="141"/>
        <v>10</v>
      </c>
      <c r="AW285" s="3">
        <f t="shared" si="142"/>
        <v>4</v>
      </c>
      <c r="AX285" s="3">
        <f t="shared" si="143"/>
        <v>6</v>
      </c>
      <c r="AY285" s="3">
        <f t="shared" si="144"/>
        <v>1</v>
      </c>
      <c r="AZ285" s="3">
        <f>IF(ISERROR(LEN(VLOOKUP(A285,Seqs!A:E,2,FALSE))-AL285),"-",LEN(VLOOKUP(A285,Seqs!A:E,2,FALSE))-AL285)</f>
        <v>26</v>
      </c>
      <c r="BA285" s="35">
        <f t="shared" si="145"/>
        <v>28</v>
      </c>
      <c r="BB285" s="3">
        <f t="shared" si="146"/>
        <v>19</v>
      </c>
      <c r="BC285" s="3">
        <f t="shared" si="147"/>
        <v>28</v>
      </c>
      <c r="BD285" s="3">
        <f t="shared" si="148"/>
        <v>52</v>
      </c>
      <c r="BE285" s="3">
        <f>AH285-AE285</f>
        <v>36</v>
      </c>
    </row>
    <row r="286" spans="1:57" s="3" customFormat="1" x14ac:dyDescent="0.2">
      <c r="A286" s="3" t="s">
        <v>533</v>
      </c>
      <c r="B286" s="3" t="str">
        <f>LOWER(VLOOKUP(A286,Xtal_Templ!A:B,2,FALSE))</f>
        <v>opsd_human</v>
      </c>
      <c r="C286" s="3">
        <f>VLOOKUP($A286,'NonXtal_SegEnds_BW#'!$A:$Z,3,FALSE)+D286-50</f>
        <v>34</v>
      </c>
      <c r="D286" s="3">
        <v>55</v>
      </c>
      <c r="E286" s="3">
        <f>IF(ISERROR(VLOOKUP($A286,'NonXtal_SegEnds_BW#'!$A:$Z,4,FALSE)+VLOOKUP($A286,A:AL,4,FALSE)-50),"-",(VLOOKUP($A286,'NonXtal_SegEnds_BW#'!$A:$Z,4,FALSE)+VLOOKUP($A286,A:AL,4,FALSE)-50))</f>
        <v>65</v>
      </c>
      <c r="F286" s="3">
        <f t="shared" si="159"/>
        <v>66</v>
      </c>
      <c r="G286" s="3">
        <v>68</v>
      </c>
      <c r="H286" s="3">
        <f t="shared" si="160"/>
        <v>69</v>
      </c>
      <c r="I286" s="3">
        <f t="shared" si="160"/>
        <v>70</v>
      </c>
      <c r="J286" s="3">
        <v>83</v>
      </c>
      <c r="K286" s="3">
        <f>VLOOKUP($A286,'NonXtal_SegEnds_BW#'!$A:$Z,8,FALSE)+VLOOKUP($A286,A:AL,10,FALSE)-50</f>
        <v>100</v>
      </c>
      <c r="L286" s="3">
        <f>M286-1</f>
        <v>102</v>
      </c>
      <c r="M286" s="3">
        <v>103</v>
      </c>
      <c r="N286" s="3">
        <f>M286+2</f>
        <v>105</v>
      </c>
      <c r="O286" s="3">
        <f t="shared" si="161"/>
        <v>106</v>
      </c>
      <c r="P286" s="3">
        <v>135</v>
      </c>
      <c r="Q286" s="3">
        <f>VLOOKUP($A286,'NonXtal_SegEnds_BW#'!$A:$Z,12,FALSE)+VLOOKUP($A286,A:AL,16,FALSE)-50</f>
        <v>141</v>
      </c>
      <c r="R286" s="3">
        <f>IF(ISERROR(VLOOKUP($A286,'NonXtal_SegEnds_BW#'!$A:$Z,13,FALSE)+VLOOKUP($A286,A:AL,19,FALSE)-50),"-",VLOOKUP($A286,'NonXtal_SegEnds_BW#'!$A:$Z,13,FALSE)+VLOOKUP($A286,A:AL,19,FALSE)-50)</f>
        <v>142</v>
      </c>
      <c r="S286" s="3">
        <v>142</v>
      </c>
      <c r="T286" s="3">
        <f>IF(ISERROR(VLOOKUP($A286,'NonXtal_SegEnds_BW#'!$A:$Z,14,FALSE)+VLOOKUP($A286,A:AL,19,FALSE)-50),"-",(VLOOKUP($A286,'NonXtal_SegEnds_BW#'!$A:$Z,14,FALSE)+VLOOKUP($A286,A:AL,19,FALSE)-50))</f>
        <v>149</v>
      </c>
      <c r="U286" s="3">
        <f>IF(ISERROR(VLOOKUP($A286,'NonXtal_SegEnds_BW#'!$A:$Z,15,FALSE)+VLOOKUP($A286,A:AL,22,FALSE)-50),"-",VLOOKUP($A286,'NonXtal_SegEnds_BW#'!$A:$Z,15,FALSE)+VLOOKUP($A286,A:AL,22,FALSE)-50)</f>
        <v>150</v>
      </c>
      <c r="V286" s="3">
        <v>161</v>
      </c>
      <c r="W286" s="3">
        <f>IF(ISERROR(VLOOKUP($A286,'NonXtal_SegEnds_BW#'!$A:$Z,16,FALSE)+VLOOKUP($A286,A:AL,22,FALSE)-50),"-",(VLOOKUP($A286,'NonXtal_SegEnds_BW#'!$A:$Z,16,FALSE)+VLOOKUP($A286,A:AL,22,FALSE)-50))</f>
        <v>173</v>
      </c>
      <c r="X286" s="3">
        <f>IF(ISERROR(VLOOKUP($A286,'NonXtal_SegEnds_BW#'!$A:$Z,17,FALSE)+VLOOKUP($A286,A:AL,25,FALSE)-50),"-",(VLOOKUP($A286,'NonXtal_SegEnds_BW#'!$A:$Z,17,FALSE)+VLOOKUP($A286,A:AL,25,FALSE)-50))</f>
        <v>187</v>
      </c>
      <c r="Y286" s="3">
        <v>187</v>
      </c>
      <c r="Z286" s="3">
        <f t="shared" si="158"/>
        <v>189</v>
      </c>
      <c r="AA286" s="3">
        <f>IF(ISERROR(VLOOKUP($A286,'NonXtal_SegEnds_BW#'!$A:$Z,19,FALSE)+VLOOKUP($A286,A:AL,28,FALSE)-50),"-",(VLOOKUP($A286,'NonXtal_SegEnds_BW#'!$A:$Z,19,FALSE)+VLOOKUP($A286,A:AL,28,FALSE)-50))</f>
        <v>199</v>
      </c>
      <c r="AB286" s="3">
        <v>215</v>
      </c>
      <c r="AC286" s="3">
        <f>IF(ISERROR((VLOOKUP($A286,'NonXtal_SegEnds_BW#'!$A:$Z,20,FALSE)+VLOOKUP($A286,A:AL,28,FALSE)-50)),"-",(VLOOKUP($A286,'NonXtal_SegEnds_BW#'!$A:$Z,20,FALSE)+VLOOKUP($A286,A:AL,28,FALSE)-50))</f>
        <v>237</v>
      </c>
      <c r="AD286" s="3">
        <f>IF(ISERROR(VLOOKUP($A286,'NonXtal_SegEnds_BW#'!$A:$Z,21,FALSE)+VLOOKUP($A286,A:AL,31,FALSE)-50),"-",(VLOOKUP($A286,'NonXtal_SegEnds_BW#'!$A:$Z,21,FALSE)+VLOOKUP($A286,A:AL,31,FALSE)-50))</f>
        <v>241</v>
      </c>
      <c r="AE286" s="3">
        <v>267</v>
      </c>
      <c r="AF286" s="3">
        <f>IF(ISERROR((VLOOKUP($A286,'NonXtal_SegEnds_BW#'!$A:$Z,22,FALSE)+VLOOKUP($A286,A:AL,31,FALSE)-50)),"-",(VLOOKUP($A286,'NonXtal_SegEnds_BW#'!$A:$Z,22,FALSE)+VLOOKUP($A286,A:AL,31,FALSE)-50))</f>
        <v>278</v>
      </c>
      <c r="AG286" s="3">
        <f>IF(ISERROR(VLOOKUP($A286,'NonXtal_SegEnds_BW#'!$A:$Z,23,FALSE)+VLOOKUP($A286,A:AL,34,FALSE)-50),"-",(VLOOKUP($A286,'NonXtal_SegEnds_BW#'!$A:$Z,23,FALSE)+VLOOKUP($A286,A:AL,34,FALSE)-50))</f>
        <v>284</v>
      </c>
      <c r="AH286" s="3">
        <v>303</v>
      </c>
      <c r="AI286" s="3">
        <f>IF(ISERROR((VLOOKUP($A286,'NonXtal_SegEnds_BW#'!$A:$Z,24,FALSE)+VLOOKUP($A286,A:AL,34,FALSE)-50)),"-",(VLOOKUP($A286,'NonXtal_SegEnds_BW#'!$A:$Z,24,FALSE)+VLOOKUP($A286,A:AL,34,FALSE)-50))</f>
        <v>309</v>
      </c>
      <c r="AJ286" s="3">
        <f>IF(ISERROR(VLOOKUP($A286,'NonXtal_SegEnds_BW#'!$A:$Z,25,FALSE)+VLOOKUP($A286,A:AL,37,FALSE)-50),"-",(VLOOKUP($A286,'NonXtal_SegEnds_BW#'!$A:$Z,25,FALSE)+VLOOKUP($A286,A:AL,37,FALSE)-50))</f>
        <v>310</v>
      </c>
      <c r="AK286" s="3">
        <v>313</v>
      </c>
      <c r="AL286" s="3">
        <f>IF(ISERROR((VLOOKUP($A286,'NonXtal_SegEnds_BW#'!$A:$Z,26,FALSE)+VLOOKUP($A286,A:AL,37,FALSE)-50)),"-",(VLOOKUP($A286,'NonXtal_SegEnds_BW#'!$A:$Z,26,FALSE)+VLOOKUP($A286,A:AL,37,FALSE)-50))</f>
        <v>322</v>
      </c>
      <c r="AM286" s="71" t="str">
        <f>VLOOKUP(A286,Classification!A:B,2,FALSE)</f>
        <v>A</v>
      </c>
      <c r="AN286" s="71" t="b">
        <f t="shared" si="133"/>
        <v>1</v>
      </c>
      <c r="AO286" s="3">
        <f t="shared" si="134"/>
        <v>1</v>
      </c>
      <c r="AP286" s="3">
        <f t="shared" si="135"/>
        <v>1</v>
      </c>
      <c r="AQ286" s="3">
        <f t="shared" si="136"/>
        <v>2</v>
      </c>
      <c r="AR286" s="3">
        <f t="shared" si="137"/>
        <v>1</v>
      </c>
      <c r="AS286" s="3">
        <f t="shared" si="138"/>
        <v>1</v>
      </c>
      <c r="AT286" s="3">
        <f t="shared" si="139"/>
        <v>1</v>
      </c>
      <c r="AU286" s="3">
        <f t="shared" si="140"/>
        <v>14</v>
      </c>
      <c r="AV286" s="3">
        <f t="shared" si="141"/>
        <v>10</v>
      </c>
      <c r="AW286" s="3">
        <f t="shared" si="142"/>
        <v>4</v>
      </c>
      <c r="AX286" s="3">
        <f t="shared" si="143"/>
        <v>6</v>
      </c>
      <c r="AY286" s="3">
        <f t="shared" si="144"/>
        <v>1</v>
      </c>
      <c r="AZ286" s="3">
        <f>IF(ISERROR(LEN(VLOOKUP(A286,Seqs!A:E,2,FALSE))-AL286),"-",LEN(VLOOKUP(A286,Seqs!A:E,2,FALSE))-AL286)</f>
        <v>26</v>
      </c>
      <c r="BA286" s="35">
        <f t="shared" si="145"/>
        <v>28</v>
      </c>
      <c r="BB286" s="3">
        <f t="shared" si="146"/>
        <v>19</v>
      </c>
      <c r="BC286" s="3">
        <f t="shared" si="147"/>
        <v>28</v>
      </c>
      <c r="BD286" s="3">
        <f t="shared" si="148"/>
        <v>52</v>
      </c>
      <c r="BE286" s="3">
        <f>AH286-AE286</f>
        <v>36</v>
      </c>
    </row>
    <row r="287" spans="1:57" s="3" customFormat="1" x14ac:dyDescent="0.2">
      <c r="A287" s="3" t="s">
        <v>532</v>
      </c>
      <c r="B287" s="3" t="str">
        <f>LOWER(VLOOKUP(A287,Xtal_Templ!A:B,2,FALSE))</f>
        <v>opsd_human</v>
      </c>
      <c r="C287" s="3">
        <f>VLOOKUP($A287,'NonXtal_SegEnds_BW#'!$A:$Z,3,FALSE)+D287-50</f>
        <v>31</v>
      </c>
      <c r="D287" s="3">
        <v>52</v>
      </c>
      <c r="E287" s="3">
        <f>IF(ISERROR(VLOOKUP($A287,'NonXtal_SegEnds_BW#'!$A:$Z,4,FALSE)+VLOOKUP($A287,A:AL,4,FALSE)-50),"-",(VLOOKUP($A287,'NonXtal_SegEnds_BW#'!$A:$Z,4,FALSE)+VLOOKUP($A287,A:AL,4,FALSE)-50))</f>
        <v>62</v>
      </c>
      <c r="F287" s="3">
        <f t="shared" si="159"/>
        <v>63</v>
      </c>
      <c r="G287" s="3">
        <v>65</v>
      </c>
      <c r="H287" s="3">
        <f t="shared" si="160"/>
        <v>66</v>
      </c>
      <c r="I287" s="3">
        <f t="shared" si="160"/>
        <v>67</v>
      </c>
      <c r="J287" s="3">
        <v>80</v>
      </c>
      <c r="K287" s="3">
        <f>VLOOKUP($A287,'NonXtal_SegEnds_BW#'!$A:$Z,8,FALSE)+VLOOKUP($A287,A:AL,10,FALSE)-50</f>
        <v>97</v>
      </c>
      <c r="L287" s="3">
        <f>M287-1</f>
        <v>99</v>
      </c>
      <c r="M287" s="3">
        <v>100</v>
      </c>
      <c r="N287" s="3">
        <f>M287+2</f>
        <v>102</v>
      </c>
      <c r="O287" s="3">
        <f t="shared" si="161"/>
        <v>103</v>
      </c>
      <c r="P287" s="3">
        <v>132</v>
      </c>
      <c r="Q287" s="3">
        <f>VLOOKUP($A287,'NonXtal_SegEnds_BW#'!$A:$Z,12,FALSE)+VLOOKUP($A287,A:AL,16,FALSE)-50</f>
        <v>138</v>
      </c>
      <c r="R287" s="3">
        <f>IF(ISERROR(VLOOKUP($A287,'NonXtal_SegEnds_BW#'!$A:$Z,13,FALSE)+VLOOKUP($A287,A:AL,19,FALSE)-50),"-",VLOOKUP($A287,'NonXtal_SegEnds_BW#'!$A:$Z,13,FALSE)+VLOOKUP($A287,A:AL,19,FALSE)-50)</f>
        <v>139</v>
      </c>
      <c r="S287" s="3">
        <v>139</v>
      </c>
      <c r="T287" s="3">
        <f>IF(ISERROR(VLOOKUP($A287,'NonXtal_SegEnds_BW#'!$A:$Z,14,FALSE)+VLOOKUP($A287,A:AL,19,FALSE)-50),"-",(VLOOKUP($A287,'NonXtal_SegEnds_BW#'!$A:$Z,14,FALSE)+VLOOKUP($A287,A:AL,19,FALSE)-50))</f>
        <v>146</v>
      </c>
      <c r="U287" s="3">
        <f>IF(ISERROR(VLOOKUP($A287,'NonXtal_SegEnds_BW#'!$A:$Z,15,FALSE)+VLOOKUP($A287,A:AL,22,FALSE)-50),"-",VLOOKUP($A287,'NonXtal_SegEnds_BW#'!$A:$Z,15,FALSE)+VLOOKUP($A287,A:AL,22,FALSE)-50)</f>
        <v>147</v>
      </c>
      <c r="V287" s="3">
        <v>158</v>
      </c>
      <c r="W287" s="3">
        <f>IF(ISERROR(VLOOKUP($A287,'NonXtal_SegEnds_BW#'!$A:$Z,16,FALSE)+VLOOKUP($A287,A:AL,22,FALSE)-50),"-",(VLOOKUP($A287,'NonXtal_SegEnds_BW#'!$A:$Z,16,FALSE)+VLOOKUP($A287,A:AL,22,FALSE)-50))</f>
        <v>170</v>
      </c>
      <c r="X287" s="3">
        <f>IF(ISERROR(VLOOKUP($A287,'NonXtal_SegEnds_BW#'!$A:$Z,17,FALSE)+VLOOKUP($A287,A:AL,25,FALSE)-50),"-",(VLOOKUP($A287,'NonXtal_SegEnds_BW#'!$A:$Z,17,FALSE)+VLOOKUP($A287,A:AL,25,FALSE)-50))</f>
        <v>184</v>
      </c>
      <c r="Y287" s="3">
        <v>184</v>
      </c>
      <c r="Z287" s="3">
        <f t="shared" si="158"/>
        <v>186</v>
      </c>
      <c r="AA287" s="3">
        <f>IF(ISERROR(VLOOKUP($A287,'NonXtal_SegEnds_BW#'!$A:$Z,19,FALSE)+VLOOKUP($A287,A:AL,28,FALSE)-50),"-",(VLOOKUP($A287,'NonXtal_SegEnds_BW#'!$A:$Z,19,FALSE)+VLOOKUP($A287,A:AL,28,FALSE)-50))</f>
        <v>196</v>
      </c>
      <c r="AB287" s="3">
        <v>212</v>
      </c>
      <c r="AC287" s="3">
        <f>IF(ISERROR((VLOOKUP($A287,'NonXtal_SegEnds_BW#'!$A:$Z,20,FALSE)+VLOOKUP($A287,A:AL,28,FALSE)-50)),"-",(VLOOKUP($A287,'NonXtal_SegEnds_BW#'!$A:$Z,20,FALSE)+VLOOKUP($A287,A:AL,28,FALSE)-50))</f>
        <v>234</v>
      </c>
      <c r="AD287" s="3">
        <f>IF(ISERROR(VLOOKUP($A287,'NonXtal_SegEnds_BW#'!$A:$Z,21,FALSE)+VLOOKUP($A287,A:AL,31,FALSE)-50),"-",(VLOOKUP($A287,'NonXtal_SegEnds_BW#'!$A:$Z,21,FALSE)+VLOOKUP($A287,A:AL,31,FALSE)-50))</f>
        <v>238</v>
      </c>
      <c r="AE287" s="3">
        <v>264</v>
      </c>
      <c r="AF287" s="3">
        <f>IF(ISERROR((VLOOKUP($A287,'NonXtal_SegEnds_BW#'!$A:$Z,22,FALSE)+VLOOKUP($A287,A:AL,31,FALSE)-50)),"-",(VLOOKUP($A287,'NonXtal_SegEnds_BW#'!$A:$Z,22,FALSE)+VLOOKUP($A287,A:AL,31,FALSE)-50))</f>
        <v>275</v>
      </c>
      <c r="AG287" s="3">
        <f>IF(ISERROR(VLOOKUP($A287,'NonXtal_SegEnds_BW#'!$A:$Z,23,FALSE)+VLOOKUP($A287,A:AL,34,FALSE)-50),"-",(VLOOKUP($A287,'NonXtal_SegEnds_BW#'!$A:$Z,23,FALSE)+VLOOKUP($A287,A:AL,34,FALSE)-50))</f>
        <v>281</v>
      </c>
      <c r="AH287" s="3">
        <v>300</v>
      </c>
      <c r="AI287" s="3">
        <f>IF(ISERROR((VLOOKUP($A287,'NonXtal_SegEnds_BW#'!$A:$Z,24,FALSE)+VLOOKUP($A287,A:AL,34,FALSE)-50)),"-",(VLOOKUP($A287,'NonXtal_SegEnds_BW#'!$A:$Z,24,FALSE)+VLOOKUP($A287,A:AL,34,FALSE)-50))</f>
        <v>306</v>
      </c>
      <c r="AJ287" s="3">
        <f>IF(ISERROR(VLOOKUP($A287,'NonXtal_SegEnds_BW#'!$A:$Z,25,FALSE)+VLOOKUP($A287,A:AL,37,FALSE)-50),"-",(VLOOKUP($A287,'NonXtal_SegEnds_BW#'!$A:$Z,25,FALSE)+VLOOKUP($A287,A:AL,37,FALSE)-50))</f>
        <v>307</v>
      </c>
      <c r="AK287" s="3">
        <v>310</v>
      </c>
      <c r="AL287" s="3">
        <f>IF(ISERROR((VLOOKUP($A287,'NonXtal_SegEnds_BW#'!$A:$Z,26,FALSE)+VLOOKUP($A287,A:AL,37,FALSE)-50)),"-",(VLOOKUP($A287,'NonXtal_SegEnds_BW#'!$A:$Z,26,FALSE)+VLOOKUP($A287,A:AL,37,FALSE)-50))</f>
        <v>319</v>
      </c>
      <c r="AM287" s="71" t="str">
        <f>VLOOKUP(A287,Classification!A:B,2,FALSE)</f>
        <v>A</v>
      </c>
      <c r="AN287" s="71" t="b">
        <f t="shared" si="133"/>
        <v>1</v>
      </c>
      <c r="AO287" s="3">
        <f t="shared" si="134"/>
        <v>1</v>
      </c>
      <c r="AP287" s="3">
        <f t="shared" si="135"/>
        <v>1</v>
      </c>
      <c r="AQ287" s="3">
        <f t="shared" si="136"/>
        <v>2</v>
      </c>
      <c r="AR287" s="3">
        <f t="shared" si="137"/>
        <v>1</v>
      </c>
      <c r="AS287" s="3">
        <f t="shared" si="138"/>
        <v>1</v>
      </c>
      <c r="AT287" s="3">
        <f t="shared" si="139"/>
        <v>1</v>
      </c>
      <c r="AU287" s="3">
        <f t="shared" si="140"/>
        <v>14</v>
      </c>
      <c r="AV287" s="3">
        <f t="shared" si="141"/>
        <v>10</v>
      </c>
      <c r="AW287" s="3">
        <f t="shared" si="142"/>
        <v>4</v>
      </c>
      <c r="AX287" s="3">
        <f t="shared" si="143"/>
        <v>6</v>
      </c>
      <c r="AY287" s="3">
        <f t="shared" si="144"/>
        <v>1</v>
      </c>
      <c r="AZ287" s="3">
        <f>IF(ISERROR(LEN(VLOOKUP(A287,Seqs!A:E,2,FALSE))-AL287),"-",LEN(VLOOKUP(A287,Seqs!A:E,2,FALSE))-AL287)</f>
        <v>29</v>
      </c>
      <c r="BA287" s="35">
        <f t="shared" si="145"/>
        <v>28</v>
      </c>
      <c r="BB287" s="3">
        <f t="shared" si="146"/>
        <v>19</v>
      </c>
      <c r="BC287" s="3">
        <f t="shared" si="147"/>
        <v>28</v>
      </c>
      <c r="BD287" s="3">
        <f t="shared" si="148"/>
        <v>52</v>
      </c>
      <c r="BE287" s="3">
        <f>AH287-AE287</f>
        <v>36</v>
      </c>
    </row>
    <row r="288" spans="1:57" s="3" customFormat="1" x14ac:dyDescent="0.2">
      <c r="A288" s="3" t="s">
        <v>1118</v>
      </c>
      <c r="B288" s="3" t="str">
        <f>LOWER(VLOOKUP(A288,Xtal_Templ!A:B,2,FALSE))</f>
        <v>opsd_todpa</v>
      </c>
      <c r="C288" s="3">
        <f>VLOOKUP($A288,'NonXtal_SegEnds_BW#'!$A:$Z,3,FALSE)+D288-50</f>
        <v>31</v>
      </c>
      <c r="D288" s="3">
        <v>52</v>
      </c>
      <c r="E288" s="3">
        <f>IF(ISERROR(VLOOKUP($A288,'NonXtal_SegEnds_BW#'!$A:$Z,4,FALSE)+VLOOKUP($A288,A:AL,4,FALSE)-50),"-",(VLOOKUP($A288,'NonXtal_SegEnds_BW#'!$A:$Z,4,FALSE)+VLOOKUP($A288,A:AL,4,FALSE)-50))</f>
        <v>62</v>
      </c>
      <c r="F288" s="3">
        <f t="shared" si="159"/>
        <v>63</v>
      </c>
      <c r="G288" s="3">
        <v>65</v>
      </c>
      <c r="H288" s="3">
        <f t="shared" si="160"/>
        <v>66</v>
      </c>
      <c r="I288" s="3">
        <f t="shared" si="160"/>
        <v>67</v>
      </c>
      <c r="J288" s="3">
        <v>80</v>
      </c>
      <c r="K288" s="3">
        <f>VLOOKUP($A288,'NonXtal_SegEnds_BW#'!$A:$Z,8,FALSE)+VLOOKUP($A288,A:AL,10,FALSE)-50</f>
        <v>99</v>
      </c>
      <c r="L288" s="3">
        <f>IF(ISERROR(VLOOKUP($A288,'NonXtal_SegEnds_BW#'!$A:$Z,9,FALSE)+VLOOKUP($A288,A:AL,13,FALSE)-50),"-",(VLOOKUP($A288,'NonXtal_SegEnds_BW#'!$A:$Z,9,FALSE)+VLOOKUP($A288,A:AL,13,FALSE)-50))</f>
        <v>100</v>
      </c>
      <c r="M288" s="3">
        <v>101</v>
      </c>
      <c r="N288" s="3">
        <f>IF(ISERROR(VLOOKUP($A288,'NonXtal_SegEnds_BW#'!$A:$Z,10,FALSE)+VLOOKUP($A288,A:AL,13,FALSE)-50),"-",(VLOOKUP($A288,'NonXtal_SegEnds_BW#'!$A:$Z,10,FALSE)+VLOOKUP($A288,A:AL,13,FALSE)-50))</f>
        <v>103</v>
      </c>
      <c r="O288" s="3">
        <f t="shared" si="161"/>
        <v>104</v>
      </c>
      <c r="P288" s="3">
        <v>133</v>
      </c>
      <c r="Q288" s="3">
        <f>VLOOKUP($A288,'NonXtal_SegEnds_BW#'!$A:$Z,12,FALSE)+VLOOKUP($A288,A:AL,16,FALSE)-50</f>
        <v>139</v>
      </c>
      <c r="R288" s="3">
        <f>IF(ISERROR(VLOOKUP($A288,'NonXtal_SegEnds_BW#'!$A:$Z,13,FALSE)+VLOOKUP($A288,A:AL,19,FALSE)-50),"-",VLOOKUP($A288,'NonXtal_SegEnds_BW#'!$A:$Z,13,FALSE)+VLOOKUP($A288,A:AL,19,FALSE)-50)</f>
        <v>140</v>
      </c>
      <c r="S288" s="3">
        <v>140</v>
      </c>
      <c r="T288" s="3">
        <f>IF(ISERROR(VLOOKUP($A288,'NonXtal_SegEnds_BW#'!$A:$Z,14,FALSE)+VLOOKUP($A288,A:AL,19,FALSE)-50),"-",(VLOOKUP($A288,'NonXtal_SegEnds_BW#'!$A:$Z,14,FALSE)+VLOOKUP($A288,A:AL,19,FALSE)-50))</f>
        <v>147</v>
      </c>
      <c r="U288" s="3">
        <f>IF(ISERROR(VLOOKUP($A288,'NonXtal_SegEnds_BW#'!$A:$Z,15,FALSE)+VLOOKUP($A288,A:AL,22,FALSE)-50),"-",VLOOKUP($A288,'NonXtal_SegEnds_BW#'!$A:$Z,15,FALSE)+VLOOKUP($A288,A:AL,22,FALSE)-50)</f>
        <v>149</v>
      </c>
      <c r="V288" s="3">
        <v>160</v>
      </c>
      <c r="W288" s="3">
        <f>IF(ISERROR(VLOOKUP($A288,'NonXtal_SegEnds_BW#'!$A:$Z,16,FALSE)+VLOOKUP($A288,A:AL,22,FALSE)-50),"-",(VLOOKUP($A288,'NonXtal_SegEnds_BW#'!$A:$Z,16,FALSE)+VLOOKUP($A288,A:AL,22,FALSE)-50))</f>
        <v>172</v>
      </c>
      <c r="X288" s="3">
        <f>IF(ISERROR(VLOOKUP($A288,'NonXtal_SegEnds_BW#'!$A:$Z,17,FALSE)+VLOOKUP($A288,A:AL,25,FALSE)-50),"-",(VLOOKUP($A288,'NonXtal_SegEnds_BW#'!$A:$Z,17,FALSE)+VLOOKUP($A288,A:AL,25,FALSE)-50))</f>
        <v>186</v>
      </c>
      <c r="Y288" s="3">
        <v>186</v>
      </c>
      <c r="Z288" s="3">
        <f t="shared" si="158"/>
        <v>188</v>
      </c>
      <c r="AA288" s="3">
        <f>IF(ISERROR(VLOOKUP($A288,'NonXtal_SegEnds_BW#'!$A:$Z,19,FALSE)+VLOOKUP($A288,A:AL,28,FALSE)-50),"-",(VLOOKUP($A288,'NonXtal_SegEnds_BW#'!$A:$Z,19,FALSE)+VLOOKUP($A288,A:AL,28,FALSE)-50))</f>
        <v>194</v>
      </c>
      <c r="AB288" s="3">
        <v>212</v>
      </c>
      <c r="AC288" s="3">
        <v>239</v>
      </c>
      <c r="AD288" s="3">
        <v>244</v>
      </c>
      <c r="AE288" s="3">
        <v>276</v>
      </c>
      <c r="AF288" s="3">
        <f>IF(ISERROR((VLOOKUP($A288,'NonXtal_SegEnds_BW#'!$A:$Z,22,FALSE)+VLOOKUP($A288,A:AL,31,FALSE)-50)),"-",(VLOOKUP($A288,'NonXtal_SegEnds_BW#'!$A:$Z,22,FALSE)+VLOOKUP($A288,A:AL,31,FALSE)-50))</f>
        <v>287</v>
      </c>
      <c r="AG288" s="3">
        <f>IF(ISERROR(VLOOKUP($A288,'NonXtal_SegEnds_BW#'!$A:$Z,23,FALSE)+VLOOKUP($A288,A:AL,34,FALSE)-50),"-",(VLOOKUP($A288,'NonXtal_SegEnds_BW#'!$A:$Z,23,FALSE)+VLOOKUP($A288,A:AL,34,FALSE)-50))</f>
        <v>293</v>
      </c>
      <c r="AH288" s="3">
        <v>312</v>
      </c>
      <c r="AI288" s="3">
        <f>IF(ISERROR((VLOOKUP($A288,'NonXtal_SegEnds_BW#'!$A:$Z,24,FALSE)+VLOOKUP($A288,A:AL,34,FALSE)-50)),"-",(VLOOKUP($A288,'NonXtal_SegEnds_BW#'!$A:$Z,24,FALSE)+VLOOKUP($A288,A:AL,34,FALSE)-50))</f>
        <v>318</v>
      </c>
      <c r="AJ288" s="3">
        <f>IF(ISERROR(VLOOKUP($A288,'NonXtal_SegEnds_BW#'!$A:$Z,25,FALSE)+VLOOKUP($A288,A:AL,37,FALSE)-50),"-",(VLOOKUP($A288,'NonXtal_SegEnds_BW#'!$A:$Z,25,FALSE)+VLOOKUP($A288,A:AL,37,FALSE)-50))</f>
        <v>319</v>
      </c>
      <c r="AK288" s="3">
        <v>322</v>
      </c>
      <c r="AL288" s="3">
        <f>IF(ISERROR((VLOOKUP($A288,'NonXtal_SegEnds_BW#'!$A:$Z,26,FALSE)+VLOOKUP($A288,A:AL,37,FALSE)-50)),"-",(VLOOKUP($A288,'NonXtal_SegEnds_BW#'!$A:$Z,26,FALSE)+VLOOKUP($A288,A:AL,37,FALSE)-50))</f>
        <v>330</v>
      </c>
      <c r="AM288" s="71" t="str">
        <f>VLOOKUP(A288,Classification!A:B,2,FALSE)</f>
        <v>A</v>
      </c>
      <c r="AN288" s="71" t="b">
        <f t="shared" si="133"/>
        <v>1</v>
      </c>
      <c r="AO288" s="3">
        <f t="shared" si="134"/>
        <v>1</v>
      </c>
      <c r="AP288" s="3">
        <f t="shared" si="135"/>
        <v>1</v>
      </c>
      <c r="AQ288" s="3">
        <f t="shared" si="136"/>
        <v>1</v>
      </c>
      <c r="AR288" s="3">
        <f t="shared" si="137"/>
        <v>1</v>
      </c>
      <c r="AS288" s="3">
        <f t="shared" si="138"/>
        <v>1</v>
      </c>
      <c r="AT288" s="3">
        <f t="shared" si="139"/>
        <v>2</v>
      </c>
      <c r="AU288" s="3">
        <f t="shared" si="140"/>
        <v>14</v>
      </c>
      <c r="AV288" s="3">
        <f t="shared" si="141"/>
        <v>6</v>
      </c>
      <c r="AW288" s="3">
        <f t="shared" si="142"/>
        <v>5</v>
      </c>
      <c r="AX288" s="3">
        <f t="shared" si="143"/>
        <v>6</v>
      </c>
      <c r="AY288" s="3">
        <f t="shared" si="144"/>
        <v>1</v>
      </c>
      <c r="AZ288" s="3">
        <f>IF(ISERROR(LEN(VLOOKUP(A288,Seqs!A:E,2,FALSE))-AL288),"-",LEN(VLOOKUP(A288,Seqs!A:E,2,FALSE))-AL288)</f>
        <v>118</v>
      </c>
      <c r="BA288" s="35">
        <f t="shared" si="145"/>
        <v>28</v>
      </c>
      <c r="BB288" s="3">
        <f t="shared" si="146"/>
        <v>20</v>
      </c>
      <c r="BC288" s="3">
        <f t="shared" si="147"/>
        <v>28</v>
      </c>
      <c r="BD288" s="3">
        <f t="shared" si="148"/>
        <v>64</v>
      </c>
    </row>
    <row r="289" spans="1:58" s="3" customFormat="1" x14ac:dyDescent="0.2">
      <c r="A289" s="3" t="s">
        <v>517</v>
      </c>
      <c r="B289" s="3" t="str">
        <f>LOWER(VLOOKUP(A289,Xtal_Templ!A:B,2,FALSE))</f>
        <v>ox1r_human</v>
      </c>
      <c r="C289" s="3">
        <f>VLOOKUP($A289,'NonXtal_SegEnds_BW#'!$A:$Z,3,FALSE)+D289-50</f>
        <v>147</v>
      </c>
      <c r="D289" s="3">
        <v>165</v>
      </c>
      <c r="E289" s="3">
        <f>IF(ISERROR(VLOOKUP($A289,'NonXtal_SegEnds_BW#'!$A:$Z,4,FALSE)+VLOOKUP($A289,A:AL,4,FALSE)-50),"-",(VLOOKUP($A289,'NonXtal_SegEnds_BW#'!$A:$Z,4,FALSE)+VLOOKUP($A289,A:AL,4,FALSE)-50))</f>
        <v>175</v>
      </c>
      <c r="F289" s="3">
        <f t="shared" si="159"/>
        <v>176</v>
      </c>
      <c r="G289" s="3">
        <v>178</v>
      </c>
      <c r="H289" s="3">
        <f t="shared" si="160"/>
        <v>179</v>
      </c>
      <c r="I289" s="3">
        <f t="shared" si="160"/>
        <v>180</v>
      </c>
      <c r="J289" s="3">
        <v>193</v>
      </c>
      <c r="K289" s="3">
        <f>VLOOKUP($A289,'NonXtal_SegEnds_BW#'!$A:$Z,8,FALSE)+VLOOKUP($A289,A:AL,10,FALSE)-50</f>
        <v>210</v>
      </c>
      <c r="L289" s="3">
        <f>M289-1</f>
        <v>212</v>
      </c>
      <c r="M289" s="3">
        <v>213</v>
      </c>
      <c r="N289" s="3">
        <f>M289+2</f>
        <v>215</v>
      </c>
      <c r="O289" s="3">
        <f t="shared" si="161"/>
        <v>216</v>
      </c>
      <c r="P289" s="3">
        <v>245</v>
      </c>
      <c r="Q289" s="3">
        <f>VLOOKUP($A289,'NonXtal_SegEnds_BW#'!$A:$Z,12,FALSE)+VLOOKUP($A289,A:AL,16,FALSE)-50</f>
        <v>251</v>
      </c>
      <c r="R289" s="3">
        <f>IF(ISERROR(VLOOKUP($A289,'NonXtal_SegEnds_BW#'!$A:$Z,13,FALSE)+VLOOKUP($A289,A:AL,19,FALSE)-50),"-",VLOOKUP($A289,'NonXtal_SegEnds_BW#'!$A:$Z,13,FALSE)+VLOOKUP($A289,A:AL,19,FALSE)-50)</f>
        <v>252</v>
      </c>
      <c r="S289" s="3">
        <v>252</v>
      </c>
      <c r="T289" s="3">
        <f>IF(ISERROR(VLOOKUP($A289,'NonXtal_SegEnds_BW#'!$A:$Z,14,FALSE)+VLOOKUP($A289,A:AL,19,FALSE)-50),"-",(VLOOKUP($A289,'NonXtal_SegEnds_BW#'!$A:$Z,14,FALSE)+VLOOKUP($A289,A:AL,19,FALSE)-50))</f>
        <v>258</v>
      </c>
      <c r="U289" s="3">
        <f>IF(ISERROR(VLOOKUP($A289,'NonXtal_SegEnds_BW#'!$A:$Z,15,FALSE)+VLOOKUP($A289,A:AL,22,FALSE)-50),"-",VLOOKUP($A289,'NonXtal_SegEnds_BW#'!$A:$Z,15,FALSE)+VLOOKUP($A289,A:AL,22,FALSE)-50)</f>
        <v>259</v>
      </c>
      <c r="V289" s="3">
        <v>270</v>
      </c>
      <c r="W289" s="3">
        <f>IF(ISERROR(VLOOKUP($A289,'NonXtal_SegEnds_BW#'!$A:$Z,16,FALSE)+VLOOKUP($A289,A:AL,22,FALSE)-50),"-",(VLOOKUP($A289,'NonXtal_SegEnds_BW#'!$A:$Z,16,FALSE)+VLOOKUP($A289,A:AL,22,FALSE)-50))</f>
        <v>284</v>
      </c>
      <c r="X289" s="3">
        <f>IF(ISERROR(VLOOKUP($A289,'NonXtal_SegEnds_BW#'!$A:$Z,17,FALSE)+VLOOKUP($A289,A:AL,25,FALSE)-50),"-",(VLOOKUP($A289,'NonXtal_SegEnds_BW#'!$A:$Z,17,FALSE)+VLOOKUP($A289,A:AL,25,FALSE)-50))</f>
        <v>308</v>
      </c>
      <c r="Y289" s="3">
        <v>308</v>
      </c>
      <c r="Z289" s="3">
        <f t="shared" si="158"/>
        <v>310</v>
      </c>
      <c r="AA289" s="3">
        <f>IF(ISERROR(VLOOKUP($A289,'NonXtal_SegEnds_BW#'!$A:$Z,19,FALSE)+VLOOKUP($A289,A:AL,28,FALSE)-50),"-",(VLOOKUP($A289,'NonXtal_SegEnds_BW#'!$A:$Z,19,FALSE)+VLOOKUP($A289,A:AL,28,FALSE)-50))</f>
        <v>315</v>
      </c>
      <c r="AB289" s="3">
        <v>333</v>
      </c>
      <c r="AC289" s="3">
        <f>IF(ISERROR((VLOOKUP($A289,'NonXtal_SegEnds_BW#'!$A:$Z,20,FALSE)+VLOOKUP($A289,A:AL,28,FALSE)-50)),"-",(VLOOKUP($A289,'NonXtal_SegEnds_BW#'!$A:$Z,20,FALSE)+VLOOKUP($A289,A:AL,28,FALSE)-50))</f>
        <v>356</v>
      </c>
      <c r="AD289" s="3">
        <f>IF(ISERROR(VLOOKUP($A289,'NonXtal_SegEnds_BW#'!$A:$Z,21,FALSE)+VLOOKUP($A289,A:AL,31,FALSE)-50),"-",(VLOOKUP($A289,'NonXtal_SegEnds_BW#'!$A:$Z,21,FALSE)+VLOOKUP($A289,A:AL,31,FALSE)-50))</f>
        <v>365</v>
      </c>
      <c r="AE289" s="3">
        <v>391</v>
      </c>
      <c r="AF289" s="3">
        <f>IF(ISERROR((VLOOKUP($A289,'NonXtal_SegEnds_BW#'!$A:$Z,22,FALSE)+VLOOKUP($A289,A:AL,31,FALSE)-50)),"-",(VLOOKUP($A289,'NonXtal_SegEnds_BW#'!$A:$Z,22,FALSE)+VLOOKUP($A289,A:AL,31,FALSE)-50))</f>
        <v>402</v>
      </c>
      <c r="AG289" s="3">
        <f>IF(ISERROR(VLOOKUP($A289,'NonXtal_SegEnds_BW#'!$A:$Z,23,FALSE)+VLOOKUP($A289,A:AL,34,FALSE)-50),"-",(VLOOKUP($A289,'NonXtal_SegEnds_BW#'!$A:$Z,23,FALSE)+VLOOKUP($A289,A:AL,34,FALSE)-50))</f>
        <v>410</v>
      </c>
      <c r="AH289" s="3">
        <v>432</v>
      </c>
      <c r="AI289" s="3">
        <f>IF(ISERROR((VLOOKUP($A289,'NonXtal_SegEnds_BW#'!$A:$Z,24,FALSE)+VLOOKUP($A289,A:AL,34,FALSE)-50)),"-",(VLOOKUP($A289,'NonXtal_SegEnds_BW#'!$A:$Z,24,FALSE)+VLOOKUP($A289,A:AL,34,FALSE)-50))</f>
        <v>438</v>
      </c>
      <c r="AJ289" s="3">
        <f>IF(ISERROR(VLOOKUP($A289,'NonXtal_SegEnds_BW#'!$A:$Z,25,FALSE)+VLOOKUP($A289,A:AL,37,FALSE)-50),"-",(VLOOKUP($A289,'NonXtal_SegEnds_BW#'!$A:$Z,25,FALSE)+VLOOKUP($A289,A:AL,37,FALSE)-50))</f>
        <v>439</v>
      </c>
      <c r="AK289" s="3">
        <v>442</v>
      </c>
      <c r="AL289" s="3">
        <f>IF(ISERROR((VLOOKUP($A289,'NonXtal_SegEnds_BW#'!$A:$Z,26,FALSE)+VLOOKUP($A289,A:AL,37,FALSE)-50)),"-",(VLOOKUP($A289,'NonXtal_SegEnds_BW#'!$A:$Z,26,FALSE)+VLOOKUP($A289,A:AL,37,FALSE)-50))</f>
        <v>450</v>
      </c>
      <c r="AM289" s="71" t="str">
        <f>VLOOKUP(A289,Classification!A:B,2,FALSE)</f>
        <v>A</v>
      </c>
      <c r="AN289" s="71" t="b">
        <f t="shared" si="133"/>
        <v>1</v>
      </c>
      <c r="AO289" s="3">
        <f t="shared" si="134"/>
        <v>1</v>
      </c>
      <c r="AP289" s="3">
        <f t="shared" si="135"/>
        <v>1</v>
      </c>
      <c r="AQ289" s="3">
        <f t="shared" si="136"/>
        <v>2</v>
      </c>
      <c r="AR289" s="3">
        <f t="shared" si="137"/>
        <v>1</v>
      </c>
      <c r="AS289" s="3">
        <f t="shared" si="138"/>
        <v>1</v>
      </c>
      <c r="AT289" s="3">
        <f t="shared" si="139"/>
        <v>1</v>
      </c>
      <c r="AU289" s="3">
        <f t="shared" si="140"/>
        <v>24</v>
      </c>
      <c r="AV289" s="3">
        <f t="shared" si="141"/>
        <v>5</v>
      </c>
      <c r="AW289" s="3">
        <f t="shared" si="142"/>
        <v>9</v>
      </c>
      <c r="AX289" s="3">
        <f t="shared" si="143"/>
        <v>8</v>
      </c>
      <c r="AY289" s="3">
        <f t="shared" si="144"/>
        <v>1</v>
      </c>
      <c r="AZ289" s="3">
        <f>IF(ISERROR(LEN(VLOOKUP(A289,Seqs!A:E,2,FALSE))-AL289),"-",LEN(VLOOKUP(A289,Seqs!A:E,2,FALSE))-AL289)</f>
        <v>72</v>
      </c>
      <c r="BA289" s="35">
        <f t="shared" si="145"/>
        <v>28</v>
      </c>
      <c r="BB289" s="3">
        <f t="shared" si="146"/>
        <v>18</v>
      </c>
      <c r="BC289" s="3">
        <f t="shared" si="147"/>
        <v>28</v>
      </c>
      <c r="BD289" s="3">
        <f t="shared" si="148"/>
        <v>58</v>
      </c>
    </row>
    <row r="290" spans="1:58" s="3" customFormat="1" x14ac:dyDescent="0.2">
      <c r="A290" s="3" t="s">
        <v>409</v>
      </c>
      <c r="B290" s="3" t="str">
        <f>LOWER(VLOOKUP(A290,Xtal_Templ!A:B,2,FALSE))</f>
        <v>ox1r_human</v>
      </c>
      <c r="C290" s="3">
        <f>VLOOKUP($A290,'NonXtal_SegEnds_BW#'!$A:$Z,3,FALSE)+D290-50</f>
        <v>103</v>
      </c>
      <c r="D290" s="3">
        <v>121</v>
      </c>
      <c r="E290" s="3">
        <f>IF(ISERROR(VLOOKUP($A290,'NonXtal_SegEnds_BW#'!$A:$Z,4,FALSE)+VLOOKUP($A290,A:AL,4,FALSE)-50),"-",(VLOOKUP($A290,'NonXtal_SegEnds_BW#'!$A:$Z,4,FALSE)+VLOOKUP($A290,A:AL,4,FALSE)-50))</f>
        <v>131</v>
      </c>
      <c r="F290" s="3">
        <f t="shared" si="159"/>
        <v>132</v>
      </c>
      <c r="G290" s="3">
        <v>134</v>
      </c>
      <c r="H290" s="3">
        <f t="shared" si="160"/>
        <v>135</v>
      </c>
      <c r="I290" s="3">
        <f t="shared" si="160"/>
        <v>136</v>
      </c>
      <c r="J290" s="3">
        <v>149</v>
      </c>
      <c r="K290" s="3">
        <f>VLOOKUP($A290,'NonXtal_SegEnds_BW#'!$A:$Z,8,FALSE)+VLOOKUP($A290,A:AL,10,FALSE)-50</f>
        <v>166</v>
      </c>
      <c r="L290" s="3" t="str">
        <f>IF(ISERROR(VLOOKUP($A290,'NonXtal_SegEnds_BW#'!$A:$Z,9,FALSE)+VLOOKUP($A290,A:AL,13,FALSE)-50),"-",(VLOOKUP($A290,'NonXtal_SegEnds_BW#'!$A:$Z,9,FALSE)+VLOOKUP($A290,A:AL,13,FALSE)-50))</f>
        <v>-</v>
      </c>
      <c r="M290" s="3" t="s">
        <v>129</v>
      </c>
      <c r="N290" s="3" t="str">
        <f>IF(ISERROR(VLOOKUP($A290,'NonXtal_SegEnds_BW#'!$A:$Z,10,FALSE)+VLOOKUP($A290,A:AL,13,FALSE)-50),"-",(VLOOKUP($A290,'NonXtal_SegEnds_BW#'!$A:$Z,10,FALSE)+VLOOKUP($A290,A:AL,13,FALSE)-50))</f>
        <v>-</v>
      </c>
      <c r="O290" s="3">
        <f>VLOOKUP($A290,'NonXtal_SegEnds_BW#'!$A:$Z,11,FALSE)+VLOOKUP($A290,A:AL,16,FALSE)-50</f>
        <v>177</v>
      </c>
      <c r="P290" s="3">
        <v>209</v>
      </c>
      <c r="Q290" s="3">
        <f>VLOOKUP($A290,'NonXtal_SegEnds_BW#'!$A:$Z,12,FALSE)+VLOOKUP($A290,A:AL,16,FALSE)-50</f>
        <v>215</v>
      </c>
      <c r="R290" s="3">
        <f>IF(ISERROR(VLOOKUP($A290,'NonXtal_SegEnds_BW#'!$A:$Z,13,FALSE)+VLOOKUP($A290,A:AL,19,FALSE)-50),"-",VLOOKUP($A290,'NonXtal_SegEnds_BW#'!$A:$Z,13,FALSE)+VLOOKUP($A290,A:AL,19,FALSE)-50)</f>
        <v>216</v>
      </c>
      <c r="S290" s="3">
        <v>216</v>
      </c>
      <c r="T290" s="3">
        <f>IF(ISERROR(VLOOKUP($A290,'NonXtal_SegEnds_BW#'!$A:$Z,14,FALSE)+VLOOKUP($A290,A:AL,19,FALSE)-50),"-",(VLOOKUP($A290,'NonXtal_SegEnds_BW#'!$A:$Z,14,FALSE)+VLOOKUP($A290,A:AL,19,FALSE)-50))</f>
        <v>222</v>
      </c>
      <c r="U290" s="3">
        <f>IF(ISERROR(VLOOKUP($A290,'NonXtal_SegEnds_BW#'!$A:$Z,15,FALSE)+VLOOKUP($A290,A:AL,22,FALSE)-50),"-",VLOOKUP($A290,'NonXtal_SegEnds_BW#'!$A:$Z,15,FALSE)+VLOOKUP($A290,A:AL,22,FALSE)-50)</f>
        <v>223</v>
      </c>
      <c r="V290" s="3">
        <v>234</v>
      </c>
      <c r="W290" s="3">
        <f>IF(ISERROR(VLOOKUP($A290,'NonXtal_SegEnds_BW#'!$A:$Z,16,FALSE)+VLOOKUP($A290,A:AL,22,FALSE)-50),"-",(VLOOKUP($A290,'NonXtal_SegEnds_BW#'!$A:$Z,16,FALSE)+VLOOKUP($A290,A:AL,22,FALSE)-50))</f>
        <v>248</v>
      </c>
      <c r="X290" s="3">
        <f>IF(ISERROR(VLOOKUP($A290,'NonXtal_SegEnds_BW#'!$A:$Z,17,FALSE)+VLOOKUP($A290,A:AL,25,FALSE)-50),"-",(VLOOKUP($A290,'NonXtal_SegEnds_BW#'!$A:$Z,17,FALSE)+VLOOKUP($A290,A:AL,25,FALSE)-50))</f>
        <v>262</v>
      </c>
      <c r="Y290" s="3">
        <v>262</v>
      </c>
      <c r="Z290" s="3">
        <f t="shared" si="158"/>
        <v>264</v>
      </c>
      <c r="AA290" s="3">
        <f>IF(ISERROR(VLOOKUP($A290,'NonXtal_SegEnds_BW#'!$A:$Z,19,FALSE)+VLOOKUP($A290,A:AL,28,FALSE)-50),"-",(VLOOKUP($A290,'NonXtal_SegEnds_BW#'!$A:$Z,19,FALSE)+VLOOKUP($A290,A:AL,28,FALSE)-50))</f>
        <v>271</v>
      </c>
      <c r="AB290" s="3">
        <v>289</v>
      </c>
      <c r="AC290" s="3">
        <f>IF(ISERROR((VLOOKUP($A290,'NonXtal_SegEnds_BW#'!$A:$Z,20,FALSE)+VLOOKUP($A290,A:AL,28,FALSE)-50)),"-",(VLOOKUP($A290,'NonXtal_SegEnds_BW#'!$A:$Z,20,FALSE)+VLOOKUP($A290,A:AL,28,FALSE)-50))</f>
        <v>312</v>
      </c>
      <c r="AD290" s="3">
        <f>IF(ISERROR(VLOOKUP($A290,'NonXtal_SegEnds_BW#'!$A:$Z,21,FALSE)+VLOOKUP($A290,A:AL,31,FALSE)-50),"-",(VLOOKUP($A290,'NonXtal_SegEnds_BW#'!$A:$Z,21,FALSE)+VLOOKUP($A290,A:AL,31,FALSE)-50))</f>
        <v>318</v>
      </c>
      <c r="AE290" s="3">
        <v>346</v>
      </c>
      <c r="AF290" s="3">
        <f>IF(ISERROR((VLOOKUP($A290,'NonXtal_SegEnds_BW#'!$A:$Z,22,FALSE)+VLOOKUP($A290,A:AL,31,FALSE)-50)),"-",(VLOOKUP($A290,'NonXtal_SegEnds_BW#'!$A:$Z,22,FALSE)+VLOOKUP($A290,A:AL,31,FALSE)-50))</f>
        <v>357</v>
      </c>
      <c r="AG290" s="3">
        <f>IF(ISERROR(VLOOKUP($A290,'NonXtal_SegEnds_BW#'!$A:$Z,23,FALSE)+VLOOKUP($A290,A:AL,34,FALSE)-50),"-",(VLOOKUP($A290,'NonXtal_SegEnds_BW#'!$A:$Z,23,FALSE)+VLOOKUP($A290,A:AL,34,FALSE)-50))</f>
        <v>362</v>
      </c>
      <c r="AH290" s="3">
        <v>384</v>
      </c>
      <c r="AI290" s="3">
        <f>IF(ISERROR((VLOOKUP($A290,'NonXtal_SegEnds_BW#'!$A:$Z,24,FALSE)+VLOOKUP($A290,A:AL,34,FALSE)-50)),"-",(VLOOKUP($A290,'NonXtal_SegEnds_BW#'!$A:$Z,24,FALSE)+VLOOKUP($A290,A:AL,34,FALSE)-50))</f>
        <v>390</v>
      </c>
      <c r="AJ290" s="3">
        <f>IF(ISERROR(VLOOKUP($A290,'NonXtal_SegEnds_BW#'!$A:$Z,25,FALSE)+VLOOKUP($A290,A:AL,37,FALSE)-50),"-",(VLOOKUP($A290,'NonXtal_SegEnds_BW#'!$A:$Z,25,FALSE)+VLOOKUP($A290,A:AL,37,FALSE)-50))</f>
        <v>391</v>
      </c>
      <c r="AK290" s="3">
        <v>394</v>
      </c>
      <c r="AL290" s="3">
        <f>IF(ISERROR((VLOOKUP($A290,'NonXtal_SegEnds_BW#'!$A:$Z,26,FALSE)+VLOOKUP($A290,A:AL,37,FALSE)-50)),"-",(VLOOKUP($A290,'NonXtal_SegEnds_BW#'!$A:$Z,26,FALSE)+VLOOKUP($A290,A:AL,37,FALSE)-50))</f>
        <v>402</v>
      </c>
      <c r="AM290" s="71" t="str">
        <f>VLOOKUP(A290,Classification!A:B,2,FALSE)</f>
        <v>A</v>
      </c>
      <c r="AN290" s="71" t="b">
        <f t="shared" si="133"/>
        <v>1</v>
      </c>
      <c r="AO290" s="3">
        <f t="shared" si="134"/>
        <v>1</v>
      </c>
      <c r="AP290" s="3">
        <f t="shared" si="135"/>
        <v>1</v>
      </c>
      <c r="AQ290" s="3" t="str">
        <f t="shared" si="136"/>
        <v>-</v>
      </c>
      <c r="AR290" s="3" t="str">
        <f t="shared" si="137"/>
        <v>-</v>
      </c>
      <c r="AS290" s="3">
        <f t="shared" si="138"/>
        <v>1</v>
      </c>
      <c r="AT290" s="3">
        <f t="shared" si="139"/>
        <v>1</v>
      </c>
      <c r="AU290" s="3">
        <f t="shared" si="140"/>
        <v>14</v>
      </c>
      <c r="AV290" s="3">
        <f t="shared" si="141"/>
        <v>7</v>
      </c>
      <c r="AW290" s="3">
        <f t="shared" si="142"/>
        <v>6</v>
      </c>
      <c r="AX290" s="3">
        <f t="shared" si="143"/>
        <v>5</v>
      </c>
      <c r="AY290" s="3">
        <f t="shared" si="144"/>
        <v>1</v>
      </c>
      <c r="AZ290" s="3">
        <f>IF(ISERROR(LEN(VLOOKUP(A290,Seqs!A:E,2,FALSE))-AL290),"-",LEN(VLOOKUP(A290,Seqs!A:E,2,FALSE))-AL290)</f>
        <v>92</v>
      </c>
      <c r="BA290" s="35">
        <f t="shared" si="145"/>
        <v>28</v>
      </c>
      <c r="BB290" s="3">
        <f t="shared" si="146"/>
        <v>18</v>
      </c>
      <c r="BC290" s="3">
        <f t="shared" si="147"/>
        <v>28</v>
      </c>
      <c r="BD290" s="3">
        <f t="shared" si="148"/>
        <v>57</v>
      </c>
    </row>
    <row r="291" spans="1:58" s="3" customFormat="1" x14ac:dyDescent="0.2">
      <c r="A291" s="3" t="s">
        <v>416</v>
      </c>
      <c r="B291" s="3" t="str">
        <f>LOWER(VLOOKUP(A291,Xtal_Templ!A:B,2,FALSE))</f>
        <v>ox1r_human</v>
      </c>
      <c r="C291" s="3">
        <f>VLOOKUP($A291,'NonXtal_SegEnds_BW#'!$A:$Z,3,FALSE)+D291-50</f>
        <v>42</v>
      </c>
      <c r="D291" s="3">
        <v>60</v>
      </c>
      <c r="E291" s="3">
        <f>IF(ISERROR(VLOOKUP($A291,'NonXtal_SegEnds_BW#'!$A:$Z,4,FALSE)+VLOOKUP($A291,A:AL,4,FALSE)-50),"-",(VLOOKUP($A291,'NonXtal_SegEnds_BW#'!$A:$Z,4,FALSE)+VLOOKUP($A291,A:AL,4,FALSE)-50))</f>
        <v>70</v>
      </c>
      <c r="F291" s="3" t="str">
        <f>IF(ISERROR(VLOOKUP($A291,'NonXtal_SegEnds_BW#'!$A:$Z,5,FALSE)+VLOOKUP($A291,A:AL,7,FALSE)-50),"-",(VLOOKUP($A291,'NonXtal_SegEnds_BW#'!$A:$Z,5,FALSE)+VLOOKUP($A291,A:AL,7,FALSE)-50))</f>
        <v>-</v>
      </c>
      <c r="G291" s="3" t="s">
        <v>129</v>
      </c>
      <c r="H291" s="3" t="str">
        <f>IF(ISERROR(VLOOKUP($A291,'NonXtal_SegEnds_BW#'!$A:$Z,6,FALSE)+VLOOKUP($A291,A:AL,7,FALSE)-50),"-",(VLOOKUP($A291,'NonXtal_SegEnds_BW#'!$A:$Z,6,FALSE)+VLOOKUP($A291,A:AL,7,FALSE)-50))</f>
        <v>-</v>
      </c>
      <c r="I291" s="3">
        <f>VLOOKUP($A291,'NonXtal_SegEnds_BW#'!$A:$Z,7,FALSE)+J291-50</f>
        <v>80</v>
      </c>
      <c r="J291" s="3">
        <v>93</v>
      </c>
      <c r="K291" s="3">
        <f>VLOOKUP($A291,'NonXtal_SegEnds_BW#'!$A:$Z,8,FALSE)+VLOOKUP($A291,A:AL,10,FALSE)-50</f>
        <v>110</v>
      </c>
      <c r="L291" s="3" t="str">
        <f>IF(ISERROR(VLOOKUP($A291,'NonXtal_SegEnds_BW#'!$A:$Z,9,FALSE)+VLOOKUP($A291,A:AL,13,FALSE)-50),"-",(VLOOKUP($A291,'NonXtal_SegEnds_BW#'!$A:$Z,9,FALSE)+VLOOKUP($A291,A:AL,13,FALSE)-50))</f>
        <v>-</v>
      </c>
      <c r="M291" s="3" t="s">
        <v>129</v>
      </c>
      <c r="N291" s="3" t="str">
        <f>IF(ISERROR(VLOOKUP($A291,'NonXtal_SegEnds_BW#'!$A:$Z,10,FALSE)+VLOOKUP($A291,A:AL,13,FALSE)-50),"-",(VLOOKUP($A291,'NonXtal_SegEnds_BW#'!$A:$Z,10,FALSE)+VLOOKUP($A291,A:AL,13,FALSE)-50))</f>
        <v>-</v>
      </c>
      <c r="O291" s="3">
        <f>VLOOKUP($A291,'NonXtal_SegEnds_BW#'!$A:$Z,11,FALSE)+VLOOKUP($A291,A:AL,16,FALSE)-50</f>
        <v>115</v>
      </c>
      <c r="P291" s="3">
        <v>147</v>
      </c>
      <c r="Q291" s="3">
        <f>VLOOKUP($A291,'NonXtal_SegEnds_BW#'!$A:$Z,12,FALSE)+VLOOKUP($A291,A:AL,16,FALSE)-50</f>
        <v>153</v>
      </c>
      <c r="R291" s="3" t="str">
        <f>IF(ISERROR(VLOOKUP($A291,'NonXtal_SegEnds_BW#'!$A:$Z,13,FALSE)+VLOOKUP($A291,A:AL,19,FALSE)-50),"-",VLOOKUP($A291,'NonXtal_SegEnds_BW#'!$A:$Z,13,FALSE)+VLOOKUP($A291,A:AL,19,FALSE)-50)</f>
        <v>-</v>
      </c>
      <c r="S291" s="3" t="s">
        <v>129</v>
      </c>
      <c r="T291" s="3" t="str">
        <f>IF(ISERROR(VLOOKUP($A291,'NonXtal_SegEnds_BW#'!$A:$Z,14,FALSE)+VLOOKUP($A291,A:AL,19,FALSE)-50),"-",(VLOOKUP($A291,'NonXtal_SegEnds_BW#'!$A:$Z,14,FALSE)+VLOOKUP($A291,A:AL,19,FALSE)-50))</f>
        <v>-</v>
      </c>
      <c r="U291" s="3">
        <f>IF(ISERROR(VLOOKUP($A291,'NonXtal_SegEnds_BW#'!$A:$Z,15,FALSE)+VLOOKUP($A291,A:AL,22,FALSE)-50),"-",VLOOKUP($A291,'NonXtal_SegEnds_BW#'!$A:$Z,15,FALSE)+VLOOKUP($A291,A:AL,22,FALSE)-50)</f>
        <v>158</v>
      </c>
      <c r="V291" s="3">
        <v>169</v>
      </c>
      <c r="W291" s="3">
        <f>IF(ISERROR(VLOOKUP($A291,'NonXtal_SegEnds_BW#'!$A:$Z,16,FALSE)+VLOOKUP($A291,A:AL,22,FALSE)-50),"-",(VLOOKUP($A291,'NonXtal_SegEnds_BW#'!$A:$Z,16,FALSE)+VLOOKUP($A291,A:AL,22,FALSE)-50))</f>
        <v>183</v>
      </c>
      <c r="X291" s="3">
        <f>IF(ISERROR(VLOOKUP($A291,'NonXtal_SegEnds_BW#'!$A:$Z,17,FALSE)+VLOOKUP($A291,A:AL,25,FALSE)-50),"-",(VLOOKUP($A291,'NonXtal_SegEnds_BW#'!$A:$Z,17,FALSE)+VLOOKUP($A291,A:AL,25,FALSE)-50))</f>
        <v>217</v>
      </c>
      <c r="Y291" s="3">
        <v>217</v>
      </c>
      <c r="Z291" s="3">
        <f t="shared" si="158"/>
        <v>219</v>
      </c>
      <c r="AA291" s="3">
        <f>IF(ISERROR(VLOOKUP($A291,'NonXtal_SegEnds_BW#'!$A:$Z,19,FALSE)+VLOOKUP($A291,A:AL,28,FALSE)-50),"-",(VLOOKUP($A291,'NonXtal_SegEnds_BW#'!$A:$Z,19,FALSE)+VLOOKUP($A291,A:AL,28,FALSE)-50))</f>
        <v>226</v>
      </c>
      <c r="AB291" s="3">
        <v>244</v>
      </c>
      <c r="AC291" s="3">
        <f>IF(ISERROR((VLOOKUP($A291,'NonXtal_SegEnds_BW#'!$A:$Z,20,FALSE)+VLOOKUP($A291,A:AL,28,FALSE)-50)),"-",(VLOOKUP($A291,'NonXtal_SegEnds_BW#'!$A:$Z,20,FALSE)+VLOOKUP($A291,A:AL,28,FALSE)-50))</f>
        <v>268</v>
      </c>
      <c r="AD291" s="3">
        <f>IF(ISERROR(VLOOKUP($A291,'NonXtal_SegEnds_BW#'!$A:$Z,21,FALSE)+VLOOKUP($A291,A:AL,31,FALSE)-50),"-",(VLOOKUP($A291,'NonXtal_SegEnds_BW#'!$A:$Z,21,FALSE)+VLOOKUP($A291,A:AL,31,FALSE)-50))</f>
        <v>281</v>
      </c>
      <c r="AE291" s="3">
        <v>310</v>
      </c>
      <c r="AF291" s="3">
        <f>IF(ISERROR((VLOOKUP($A291,'NonXtal_SegEnds_BW#'!$A:$Z,22,FALSE)+VLOOKUP($A291,A:AL,31,FALSE)-50)),"-",(VLOOKUP($A291,'NonXtal_SegEnds_BW#'!$A:$Z,22,FALSE)+VLOOKUP($A291,A:AL,31,FALSE)-50))</f>
        <v>321</v>
      </c>
      <c r="AG291" s="3">
        <f>IF(ISERROR(VLOOKUP($A291,'NonXtal_SegEnds_BW#'!$A:$Z,23,FALSE)+VLOOKUP($A291,A:AL,34,FALSE)-50),"-",(VLOOKUP($A291,'NonXtal_SegEnds_BW#'!$A:$Z,23,FALSE)+VLOOKUP($A291,A:AL,34,FALSE)-50))</f>
        <v>327</v>
      </c>
      <c r="AH291" s="3">
        <v>349</v>
      </c>
      <c r="AI291" s="3">
        <f>IF(ISERROR((VLOOKUP($A291,'NonXtal_SegEnds_BW#'!$A:$Z,24,FALSE)+VLOOKUP($A291,A:AL,34,FALSE)-50)),"-",(VLOOKUP($A291,'NonXtal_SegEnds_BW#'!$A:$Z,24,FALSE)+VLOOKUP($A291,A:AL,34,FALSE)-50))</f>
        <v>355</v>
      </c>
      <c r="AJ291" s="3">
        <f>IF(ISERROR(VLOOKUP($A291,'NonXtal_SegEnds_BW#'!$A:$Z,25,FALSE)+VLOOKUP($A291,A:AL,37,FALSE)-50),"-",(VLOOKUP($A291,'NonXtal_SegEnds_BW#'!$A:$Z,25,FALSE)+VLOOKUP($A291,A:AL,37,FALSE)-50))</f>
        <v>356</v>
      </c>
      <c r="AK291" s="3">
        <v>359</v>
      </c>
      <c r="AL291" s="3">
        <f>IF(ISERROR((VLOOKUP($A291,'NonXtal_SegEnds_BW#'!$A:$Z,26,FALSE)+VLOOKUP($A291,A:AL,37,FALSE)-50)),"-",(VLOOKUP($A291,'NonXtal_SegEnds_BW#'!$A:$Z,26,FALSE)+VLOOKUP($A291,A:AL,37,FALSE)-50))</f>
        <v>367</v>
      </c>
      <c r="AM291" s="71" t="str">
        <f>VLOOKUP(A291,Classification!A:B,2,FALSE)</f>
        <v>A</v>
      </c>
      <c r="AN291" s="71" t="b">
        <f t="shared" si="133"/>
        <v>1</v>
      </c>
      <c r="AO291" s="3" t="str">
        <f t="shared" si="134"/>
        <v>-</v>
      </c>
      <c r="AP291" s="3" t="str">
        <f t="shared" si="135"/>
        <v>-</v>
      </c>
      <c r="AQ291" s="3" t="str">
        <f t="shared" si="136"/>
        <v>-</v>
      </c>
      <c r="AR291" s="3" t="str">
        <f t="shared" si="137"/>
        <v>-</v>
      </c>
      <c r="AS291" s="3" t="str">
        <f t="shared" si="138"/>
        <v>-</v>
      </c>
      <c r="AT291" s="3" t="str">
        <f t="shared" si="139"/>
        <v>-</v>
      </c>
      <c r="AU291" s="3">
        <f t="shared" si="140"/>
        <v>34</v>
      </c>
      <c r="AV291" s="3">
        <f t="shared" si="141"/>
        <v>7</v>
      </c>
      <c r="AW291" s="3">
        <f t="shared" si="142"/>
        <v>13</v>
      </c>
      <c r="AX291" s="3">
        <f t="shared" si="143"/>
        <v>6</v>
      </c>
      <c r="AY291" s="3">
        <f t="shared" si="144"/>
        <v>1</v>
      </c>
      <c r="AZ291" s="3">
        <f>IF(ISERROR(LEN(VLOOKUP(A291,Seqs!A:E,2,FALSE))-AL291),"-",LEN(VLOOKUP(A291,Seqs!A:E,2,FALSE))-AL291)</f>
        <v>67</v>
      </c>
      <c r="BA291" s="35">
        <f t="shared" si="145"/>
        <v>33</v>
      </c>
      <c r="BB291" s="3" t="str">
        <f t="shared" si="146"/>
        <v>-</v>
      </c>
      <c r="BC291" s="3">
        <f t="shared" si="147"/>
        <v>33</v>
      </c>
      <c r="BD291" s="3">
        <f t="shared" si="148"/>
        <v>66</v>
      </c>
    </row>
    <row r="292" spans="1:58" s="3" customFormat="1" x14ac:dyDescent="0.2">
      <c r="A292" s="3" t="s">
        <v>520</v>
      </c>
      <c r="B292" s="3" t="str">
        <f>LOWER(VLOOKUP(A292,Xtal_Templ!A:B,2,FALSE))</f>
        <v>ox1r_human</v>
      </c>
      <c r="C292" s="3">
        <f>VLOOKUP($A292,'NonXtal_SegEnds_BW#'!$A:$Z,3,FALSE)+D292-50</f>
        <v>50</v>
      </c>
      <c r="D292" s="3">
        <v>68</v>
      </c>
      <c r="E292" s="3">
        <f>IF(ISERROR(VLOOKUP($A292,'NonXtal_SegEnds_BW#'!$A:$Z,4,FALSE)+VLOOKUP($A292,A:AL,4,FALSE)-50),"-",(VLOOKUP($A292,'NonXtal_SegEnds_BW#'!$A:$Z,4,FALSE)+VLOOKUP($A292,A:AL,4,FALSE)-50))</f>
        <v>78</v>
      </c>
      <c r="F292" s="3">
        <f t="shared" ref="F292:F314" si="162">G292-2</f>
        <v>79</v>
      </c>
      <c r="G292" s="3">
        <v>81</v>
      </c>
      <c r="H292" s="3">
        <f t="shared" ref="H292:I314" si="163">G292+1</f>
        <v>82</v>
      </c>
      <c r="I292" s="3">
        <f t="shared" si="163"/>
        <v>83</v>
      </c>
      <c r="J292" s="3">
        <v>96</v>
      </c>
      <c r="K292" s="3">
        <f>VLOOKUP($A292,'NonXtal_SegEnds_BW#'!$A:$Z,8,FALSE)+VLOOKUP($A292,A:AL,10,FALSE)-50</f>
        <v>113</v>
      </c>
      <c r="L292" s="3">
        <f>M292-1</f>
        <v>115</v>
      </c>
      <c r="M292" s="3">
        <v>116</v>
      </c>
      <c r="N292" s="3">
        <f>M292+2</f>
        <v>118</v>
      </c>
      <c r="O292" s="3">
        <f>N292+1</f>
        <v>119</v>
      </c>
      <c r="P292" s="3">
        <v>148</v>
      </c>
      <c r="Q292" s="3">
        <f>VLOOKUP($A292,'NonXtal_SegEnds_BW#'!$A:$Z,12,FALSE)+VLOOKUP($A292,A:AL,16,FALSE)-50</f>
        <v>154</v>
      </c>
      <c r="R292" s="3">
        <f>IF(ISERROR(VLOOKUP($A292,'NonXtal_SegEnds_BW#'!$A:$Z,13,FALSE)+VLOOKUP($A292,A:AL,19,FALSE)-50),"-",VLOOKUP($A292,'NonXtal_SegEnds_BW#'!$A:$Z,13,FALSE)+VLOOKUP($A292,A:AL,19,FALSE)-50)</f>
        <v>155</v>
      </c>
      <c r="S292" s="3">
        <v>155</v>
      </c>
      <c r="T292" s="3">
        <f>IF(ISERROR(VLOOKUP($A292,'NonXtal_SegEnds_BW#'!$A:$Z,14,FALSE)+VLOOKUP($A292,A:AL,19,FALSE)-50),"-",(VLOOKUP($A292,'NonXtal_SegEnds_BW#'!$A:$Z,14,FALSE)+VLOOKUP($A292,A:AL,19,FALSE)-50))</f>
        <v>161</v>
      </c>
      <c r="U292" s="3">
        <f>IF(ISERROR(VLOOKUP($A292,'NonXtal_SegEnds_BW#'!$A:$Z,15,FALSE)+VLOOKUP($A292,A:AL,22,FALSE)-50),"-",VLOOKUP($A292,'NonXtal_SegEnds_BW#'!$A:$Z,15,FALSE)+VLOOKUP($A292,A:AL,22,FALSE)-50)</f>
        <v>162</v>
      </c>
      <c r="V292" s="3">
        <v>173</v>
      </c>
      <c r="W292" s="3">
        <f>IF(ISERROR(VLOOKUP($A292,'NonXtal_SegEnds_BW#'!$A:$Z,16,FALSE)+VLOOKUP($A292,A:AL,22,FALSE)-50),"-",(VLOOKUP($A292,'NonXtal_SegEnds_BW#'!$A:$Z,16,FALSE)+VLOOKUP($A292,A:AL,22,FALSE)-50))</f>
        <v>187</v>
      </c>
      <c r="X292" s="3">
        <f>IF(ISERROR(VLOOKUP($A292,'NonXtal_SegEnds_BW#'!$A:$Z,17,FALSE)+VLOOKUP($A292,A:AL,25,FALSE)-50),"-",(VLOOKUP($A292,'NonXtal_SegEnds_BW#'!$A:$Z,17,FALSE)+VLOOKUP($A292,A:AL,25,FALSE)-50))</f>
        <v>203</v>
      </c>
      <c r="Y292" s="3">
        <v>203</v>
      </c>
      <c r="Z292" s="3">
        <f t="shared" si="158"/>
        <v>205</v>
      </c>
      <c r="AA292" s="3">
        <f>IF(ISERROR(VLOOKUP($A292,'NonXtal_SegEnds_BW#'!$A:$Z,19,FALSE)+VLOOKUP($A292,A:AL,28,FALSE)-50),"-",(VLOOKUP($A292,'NonXtal_SegEnds_BW#'!$A:$Z,19,FALSE)+VLOOKUP($A292,A:AL,28,FALSE)-50))</f>
        <v>213</v>
      </c>
      <c r="AB292" s="3">
        <v>231</v>
      </c>
      <c r="AC292" s="3">
        <f>IF(ISERROR((VLOOKUP($A292,'NonXtal_SegEnds_BW#'!$A:$Z,20,FALSE)+VLOOKUP($A292,A:AL,28,FALSE)-50)),"-",(VLOOKUP($A292,'NonXtal_SegEnds_BW#'!$A:$Z,20,FALSE)+VLOOKUP($A292,A:AL,28,FALSE)-50))</f>
        <v>253</v>
      </c>
      <c r="AD292" s="3">
        <f>IF(ISERROR(VLOOKUP($A292,'NonXtal_SegEnds_BW#'!$A:$Z,21,FALSE)+VLOOKUP($A292,A:AL,31,FALSE)-50),"-",(VLOOKUP($A292,'NonXtal_SegEnds_BW#'!$A:$Z,21,FALSE)+VLOOKUP($A292,A:AL,31,FALSE)-50))</f>
        <v>257</v>
      </c>
      <c r="AE292" s="3">
        <v>283</v>
      </c>
      <c r="AF292" s="3">
        <f>IF(ISERROR((VLOOKUP($A292,'NonXtal_SegEnds_BW#'!$A:$Z,22,FALSE)+VLOOKUP($A292,A:AL,31,FALSE)-50)),"-",(VLOOKUP($A292,'NonXtal_SegEnds_BW#'!$A:$Z,22,FALSE)+VLOOKUP($A292,A:AL,31,FALSE)-50))</f>
        <v>294</v>
      </c>
      <c r="AG292" s="3">
        <f>IF(ISERROR(VLOOKUP($A292,'NonXtal_SegEnds_BW#'!$A:$Z,23,FALSE)+VLOOKUP($A292,A:AL,34,FALSE)-50),"-",(VLOOKUP($A292,'NonXtal_SegEnds_BW#'!$A:$Z,23,FALSE)+VLOOKUP($A292,A:AL,34,FALSE)-50))</f>
        <v>300</v>
      </c>
      <c r="AH292" s="3">
        <v>322</v>
      </c>
      <c r="AI292" s="3">
        <f>IF(ISERROR((VLOOKUP($A292,'NonXtal_SegEnds_BW#'!$A:$Z,24,FALSE)+VLOOKUP($A292,A:AL,34,FALSE)-50)),"-",(VLOOKUP($A292,'NonXtal_SegEnds_BW#'!$A:$Z,24,FALSE)+VLOOKUP($A292,A:AL,34,FALSE)-50))</f>
        <v>328</v>
      </c>
      <c r="AJ292" s="3">
        <f>IF(ISERROR(VLOOKUP($A292,'NonXtal_SegEnds_BW#'!$A:$Z,25,FALSE)+VLOOKUP($A292,A:AL,37,FALSE)-50),"-",(VLOOKUP($A292,'NonXtal_SegEnds_BW#'!$A:$Z,25,FALSE)+VLOOKUP($A292,A:AL,37,FALSE)-50))</f>
        <v>329</v>
      </c>
      <c r="AK292" s="3">
        <v>332</v>
      </c>
      <c r="AL292" s="3">
        <f>IF(ISERROR((VLOOKUP($A292,'NonXtal_SegEnds_BW#'!$A:$Z,26,FALSE)+VLOOKUP($A292,A:AL,37,FALSE)-50)),"-",(VLOOKUP($A292,'NonXtal_SegEnds_BW#'!$A:$Z,26,FALSE)+VLOOKUP($A292,A:AL,37,FALSE)-50))</f>
        <v>340</v>
      </c>
      <c r="AM292" s="71" t="str">
        <f>VLOOKUP(A292,Classification!A:B,2,FALSE)</f>
        <v>A</v>
      </c>
      <c r="AN292" s="71" t="b">
        <f t="shared" si="133"/>
        <v>1</v>
      </c>
      <c r="AO292" s="3">
        <f t="shared" si="134"/>
        <v>1</v>
      </c>
      <c r="AP292" s="3">
        <f t="shared" si="135"/>
        <v>1</v>
      </c>
      <c r="AQ292" s="3">
        <f t="shared" si="136"/>
        <v>2</v>
      </c>
      <c r="AR292" s="3">
        <f t="shared" si="137"/>
        <v>1</v>
      </c>
      <c r="AS292" s="3">
        <f t="shared" si="138"/>
        <v>1</v>
      </c>
      <c r="AT292" s="3">
        <f t="shared" si="139"/>
        <v>1</v>
      </c>
      <c r="AU292" s="3">
        <f t="shared" si="140"/>
        <v>16</v>
      </c>
      <c r="AV292" s="3">
        <f t="shared" si="141"/>
        <v>8</v>
      </c>
      <c r="AW292" s="3">
        <f t="shared" si="142"/>
        <v>4</v>
      </c>
      <c r="AX292" s="3">
        <f t="shared" si="143"/>
        <v>6</v>
      </c>
      <c r="AY292" s="3">
        <f t="shared" si="144"/>
        <v>1</v>
      </c>
      <c r="AZ292" s="3">
        <f>IF(ISERROR(LEN(VLOOKUP(A292,Seqs!A:E,2,FALSE))-AL292),"-",LEN(VLOOKUP(A292,Seqs!A:E,2,FALSE))-AL292)</f>
        <v>41</v>
      </c>
      <c r="BA292" s="35">
        <f t="shared" si="145"/>
        <v>28</v>
      </c>
      <c r="BB292" s="3">
        <f t="shared" si="146"/>
        <v>18</v>
      </c>
      <c r="BC292" s="3">
        <f t="shared" si="147"/>
        <v>28</v>
      </c>
      <c r="BD292" s="3">
        <f t="shared" si="148"/>
        <v>52</v>
      </c>
    </row>
    <row r="293" spans="1:58" s="3" customFormat="1" x14ac:dyDescent="0.2">
      <c r="A293" s="3" t="s">
        <v>1394</v>
      </c>
      <c r="B293" s="3" t="str">
        <f>LOWER(VLOOKUP(A293,Xtal_Templ!A:B,2,FALSE))</f>
        <v>ox1r_human</v>
      </c>
      <c r="C293" s="3">
        <f>VLOOKUP($A293,'NonXtal_SegEnds_BW#'!$A:$Z,3,FALSE)+D293-50</f>
        <v>46</v>
      </c>
      <c r="D293" s="3">
        <v>64</v>
      </c>
      <c r="E293" s="3">
        <f>IF(ISERROR(VLOOKUP($A293,'NonXtal_SegEnds_BW#'!$A:$Z,4,FALSE)+VLOOKUP($A293,A:AL,4,FALSE)-50),"-",(VLOOKUP($A293,'NonXtal_SegEnds_BW#'!$A:$Z,4,FALSE)+VLOOKUP($A293,A:AL,4,FALSE)-50))</f>
        <v>74</v>
      </c>
      <c r="F293" s="3">
        <f t="shared" si="162"/>
        <v>75</v>
      </c>
      <c r="G293" s="3">
        <v>77</v>
      </c>
      <c r="H293" s="3">
        <f t="shared" si="163"/>
        <v>78</v>
      </c>
      <c r="I293" s="3">
        <f t="shared" si="163"/>
        <v>79</v>
      </c>
      <c r="J293" s="3">
        <v>92</v>
      </c>
      <c r="K293" s="3">
        <f>VLOOKUP($A293,'NonXtal_SegEnds_BW#'!$A:$Z,8,FALSE)+VLOOKUP($A293,A:AL,10,FALSE)-50</f>
        <v>109</v>
      </c>
      <c r="L293" s="3">
        <f>M293-1</f>
        <v>111</v>
      </c>
      <c r="M293" s="3">
        <v>112</v>
      </c>
      <c r="N293" s="3">
        <f>M293+2</f>
        <v>114</v>
      </c>
      <c r="O293" s="3">
        <f>N293+1</f>
        <v>115</v>
      </c>
      <c r="P293" s="3">
        <v>144</v>
      </c>
      <c r="Q293" s="3">
        <f>VLOOKUP($A293,'NonXtal_SegEnds_BW#'!$A:$Z,12,FALSE)+VLOOKUP($A293,A:AL,16,FALSE)-50</f>
        <v>150</v>
      </c>
      <c r="R293" s="3">
        <f>IF(ISERROR(VLOOKUP($A293,'NonXtal_SegEnds_BW#'!$A:$Z,13,FALSE)+VLOOKUP($A293,A:AL,19,FALSE)-50),"-",VLOOKUP($A293,'NonXtal_SegEnds_BW#'!$A:$Z,13,FALSE)+VLOOKUP($A293,A:AL,19,FALSE)-50)</f>
        <v>151</v>
      </c>
      <c r="S293" s="3">
        <v>151</v>
      </c>
      <c r="T293" s="3">
        <f>IF(ISERROR(VLOOKUP($A293,'NonXtal_SegEnds_BW#'!$A:$Z,14,FALSE)+VLOOKUP($A293,A:AL,19,FALSE)-50),"-",(VLOOKUP($A293,'NonXtal_SegEnds_BW#'!$A:$Z,14,FALSE)+VLOOKUP($A293,A:AL,19,FALSE)-50))</f>
        <v>157</v>
      </c>
      <c r="U293" s="3">
        <f>IF(ISERROR(VLOOKUP($A293,'NonXtal_SegEnds_BW#'!$A:$Z,15,FALSE)+VLOOKUP($A293,A:AL,22,FALSE)-50),"-",VLOOKUP($A293,'NonXtal_SegEnds_BW#'!$A:$Z,15,FALSE)+VLOOKUP($A293,A:AL,22,FALSE)-50)</f>
        <v>158</v>
      </c>
      <c r="V293" s="3">
        <v>169</v>
      </c>
      <c r="W293" s="3">
        <f>IF(ISERROR(VLOOKUP($A293,'NonXtal_SegEnds_BW#'!$A:$Z,16,FALSE)+VLOOKUP($A293,A:AL,22,FALSE)-50),"-",(VLOOKUP($A293,'NonXtal_SegEnds_BW#'!$A:$Z,16,FALSE)+VLOOKUP($A293,A:AL,22,FALSE)-50))</f>
        <v>183</v>
      </c>
      <c r="X293" s="3">
        <f>IF(ISERROR(VLOOKUP($A293,'NonXtal_SegEnds_BW#'!$A:$Z,17,FALSE)+VLOOKUP($A293,A:AL,25,FALSE)-50),"-",(VLOOKUP($A293,'NonXtal_SegEnds_BW#'!$A:$Z,17,FALSE)+VLOOKUP($A293,A:AL,25,FALSE)-50))</f>
        <v>202</v>
      </c>
      <c r="Y293" s="3">
        <v>202</v>
      </c>
      <c r="Z293" s="3">
        <f t="shared" si="158"/>
        <v>204</v>
      </c>
      <c r="AA293" s="3">
        <f>IF(ISERROR(VLOOKUP($A293,'NonXtal_SegEnds_BW#'!$A:$Z,19,FALSE)+VLOOKUP($A293,A:AL,28,FALSE)-50),"-",(VLOOKUP($A293,'NonXtal_SegEnds_BW#'!$A:$Z,19,FALSE)+VLOOKUP($A293,A:AL,28,FALSE)-50))</f>
        <v>209</v>
      </c>
      <c r="AB293" s="3">
        <v>227</v>
      </c>
      <c r="AC293" s="3">
        <v>248</v>
      </c>
      <c r="AD293" s="3">
        <f>IF(ISERROR(VLOOKUP($A293,'NonXtal_SegEnds_BW#'!$A:$Z,21,FALSE)+VLOOKUP($A293,A:AL,31,FALSE)-50),"-",(VLOOKUP($A293,'NonXtal_SegEnds_BW#'!$A:$Z,21,FALSE)+VLOOKUP($A293,A:AL,31,FALSE)-50))</f>
        <v>283</v>
      </c>
      <c r="AE293" s="3">
        <v>313</v>
      </c>
      <c r="AF293" s="3">
        <f>IF(ISERROR((VLOOKUP($A293,'NonXtal_SegEnds_BW#'!$A:$Z,22,FALSE)+VLOOKUP($A293,A:AL,31,FALSE)-50)),"-",(VLOOKUP($A293,'NonXtal_SegEnds_BW#'!$A:$Z,22,FALSE)+VLOOKUP($A293,A:AL,31,FALSE)-50))</f>
        <v>324</v>
      </c>
      <c r="AG293" s="3">
        <f>IF(ISERROR(VLOOKUP($A293,'NonXtal_SegEnds_BW#'!$A:$Z,23,FALSE)+VLOOKUP($A293,A:AL,34,FALSE)-50),"-",(VLOOKUP($A293,'NonXtal_SegEnds_BW#'!$A:$Z,23,FALSE)+VLOOKUP($A293,A:AL,34,FALSE)-50))</f>
        <v>333</v>
      </c>
      <c r="AH293" s="3">
        <v>355</v>
      </c>
      <c r="AI293" s="3">
        <f>IF(ISERROR((VLOOKUP($A293,'NonXtal_SegEnds_BW#'!$A:$Z,24,FALSE)+VLOOKUP($A293,A:AL,34,FALSE)-50)),"-",(VLOOKUP($A293,'NonXtal_SegEnds_BW#'!$A:$Z,24,FALSE)+VLOOKUP($A293,A:AL,34,FALSE)-50))</f>
        <v>361</v>
      </c>
      <c r="AJ293" s="3">
        <f>IF(ISERROR(VLOOKUP($A293,'NonXtal_SegEnds_BW#'!$A:$Z,25,FALSE)+VLOOKUP($A293,A:AL,37,FALSE)-50),"-",(VLOOKUP($A293,'NonXtal_SegEnds_BW#'!$A:$Z,25,FALSE)+VLOOKUP($A293,A:AL,37,FALSE)-50))</f>
        <v>362</v>
      </c>
      <c r="AK293" s="3">
        <v>365</v>
      </c>
      <c r="AL293" s="3">
        <f>IF(ISERROR((VLOOKUP($A293,'NonXtal_SegEnds_BW#'!$A:$Z,26,FALSE)+VLOOKUP($A293,A:AL,37,FALSE)-50)),"-",(VLOOKUP($A293,'NonXtal_SegEnds_BW#'!$A:$Z,26,FALSE)+VLOOKUP($A293,A:AL,37,FALSE)-50))</f>
        <v>373</v>
      </c>
      <c r="AM293" s="71" t="str">
        <f>VLOOKUP(A293,Classification!A:B,2,FALSE)</f>
        <v>A</v>
      </c>
      <c r="AN293" s="71" t="b">
        <f t="shared" si="133"/>
        <v>1</v>
      </c>
      <c r="AO293" s="3">
        <f t="shared" si="134"/>
        <v>1</v>
      </c>
      <c r="AP293" s="3">
        <f t="shared" si="135"/>
        <v>1</v>
      </c>
      <c r="AQ293" s="3">
        <f t="shared" si="136"/>
        <v>2</v>
      </c>
      <c r="AR293" s="3">
        <f t="shared" si="137"/>
        <v>1</v>
      </c>
      <c r="AS293" s="3">
        <f t="shared" si="138"/>
        <v>1</v>
      </c>
      <c r="AT293" s="3">
        <f t="shared" si="139"/>
        <v>1</v>
      </c>
      <c r="AU293" s="3">
        <f t="shared" si="140"/>
        <v>19</v>
      </c>
      <c r="AV293" s="3">
        <f t="shared" si="141"/>
        <v>5</v>
      </c>
      <c r="AW293" s="3">
        <f t="shared" si="142"/>
        <v>35</v>
      </c>
      <c r="AX293" s="3">
        <f t="shared" si="143"/>
        <v>9</v>
      </c>
      <c r="AY293" s="3">
        <f t="shared" si="144"/>
        <v>1</v>
      </c>
      <c r="AZ293" s="3">
        <f>IF(ISERROR(LEN(VLOOKUP(A293,Seqs!A:E,2,FALSE))-AL293),"-",LEN(VLOOKUP(A293,Seqs!A:E,2,FALSE))-AL293)</f>
        <v>52</v>
      </c>
      <c r="BA293" s="35">
        <f t="shared" si="145"/>
        <v>28</v>
      </c>
      <c r="BB293" s="3">
        <f t="shared" si="146"/>
        <v>18</v>
      </c>
      <c r="BC293" s="3">
        <f t="shared" si="147"/>
        <v>28</v>
      </c>
      <c r="BD293" s="3">
        <f t="shared" si="148"/>
        <v>86</v>
      </c>
    </row>
    <row r="294" spans="1:58" s="3" customFormat="1" x14ac:dyDescent="0.2">
      <c r="A294" s="3" t="s">
        <v>426</v>
      </c>
      <c r="B294" s="3" t="str">
        <f>LOWER(VLOOKUP(A294,Xtal_Templ!A:B,2,FALSE))</f>
        <v>ox1r_human</v>
      </c>
      <c r="C294" s="3">
        <f>VLOOKUP($A294,'NonXtal_SegEnds_BW#'!$A:$Z,3,FALSE)+D294-50</f>
        <v>41</v>
      </c>
      <c r="D294" s="3">
        <v>59</v>
      </c>
      <c r="E294" s="3">
        <f>IF(ISERROR(VLOOKUP($A294,'NonXtal_SegEnds_BW#'!$A:$Z,4,FALSE)+VLOOKUP($A294,A:AL,4,FALSE)-50),"-",(VLOOKUP($A294,'NonXtal_SegEnds_BW#'!$A:$Z,4,FALSE)+VLOOKUP($A294,A:AL,4,FALSE)-50))</f>
        <v>69</v>
      </c>
      <c r="F294" s="3">
        <f t="shared" si="162"/>
        <v>70</v>
      </c>
      <c r="G294" s="3">
        <v>72</v>
      </c>
      <c r="H294" s="3">
        <f t="shared" si="163"/>
        <v>73</v>
      </c>
      <c r="I294" s="3">
        <f t="shared" si="163"/>
        <v>74</v>
      </c>
      <c r="J294" s="3">
        <v>87</v>
      </c>
      <c r="K294" s="3">
        <f>VLOOKUP($A294,'NonXtal_SegEnds_BW#'!$A:$Z,8,FALSE)+VLOOKUP($A294,A:AL,10,FALSE)-50</f>
        <v>104</v>
      </c>
      <c r="L294" s="3">
        <f>M294-1</f>
        <v>108</v>
      </c>
      <c r="M294" s="3">
        <v>109</v>
      </c>
      <c r="N294" s="3">
        <f>M294+2</f>
        <v>111</v>
      </c>
      <c r="O294" s="3">
        <f>N294+1</f>
        <v>112</v>
      </c>
      <c r="P294" s="3">
        <v>142</v>
      </c>
      <c r="Q294" s="3">
        <f>VLOOKUP($A294,'NonXtal_SegEnds_BW#'!$A:$Z,12,FALSE)+VLOOKUP($A294,A:AL,16,FALSE)-50</f>
        <v>148</v>
      </c>
      <c r="R294" s="3">
        <f>IF(ISERROR(VLOOKUP($A294,'NonXtal_SegEnds_BW#'!$A:$Z,13,FALSE)+VLOOKUP($A294,A:AL,19,FALSE)-50),"-",VLOOKUP($A294,'NonXtal_SegEnds_BW#'!$A:$Z,13,FALSE)+VLOOKUP($A294,A:AL,19,FALSE)-50)</f>
        <v>149</v>
      </c>
      <c r="S294" s="3">
        <v>149</v>
      </c>
      <c r="T294" s="3">
        <f>IF(ISERROR(VLOOKUP($A294,'NonXtal_SegEnds_BW#'!$A:$Z,14,FALSE)+VLOOKUP($A294,A:AL,19,FALSE)-50),"-",(VLOOKUP($A294,'NonXtal_SegEnds_BW#'!$A:$Z,14,FALSE)+VLOOKUP($A294,A:AL,19,FALSE)-50))</f>
        <v>155</v>
      </c>
      <c r="U294" s="3">
        <f>IF(ISERROR(VLOOKUP($A294,'NonXtal_SegEnds_BW#'!$A:$Z,15,FALSE)+VLOOKUP($A294,A:AL,22,FALSE)-50),"-",VLOOKUP($A294,'NonXtal_SegEnds_BW#'!$A:$Z,15,FALSE)+VLOOKUP($A294,A:AL,22,FALSE)-50)</f>
        <v>156</v>
      </c>
      <c r="V294" s="3">
        <v>167</v>
      </c>
      <c r="W294" s="3">
        <f>IF(ISERROR(VLOOKUP($A294,'NonXtal_SegEnds_BW#'!$A:$Z,16,FALSE)+VLOOKUP($A294,A:AL,22,FALSE)-50),"-",(VLOOKUP($A294,'NonXtal_SegEnds_BW#'!$A:$Z,16,FALSE)+VLOOKUP($A294,A:AL,22,FALSE)-50))</f>
        <v>181</v>
      </c>
      <c r="X294" s="3">
        <f>IF(ISERROR(VLOOKUP($A294,'NonXtal_SegEnds_BW#'!$A:$Z,17,FALSE)+VLOOKUP($A294,A:AL,25,FALSE)-50),"-",(VLOOKUP($A294,'NonXtal_SegEnds_BW#'!$A:$Z,17,FALSE)+VLOOKUP($A294,A:AL,25,FALSE)-50))</f>
        <v>192</v>
      </c>
      <c r="Y294" s="3">
        <v>192</v>
      </c>
      <c r="Z294" s="3">
        <f t="shared" si="158"/>
        <v>194</v>
      </c>
      <c r="AA294" s="3">
        <f>IF(ISERROR(VLOOKUP($A294,'NonXtal_SegEnds_BW#'!$A:$Z,19,FALSE)+VLOOKUP($A294,A:AL,28,FALSE)-50),"-",(VLOOKUP($A294,'NonXtal_SegEnds_BW#'!$A:$Z,19,FALSE)+VLOOKUP($A294,A:AL,28,FALSE)-50))</f>
        <v>199</v>
      </c>
      <c r="AB294" s="3">
        <v>217</v>
      </c>
      <c r="AC294" s="3">
        <f>IF(ISERROR((VLOOKUP($A294,'NonXtal_SegEnds_BW#'!$A:$Z,20,FALSE)+VLOOKUP($A294,A:AL,28,FALSE)-50)),"-",(VLOOKUP($A294,'NonXtal_SegEnds_BW#'!$A:$Z,20,FALSE)+VLOOKUP($A294,A:AL,28,FALSE)-50))</f>
        <v>241</v>
      </c>
      <c r="AD294" s="3">
        <f>IF(ISERROR(VLOOKUP($A294,'NonXtal_SegEnds_BW#'!$A:$Z,21,FALSE)+VLOOKUP($A294,A:AL,31,FALSE)-50),"-",(VLOOKUP($A294,'NonXtal_SegEnds_BW#'!$A:$Z,21,FALSE)+VLOOKUP($A294,A:AL,31,FALSE)-50))</f>
        <v>252</v>
      </c>
      <c r="AE294" s="3">
        <v>281</v>
      </c>
      <c r="AF294" s="3">
        <f>IF(ISERROR((VLOOKUP($A294,'NonXtal_SegEnds_BW#'!$A:$Z,22,FALSE)+VLOOKUP($A294,A:AL,31,FALSE)-50)),"-",(VLOOKUP($A294,'NonXtal_SegEnds_BW#'!$A:$Z,22,FALSE)+VLOOKUP($A294,A:AL,31,FALSE)-50))</f>
        <v>292</v>
      </c>
      <c r="AG294" s="3">
        <f>IF(ISERROR(VLOOKUP($A294,'NonXtal_SegEnds_BW#'!$A:$Z,23,FALSE)+VLOOKUP($A294,A:AL,34,FALSE)-50),"-",(VLOOKUP($A294,'NonXtal_SegEnds_BW#'!$A:$Z,23,FALSE)+VLOOKUP($A294,A:AL,34,FALSE)-50))</f>
        <v>298</v>
      </c>
      <c r="AH294" s="3">
        <v>317</v>
      </c>
      <c r="AI294" s="3">
        <f>IF(ISERROR((VLOOKUP($A294,'NonXtal_SegEnds_BW#'!$A:$Z,24,FALSE)+VLOOKUP($A294,A:AL,34,FALSE)-50)),"-",(VLOOKUP($A294,'NonXtal_SegEnds_BW#'!$A:$Z,24,FALSE)+VLOOKUP($A294,A:AL,34,FALSE)-50))</f>
        <v>323</v>
      </c>
      <c r="AJ294" s="3">
        <f>IF(ISERROR(VLOOKUP($A294,'NonXtal_SegEnds_BW#'!$A:$Z,25,FALSE)+VLOOKUP($A294,A:AL,37,FALSE)-50),"-",(VLOOKUP($A294,'NonXtal_SegEnds_BW#'!$A:$Z,25,FALSE)+VLOOKUP($A294,A:AL,37,FALSE)-50))</f>
        <v>324</v>
      </c>
      <c r="AK294" s="3">
        <v>327</v>
      </c>
      <c r="AL294" s="3">
        <f>IF(ISERROR((VLOOKUP($A294,'NonXtal_SegEnds_BW#'!$A:$Z,26,FALSE)+VLOOKUP($A294,A:AL,37,FALSE)-50)),"-",(VLOOKUP($A294,'NonXtal_SegEnds_BW#'!$A:$Z,26,FALSE)+VLOOKUP($A294,A:AL,37,FALSE)-50))</f>
        <v>335</v>
      </c>
      <c r="AM294" s="71" t="str">
        <f>VLOOKUP(A294,Classification!A:B,2,FALSE)</f>
        <v>A</v>
      </c>
      <c r="AN294" s="71" t="b">
        <f t="shared" si="133"/>
        <v>1</v>
      </c>
      <c r="AO294" s="3">
        <f t="shared" si="134"/>
        <v>1</v>
      </c>
      <c r="AP294" s="3">
        <f t="shared" si="135"/>
        <v>1</v>
      </c>
      <c r="AQ294" s="3">
        <f t="shared" si="136"/>
        <v>4</v>
      </c>
      <c r="AR294" s="3">
        <f t="shared" si="137"/>
        <v>1</v>
      </c>
      <c r="AS294" s="3">
        <f t="shared" si="138"/>
        <v>1</v>
      </c>
      <c r="AT294" s="3">
        <f t="shared" si="139"/>
        <v>1</v>
      </c>
      <c r="AU294" s="3">
        <f t="shared" si="140"/>
        <v>11</v>
      </c>
      <c r="AV294" s="3">
        <f t="shared" si="141"/>
        <v>5</v>
      </c>
      <c r="AW294" s="3">
        <f t="shared" si="142"/>
        <v>11</v>
      </c>
      <c r="AX294" s="3">
        <f t="shared" si="143"/>
        <v>6</v>
      </c>
      <c r="AY294" s="3">
        <f t="shared" si="144"/>
        <v>1</v>
      </c>
      <c r="AZ294" s="3">
        <f>IF(ISERROR(LEN(VLOOKUP(A294,Seqs!A:E,2,FALSE))-AL294),"-",LEN(VLOOKUP(A294,Seqs!A:E,2,FALSE))-AL294)</f>
        <v>180</v>
      </c>
      <c r="BA294" s="35">
        <f t="shared" si="145"/>
        <v>28</v>
      </c>
      <c r="BB294" s="3">
        <f t="shared" si="146"/>
        <v>18</v>
      </c>
      <c r="BC294" s="3">
        <f t="shared" si="147"/>
        <v>28</v>
      </c>
      <c r="BD294" s="3">
        <f t="shared" si="148"/>
        <v>64</v>
      </c>
    </row>
    <row r="295" spans="1:58" s="3" customFormat="1" x14ac:dyDescent="0.2">
      <c r="A295" s="3" t="s">
        <v>538</v>
      </c>
      <c r="B295" s="3" t="str">
        <f>LOWER(VLOOKUP(A295,Xtal_Templ!A:B,2,FALSE))</f>
        <v>ox1r_human</v>
      </c>
      <c r="C295" s="3">
        <f>VLOOKUP($A295,'NonXtal_SegEnds_BW#'!$A:$Z,3,FALSE)+D295-50</f>
        <v>39</v>
      </c>
      <c r="D295" s="3">
        <v>57</v>
      </c>
      <c r="E295" s="3">
        <f>IF(ISERROR(VLOOKUP($A295,'NonXtal_SegEnds_BW#'!$A:$Z,4,FALSE)+VLOOKUP($A295,A:AL,4,FALSE)-50),"-",(VLOOKUP($A295,'NonXtal_SegEnds_BW#'!$A:$Z,4,FALSE)+VLOOKUP($A295,A:AL,4,FALSE)-50))</f>
        <v>67</v>
      </c>
      <c r="F295" s="3">
        <f t="shared" si="162"/>
        <v>68</v>
      </c>
      <c r="G295" s="3">
        <v>70</v>
      </c>
      <c r="H295" s="3">
        <f t="shared" si="163"/>
        <v>71</v>
      </c>
      <c r="I295" s="3">
        <f t="shared" si="163"/>
        <v>72</v>
      </c>
      <c r="J295" s="3">
        <v>85</v>
      </c>
      <c r="K295" s="3">
        <f>VLOOKUP($A295,'NonXtal_SegEnds_BW#'!$A:$Z,8,FALSE)+VLOOKUP($A295,A:AL,10,FALSE)-50</f>
        <v>101</v>
      </c>
      <c r="L295" s="3">
        <f>M295-1</f>
        <v>102</v>
      </c>
      <c r="M295" s="3">
        <v>103</v>
      </c>
      <c r="N295" s="3">
        <f>M295+2</f>
        <v>105</v>
      </c>
      <c r="O295" s="3">
        <f>N295+1</f>
        <v>106</v>
      </c>
      <c r="P295" s="3">
        <v>137</v>
      </c>
      <c r="Q295" s="3">
        <f>VLOOKUP($A295,'NonXtal_SegEnds_BW#'!$A:$Z,12,FALSE)+VLOOKUP($A295,A:AL,16,FALSE)-50</f>
        <v>143</v>
      </c>
      <c r="R295" s="3">
        <f>IF(ISERROR(VLOOKUP($A295,'NonXtal_SegEnds_BW#'!$A:$Z,13,FALSE)+VLOOKUP($A295,A:AL,19,FALSE)-50),"-",VLOOKUP($A295,'NonXtal_SegEnds_BW#'!$A:$Z,13,FALSE)+VLOOKUP($A295,A:AL,19,FALSE)-50)</f>
        <v>144</v>
      </c>
      <c r="S295" s="3">
        <v>144</v>
      </c>
      <c r="T295" s="3">
        <f>IF(ISERROR(VLOOKUP($A295,'NonXtal_SegEnds_BW#'!$A:$Z,14,FALSE)+VLOOKUP($A295,A:AL,19,FALSE)-50),"-",(VLOOKUP($A295,'NonXtal_SegEnds_BW#'!$A:$Z,14,FALSE)+VLOOKUP($A295,A:AL,19,FALSE)-50))</f>
        <v>149</v>
      </c>
      <c r="U295" s="3">
        <f>IF(ISERROR(VLOOKUP($A295,'NonXtal_SegEnds_BW#'!$A:$Z,15,FALSE)+VLOOKUP($A295,A:AL,22,FALSE)-50),"-",VLOOKUP($A295,'NonXtal_SegEnds_BW#'!$A:$Z,15,FALSE)+VLOOKUP($A295,A:AL,22,FALSE)-50)</f>
        <v>150</v>
      </c>
      <c r="V295" s="3">
        <v>161</v>
      </c>
      <c r="W295" s="3">
        <f>IF(ISERROR(VLOOKUP($A295,'NonXtal_SegEnds_BW#'!$A:$Z,16,FALSE)+VLOOKUP($A295,A:AL,22,FALSE)-50),"-",(VLOOKUP($A295,'NonXtal_SegEnds_BW#'!$A:$Z,16,FALSE)+VLOOKUP($A295,A:AL,22,FALSE)-50))</f>
        <v>175</v>
      </c>
      <c r="X295" s="3">
        <f>IF(ISERROR(VLOOKUP($A295,'NonXtal_SegEnds_BW#'!$A:$Z,17,FALSE)+VLOOKUP($A295,A:AL,25,FALSE)-50),"-",(VLOOKUP($A295,'NonXtal_SegEnds_BW#'!$A:$Z,17,FALSE)+VLOOKUP($A295,A:AL,25,FALSE)-50))</f>
        <v>187</v>
      </c>
      <c r="Y295" s="3">
        <v>187</v>
      </c>
      <c r="Z295" s="3">
        <f t="shared" si="158"/>
        <v>189</v>
      </c>
      <c r="AA295" s="3">
        <f>IF(ISERROR(VLOOKUP($A295,'NonXtal_SegEnds_BW#'!$A:$Z,19,FALSE)+VLOOKUP($A295,A:AL,28,FALSE)-50),"-",(VLOOKUP($A295,'NonXtal_SegEnds_BW#'!$A:$Z,19,FALSE)+VLOOKUP($A295,A:AL,28,FALSE)-50))</f>
        <v>194</v>
      </c>
      <c r="AB295" s="3">
        <v>212</v>
      </c>
      <c r="AC295" s="3">
        <f>IF(ISERROR((VLOOKUP($A295,'NonXtal_SegEnds_BW#'!$A:$Z,20,FALSE)+VLOOKUP($A295,A:AL,28,FALSE)-50)),"-",(VLOOKUP($A295,'NonXtal_SegEnds_BW#'!$A:$Z,20,FALSE)+VLOOKUP($A295,A:AL,28,FALSE)-50))</f>
        <v>238</v>
      </c>
      <c r="AD295" s="3">
        <f>IF(ISERROR(VLOOKUP($A295,'NonXtal_SegEnds_BW#'!$A:$Z,21,FALSE)+VLOOKUP($A295,A:AL,31,FALSE)-50),"-",(VLOOKUP($A295,'NonXtal_SegEnds_BW#'!$A:$Z,21,FALSE)+VLOOKUP($A295,A:AL,31,FALSE)-50))</f>
        <v>264</v>
      </c>
      <c r="AE295" s="3">
        <v>290</v>
      </c>
      <c r="AF295" s="3">
        <f>IF(ISERROR((VLOOKUP($A295,'NonXtal_SegEnds_BW#'!$A:$Z,22,FALSE)+VLOOKUP($A295,A:AL,31,FALSE)-50)),"-",(VLOOKUP($A295,'NonXtal_SegEnds_BW#'!$A:$Z,22,FALSE)+VLOOKUP($A295,A:AL,31,FALSE)-50))</f>
        <v>301</v>
      </c>
      <c r="AG295" s="3">
        <f>IF(ISERROR(VLOOKUP($A295,'NonXtal_SegEnds_BW#'!$A:$Z,23,FALSE)+VLOOKUP($A295,A:AL,34,FALSE)-50),"-",(VLOOKUP($A295,'NonXtal_SegEnds_BW#'!$A:$Z,23,FALSE)+VLOOKUP($A295,A:AL,34,FALSE)-50))</f>
        <v>307</v>
      </c>
      <c r="AH295" s="3">
        <v>326</v>
      </c>
      <c r="AI295" s="3">
        <f>IF(ISERROR((VLOOKUP($A295,'NonXtal_SegEnds_BW#'!$A:$Z,24,FALSE)+VLOOKUP($A295,A:AL,34,FALSE)-50)),"-",(VLOOKUP($A295,'NonXtal_SegEnds_BW#'!$A:$Z,24,FALSE)+VLOOKUP($A295,A:AL,34,FALSE)-50))</f>
        <v>332</v>
      </c>
      <c r="AJ295" s="3">
        <f>IF(ISERROR(VLOOKUP($A295,'NonXtal_SegEnds_BW#'!$A:$Z,25,FALSE)+VLOOKUP($A295,A:AL,37,FALSE)-50),"-",(VLOOKUP($A295,'NonXtal_SegEnds_BW#'!$A:$Z,25,FALSE)+VLOOKUP($A295,A:AL,37,FALSE)-50))</f>
        <v>333</v>
      </c>
      <c r="AK295" s="3">
        <v>336</v>
      </c>
      <c r="AL295" s="3">
        <f>IF(ISERROR((VLOOKUP($A295,'NonXtal_SegEnds_BW#'!$A:$Z,26,FALSE)+VLOOKUP($A295,A:AL,37,FALSE)-50)),"-",(VLOOKUP($A295,'NonXtal_SegEnds_BW#'!$A:$Z,26,FALSE)+VLOOKUP($A295,A:AL,37,FALSE)-50))</f>
        <v>344</v>
      </c>
      <c r="AM295" s="71" t="str">
        <f>VLOOKUP(A295,Classification!A:B,2,FALSE)</f>
        <v>A</v>
      </c>
      <c r="AN295" s="71" t="b">
        <f t="shared" si="133"/>
        <v>1</v>
      </c>
      <c r="AO295" s="3">
        <f t="shared" si="134"/>
        <v>1</v>
      </c>
      <c r="AP295" s="3">
        <f t="shared" si="135"/>
        <v>1</v>
      </c>
      <c r="AQ295" s="3">
        <f t="shared" si="136"/>
        <v>1</v>
      </c>
      <c r="AR295" s="3">
        <f t="shared" si="137"/>
        <v>1</v>
      </c>
      <c r="AS295" s="3">
        <f t="shared" si="138"/>
        <v>1</v>
      </c>
      <c r="AT295" s="3">
        <f t="shared" si="139"/>
        <v>1</v>
      </c>
      <c r="AU295" s="3">
        <f t="shared" si="140"/>
        <v>12</v>
      </c>
      <c r="AV295" s="3">
        <f t="shared" si="141"/>
        <v>5</v>
      </c>
      <c r="AW295" s="3">
        <f t="shared" si="142"/>
        <v>26</v>
      </c>
      <c r="AX295" s="3">
        <f t="shared" si="143"/>
        <v>6</v>
      </c>
      <c r="AY295" s="3">
        <f t="shared" si="144"/>
        <v>1</v>
      </c>
      <c r="AZ295" s="3">
        <f>IF(ISERROR(LEN(VLOOKUP(A295,Seqs!A:E,2,FALSE))-AL295),"-",LEN(VLOOKUP(A295,Seqs!A:E,2,FALSE))-AL295)</f>
        <v>45</v>
      </c>
      <c r="BA295" s="35">
        <f t="shared" si="145"/>
        <v>28</v>
      </c>
      <c r="BB295" s="3">
        <f t="shared" si="146"/>
        <v>17</v>
      </c>
      <c r="BC295" s="3">
        <f t="shared" si="147"/>
        <v>28</v>
      </c>
      <c r="BD295" s="3">
        <f t="shared" si="148"/>
        <v>78</v>
      </c>
    </row>
    <row r="296" spans="1:58" s="3" customFormat="1" x14ac:dyDescent="0.2">
      <c r="A296" s="3" t="s">
        <v>509</v>
      </c>
      <c r="B296" s="3" t="str">
        <f>LOWER(VLOOKUP(A296,Xtal_Templ!A:B,2,FALSE))</f>
        <v>ox1r_human</v>
      </c>
      <c r="C296" s="3">
        <f>VLOOKUP($A296,'NonXtal_SegEnds_BW#'!$A:$Z,3,FALSE)+D296-50</f>
        <v>33</v>
      </c>
      <c r="D296" s="3">
        <v>51</v>
      </c>
      <c r="E296" s="3">
        <f>IF(ISERROR(VLOOKUP($A296,'NonXtal_SegEnds_BW#'!$A:$Z,4,FALSE)+VLOOKUP($A296,A:AL,4,FALSE)-50),"-",(VLOOKUP($A296,'NonXtal_SegEnds_BW#'!$A:$Z,4,FALSE)+VLOOKUP($A296,A:AL,4,FALSE)-50))</f>
        <v>61</v>
      </c>
      <c r="F296" s="3">
        <f t="shared" si="162"/>
        <v>62</v>
      </c>
      <c r="G296" s="3">
        <v>64</v>
      </c>
      <c r="H296" s="3">
        <f t="shared" si="163"/>
        <v>65</v>
      </c>
      <c r="I296" s="3">
        <f t="shared" si="163"/>
        <v>66</v>
      </c>
      <c r="J296" s="3">
        <v>79</v>
      </c>
      <c r="K296" s="3">
        <f>VLOOKUP($A296,'NonXtal_SegEnds_BW#'!$A:$Z,8,FALSE)+VLOOKUP($A296,A:AL,10,FALSE)-50</f>
        <v>96</v>
      </c>
      <c r="L296" s="3">
        <f>M296-1</f>
        <v>98</v>
      </c>
      <c r="M296" s="3">
        <v>99</v>
      </c>
      <c r="N296" s="3">
        <f>M296+2</f>
        <v>101</v>
      </c>
      <c r="O296" s="3">
        <f>N296+1</f>
        <v>102</v>
      </c>
      <c r="P296" s="3">
        <v>131</v>
      </c>
      <c r="Q296" s="3">
        <f>VLOOKUP($A296,'NonXtal_SegEnds_BW#'!$A:$Z,12,FALSE)+VLOOKUP($A296,A:AL,16,FALSE)-50</f>
        <v>137</v>
      </c>
      <c r="R296" s="3">
        <f>IF(ISERROR(VLOOKUP($A296,'NonXtal_SegEnds_BW#'!$A:$Z,13,FALSE)+VLOOKUP($A296,A:AL,19,FALSE)-50),"-",VLOOKUP($A296,'NonXtal_SegEnds_BW#'!$A:$Z,13,FALSE)+VLOOKUP($A296,A:AL,19,FALSE)-50)</f>
        <v>138</v>
      </c>
      <c r="S296" s="3">
        <v>138</v>
      </c>
      <c r="T296" s="3">
        <f>IF(ISERROR(VLOOKUP($A296,'NonXtal_SegEnds_BW#'!$A:$Z,14,FALSE)+VLOOKUP($A296,A:AL,19,FALSE)-50),"-",(VLOOKUP($A296,'NonXtal_SegEnds_BW#'!$A:$Z,14,FALSE)+VLOOKUP($A296,A:AL,19,FALSE)-50))</f>
        <v>144</v>
      </c>
      <c r="U296" s="3">
        <f>IF(ISERROR(VLOOKUP($A296,'NonXtal_SegEnds_BW#'!$A:$Z,15,FALSE)+VLOOKUP($A296,A:AL,22,FALSE)-50),"-",VLOOKUP($A296,'NonXtal_SegEnds_BW#'!$A:$Z,15,FALSE)+VLOOKUP($A296,A:AL,22,FALSE)-50)</f>
        <v>145</v>
      </c>
      <c r="V296" s="3">
        <v>156</v>
      </c>
      <c r="W296" s="3">
        <f>IF(ISERROR(VLOOKUP($A296,'NonXtal_SegEnds_BW#'!$A:$Z,16,FALSE)+VLOOKUP($A296,A:AL,22,FALSE)-50),"-",(VLOOKUP($A296,'NonXtal_SegEnds_BW#'!$A:$Z,16,FALSE)+VLOOKUP($A296,A:AL,22,FALSE)-50))</f>
        <v>170</v>
      </c>
      <c r="X296" s="3">
        <f>IF(ISERROR(VLOOKUP($A296,'NonXtal_SegEnds_BW#'!$A:$Z,17,FALSE)+VLOOKUP($A296,A:AL,25,FALSE)-50),"-",(VLOOKUP($A296,'NonXtal_SegEnds_BW#'!$A:$Z,17,FALSE)+VLOOKUP($A296,A:AL,25,FALSE)-50))</f>
        <v>181</v>
      </c>
      <c r="Y296" s="3">
        <v>181</v>
      </c>
      <c r="Z296" s="3">
        <f t="shared" si="158"/>
        <v>183</v>
      </c>
      <c r="AA296" s="3">
        <f>IF(ISERROR(VLOOKUP($A296,'NonXtal_SegEnds_BW#'!$A:$Z,19,FALSE)+VLOOKUP($A296,A:AL,28,FALSE)-50),"-",(VLOOKUP($A296,'NonXtal_SegEnds_BW#'!$A:$Z,19,FALSE)+VLOOKUP($A296,A:AL,28,FALSE)-50))</f>
        <v>191</v>
      </c>
      <c r="AB296" s="3">
        <v>209</v>
      </c>
      <c r="AC296" s="3">
        <f>IF(ISERROR((VLOOKUP($A296,'NonXtal_SegEnds_BW#'!$A:$Z,20,FALSE)+VLOOKUP($A296,A:AL,28,FALSE)-50)),"-",(VLOOKUP($A296,'NonXtal_SegEnds_BW#'!$A:$Z,20,FALSE)+VLOOKUP($A296,A:AL,28,FALSE)-50))</f>
        <v>232</v>
      </c>
      <c r="AD296" s="3">
        <f>IF(ISERROR(VLOOKUP($A296,'NonXtal_SegEnds_BW#'!$A:$Z,21,FALSE)+VLOOKUP($A296,A:AL,31,FALSE)-50),"-",(VLOOKUP($A296,'NonXtal_SegEnds_BW#'!$A:$Z,21,FALSE)+VLOOKUP($A296,A:AL,31,FALSE)-50))</f>
        <v>237</v>
      </c>
      <c r="AE296" s="3">
        <v>265</v>
      </c>
      <c r="AF296" s="3">
        <f>IF(ISERROR((VLOOKUP($A296,'NonXtal_SegEnds_BW#'!$A:$Z,22,FALSE)+VLOOKUP($A296,A:AL,31,FALSE)-50)),"-",(VLOOKUP($A296,'NonXtal_SegEnds_BW#'!$A:$Z,22,FALSE)+VLOOKUP($A296,A:AL,31,FALSE)-50))</f>
        <v>276</v>
      </c>
      <c r="AG296" s="3">
        <f>IF(ISERROR(VLOOKUP($A296,'NonXtal_SegEnds_BW#'!$A:$Z,23,FALSE)+VLOOKUP($A296,A:AL,34,FALSE)-50),"-",(VLOOKUP($A296,'NonXtal_SegEnds_BW#'!$A:$Z,23,FALSE)+VLOOKUP($A296,A:AL,34,FALSE)-50))</f>
        <v>282</v>
      </c>
      <c r="AH296" s="3">
        <v>304</v>
      </c>
      <c r="AI296" s="3">
        <f>IF(ISERROR((VLOOKUP($A296,'NonXtal_SegEnds_BW#'!$A:$Z,24,FALSE)+VLOOKUP($A296,A:AL,34,FALSE)-50)),"-",(VLOOKUP($A296,'NonXtal_SegEnds_BW#'!$A:$Z,24,FALSE)+VLOOKUP($A296,A:AL,34,FALSE)-50))</f>
        <v>310</v>
      </c>
      <c r="AJ296" s="3">
        <f>IF(ISERROR(VLOOKUP($A296,'NonXtal_SegEnds_BW#'!$A:$Z,25,FALSE)+VLOOKUP($A296,A:AL,37,FALSE)-50),"-",(VLOOKUP($A296,'NonXtal_SegEnds_BW#'!$A:$Z,25,FALSE)+VLOOKUP($A296,A:AL,37,FALSE)-50))</f>
        <v>311</v>
      </c>
      <c r="AK296" s="3">
        <v>314</v>
      </c>
      <c r="AL296" s="3">
        <f>IF(ISERROR((VLOOKUP($A296,'NonXtal_SegEnds_BW#'!$A:$Z,26,FALSE)+VLOOKUP($A296,A:AL,37,FALSE)-50)),"-",(VLOOKUP($A296,'NonXtal_SegEnds_BW#'!$A:$Z,26,FALSE)+VLOOKUP($A296,A:AL,37,FALSE)-50))</f>
        <v>322</v>
      </c>
      <c r="AM296" s="71" t="str">
        <f>VLOOKUP(A296,Classification!A:B,2,FALSE)</f>
        <v>A</v>
      </c>
      <c r="AN296" s="71" t="b">
        <f t="shared" si="133"/>
        <v>1</v>
      </c>
      <c r="AO296" s="3">
        <f t="shared" si="134"/>
        <v>1</v>
      </c>
      <c r="AP296" s="3">
        <f t="shared" si="135"/>
        <v>1</v>
      </c>
      <c r="AQ296" s="3">
        <f t="shared" si="136"/>
        <v>2</v>
      </c>
      <c r="AR296" s="3">
        <f t="shared" si="137"/>
        <v>1</v>
      </c>
      <c r="AS296" s="3">
        <f t="shared" si="138"/>
        <v>1</v>
      </c>
      <c r="AT296" s="3">
        <f t="shared" si="139"/>
        <v>1</v>
      </c>
      <c r="AU296" s="3">
        <f t="shared" si="140"/>
        <v>11</v>
      </c>
      <c r="AV296" s="3">
        <f t="shared" si="141"/>
        <v>8</v>
      </c>
      <c r="AW296" s="3">
        <f t="shared" si="142"/>
        <v>5</v>
      </c>
      <c r="AX296" s="3">
        <f t="shared" si="143"/>
        <v>6</v>
      </c>
      <c r="AY296" s="3">
        <f t="shared" si="144"/>
        <v>1</v>
      </c>
      <c r="AZ296" s="3">
        <f>IF(ISERROR(LEN(VLOOKUP(A296,Seqs!A:E,2,FALSE))-AL296),"-",LEN(VLOOKUP(A296,Seqs!A:E,2,FALSE))-AL296)</f>
        <v>76</v>
      </c>
      <c r="BA296" s="35">
        <f t="shared" si="145"/>
        <v>28</v>
      </c>
      <c r="BB296" s="3">
        <f t="shared" si="146"/>
        <v>18</v>
      </c>
      <c r="BC296" s="3">
        <f t="shared" si="147"/>
        <v>28</v>
      </c>
      <c r="BD296" s="3">
        <f t="shared" si="148"/>
        <v>56</v>
      </c>
    </row>
    <row r="297" spans="1:58" s="3" customFormat="1" ht="17" customHeight="1" x14ac:dyDescent="0.2">
      <c r="A297" s="3" t="s">
        <v>464</v>
      </c>
      <c r="B297" s="3" t="str">
        <f>LOWER(VLOOKUP(A297,Xtal_Templ!A:B,2,FALSE))</f>
        <v>ox1r_human</v>
      </c>
      <c r="C297" s="3">
        <f>VLOOKUP($A297,'NonXtal_SegEnds_BW#'!$A:$Z,3,FALSE)+D297-50</f>
        <v>20</v>
      </c>
      <c r="D297" s="3">
        <v>38</v>
      </c>
      <c r="E297" s="3">
        <f>IF(ISERROR(VLOOKUP($A297,'NonXtal_SegEnds_BW#'!$A:$Z,4,FALSE)+VLOOKUP($A297,A:AL,4,FALSE)-50),"-",(VLOOKUP($A297,'NonXtal_SegEnds_BW#'!$A:$Z,4,FALSE)+VLOOKUP($A297,A:AL,4,FALSE)-50))</f>
        <v>48</v>
      </c>
      <c r="F297" s="3">
        <f t="shared" si="162"/>
        <v>49</v>
      </c>
      <c r="G297" s="3">
        <v>51</v>
      </c>
      <c r="H297" s="3">
        <f t="shared" si="163"/>
        <v>52</v>
      </c>
      <c r="I297" s="3">
        <f t="shared" si="163"/>
        <v>53</v>
      </c>
      <c r="J297" s="3">
        <v>66</v>
      </c>
      <c r="K297" s="3">
        <f>VLOOKUP($A297,'NonXtal_SegEnds_BW#'!$A:$Z,8,FALSE)+VLOOKUP($A297,A:AL,10,FALSE)-50</f>
        <v>83</v>
      </c>
      <c r="L297" s="3" t="str">
        <f>IF(ISERROR(VLOOKUP($A297,'NonXtal_SegEnds_BW#'!$A:$Z,9,FALSE)+VLOOKUP($A297,A:AL,13,FALSE)-50),"-",(VLOOKUP($A297,'NonXtal_SegEnds_BW#'!$A:$Z,9,FALSE)+VLOOKUP($A297,A:AL,13,FALSE)-50))</f>
        <v>-</v>
      </c>
      <c r="M297" s="3" t="s">
        <v>129</v>
      </c>
      <c r="N297" s="3" t="str">
        <f>IF(ISERROR(VLOOKUP($A297,'NonXtal_SegEnds_BW#'!$A:$Z,10,FALSE)+VLOOKUP($A297,A:AL,13,FALSE)-50),"-",(VLOOKUP($A297,'NonXtal_SegEnds_BW#'!$A:$Z,10,FALSE)+VLOOKUP($A297,A:AL,13,FALSE)-50))</f>
        <v>-</v>
      </c>
      <c r="O297" s="3">
        <f>VLOOKUP($A297,'NonXtal_SegEnds_BW#'!$A:$Z,11,FALSE)+VLOOKUP($A297,A:AL,16,FALSE)-50</f>
        <v>86</v>
      </c>
      <c r="P297" s="3">
        <v>118</v>
      </c>
      <c r="Q297" s="3">
        <f>VLOOKUP($A297,'NonXtal_SegEnds_BW#'!$A:$Z,12,FALSE)+VLOOKUP($A297,A:AL,16,FALSE)-50</f>
        <v>124</v>
      </c>
      <c r="R297" s="3">
        <f>IF(ISERROR(VLOOKUP($A297,'NonXtal_SegEnds_BW#'!$A:$Z,13,FALSE)+VLOOKUP($A297,A:AL,19,FALSE)-50),"-",VLOOKUP($A297,'NonXtal_SegEnds_BW#'!$A:$Z,13,FALSE)+VLOOKUP($A297,A:AL,19,FALSE)-50)</f>
        <v>125</v>
      </c>
      <c r="S297" s="3">
        <v>125</v>
      </c>
      <c r="T297" s="3">
        <f>IF(ISERROR(VLOOKUP($A297,'NonXtal_SegEnds_BW#'!$A:$Z,14,FALSE)+VLOOKUP($A297,A:AL,19,FALSE)-50),"-",(VLOOKUP($A297,'NonXtal_SegEnds_BW#'!$A:$Z,14,FALSE)+VLOOKUP($A297,A:AL,19,FALSE)-50))</f>
        <v>132</v>
      </c>
      <c r="U297" s="3">
        <f>IF(ISERROR(VLOOKUP($A297,'NonXtal_SegEnds_BW#'!$A:$Z,15,FALSE)+VLOOKUP($A297,A:AL,22,FALSE)-50),"-",VLOOKUP($A297,'NonXtal_SegEnds_BW#'!$A:$Z,15,FALSE)+VLOOKUP($A297,A:AL,22,FALSE)-50)</f>
        <v>134</v>
      </c>
      <c r="V297" s="3">
        <v>145</v>
      </c>
      <c r="W297" s="3">
        <f>IF(ISERROR(VLOOKUP($A297,'NonXtal_SegEnds_BW#'!$A:$Z,16,FALSE)+VLOOKUP($A297,A:AL,22,FALSE)-50),"-",(VLOOKUP($A297,'NonXtal_SegEnds_BW#'!$A:$Z,16,FALSE)+VLOOKUP($A297,A:AL,22,FALSE)-50))</f>
        <v>159</v>
      </c>
      <c r="X297" s="3">
        <f>IF(ISERROR(VLOOKUP($A297,'NonXtal_SegEnds_BW#'!$A:$Z,17,FALSE)+VLOOKUP($A297,A:AL,25,FALSE)-50),"-",(VLOOKUP($A297,'NonXtal_SegEnds_BW#'!$A:$Z,17,FALSE)+VLOOKUP($A297,A:AL,25,FALSE)-50))</f>
        <v>168</v>
      </c>
      <c r="Y297" s="3">
        <v>168</v>
      </c>
      <c r="Z297" s="3">
        <f t="shared" si="158"/>
        <v>170</v>
      </c>
      <c r="AA297" s="3">
        <f>IF(ISERROR(VLOOKUP($A297,'NonXtal_SegEnds_BW#'!$A:$Z,19,FALSE)+VLOOKUP($A297,A:AL,28,FALSE)-50),"-",(VLOOKUP($A297,'NonXtal_SegEnds_BW#'!$A:$Z,19,FALSE)+VLOOKUP($A297,A:AL,28,FALSE)-50))</f>
        <v>217</v>
      </c>
      <c r="AB297" s="3">
        <v>235</v>
      </c>
      <c r="AC297" s="3">
        <f>IF(ISERROR((VLOOKUP($A297,'NonXtal_SegEnds_BW#'!$A:$Z,20,FALSE)+VLOOKUP($A297,A:AL,28,FALSE)-50)),"-",(VLOOKUP($A297,'NonXtal_SegEnds_BW#'!$A:$Z,20,FALSE)+VLOOKUP($A297,A:AL,28,FALSE)-50))</f>
        <v>259</v>
      </c>
      <c r="AD297" s="3">
        <f>IF(ISERROR(VLOOKUP($A297,'NonXtal_SegEnds_BW#'!$A:$Z,21,FALSE)+VLOOKUP($A297,A:AL,31,FALSE)-50),"-",(VLOOKUP($A297,'NonXtal_SegEnds_BW#'!$A:$Z,21,FALSE)+VLOOKUP($A297,A:AL,31,FALSE)-50))</f>
        <v>308</v>
      </c>
      <c r="AE297" s="3">
        <v>334</v>
      </c>
      <c r="AF297" s="3">
        <f>IF(ISERROR((VLOOKUP($A297,'NonXtal_SegEnds_BW#'!$A:$Z,22,FALSE)+VLOOKUP($A297,A:AL,31,FALSE)-50)),"-",(VLOOKUP($A297,'NonXtal_SegEnds_BW#'!$A:$Z,22,FALSE)+VLOOKUP($A297,A:AL,31,FALSE)-50))</f>
        <v>345</v>
      </c>
      <c r="AG297" s="3">
        <f>IF(ISERROR(VLOOKUP($A297,'NonXtal_SegEnds_BW#'!$A:$Z,23,FALSE)+VLOOKUP($A297,A:AL,34,FALSE)-50),"-",(VLOOKUP($A297,'NonXtal_SegEnds_BW#'!$A:$Z,23,FALSE)+VLOOKUP($A297,A:AL,34,FALSE)-50))</f>
        <v>350</v>
      </c>
      <c r="AH297" s="3">
        <v>367</v>
      </c>
      <c r="AI297" s="3">
        <f>IF(ISERROR((VLOOKUP($A297,'NonXtal_SegEnds_BW#'!$A:$Z,24,FALSE)+VLOOKUP($A297,A:AL,34,FALSE)-50)),"-",(VLOOKUP($A297,'NonXtal_SegEnds_BW#'!$A:$Z,24,FALSE)+VLOOKUP($A297,A:AL,34,FALSE)-50))</f>
        <v>373</v>
      </c>
      <c r="AJ297" s="3">
        <f>IF(ISERROR(VLOOKUP($A297,'NonXtal_SegEnds_BW#'!$A:$Z,25,FALSE)+VLOOKUP($A297,A:AL,37,FALSE)-50),"-",(VLOOKUP($A297,'NonXtal_SegEnds_BW#'!$A:$Z,25,FALSE)+VLOOKUP($A297,A:AL,37,FALSE)-50))</f>
        <v>374</v>
      </c>
      <c r="AK297" s="3">
        <v>377</v>
      </c>
      <c r="AL297" s="3">
        <f>IF(ISERROR((VLOOKUP($A297,'NonXtal_SegEnds_BW#'!$A:$Z,26,FALSE)+VLOOKUP($A297,A:AL,37,FALSE)-50)),"-",(VLOOKUP($A297,'NonXtal_SegEnds_BW#'!$A:$Z,26,FALSE)+VLOOKUP($A297,A:AL,37,FALSE)-50))</f>
        <v>385</v>
      </c>
      <c r="AM297" s="71" t="str">
        <f>VLOOKUP(A297,Classification!A:B,2,FALSE)</f>
        <v>A</v>
      </c>
      <c r="AN297" s="71" t="b">
        <f t="shared" si="133"/>
        <v>1</v>
      </c>
      <c r="AO297" s="3">
        <f t="shared" si="134"/>
        <v>1</v>
      </c>
      <c r="AP297" s="3">
        <f t="shared" si="135"/>
        <v>1</v>
      </c>
      <c r="AQ297" s="3" t="str">
        <f t="shared" si="136"/>
        <v>-</v>
      </c>
      <c r="AR297" s="3" t="str">
        <f t="shared" si="137"/>
        <v>-</v>
      </c>
      <c r="AS297" s="3">
        <f t="shared" si="138"/>
        <v>1</v>
      </c>
      <c r="AT297" s="3">
        <f t="shared" si="139"/>
        <v>2</v>
      </c>
      <c r="AU297" s="3">
        <f t="shared" si="140"/>
        <v>9</v>
      </c>
      <c r="AV297" s="3">
        <f t="shared" si="141"/>
        <v>47</v>
      </c>
      <c r="AW297" s="3">
        <f t="shared" si="142"/>
        <v>49</v>
      </c>
      <c r="AX297" s="3">
        <f t="shared" si="143"/>
        <v>5</v>
      </c>
      <c r="AY297" s="3">
        <f t="shared" si="144"/>
        <v>1</v>
      </c>
      <c r="AZ297" s="3">
        <f>IF(ISERROR(LEN(VLOOKUP(A297,Seqs!A:E,2,FALSE))-AL297),"-",LEN(VLOOKUP(A297,Seqs!A:E,2,FALSE))-AL297)</f>
        <v>11</v>
      </c>
      <c r="BA297" s="35">
        <f t="shared" si="145"/>
        <v>28</v>
      </c>
      <c r="BB297" s="3">
        <f t="shared" si="146"/>
        <v>20</v>
      </c>
      <c r="BC297" s="3">
        <f t="shared" si="147"/>
        <v>28</v>
      </c>
      <c r="BD297" s="3">
        <f t="shared" si="148"/>
        <v>99</v>
      </c>
      <c r="BE297" s="3">
        <f>AH297-AE297</f>
        <v>33</v>
      </c>
    </row>
    <row r="298" spans="1:58" s="3" customFormat="1" x14ac:dyDescent="0.2">
      <c r="A298" s="3" t="s">
        <v>461</v>
      </c>
      <c r="B298" s="3" t="str">
        <f>LOWER(VLOOKUP(A298,Xtal_Templ!A:B,2,FALSE))</f>
        <v>ox1r_human</v>
      </c>
      <c r="C298" s="3">
        <f>VLOOKUP($A298,'NonXtal_SegEnds_BW#'!$A:$Z,3,FALSE)+D298-50</f>
        <v>5</v>
      </c>
      <c r="D298" s="3">
        <v>23</v>
      </c>
      <c r="E298" s="3">
        <f>IF(ISERROR(VLOOKUP($A298,'NonXtal_SegEnds_BW#'!$A:$Z,4,FALSE)+VLOOKUP($A298,A:AL,4,FALSE)-50),"-",(VLOOKUP($A298,'NonXtal_SegEnds_BW#'!$A:$Z,4,FALSE)+VLOOKUP($A298,A:AL,4,FALSE)-50))</f>
        <v>33</v>
      </c>
      <c r="F298" s="3">
        <f t="shared" si="162"/>
        <v>34</v>
      </c>
      <c r="G298" s="3">
        <v>36</v>
      </c>
      <c r="H298" s="3">
        <f t="shared" si="163"/>
        <v>37</v>
      </c>
      <c r="I298" s="3">
        <f t="shared" si="163"/>
        <v>38</v>
      </c>
      <c r="J298" s="3">
        <v>52</v>
      </c>
      <c r="K298" s="3">
        <f>VLOOKUP($A298,'NonXtal_SegEnds_BW#'!$A:$Z,8,FALSE)+VLOOKUP($A298,A:AL,10,FALSE)-50</f>
        <v>69</v>
      </c>
      <c r="L298" s="3" t="str">
        <f>IF(ISERROR(VLOOKUP($A298,'NonXtal_SegEnds_BW#'!$A:$Z,9,FALSE)+VLOOKUP($A298,A:AL,13,FALSE)-50),"-",(VLOOKUP($A298,'NonXtal_SegEnds_BW#'!$A:$Z,9,FALSE)+VLOOKUP($A298,A:AL,13,FALSE)-50))</f>
        <v>-</v>
      </c>
      <c r="M298" s="3" t="s">
        <v>129</v>
      </c>
      <c r="N298" s="3" t="str">
        <f>IF(ISERROR(VLOOKUP($A298,'NonXtal_SegEnds_BW#'!$A:$Z,10,FALSE)+VLOOKUP($A298,A:AL,13,FALSE)-50),"-",(VLOOKUP($A298,'NonXtal_SegEnds_BW#'!$A:$Z,10,FALSE)+VLOOKUP($A298,A:AL,13,FALSE)-50))</f>
        <v>-</v>
      </c>
      <c r="O298" s="3">
        <f>VLOOKUP($A298,'NonXtal_SegEnds_BW#'!$A:$Z,11,FALSE)+VLOOKUP($A298,A:AL,16,FALSE)-50</f>
        <v>72</v>
      </c>
      <c r="P298" s="3">
        <v>104</v>
      </c>
      <c r="Q298" s="3">
        <f>VLOOKUP($A298,'NonXtal_SegEnds_BW#'!$A:$Z,12,FALSE)+VLOOKUP($A298,A:AL,16,FALSE)-50</f>
        <v>110</v>
      </c>
      <c r="R298" s="3">
        <f>IF(ISERROR(VLOOKUP($A298,'NonXtal_SegEnds_BW#'!$A:$Z,13,FALSE)+VLOOKUP($A298,A:AL,19,FALSE)-50),"-",VLOOKUP($A298,'NonXtal_SegEnds_BW#'!$A:$Z,13,FALSE)+VLOOKUP($A298,A:AL,19,FALSE)-50)</f>
        <v>111</v>
      </c>
      <c r="S298" s="3">
        <v>111</v>
      </c>
      <c r="T298" s="3">
        <f>IF(ISERROR(VLOOKUP($A298,'NonXtal_SegEnds_BW#'!$A:$Z,14,FALSE)+VLOOKUP($A298,A:AL,19,FALSE)-50),"-",(VLOOKUP($A298,'NonXtal_SegEnds_BW#'!$A:$Z,14,FALSE)+VLOOKUP($A298,A:AL,19,FALSE)-50))</f>
        <v>118</v>
      </c>
      <c r="U298" s="3">
        <f>IF(ISERROR(VLOOKUP($A298,'NonXtal_SegEnds_BW#'!$A:$Z,15,FALSE)+VLOOKUP($A298,A:AL,22,FALSE)-50),"-",VLOOKUP($A298,'NonXtal_SegEnds_BW#'!$A:$Z,15,FALSE)+VLOOKUP($A298,A:AL,22,FALSE)-50)</f>
        <v>120</v>
      </c>
      <c r="V298" s="3">
        <v>131</v>
      </c>
      <c r="W298" s="3">
        <f>IF(ISERROR(VLOOKUP($A298,'NonXtal_SegEnds_BW#'!$A:$Z,16,FALSE)+VLOOKUP($A298,A:AL,22,FALSE)-50),"-",(VLOOKUP($A298,'NonXtal_SegEnds_BW#'!$A:$Z,16,FALSE)+VLOOKUP($A298,A:AL,22,FALSE)-50))</f>
        <v>145</v>
      </c>
      <c r="X298" s="3">
        <f>IF(ISERROR(VLOOKUP($A298,'NonXtal_SegEnds_BW#'!$A:$Z,17,FALSE)+VLOOKUP($A298,A:AL,25,FALSE)-50),"-",(VLOOKUP($A298,'NonXtal_SegEnds_BW#'!$A:$Z,17,FALSE)+VLOOKUP($A298,A:AL,25,FALSE)-50))</f>
        <v>156</v>
      </c>
      <c r="Y298" s="3">
        <v>156</v>
      </c>
      <c r="Z298" s="3">
        <f t="shared" si="158"/>
        <v>158</v>
      </c>
      <c r="AA298" s="3">
        <f>IF(ISERROR(VLOOKUP($A298,'NonXtal_SegEnds_BW#'!$A:$Z,19,FALSE)+VLOOKUP($A298,A:AL,28,FALSE)-50),"-",(VLOOKUP($A298,'NonXtal_SegEnds_BW#'!$A:$Z,19,FALSE)+VLOOKUP($A298,A:AL,28,FALSE)-50))</f>
        <v>166</v>
      </c>
      <c r="AB298" s="3">
        <v>184</v>
      </c>
      <c r="AC298" s="3">
        <f>IF(ISERROR((VLOOKUP($A298,'NonXtal_SegEnds_BW#'!$A:$Z,20,FALSE)+VLOOKUP($A298,A:AL,28,FALSE)-50)),"-",(VLOOKUP($A298,'NonXtal_SegEnds_BW#'!$A:$Z,20,FALSE)+VLOOKUP($A298,A:AL,28,FALSE)-50))</f>
        <v>210</v>
      </c>
      <c r="AD298" s="3">
        <f>IF(ISERROR(VLOOKUP($A298,'NonXtal_SegEnds_BW#'!$A:$Z,21,FALSE)+VLOOKUP($A298,A:AL,31,FALSE)-50),"-",(VLOOKUP($A298,'NonXtal_SegEnds_BW#'!$A:$Z,21,FALSE)+VLOOKUP($A298,A:AL,31,FALSE)-50))</f>
        <v>230</v>
      </c>
      <c r="AE298" s="3">
        <v>256</v>
      </c>
      <c r="AF298" s="3">
        <f>IF(ISERROR((VLOOKUP($A298,'NonXtal_SegEnds_BW#'!$A:$Z,22,FALSE)+VLOOKUP($A298,A:AL,31,FALSE)-50)),"-",(VLOOKUP($A298,'NonXtal_SegEnds_BW#'!$A:$Z,22,FALSE)+VLOOKUP($A298,A:AL,31,FALSE)-50))</f>
        <v>267</v>
      </c>
      <c r="AG298" s="3">
        <f>IF(ISERROR(VLOOKUP($A298,'NonXtal_SegEnds_BW#'!$A:$Z,23,FALSE)+VLOOKUP($A298,A:AL,34,FALSE)-50),"-",(VLOOKUP($A298,'NonXtal_SegEnds_BW#'!$A:$Z,23,FALSE)+VLOOKUP($A298,A:AL,34,FALSE)-50))</f>
        <v>272</v>
      </c>
      <c r="AH298" s="3">
        <v>291</v>
      </c>
      <c r="AI298" s="3">
        <f>IF(ISERROR((VLOOKUP($A298,'NonXtal_SegEnds_BW#'!$A:$Z,24,FALSE)+VLOOKUP($A298,A:AL,34,FALSE)-50)),"-",(VLOOKUP($A298,'NonXtal_SegEnds_BW#'!$A:$Z,24,FALSE)+VLOOKUP($A298,A:AL,34,FALSE)-50))</f>
        <v>297</v>
      </c>
      <c r="AJ298" s="3">
        <f>IF(ISERROR(VLOOKUP($A298,'NonXtal_SegEnds_BW#'!$A:$Z,25,FALSE)+VLOOKUP($A298,A:AL,37,FALSE)-50),"-",(VLOOKUP($A298,'NonXtal_SegEnds_BW#'!$A:$Z,25,FALSE)+VLOOKUP($A298,A:AL,37,FALSE)-50))</f>
        <v>298</v>
      </c>
      <c r="AK298" s="3">
        <v>301</v>
      </c>
      <c r="AL298" s="3">
        <f>IF(ISERROR((VLOOKUP($A298,'NonXtal_SegEnds_BW#'!$A:$Z,26,FALSE)+VLOOKUP($A298,A:AL,37,FALSE)-50)),"-",(VLOOKUP($A298,'NonXtal_SegEnds_BW#'!$A:$Z,26,FALSE)+VLOOKUP($A298,A:AL,37,FALSE)-50))</f>
        <v>309</v>
      </c>
      <c r="AM298" s="71" t="str">
        <f>VLOOKUP(A298,Classification!A:B,2,FALSE)</f>
        <v>A</v>
      </c>
      <c r="AN298" s="71" t="b">
        <f t="shared" si="133"/>
        <v>1</v>
      </c>
      <c r="AO298" s="3">
        <f t="shared" si="134"/>
        <v>1</v>
      </c>
      <c r="AP298" s="3">
        <f t="shared" si="135"/>
        <v>1</v>
      </c>
      <c r="AQ298" s="3" t="str">
        <f t="shared" si="136"/>
        <v>-</v>
      </c>
      <c r="AR298" s="3" t="str">
        <f t="shared" si="137"/>
        <v>-</v>
      </c>
      <c r="AS298" s="3">
        <f t="shared" si="138"/>
        <v>1</v>
      </c>
      <c r="AT298" s="3">
        <f t="shared" si="139"/>
        <v>2</v>
      </c>
      <c r="AU298" s="3">
        <f t="shared" si="140"/>
        <v>11</v>
      </c>
      <c r="AV298" s="3">
        <f t="shared" si="141"/>
        <v>8</v>
      </c>
      <c r="AW298" s="3">
        <f t="shared" si="142"/>
        <v>20</v>
      </c>
      <c r="AX298" s="3">
        <f t="shared" si="143"/>
        <v>5</v>
      </c>
      <c r="AY298" s="3">
        <f t="shared" si="144"/>
        <v>1</v>
      </c>
      <c r="AZ298" s="3">
        <f>IF(ISERROR(LEN(VLOOKUP(A298,Seqs!A:E,2,FALSE))-AL298),"-",LEN(VLOOKUP(A298,Seqs!A:E,2,FALSE))-AL298)</f>
        <v>54</v>
      </c>
      <c r="BA298" s="35">
        <f t="shared" si="145"/>
        <v>29</v>
      </c>
      <c r="BB298" s="3">
        <f t="shared" si="146"/>
        <v>20</v>
      </c>
      <c r="BC298" s="3">
        <f t="shared" si="147"/>
        <v>29</v>
      </c>
      <c r="BD298" s="3">
        <f t="shared" si="148"/>
        <v>72</v>
      </c>
    </row>
    <row r="299" spans="1:58" s="3" customFormat="1" x14ac:dyDescent="0.2">
      <c r="A299" s="3" t="s">
        <v>523</v>
      </c>
      <c r="B299" s="3" t="str">
        <f>LOWER(VLOOKUP(A299,Xtal_Templ!A:B,2,FALSE))</f>
        <v>ox2r_human</v>
      </c>
      <c r="C299" s="3">
        <f>VLOOKUP($A299,'NonXtal_SegEnds_BW#'!$A:$Z,3,FALSE)+D299-50</f>
        <v>34</v>
      </c>
      <c r="D299" s="3">
        <v>53</v>
      </c>
      <c r="E299" s="3">
        <f>IF(ISERROR(VLOOKUP($A299,'NonXtal_SegEnds_BW#'!$A:$Z,4,FALSE)+VLOOKUP($A299,A:AL,4,FALSE)-50),"-",(VLOOKUP($A299,'NonXtal_SegEnds_BW#'!$A:$Z,4,FALSE)+VLOOKUP($A299,A:AL,4,FALSE)-50))</f>
        <v>63</v>
      </c>
      <c r="F299" s="3">
        <f t="shared" si="162"/>
        <v>65</v>
      </c>
      <c r="G299" s="3">
        <v>67</v>
      </c>
      <c r="H299" s="3">
        <f t="shared" si="163"/>
        <v>68</v>
      </c>
      <c r="I299" s="3">
        <f t="shared" si="163"/>
        <v>69</v>
      </c>
      <c r="J299" s="3">
        <v>82</v>
      </c>
      <c r="K299" s="3">
        <f>VLOOKUP($A299,'NonXtal_SegEnds_BW#'!$A:$Z,8,FALSE)+VLOOKUP($A299,A:AL,10,FALSE)-50</f>
        <v>99</v>
      </c>
      <c r="L299" s="3">
        <f>M299-1</f>
        <v>101</v>
      </c>
      <c r="M299" s="3">
        <v>102</v>
      </c>
      <c r="N299" s="3">
        <f>M299+2</f>
        <v>104</v>
      </c>
      <c r="O299" s="3">
        <f>N299+1</f>
        <v>105</v>
      </c>
      <c r="P299" s="3">
        <v>134</v>
      </c>
      <c r="Q299" s="3">
        <f>VLOOKUP($A299,'NonXtal_SegEnds_BW#'!$A:$Z,12,FALSE)+VLOOKUP($A299,A:AL,16,FALSE)-50</f>
        <v>140</v>
      </c>
      <c r="R299" s="3" t="str">
        <f>IF(ISERROR(VLOOKUP($A299,'NonXtal_SegEnds_BW#'!$A:$Z,13,FALSE)+VLOOKUP($A299,A:AL,19,FALSE)-50),"-",VLOOKUP($A299,'NonXtal_SegEnds_BW#'!$A:$Z,13,FALSE)+VLOOKUP($A299,A:AL,19,FALSE)-50)</f>
        <v>-</v>
      </c>
      <c r="S299" s="3" t="s">
        <v>129</v>
      </c>
      <c r="T299" s="3" t="str">
        <f>IF(ISERROR(VLOOKUP($A299,'NonXtal_SegEnds_BW#'!$A:$Z,14,FALSE)+VLOOKUP($A299,A:AL,19,FALSE)-50),"-",(VLOOKUP($A299,'NonXtal_SegEnds_BW#'!$A:$Z,14,FALSE)+VLOOKUP($A299,A:AL,19,FALSE)-50))</f>
        <v>-</v>
      </c>
      <c r="U299" s="3">
        <f>IF(ISERROR(VLOOKUP($A299,'NonXtal_SegEnds_BW#'!$A:$Z,15,FALSE)+VLOOKUP($A299,A:AL,22,FALSE)-50),"-",VLOOKUP($A299,'NonXtal_SegEnds_BW#'!$A:$Z,15,FALSE)+VLOOKUP($A299,A:AL,22,FALSE)-50)</f>
        <v>148</v>
      </c>
      <c r="V299" s="3">
        <v>159</v>
      </c>
      <c r="W299" s="3">
        <f>IF(ISERROR(VLOOKUP($A299,'NonXtal_SegEnds_BW#'!$A:$Z,16,FALSE)+VLOOKUP($A299,A:AL,22,FALSE)-50),"-",(VLOOKUP($A299,'NonXtal_SegEnds_BW#'!$A:$Z,16,FALSE)+VLOOKUP($A299,A:AL,22,FALSE)-50))</f>
        <v>173</v>
      </c>
      <c r="X299" s="3" t="str">
        <f>IF(ISERROR(VLOOKUP($A299,'NonXtal_SegEnds_BW#'!$A:$Z,17,FALSE)+VLOOKUP($A299,A:AL,25,FALSE)-50),"-",(VLOOKUP($A299,'NonXtal_SegEnds_BW#'!$A:$Z,17,FALSE)+VLOOKUP($A299,A:AL,25,FALSE)-50))</f>
        <v>-</v>
      </c>
      <c r="Y299" s="3" t="s">
        <v>129</v>
      </c>
      <c r="Z299" s="3" t="str">
        <f>IF(ISERROR(VLOOKUP($A299,'NonXtal_SegEnds_BW#'!$A:$Z,18,FALSE)+VLOOKUP($A299,A:AL,25,FALSE)-50),"-",(VLOOKUP($A299,'NonXtal_SegEnds_BW#'!$A:$Z,18,FALSE)+VLOOKUP($A299,A:AL,25,FALSE)-50))</f>
        <v>-</v>
      </c>
      <c r="AA299" s="3">
        <f>IF(ISERROR(VLOOKUP($A299,'NonXtal_SegEnds_BW#'!$A:$Z,19,FALSE)+VLOOKUP($A299,A:AL,28,FALSE)-50),"-",(VLOOKUP($A299,'NonXtal_SegEnds_BW#'!$A:$Z,19,FALSE)+VLOOKUP($A299,A:AL,28,FALSE)-50))</f>
        <v>203</v>
      </c>
      <c r="AB299" s="3">
        <v>221</v>
      </c>
      <c r="AC299" s="3">
        <f>IF(ISERROR((VLOOKUP($A299,'NonXtal_SegEnds_BW#'!$A:$Z,20,FALSE)+VLOOKUP($A299,A:AL,28,FALSE)-50)),"-",(VLOOKUP($A299,'NonXtal_SegEnds_BW#'!$A:$Z,20,FALSE)+VLOOKUP($A299,A:AL,28,FALSE)-50))</f>
        <v>244</v>
      </c>
      <c r="AD299" s="3">
        <f>IF(ISERROR(VLOOKUP($A299,'NonXtal_SegEnds_BW#'!$A:$Z,21,FALSE)+VLOOKUP($A299,A:AL,31,FALSE)-50),"-",(VLOOKUP($A299,'NonXtal_SegEnds_BW#'!$A:$Z,21,FALSE)+VLOOKUP($A299,A:AL,31,FALSE)-50))</f>
        <v>248</v>
      </c>
      <c r="AE299" s="3">
        <v>276</v>
      </c>
      <c r="AF299" s="3">
        <f>IF(ISERROR((VLOOKUP($A299,'NonXtal_SegEnds_BW#'!$A:$Z,22,FALSE)+VLOOKUP($A299,A:AL,31,FALSE)-50)),"-",(VLOOKUP($A299,'NonXtal_SegEnds_BW#'!$A:$Z,22,FALSE)+VLOOKUP($A299,A:AL,31,FALSE)-50))</f>
        <v>287</v>
      </c>
      <c r="AG299" s="3" t="str">
        <f>IF(ISERROR(VLOOKUP($A299,'NonXtal_SegEnds_BW#'!$A:$Z,23,FALSE)+VLOOKUP($A299,A:AL,34,FALSE)-50),"-",(VLOOKUP($A299,'NonXtal_SegEnds_BW#'!$A:$Z,23,FALSE)+VLOOKUP($A299,A:AL,34,FALSE)-50))</f>
        <v>-</v>
      </c>
      <c r="AH299" s="3" t="s">
        <v>129</v>
      </c>
      <c r="AI299" s="3" t="str">
        <f>IF(ISERROR((VLOOKUP($A299,'NonXtal_SegEnds_BW#'!$A:$Z,24,FALSE)+VLOOKUP($A299,A:AL,34,FALSE)-50)),"-",(VLOOKUP($A299,'NonXtal_SegEnds_BW#'!$A:$Z,24,FALSE)+VLOOKUP($A299,A:AL,34,FALSE)-50))</f>
        <v>-</v>
      </c>
      <c r="AJ299" s="3" t="str">
        <f>IF(ISERROR(VLOOKUP($A299,'NonXtal_SegEnds_BW#'!$A:$Z,25,FALSE)+VLOOKUP($A299,A:AL,37,FALSE)-50),"-",(VLOOKUP($A299,'NonXtal_SegEnds_BW#'!$A:$Z,25,FALSE)+VLOOKUP($A299,A:AL,37,FALSE)-50))</f>
        <v>-</v>
      </c>
      <c r="AK299" s="3" t="s">
        <v>129</v>
      </c>
      <c r="AL299" s="3" t="str">
        <f>IF(ISERROR((VLOOKUP($A299,'NonXtal_SegEnds_BW#'!$A:$Z,26,FALSE)+VLOOKUP($A299,A:AL,37,FALSE)-50)),"-",(VLOOKUP($A299,'NonXtal_SegEnds_BW#'!$A:$Z,26,FALSE)+VLOOKUP($A299,A:AL,37,FALSE)-50))</f>
        <v>-</v>
      </c>
      <c r="AM299" s="71" t="str">
        <f>VLOOKUP(A299,Classification!A:B,2,FALSE)</f>
        <v>A</v>
      </c>
      <c r="AN299" s="71" t="b">
        <f t="shared" si="133"/>
        <v>0</v>
      </c>
      <c r="AO299" s="3">
        <f t="shared" si="134"/>
        <v>2</v>
      </c>
      <c r="AP299" s="3">
        <f t="shared" si="135"/>
        <v>1</v>
      </c>
      <c r="AQ299" s="3">
        <f t="shared" si="136"/>
        <v>2</v>
      </c>
      <c r="AR299" s="3">
        <f t="shared" si="137"/>
        <v>1</v>
      </c>
      <c r="AS299" s="3" t="str">
        <f t="shared" si="138"/>
        <v>-</v>
      </c>
      <c r="AT299" s="3" t="str">
        <f t="shared" si="139"/>
        <v>-</v>
      </c>
      <c r="AU299" s="3" t="str">
        <f t="shared" si="140"/>
        <v>-</v>
      </c>
      <c r="AV299" s="3" t="str">
        <f t="shared" si="141"/>
        <v>-</v>
      </c>
      <c r="AW299" s="3">
        <f t="shared" si="142"/>
        <v>4</v>
      </c>
      <c r="AX299" s="3" t="str">
        <f t="shared" si="143"/>
        <v>-</v>
      </c>
      <c r="AY299" s="3" t="str">
        <f t="shared" si="144"/>
        <v>-</v>
      </c>
      <c r="AZ299" s="3" t="str">
        <f>IF(ISERROR(LEN(VLOOKUP(A299,Seqs!A:E,2,FALSE))-AL299),"-",LEN(VLOOKUP(A299,Seqs!A:E,2,FALSE))-AL299)</f>
        <v>-</v>
      </c>
      <c r="BA299" s="35">
        <f t="shared" si="145"/>
        <v>29</v>
      </c>
      <c r="BB299" s="3" t="str">
        <f t="shared" si="146"/>
        <v>-</v>
      </c>
      <c r="BC299" s="3">
        <f t="shared" si="147"/>
        <v>29</v>
      </c>
      <c r="BD299" s="3">
        <f t="shared" si="148"/>
        <v>55</v>
      </c>
      <c r="BF299" s="3" t="s">
        <v>1533</v>
      </c>
    </row>
    <row r="300" spans="1:58" s="3" customFormat="1" x14ac:dyDescent="0.2">
      <c r="A300" s="3" t="s">
        <v>654</v>
      </c>
      <c r="B300" s="3" t="str">
        <f>LOWER(VLOOKUP(A300,Xtal_Templ!A:B,2,FALSE))</f>
        <v>ox2r_human</v>
      </c>
      <c r="C300" s="3">
        <f>VLOOKUP($A300,'NonXtal_SegEnds_BW#'!$A:$Z,3,FALSE)+D300-50</f>
        <v>7</v>
      </c>
      <c r="D300" s="3">
        <v>25</v>
      </c>
      <c r="E300" s="3">
        <f>F300-1</f>
        <v>37</v>
      </c>
      <c r="F300" s="3">
        <f t="shared" si="162"/>
        <v>38</v>
      </c>
      <c r="G300" s="3">
        <v>40</v>
      </c>
      <c r="H300" s="3">
        <f t="shared" si="163"/>
        <v>41</v>
      </c>
      <c r="I300" s="3">
        <f t="shared" si="163"/>
        <v>42</v>
      </c>
      <c r="J300" s="3">
        <v>56</v>
      </c>
      <c r="K300" s="3">
        <f>VLOOKUP($A300,'NonXtal_SegEnds_BW#'!$A:$Z,8,FALSE)+VLOOKUP($A300,A:AL,10,FALSE)-50</f>
        <v>72</v>
      </c>
      <c r="L300" s="3" t="str">
        <f>IF(ISERROR(VLOOKUP($A300,'NonXtal_SegEnds_BW#'!$A:$Z,9,FALSE)+VLOOKUP($A300,A:AL,13,FALSE)-50),"-",(VLOOKUP($A300,'NonXtal_SegEnds_BW#'!$A:$Z,9,FALSE)+VLOOKUP($A300,A:AL,13,FALSE)-50))</f>
        <v>-</v>
      </c>
      <c r="M300" s="3" t="s">
        <v>129</v>
      </c>
      <c r="N300" s="3" t="str">
        <f>IF(ISERROR(VLOOKUP($A300,'NonXtal_SegEnds_BW#'!$A:$Z,10,FALSE)+VLOOKUP($A300,A:AL,13,FALSE)-50),"-",(VLOOKUP($A300,'NonXtal_SegEnds_BW#'!$A:$Z,10,FALSE)+VLOOKUP($A300,A:AL,13,FALSE)-50))</f>
        <v>-</v>
      </c>
      <c r="O300" s="3">
        <f>VLOOKUP($A300,'NonXtal_SegEnds_BW#'!$A:$Z,11,FALSE)+VLOOKUP($A300,A:AL,16,FALSE)-50</f>
        <v>77</v>
      </c>
      <c r="P300" s="3">
        <v>103</v>
      </c>
      <c r="Q300" s="3">
        <f>VLOOKUP($A300,'NonXtal_SegEnds_BW#'!$A:$Z,12,FALSE)+VLOOKUP($A300,A:AL,16,FALSE)-50</f>
        <v>109</v>
      </c>
      <c r="R300" s="3">
        <f>S300</f>
        <v>112</v>
      </c>
      <c r="S300" s="3">
        <v>112</v>
      </c>
      <c r="T300" s="3">
        <f>S300+7</f>
        <v>119</v>
      </c>
      <c r="U300" s="3">
        <f>IF(ISERROR(VLOOKUP($A300,'NonXtal_SegEnds_BW#'!$A:$Z,15,FALSE)+VLOOKUP($A300,A:AL,22,FALSE)-50),"-",VLOOKUP($A300,'NonXtal_SegEnds_BW#'!$A:$Z,15,FALSE)+VLOOKUP($A300,A:AL,22,FALSE)-50)</f>
        <v>121</v>
      </c>
      <c r="V300" s="3">
        <v>132</v>
      </c>
      <c r="W300" s="3">
        <f>IF(ISERROR(VLOOKUP($A300,'NonXtal_SegEnds_BW#'!$A:$Z,16,FALSE)+VLOOKUP($A300,A:AL,22,FALSE)-50),"-",(VLOOKUP($A300,'NonXtal_SegEnds_BW#'!$A:$Z,16,FALSE)+VLOOKUP($A300,A:AL,22,FALSE)-50))</f>
        <v>146</v>
      </c>
      <c r="X300" s="3" t="str">
        <f>IF(ISERROR(VLOOKUP($A300,'NonXtal_SegEnds_BW#'!$A:$Z,17,FALSE)+VLOOKUP($A300,A:AL,25,FALSE)-50),"-",(VLOOKUP($A300,'NonXtal_SegEnds_BW#'!$A:$Z,17,FALSE)+VLOOKUP($A300,A:AL,25,FALSE)-50))</f>
        <v>-</v>
      </c>
      <c r="Y300" s="3" t="s">
        <v>129</v>
      </c>
      <c r="Z300" s="3" t="str">
        <f>IF(ISERROR(VLOOKUP($A300,'NonXtal_SegEnds_BW#'!$A:$Z,18,FALSE)+VLOOKUP($A300,A:AL,25,FALSE)-50),"-",(VLOOKUP($A300,'NonXtal_SegEnds_BW#'!$A:$Z,18,FALSE)+VLOOKUP($A300,A:AL,25,FALSE)-50))</f>
        <v>-</v>
      </c>
      <c r="AA300" s="3">
        <f>IF(ISERROR(VLOOKUP($A300,'NonXtal_SegEnds_BW#'!$A:$Z,19,FALSE)+VLOOKUP($A300,A:AL,28,FALSE)-50),"-",(VLOOKUP($A300,'NonXtal_SegEnds_BW#'!$A:$Z,19,FALSE)+VLOOKUP($A300,A:AL,28,FALSE)-50))</f>
        <v>170</v>
      </c>
      <c r="AB300" s="3">
        <v>188</v>
      </c>
      <c r="AC300" s="3">
        <f>IF(ISERROR((VLOOKUP($A300,'NonXtal_SegEnds_BW#'!$A:$Z,20,FALSE)+VLOOKUP($A300,A:AL,28,FALSE)-50)),"-",(VLOOKUP($A300,'NonXtal_SegEnds_BW#'!$A:$Z,20,FALSE)+VLOOKUP($A300,A:AL,28,FALSE)-50))</f>
        <v>210</v>
      </c>
      <c r="AD300" s="3">
        <f>IF(ISERROR(VLOOKUP($A300,'NonXtal_SegEnds_BW#'!$A:$Z,21,FALSE)+VLOOKUP($A300,A:AL,31,FALSE)-50),"-",(VLOOKUP($A300,'NonXtal_SegEnds_BW#'!$A:$Z,21,FALSE)+VLOOKUP($A300,A:AL,31,FALSE)-50))</f>
        <v>217</v>
      </c>
      <c r="AE300" s="3">
        <v>238</v>
      </c>
      <c r="AF300" s="3">
        <f>IF(ISERROR((VLOOKUP($A300,'NonXtal_SegEnds_BW#'!$A:$Z,22,FALSE)+VLOOKUP($A300,A:AL,31,FALSE)-50)),"-",(VLOOKUP($A300,'NonXtal_SegEnds_BW#'!$A:$Z,22,FALSE)+VLOOKUP($A300,A:AL,31,FALSE)-50))</f>
        <v>249</v>
      </c>
      <c r="AG300" s="3">
        <f>IF(ISERROR(VLOOKUP($A300,'NonXtal_SegEnds_BW#'!$A:$Z,23,FALSE)+VLOOKUP($A300,A:AL,34,FALSE)-50),"-",(VLOOKUP($A300,'NonXtal_SegEnds_BW#'!$A:$Z,23,FALSE)+VLOOKUP($A300,A:AL,34,FALSE)-50))</f>
        <v>254</v>
      </c>
      <c r="AH300" s="3">
        <v>273</v>
      </c>
      <c r="AI300" s="3">
        <f>IF(ISERROR((VLOOKUP($A300,'NonXtal_SegEnds_BW#'!$A:$Z,24,FALSE)+VLOOKUP($A300,A:AL,34,FALSE)-50)),"-",(VLOOKUP($A300,'NonXtal_SegEnds_BW#'!$A:$Z,24,FALSE)+VLOOKUP($A300,A:AL,34,FALSE)-50))</f>
        <v>279</v>
      </c>
      <c r="AJ300" s="3">
        <f>IF(ISERROR(VLOOKUP($A300,'NonXtal_SegEnds_BW#'!$A:$Z,25,FALSE)+VLOOKUP($A300,A:AL,37,FALSE)-50),"-",(VLOOKUP($A300,'NonXtal_SegEnds_BW#'!$A:$Z,25,FALSE)+VLOOKUP($A300,A:AL,37,FALSE)-50))</f>
        <v>280</v>
      </c>
      <c r="AK300" s="3">
        <v>283</v>
      </c>
      <c r="AL300" s="3">
        <v>291</v>
      </c>
      <c r="AM300" s="71" t="str">
        <f>VLOOKUP(A300,Classification!A:B,2,FALSE)</f>
        <v>T</v>
      </c>
      <c r="AN300" s="71" t="b">
        <f t="shared" si="133"/>
        <v>1</v>
      </c>
      <c r="AO300" s="3">
        <f t="shared" si="134"/>
        <v>1</v>
      </c>
      <c r="AP300" s="3">
        <f t="shared" si="135"/>
        <v>1</v>
      </c>
      <c r="AQ300" s="3" t="str">
        <f t="shared" si="136"/>
        <v>-</v>
      </c>
      <c r="AR300" s="3" t="str">
        <f t="shared" si="137"/>
        <v>-</v>
      </c>
      <c r="AS300" s="3">
        <f t="shared" si="138"/>
        <v>3</v>
      </c>
      <c r="AT300" s="3">
        <f t="shared" si="139"/>
        <v>2</v>
      </c>
      <c r="AU300" s="3" t="str">
        <f t="shared" si="140"/>
        <v>-</v>
      </c>
      <c r="AV300" s="3" t="str">
        <f t="shared" si="141"/>
        <v>-</v>
      </c>
      <c r="AW300" s="3">
        <f t="shared" si="142"/>
        <v>7</v>
      </c>
      <c r="AX300" s="3">
        <f t="shared" si="143"/>
        <v>5</v>
      </c>
      <c r="AY300" s="3">
        <f t="shared" si="144"/>
        <v>1</v>
      </c>
      <c r="AZ300" s="3">
        <f>IF(ISERROR(LEN(VLOOKUP(A300,Seqs!A:E,2,FALSE))-AL300),"-",LEN(VLOOKUP(A300,Seqs!A:E,2,FALSE))-AL300)</f>
        <v>0</v>
      </c>
      <c r="BA300" s="35">
        <f t="shared" si="145"/>
        <v>31</v>
      </c>
      <c r="BB300" s="3">
        <f t="shared" si="146"/>
        <v>20</v>
      </c>
      <c r="BC300" s="3">
        <f t="shared" si="147"/>
        <v>31</v>
      </c>
      <c r="BD300" s="3">
        <f t="shared" si="148"/>
        <v>50</v>
      </c>
      <c r="BE300" s="3">
        <f>AH300-AE300</f>
        <v>35</v>
      </c>
    </row>
    <row r="301" spans="1:58" s="3" customFormat="1" x14ac:dyDescent="0.2">
      <c r="A301" s="3" t="s">
        <v>510</v>
      </c>
      <c r="B301" s="3" t="str">
        <f>LOWER(VLOOKUP(A301,Xtal_Templ!A:B,2,FALSE))</f>
        <v>ox2r_human</v>
      </c>
      <c r="C301" s="3">
        <f>VLOOKUP($A301,'NonXtal_SegEnds_BW#'!$A:$Z,3,FALSE)+D301-50</f>
        <v>84</v>
      </c>
      <c r="D301" s="3">
        <v>103</v>
      </c>
      <c r="E301" s="3">
        <f>IF(ISERROR(VLOOKUP($A301,'NonXtal_SegEnds_BW#'!$A:$Z,4,FALSE)+VLOOKUP($A301,A:AL,4,FALSE)-50),"-",(VLOOKUP($A301,'NonXtal_SegEnds_BW#'!$A:$Z,4,FALSE)+VLOOKUP($A301,A:AL,4,FALSE)-50))</f>
        <v>113</v>
      </c>
      <c r="F301" s="3">
        <f t="shared" si="162"/>
        <v>114</v>
      </c>
      <c r="G301" s="3">
        <v>116</v>
      </c>
      <c r="H301" s="3">
        <f t="shared" si="163"/>
        <v>117</v>
      </c>
      <c r="I301" s="3">
        <f t="shared" si="163"/>
        <v>118</v>
      </c>
      <c r="J301" s="3">
        <v>131</v>
      </c>
      <c r="K301" s="3">
        <f>VLOOKUP($A301,'NonXtal_SegEnds_BW#'!$A:$Z,8,FALSE)+VLOOKUP($A301,A:AL,10,FALSE)-50</f>
        <v>148</v>
      </c>
      <c r="L301" s="3">
        <f t="shared" ref="L301:L316" si="164">M301-1</f>
        <v>150</v>
      </c>
      <c r="M301" s="3">
        <v>151</v>
      </c>
      <c r="N301" s="3">
        <f t="shared" ref="N301:N316" si="165">M301+2</f>
        <v>153</v>
      </c>
      <c r="O301" s="3">
        <f t="shared" ref="O301:O316" si="166">N301+1</f>
        <v>154</v>
      </c>
      <c r="P301" s="3">
        <v>183</v>
      </c>
      <c r="Q301" s="3">
        <f>VLOOKUP($A301,'NonXtal_SegEnds_BW#'!$A:$Z,12,FALSE)+VLOOKUP($A301,A:AL,16,FALSE)-50</f>
        <v>189</v>
      </c>
      <c r="R301" s="3">
        <f>IF(ISERROR(VLOOKUP($A301,'NonXtal_SegEnds_BW#'!$A:$Z,13,FALSE)+VLOOKUP($A301,A:AL,19,FALSE)-50),"-",VLOOKUP($A301,'NonXtal_SegEnds_BW#'!$A:$Z,13,FALSE)+VLOOKUP($A301,A:AL,19,FALSE)-50)</f>
        <v>190</v>
      </c>
      <c r="S301" s="3">
        <v>190</v>
      </c>
      <c r="T301" s="3">
        <f>IF(ISERROR(VLOOKUP($A301,'NonXtal_SegEnds_BW#'!$A:$Z,14,FALSE)+VLOOKUP($A301,A:AL,19,FALSE)-50),"-",(VLOOKUP($A301,'NonXtal_SegEnds_BW#'!$A:$Z,14,FALSE)+VLOOKUP($A301,A:AL,19,FALSE)-50))</f>
        <v>196</v>
      </c>
      <c r="U301" s="3">
        <f>IF(ISERROR(VLOOKUP($A301,'NonXtal_SegEnds_BW#'!$A:$Z,15,FALSE)+VLOOKUP($A301,A:AL,22,FALSE)-50),"-",VLOOKUP($A301,'NonXtal_SegEnds_BW#'!$A:$Z,15,FALSE)+VLOOKUP($A301,A:AL,22,FALSE)-50)</f>
        <v>197</v>
      </c>
      <c r="V301" s="3">
        <v>208</v>
      </c>
      <c r="W301" s="3">
        <f>IF(ISERROR(VLOOKUP($A301,'NonXtal_SegEnds_BW#'!$A:$Z,16,FALSE)+VLOOKUP($A301,A:AL,22,FALSE)-50),"-",(VLOOKUP($A301,'NonXtal_SegEnds_BW#'!$A:$Z,16,FALSE)+VLOOKUP($A301,A:AL,22,FALSE)-50))</f>
        <v>222</v>
      </c>
      <c r="X301" s="3">
        <f>IF(ISERROR(VLOOKUP($A301,'NonXtal_SegEnds_BW#'!$A:$Z,17,FALSE)+VLOOKUP($A301,A:AL,25,FALSE)-50),"-",(VLOOKUP($A301,'NonXtal_SegEnds_BW#'!$A:$Z,17,FALSE)+VLOOKUP($A301,A:AL,25,FALSE)-50))</f>
        <v>233</v>
      </c>
      <c r="Y301" s="3">
        <v>233</v>
      </c>
      <c r="Z301" s="3">
        <f t="shared" ref="Z301:Z325" si="167">Y301+2</f>
        <v>235</v>
      </c>
      <c r="AA301" s="3">
        <f>IF(ISERROR(VLOOKUP($A301,'NonXtal_SegEnds_BW#'!$A:$Z,19,FALSE)+VLOOKUP($A301,A:AL,28,FALSE)-50),"-",(VLOOKUP($A301,'NonXtal_SegEnds_BW#'!$A:$Z,19,FALSE)+VLOOKUP($A301,A:AL,28,FALSE)-50))</f>
        <v>241</v>
      </c>
      <c r="AB301" s="3">
        <v>259</v>
      </c>
      <c r="AC301" s="3">
        <f>IF(ISERROR((VLOOKUP($A301,'NonXtal_SegEnds_BW#'!$A:$Z,20,FALSE)+VLOOKUP($A301,A:AL,28,FALSE)-50)),"-",(VLOOKUP($A301,'NonXtal_SegEnds_BW#'!$A:$Z,20,FALSE)+VLOOKUP($A301,A:AL,28,FALSE)-50))</f>
        <v>282</v>
      </c>
      <c r="AD301" s="3">
        <f>IF(ISERROR(VLOOKUP($A301,'NonXtal_SegEnds_BW#'!$A:$Z,21,FALSE)+VLOOKUP($A301,A:AL,31,FALSE)-50),"-",(VLOOKUP($A301,'NonXtal_SegEnds_BW#'!$A:$Z,21,FALSE)+VLOOKUP($A301,A:AL,31,FALSE)-50))</f>
        <v>286</v>
      </c>
      <c r="AE301" s="3">
        <v>314</v>
      </c>
      <c r="AF301" s="3">
        <f>IF(ISERROR((VLOOKUP($A301,'NonXtal_SegEnds_BW#'!$A:$Z,22,FALSE)+VLOOKUP($A301,A:AL,31,FALSE)-50)),"-",(VLOOKUP($A301,'NonXtal_SegEnds_BW#'!$A:$Z,22,FALSE)+VLOOKUP($A301,A:AL,31,FALSE)-50))</f>
        <v>325</v>
      </c>
      <c r="AG301" s="3">
        <f>IF(ISERROR(VLOOKUP($A301,'NonXtal_SegEnds_BW#'!$A:$Z,23,FALSE)+VLOOKUP($A301,A:AL,34,FALSE)-50),"-",(VLOOKUP($A301,'NonXtal_SegEnds_BW#'!$A:$Z,23,FALSE)+VLOOKUP($A301,A:AL,34,FALSE)-50))</f>
        <v>331</v>
      </c>
      <c r="AH301" s="3">
        <v>353</v>
      </c>
      <c r="AI301" s="3">
        <f>IF(ISERROR((VLOOKUP($A301,'NonXtal_SegEnds_BW#'!$A:$Z,24,FALSE)+VLOOKUP($A301,A:AL,34,FALSE)-50)),"-",(VLOOKUP($A301,'NonXtal_SegEnds_BW#'!$A:$Z,24,FALSE)+VLOOKUP($A301,A:AL,34,FALSE)-50))</f>
        <v>359</v>
      </c>
      <c r="AJ301" s="3">
        <f>IF(ISERROR(VLOOKUP($A301,'NonXtal_SegEnds_BW#'!$A:$Z,25,FALSE)+VLOOKUP($A301,A:AL,37,FALSE)-50),"-",(VLOOKUP($A301,'NonXtal_SegEnds_BW#'!$A:$Z,25,FALSE)+VLOOKUP($A301,A:AL,37,FALSE)-50))</f>
        <v>360</v>
      </c>
      <c r="AK301" s="3">
        <v>363</v>
      </c>
      <c r="AL301" s="3">
        <f>IF(ISERROR((VLOOKUP($A301,'NonXtal_SegEnds_BW#'!$A:$Z,26,FALSE)+VLOOKUP($A301,A:AL,37,FALSE)-50)),"-",(VLOOKUP($A301,'NonXtal_SegEnds_BW#'!$A:$Z,26,FALSE)+VLOOKUP($A301,A:AL,37,FALSE)-50))</f>
        <v>371</v>
      </c>
      <c r="AM301" s="71" t="str">
        <f>VLOOKUP(A301,Classification!A:B,2,FALSE)</f>
        <v>A</v>
      </c>
      <c r="AN301" s="71" t="b">
        <f t="shared" si="133"/>
        <v>1</v>
      </c>
      <c r="AO301" s="3">
        <f t="shared" si="134"/>
        <v>1</v>
      </c>
      <c r="AP301" s="3">
        <f t="shared" si="135"/>
        <v>1</v>
      </c>
      <c r="AQ301" s="3">
        <f t="shared" si="136"/>
        <v>2</v>
      </c>
      <c r="AR301" s="3">
        <f t="shared" si="137"/>
        <v>1</v>
      </c>
      <c r="AS301" s="3">
        <f t="shared" si="138"/>
        <v>1</v>
      </c>
      <c r="AT301" s="3">
        <f t="shared" si="139"/>
        <v>1</v>
      </c>
      <c r="AU301" s="3">
        <f t="shared" si="140"/>
        <v>11</v>
      </c>
      <c r="AV301" s="3">
        <f t="shared" si="141"/>
        <v>6</v>
      </c>
      <c r="AW301" s="3">
        <f t="shared" si="142"/>
        <v>4</v>
      </c>
      <c r="AX301" s="3">
        <f t="shared" si="143"/>
        <v>6</v>
      </c>
      <c r="AY301" s="3">
        <f t="shared" si="144"/>
        <v>1</v>
      </c>
      <c r="AZ301" s="3">
        <f>IF(ISERROR(LEN(VLOOKUP(A301,Seqs!A:E,2,FALSE))-AL301),"-",LEN(VLOOKUP(A301,Seqs!A:E,2,FALSE))-AL301)</f>
        <v>94</v>
      </c>
      <c r="BA301" s="35">
        <f t="shared" si="145"/>
        <v>28</v>
      </c>
      <c r="BB301" s="3">
        <f t="shared" si="146"/>
        <v>18</v>
      </c>
      <c r="BC301" s="3">
        <f t="shared" si="147"/>
        <v>28</v>
      </c>
      <c r="BD301" s="3">
        <f t="shared" si="148"/>
        <v>55</v>
      </c>
    </row>
    <row r="302" spans="1:58" s="3" customFormat="1" x14ac:dyDescent="0.2">
      <c r="A302" s="3" t="s">
        <v>463</v>
      </c>
      <c r="B302" s="3" t="str">
        <f>LOWER(VLOOKUP(A302,Xtal_Templ!A:B,2,FALSE))</f>
        <v>ox2r_human</v>
      </c>
      <c r="C302" s="3">
        <f>VLOOKUP($A302,'NonXtal_SegEnds_BW#'!$A:$Z,3,FALSE)+D302-50</f>
        <v>70</v>
      </c>
      <c r="D302" s="3">
        <v>89</v>
      </c>
      <c r="E302" s="3">
        <f>IF(ISERROR(VLOOKUP($A302,'NonXtal_SegEnds_BW#'!$A:$Z,4,FALSE)+VLOOKUP($A302,A:AL,4,FALSE)-50),"-",(VLOOKUP($A302,'NonXtal_SegEnds_BW#'!$A:$Z,4,FALSE)+VLOOKUP($A302,A:AL,4,FALSE)-50))</f>
        <v>99</v>
      </c>
      <c r="F302" s="3">
        <f t="shared" si="162"/>
        <v>100</v>
      </c>
      <c r="G302" s="3">
        <v>102</v>
      </c>
      <c r="H302" s="3">
        <f t="shared" si="163"/>
        <v>103</v>
      </c>
      <c r="I302" s="3">
        <f t="shared" si="163"/>
        <v>104</v>
      </c>
      <c r="J302" s="3">
        <v>117</v>
      </c>
      <c r="K302" s="3">
        <f>VLOOKUP($A302,'NonXtal_SegEnds_BW#'!$A:$Z,8,FALSE)+VLOOKUP($A302,A:AL,10,FALSE)-50</f>
        <v>134</v>
      </c>
      <c r="L302" s="3">
        <f t="shared" si="164"/>
        <v>136</v>
      </c>
      <c r="M302" s="3">
        <v>137</v>
      </c>
      <c r="N302" s="3">
        <f t="shared" si="165"/>
        <v>139</v>
      </c>
      <c r="O302" s="3">
        <f t="shared" si="166"/>
        <v>140</v>
      </c>
      <c r="P302" s="3">
        <v>169</v>
      </c>
      <c r="Q302" s="3">
        <f>VLOOKUP($A302,'NonXtal_SegEnds_BW#'!$A:$Z,12,FALSE)+VLOOKUP($A302,A:AL,16,FALSE)-50</f>
        <v>175</v>
      </c>
      <c r="R302" s="3">
        <f>IF(ISERROR(VLOOKUP($A302,'NonXtal_SegEnds_BW#'!$A:$Z,13,FALSE)+VLOOKUP($A302,A:AL,19,FALSE)-50),"-",VLOOKUP($A302,'NonXtal_SegEnds_BW#'!$A:$Z,13,FALSE)+VLOOKUP($A302,A:AL,19,FALSE)-50)</f>
        <v>176</v>
      </c>
      <c r="S302" s="3">
        <v>176</v>
      </c>
      <c r="T302" s="3">
        <f>IF(ISERROR(VLOOKUP($A302,'NonXtal_SegEnds_BW#'!$A:$Z,14,FALSE)+VLOOKUP($A302,A:AL,19,FALSE)-50),"-",(VLOOKUP($A302,'NonXtal_SegEnds_BW#'!$A:$Z,14,FALSE)+VLOOKUP($A302,A:AL,19,FALSE)-50))</f>
        <v>182</v>
      </c>
      <c r="U302" s="3">
        <f>IF(ISERROR(VLOOKUP($A302,'NonXtal_SegEnds_BW#'!$A:$Z,15,FALSE)+VLOOKUP($A302,A:AL,22,FALSE)-50),"-",VLOOKUP($A302,'NonXtal_SegEnds_BW#'!$A:$Z,15,FALSE)+VLOOKUP($A302,A:AL,22,FALSE)-50)</f>
        <v>183</v>
      </c>
      <c r="V302" s="3">
        <v>194</v>
      </c>
      <c r="W302" s="3">
        <f>IF(ISERROR(VLOOKUP($A302,'NonXtal_SegEnds_BW#'!$A:$Z,16,FALSE)+VLOOKUP($A302,A:AL,22,FALSE)-50),"-",(VLOOKUP($A302,'NonXtal_SegEnds_BW#'!$A:$Z,16,FALSE)+VLOOKUP($A302,A:AL,22,FALSE)-50))</f>
        <v>208</v>
      </c>
      <c r="X302" s="3">
        <f>IF(ISERROR(VLOOKUP($A302,'NonXtal_SegEnds_BW#'!$A:$Z,17,FALSE)+VLOOKUP($A302,A:AL,25,FALSE)-50),"-",(VLOOKUP($A302,'NonXtal_SegEnds_BW#'!$A:$Z,17,FALSE)+VLOOKUP($A302,A:AL,25,FALSE)-50))</f>
        <v>224</v>
      </c>
      <c r="Y302" s="3">
        <v>224</v>
      </c>
      <c r="Z302" s="3">
        <f t="shared" si="167"/>
        <v>226</v>
      </c>
      <c r="AA302" s="3">
        <f>IF(ISERROR(VLOOKUP($A302,'NonXtal_SegEnds_BW#'!$A:$Z,19,FALSE)+VLOOKUP($A302,A:AL,28,FALSE)-50),"-",(VLOOKUP($A302,'NonXtal_SegEnds_BW#'!$A:$Z,19,FALSE)+VLOOKUP($A302,A:AL,28,FALSE)-50))</f>
        <v>233</v>
      </c>
      <c r="AB302" s="3">
        <v>251</v>
      </c>
      <c r="AC302" s="3">
        <f>IF(ISERROR((VLOOKUP($A302,'NonXtal_SegEnds_BW#'!$A:$Z,20,FALSE)+VLOOKUP($A302,A:AL,28,FALSE)-50)),"-",(VLOOKUP($A302,'NonXtal_SegEnds_BW#'!$A:$Z,20,FALSE)+VLOOKUP($A302,A:AL,28,FALSE)-50))</f>
        <v>274</v>
      </c>
      <c r="AD302" s="3">
        <f>IF(ISERROR(VLOOKUP($A302,'NonXtal_SegEnds_BW#'!$A:$Z,21,FALSE)+VLOOKUP($A302,A:AL,31,FALSE)-50),"-",(VLOOKUP($A302,'NonXtal_SegEnds_BW#'!$A:$Z,21,FALSE)+VLOOKUP($A302,A:AL,31,FALSE)-50))</f>
        <v>279</v>
      </c>
      <c r="AE302" s="3">
        <v>307</v>
      </c>
      <c r="AF302" s="3">
        <f>IF(ISERROR((VLOOKUP($A302,'NonXtal_SegEnds_BW#'!$A:$Z,22,FALSE)+VLOOKUP($A302,A:AL,31,FALSE)-50)),"-",(VLOOKUP($A302,'NonXtal_SegEnds_BW#'!$A:$Z,22,FALSE)+VLOOKUP($A302,A:AL,31,FALSE)-50))</f>
        <v>318</v>
      </c>
      <c r="AG302" s="3">
        <f>IF(ISERROR(VLOOKUP($A302,'NonXtal_SegEnds_BW#'!$A:$Z,23,FALSE)+VLOOKUP($A302,A:AL,34,FALSE)-50),"-",(VLOOKUP($A302,'NonXtal_SegEnds_BW#'!$A:$Z,23,FALSE)+VLOOKUP($A302,A:AL,34,FALSE)-50))</f>
        <v>323</v>
      </c>
      <c r="AH302" s="3">
        <v>342</v>
      </c>
      <c r="AI302" s="3">
        <f>IF(ISERROR((VLOOKUP($A302,'NonXtal_SegEnds_BW#'!$A:$Z,24,FALSE)+VLOOKUP($A302,A:AL,34,FALSE)-50)),"-",(VLOOKUP($A302,'NonXtal_SegEnds_BW#'!$A:$Z,24,FALSE)+VLOOKUP($A302,A:AL,34,FALSE)-50))</f>
        <v>348</v>
      </c>
      <c r="AJ302" s="3">
        <f>IF(ISERROR(VLOOKUP($A302,'NonXtal_SegEnds_BW#'!$A:$Z,25,FALSE)+VLOOKUP($A302,A:AL,37,FALSE)-50),"-",(VLOOKUP($A302,'NonXtal_SegEnds_BW#'!$A:$Z,25,FALSE)+VLOOKUP($A302,A:AL,37,FALSE)-50))</f>
        <v>349</v>
      </c>
      <c r="AK302" s="3">
        <v>352</v>
      </c>
      <c r="AL302" s="3">
        <f>IF(ISERROR((VLOOKUP($A302,'NonXtal_SegEnds_BW#'!$A:$Z,26,FALSE)+VLOOKUP($A302,A:AL,37,FALSE)-50)),"-",(VLOOKUP($A302,'NonXtal_SegEnds_BW#'!$A:$Z,26,FALSE)+VLOOKUP($A302,A:AL,37,FALSE)-50))</f>
        <v>360</v>
      </c>
      <c r="AM302" s="71" t="str">
        <f>VLOOKUP(A302,Classification!A:B,2,FALSE)</f>
        <v>A</v>
      </c>
      <c r="AN302" s="71" t="b">
        <f t="shared" si="133"/>
        <v>1</v>
      </c>
      <c r="AO302" s="3">
        <f t="shared" si="134"/>
        <v>1</v>
      </c>
      <c r="AP302" s="3">
        <f t="shared" si="135"/>
        <v>1</v>
      </c>
      <c r="AQ302" s="3">
        <f t="shared" si="136"/>
        <v>2</v>
      </c>
      <c r="AR302" s="3">
        <f t="shared" si="137"/>
        <v>1</v>
      </c>
      <c r="AS302" s="3">
        <f t="shared" si="138"/>
        <v>1</v>
      </c>
      <c r="AT302" s="3">
        <f t="shared" si="139"/>
        <v>1</v>
      </c>
      <c r="AU302" s="3">
        <f t="shared" si="140"/>
        <v>16</v>
      </c>
      <c r="AV302" s="3">
        <f t="shared" si="141"/>
        <v>7</v>
      </c>
      <c r="AW302" s="3">
        <f t="shared" si="142"/>
        <v>5</v>
      </c>
      <c r="AX302" s="3">
        <f t="shared" si="143"/>
        <v>5</v>
      </c>
      <c r="AY302" s="3">
        <f t="shared" si="144"/>
        <v>1</v>
      </c>
      <c r="AZ302" s="3">
        <f>IF(ISERROR(LEN(VLOOKUP(A302,Seqs!A:E,2,FALSE))-AL302),"-",LEN(VLOOKUP(A302,Seqs!A:E,2,FALSE))-AL302)</f>
        <v>63</v>
      </c>
      <c r="BA302" s="35">
        <f t="shared" si="145"/>
        <v>28</v>
      </c>
      <c r="BB302" s="3">
        <f t="shared" si="146"/>
        <v>18</v>
      </c>
      <c r="BC302" s="3">
        <f t="shared" si="147"/>
        <v>28</v>
      </c>
      <c r="BD302" s="3">
        <f t="shared" si="148"/>
        <v>56</v>
      </c>
    </row>
    <row r="303" spans="1:58" s="3" customFormat="1" x14ac:dyDescent="0.2">
      <c r="A303" s="3" t="s">
        <v>561</v>
      </c>
      <c r="B303" s="3" t="str">
        <f>LOWER(VLOOKUP(A303,Xtal_Templ!A:B,2,FALSE))</f>
        <v>ox2r_human</v>
      </c>
      <c r="C303" s="3">
        <f>VLOOKUP($A303,'NonXtal_SegEnds_BW#'!$A:$Z,3,FALSE)+D303-50</f>
        <v>61</v>
      </c>
      <c r="D303" s="3">
        <v>80</v>
      </c>
      <c r="E303" s="3">
        <f>IF(ISERROR(VLOOKUP($A303,'NonXtal_SegEnds_BW#'!$A:$Z,4,FALSE)+VLOOKUP($A303,A:AL,4,FALSE)-50),"-",(VLOOKUP($A303,'NonXtal_SegEnds_BW#'!$A:$Z,4,FALSE)+VLOOKUP($A303,A:AL,4,FALSE)-50))</f>
        <v>90</v>
      </c>
      <c r="F303" s="3">
        <f t="shared" si="162"/>
        <v>91</v>
      </c>
      <c r="G303" s="3">
        <v>93</v>
      </c>
      <c r="H303" s="3">
        <f t="shared" si="163"/>
        <v>94</v>
      </c>
      <c r="I303" s="3">
        <f t="shared" si="163"/>
        <v>95</v>
      </c>
      <c r="J303" s="3">
        <v>108</v>
      </c>
      <c r="K303" s="3">
        <f>VLOOKUP($A303,'NonXtal_SegEnds_BW#'!$A:$Z,8,FALSE)+VLOOKUP($A303,A:AL,10,FALSE)-50</f>
        <v>125</v>
      </c>
      <c r="L303" s="3">
        <f t="shared" si="164"/>
        <v>129</v>
      </c>
      <c r="M303" s="3">
        <v>130</v>
      </c>
      <c r="N303" s="3">
        <f t="shared" si="165"/>
        <v>132</v>
      </c>
      <c r="O303" s="3">
        <f t="shared" si="166"/>
        <v>133</v>
      </c>
      <c r="P303" s="3">
        <v>162</v>
      </c>
      <c r="Q303" s="3">
        <f>VLOOKUP($A303,'NonXtal_SegEnds_BW#'!$A:$Z,12,FALSE)+VLOOKUP($A303,A:AL,16,FALSE)-50</f>
        <v>168</v>
      </c>
      <c r="R303" s="3">
        <f>IF(ISERROR(VLOOKUP($A303,'NonXtal_SegEnds_BW#'!$A:$Z,13,FALSE)+VLOOKUP($A303,A:AL,19,FALSE)-50),"-",VLOOKUP($A303,'NonXtal_SegEnds_BW#'!$A:$Z,13,FALSE)+VLOOKUP($A303,A:AL,19,FALSE)-50)</f>
        <v>169</v>
      </c>
      <c r="S303" s="3">
        <v>169</v>
      </c>
      <c r="T303" s="3">
        <f>IF(ISERROR(VLOOKUP($A303,'NonXtal_SegEnds_BW#'!$A:$Z,14,FALSE)+VLOOKUP($A303,A:AL,19,FALSE)-50),"-",(VLOOKUP($A303,'NonXtal_SegEnds_BW#'!$A:$Z,14,FALSE)+VLOOKUP($A303,A:AL,19,FALSE)-50))</f>
        <v>175</v>
      </c>
      <c r="U303" s="3">
        <f>IF(ISERROR(VLOOKUP($A303,'NonXtal_SegEnds_BW#'!$A:$Z,15,FALSE)+VLOOKUP($A303,A:AL,22,FALSE)-50),"-",VLOOKUP($A303,'NonXtal_SegEnds_BW#'!$A:$Z,15,FALSE)+VLOOKUP($A303,A:AL,22,FALSE)-50)</f>
        <v>176</v>
      </c>
      <c r="V303" s="3">
        <v>187</v>
      </c>
      <c r="W303" s="3">
        <f>IF(ISERROR(VLOOKUP($A303,'NonXtal_SegEnds_BW#'!$A:$Z,16,FALSE)+VLOOKUP($A303,A:AL,22,FALSE)-50),"-",(VLOOKUP($A303,'NonXtal_SegEnds_BW#'!$A:$Z,16,FALSE)+VLOOKUP($A303,A:AL,22,FALSE)-50))</f>
        <v>201</v>
      </c>
      <c r="X303" s="3">
        <f>IF(ISERROR(VLOOKUP($A303,'NonXtal_SegEnds_BW#'!$A:$Z,17,FALSE)+VLOOKUP($A303,A:AL,25,FALSE)-50),"-",(VLOOKUP($A303,'NonXtal_SegEnds_BW#'!$A:$Z,17,FALSE)+VLOOKUP($A303,A:AL,25,FALSE)-50))</f>
        <v>217</v>
      </c>
      <c r="Y303" s="3">
        <v>217</v>
      </c>
      <c r="Z303" s="3">
        <f t="shared" si="167"/>
        <v>219</v>
      </c>
      <c r="AA303" s="3">
        <f>IF(ISERROR(VLOOKUP($A303,'NonXtal_SegEnds_BW#'!$A:$Z,19,FALSE)+VLOOKUP($A303,A:AL,28,FALSE)-50),"-",(VLOOKUP($A303,'NonXtal_SegEnds_BW#'!$A:$Z,19,FALSE)+VLOOKUP($A303,A:AL,28,FALSE)-50))</f>
        <v>226</v>
      </c>
      <c r="AB303" s="3">
        <v>244</v>
      </c>
      <c r="AC303" s="3">
        <f>IF(ISERROR((VLOOKUP($A303,'NonXtal_SegEnds_BW#'!$A:$Z,20,FALSE)+VLOOKUP($A303,A:AL,28,FALSE)-50)),"-",(VLOOKUP($A303,'NonXtal_SegEnds_BW#'!$A:$Z,20,FALSE)+VLOOKUP($A303,A:AL,28,FALSE)-50))</f>
        <v>267</v>
      </c>
      <c r="AD303" s="3">
        <f>IF(ISERROR(VLOOKUP($A303,'NonXtal_SegEnds_BW#'!$A:$Z,21,FALSE)+VLOOKUP($A303,A:AL,31,FALSE)-50),"-",(VLOOKUP($A303,'NonXtal_SegEnds_BW#'!$A:$Z,21,FALSE)+VLOOKUP($A303,A:AL,31,FALSE)-50))</f>
        <v>271</v>
      </c>
      <c r="AE303" s="3">
        <v>299</v>
      </c>
      <c r="AF303" s="3">
        <f>IF(ISERROR((VLOOKUP($A303,'NonXtal_SegEnds_BW#'!$A:$Z,22,FALSE)+VLOOKUP($A303,A:AL,31,FALSE)-50)),"-",(VLOOKUP($A303,'NonXtal_SegEnds_BW#'!$A:$Z,22,FALSE)+VLOOKUP($A303,A:AL,31,FALSE)-50))</f>
        <v>310</v>
      </c>
      <c r="AG303" s="3">
        <f>IF(ISERROR(VLOOKUP($A303,'NonXtal_SegEnds_BW#'!$A:$Z,23,FALSE)+VLOOKUP($A303,A:AL,34,FALSE)-50),"-",(VLOOKUP($A303,'NonXtal_SegEnds_BW#'!$A:$Z,23,FALSE)+VLOOKUP($A303,A:AL,34,FALSE)-50))</f>
        <v>317</v>
      </c>
      <c r="AH303" s="3">
        <v>339</v>
      </c>
      <c r="AI303" s="3">
        <f>IF(ISERROR((VLOOKUP($A303,'NonXtal_SegEnds_BW#'!$A:$Z,24,FALSE)+VLOOKUP($A303,A:AL,34,FALSE)-50)),"-",(VLOOKUP($A303,'NonXtal_SegEnds_BW#'!$A:$Z,24,FALSE)+VLOOKUP($A303,A:AL,34,FALSE)-50))</f>
        <v>345</v>
      </c>
      <c r="AJ303" s="3">
        <v>347</v>
      </c>
      <c r="AK303" s="3">
        <v>350</v>
      </c>
      <c r="AL303" s="3">
        <v>358</v>
      </c>
      <c r="AM303" s="71" t="str">
        <f>VLOOKUP(A303,Classification!A:B,2,FALSE)</f>
        <v>A</v>
      </c>
      <c r="AN303" s="71" t="b">
        <f t="shared" si="133"/>
        <v>1</v>
      </c>
      <c r="AO303" s="3">
        <f t="shared" si="134"/>
        <v>1</v>
      </c>
      <c r="AP303" s="3">
        <f t="shared" si="135"/>
        <v>1</v>
      </c>
      <c r="AQ303" s="3">
        <f t="shared" si="136"/>
        <v>4</v>
      </c>
      <c r="AR303" s="3">
        <f t="shared" si="137"/>
        <v>1</v>
      </c>
      <c r="AS303" s="3">
        <f t="shared" si="138"/>
        <v>1</v>
      </c>
      <c r="AT303" s="3">
        <f t="shared" si="139"/>
        <v>1</v>
      </c>
      <c r="AU303" s="3">
        <f t="shared" si="140"/>
        <v>16</v>
      </c>
      <c r="AV303" s="3">
        <f t="shared" si="141"/>
        <v>7</v>
      </c>
      <c r="AW303" s="3">
        <f t="shared" si="142"/>
        <v>4</v>
      </c>
      <c r="AX303" s="3">
        <f t="shared" si="143"/>
        <v>7</v>
      </c>
      <c r="AY303" s="3">
        <f t="shared" si="144"/>
        <v>2</v>
      </c>
      <c r="AZ303" s="3">
        <f>IF(ISERROR(LEN(VLOOKUP(A303,Seqs!A:E,2,FALSE))-AL303),"-",LEN(VLOOKUP(A303,Seqs!A:E,2,FALSE))-AL303)</f>
        <v>35</v>
      </c>
      <c r="BA303" s="35">
        <f t="shared" si="145"/>
        <v>28</v>
      </c>
      <c r="BB303" s="3">
        <f t="shared" si="146"/>
        <v>18</v>
      </c>
      <c r="BC303" s="3">
        <f t="shared" si="147"/>
        <v>28</v>
      </c>
      <c r="BD303" s="3">
        <f t="shared" si="148"/>
        <v>55</v>
      </c>
    </row>
    <row r="304" spans="1:58" s="3" customFormat="1" x14ac:dyDescent="0.2">
      <c r="A304" s="3" t="s">
        <v>563</v>
      </c>
      <c r="B304" s="3" t="str">
        <f>LOWER(VLOOKUP(A304,Xtal_Templ!A:B,2,FALSE))</f>
        <v>ox2r_human</v>
      </c>
      <c r="C304" s="3">
        <f>VLOOKUP($A304,'NonXtal_SegEnds_BW#'!$A:$Z,3,FALSE)+D304-50</f>
        <v>59</v>
      </c>
      <c r="D304" s="3">
        <v>78</v>
      </c>
      <c r="E304" s="3">
        <f>IF(ISERROR(VLOOKUP($A304,'NonXtal_SegEnds_BW#'!$A:$Z,4,FALSE)+VLOOKUP($A304,A:AL,4,FALSE)-50),"-",(VLOOKUP($A304,'NonXtal_SegEnds_BW#'!$A:$Z,4,FALSE)+VLOOKUP($A304,A:AL,4,FALSE)-50))</f>
        <v>88</v>
      </c>
      <c r="F304" s="3">
        <f t="shared" si="162"/>
        <v>89</v>
      </c>
      <c r="G304" s="3">
        <v>91</v>
      </c>
      <c r="H304" s="3">
        <f t="shared" si="163"/>
        <v>92</v>
      </c>
      <c r="I304" s="3">
        <f t="shared" si="163"/>
        <v>93</v>
      </c>
      <c r="J304" s="3">
        <v>106</v>
      </c>
      <c r="K304" s="3">
        <f>VLOOKUP($A304,'NonXtal_SegEnds_BW#'!$A:$Z,8,FALSE)+VLOOKUP($A304,A:AL,10,FALSE)-50</f>
        <v>123</v>
      </c>
      <c r="L304" s="3">
        <f t="shared" si="164"/>
        <v>126</v>
      </c>
      <c r="M304" s="3">
        <v>127</v>
      </c>
      <c r="N304" s="3">
        <f t="shared" si="165"/>
        <v>129</v>
      </c>
      <c r="O304" s="3">
        <f t="shared" si="166"/>
        <v>130</v>
      </c>
      <c r="P304" s="3">
        <v>159</v>
      </c>
      <c r="Q304" s="3">
        <f>VLOOKUP($A304,'NonXtal_SegEnds_BW#'!$A:$Z,12,FALSE)+VLOOKUP($A304,A:AL,16,FALSE)-50</f>
        <v>165</v>
      </c>
      <c r="R304" s="3">
        <f>IF(ISERROR(VLOOKUP($A304,'NonXtal_SegEnds_BW#'!$A:$Z,13,FALSE)+VLOOKUP($A304,A:AL,19,FALSE)-50),"-",VLOOKUP($A304,'NonXtal_SegEnds_BW#'!$A:$Z,13,FALSE)+VLOOKUP($A304,A:AL,19,FALSE)-50)</f>
        <v>166</v>
      </c>
      <c r="S304" s="3">
        <v>166</v>
      </c>
      <c r="T304" s="3">
        <f>IF(ISERROR(VLOOKUP($A304,'NonXtal_SegEnds_BW#'!$A:$Z,14,FALSE)+VLOOKUP($A304,A:AL,19,FALSE)-50),"-",(VLOOKUP($A304,'NonXtal_SegEnds_BW#'!$A:$Z,14,FALSE)+VLOOKUP($A304,A:AL,19,FALSE)-50))</f>
        <v>172</v>
      </c>
      <c r="U304" s="3">
        <f>IF(ISERROR(VLOOKUP($A304,'NonXtal_SegEnds_BW#'!$A:$Z,15,FALSE)+VLOOKUP($A304,A:AL,22,FALSE)-50),"-",VLOOKUP($A304,'NonXtal_SegEnds_BW#'!$A:$Z,15,FALSE)+VLOOKUP($A304,A:AL,22,FALSE)-50)</f>
        <v>173</v>
      </c>
      <c r="V304" s="3">
        <v>184</v>
      </c>
      <c r="W304" s="3">
        <f>IF(ISERROR(VLOOKUP($A304,'NonXtal_SegEnds_BW#'!$A:$Z,16,FALSE)+VLOOKUP($A304,A:AL,22,FALSE)-50),"-",(VLOOKUP($A304,'NonXtal_SegEnds_BW#'!$A:$Z,16,FALSE)+VLOOKUP($A304,A:AL,22,FALSE)-50))</f>
        <v>198</v>
      </c>
      <c r="X304" s="3">
        <f>IF(ISERROR(VLOOKUP($A304,'NonXtal_SegEnds_BW#'!$A:$Z,17,FALSE)+VLOOKUP($A304,A:AL,25,FALSE)-50),"-",(VLOOKUP($A304,'NonXtal_SegEnds_BW#'!$A:$Z,17,FALSE)+VLOOKUP($A304,A:AL,25,FALSE)-50))</f>
        <v>211</v>
      </c>
      <c r="Y304" s="3">
        <v>211</v>
      </c>
      <c r="Z304" s="3">
        <f t="shared" si="167"/>
        <v>213</v>
      </c>
      <c r="AA304" s="3">
        <f>IF(ISERROR(VLOOKUP($A304,'NonXtal_SegEnds_BW#'!$A:$Z,19,FALSE)+VLOOKUP($A304,A:AL,28,FALSE)-50),"-",(VLOOKUP($A304,'NonXtal_SegEnds_BW#'!$A:$Z,19,FALSE)+VLOOKUP($A304,A:AL,28,FALSE)-50))</f>
        <v>219</v>
      </c>
      <c r="AB304" s="3">
        <v>237</v>
      </c>
      <c r="AC304" s="3">
        <f>IF(ISERROR((VLOOKUP($A304,'NonXtal_SegEnds_BW#'!$A:$Z,20,FALSE)+VLOOKUP($A304,A:AL,28,FALSE)-50)),"-",(VLOOKUP($A304,'NonXtal_SegEnds_BW#'!$A:$Z,20,FALSE)+VLOOKUP($A304,A:AL,28,FALSE)-50))</f>
        <v>260</v>
      </c>
      <c r="AD304" s="3">
        <f>IF(ISERROR(VLOOKUP($A304,'NonXtal_SegEnds_BW#'!$A:$Z,21,FALSE)+VLOOKUP($A304,A:AL,31,FALSE)-50),"-",(VLOOKUP($A304,'NonXtal_SegEnds_BW#'!$A:$Z,21,FALSE)+VLOOKUP($A304,A:AL,31,FALSE)-50))</f>
        <v>265</v>
      </c>
      <c r="AE304" s="3">
        <v>293</v>
      </c>
      <c r="AF304" s="3">
        <f>IF(ISERROR((VLOOKUP($A304,'NonXtal_SegEnds_BW#'!$A:$Z,22,FALSE)+VLOOKUP($A304,A:AL,31,FALSE)-50)),"-",(VLOOKUP($A304,'NonXtal_SegEnds_BW#'!$A:$Z,22,FALSE)+VLOOKUP($A304,A:AL,31,FALSE)-50))</f>
        <v>304</v>
      </c>
      <c r="AG304" s="3">
        <f>IF(ISERROR(VLOOKUP($A304,'NonXtal_SegEnds_BW#'!$A:$Z,23,FALSE)+VLOOKUP($A304,A:AL,34,FALSE)-50),"-",(VLOOKUP($A304,'NonXtal_SegEnds_BW#'!$A:$Z,23,FALSE)+VLOOKUP($A304,A:AL,34,FALSE)-50))</f>
        <v>310</v>
      </c>
      <c r="AH304" s="3">
        <v>332</v>
      </c>
      <c r="AI304" s="3">
        <f>IF(ISERROR((VLOOKUP($A304,'NonXtal_SegEnds_BW#'!$A:$Z,24,FALSE)+VLOOKUP($A304,A:AL,34,FALSE)-50)),"-",(VLOOKUP($A304,'NonXtal_SegEnds_BW#'!$A:$Z,24,FALSE)+VLOOKUP($A304,A:AL,34,FALSE)-50))</f>
        <v>338</v>
      </c>
      <c r="AJ304" s="3">
        <f>IF(ISERROR(VLOOKUP($A304,'NonXtal_SegEnds_BW#'!$A:$Z,25,FALSE)+VLOOKUP($A304,A:AL,37,FALSE)-50),"-",(VLOOKUP($A304,'NonXtal_SegEnds_BW#'!$A:$Z,25,FALSE)+VLOOKUP($A304,A:AL,37,FALSE)-50))</f>
        <v>339</v>
      </c>
      <c r="AK304" s="3">
        <v>342</v>
      </c>
      <c r="AL304" s="3">
        <f>IF(ISERROR((VLOOKUP($A304,'NonXtal_SegEnds_BW#'!$A:$Z,26,FALSE)+VLOOKUP($A304,A:AL,37,FALSE)-50)),"-",(VLOOKUP($A304,'NonXtal_SegEnds_BW#'!$A:$Z,26,FALSE)+VLOOKUP($A304,A:AL,37,FALSE)-50))</f>
        <v>350</v>
      </c>
      <c r="AM304" s="71" t="str">
        <f>VLOOKUP(A304,Classification!A:B,2,FALSE)</f>
        <v>A</v>
      </c>
      <c r="AN304" s="71" t="b">
        <f t="shared" si="133"/>
        <v>1</v>
      </c>
      <c r="AO304" s="3">
        <f t="shared" si="134"/>
        <v>1</v>
      </c>
      <c r="AP304" s="3">
        <f t="shared" si="135"/>
        <v>1</v>
      </c>
      <c r="AQ304" s="3">
        <f t="shared" si="136"/>
        <v>3</v>
      </c>
      <c r="AR304" s="3">
        <f t="shared" si="137"/>
        <v>1</v>
      </c>
      <c r="AS304" s="3">
        <f t="shared" si="138"/>
        <v>1</v>
      </c>
      <c r="AT304" s="3">
        <f t="shared" si="139"/>
        <v>1</v>
      </c>
      <c r="AU304" s="3">
        <f t="shared" si="140"/>
        <v>13</v>
      </c>
      <c r="AV304" s="3">
        <f t="shared" si="141"/>
        <v>6</v>
      </c>
      <c r="AW304" s="3">
        <f t="shared" si="142"/>
        <v>5</v>
      </c>
      <c r="AX304" s="3">
        <f t="shared" si="143"/>
        <v>6</v>
      </c>
      <c r="AY304" s="3">
        <f t="shared" si="144"/>
        <v>1</v>
      </c>
      <c r="AZ304" s="3">
        <f>IF(ISERROR(LEN(VLOOKUP(A304,Seqs!A:E,2,FALSE))-AL304),"-",LEN(VLOOKUP(A304,Seqs!A:E,2,FALSE))-AL304)</f>
        <v>20</v>
      </c>
      <c r="BA304" s="35">
        <f t="shared" si="145"/>
        <v>28</v>
      </c>
      <c r="BB304" s="3">
        <f t="shared" si="146"/>
        <v>18</v>
      </c>
      <c r="BC304" s="3">
        <f t="shared" si="147"/>
        <v>28</v>
      </c>
      <c r="BD304" s="3">
        <f t="shared" si="148"/>
        <v>56</v>
      </c>
      <c r="BE304" s="3">
        <f>AH304-AE304</f>
        <v>39</v>
      </c>
    </row>
    <row r="305" spans="1:57" s="3" customFormat="1" x14ac:dyDescent="0.2">
      <c r="A305" s="3" t="s">
        <v>436</v>
      </c>
      <c r="B305" s="3" t="str">
        <f>LOWER(VLOOKUP(A305,Xtal_Templ!A:B,2,FALSE))</f>
        <v>ox2r_human</v>
      </c>
      <c r="C305" s="3">
        <f>VLOOKUP($A305,'NonXtal_SegEnds_BW#'!$A:$Z,3,FALSE)+D305-50</f>
        <v>64</v>
      </c>
      <c r="D305" s="3">
        <v>83</v>
      </c>
      <c r="E305" s="3">
        <f>IF(ISERROR(VLOOKUP($A305,'NonXtal_SegEnds_BW#'!$A:$Z,4,FALSE)+VLOOKUP($A305,A:AL,4,FALSE)-50),"-",(VLOOKUP($A305,'NonXtal_SegEnds_BW#'!$A:$Z,4,FALSE)+VLOOKUP($A305,A:AL,4,FALSE)-50))</f>
        <v>93</v>
      </c>
      <c r="F305" s="3">
        <f t="shared" si="162"/>
        <v>94</v>
      </c>
      <c r="G305" s="3">
        <v>96</v>
      </c>
      <c r="H305" s="3">
        <f t="shared" si="163"/>
        <v>97</v>
      </c>
      <c r="I305" s="3">
        <f t="shared" si="163"/>
        <v>98</v>
      </c>
      <c r="J305" s="3">
        <v>111</v>
      </c>
      <c r="K305" s="3">
        <f>VLOOKUP($A305,'NonXtal_SegEnds_BW#'!$A:$Z,8,FALSE)+VLOOKUP($A305,A:AL,10,FALSE)-50</f>
        <v>128</v>
      </c>
      <c r="L305" s="3">
        <f t="shared" si="164"/>
        <v>130</v>
      </c>
      <c r="M305" s="3">
        <v>131</v>
      </c>
      <c r="N305" s="3">
        <f t="shared" si="165"/>
        <v>133</v>
      </c>
      <c r="O305" s="3">
        <f t="shared" si="166"/>
        <v>134</v>
      </c>
      <c r="P305" s="3">
        <v>163</v>
      </c>
      <c r="Q305" s="3">
        <f>VLOOKUP($A305,'NonXtal_SegEnds_BW#'!$A:$Z,12,FALSE)+VLOOKUP($A305,A:AL,16,FALSE)-50</f>
        <v>169</v>
      </c>
      <c r="R305" s="3">
        <f>IF(ISERROR(VLOOKUP($A305,'NonXtal_SegEnds_BW#'!$A:$Z,13,FALSE)+VLOOKUP($A305,A:AL,19,FALSE)-50),"-",VLOOKUP($A305,'NonXtal_SegEnds_BW#'!$A:$Z,13,FALSE)+VLOOKUP($A305,A:AL,19,FALSE)-50)</f>
        <v>170</v>
      </c>
      <c r="S305" s="3">
        <v>170</v>
      </c>
      <c r="T305" s="3">
        <f>IF(ISERROR(VLOOKUP($A305,'NonXtal_SegEnds_BW#'!$A:$Z,14,FALSE)+VLOOKUP($A305,A:AL,19,FALSE)-50),"-",(VLOOKUP($A305,'NonXtal_SegEnds_BW#'!$A:$Z,14,FALSE)+VLOOKUP($A305,A:AL,19,FALSE)-50))</f>
        <v>176</v>
      </c>
      <c r="U305" s="3">
        <f>IF(ISERROR(VLOOKUP($A305,'NonXtal_SegEnds_BW#'!$A:$Z,15,FALSE)+VLOOKUP($A305,A:AL,22,FALSE)-50),"-",VLOOKUP($A305,'NonXtal_SegEnds_BW#'!$A:$Z,15,FALSE)+VLOOKUP($A305,A:AL,22,FALSE)-50)</f>
        <v>177</v>
      </c>
      <c r="V305" s="3">
        <v>188</v>
      </c>
      <c r="W305" s="3">
        <f>IF(ISERROR(VLOOKUP($A305,'NonXtal_SegEnds_BW#'!$A:$Z,16,FALSE)+VLOOKUP($A305,A:AL,22,FALSE)-50),"-",(VLOOKUP($A305,'NonXtal_SegEnds_BW#'!$A:$Z,16,FALSE)+VLOOKUP($A305,A:AL,22,FALSE)-50))</f>
        <v>202</v>
      </c>
      <c r="X305" s="3">
        <f>IF(ISERROR(VLOOKUP($A305,'NonXtal_SegEnds_BW#'!$A:$Z,17,FALSE)+VLOOKUP($A305,A:AL,25,FALSE)-50),"-",(VLOOKUP($A305,'NonXtal_SegEnds_BW#'!$A:$Z,17,FALSE)+VLOOKUP($A305,A:AL,25,FALSE)-50))</f>
        <v>210</v>
      </c>
      <c r="Y305" s="3">
        <v>210</v>
      </c>
      <c r="Z305" s="3">
        <f t="shared" si="167"/>
        <v>212</v>
      </c>
      <c r="AA305" s="3">
        <f>IF(ISERROR(VLOOKUP($A305,'NonXtal_SegEnds_BW#'!$A:$Z,19,FALSE)+VLOOKUP($A305,A:AL,28,FALSE)-50),"-",(VLOOKUP($A305,'NonXtal_SegEnds_BW#'!$A:$Z,19,FALSE)+VLOOKUP($A305,A:AL,28,FALSE)-50))</f>
        <v>217</v>
      </c>
      <c r="AB305" s="3">
        <v>235</v>
      </c>
      <c r="AC305" s="3">
        <f>IF(ISERROR((VLOOKUP($A305,'NonXtal_SegEnds_BW#'!$A:$Z,20,FALSE)+VLOOKUP($A305,A:AL,28,FALSE)-50)),"-",(VLOOKUP($A305,'NonXtal_SegEnds_BW#'!$A:$Z,20,FALSE)+VLOOKUP($A305,A:AL,28,FALSE)-50))</f>
        <v>258</v>
      </c>
      <c r="AD305" s="3">
        <f>IF(ISERROR(VLOOKUP($A305,'NonXtal_SegEnds_BW#'!$A:$Z,21,FALSE)+VLOOKUP($A305,A:AL,31,FALSE)-50),"-",(VLOOKUP($A305,'NonXtal_SegEnds_BW#'!$A:$Z,21,FALSE)+VLOOKUP($A305,A:AL,31,FALSE)-50))</f>
        <v>263</v>
      </c>
      <c r="AE305" s="3">
        <v>291</v>
      </c>
      <c r="AF305" s="3">
        <f>IF(ISERROR((VLOOKUP($A305,'NonXtal_SegEnds_BW#'!$A:$Z,22,FALSE)+VLOOKUP($A305,A:AL,31,FALSE)-50)),"-",(VLOOKUP($A305,'NonXtal_SegEnds_BW#'!$A:$Z,22,FALSE)+VLOOKUP($A305,A:AL,31,FALSE)-50))</f>
        <v>302</v>
      </c>
      <c r="AG305" s="3">
        <f>IF(ISERROR(VLOOKUP($A305,'NonXtal_SegEnds_BW#'!$A:$Z,23,FALSE)+VLOOKUP($A305,A:AL,34,FALSE)-50),"-",(VLOOKUP($A305,'NonXtal_SegEnds_BW#'!$A:$Z,23,FALSE)+VLOOKUP($A305,A:AL,34,FALSE)-50))</f>
        <v>308</v>
      </c>
      <c r="AH305" s="3">
        <v>327</v>
      </c>
      <c r="AI305" s="3">
        <f>IF(ISERROR((VLOOKUP($A305,'NonXtal_SegEnds_BW#'!$A:$Z,24,FALSE)+VLOOKUP($A305,A:AL,34,FALSE)-50)),"-",(VLOOKUP($A305,'NonXtal_SegEnds_BW#'!$A:$Z,24,FALSE)+VLOOKUP($A305,A:AL,34,FALSE)-50))</f>
        <v>333</v>
      </c>
      <c r="AJ305" s="3">
        <f>IF(ISERROR(VLOOKUP($A305,'NonXtal_SegEnds_BW#'!$A:$Z,25,FALSE)+VLOOKUP($A305,A:AL,37,FALSE)-50),"-",(VLOOKUP($A305,'NonXtal_SegEnds_BW#'!$A:$Z,25,FALSE)+VLOOKUP($A305,A:AL,37,FALSE)-50))</f>
        <v>334</v>
      </c>
      <c r="AK305" s="3">
        <v>337</v>
      </c>
      <c r="AL305" s="3">
        <f>IF(ISERROR((VLOOKUP($A305,'NonXtal_SegEnds_BW#'!$A:$Z,26,FALSE)+VLOOKUP($A305,A:AL,37,FALSE)-50)),"-",(VLOOKUP($A305,'NonXtal_SegEnds_BW#'!$A:$Z,26,FALSE)+VLOOKUP($A305,A:AL,37,FALSE)-50))</f>
        <v>345</v>
      </c>
      <c r="AM305" s="71" t="str">
        <f>VLOOKUP(A305,Classification!A:B,2,FALSE)</f>
        <v>A</v>
      </c>
      <c r="AN305" s="71" t="b">
        <f t="shared" si="133"/>
        <v>1</v>
      </c>
      <c r="AO305" s="3">
        <f t="shared" si="134"/>
        <v>1</v>
      </c>
      <c r="AP305" s="3">
        <f t="shared" si="135"/>
        <v>1</v>
      </c>
      <c r="AQ305" s="3">
        <f t="shared" si="136"/>
        <v>2</v>
      </c>
      <c r="AR305" s="3">
        <f t="shared" si="137"/>
        <v>1</v>
      </c>
      <c r="AS305" s="3">
        <f t="shared" si="138"/>
        <v>1</v>
      </c>
      <c r="AT305" s="3">
        <f t="shared" si="139"/>
        <v>1</v>
      </c>
      <c r="AU305" s="3">
        <f t="shared" si="140"/>
        <v>8</v>
      </c>
      <c r="AV305" s="3">
        <f t="shared" si="141"/>
        <v>5</v>
      </c>
      <c r="AW305" s="3">
        <f t="shared" si="142"/>
        <v>5</v>
      </c>
      <c r="AX305" s="3">
        <f t="shared" si="143"/>
        <v>6</v>
      </c>
      <c r="AY305" s="3">
        <f t="shared" si="144"/>
        <v>1</v>
      </c>
      <c r="AZ305" s="3">
        <f>IF(ISERROR(LEN(VLOOKUP(A305,Seqs!A:E,2,FALSE))-AL305),"-",LEN(VLOOKUP(A305,Seqs!A:E,2,FALSE))-AL305)</f>
        <v>70</v>
      </c>
      <c r="BA305" s="35">
        <f t="shared" si="145"/>
        <v>28</v>
      </c>
      <c r="BB305" s="3">
        <f t="shared" si="146"/>
        <v>18</v>
      </c>
      <c r="BC305" s="3">
        <f t="shared" si="147"/>
        <v>28</v>
      </c>
      <c r="BD305" s="3">
        <f t="shared" si="148"/>
        <v>56</v>
      </c>
    </row>
    <row r="306" spans="1:57" s="3" customFormat="1" x14ac:dyDescent="0.2">
      <c r="A306" s="3" t="s">
        <v>1395</v>
      </c>
      <c r="B306" s="3" t="str">
        <f>LOWER(VLOOKUP(A306,Xtal_Templ!A:B,2,FALSE))</f>
        <v>ox2r_human</v>
      </c>
      <c r="C306" s="3">
        <f>VLOOKUP($A306,'NonXtal_SegEnds_BW#'!$A:$Z,3,FALSE)+D306-50</f>
        <v>53</v>
      </c>
      <c r="D306" s="3">
        <v>72</v>
      </c>
      <c r="E306" s="3">
        <f>IF(ISERROR(VLOOKUP($A306,'NonXtal_SegEnds_BW#'!$A:$Z,4,FALSE)+VLOOKUP($A306,A:AL,4,FALSE)-50),"-",(VLOOKUP($A306,'NonXtal_SegEnds_BW#'!$A:$Z,4,FALSE)+VLOOKUP($A306,A:AL,4,FALSE)-50))</f>
        <v>82</v>
      </c>
      <c r="F306" s="3">
        <f t="shared" si="162"/>
        <v>83</v>
      </c>
      <c r="G306" s="3">
        <v>85</v>
      </c>
      <c r="H306" s="3">
        <f t="shared" si="163"/>
        <v>86</v>
      </c>
      <c r="I306" s="3">
        <f t="shared" si="163"/>
        <v>87</v>
      </c>
      <c r="J306" s="3">
        <v>100</v>
      </c>
      <c r="K306" s="3">
        <f>VLOOKUP($A306,'NonXtal_SegEnds_BW#'!$A:$Z,8,FALSE)+VLOOKUP($A306,A:AL,10,FALSE)-50</f>
        <v>117</v>
      </c>
      <c r="L306" s="3">
        <f t="shared" si="164"/>
        <v>119</v>
      </c>
      <c r="M306" s="3">
        <v>120</v>
      </c>
      <c r="N306" s="3">
        <f t="shared" si="165"/>
        <v>122</v>
      </c>
      <c r="O306" s="3">
        <f t="shared" si="166"/>
        <v>123</v>
      </c>
      <c r="P306" s="3">
        <v>152</v>
      </c>
      <c r="Q306" s="3">
        <f>VLOOKUP($A306,'NonXtal_SegEnds_BW#'!$A:$Z,12,FALSE)+VLOOKUP($A306,A:AL,16,FALSE)-50</f>
        <v>158</v>
      </c>
      <c r="R306" s="3">
        <f>IF(ISERROR(VLOOKUP($A306,'NonXtal_SegEnds_BW#'!$A:$Z,13,FALSE)+VLOOKUP($A306,A:AL,19,FALSE)-50),"-",VLOOKUP($A306,'NonXtal_SegEnds_BW#'!$A:$Z,13,FALSE)+VLOOKUP($A306,A:AL,19,FALSE)-50)</f>
        <v>159</v>
      </c>
      <c r="S306" s="3">
        <v>159</v>
      </c>
      <c r="T306" s="3">
        <f>IF(ISERROR(VLOOKUP($A306,'NonXtal_SegEnds_BW#'!$A:$Z,14,FALSE)+VLOOKUP($A306,A:AL,19,FALSE)-50),"-",(VLOOKUP($A306,'NonXtal_SegEnds_BW#'!$A:$Z,14,FALSE)+VLOOKUP($A306,A:AL,19,FALSE)-50))</f>
        <v>165</v>
      </c>
      <c r="U306" s="3">
        <f>IF(ISERROR(VLOOKUP($A306,'NonXtal_SegEnds_BW#'!$A:$Z,15,FALSE)+VLOOKUP($A306,A:AL,22,FALSE)-50),"-",VLOOKUP($A306,'NonXtal_SegEnds_BW#'!$A:$Z,15,FALSE)+VLOOKUP($A306,A:AL,22,FALSE)-50)</f>
        <v>166</v>
      </c>
      <c r="V306" s="3">
        <v>177</v>
      </c>
      <c r="W306" s="3">
        <f>IF(ISERROR(VLOOKUP($A306,'NonXtal_SegEnds_BW#'!$A:$Z,16,FALSE)+VLOOKUP($A306,A:AL,22,FALSE)-50),"-",(VLOOKUP($A306,'NonXtal_SegEnds_BW#'!$A:$Z,16,FALSE)+VLOOKUP($A306,A:AL,22,FALSE)-50))</f>
        <v>191</v>
      </c>
      <c r="X306" s="3">
        <f>IF(ISERROR(VLOOKUP($A306,'NonXtal_SegEnds_BW#'!$A:$Z,17,FALSE)+VLOOKUP($A306,A:AL,25,FALSE)-50),"-",(VLOOKUP($A306,'NonXtal_SegEnds_BW#'!$A:$Z,17,FALSE)+VLOOKUP($A306,A:AL,25,FALSE)-50))</f>
        <v>210</v>
      </c>
      <c r="Y306" s="3">
        <v>210</v>
      </c>
      <c r="Z306" s="3">
        <f t="shared" si="167"/>
        <v>212</v>
      </c>
      <c r="AA306" s="3">
        <f>IF(ISERROR(VLOOKUP($A306,'NonXtal_SegEnds_BW#'!$A:$Z,19,FALSE)+VLOOKUP($A306,A:AL,28,FALSE)-50),"-",(VLOOKUP($A306,'NonXtal_SegEnds_BW#'!$A:$Z,19,FALSE)+VLOOKUP($A306,A:AL,28,FALSE)-50))</f>
        <v>217</v>
      </c>
      <c r="AB306" s="3">
        <v>235</v>
      </c>
      <c r="AC306" s="3">
        <v>256</v>
      </c>
      <c r="AD306" s="3">
        <f>IF(ISERROR(VLOOKUP($A306,'NonXtal_SegEnds_BW#'!$A:$Z,21,FALSE)+VLOOKUP($A306,A:AL,31,FALSE)-50),"-",(VLOOKUP($A306,'NonXtal_SegEnds_BW#'!$A:$Z,21,FALSE)+VLOOKUP($A306,A:AL,31,FALSE)-50))</f>
        <v>289</v>
      </c>
      <c r="AE306" s="3">
        <v>319</v>
      </c>
      <c r="AF306" s="3">
        <f>IF(ISERROR((VLOOKUP($A306,'NonXtal_SegEnds_BW#'!$A:$Z,22,FALSE)+VLOOKUP($A306,A:AL,31,FALSE)-50)),"-",(VLOOKUP($A306,'NonXtal_SegEnds_BW#'!$A:$Z,22,FALSE)+VLOOKUP($A306,A:AL,31,FALSE)-50))</f>
        <v>330</v>
      </c>
      <c r="AG306" s="3">
        <f>IF(ISERROR(VLOOKUP($A306,'NonXtal_SegEnds_BW#'!$A:$Z,23,FALSE)+VLOOKUP($A306,A:AL,34,FALSE)-50),"-",(VLOOKUP($A306,'NonXtal_SegEnds_BW#'!$A:$Z,23,FALSE)+VLOOKUP($A306,A:AL,34,FALSE)-50))</f>
        <v>339</v>
      </c>
      <c r="AH306" s="3">
        <v>361</v>
      </c>
      <c r="AI306" s="3">
        <f>IF(ISERROR((VLOOKUP($A306,'NonXtal_SegEnds_BW#'!$A:$Z,24,FALSE)+VLOOKUP($A306,A:AL,34,FALSE)-50)),"-",(VLOOKUP($A306,'NonXtal_SegEnds_BW#'!$A:$Z,24,FALSE)+VLOOKUP($A306,A:AL,34,FALSE)-50))</f>
        <v>367</v>
      </c>
      <c r="AJ306" s="3">
        <f>IF(ISERROR(VLOOKUP($A306,'NonXtal_SegEnds_BW#'!$A:$Z,25,FALSE)+VLOOKUP($A306,A:AL,37,FALSE)-50),"-",(VLOOKUP($A306,'NonXtal_SegEnds_BW#'!$A:$Z,25,FALSE)+VLOOKUP($A306,A:AL,37,FALSE)-50))</f>
        <v>368</v>
      </c>
      <c r="AK306" s="3">
        <v>371</v>
      </c>
      <c r="AL306" s="3">
        <f>IF(ISERROR((VLOOKUP($A306,'NonXtal_SegEnds_BW#'!$A:$Z,26,FALSE)+VLOOKUP($A306,A:AL,37,FALSE)-50)),"-",(VLOOKUP($A306,'NonXtal_SegEnds_BW#'!$A:$Z,26,FALSE)+VLOOKUP($A306,A:AL,37,FALSE)-50))</f>
        <v>379</v>
      </c>
      <c r="AM306" s="71" t="str">
        <f>VLOOKUP(A306,Classification!A:B,2,FALSE)</f>
        <v>A</v>
      </c>
      <c r="AN306" s="71" t="b">
        <f t="shared" si="133"/>
        <v>1</v>
      </c>
      <c r="AO306" s="3">
        <f t="shared" si="134"/>
        <v>1</v>
      </c>
      <c r="AP306" s="3">
        <f t="shared" si="135"/>
        <v>1</v>
      </c>
      <c r="AQ306" s="3">
        <f t="shared" si="136"/>
        <v>2</v>
      </c>
      <c r="AR306" s="3">
        <f t="shared" si="137"/>
        <v>1</v>
      </c>
      <c r="AS306" s="3">
        <f t="shared" si="138"/>
        <v>1</v>
      </c>
      <c r="AT306" s="3">
        <f t="shared" si="139"/>
        <v>1</v>
      </c>
      <c r="AU306" s="3">
        <f t="shared" si="140"/>
        <v>19</v>
      </c>
      <c r="AV306" s="3">
        <f t="shared" si="141"/>
        <v>5</v>
      </c>
      <c r="AW306" s="3">
        <f t="shared" si="142"/>
        <v>33</v>
      </c>
      <c r="AX306" s="3">
        <f t="shared" si="143"/>
        <v>9</v>
      </c>
      <c r="AY306" s="3">
        <f t="shared" si="144"/>
        <v>1</v>
      </c>
      <c r="AZ306" s="3">
        <f>IF(ISERROR(LEN(VLOOKUP(A306,Seqs!A:E,2,FALSE))-AL306),"-",LEN(VLOOKUP(A306,Seqs!A:E,2,FALSE))-AL306)</f>
        <v>65</v>
      </c>
      <c r="BA306" s="35">
        <f t="shared" si="145"/>
        <v>28</v>
      </c>
      <c r="BB306" s="3">
        <f t="shared" si="146"/>
        <v>18</v>
      </c>
      <c r="BC306" s="3">
        <f t="shared" si="147"/>
        <v>28</v>
      </c>
      <c r="BD306" s="3">
        <f t="shared" si="148"/>
        <v>84</v>
      </c>
    </row>
    <row r="307" spans="1:57" s="3" customFormat="1" x14ac:dyDescent="0.2">
      <c r="A307" s="3" t="s">
        <v>562</v>
      </c>
      <c r="B307" s="3" t="str">
        <f>LOWER(VLOOKUP(A307,Xtal_Templ!A:B,2,FALSE))</f>
        <v>ox2r_human</v>
      </c>
      <c r="C307" s="3">
        <f>VLOOKUP($A307,'NonXtal_SegEnds_BW#'!$A:$Z,3,FALSE)+D307-50</f>
        <v>52</v>
      </c>
      <c r="D307" s="3">
        <v>71</v>
      </c>
      <c r="E307" s="3">
        <f>IF(ISERROR(VLOOKUP($A307,'NonXtal_SegEnds_BW#'!$A:$Z,4,FALSE)+VLOOKUP($A307,A:AL,4,FALSE)-50),"-",(VLOOKUP($A307,'NonXtal_SegEnds_BW#'!$A:$Z,4,FALSE)+VLOOKUP($A307,A:AL,4,FALSE)-50))</f>
        <v>81</v>
      </c>
      <c r="F307" s="3">
        <f t="shared" si="162"/>
        <v>82</v>
      </c>
      <c r="G307" s="3">
        <v>84</v>
      </c>
      <c r="H307" s="3">
        <f t="shared" si="163"/>
        <v>85</v>
      </c>
      <c r="I307" s="3">
        <f t="shared" si="163"/>
        <v>86</v>
      </c>
      <c r="J307" s="3">
        <v>99</v>
      </c>
      <c r="K307" s="3">
        <f>VLOOKUP($A307,'NonXtal_SegEnds_BW#'!$A:$Z,8,FALSE)+VLOOKUP($A307,A:AL,10,FALSE)-50</f>
        <v>116</v>
      </c>
      <c r="L307" s="3">
        <f t="shared" si="164"/>
        <v>120</v>
      </c>
      <c r="M307" s="3">
        <v>121</v>
      </c>
      <c r="N307" s="3">
        <f t="shared" si="165"/>
        <v>123</v>
      </c>
      <c r="O307" s="3">
        <f t="shared" si="166"/>
        <v>124</v>
      </c>
      <c r="P307" s="3">
        <v>153</v>
      </c>
      <c r="Q307" s="3">
        <f>VLOOKUP($A307,'NonXtal_SegEnds_BW#'!$A:$Z,12,FALSE)+VLOOKUP($A307,A:AL,16,FALSE)-50</f>
        <v>159</v>
      </c>
      <c r="R307" s="3">
        <f>IF(ISERROR(VLOOKUP($A307,'NonXtal_SegEnds_BW#'!$A:$Z,13,FALSE)+VLOOKUP($A307,A:AL,19,FALSE)-50),"-",VLOOKUP($A307,'NonXtal_SegEnds_BW#'!$A:$Z,13,FALSE)+VLOOKUP($A307,A:AL,19,FALSE)-50)</f>
        <v>160</v>
      </c>
      <c r="S307" s="3">
        <v>160</v>
      </c>
      <c r="T307" s="3">
        <f>IF(ISERROR(VLOOKUP($A307,'NonXtal_SegEnds_BW#'!$A:$Z,14,FALSE)+VLOOKUP($A307,A:AL,19,FALSE)-50),"-",(VLOOKUP($A307,'NonXtal_SegEnds_BW#'!$A:$Z,14,FALSE)+VLOOKUP($A307,A:AL,19,FALSE)-50))</f>
        <v>166</v>
      </c>
      <c r="U307" s="3">
        <f>IF(ISERROR(VLOOKUP($A307,'NonXtal_SegEnds_BW#'!$A:$Z,15,FALSE)+VLOOKUP($A307,A:AL,22,FALSE)-50),"-",VLOOKUP($A307,'NonXtal_SegEnds_BW#'!$A:$Z,15,FALSE)+VLOOKUP($A307,A:AL,22,FALSE)-50)</f>
        <v>167</v>
      </c>
      <c r="V307" s="3">
        <v>178</v>
      </c>
      <c r="W307" s="3">
        <f>IF(ISERROR(VLOOKUP($A307,'NonXtal_SegEnds_BW#'!$A:$Z,16,FALSE)+VLOOKUP($A307,A:AL,22,FALSE)-50),"-",(VLOOKUP($A307,'NonXtal_SegEnds_BW#'!$A:$Z,16,FALSE)+VLOOKUP($A307,A:AL,22,FALSE)-50))</f>
        <v>192</v>
      </c>
      <c r="X307" s="3">
        <f>IF(ISERROR(VLOOKUP($A307,'NonXtal_SegEnds_BW#'!$A:$Z,17,FALSE)+VLOOKUP($A307,A:AL,25,FALSE)-50),"-",(VLOOKUP($A307,'NonXtal_SegEnds_BW#'!$A:$Z,17,FALSE)+VLOOKUP($A307,A:AL,25,FALSE)-50))</f>
        <v>208</v>
      </c>
      <c r="Y307" s="3">
        <v>208</v>
      </c>
      <c r="Z307" s="3">
        <f t="shared" si="167"/>
        <v>210</v>
      </c>
      <c r="AA307" s="3">
        <f>IF(ISERROR(VLOOKUP($A307,'NonXtal_SegEnds_BW#'!$A:$Z,19,FALSE)+VLOOKUP($A307,A:AL,28,FALSE)-50),"-",(VLOOKUP($A307,'NonXtal_SegEnds_BW#'!$A:$Z,19,FALSE)+VLOOKUP($A307,A:AL,28,FALSE)-50))</f>
        <v>217</v>
      </c>
      <c r="AB307" s="3">
        <v>235</v>
      </c>
      <c r="AC307" s="3">
        <f>IF(ISERROR((VLOOKUP($A307,'NonXtal_SegEnds_BW#'!$A:$Z,20,FALSE)+VLOOKUP($A307,A:AL,28,FALSE)-50)),"-",(VLOOKUP($A307,'NonXtal_SegEnds_BW#'!$A:$Z,20,FALSE)+VLOOKUP($A307,A:AL,28,FALSE)-50))</f>
        <v>258</v>
      </c>
      <c r="AD307" s="3">
        <f>IF(ISERROR(VLOOKUP($A307,'NonXtal_SegEnds_BW#'!$A:$Z,21,FALSE)+VLOOKUP($A307,A:AL,31,FALSE)-50),"-",(VLOOKUP($A307,'NonXtal_SegEnds_BW#'!$A:$Z,21,FALSE)+VLOOKUP($A307,A:AL,31,FALSE)-50))</f>
        <v>262</v>
      </c>
      <c r="AE307" s="3">
        <v>290</v>
      </c>
      <c r="AF307" s="3">
        <f>IF(ISERROR((VLOOKUP($A307,'NonXtal_SegEnds_BW#'!$A:$Z,22,FALSE)+VLOOKUP($A307,A:AL,31,FALSE)-50)),"-",(VLOOKUP($A307,'NonXtal_SegEnds_BW#'!$A:$Z,22,FALSE)+VLOOKUP($A307,A:AL,31,FALSE)-50))</f>
        <v>301</v>
      </c>
      <c r="AG307" s="3">
        <f>IF(ISERROR(VLOOKUP($A307,'NonXtal_SegEnds_BW#'!$A:$Z,23,FALSE)+VLOOKUP($A307,A:AL,34,FALSE)-50),"-",(VLOOKUP($A307,'NonXtal_SegEnds_BW#'!$A:$Z,23,FALSE)+VLOOKUP($A307,A:AL,34,FALSE)-50))</f>
        <v>308</v>
      </c>
      <c r="AH307" s="3">
        <v>330</v>
      </c>
      <c r="AI307" s="3">
        <f>IF(ISERROR((VLOOKUP($A307,'NonXtal_SegEnds_BW#'!$A:$Z,24,FALSE)+VLOOKUP($A307,A:AL,34,FALSE)-50)),"-",(VLOOKUP($A307,'NonXtal_SegEnds_BW#'!$A:$Z,24,FALSE)+VLOOKUP($A307,A:AL,34,FALSE)-50))</f>
        <v>336</v>
      </c>
      <c r="AJ307" s="3">
        <v>338</v>
      </c>
      <c r="AK307" s="3">
        <v>341</v>
      </c>
      <c r="AL307" s="3">
        <v>349</v>
      </c>
      <c r="AM307" s="71" t="str">
        <f>VLOOKUP(A307,Classification!A:B,2,FALSE)</f>
        <v>A</v>
      </c>
      <c r="AN307" s="71" t="b">
        <f t="shared" si="133"/>
        <v>1</v>
      </c>
      <c r="AO307" s="3">
        <f t="shared" si="134"/>
        <v>1</v>
      </c>
      <c r="AP307" s="3">
        <f t="shared" si="135"/>
        <v>1</v>
      </c>
      <c r="AQ307" s="3">
        <f t="shared" si="136"/>
        <v>4</v>
      </c>
      <c r="AR307" s="3">
        <f t="shared" si="137"/>
        <v>1</v>
      </c>
      <c r="AS307" s="3">
        <f t="shared" si="138"/>
        <v>1</v>
      </c>
      <c r="AT307" s="3">
        <f t="shared" si="139"/>
        <v>1</v>
      </c>
      <c r="AU307" s="3">
        <f t="shared" si="140"/>
        <v>16</v>
      </c>
      <c r="AV307" s="3">
        <f t="shared" si="141"/>
        <v>7</v>
      </c>
      <c r="AW307" s="3">
        <f t="shared" si="142"/>
        <v>4</v>
      </c>
      <c r="AX307" s="3">
        <f t="shared" si="143"/>
        <v>7</v>
      </c>
      <c r="AY307" s="3">
        <f t="shared" si="144"/>
        <v>2</v>
      </c>
      <c r="AZ307" s="3">
        <f>IF(ISERROR(LEN(VLOOKUP(A307,Seqs!A:E,2,FALSE))-AL307),"-",LEN(VLOOKUP(A307,Seqs!A:E,2,FALSE))-AL307)</f>
        <v>35</v>
      </c>
      <c r="BA307" s="35">
        <f t="shared" si="145"/>
        <v>28</v>
      </c>
      <c r="BB307" s="3">
        <f t="shared" si="146"/>
        <v>18</v>
      </c>
      <c r="BC307" s="3">
        <f t="shared" si="147"/>
        <v>28</v>
      </c>
      <c r="BD307" s="3">
        <f t="shared" si="148"/>
        <v>55</v>
      </c>
    </row>
    <row r="308" spans="1:57" s="3" customFormat="1" x14ac:dyDescent="0.2">
      <c r="A308" s="3" t="s">
        <v>402</v>
      </c>
      <c r="B308" s="3" t="str">
        <f>LOWER(VLOOKUP(A308,Xtal_Templ!A:B,2,FALSE))</f>
        <v>ox2r_human</v>
      </c>
      <c r="C308" s="3">
        <f>VLOOKUP($A308,'NonXtal_SegEnds_BW#'!$A:$Z,3,FALSE)+D308-50</f>
        <v>53</v>
      </c>
      <c r="D308" s="3">
        <v>72</v>
      </c>
      <c r="E308" s="3">
        <f>IF(ISERROR(VLOOKUP($A308,'NonXtal_SegEnds_BW#'!$A:$Z,4,FALSE)+VLOOKUP($A308,A:AL,4,FALSE)-50),"-",(VLOOKUP($A308,'NonXtal_SegEnds_BW#'!$A:$Z,4,FALSE)+VLOOKUP($A308,A:AL,4,FALSE)-50))</f>
        <v>82</v>
      </c>
      <c r="F308" s="3">
        <f t="shared" si="162"/>
        <v>83</v>
      </c>
      <c r="G308" s="3">
        <v>85</v>
      </c>
      <c r="H308" s="3">
        <f t="shared" si="163"/>
        <v>86</v>
      </c>
      <c r="I308" s="3">
        <f t="shared" si="163"/>
        <v>87</v>
      </c>
      <c r="J308" s="3">
        <v>100</v>
      </c>
      <c r="K308" s="3">
        <f>VLOOKUP($A308,'NonXtal_SegEnds_BW#'!$A:$Z,8,FALSE)+VLOOKUP($A308,A:AL,10,FALSE)-50</f>
        <v>117</v>
      </c>
      <c r="L308" s="3">
        <f t="shared" si="164"/>
        <v>119</v>
      </c>
      <c r="M308" s="3">
        <v>120</v>
      </c>
      <c r="N308" s="3">
        <f t="shared" si="165"/>
        <v>122</v>
      </c>
      <c r="O308" s="3">
        <f t="shared" si="166"/>
        <v>123</v>
      </c>
      <c r="P308" s="3">
        <v>152</v>
      </c>
      <c r="Q308" s="3">
        <f>VLOOKUP($A308,'NonXtal_SegEnds_BW#'!$A:$Z,12,FALSE)+VLOOKUP($A308,A:AL,16,FALSE)-50</f>
        <v>158</v>
      </c>
      <c r="R308" s="3">
        <f>IF(ISERROR(VLOOKUP($A308,'NonXtal_SegEnds_BW#'!$A:$Z,13,FALSE)+VLOOKUP($A308,A:AL,19,FALSE)-50),"-",VLOOKUP($A308,'NonXtal_SegEnds_BW#'!$A:$Z,13,FALSE)+VLOOKUP($A308,A:AL,19,FALSE)-50)</f>
        <v>159</v>
      </c>
      <c r="S308" s="3">
        <v>159</v>
      </c>
      <c r="T308" s="3">
        <f>IF(ISERROR(VLOOKUP($A308,'NonXtal_SegEnds_BW#'!$A:$Z,14,FALSE)+VLOOKUP($A308,A:AL,19,FALSE)-50),"-",(VLOOKUP($A308,'NonXtal_SegEnds_BW#'!$A:$Z,14,FALSE)+VLOOKUP($A308,A:AL,19,FALSE)-50))</f>
        <v>166</v>
      </c>
      <c r="U308" s="3">
        <f>IF(ISERROR(VLOOKUP($A308,'NonXtal_SegEnds_BW#'!$A:$Z,15,FALSE)+VLOOKUP($A308,A:AL,22,FALSE)-50),"-",VLOOKUP($A308,'NonXtal_SegEnds_BW#'!$A:$Z,15,FALSE)+VLOOKUP($A308,A:AL,22,FALSE)-50)</f>
        <v>168</v>
      </c>
      <c r="V308" s="3">
        <v>179</v>
      </c>
      <c r="W308" s="3">
        <f>IF(ISERROR(VLOOKUP($A308,'NonXtal_SegEnds_BW#'!$A:$Z,16,FALSE)+VLOOKUP($A308,A:AL,22,FALSE)-50),"-",(VLOOKUP($A308,'NonXtal_SegEnds_BW#'!$A:$Z,16,FALSE)+VLOOKUP($A308,A:AL,22,FALSE)-50))</f>
        <v>193</v>
      </c>
      <c r="X308" s="3">
        <f>IF(ISERROR(VLOOKUP($A308,'NonXtal_SegEnds_BW#'!$A:$Z,17,FALSE)+VLOOKUP($A308,A:AL,25,FALSE)-50),"-",(VLOOKUP($A308,'NonXtal_SegEnds_BW#'!$A:$Z,17,FALSE)+VLOOKUP($A308,A:AL,25,FALSE)-50))</f>
        <v>205</v>
      </c>
      <c r="Y308" s="3">
        <v>205</v>
      </c>
      <c r="Z308" s="3">
        <f t="shared" si="167"/>
        <v>207</v>
      </c>
      <c r="AA308" s="3">
        <f>IF(ISERROR(VLOOKUP($A308,'NonXtal_SegEnds_BW#'!$A:$Z,19,FALSE)+VLOOKUP($A308,A:AL,28,FALSE)-50),"-",(VLOOKUP($A308,'NonXtal_SegEnds_BW#'!$A:$Z,19,FALSE)+VLOOKUP($A308,A:AL,28,FALSE)-50))</f>
        <v>212</v>
      </c>
      <c r="AB308" s="3">
        <v>230</v>
      </c>
      <c r="AC308" s="3">
        <f>IF(ISERROR((VLOOKUP($A308,'NonXtal_SegEnds_BW#'!$A:$Z,20,FALSE)+VLOOKUP($A308,A:AL,28,FALSE)-50)),"-",(VLOOKUP($A308,'NonXtal_SegEnds_BW#'!$A:$Z,20,FALSE)+VLOOKUP($A308,A:AL,28,FALSE)-50))</f>
        <v>256</v>
      </c>
      <c r="AD308" s="3">
        <f>IF(ISERROR(VLOOKUP($A308,'NonXtal_SegEnds_BW#'!$A:$Z,21,FALSE)+VLOOKUP($A308,A:AL,31,FALSE)-50),"-",(VLOOKUP($A308,'NonXtal_SegEnds_BW#'!$A:$Z,21,FALSE)+VLOOKUP($A308,A:AL,31,FALSE)-50))</f>
        <v>322</v>
      </c>
      <c r="AE308" s="3">
        <v>348</v>
      </c>
      <c r="AF308" s="3">
        <f>IF(ISERROR((VLOOKUP($A308,'NonXtal_SegEnds_BW#'!$A:$Z,22,FALSE)+VLOOKUP($A308,A:AL,31,FALSE)-50)),"-",(VLOOKUP($A308,'NonXtal_SegEnds_BW#'!$A:$Z,22,FALSE)+VLOOKUP($A308,A:AL,31,FALSE)-50))</f>
        <v>359</v>
      </c>
      <c r="AG308" s="3">
        <f>IF(ISERROR(VLOOKUP($A308,'NonXtal_SegEnds_BW#'!$A:$Z,23,FALSE)+VLOOKUP($A308,A:AL,34,FALSE)-50),"-",(VLOOKUP($A308,'NonXtal_SegEnds_BW#'!$A:$Z,23,FALSE)+VLOOKUP($A308,A:AL,34,FALSE)-50))</f>
        <v>365</v>
      </c>
      <c r="AH308" s="3">
        <v>387</v>
      </c>
      <c r="AI308" s="3">
        <f>IF(ISERROR((VLOOKUP($A308,'NonXtal_SegEnds_BW#'!$A:$Z,24,FALSE)+VLOOKUP($A308,A:AL,34,FALSE)-50)),"-",(VLOOKUP($A308,'NonXtal_SegEnds_BW#'!$A:$Z,24,FALSE)+VLOOKUP($A308,A:AL,34,FALSE)-50))</f>
        <v>393</v>
      </c>
      <c r="AJ308" s="3">
        <f>IF(ISERROR(VLOOKUP($A308,'NonXtal_SegEnds_BW#'!$A:$Z,25,FALSE)+VLOOKUP($A308,A:AL,37,FALSE)-50),"-",(VLOOKUP($A308,'NonXtal_SegEnds_BW#'!$A:$Z,25,FALSE)+VLOOKUP($A308,A:AL,37,FALSE)-50))</f>
        <v>394</v>
      </c>
      <c r="AK308" s="3">
        <v>397</v>
      </c>
      <c r="AL308" s="3">
        <f>IF(ISERROR((VLOOKUP($A308,'NonXtal_SegEnds_BW#'!$A:$Z,26,FALSE)+VLOOKUP($A308,A:AL,37,FALSE)-50)),"-",(VLOOKUP($A308,'NonXtal_SegEnds_BW#'!$A:$Z,26,FALSE)+VLOOKUP($A308,A:AL,37,FALSE)-50))</f>
        <v>405</v>
      </c>
      <c r="AM308" s="71" t="str">
        <f>VLOOKUP(A308,Classification!A:B,2,FALSE)</f>
        <v>A</v>
      </c>
      <c r="AN308" s="71" t="b">
        <f t="shared" si="133"/>
        <v>1</v>
      </c>
      <c r="AO308" s="3">
        <f t="shared" si="134"/>
        <v>1</v>
      </c>
      <c r="AP308" s="3">
        <f t="shared" si="135"/>
        <v>1</v>
      </c>
      <c r="AQ308" s="3">
        <f t="shared" si="136"/>
        <v>2</v>
      </c>
      <c r="AR308" s="3">
        <f t="shared" si="137"/>
        <v>1</v>
      </c>
      <c r="AS308" s="3">
        <f t="shared" si="138"/>
        <v>1</v>
      </c>
      <c r="AT308" s="3">
        <f t="shared" si="139"/>
        <v>2</v>
      </c>
      <c r="AU308" s="3">
        <f t="shared" si="140"/>
        <v>12</v>
      </c>
      <c r="AV308" s="3">
        <f t="shared" si="141"/>
        <v>5</v>
      </c>
      <c r="AW308" s="3">
        <f t="shared" si="142"/>
        <v>66</v>
      </c>
      <c r="AX308" s="3">
        <f t="shared" si="143"/>
        <v>6</v>
      </c>
      <c r="AY308" s="3">
        <f t="shared" si="144"/>
        <v>1</v>
      </c>
      <c r="AZ308" s="3">
        <f>IF(ISERROR(LEN(VLOOKUP(A308,Seqs!A:E,2,FALSE))-AL308),"-",LEN(VLOOKUP(A308,Seqs!A:E,2,FALSE))-AL308)</f>
        <v>42</v>
      </c>
      <c r="BA308" s="35">
        <f t="shared" si="145"/>
        <v>28</v>
      </c>
      <c r="BB308" s="3">
        <f t="shared" si="146"/>
        <v>20</v>
      </c>
      <c r="BC308" s="3">
        <f t="shared" si="147"/>
        <v>28</v>
      </c>
      <c r="BD308" s="3">
        <f t="shared" si="148"/>
        <v>118</v>
      </c>
    </row>
    <row r="309" spans="1:57" s="3" customFormat="1" x14ac:dyDescent="0.2">
      <c r="A309" s="3" t="s">
        <v>357</v>
      </c>
      <c r="B309" s="3" t="str">
        <f>LOWER(VLOOKUP(A309,Xtal_Templ!A:B,2,FALSE))</f>
        <v>ox2r_human</v>
      </c>
      <c r="C309" s="3">
        <f>VLOOKUP($A309,'NonXtal_SegEnds_BW#'!$A:$Z,3,FALSE)+D309-50</f>
        <v>46</v>
      </c>
      <c r="D309" s="3">
        <v>65</v>
      </c>
      <c r="E309" s="3">
        <f>IF(ISERROR(VLOOKUP($A309,'NonXtal_SegEnds_BW#'!$A:$Z,4,FALSE)+VLOOKUP($A309,A:AL,4,FALSE)-50),"-",(VLOOKUP($A309,'NonXtal_SegEnds_BW#'!$A:$Z,4,FALSE)+VLOOKUP($A309,A:AL,4,FALSE)-50))</f>
        <v>75</v>
      </c>
      <c r="F309" s="3">
        <f t="shared" si="162"/>
        <v>76</v>
      </c>
      <c r="G309" s="3">
        <v>78</v>
      </c>
      <c r="H309" s="3">
        <f t="shared" si="163"/>
        <v>79</v>
      </c>
      <c r="I309" s="3">
        <f t="shared" si="163"/>
        <v>80</v>
      </c>
      <c r="J309" s="3">
        <v>93</v>
      </c>
      <c r="K309" s="3">
        <f>VLOOKUP($A309,'NonXtal_SegEnds_BW#'!$A:$Z,8,FALSE)+VLOOKUP($A309,A:AL,10,FALSE)-50</f>
        <v>110</v>
      </c>
      <c r="L309" s="3">
        <f t="shared" si="164"/>
        <v>112</v>
      </c>
      <c r="M309" s="3">
        <v>113</v>
      </c>
      <c r="N309" s="3">
        <f t="shared" si="165"/>
        <v>115</v>
      </c>
      <c r="O309" s="3">
        <f t="shared" si="166"/>
        <v>116</v>
      </c>
      <c r="P309" s="3">
        <v>145</v>
      </c>
      <c r="Q309" s="3">
        <f>VLOOKUP($A309,'NonXtal_SegEnds_BW#'!$A:$Z,12,FALSE)+VLOOKUP($A309,A:AL,16,FALSE)-50</f>
        <v>151</v>
      </c>
      <c r="R309" s="3">
        <f>IF(ISERROR(VLOOKUP($A309,'NonXtal_SegEnds_BW#'!$A:$Z,13,FALSE)+VLOOKUP($A309,A:AL,19,FALSE)-50),"-",VLOOKUP($A309,'NonXtal_SegEnds_BW#'!$A:$Z,13,FALSE)+VLOOKUP($A309,A:AL,19,FALSE)-50)</f>
        <v>152</v>
      </c>
      <c r="S309" s="3">
        <v>152</v>
      </c>
      <c r="T309" s="3">
        <f>IF(ISERROR(VLOOKUP($A309,'NonXtal_SegEnds_BW#'!$A:$Z,14,FALSE)+VLOOKUP($A309,A:AL,19,FALSE)-50),"-",(VLOOKUP($A309,'NonXtal_SegEnds_BW#'!$A:$Z,14,FALSE)+VLOOKUP($A309,A:AL,19,FALSE)-50))</f>
        <v>159</v>
      </c>
      <c r="U309" s="3">
        <f>IF(ISERROR(VLOOKUP($A309,'NonXtal_SegEnds_BW#'!$A:$Z,15,FALSE)+VLOOKUP($A309,A:AL,22,FALSE)-50),"-",VLOOKUP($A309,'NonXtal_SegEnds_BW#'!$A:$Z,15,FALSE)+VLOOKUP($A309,A:AL,22,FALSE)-50)</f>
        <v>161</v>
      </c>
      <c r="V309" s="3">
        <v>172</v>
      </c>
      <c r="W309" s="3">
        <f>IF(ISERROR(VLOOKUP($A309,'NonXtal_SegEnds_BW#'!$A:$Z,16,FALSE)+VLOOKUP($A309,A:AL,22,FALSE)-50),"-",(VLOOKUP($A309,'NonXtal_SegEnds_BW#'!$A:$Z,16,FALSE)+VLOOKUP($A309,A:AL,22,FALSE)-50))</f>
        <v>186</v>
      </c>
      <c r="X309" s="3">
        <f>IF(ISERROR(VLOOKUP($A309,'NonXtal_SegEnds_BW#'!$A:$Z,17,FALSE)+VLOOKUP($A309,A:AL,25,FALSE)-50),"-",(VLOOKUP($A309,'NonXtal_SegEnds_BW#'!$A:$Z,17,FALSE)+VLOOKUP($A309,A:AL,25,FALSE)-50))</f>
        <v>203</v>
      </c>
      <c r="Y309" s="3">
        <v>203</v>
      </c>
      <c r="Z309" s="3">
        <f t="shared" si="167"/>
        <v>205</v>
      </c>
      <c r="AA309" s="3">
        <f>IF(ISERROR(VLOOKUP($A309,'NonXtal_SegEnds_BW#'!$A:$Z,19,FALSE)+VLOOKUP($A309,A:AL,28,FALSE)-50),"-",(VLOOKUP($A309,'NonXtal_SegEnds_BW#'!$A:$Z,19,FALSE)+VLOOKUP($A309,A:AL,28,FALSE)-50))</f>
        <v>211</v>
      </c>
      <c r="AB309" s="3">
        <v>229</v>
      </c>
      <c r="AC309" s="3">
        <f>IF(ISERROR((VLOOKUP($A309,'NonXtal_SegEnds_BW#'!$A:$Z,20,FALSE)+VLOOKUP($A309,A:AL,28,FALSE)-50)),"-",(VLOOKUP($A309,'NonXtal_SegEnds_BW#'!$A:$Z,20,FALSE)+VLOOKUP($A309,A:AL,28,FALSE)-50))</f>
        <v>252</v>
      </c>
      <c r="AD309" s="3">
        <f>IF(ISERROR(VLOOKUP($A309,'NonXtal_SegEnds_BW#'!$A:$Z,21,FALSE)+VLOOKUP($A309,A:AL,31,FALSE)-50),"-",(VLOOKUP($A309,'NonXtal_SegEnds_BW#'!$A:$Z,21,FALSE)+VLOOKUP($A309,A:AL,31,FALSE)-50))</f>
        <v>258</v>
      </c>
      <c r="AE309" s="3">
        <v>286</v>
      </c>
      <c r="AF309" s="3">
        <f>IF(ISERROR((VLOOKUP($A309,'NonXtal_SegEnds_BW#'!$A:$Z,22,FALSE)+VLOOKUP($A309,A:AL,31,FALSE)-50)),"-",(VLOOKUP($A309,'NonXtal_SegEnds_BW#'!$A:$Z,22,FALSE)+VLOOKUP($A309,A:AL,31,FALSE)-50))</f>
        <v>297</v>
      </c>
      <c r="AG309" s="3">
        <f>IF(ISERROR(VLOOKUP($A309,'NonXtal_SegEnds_BW#'!$A:$Z,23,FALSE)+VLOOKUP($A309,A:AL,34,FALSE)-50),"-",(VLOOKUP($A309,'NonXtal_SegEnds_BW#'!$A:$Z,23,FALSE)+VLOOKUP($A309,A:AL,34,FALSE)-50))</f>
        <v>305</v>
      </c>
      <c r="AH309" s="3">
        <v>327</v>
      </c>
      <c r="AI309" s="3">
        <f>IF(ISERROR((VLOOKUP($A309,'NonXtal_SegEnds_BW#'!$A:$Z,24,FALSE)+VLOOKUP($A309,A:AL,34,FALSE)-50)),"-",(VLOOKUP($A309,'NonXtal_SegEnds_BW#'!$A:$Z,24,FALSE)+VLOOKUP($A309,A:AL,34,FALSE)-50))</f>
        <v>333</v>
      </c>
      <c r="AJ309" s="3">
        <f>IF(ISERROR(VLOOKUP($A309,'NonXtal_SegEnds_BW#'!$A:$Z,25,FALSE)+VLOOKUP($A309,A:AL,37,FALSE)-50),"-",(VLOOKUP($A309,'NonXtal_SegEnds_BW#'!$A:$Z,25,FALSE)+VLOOKUP($A309,A:AL,37,FALSE)-50))</f>
        <v>334</v>
      </c>
      <c r="AK309" s="3">
        <v>337</v>
      </c>
      <c r="AL309" s="3">
        <f>IF(ISERROR((VLOOKUP($A309,'NonXtal_SegEnds_BW#'!$A:$Z,26,FALSE)+VLOOKUP($A309,A:AL,37,FALSE)-50)),"-",(VLOOKUP($A309,'NonXtal_SegEnds_BW#'!$A:$Z,26,FALSE)+VLOOKUP($A309,A:AL,37,FALSE)-50))</f>
        <v>345</v>
      </c>
      <c r="AM309" s="71" t="str">
        <f>VLOOKUP(A309,Classification!A:B,2,FALSE)</f>
        <v>A</v>
      </c>
      <c r="AN309" s="71" t="b">
        <f t="shared" si="133"/>
        <v>1</v>
      </c>
      <c r="AO309" s="3">
        <f t="shared" si="134"/>
        <v>1</v>
      </c>
      <c r="AP309" s="3">
        <f t="shared" si="135"/>
        <v>1</v>
      </c>
      <c r="AQ309" s="3">
        <f t="shared" si="136"/>
        <v>2</v>
      </c>
      <c r="AR309" s="3">
        <f t="shared" si="137"/>
        <v>1</v>
      </c>
      <c r="AS309" s="3">
        <f t="shared" si="138"/>
        <v>1</v>
      </c>
      <c r="AT309" s="3">
        <f t="shared" si="139"/>
        <v>2</v>
      </c>
      <c r="AU309" s="3">
        <f t="shared" si="140"/>
        <v>17</v>
      </c>
      <c r="AV309" s="3">
        <f t="shared" si="141"/>
        <v>6</v>
      </c>
      <c r="AW309" s="3">
        <f t="shared" si="142"/>
        <v>6</v>
      </c>
      <c r="AX309" s="3">
        <f t="shared" si="143"/>
        <v>8</v>
      </c>
      <c r="AY309" s="3">
        <f t="shared" si="144"/>
        <v>1</v>
      </c>
      <c r="AZ309" s="3">
        <f>IF(ISERROR(LEN(VLOOKUP(A309,Seqs!A:E,2,FALSE))-AL309),"-",LEN(VLOOKUP(A309,Seqs!A:E,2,FALSE))-AL309)</f>
        <v>54</v>
      </c>
      <c r="BA309" s="35">
        <f t="shared" si="145"/>
        <v>28</v>
      </c>
      <c r="BB309" s="3">
        <f t="shared" si="146"/>
        <v>20</v>
      </c>
      <c r="BC309" s="3">
        <f t="shared" si="147"/>
        <v>28</v>
      </c>
      <c r="BD309" s="3">
        <f t="shared" si="148"/>
        <v>57</v>
      </c>
    </row>
    <row r="310" spans="1:57" s="3" customFormat="1" x14ac:dyDescent="0.2">
      <c r="A310" s="3" t="s">
        <v>516</v>
      </c>
      <c r="B310" s="3" t="str">
        <f>LOWER(VLOOKUP(A310,Xtal_Templ!A:B,2,FALSE))</f>
        <v>ox2r_human</v>
      </c>
      <c r="C310" s="3">
        <f>VLOOKUP($A310,'NonXtal_SegEnds_BW#'!$A:$Z,3,FALSE)+D310-50</f>
        <v>42</v>
      </c>
      <c r="D310" s="3">
        <v>61</v>
      </c>
      <c r="E310" s="3">
        <f>IF(ISERROR(VLOOKUP($A310,'NonXtal_SegEnds_BW#'!$A:$Z,4,FALSE)+VLOOKUP($A310,A:AL,4,FALSE)-50),"-",(VLOOKUP($A310,'NonXtal_SegEnds_BW#'!$A:$Z,4,FALSE)+VLOOKUP($A310,A:AL,4,FALSE)-50))</f>
        <v>71</v>
      </c>
      <c r="F310" s="3">
        <f t="shared" si="162"/>
        <v>72</v>
      </c>
      <c r="G310" s="3">
        <v>74</v>
      </c>
      <c r="H310" s="3">
        <f t="shared" si="163"/>
        <v>75</v>
      </c>
      <c r="I310" s="3">
        <f t="shared" si="163"/>
        <v>76</v>
      </c>
      <c r="J310" s="3">
        <v>89</v>
      </c>
      <c r="K310" s="3">
        <f>VLOOKUP($A310,'NonXtal_SegEnds_BW#'!$A:$Z,8,FALSE)+VLOOKUP($A310,A:AL,10,FALSE)-50</f>
        <v>106</v>
      </c>
      <c r="L310" s="3">
        <f t="shared" si="164"/>
        <v>108</v>
      </c>
      <c r="M310" s="3">
        <v>109</v>
      </c>
      <c r="N310" s="3">
        <f t="shared" si="165"/>
        <v>111</v>
      </c>
      <c r="O310" s="3">
        <f t="shared" si="166"/>
        <v>112</v>
      </c>
      <c r="P310" s="3">
        <v>141</v>
      </c>
      <c r="Q310" s="3">
        <f>VLOOKUP($A310,'NonXtal_SegEnds_BW#'!$A:$Z,12,FALSE)+VLOOKUP($A310,A:AL,16,FALSE)-50</f>
        <v>147</v>
      </c>
      <c r="R310" s="3">
        <f>IF(ISERROR(VLOOKUP($A310,'NonXtal_SegEnds_BW#'!$A:$Z,13,FALSE)+VLOOKUP($A310,A:AL,19,FALSE)-50),"-",VLOOKUP($A310,'NonXtal_SegEnds_BW#'!$A:$Z,13,FALSE)+VLOOKUP($A310,A:AL,19,FALSE)-50)</f>
        <v>148</v>
      </c>
      <c r="S310" s="3">
        <v>148</v>
      </c>
      <c r="T310" s="3">
        <f>IF(ISERROR(VLOOKUP($A310,'NonXtal_SegEnds_BW#'!$A:$Z,14,FALSE)+VLOOKUP($A310,A:AL,19,FALSE)-50),"-",(VLOOKUP($A310,'NonXtal_SegEnds_BW#'!$A:$Z,14,FALSE)+VLOOKUP($A310,A:AL,19,FALSE)-50))</f>
        <v>154</v>
      </c>
      <c r="U310" s="3">
        <f>IF(ISERROR(VLOOKUP($A310,'NonXtal_SegEnds_BW#'!$A:$Z,15,FALSE)+VLOOKUP($A310,A:AL,22,FALSE)-50),"-",VLOOKUP($A310,'NonXtal_SegEnds_BW#'!$A:$Z,15,FALSE)+VLOOKUP($A310,A:AL,22,FALSE)-50)</f>
        <v>155</v>
      </c>
      <c r="V310" s="3">
        <v>166</v>
      </c>
      <c r="W310" s="3">
        <f>IF(ISERROR(VLOOKUP($A310,'NonXtal_SegEnds_BW#'!$A:$Z,16,FALSE)+VLOOKUP($A310,A:AL,22,FALSE)-50),"-",(VLOOKUP($A310,'NonXtal_SegEnds_BW#'!$A:$Z,16,FALSE)+VLOOKUP($A310,A:AL,22,FALSE)-50))</f>
        <v>180</v>
      </c>
      <c r="X310" s="3">
        <f>IF(ISERROR(VLOOKUP($A310,'NonXtal_SegEnds_BW#'!$A:$Z,17,FALSE)+VLOOKUP($A310,A:AL,25,FALSE)-50),"-",(VLOOKUP($A310,'NonXtal_SegEnds_BW#'!$A:$Z,17,FALSE)+VLOOKUP($A310,A:AL,25,FALSE)-50))</f>
        <v>203</v>
      </c>
      <c r="Y310" s="3">
        <v>203</v>
      </c>
      <c r="Z310" s="3">
        <f t="shared" si="167"/>
        <v>205</v>
      </c>
      <c r="AA310" s="3">
        <f>IF(ISERROR(VLOOKUP($A310,'NonXtal_SegEnds_BW#'!$A:$Z,19,FALSE)+VLOOKUP($A310,A:AL,28,FALSE)-50),"-",(VLOOKUP($A310,'NonXtal_SegEnds_BW#'!$A:$Z,19,FALSE)+VLOOKUP($A310,A:AL,28,FALSE)-50))</f>
        <v>210</v>
      </c>
      <c r="AB310" s="3">
        <v>228</v>
      </c>
      <c r="AC310" s="3">
        <f>IF(ISERROR((VLOOKUP($A310,'NonXtal_SegEnds_BW#'!$A:$Z,20,FALSE)+VLOOKUP($A310,A:AL,28,FALSE)-50)),"-",(VLOOKUP($A310,'NonXtal_SegEnds_BW#'!$A:$Z,20,FALSE)+VLOOKUP($A310,A:AL,28,FALSE)-50))</f>
        <v>251</v>
      </c>
      <c r="AD310" s="3">
        <f>IF(ISERROR(VLOOKUP($A310,'NonXtal_SegEnds_BW#'!$A:$Z,21,FALSE)+VLOOKUP($A310,A:AL,31,FALSE)-50),"-",(VLOOKUP($A310,'NonXtal_SegEnds_BW#'!$A:$Z,21,FALSE)+VLOOKUP($A310,A:AL,31,FALSE)-50))</f>
        <v>257</v>
      </c>
      <c r="AE310" s="3">
        <v>285</v>
      </c>
      <c r="AF310" s="3">
        <f>IF(ISERROR((VLOOKUP($A310,'NonXtal_SegEnds_BW#'!$A:$Z,22,FALSE)+VLOOKUP($A310,A:AL,31,FALSE)-50)),"-",(VLOOKUP($A310,'NonXtal_SegEnds_BW#'!$A:$Z,22,FALSE)+VLOOKUP($A310,A:AL,31,FALSE)-50))</f>
        <v>296</v>
      </c>
      <c r="AG310" s="3">
        <f>IF(ISERROR(VLOOKUP($A310,'NonXtal_SegEnds_BW#'!$A:$Z,23,FALSE)+VLOOKUP($A310,A:AL,34,FALSE)-50),"-",(VLOOKUP($A310,'NonXtal_SegEnds_BW#'!$A:$Z,23,FALSE)+VLOOKUP($A310,A:AL,34,FALSE)-50))</f>
        <v>304</v>
      </c>
      <c r="AH310" s="3">
        <v>326</v>
      </c>
      <c r="AI310" s="3">
        <f>IF(ISERROR((VLOOKUP($A310,'NonXtal_SegEnds_BW#'!$A:$Z,24,FALSE)+VLOOKUP($A310,A:AL,34,FALSE)-50)),"-",(VLOOKUP($A310,'NonXtal_SegEnds_BW#'!$A:$Z,24,FALSE)+VLOOKUP($A310,A:AL,34,FALSE)-50))</f>
        <v>332</v>
      </c>
      <c r="AJ310" s="3">
        <f>IF(ISERROR(VLOOKUP($A310,'NonXtal_SegEnds_BW#'!$A:$Z,25,FALSE)+VLOOKUP($A310,A:AL,37,FALSE)-50),"-",(VLOOKUP($A310,'NonXtal_SegEnds_BW#'!$A:$Z,25,FALSE)+VLOOKUP($A310,A:AL,37,FALSE)-50))</f>
        <v>333</v>
      </c>
      <c r="AK310" s="3">
        <v>336</v>
      </c>
      <c r="AL310" s="3">
        <f>IF(ISERROR((VLOOKUP($A310,'NonXtal_SegEnds_BW#'!$A:$Z,26,FALSE)+VLOOKUP($A310,A:AL,37,FALSE)-50)),"-",(VLOOKUP($A310,'NonXtal_SegEnds_BW#'!$A:$Z,26,FALSE)+VLOOKUP($A310,A:AL,37,FALSE)-50))</f>
        <v>344</v>
      </c>
      <c r="AM310" s="71" t="str">
        <f>VLOOKUP(A310,Classification!A:B,2,FALSE)</f>
        <v>A</v>
      </c>
      <c r="AN310" s="71" t="b">
        <f t="shared" si="133"/>
        <v>1</v>
      </c>
      <c r="AO310" s="3">
        <f t="shared" si="134"/>
        <v>1</v>
      </c>
      <c r="AP310" s="3">
        <f t="shared" si="135"/>
        <v>1</v>
      </c>
      <c r="AQ310" s="3">
        <f t="shared" si="136"/>
        <v>2</v>
      </c>
      <c r="AR310" s="3">
        <f t="shared" si="137"/>
        <v>1</v>
      </c>
      <c r="AS310" s="3">
        <f t="shared" si="138"/>
        <v>1</v>
      </c>
      <c r="AT310" s="3">
        <f t="shared" si="139"/>
        <v>1</v>
      </c>
      <c r="AU310" s="3">
        <f t="shared" si="140"/>
        <v>23</v>
      </c>
      <c r="AV310" s="3">
        <f t="shared" si="141"/>
        <v>5</v>
      </c>
      <c r="AW310" s="3">
        <f t="shared" si="142"/>
        <v>6</v>
      </c>
      <c r="AX310" s="3">
        <f t="shared" si="143"/>
        <v>8</v>
      </c>
      <c r="AY310" s="3">
        <f t="shared" si="144"/>
        <v>1</v>
      </c>
      <c r="AZ310" s="3">
        <f>IF(ISERROR(LEN(VLOOKUP(A310,Seqs!A:E,2,FALSE))-AL310),"-",LEN(VLOOKUP(A310,Seqs!A:E,2,FALSE))-AL310)</f>
        <v>86</v>
      </c>
      <c r="BA310" s="35">
        <f t="shared" si="145"/>
        <v>28</v>
      </c>
      <c r="BB310" s="3">
        <f t="shared" si="146"/>
        <v>18</v>
      </c>
      <c r="BC310" s="3">
        <f t="shared" si="147"/>
        <v>28</v>
      </c>
      <c r="BD310" s="3">
        <f t="shared" si="148"/>
        <v>57</v>
      </c>
    </row>
    <row r="311" spans="1:57" s="3" customFormat="1" x14ac:dyDescent="0.2">
      <c r="A311" s="3" t="s">
        <v>521</v>
      </c>
      <c r="B311" s="3" t="str">
        <f>LOWER(VLOOKUP(A311,Xtal_Templ!A:B,2,FALSE))</f>
        <v>ox2r_human</v>
      </c>
      <c r="C311" s="3">
        <f>VLOOKUP($A311,'NonXtal_SegEnds_BW#'!$A:$Z,3,FALSE)+D311-50</f>
        <v>40</v>
      </c>
      <c r="D311" s="3">
        <v>59</v>
      </c>
      <c r="E311" s="3">
        <f>IF(ISERROR(VLOOKUP($A311,'NonXtal_SegEnds_BW#'!$A:$Z,4,FALSE)+VLOOKUP($A311,A:AL,4,FALSE)-50),"-",(VLOOKUP($A311,'NonXtal_SegEnds_BW#'!$A:$Z,4,FALSE)+VLOOKUP($A311,A:AL,4,FALSE)-50))</f>
        <v>69</v>
      </c>
      <c r="F311" s="3">
        <f t="shared" si="162"/>
        <v>70</v>
      </c>
      <c r="G311" s="3">
        <v>72</v>
      </c>
      <c r="H311" s="3">
        <f t="shared" si="163"/>
        <v>73</v>
      </c>
      <c r="I311" s="3">
        <f t="shared" si="163"/>
        <v>74</v>
      </c>
      <c r="J311" s="3">
        <v>87</v>
      </c>
      <c r="K311" s="3">
        <f>VLOOKUP($A311,'NonXtal_SegEnds_BW#'!$A:$Z,8,FALSE)+VLOOKUP($A311,A:AL,10,FALSE)-50</f>
        <v>104</v>
      </c>
      <c r="L311" s="3">
        <f t="shared" si="164"/>
        <v>106</v>
      </c>
      <c r="M311" s="3">
        <v>107</v>
      </c>
      <c r="N311" s="3">
        <f t="shared" si="165"/>
        <v>109</v>
      </c>
      <c r="O311" s="3">
        <f t="shared" si="166"/>
        <v>110</v>
      </c>
      <c r="P311" s="3">
        <v>139</v>
      </c>
      <c r="Q311" s="3">
        <f>VLOOKUP($A311,'NonXtal_SegEnds_BW#'!$A:$Z,12,FALSE)+VLOOKUP($A311,A:AL,16,FALSE)-50</f>
        <v>145</v>
      </c>
      <c r="R311" s="3">
        <f>IF(ISERROR(VLOOKUP($A311,'NonXtal_SegEnds_BW#'!$A:$Z,13,FALSE)+VLOOKUP($A311,A:AL,19,FALSE)-50),"-",VLOOKUP($A311,'NonXtal_SegEnds_BW#'!$A:$Z,13,FALSE)+VLOOKUP($A311,A:AL,19,FALSE)-50)</f>
        <v>146</v>
      </c>
      <c r="S311" s="3">
        <v>146</v>
      </c>
      <c r="T311" s="3">
        <f>IF(ISERROR(VLOOKUP($A311,'NonXtal_SegEnds_BW#'!$A:$Z,14,FALSE)+VLOOKUP($A311,A:AL,19,FALSE)-50),"-",(VLOOKUP($A311,'NonXtal_SegEnds_BW#'!$A:$Z,14,FALSE)+VLOOKUP($A311,A:AL,19,FALSE)-50))</f>
        <v>152</v>
      </c>
      <c r="U311" s="3">
        <f>IF(ISERROR(VLOOKUP($A311,'NonXtal_SegEnds_BW#'!$A:$Z,15,FALSE)+VLOOKUP($A311,A:AL,22,FALSE)-50),"-",VLOOKUP($A311,'NonXtal_SegEnds_BW#'!$A:$Z,15,FALSE)+VLOOKUP($A311,A:AL,22,FALSE)-50)</f>
        <v>153</v>
      </c>
      <c r="V311" s="3">
        <v>164</v>
      </c>
      <c r="W311" s="3">
        <f>IF(ISERROR(VLOOKUP($A311,'NonXtal_SegEnds_BW#'!$A:$Z,16,FALSE)+VLOOKUP($A311,A:AL,22,FALSE)-50),"-",(VLOOKUP($A311,'NonXtal_SegEnds_BW#'!$A:$Z,16,FALSE)+VLOOKUP($A311,A:AL,22,FALSE)-50))</f>
        <v>178</v>
      </c>
      <c r="X311" s="3">
        <f>IF(ISERROR(VLOOKUP($A311,'NonXtal_SegEnds_BW#'!$A:$Z,17,FALSE)+VLOOKUP($A311,A:AL,25,FALSE)-50),"-",(VLOOKUP($A311,'NonXtal_SegEnds_BW#'!$A:$Z,17,FALSE)+VLOOKUP($A311,A:AL,25,FALSE)-50))</f>
        <v>201</v>
      </c>
      <c r="Y311" s="3">
        <v>201</v>
      </c>
      <c r="Z311" s="3">
        <f t="shared" si="167"/>
        <v>203</v>
      </c>
      <c r="AA311" s="3">
        <f>IF(ISERROR(VLOOKUP($A311,'NonXtal_SegEnds_BW#'!$A:$Z,19,FALSE)+VLOOKUP($A311,A:AL,28,FALSE)-50),"-",(VLOOKUP($A311,'NonXtal_SegEnds_BW#'!$A:$Z,19,FALSE)+VLOOKUP($A311,A:AL,28,FALSE)-50))</f>
        <v>208</v>
      </c>
      <c r="AB311" s="3">
        <v>226</v>
      </c>
      <c r="AC311" s="3">
        <f>IF(ISERROR((VLOOKUP($A311,'NonXtal_SegEnds_BW#'!$A:$Z,20,FALSE)+VLOOKUP($A311,A:AL,28,FALSE)-50)),"-",(VLOOKUP($A311,'NonXtal_SegEnds_BW#'!$A:$Z,20,FALSE)+VLOOKUP($A311,A:AL,28,FALSE)-50))</f>
        <v>248</v>
      </c>
      <c r="AD311" s="3">
        <f>IF(ISERROR(VLOOKUP($A311,'NonXtal_SegEnds_BW#'!$A:$Z,21,FALSE)+VLOOKUP($A311,A:AL,31,FALSE)-50),"-",(VLOOKUP($A311,'NonXtal_SegEnds_BW#'!$A:$Z,21,FALSE)+VLOOKUP($A311,A:AL,31,FALSE)-50))</f>
        <v>254</v>
      </c>
      <c r="AE311" s="3">
        <v>280</v>
      </c>
      <c r="AF311" s="3">
        <f>IF(ISERROR((VLOOKUP($A311,'NonXtal_SegEnds_BW#'!$A:$Z,22,FALSE)+VLOOKUP($A311,A:AL,31,FALSE)-50)),"-",(VLOOKUP($A311,'NonXtal_SegEnds_BW#'!$A:$Z,22,FALSE)+VLOOKUP($A311,A:AL,31,FALSE)-50))</f>
        <v>291</v>
      </c>
      <c r="AG311" s="3">
        <f>IF(ISERROR(VLOOKUP($A311,'NonXtal_SegEnds_BW#'!$A:$Z,23,FALSE)+VLOOKUP($A311,A:AL,34,FALSE)-50),"-",(VLOOKUP($A311,'NonXtal_SegEnds_BW#'!$A:$Z,23,FALSE)+VLOOKUP($A311,A:AL,34,FALSE)-50))</f>
        <v>297</v>
      </c>
      <c r="AH311" s="3">
        <v>319</v>
      </c>
      <c r="AI311" s="3">
        <f>IF(ISERROR((VLOOKUP($A311,'NonXtal_SegEnds_BW#'!$A:$Z,24,FALSE)+VLOOKUP($A311,A:AL,34,FALSE)-50)),"-",(VLOOKUP($A311,'NonXtal_SegEnds_BW#'!$A:$Z,24,FALSE)+VLOOKUP($A311,A:AL,34,FALSE)-50))</f>
        <v>325</v>
      </c>
      <c r="AJ311" s="3">
        <f>IF(ISERROR(VLOOKUP($A311,'NonXtal_SegEnds_BW#'!$A:$Z,25,FALSE)+VLOOKUP($A311,A:AL,37,FALSE)-50),"-",(VLOOKUP($A311,'NonXtal_SegEnds_BW#'!$A:$Z,25,FALSE)+VLOOKUP($A311,A:AL,37,FALSE)-50))</f>
        <v>326</v>
      </c>
      <c r="AK311" s="3">
        <v>329</v>
      </c>
      <c r="AL311" s="3">
        <f>IF(ISERROR((VLOOKUP($A311,'NonXtal_SegEnds_BW#'!$A:$Z,26,FALSE)+VLOOKUP($A311,A:AL,37,FALSE)-50)),"-",(VLOOKUP($A311,'NonXtal_SegEnds_BW#'!$A:$Z,26,FALSE)+VLOOKUP($A311,A:AL,37,FALSE)-50))</f>
        <v>337</v>
      </c>
      <c r="AM311" s="71" t="str">
        <f>VLOOKUP(A311,Classification!A:B,2,FALSE)</f>
        <v>A</v>
      </c>
      <c r="AN311" s="71" t="b">
        <f t="shared" si="133"/>
        <v>1</v>
      </c>
      <c r="AO311" s="3">
        <f t="shared" si="134"/>
        <v>1</v>
      </c>
      <c r="AP311" s="3">
        <f t="shared" si="135"/>
        <v>1</v>
      </c>
      <c r="AQ311" s="3">
        <f t="shared" si="136"/>
        <v>2</v>
      </c>
      <c r="AR311" s="3">
        <f t="shared" si="137"/>
        <v>1</v>
      </c>
      <c r="AS311" s="3">
        <f t="shared" si="138"/>
        <v>1</v>
      </c>
      <c r="AT311" s="3">
        <f t="shared" si="139"/>
        <v>1</v>
      </c>
      <c r="AU311" s="3">
        <f t="shared" si="140"/>
        <v>23</v>
      </c>
      <c r="AV311" s="3">
        <f t="shared" si="141"/>
        <v>5</v>
      </c>
      <c r="AW311" s="3">
        <f t="shared" si="142"/>
        <v>6</v>
      </c>
      <c r="AX311" s="3">
        <f t="shared" si="143"/>
        <v>6</v>
      </c>
      <c r="AY311" s="3">
        <f t="shared" si="144"/>
        <v>1</v>
      </c>
      <c r="AZ311" s="3">
        <f>IF(ISERROR(LEN(VLOOKUP(A311,Seqs!A:E,2,FALSE))-AL311),"-",LEN(VLOOKUP(A311,Seqs!A:E,2,FALSE))-AL311)</f>
        <v>38</v>
      </c>
      <c r="BA311" s="35">
        <f t="shared" si="145"/>
        <v>28</v>
      </c>
      <c r="BB311" s="3">
        <f t="shared" si="146"/>
        <v>18</v>
      </c>
      <c r="BC311" s="3">
        <f t="shared" si="147"/>
        <v>28</v>
      </c>
      <c r="BD311" s="3">
        <f t="shared" si="148"/>
        <v>54</v>
      </c>
    </row>
    <row r="312" spans="1:57" s="3" customFormat="1" x14ac:dyDescent="0.2">
      <c r="A312" s="3" t="s">
        <v>566</v>
      </c>
      <c r="B312" s="3" t="str">
        <f>LOWER(VLOOKUP(A312,Xtal_Templ!A:B,2,FALSE))</f>
        <v>ox2r_human</v>
      </c>
      <c r="C312" s="3">
        <f>VLOOKUP($A312,'NonXtal_SegEnds_BW#'!$A:$Z,3,FALSE)+D312-50</f>
        <v>44</v>
      </c>
      <c r="D312" s="3">
        <v>63</v>
      </c>
      <c r="E312" s="3">
        <f>IF(ISERROR(VLOOKUP($A312,'NonXtal_SegEnds_BW#'!$A:$Z,4,FALSE)+VLOOKUP($A312,A:AL,4,FALSE)-50),"-",(VLOOKUP($A312,'NonXtal_SegEnds_BW#'!$A:$Z,4,FALSE)+VLOOKUP($A312,A:AL,4,FALSE)-50))</f>
        <v>73</v>
      </c>
      <c r="F312" s="3">
        <f t="shared" si="162"/>
        <v>74</v>
      </c>
      <c r="G312" s="3">
        <v>76</v>
      </c>
      <c r="H312" s="3">
        <f t="shared" si="163"/>
        <v>77</v>
      </c>
      <c r="I312" s="3">
        <f t="shared" si="163"/>
        <v>78</v>
      </c>
      <c r="J312" s="3">
        <v>91</v>
      </c>
      <c r="K312" s="3">
        <f>VLOOKUP($A312,'NonXtal_SegEnds_BW#'!$A:$Z,8,FALSE)+VLOOKUP($A312,A:AL,10,FALSE)-50</f>
        <v>108</v>
      </c>
      <c r="L312" s="3">
        <f t="shared" si="164"/>
        <v>110</v>
      </c>
      <c r="M312" s="3">
        <v>111</v>
      </c>
      <c r="N312" s="3">
        <f t="shared" si="165"/>
        <v>113</v>
      </c>
      <c r="O312" s="3">
        <f t="shared" si="166"/>
        <v>114</v>
      </c>
      <c r="P312" s="3">
        <v>143</v>
      </c>
      <c r="Q312" s="3">
        <f>VLOOKUP($A312,'NonXtal_SegEnds_BW#'!$A:$Z,12,FALSE)+VLOOKUP($A312,A:AL,16,FALSE)-50</f>
        <v>149</v>
      </c>
      <c r="R312" s="3">
        <f>IF(ISERROR(VLOOKUP($A312,'NonXtal_SegEnds_BW#'!$A:$Z,13,FALSE)+VLOOKUP($A312,A:AL,19,FALSE)-50),"-",VLOOKUP($A312,'NonXtal_SegEnds_BW#'!$A:$Z,13,FALSE)+VLOOKUP($A312,A:AL,19,FALSE)-50)</f>
        <v>150</v>
      </c>
      <c r="S312" s="3">
        <v>150</v>
      </c>
      <c r="T312" s="3">
        <f>IF(ISERROR(VLOOKUP($A312,'NonXtal_SegEnds_BW#'!$A:$Z,14,FALSE)+VLOOKUP($A312,A:AL,19,FALSE)-50),"-",(VLOOKUP($A312,'NonXtal_SegEnds_BW#'!$A:$Z,14,FALSE)+VLOOKUP($A312,A:AL,19,FALSE)-50))</f>
        <v>157</v>
      </c>
      <c r="U312" s="3">
        <f>IF(ISERROR(VLOOKUP($A312,'NonXtal_SegEnds_BW#'!$A:$Z,15,FALSE)+VLOOKUP($A312,A:AL,22,FALSE)-50),"-",VLOOKUP($A312,'NonXtal_SegEnds_BW#'!$A:$Z,15,FALSE)+VLOOKUP($A312,A:AL,22,FALSE)-50)</f>
        <v>159</v>
      </c>
      <c r="V312" s="3">
        <v>170</v>
      </c>
      <c r="W312" s="3">
        <f>IF(ISERROR(VLOOKUP($A312,'NonXtal_SegEnds_BW#'!$A:$Z,16,FALSE)+VLOOKUP($A312,A:AL,22,FALSE)-50),"-",(VLOOKUP($A312,'NonXtal_SegEnds_BW#'!$A:$Z,16,FALSE)+VLOOKUP($A312,A:AL,22,FALSE)-50))</f>
        <v>184</v>
      </c>
      <c r="X312" s="3">
        <f>IF(ISERROR(VLOOKUP($A312,'NonXtal_SegEnds_BW#'!$A:$Z,17,FALSE)+VLOOKUP($A312,A:AL,25,FALSE)-50),"-",(VLOOKUP($A312,'NonXtal_SegEnds_BW#'!$A:$Z,17,FALSE)+VLOOKUP($A312,A:AL,25,FALSE)-50))</f>
        <v>201</v>
      </c>
      <c r="Y312" s="3">
        <v>201</v>
      </c>
      <c r="Z312" s="3">
        <f t="shared" si="167"/>
        <v>203</v>
      </c>
      <c r="AA312" s="3">
        <f>IF(ISERROR(VLOOKUP($A312,'NonXtal_SegEnds_BW#'!$A:$Z,19,FALSE)+VLOOKUP($A312,A:AL,28,FALSE)-50),"-",(VLOOKUP($A312,'NonXtal_SegEnds_BW#'!$A:$Z,19,FALSE)+VLOOKUP($A312,A:AL,28,FALSE)-50))</f>
        <v>208</v>
      </c>
      <c r="AB312" s="3">
        <v>226</v>
      </c>
      <c r="AC312" s="3">
        <f>IF(ISERROR((VLOOKUP($A312,'NonXtal_SegEnds_BW#'!$A:$Z,20,FALSE)+VLOOKUP($A312,A:AL,28,FALSE)-50)),"-",(VLOOKUP($A312,'NonXtal_SegEnds_BW#'!$A:$Z,20,FALSE)+VLOOKUP($A312,A:AL,28,FALSE)-50))</f>
        <v>250</v>
      </c>
      <c r="AD312" s="3">
        <f>IF(ISERROR(VLOOKUP($A312,'NonXtal_SegEnds_BW#'!$A:$Z,21,FALSE)+VLOOKUP($A312,A:AL,31,FALSE)-50),"-",(VLOOKUP($A312,'NonXtal_SegEnds_BW#'!$A:$Z,21,FALSE)+VLOOKUP($A312,A:AL,31,FALSE)-50))</f>
        <v>259</v>
      </c>
      <c r="AE312" s="3">
        <v>288</v>
      </c>
      <c r="AF312" s="3">
        <f>IF(ISERROR((VLOOKUP($A312,'NonXtal_SegEnds_BW#'!$A:$Z,22,FALSE)+VLOOKUP($A312,A:AL,31,FALSE)-50)),"-",(VLOOKUP($A312,'NonXtal_SegEnds_BW#'!$A:$Z,22,FALSE)+VLOOKUP($A312,A:AL,31,FALSE)-50))</f>
        <v>299</v>
      </c>
      <c r="AG312" s="3">
        <f>IF(ISERROR(VLOOKUP($A312,'NonXtal_SegEnds_BW#'!$A:$Z,23,FALSE)+VLOOKUP($A312,A:AL,34,FALSE)-50),"-",(VLOOKUP($A312,'NonXtal_SegEnds_BW#'!$A:$Z,23,FALSE)+VLOOKUP($A312,A:AL,34,FALSE)-50))</f>
        <v>307</v>
      </c>
      <c r="AH312" s="3">
        <v>329</v>
      </c>
      <c r="AI312" s="3">
        <f>IF(ISERROR((VLOOKUP($A312,'NonXtal_SegEnds_BW#'!$A:$Z,24,FALSE)+VLOOKUP($A312,A:AL,34,FALSE)-50)),"-",(VLOOKUP($A312,'NonXtal_SegEnds_BW#'!$A:$Z,24,FALSE)+VLOOKUP($A312,A:AL,34,FALSE)-50))</f>
        <v>335</v>
      </c>
      <c r="AJ312" s="3">
        <f>IF(ISERROR(VLOOKUP($A312,'NonXtal_SegEnds_BW#'!$A:$Z,25,FALSE)+VLOOKUP($A312,A:AL,37,FALSE)-50),"-",(VLOOKUP($A312,'NonXtal_SegEnds_BW#'!$A:$Z,25,FALSE)+VLOOKUP($A312,A:AL,37,FALSE)-50))</f>
        <v>336</v>
      </c>
      <c r="AK312" s="3">
        <v>339</v>
      </c>
      <c r="AL312" s="3">
        <f>IF(ISERROR((VLOOKUP($A312,'NonXtal_SegEnds_BW#'!$A:$Z,26,FALSE)+VLOOKUP($A312,A:AL,37,FALSE)-50)),"-",(VLOOKUP($A312,'NonXtal_SegEnds_BW#'!$A:$Z,26,FALSE)+VLOOKUP($A312,A:AL,37,FALSE)-50))</f>
        <v>347</v>
      </c>
      <c r="AM312" s="71" t="str">
        <f>VLOOKUP(A312,Classification!A:B,2,FALSE)</f>
        <v>A</v>
      </c>
      <c r="AN312" s="71" t="b">
        <f t="shared" si="133"/>
        <v>1</v>
      </c>
      <c r="AO312" s="3">
        <f t="shared" si="134"/>
        <v>1</v>
      </c>
      <c r="AP312" s="3">
        <f t="shared" si="135"/>
        <v>1</v>
      </c>
      <c r="AQ312" s="3">
        <f t="shared" si="136"/>
        <v>2</v>
      </c>
      <c r="AR312" s="3">
        <f t="shared" si="137"/>
        <v>1</v>
      </c>
      <c r="AS312" s="3">
        <f t="shared" si="138"/>
        <v>1</v>
      </c>
      <c r="AT312" s="3">
        <f t="shared" si="139"/>
        <v>2</v>
      </c>
      <c r="AU312" s="3">
        <f t="shared" si="140"/>
        <v>17</v>
      </c>
      <c r="AV312" s="3">
        <f t="shared" si="141"/>
        <v>5</v>
      </c>
      <c r="AW312" s="3">
        <f t="shared" si="142"/>
        <v>9</v>
      </c>
      <c r="AX312" s="3">
        <f t="shared" si="143"/>
        <v>8</v>
      </c>
      <c r="AY312" s="3">
        <f t="shared" si="144"/>
        <v>1</v>
      </c>
      <c r="AZ312" s="3">
        <f>IF(ISERROR(LEN(VLOOKUP(A312,Seqs!A:E,2,FALSE))-AL312),"-",LEN(VLOOKUP(A312,Seqs!A:E,2,FALSE))-AL312)</f>
        <v>84</v>
      </c>
      <c r="BA312" s="35">
        <f t="shared" si="145"/>
        <v>28</v>
      </c>
      <c r="BB312" s="3">
        <f t="shared" si="146"/>
        <v>20</v>
      </c>
      <c r="BC312" s="3">
        <f t="shared" si="147"/>
        <v>28</v>
      </c>
      <c r="BD312" s="3">
        <f t="shared" si="148"/>
        <v>62</v>
      </c>
    </row>
    <row r="313" spans="1:57" s="3" customFormat="1" x14ac:dyDescent="0.2">
      <c r="A313" s="3" t="s">
        <v>519</v>
      </c>
      <c r="B313" s="3" t="str">
        <f>LOWER(VLOOKUP(A313,Xtal_Templ!A:B,2,FALSE))</f>
        <v>ox2r_human</v>
      </c>
      <c r="C313" s="3">
        <f>VLOOKUP($A313,'NonXtal_SegEnds_BW#'!$A:$Z,3,FALSE)+D313-50</f>
        <v>39</v>
      </c>
      <c r="D313" s="3">
        <v>58</v>
      </c>
      <c r="E313" s="3">
        <f>IF(ISERROR(VLOOKUP($A313,'NonXtal_SegEnds_BW#'!$A:$Z,4,FALSE)+VLOOKUP($A313,A:AL,4,FALSE)-50),"-",(VLOOKUP($A313,'NonXtal_SegEnds_BW#'!$A:$Z,4,FALSE)+VLOOKUP($A313,A:AL,4,FALSE)-50))</f>
        <v>68</v>
      </c>
      <c r="F313" s="3">
        <f t="shared" si="162"/>
        <v>69</v>
      </c>
      <c r="G313" s="3">
        <v>71</v>
      </c>
      <c r="H313" s="3">
        <f t="shared" si="163"/>
        <v>72</v>
      </c>
      <c r="I313" s="3">
        <f t="shared" si="163"/>
        <v>73</v>
      </c>
      <c r="J313" s="3">
        <v>86</v>
      </c>
      <c r="K313" s="3">
        <f>VLOOKUP($A313,'NonXtal_SegEnds_BW#'!$A:$Z,8,FALSE)+VLOOKUP($A313,A:AL,10,FALSE)-50</f>
        <v>103</v>
      </c>
      <c r="L313" s="3">
        <f t="shared" si="164"/>
        <v>105</v>
      </c>
      <c r="M313" s="3">
        <v>106</v>
      </c>
      <c r="N313" s="3">
        <f t="shared" si="165"/>
        <v>108</v>
      </c>
      <c r="O313" s="3">
        <f t="shared" si="166"/>
        <v>109</v>
      </c>
      <c r="P313" s="3">
        <v>138</v>
      </c>
      <c r="Q313" s="3">
        <f>VLOOKUP($A313,'NonXtal_SegEnds_BW#'!$A:$Z,12,FALSE)+VLOOKUP($A313,A:AL,16,FALSE)-50</f>
        <v>144</v>
      </c>
      <c r="R313" s="3">
        <f>IF(ISERROR(VLOOKUP($A313,'NonXtal_SegEnds_BW#'!$A:$Z,13,FALSE)+VLOOKUP($A313,A:AL,19,FALSE)-50),"-",VLOOKUP($A313,'NonXtal_SegEnds_BW#'!$A:$Z,13,FALSE)+VLOOKUP($A313,A:AL,19,FALSE)-50)</f>
        <v>145</v>
      </c>
      <c r="S313" s="3">
        <v>145</v>
      </c>
      <c r="T313" s="3">
        <f>IF(ISERROR(VLOOKUP($A313,'NonXtal_SegEnds_BW#'!$A:$Z,14,FALSE)+VLOOKUP($A313,A:AL,19,FALSE)-50),"-",(VLOOKUP($A313,'NonXtal_SegEnds_BW#'!$A:$Z,14,FALSE)+VLOOKUP($A313,A:AL,19,FALSE)-50))</f>
        <v>151</v>
      </c>
      <c r="U313" s="3">
        <f>IF(ISERROR(VLOOKUP($A313,'NonXtal_SegEnds_BW#'!$A:$Z,15,FALSE)+VLOOKUP($A313,A:AL,22,FALSE)-50),"-",VLOOKUP($A313,'NonXtal_SegEnds_BW#'!$A:$Z,15,FALSE)+VLOOKUP($A313,A:AL,22,FALSE)-50)</f>
        <v>152</v>
      </c>
      <c r="V313" s="3">
        <v>163</v>
      </c>
      <c r="W313" s="3">
        <f>IF(ISERROR(VLOOKUP($A313,'NonXtal_SegEnds_BW#'!$A:$Z,16,FALSE)+VLOOKUP($A313,A:AL,22,FALSE)-50),"-",(VLOOKUP($A313,'NonXtal_SegEnds_BW#'!$A:$Z,16,FALSE)+VLOOKUP($A313,A:AL,22,FALSE)-50))</f>
        <v>177</v>
      </c>
      <c r="X313" s="3">
        <f>IF(ISERROR(VLOOKUP($A313,'NonXtal_SegEnds_BW#'!$A:$Z,17,FALSE)+VLOOKUP($A313,A:AL,25,FALSE)-50),"-",(VLOOKUP($A313,'NonXtal_SegEnds_BW#'!$A:$Z,17,FALSE)+VLOOKUP($A313,A:AL,25,FALSE)-50))</f>
        <v>198</v>
      </c>
      <c r="Y313" s="3">
        <v>198</v>
      </c>
      <c r="Z313" s="3">
        <f t="shared" si="167"/>
        <v>200</v>
      </c>
      <c r="AA313" s="3">
        <f>IF(ISERROR(VLOOKUP($A313,'NonXtal_SegEnds_BW#'!$A:$Z,19,FALSE)+VLOOKUP($A313,A:AL,28,FALSE)-50),"-",(VLOOKUP($A313,'NonXtal_SegEnds_BW#'!$A:$Z,19,FALSE)+VLOOKUP($A313,A:AL,28,FALSE)-50))</f>
        <v>205</v>
      </c>
      <c r="AB313" s="3">
        <v>223</v>
      </c>
      <c r="AC313" s="3">
        <f>IF(ISERROR((VLOOKUP($A313,'NonXtal_SegEnds_BW#'!$A:$Z,20,FALSE)+VLOOKUP($A313,A:AL,28,FALSE)-50)),"-",(VLOOKUP($A313,'NonXtal_SegEnds_BW#'!$A:$Z,20,FALSE)+VLOOKUP($A313,A:AL,28,FALSE)-50))</f>
        <v>246</v>
      </c>
      <c r="AD313" s="3">
        <f>IF(ISERROR(VLOOKUP($A313,'NonXtal_SegEnds_BW#'!$A:$Z,21,FALSE)+VLOOKUP($A313,A:AL,31,FALSE)-50),"-",(VLOOKUP($A313,'NonXtal_SegEnds_BW#'!$A:$Z,21,FALSE)+VLOOKUP($A313,A:AL,31,FALSE)-50))</f>
        <v>250</v>
      </c>
      <c r="AE313" s="3">
        <v>278</v>
      </c>
      <c r="AF313" s="3">
        <f>IF(ISERROR((VLOOKUP($A313,'NonXtal_SegEnds_BW#'!$A:$Z,22,FALSE)+VLOOKUP($A313,A:AL,31,FALSE)-50)),"-",(VLOOKUP($A313,'NonXtal_SegEnds_BW#'!$A:$Z,22,FALSE)+VLOOKUP($A313,A:AL,31,FALSE)-50))</f>
        <v>289</v>
      </c>
      <c r="AG313" s="3">
        <f>IF(ISERROR(VLOOKUP($A313,'NonXtal_SegEnds_BW#'!$A:$Z,23,FALSE)+VLOOKUP($A313,A:AL,34,FALSE)-50),"-",(VLOOKUP($A313,'NonXtal_SegEnds_BW#'!$A:$Z,23,FALSE)+VLOOKUP($A313,A:AL,34,FALSE)-50))</f>
        <v>295</v>
      </c>
      <c r="AH313" s="3">
        <v>317</v>
      </c>
      <c r="AI313" s="3">
        <f>IF(ISERROR((VLOOKUP($A313,'NonXtal_SegEnds_BW#'!$A:$Z,24,FALSE)+VLOOKUP($A313,A:AL,34,FALSE)-50)),"-",(VLOOKUP($A313,'NonXtal_SegEnds_BW#'!$A:$Z,24,FALSE)+VLOOKUP($A313,A:AL,34,FALSE)-50))</f>
        <v>323</v>
      </c>
      <c r="AJ313" s="3">
        <f>IF(ISERROR(VLOOKUP($A313,'NonXtal_SegEnds_BW#'!$A:$Z,25,FALSE)+VLOOKUP($A313,A:AL,37,FALSE)-50),"-",(VLOOKUP($A313,'NonXtal_SegEnds_BW#'!$A:$Z,25,FALSE)+VLOOKUP($A313,A:AL,37,FALSE)-50))</f>
        <v>324</v>
      </c>
      <c r="AK313" s="3">
        <v>327</v>
      </c>
      <c r="AL313" s="3">
        <f>IF(ISERROR((VLOOKUP($A313,'NonXtal_SegEnds_BW#'!$A:$Z,26,FALSE)+VLOOKUP($A313,A:AL,37,FALSE)-50)),"-",(VLOOKUP($A313,'NonXtal_SegEnds_BW#'!$A:$Z,26,FALSE)+VLOOKUP($A313,A:AL,37,FALSE)-50))</f>
        <v>335</v>
      </c>
      <c r="AM313" s="71" t="str">
        <f>VLOOKUP(A313,Classification!A:B,2,FALSE)</f>
        <v>A</v>
      </c>
      <c r="AN313" s="71" t="b">
        <f t="shared" si="133"/>
        <v>1</v>
      </c>
      <c r="AO313" s="3">
        <f t="shared" si="134"/>
        <v>1</v>
      </c>
      <c r="AP313" s="3">
        <f t="shared" si="135"/>
        <v>1</v>
      </c>
      <c r="AQ313" s="3">
        <f t="shared" si="136"/>
        <v>2</v>
      </c>
      <c r="AR313" s="3">
        <f t="shared" si="137"/>
        <v>1</v>
      </c>
      <c r="AS313" s="3">
        <f t="shared" si="138"/>
        <v>1</v>
      </c>
      <c r="AT313" s="3">
        <f t="shared" si="139"/>
        <v>1</v>
      </c>
      <c r="AU313" s="3">
        <f t="shared" si="140"/>
        <v>21</v>
      </c>
      <c r="AV313" s="3">
        <f t="shared" si="141"/>
        <v>5</v>
      </c>
      <c r="AW313" s="3">
        <f t="shared" si="142"/>
        <v>4</v>
      </c>
      <c r="AX313" s="3">
        <f t="shared" si="143"/>
        <v>6</v>
      </c>
      <c r="AY313" s="3">
        <f t="shared" si="144"/>
        <v>1</v>
      </c>
      <c r="AZ313" s="3">
        <f>IF(ISERROR(LEN(VLOOKUP(A313,Seqs!A:E,2,FALSE))-AL313),"-",LEN(VLOOKUP(A313,Seqs!A:E,2,FALSE))-AL313)</f>
        <v>49</v>
      </c>
      <c r="BA313" s="35">
        <f t="shared" si="145"/>
        <v>28</v>
      </c>
      <c r="BB313" s="3">
        <f t="shared" si="146"/>
        <v>18</v>
      </c>
      <c r="BC313" s="3">
        <f t="shared" si="147"/>
        <v>28</v>
      </c>
      <c r="BD313" s="3">
        <f t="shared" si="148"/>
        <v>55</v>
      </c>
    </row>
    <row r="314" spans="1:57" s="3" customFormat="1" x14ac:dyDescent="0.2">
      <c r="A314" s="3" t="s">
        <v>522</v>
      </c>
      <c r="B314" s="3" t="str">
        <f>LOWER(VLOOKUP(A314,Xtal_Templ!A:B,2,FALSE))</f>
        <v>ox2r_human</v>
      </c>
      <c r="C314" s="3">
        <f>VLOOKUP($A314,'NonXtal_SegEnds_BW#'!$A:$Z,3,FALSE)+D314-50</f>
        <v>40</v>
      </c>
      <c r="D314" s="3">
        <v>59</v>
      </c>
      <c r="E314" s="3">
        <f>IF(ISERROR(VLOOKUP($A314,'NonXtal_SegEnds_BW#'!$A:$Z,4,FALSE)+VLOOKUP($A314,A:AL,4,FALSE)-50),"-",(VLOOKUP($A314,'NonXtal_SegEnds_BW#'!$A:$Z,4,FALSE)+VLOOKUP($A314,A:AL,4,FALSE)-50))</f>
        <v>69</v>
      </c>
      <c r="F314" s="3">
        <f t="shared" si="162"/>
        <v>70</v>
      </c>
      <c r="G314" s="3">
        <v>72</v>
      </c>
      <c r="H314" s="3">
        <f t="shared" si="163"/>
        <v>73</v>
      </c>
      <c r="I314" s="3">
        <f t="shared" si="163"/>
        <v>74</v>
      </c>
      <c r="J314" s="3">
        <v>87</v>
      </c>
      <c r="K314" s="3">
        <f>VLOOKUP($A314,'NonXtal_SegEnds_BW#'!$A:$Z,8,FALSE)+VLOOKUP($A314,A:AL,10,FALSE)-50</f>
        <v>104</v>
      </c>
      <c r="L314" s="3">
        <f t="shared" si="164"/>
        <v>106</v>
      </c>
      <c r="M314" s="3">
        <v>107</v>
      </c>
      <c r="N314" s="3">
        <f t="shared" si="165"/>
        <v>109</v>
      </c>
      <c r="O314" s="3">
        <f t="shared" si="166"/>
        <v>110</v>
      </c>
      <c r="P314" s="3">
        <v>139</v>
      </c>
      <c r="Q314" s="3">
        <f>VLOOKUP($A314,'NonXtal_SegEnds_BW#'!$A:$Z,12,FALSE)+VLOOKUP($A314,A:AL,16,FALSE)-50</f>
        <v>145</v>
      </c>
      <c r="R314" s="3">
        <f>IF(ISERROR(VLOOKUP($A314,'NonXtal_SegEnds_BW#'!$A:$Z,13,FALSE)+VLOOKUP($A314,A:AL,19,FALSE)-50),"-",VLOOKUP($A314,'NonXtal_SegEnds_BW#'!$A:$Z,13,FALSE)+VLOOKUP($A314,A:AL,19,FALSE)-50)</f>
        <v>146</v>
      </c>
      <c r="S314" s="3">
        <v>146</v>
      </c>
      <c r="T314" s="3">
        <f>IF(ISERROR(VLOOKUP($A314,'NonXtal_SegEnds_BW#'!$A:$Z,14,FALSE)+VLOOKUP($A314,A:AL,19,FALSE)-50),"-",(VLOOKUP($A314,'NonXtal_SegEnds_BW#'!$A:$Z,14,FALSE)+VLOOKUP($A314,A:AL,19,FALSE)-50))</f>
        <v>152</v>
      </c>
      <c r="U314" s="3">
        <f>IF(ISERROR(VLOOKUP($A314,'NonXtal_SegEnds_BW#'!$A:$Z,15,FALSE)+VLOOKUP($A314,A:AL,22,FALSE)-50),"-",VLOOKUP($A314,'NonXtal_SegEnds_BW#'!$A:$Z,15,FALSE)+VLOOKUP($A314,A:AL,22,FALSE)-50)</f>
        <v>153</v>
      </c>
      <c r="V314" s="3">
        <v>164</v>
      </c>
      <c r="W314" s="3">
        <f>IF(ISERROR(VLOOKUP($A314,'NonXtal_SegEnds_BW#'!$A:$Z,16,FALSE)+VLOOKUP($A314,A:AL,22,FALSE)-50),"-",(VLOOKUP($A314,'NonXtal_SegEnds_BW#'!$A:$Z,16,FALSE)+VLOOKUP($A314,A:AL,22,FALSE)-50))</f>
        <v>178</v>
      </c>
      <c r="X314" s="3">
        <f>IF(ISERROR(VLOOKUP($A314,'NonXtal_SegEnds_BW#'!$A:$Z,17,FALSE)+VLOOKUP($A314,A:AL,25,FALSE)-50),"-",(VLOOKUP($A314,'NonXtal_SegEnds_BW#'!$A:$Z,17,FALSE)+VLOOKUP($A314,A:AL,25,FALSE)-50))</f>
        <v>198</v>
      </c>
      <c r="Y314" s="3">
        <v>198</v>
      </c>
      <c r="Z314" s="3">
        <f t="shared" si="167"/>
        <v>200</v>
      </c>
      <c r="AA314" s="3">
        <f>IF(ISERROR(VLOOKUP($A314,'NonXtal_SegEnds_BW#'!$A:$Z,19,FALSE)+VLOOKUP($A314,A:AL,28,FALSE)-50),"-",(VLOOKUP($A314,'NonXtal_SegEnds_BW#'!$A:$Z,19,FALSE)+VLOOKUP($A314,A:AL,28,FALSE)-50))</f>
        <v>205</v>
      </c>
      <c r="AB314" s="3">
        <v>223</v>
      </c>
      <c r="AC314" s="3">
        <f>IF(ISERROR((VLOOKUP($A314,'NonXtal_SegEnds_BW#'!$A:$Z,20,FALSE)+VLOOKUP($A314,A:AL,28,FALSE)-50)),"-",(VLOOKUP($A314,'NonXtal_SegEnds_BW#'!$A:$Z,20,FALSE)+VLOOKUP($A314,A:AL,28,FALSE)-50))</f>
        <v>249</v>
      </c>
      <c r="AD314" s="3">
        <f>IF(ISERROR(VLOOKUP($A314,'NonXtal_SegEnds_BW#'!$A:$Z,21,FALSE)+VLOOKUP($A314,A:AL,31,FALSE)-50),"-",(VLOOKUP($A314,'NonXtal_SegEnds_BW#'!$A:$Z,21,FALSE)+VLOOKUP($A314,A:AL,31,FALSE)-50))</f>
        <v>357</v>
      </c>
      <c r="AE314" s="3">
        <v>383</v>
      </c>
      <c r="AF314" s="3">
        <f>IF(ISERROR((VLOOKUP($A314,'NonXtal_SegEnds_BW#'!$A:$Z,22,FALSE)+VLOOKUP($A314,A:AL,31,FALSE)-50)),"-",(VLOOKUP($A314,'NonXtal_SegEnds_BW#'!$A:$Z,22,FALSE)+VLOOKUP($A314,A:AL,31,FALSE)-50))</f>
        <v>394</v>
      </c>
      <c r="AG314" s="3">
        <f>IF(ISERROR(VLOOKUP($A314,'NonXtal_SegEnds_BW#'!$A:$Z,23,FALSE)+VLOOKUP($A314,A:AL,34,FALSE)-50),"-",(VLOOKUP($A314,'NonXtal_SegEnds_BW#'!$A:$Z,23,FALSE)+VLOOKUP($A314,A:AL,34,FALSE)-50))</f>
        <v>400</v>
      </c>
      <c r="AH314" s="3">
        <v>422</v>
      </c>
      <c r="AI314" s="3">
        <f>IF(ISERROR((VLOOKUP($A314,'NonXtal_SegEnds_BW#'!$A:$Z,24,FALSE)+VLOOKUP($A314,A:AL,34,FALSE)-50)),"-",(VLOOKUP($A314,'NonXtal_SegEnds_BW#'!$A:$Z,24,FALSE)+VLOOKUP($A314,A:AL,34,FALSE)-50))</f>
        <v>428</v>
      </c>
      <c r="AJ314" s="3">
        <f>IF(ISERROR(VLOOKUP($A314,'NonXtal_SegEnds_BW#'!$A:$Z,25,FALSE)+VLOOKUP($A314,A:AL,37,FALSE)-50),"-",(VLOOKUP($A314,'NonXtal_SegEnds_BW#'!$A:$Z,25,FALSE)+VLOOKUP($A314,A:AL,37,FALSE)-50))</f>
        <v>429</v>
      </c>
      <c r="AK314" s="3">
        <v>432</v>
      </c>
      <c r="AL314" s="3">
        <f>IF(ISERROR((VLOOKUP($A314,'NonXtal_SegEnds_BW#'!$A:$Z,26,FALSE)+VLOOKUP($A314,A:AL,37,FALSE)-50)),"-",(VLOOKUP($A314,'NonXtal_SegEnds_BW#'!$A:$Z,26,FALSE)+VLOOKUP($A314,A:AL,37,FALSE)-50))</f>
        <v>440</v>
      </c>
      <c r="AM314" s="71" t="str">
        <f>VLOOKUP(A314,Classification!A:B,2,FALSE)</f>
        <v>A</v>
      </c>
      <c r="AN314" s="71" t="b">
        <f t="shared" si="133"/>
        <v>1</v>
      </c>
      <c r="AO314" s="3">
        <f t="shared" si="134"/>
        <v>1</v>
      </c>
      <c r="AP314" s="3">
        <f t="shared" si="135"/>
        <v>1</v>
      </c>
      <c r="AQ314" s="3">
        <f t="shared" si="136"/>
        <v>2</v>
      </c>
      <c r="AR314" s="3">
        <f t="shared" si="137"/>
        <v>1</v>
      </c>
      <c r="AS314" s="3">
        <f t="shared" si="138"/>
        <v>1</v>
      </c>
      <c r="AT314" s="3">
        <f t="shared" si="139"/>
        <v>1</v>
      </c>
      <c r="AU314" s="3">
        <f t="shared" si="140"/>
        <v>20</v>
      </c>
      <c r="AV314" s="3">
        <f t="shared" si="141"/>
        <v>5</v>
      </c>
      <c r="AW314" s="3">
        <f t="shared" si="142"/>
        <v>108</v>
      </c>
      <c r="AX314" s="3">
        <f t="shared" si="143"/>
        <v>6</v>
      </c>
      <c r="AY314" s="3">
        <f t="shared" si="144"/>
        <v>1</v>
      </c>
      <c r="AZ314" s="3">
        <f>IF(ISERROR(LEN(VLOOKUP(A314,Seqs!A:E,2,FALSE))-AL314),"-",LEN(VLOOKUP(A314,Seqs!A:E,2,FALSE))-AL314)</f>
        <v>5</v>
      </c>
      <c r="BA314" s="35">
        <f t="shared" si="145"/>
        <v>28</v>
      </c>
      <c r="BB314" s="3">
        <f t="shared" si="146"/>
        <v>18</v>
      </c>
      <c r="BC314" s="3">
        <f t="shared" si="147"/>
        <v>28</v>
      </c>
      <c r="BD314" s="3">
        <f t="shared" si="148"/>
        <v>160</v>
      </c>
      <c r="BE314" s="3">
        <f>AH314-AE314</f>
        <v>39</v>
      </c>
    </row>
    <row r="315" spans="1:57" s="3" customFormat="1" x14ac:dyDescent="0.2">
      <c r="A315" s="3" t="s">
        <v>518</v>
      </c>
      <c r="B315" s="3" t="str">
        <f>LOWER(VLOOKUP(A315,Xtal_Templ!A:B,2,FALSE))</f>
        <v>ox2r_human</v>
      </c>
      <c r="C315" s="3">
        <f>VLOOKUP($A315,'NonXtal_SegEnds_BW#'!$A:$Z,3,FALSE)+D315-50</f>
        <v>48</v>
      </c>
      <c r="D315" s="3">
        <v>67</v>
      </c>
      <c r="E315" s="3">
        <f>IF(ISERROR(VLOOKUP($A315,'NonXtal_SegEnds_BW#'!$A:$Z,4,FALSE)+VLOOKUP($A315,A:AL,4,FALSE)-50),"-",(VLOOKUP($A315,'NonXtal_SegEnds_BW#'!$A:$Z,4,FALSE)+VLOOKUP($A315,A:AL,4,FALSE)-50))</f>
        <v>77</v>
      </c>
      <c r="F315" s="3" t="str">
        <f>IF(ISERROR(VLOOKUP($A315,'NonXtal_SegEnds_BW#'!$A:$Z,5,FALSE)+VLOOKUP($A315,A:AL,7,FALSE)-50),"-",(VLOOKUP($A315,'NonXtal_SegEnds_BW#'!$A:$Z,5,FALSE)+VLOOKUP($A315,A:AL,7,FALSE)-50))</f>
        <v>-</v>
      </c>
      <c r="G315" s="3" t="s">
        <v>129</v>
      </c>
      <c r="H315" s="3" t="str">
        <f>IF(ISERROR(VLOOKUP($A315,'NonXtal_SegEnds_BW#'!$A:$Z,6,FALSE)+VLOOKUP($A315,A:AL,7,FALSE)-50),"-",(VLOOKUP($A315,'NonXtal_SegEnds_BW#'!$A:$Z,6,FALSE)+VLOOKUP($A315,A:AL,7,FALSE)-50))</f>
        <v>-</v>
      </c>
      <c r="I315" s="3">
        <f>VLOOKUP($A315,'NonXtal_SegEnds_BW#'!$A:$Z,7,FALSE)+J315-50</f>
        <v>81</v>
      </c>
      <c r="J315" s="3">
        <v>94</v>
      </c>
      <c r="K315" s="3">
        <f>VLOOKUP($A315,'NonXtal_SegEnds_BW#'!$A:$Z,8,FALSE)+VLOOKUP($A315,A:AL,10,FALSE)-50</f>
        <v>111</v>
      </c>
      <c r="L315" s="3">
        <f t="shared" si="164"/>
        <v>113</v>
      </c>
      <c r="M315" s="3">
        <v>114</v>
      </c>
      <c r="N315" s="3">
        <f t="shared" si="165"/>
        <v>116</v>
      </c>
      <c r="O315" s="3">
        <f t="shared" si="166"/>
        <v>117</v>
      </c>
      <c r="P315" s="3">
        <v>146</v>
      </c>
      <c r="Q315" s="3">
        <f>VLOOKUP($A315,'NonXtal_SegEnds_BW#'!$A:$Z,12,FALSE)+VLOOKUP($A315,A:AL,16,FALSE)-50</f>
        <v>152</v>
      </c>
      <c r="R315" s="3">
        <f>IF(ISERROR(VLOOKUP($A315,'NonXtal_SegEnds_BW#'!$A:$Z,13,FALSE)+VLOOKUP($A315,A:AL,19,FALSE)-50),"-",VLOOKUP($A315,'NonXtal_SegEnds_BW#'!$A:$Z,13,FALSE)+VLOOKUP($A315,A:AL,19,FALSE)-50)</f>
        <v>153</v>
      </c>
      <c r="S315" s="3">
        <v>153</v>
      </c>
      <c r="T315" s="3">
        <f>IF(ISERROR(VLOOKUP($A315,'NonXtal_SegEnds_BW#'!$A:$Z,14,FALSE)+VLOOKUP($A315,A:AL,19,FALSE)-50),"-",(VLOOKUP($A315,'NonXtal_SegEnds_BW#'!$A:$Z,14,FALSE)+VLOOKUP($A315,A:AL,19,FALSE)-50))</f>
        <v>159</v>
      </c>
      <c r="U315" s="3">
        <f>IF(ISERROR(VLOOKUP($A315,'NonXtal_SegEnds_BW#'!$A:$Z,15,FALSE)+VLOOKUP($A315,A:AL,22,FALSE)-50),"-",VLOOKUP($A315,'NonXtal_SegEnds_BW#'!$A:$Z,15,FALSE)+VLOOKUP($A315,A:AL,22,FALSE)-50)</f>
        <v>160</v>
      </c>
      <c r="V315" s="3">
        <v>171</v>
      </c>
      <c r="W315" s="3">
        <f>IF(ISERROR(VLOOKUP($A315,'NonXtal_SegEnds_BW#'!$A:$Z,16,FALSE)+VLOOKUP($A315,A:AL,22,FALSE)-50),"-",(VLOOKUP($A315,'NonXtal_SegEnds_BW#'!$A:$Z,16,FALSE)+VLOOKUP($A315,A:AL,22,FALSE)-50))</f>
        <v>185</v>
      </c>
      <c r="X315" s="3">
        <f>IF(ISERROR(VLOOKUP($A315,'NonXtal_SegEnds_BW#'!$A:$Z,17,FALSE)+VLOOKUP($A315,A:AL,25,FALSE)-50),"-",(VLOOKUP($A315,'NonXtal_SegEnds_BW#'!$A:$Z,17,FALSE)+VLOOKUP($A315,A:AL,25,FALSE)-50))</f>
        <v>197</v>
      </c>
      <c r="Y315" s="3">
        <v>197</v>
      </c>
      <c r="Z315" s="3">
        <f t="shared" si="167"/>
        <v>199</v>
      </c>
      <c r="AA315" s="3">
        <f>IF(ISERROR(VLOOKUP($A315,'NonXtal_SegEnds_BW#'!$A:$Z,19,FALSE)+VLOOKUP($A315,A:AL,28,FALSE)-50),"-",(VLOOKUP($A315,'NonXtal_SegEnds_BW#'!$A:$Z,19,FALSE)+VLOOKUP($A315,A:AL,28,FALSE)-50))</f>
        <v>204</v>
      </c>
      <c r="AB315" s="3">
        <v>222</v>
      </c>
      <c r="AC315" s="3">
        <f>IF(ISERROR((VLOOKUP($A315,'NonXtal_SegEnds_BW#'!$A:$Z,20,FALSE)+VLOOKUP($A315,A:AL,28,FALSE)-50)),"-",(VLOOKUP($A315,'NonXtal_SegEnds_BW#'!$A:$Z,20,FALSE)+VLOOKUP($A315,A:AL,28,FALSE)-50))</f>
        <v>248</v>
      </c>
      <c r="AD315" s="3">
        <f>IF(ISERROR(VLOOKUP($A315,'NonXtal_SegEnds_BW#'!$A:$Z,21,FALSE)+VLOOKUP($A315,A:AL,31,FALSE)-50),"-",(VLOOKUP($A315,'NonXtal_SegEnds_BW#'!$A:$Z,21,FALSE)+VLOOKUP($A315,A:AL,31,FALSE)-50))</f>
        <v>263</v>
      </c>
      <c r="AE315" s="3">
        <v>289</v>
      </c>
      <c r="AF315" s="3">
        <f>IF(ISERROR((VLOOKUP($A315,'NonXtal_SegEnds_BW#'!$A:$Z,22,FALSE)+VLOOKUP($A315,A:AL,31,FALSE)-50)),"-",(VLOOKUP($A315,'NonXtal_SegEnds_BW#'!$A:$Z,22,FALSE)+VLOOKUP($A315,A:AL,31,FALSE)-50))</f>
        <v>300</v>
      </c>
      <c r="AG315" s="3">
        <f>IF(ISERROR(VLOOKUP($A315,'NonXtal_SegEnds_BW#'!$A:$Z,23,FALSE)+VLOOKUP($A315,A:AL,34,FALSE)-50),"-",(VLOOKUP($A315,'NonXtal_SegEnds_BW#'!$A:$Z,23,FALSE)+VLOOKUP($A315,A:AL,34,FALSE)-50))</f>
        <v>305</v>
      </c>
      <c r="AH315" s="3">
        <v>327</v>
      </c>
      <c r="AI315" s="3">
        <f>IF(ISERROR((VLOOKUP($A315,'NonXtal_SegEnds_BW#'!$A:$Z,24,FALSE)+VLOOKUP($A315,A:AL,34,FALSE)-50)),"-",(VLOOKUP($A315,'NonXtal_SegEnds_BW#'!$A:$Z,24,FALSE)+VLOOKUP($A315,A:AL,34,FALSE)-50))</f>
        <v>333</v>
      </c>
      <c r="AJ315" s="3">
        <f>IF(ISERROR(VLOOKUP($A315,'NonXtal_SegEnds_BW#'!$A:$Z,25,FALSE)+VLOOKUP($A315,A:AL,37,FALSE)-50),"-",(VLOOKUP($A315,'NonXtal_SegEnds_BW#'!$A:$Z,25,FALSE)+VLOOKUP($A315,A:AL,37,FALSE)-50))</f>
        <v>334</v>
      </c>
      <c r="AK315" s="3">
        <v>337</v>
      </c>
      <c r="AL315" s="3">
        <f>IF(ISERROR((VLOOKUP($A315,'NonXtal_SegEnds_BW#'!$A:$Z,26,FALSE)+VLOOKUP($A315,A:AL,37,FALSE)-50)),"-",(VLOOKUP($A315,'NonXtal_SegEnds_BW#'!$A:$Z,26,FALSE)+VLOOKUP($A315,A:AL,37,FALSE)-50))</f>
        <v>345</v>
      </c>
      <c r="AM315" s="71" t="str">
        <f>VLOOKUP(A315,Classification!A:B,2,FALSE)</f>
        <v>A</v>
      </c>
      <c r="AN315" s="71" t="b">
        <f t="shared" si="133"/>
        <v>1</v>
      </c>
      <c r="AO315" s="3" t="str">
        <f t="shared" si="134"/>
        <v>-</v>
      </c>
      <c r="AP315" s="3" t="str">
        <f t="shared" si="135"/>
        <v>-</v>
      </c>
      <c r="AQ315" s="3">
        <f t="shared" si="136"/>
        <v>2</v>
      </c>
      <c r="AR315" s="3">
        <f t="shared" si="137"/>
        <v>1</v>
      </c>
      <c r="AS315" s="3">
        <f t="shared" si="138"/>
        <v>1</v>
      </c>
      <c r="AT315" s="3">
        <f t="shared" si="139"/>
        <v>1</v>
      </c>
      <c r="AU315" s="3">
        <f t="shared" si="140"/>
        <v>12</v>
      </c>
      <c r="AV315" s="3">
        <f t="shared" si="141"/>
        <v>5</v>
      </c>
      <c r="AW315" s="3">
        <f t="shared" si="142"/>
        <v>15</v>
      </c>
      <c r="AX315" s="3">
        <f t="shared" si="143"/>
        <v>5</v>
      </c>
      <c r="AY315" s="3">
        <f t="shared" si="144"/>
        <v>1</v>
      </c>
      <c r="AZ315" s="3">
        <f>IF(ISERROR(LEN(VLOOKUP(A315,Seqs!A:E,2,FALSE))-AL315),"-",LEN(VLOOKUP(A315,Seqs!A:E,2,FALSE))-AL315)</f>
        <v>26</v>
      </c>
      <c r="BA315" s="35">
        <f t="shared" si="145"/>
        <v>27</v>
      </c>
      <c r="BB315" s="3">
        <f t="shared" si="146"/>
        <v>18</v>
      </c>
      <c r="BC315" s="3">
        <f t="shared" si="147"/>
        <v>27</v>
      </c>
      <c r="BD315" s="3">
        <f t="shared" si="148"/>
        <v>67</v>
      </c>
      <c r="BE315" s="3">
        <f>AH315-AE315</f>
        <v>38</v>
      </c>
    </row>
    <row r="316" spans="1:57" s="3" customFormat="1" x14ac:dyDescent="0.2">
      <c r="A316" s="3" t="s">
        <v>361</v>
      </c>
      <c r="B316" s="3" t="str">
        <f>LOWER(VLOOKUP(A316,Xtal_Templ!A:B,2,FALSE))</f>
        <v>ox2r_human</v>
      </c>
      <c r="C316" s="3">
        <f>VLOOKUP($A316,'NonXtal_SegEnds_BW#'!$A:$Z,3,FALSE)+D316-50</f>
        <v>40</v>
      </c>
      <c r="D316" s="3">
        <v>59</v>
      </c>
      <c r="E316" s="3">
        <f>IF(ISERROR(VLOOKUP($A316,'NonXtal_SegEnds_BW#'!$A:$Z,4,FALSE)+VLOOKUP($A316,A:AL,4,FALSE)-50),"-",(VLOOKUP($A316,'NonXtal_SegEnds_BW#'!$A:$Z,4,FALSE)+VLOOKUP($A316,A:AL,4,FALSE)-50))</f>
        <v>69</v>
      </c>
      <c r="F316" s="3">
        <f>G316-2</f>
        <v>70</v>
      </c>
      <c r="G316" s="3">
        <v>72</v>
      </c>
      <c r="H316" s="3">
        <f t="shared" ref="H316:I318" si="168">G316+1</f>
        <v>73</v>
      </c>
      <c r="I316" s="3">
        <f t="shared" si="168"/>
        <v>74</v>
      </c>
      <c r="J316" s="3">
        <v>87</v>
      </c>
      <c r="K316" s="3">
        <f>VLOOKUP($A316,'NonXtal_SegEnds_BW#'!$A:$Z,8,FALSE)+VLOOKUP($A316,A:AL,10,FALSE)-50</f>
        <v>104</v>
      </c>
      <c r="L316" s="3">
        <f t="shared" si="164"/>
        <v>106</v>
      </c>
      <c r="M316" s="3">
        <v>107</v>
      </c>
      <c r="N316" s="3">
        <f t="shared" si="165"/>
        <v>109</v>
      </c>
      <c r="O316" s="3">
        <f t="shared" si="166"/>
        <v>110</v>
      </c>
      <c r="P316" s="3">
        <v>139</v>
      </c>
      <c r="Q316" s="3">
        <f>VLOOKUP($A316,'NonXtal_SegEnds_BW#'!$A:$Z,12,FALSE)+VLOOKUP($A316,A:AL,16,FALSE)-50</f>
        <v>145</v>
      </c>
      <c r="R316" s="3">
        <f>IF(ISERROR(VLOOKUP($A316,'NonXtal_SegEnds_BW#'!$A:$Z,13,FALSE)+VLOOKUP($A316,A:AL,19,FALSE)-50),"-",VLOOKUP($A316,'NonXtal_SegEnds_BW#'!$A:$Z,13,FALSE)+VLOOKUP($A316,A:AL,19,FALSE)-50)</f>
        <v>146</v>
      </c>
      <c r="S316" s="3">
        <v>146</v>
      </c>
      <c r="T316" s="3">
        <f>IF(ISERROR(VLOOKUP($A316,'NonXtal_SegEnds_BW#'!$A:$Z,14,FALSE)+VLOOKUP($A316,A:AL,19,FALSE)-50),"-",(VLOOKUP($A316,'NonXtal_SegEnds_BW#'!$A:$Z,14,FALSE)+VLOOKUP($A316,A:AL,19,FALSE)-50))</f>
        <v>153</v>
      </c>
      <c r="U316" s="3">
        <f>IF(ISERROR(VLOOKUP($A316,'NonXtal_SegEnds_BW#'!$A:$Z,15,FALSE)+VLOOKUP($A316,A:AL,22,FALSE)-50),"-",VLOOKUP($A316,'NonXtal_SegEnds_BW#'!$A:$Z,15,FALSE)+VLOOKUP($A316,A:AL,22,FALSE)-50)</f>
        <v>155</v>
      </c>
      <c r="V316" s="3">
        <v>166</v>
      </c>
      <c r="W316" s="3">
        <f>IF(ISERROR(VLOOKUP($A316,'NonXtal_SegEnds_BW#'!$A:$Z,16,FALSE)+VLOOKUP($A316,A:AL,22,FALSE)-50),"-",(VLOOKUP($A316,'NonXtal_SegEnds_BW#'!$A:$Z,16,FALSE)+VLOOKUP($A316,A:AL,22,FALSE)-50))</f>
        <v>180</v>
      </c>
      <c r="X316" s="3">
        <f>IF(ISERROR(VLOOKUP($A316,'NonXtal_SegEnds_BW#'!$A:$Z,17,FALSE)+VLOOKUP($A316,A:AL,25,FALSE)-50),"-",(VLOOKUP($A316,'NonXtal_SegEnds_BW#'!$A:$Z,17,FALSE)+VLOOKUP($A316,A:AL,25,FALSE)-50))</f>
        <v>196</v>
      </c>
      <c r="Y316" s="3">
        <v>196</v>
      </c>
      <c r="Z316" s="3">
        <f t="shared" si="167"/>
        <v>198</v>
      </c>
      <c r="AA316" s="3">
        <f>IF(ISERROR(VLOOKUP($A316,'NonXtal_SegEnds_BW#'!$A:$Z,19,FALSE)+VLOOKUP($A316,A:AL,28,FALSE)-50),"-",(VLOOKUP($A316,'NonXtal_SegEnds_BW#'!$A:$Z,19,FALSE)+VLOOKUP($A316,A:AL,28,FALSE)-50))</f>
        <v>203</v>
      </c>
      <c r="AB316" s="3">
        <v>221</v>
      </c>
      <c r="AC316" s="3">
        <f>IF(ISERROR((VLOOKUP($A316,'NonXtal_SegEnds_BW#'!$A:$Z,20,FALSE)+VLOOKUP($A316,A:AL,28,FALSE)-50)),"-",(VLOOKUP($A316,'NonXtal_SegEnds_BW#'!$A:$Z,20,FALSE)+VLOOKUP($A316,A:AL,28,FALSE)-50))</f>
        <v>245</v>
      </c>
      <c r="AD316" s="3">
        <f>IF(ISERROR(VLOOKUP($A316,'NonXtal_SegEnds_BW#'!$A:$Z,21,FALSE)+VLOOKUP($A316,A:AL,31,FALSE)-50),"-",(VLOOKUP($A316,'NonXtal_SegEnds_BW#'!$A:$Z,21,FALSE)+VLOOKUP($A316,A:AL,31,FALSE)-50))</f>
        <v>302</v>
      </c>
      <c r="AE316" s="3">
        <v>328</v>
      </c>
      <c r="AF316" s="3">
        <f>IF(ISERROR((VLOOKUP($A316,'NonXtal_SegEnds_BW#'!$A:$Z,22,FALSE)+VLOOKUP($A316,A:AL,31,FALSE)-50)),"-",(VLOOKUP($A316,'NonXtal_SegEnds_BW#'!$A:$Z,22,FALSE)+VLOOKUP($A316,A:AL,31,FALSE)-50))</f>
        <v>339</v>
      </c>
      <c r="AG316" s="3">
        <f>IF(ISERROR(VLOOKUP($A316,'NonXtal_SegEnds_BW#'!$A:$Z,23,FALSE)+VLOOKUP($A316,A:AL,34,FALSE)-50),"-",(VLOOKUP($A316,'NonXtal_SegEnds_BW#'!$A:$Z,23,FALSE)+VLOOKUP($A316,A:AL,34,FALSE)-50))</f>
        <v>345</v>
      </c>
      <c r="AH316" s="3">
        <v>367</v>
      </c>
      <c r="AI316" s="3">
        <f>IF(ISERROR((VLOOKUP($A316,'NonXtal_SegEnds_BW#'!$A:$Z,24,FALSE)+VLOOKUP($A316,A:AL,34,FALSE)-50)),"-",(VLOOKUP($A316,'NonXtal_SegEnds_BW#'!$A:$Z,24,FALSE)+VLOOKUP($A316,A:AL,34,FALSE)-50))</f>
        <v>373</v>
      </c>
      <c r="AJ316" s="3">
        <f>IF(ISERROR(VLOOKUP($A316,'NonXtal_SegEnds_BW#'!$A:$Z,25,FALSE)+VLOOKUP($A316,A:AL,37,FALSE)-50),"-",(VLOOKUP($A316,'NonXtal_SegEnds_BW#'!$A:$Z,25,FALSE)+VLOOKUP($A316,A:AL,37,FALSE)-50))</f>
        <v>374</v>
      </c>
      <c r="AK316" s="3">
        <v>377</v>
      </c>
      <c r="AL316" s="3">
        <f>IF(ISERROR((VLOOKUP($A316,'NonXtal_SegEnds_BW#'!$A:$Z,26,FALSE)+VLOOKUP($A316,A:AL,37,FALSE)-50)),"-",(VLOOKUP($A316,'NonXtal_SegEnds_BW#'!$A:$Z,26,FALSE)+VLOOKUP($A316,A:AL,37,FALSE)-50))</f>
        <v>385</v>
      </c>
      <c r="AM316" s="71" t="str">
        <f>VLOOKUP(A316,Classification!A:B,2,FALSE)</f>
        <v>A</v>
      </c>
      <c r="AN316" s="71" t="b">
        <f t="shared" si="133"/>
        <v>1</v>
      </c>
      <c r="AO316" s="3">
        <f t="shared" si="134"/>
        <v>1</v>
      </c>
      <c r="AP316" s="3">
        <f t="shared" si="135"/>
        <v>1</v>
      </c>
      <c r="AQ316" s="3">
        <f t="shared" si="136"/>
        <v>2</v>
      </c>
      <c r="AR316" s="3">
        <f t="shared" si="137"/>
        <v>1</v>
      </c>
      <c r="AS316" s="3">
        <f t="shared" si="138"/>
        <v>1</v>
      </c>
      <c r="AT316" s="3">
        <f t="shared" si="139"/>
        <v>2</v>
      </c>
      <c r="AU316" s="3">
        <f t="shared" si="140"/>
        <v>16</v>
      </c>
      <c r="AV316" s="3">
        <f t="shared" si="141"/>
        <v>5</v>
      </c>
      <c r="AW316" s="3">
        <f t="shared" si="142"/>
        <v>57</v>
      </c>
      <c r="AX316" s="3">
        <f t="shared" si="143"/>
        <v>6</v>
      </c>
      <c r="AY316" s="3">
        <f t="shared" si="144"/>
        <v>1</v>
      </c>
      <c r="AZ316" s="3">
        <f>IF(ISERROR(LEN(VLOOKUP(A316,Seqs!A:E,2,FALSE))-AL316),"-",LEN(VLOOKUP(A316,Seqs!A:E,2,FALSE))-AL316)</f>
        <v>43</v>
      </c>
      <c r="BA316" s="35">
        <f t="shared" si="145"/>
        <v>28</v>
      </c>
      <c r="BB316" s="3">
        <f t="shared" si="146"/>
        <v>20</v>
      </c>
      <c r="BC316" s="3">
        <f t="shared" si="147"/>
        <v>28</v>
      </c>
      <c r="BD316" s="3">
        <f t="shared" si="148"/>
        <v>107</v>
      </c>
    </row>
    <row r="317" spans="1:57" s="3" customFormat="1" x14ac:dyDescent="0.2">
      <c r="A317" s="3" t="s">
        <v>454</v>
      </c>
      <c r="B317" s="3" t="str">
        <f>LOWER(VLOOKUP(A317,Xtal_Templ!A:B,2,FALSE))</f>
        <v>ox2r_human</v>
      </c>
      <c r="C317" s="3">
        <f>VLOOKUP($A317,'NonXtal_SegEnds_BW#'!$A:$Z,3,FALSE)+D317-50</f>
        <v>39</v>
      </c>
      <c r="D317" s="3">
        <v>58</v>
      </c>
      <c r="E317" s="3">
        <f>IF(ISERROR(VLOOKUP($A317,'NonXtal_SegEnds_BW#'!$A:$Z,4,FALSE)+VLOOKUP($A317,A:AL,4,FALSE)-50),"-",(VLOOKUP($A317,'NonXtal_SegEnds_BW#'!$A:$Z,4,FALSE)+VLOOKUP($A317,A:AL,4,FALSE)-50))</f>
        <v>68</v>
      </c>
      <c r="F317" s="3">
        <f>G317-2</f>
        <v>69</v>
      </c>
      <c r="G317" s="3">
        <v>71</v>
      </c>
      <c r="H317" s="3">
        <f t="shared" si="168"/>
        <v>72</v>
      </c>
      <c r="I317" s="3">
        <f t="shared" si="168"/>
        <v>73</v>
      </c>
      <c r="J317" s="3">
        <v>87</v>
      </c>
      <c r="K317" s="3">
        <f>VLOOKUP($A317,'NonXtal_SegEnds_BW#'!$A:$Z,8,FALSE)+VLOOKUP($A317,A:AL,10,FALSE)-50</f>
        <v>104</v>
      </c>
      <c r="L317" s="3" t="str">
        <f>IF(ISERROR(VLOOKUP($A317,'NonXtal_SegEnds_BW#'!$A:$Z,9,FALSE)+VLOOKUP($A317,A:AL,13,FALSE)-50),"-",(VLOOKUP($A317,'NonXtal_SegEnds_BW#'!$A:$Z,9,FALSE)+VLOOKUP($A317,A:AL,13,FALSE)-50))</f>
        <v>-</v>
      </c>
      <c r="M317" s="3" t="s">
        <v>129</v>
      </c>
      <c r="N317" s="3" t="str">
        <f>IF(ISERROR(VLOOKUP($A317,'NonXtal_SegEnds_BW#'!$A:$Z,10,FALSE)+VLOOKUP($A317,A:AL,13,FALSE)-50),"-",(VLOOKUP($A317,'NonXtal_SegEnds_BW#'!$A:$Z,10,FALSE)+VLOOKUP($A317,A:AL,13,FALSE)-50))</f>
        <v>-</v>
      </c>
      <c r="O317" s="3">
        <f>VLOOKUP($A317,'NonXtal_SegEnds_BW#'!$A:$Z,11,FALSE)+VLOOKUP($A317,A:AL,16,FALSE)-50</f>
        <v>107</v>
      </c>
      <c r="P317" s="3">
        <v>139</v>
      </c>
      <c r="Q317" s="3">
        <f>VLOOKUP($A317,'NonXtal_SegEnds_BW#'!$A:$Z,12,FALSE)+VLOOKUP($A317,A:AL,16,FALSE)-50</f>
        <v>145</v>
      </c>
      <c r="R317" s="3">
        <f>IF(ISERROR(VLOOKUP($A317,'NonXtal_SegEnds_BW#'!$A:$Z,13,FALSE)+VLOOKUP($A317,A:AL,19,FALSE)-50),"-",VLOOKUP($A317,'NonXtal_SegEnds_BW#'!$A:$Z,13,FALSE)+VLOOKUP($A317,A:AL,19,FALSE)-50)</f>
        <v>146</v>
      </c>
      <c r="S317" s="3">
        <v>146</v>
      </c>
      <c r="T317" s="3">
        <f>IF(ISERROR(VLOOKUP($A317,'NonXtal_SegEnds_BW#'!$A:$Z,14,FALSE)+VLOOKUP($A317,A:AL,19,FALSE)-50),"-",(VLOOKUP($A317,'NonXtal_SegEnds_BW#'!$A:$Z,14,FALSE)+VLOOKUP($A317,A:AL,19,FALSE)-50))</f>
        <v>153</v>
      </c>
      <c r="U317" s="3">
        <f>IF(ISERROR(VLOOKUP($A317,'NonXtal_SegEnds_BW#'!$A:$Z,15,FALSE)+VLOOKUP($A317,A:AL,22,FALSE)-50),"-",VLOOKUP($A317,'NonXtal_SegEnds_BW#'!$A:$Z,15,FALSE)+VLOOKUP($A317,A:AL,22,FALSE)-50)</f>
        <v>155</v>
      </c>
      <c r="V317" s="3">
        <v>166</v>
      </c>
      <c r="W317" s="3">
        <f>IF(ISERROR(VLOOKUP($A317,'NonXtal_SegEnds_BW#'!$A:$Z,16,FALSE)+VLOOKUP($A317,A:AL,22,FALSE)-50),"-",(VLOOKUP($A317,'NonXtal_SegEnds_BW#'!$A:$Z,16,FALSE)+VLOOKUP($A317,A:AL,22,FALSE)-50))</f>
        <v>180</v>
      </c>
      <c r="X317" s="3">
        <f>IF(ISERROR(VLOOKUP($A317,'NonXtal_SegEnds_BW#'!$A:$Z,17,FALSE)+VLOOKUP($A317,A:AL,25,FALSE)-50),"-",(VLOOKUP($A317,'NonXtal_SegEnds_BW#'!$A:$Z,17,FALSE)+VLOOKUP($A317,A:AL,25,FALSE)-50))</f>
        <v>193</v>
      </c>
      <c r="Y317" s="3">
        <v>193</v>
      </c>
      <c r="Z317" s="3">
        <f t="shared" si="167"/>
        <v>195</v>
      </c>
      <c r="AA317" s="3">
        <f>IF(ISERROR(VLOOKUP($A317,'NonXtal_SegEnds_BW#'!$A:$Z,19,FALSE)+VLOOKUP($A317,A:AL,28,FALSE)-50),"-",(VLOOKUP($A317,'NonXtal_SegEnds_BW#'!$A:$Z,19,FALSE)+VLOOKUP($A317,A:AL,28,FALSE)-50))</f>
        <v>199</v>
      </c>
      <c r="AB317" s="3">
        <v>214</v>
      </c>
      <c r="AC317" s="3">
        <f>IF(ISERROR((VLOOKUP($A317,'NonXtal_SegEnds_BW#'!$A:$Z,20,FALSE)+VLOOKUP($A317,A:AL,28,FALSE)-50)),"-",(VLOOKUP($A317,'NonXtal_SegEnds_BW#'!$A:$Z,20,FALSE)+VLOOKUP($A317,A:AL,28,FALSE)-50))</f>
        <v>238</v>
      </c>
      <c r="AD317" s="3">
        <f>IF(ISERROR(VLOOKUP($A317,'NonXtal_SegEnds_BW#'!$A:$Z,21,FALSE)+VLOOKUP($A317,A:AL,31,FALSE)-50),"-",(VLOOKUP($A317,'NonXtal_SegEnds_BW#'!$A:$Z,21,FALSE)+VLOOKUP($A317,A:AL,31,FALSE)-50))</f>
        <v>251</v>
      </c>
      <c r="AE317" s="3">
        <v>280</v>
      </c>
      <c r="AF317" s="3">
        <f>IF(ISERROR((VLOOKUP($A317,'NonXtal_SegEnds_BW#'!$A:$Z,22,FALSE)+VLOOKUP($A317,A:AL,31,FALSE)-50)),"-",(VLOOKUP($A317,'NonXtal_SegEnds_BW#'!$A:$Z,22,FALSE)+VLOOKUP($A317,A:AL,31,FALSE)-50))</f>
        <v>291</v>
      </c>
      <c r="AG317" s="3">
        <f>IF(ISERROR(VLOOKUP($A317,'NonXtal_SegEnds_BW#'!$A:$Z,23,FALSE)+VLOOKUP($A317,A:AL,34,FALSE)-50),"-",(VLOOKUP($A317,'NonXtal_SegEnds_BW#'!$A:$Z,23,FALSE)+VLOOKUP($A317,A:AL,34,FALSE)-50))</f>
        <v>296</v>
      </c>
      <c r="AH317" s="3">
        <v>314</v>
      </c>
      <c r="AI317" s="3">
        <f>IF(ISERROR((VLOOKUP($A317,'NonXtal_SegEnds_BW#'!$A:$Z,24,FALSE)+VLOOKUP($A317,A:AL,34,FALSE)-50)),"-",(VLOOKUP($A317,'NonXtal_SegEnds_BW#'!$A:$Z,24,FALSE)+VLOOKUP($A317,A:AL,34,FALSE)-50))</f>
        <v>320</v>
      </c>
      <c r="AJ317" s="3">
        <f>IF(ISERROR(VLOOKUP($A317,'NonXtal_SegEnds_BW#'!$A:$Z,25,FALSE)+VLOOKUP($A317,A:AL,37,FALSE)-50),"-",(VLOOKUP($A317,'NonXtal_SegEnds_BW#'!$A:$Z,25,FALSE)+VLOOKUP($A317,A:AL,37,FALSE)-50))</f>
        <v>321</v>
      </c>
      <c r="AK317" s="3">
        <v>324</v>
      </c>
      <c r="AL317" s="3">
        <f>IF(ISERROR((VLOOKUP($A317,'NonXtal_SegEnds_BW#'!$A:$Z,26,FALSE)+VLOOKUP($A317,A:AL,37,FALSE)-50)),"-",(VLOOKUP($A317,'NonXtal_SegEnds_BW#'!$A:$Z,26,FALSE)+VLOOKUP($A317,A:AL,37,FALSE)-50))</f>
        <v>332</v>
      </c>
      <c r="AM317" s="71" t="str">
        <f>VLOOKUP(A317,Classification!A:B,2,FALSE)</f>
        <v>A</v>
      </c>
      <c r="AN317" s="71" t="b">
        <f t="shared" si="133"/>
        <v>1</v>
      </c>
      <c r="AO317" s="3">
        <f t="shared" si="134"/>
        <v>1</v>
      </c>
      <c r="AP317" s="3">
        <f t="shared" si="135"/>
        <v>1</v>
      </c>
      <c r="AQ317" s="3" t="str">
        <f t="shared" si="136"/>
        <v>-</v>
      </c>
      <c r="AR317" s="3" t="str">
        <f t="shared" si="137"/>
        <v>-</v>
      </c>
      <c r="AS317" s="3">
        <f t="shared" si="138"/>
        <v>1</v>
      </c>
      <c r="AT317" s="3">
        <f t="shared" si="139"/>
        <v>2</v>
      </c>
      <c r="AU317" s="3">
        <f t="shared" si="140"/>
        <v>13</v>
      </c>
      <c r="AV317" s="3">
        <f t="shared" si="141"/>
        <v>4</v>
      </c>
      <c r="AW317" s="3">
        <f t="shared" si="142"/>
        <v>13</v>
      </c>
      <c r="AX317" s="3">
        <f t="shared" si="143"/>
        <v>5</v>
      </c>
      <c r="AY317" s="3">
        <f t="shared" si="144"/>
        <v>1</v>
      </c>
      <c r="AZ317" s="3">
        <f>IF(ISERROR(LEN(VLOOKUP(A317,Seqs!A:E,2,FALSE))-AL317),"-",LEN(VLOOKUP(A317,Seqs!A:E,2,FALSE))-AL317)</f>
        <v>29</v>
      </c>
      <c r="BA317" s="35">
        <f t="shared" si="145"/>
        <v>29</v>
      </c>
      <c r="BB317" s="3">
        <f t="shared" si="146"/>
        <v>20</v>
      </c>
      <c r="BC317" s="3">
        <f t="shared" si="147"/>
        <v>29</v>
      </c>
      <c r="BD317" s="3">
        <f t="shared" si="148"/>
        <v>66</v>
      </c>
      <c r="BE317" s="3">
        <f>AH317-AE317</f>
        <v>34</v>
      </c>
    </row>
    <row r="318" spans="1:57" s="3" customFormat="1" x14ac:dyDescent="0.2">
      <c r="A318" s="3" t="s">
        <v>506</v>
      </c>
      <c r="B318" s="3" t="str">
        <f>LOWER(VLOOKUP(A318,Xtal_Templ!A:B,2,FALSE))</f>
        <v>ox2r_human</v>
      </c>
      <c r="C318" s="3">
        <f>VLOOKUP($A318,'NonXtal_SegEnds_BW#'!$A:$Z,3,FALSE)+D318-50</f>
        <v>39</v>
      </c>
      <c r="D318" s="3">
        <v>58</v>
      </c>
      <c r="E318" s="3">
        <f>IF(ISERROR(VLOOKUP($A318,'NonXtal_SegEnds_BW#'!$A:$Z,4,FALSE)+VLOOKUP($A318,A:AL,4,FALSE)-50),"-",(VLOOKUP($A318,'NonXtal_SegEnds_BW#'!$A:$Z,4,FALSE)+VLOOKUP($A318,A:AL,4,FALSE)-50))</f>
        <v>68</v>
      </c>
      <c r="F318" s="3">
        <f>G318-2</f>
        <v>69</v>
      </c>
      <c r="G318" s="3">
        <v>71</v>
      </c>
      <c r="H318" s="3">
        <f t="shared" si="168"/>
        <v>72</v>
      </c>
      <c r="I318" s="3">
        <f t="shared" si="168"/>
        <v>73</v>
      </c>
      <c r="J318" s="3">
        <v>86</v>
      </c>
      <c r="K318" s="3">
        <f>VLOOKUP($A318,'NonXtal_SegEnds_BW#'!$A:$Z,8,FALSE)+VLOOKUP($A318,A:AL,10,FALSE)-50</f>
        <v>103</v>
      </c>
      <c r="L318" s="3">
        <f>M318-1</f>
        <v>105</v>
      </c>
      <c r="M318" s="3">
        <v>106</v>
      </c>
      <c r="N318" s="3">
        <f>M318+2</f>
        <v>108</v>
      </c>
      <c r="O318" s="3">
        <f>N318+1</f>
        <v>109</v>
      </c>
      <c r="P318" s="3">
        <v>138</v>
      </c>
      <c r="Q318" s="3">
        <f>VLOOKUP($A318,'NonXtal_SegEnds_BW#'!$A:$Z,12,FALSE)+VLOOKUP($A318,A:AL,16,FALSE)-50</f>
        <v>144</v>
      </c>
      <c r="R318" s="3">
        <f>IF(ISERROR(VLOOKUP($A318,'NonXtal_SegEnds_BW#'!$A:$Z,13,FALSE)+VLOOKUP($A318,A:AL,19,FALSE)-50),"-",VLOOKUP($A318,'NonXtal_SegEnds_BW#'!$A:$Z,13,FALSE)+VLOOKUP($A318,A:AL,19,FALSE)-50)</f>
        <v>145</v>
      </c>
      <c r="S318" s="3">
        <v>145</v>
      </c>
      <c r="T318" s="3">
        <f>IF(ISERROR(VLOOKUP($A318,'NonXtal_SegEnds_BW#'!$A:$Z,14,FALSE)+VLOOKUP($A318,A:AL,19,FALSE)-50),"-",(VLOOKUP($A318,'NonXtal_SegEnds_BW#'!$A:$Z,14,FALSE)+VLOOKUP($A318,A:AL,19,FALSE)-50))</f>
        <v>152</v>
      </c>
      <c r="U318" s="3">
        <f>IF(ISERROR(VLOOKUP($A318,'NonXtal_SegEnds_BW#'!$A:$Z,15,FALSE)+VLOOKUP($A318,A:AL,22,FALSE)-50),"-",VLOOKUP($A318,'NonXtal_SegEnds_BW#'!$A:$Z,15,FALSE)+VLOOKUP($A318,A:AL,22,FALSE)-50)</f>
        <v>154</v>
      </c>
      <c r="V318" s="3">
        <v>165</v>
      </c>
      <c r="W318" s="3">
        <f>IF(ISERROR(VLOOKUP($A318,'NonXtal_SegEnds_BW#'!$A:$Z,16,FALSE)+VLOOKUP($A318,A:AL,22,FALSE)-50),"-",(VLOOKUP($A318,'NonXtal_SegEnds_BW#'!$A:$Z,16,FALSE)+VLOOKUP($A318,A:AL,22,FALSE)-50))</f>
        <v>179</v>
      </c>
      <c r="X318" s="3">
        <f>IF(ISERROR(VLOOKUP($A318,'NonXtal_SegEnds_BW#'!$A:$Z,17,FALSE)+VLOOKUP($A318,A:AL,25,FALSE)-50),"-",(VLOOKUP($A318,'NonXtal_SegEnds_BW#'!$A:$Z,17,FALSE)+VLOOKUP($A318,A:AL,25,FALSE)-50))</f>
        <v>190</v>
      </c>
      <c r="Y318" s="3">
        <v>190</v>
      </c>
      <c r="Z318" s="3">
        <f t="shared" si="167"/>
        <v>192</v>
      </c>
      <c r="AA318" s="3">
        <f>IF(ISERROR(VLOOKUP($A318,'NonXtal_SegEnds_BW#'!$A:$Z,19,FALSE)+VLOOKUP($A318,A:AL,28,FALSE)-50),"-",(VLOOKUP($A318,'NonXtal_SegEnds_BW#'!$A:$Z,19,FALSE)+VLOOKUP($A318,A:AL,28,FALSE)-50))</f>
        <v>197</v>
      </c>
      <c r="AB318" s="3">
        <v>212</v>
      </c>
      <c r="AC318" s="3">
        <f>IF(ISERROR((VLOOKUP($A318,'NonXtal_SegEnds_BW#'!$A:$Z,20,FALSE)+VLOOKUP($A318,A:AL,28,FALSE)-50)),"-",(VLOOKUP($A318,'NonXtal_SegEnds_BW#'!$A:$Z,20,FALSE)+VLOOKUP($A318,A:AL,28,FALSE)-50))</f>
        <v>234</v>
      </c>
      <c r="AD318" s="3">
        <f>IF(ISERROR(VLOOKUP($A318,'NonXtal_SegEnds_BW#'!$A:$Z,21,FALSE)+VLOOKUP($A318,A:AL,31,FALSE)-50),"-",(VLOOKUP($A318,'NonXtal_SegEnds_BW#'!$A:$Z,21,FALSE)+VLOOKUP($A318,A:AL,31,FALSE)-50))</f>
        <v>240</v>
      </c>
      <c r="AE318" s="3">
        <v>266</v>
      </c>
      <c r="AF318" s="3">
        <f>IF(ISERROR((VLOOKUP($A318,'NonXtal_SegEnds_BW#'!$A:$Z,22,FALSE)+VLOOKUP($A318,A:AL,31,FALSE)-50)),"-",(VLOOKUP($A318,'NonXtal_SegEnds_BW#'!$A:$Z,22,FALSE)+VLOOKUP($A318,A:AL,31,FALSE)-50))</f>
        <v>277</v>
      </c>
      <c r="AG318" s="3">
        <f>IF(ISERROR(VLOOKUP($A318,'NonXtal_SegEnds_BW#'!$A:$Z,23,FALSE)+VLOOKUP($A318,A:AL,34,FALSE)-50),"-",(VLOOKUP($A318,'NonXtal_SegEnds_BW#'!$A:$Z,23,FALSE)+VLOOKUP($A318,A:AL,34,FALSE)-50))</f>
        <v>283</v>
      </c>
      <c r="AH318" s="3">
        <v>305</v>
      </c>
      <c r="AI318" s="3">
        <f>IF(ISERROR((VLOOKUP($A318,'NonXtal_SegEnds_BW#'!$A:$Z,24,FALSE)+VLOOKUP($A318,A:AL,34,FALSE)-50)),"-",(VLOOKUP($A318,'NonXtal_SegEnds_BW#'!$A:$Z,24,FALSE)+VLOOKUP($A318,A:AL,34,FALSE)-50))</f>
        <v>311</v>
      </c>
      <c r="AJ318" s="3">
        <f>IF(ISERROR(VLOOKUP($A318,'NonXtal_SegEnds_BW#'!$A:$Z,25,FALSE)+VLOOKUP($A318,A:AL,37,FALSE)-50),"-",(VLOOKUP($A318,'NonXtal_SegEnds_BW#'!$A:$Z,25,FALSE)+VLOOKUP($A318,A:AL,37,FALSE)-50))</f>
        <v>312</v>
      </c>
      <c r="AK318" s="3">
        <v>315</v>
      </c>
      <c r="AL318" s="3">
        <f>IF(ISERROR((VLOOKUP($A318,'NonXtal_SegEnds_BW#'!$A:$Z,26,FALSE)+VLOOKUP($A318,A:AL,37,FALSE)-50)),"-",(VLOOKUP($A318,'NonXtal_SegEnds_BW#'!$A:$Z,26,FALSE)+VLOOKUP($A318,A:AL,37,FALSE)-50))</f>
        <v>323</v>
      </c>
      <c r="AM318" s="71" t="str">
        <f>VLOOKUP(A318,Classification!A:B,2,FALSE)</f>
        <v>A</v>
      </c>
      <c r="AN318" s="71" t="b">
        <f t="shared" si="133"/>
        <v>1</v>
      </c>
      <c r="AO318" s="3">
        <f t="shared" si="134"/>
        <v>1</v>
      </c>
      <c r="AP318" s="3">
        <f t="shared" si="135"/>
        <v>1</v>
      </c>
      <c r="AQ318" s="3">
        <f t="shared" si="136"/>
        <v>2</v>
      </c>
      <c r="AR318" s="3">
        <f t="shared" si="137"/>
        <v>1</v>
      </c>
      <c r="AS318" s="3">
        <f t="shared" si="138"/>
        <v>1</v>
      </c>
      <c r="AT318" s="3">
        <f t="shared" si="139"/>
        <v>2</v>
      </c>
      <c r="AU318" s="3">
        <f t="shared" si="140"/>
        <v>11</v>
      </c>
      <c r="AV318" s="3">
        <f t="shared" si="141"/>
        <v>5</v>
      </c>
      <c r="AW318" s="3">
        <f t="shared" si="142"/>
        <v>6</v>
      </c>
      <c r="AX318" s="3">
        <f t="shared" si="143"/>
        <v>6</v>
      </c>
      <c r="AY318" s="3">
        <f t="shared" si="144"/>
        <v>1</v>
      </c>
      <c r="AZ318" s="3">
        <f>IF(ISERROR(LEN(VLOOKUP(A318,Seqs!A:E,2,FALSE))-AL318),"-",LEN(VLOOKUP(A318,Seqs!A:E,2,FALSE))-AL318)</f>
        <v>39</v>
      </c>
      <c r="BA318" s="35">
        <f t="shared" si="145"/>
        <v>28</v>
      </c>
      <c r="BB318" s="3">
        <f t="shared" si="146"/>
        <v>20</v>
      </c>
      <c r="BC318" s="3">
        <f t="shared" si="147"/>
        <v>28</v>
      </c>
      <c r="BD318" s="3">
        <f t="shared" si="148"/>
        <v>54</v>
      </c>
    </row>
    <row r="319" spans="1:57" s="3" customFormat="1" x14ac:dyDescent="0.2">
      <c r="A319" s="3" t="s">
        <v>417</v>
      </c>
      <c r="B319" s="3" t="str">
        <f>LOWER(VLOOKUP(A319,Xtal_Templ!A:B,2,FALSE))</f>
        <v>ox2r_human</v>
      </c>
      <c r="C319" s="3">
        <f>VLOOKUP($A319,'NonXtal_SegEnds_BW#'!$A:$Z,3,FALSE)+D319-50</f>
        <v>35</v>
      </c>
      <c r="D319" s="3">
        <v>54</v>
      </c>
      <c r="E319" s="3">
        <f>IF(ISERROR(VLOOKUP($A319,'NonXtal_SegEnds_BW#'!$A:$Z,4,FALSE)+VLOOKUP($A319,A:AL,4,FALSE)-50),"-",(VLOOKUP($A319,'NonXtal_SegEnds_BW#'!$A:$Z,4,FALSE)+VLOOKUP($A319,A:AL,4,FALSE)-50))</f>
        <v>64</v>
      </c>
      <c r="F319" s="3" t="str">
        <f>IF(ISERROR(VLOOKUP($A319,'NonXtal_SegEnds_BW#'!$A:$Z,5,FALSE)+VLOOKUP($A319,A:AL,7,FALSE)-50),"-",(VLOOKUP($A319,'NonXtal_SegEnds_BW#'!$A:$Z,5,FALSE)+VLOOKUP($A319,A:AL,7,FALSE)-50))</f>
        <v>-</v>
      </c>
      <c r="G319" s="3" t="s">
        <v>129</v>
      </c>
      <c r="H319" s="3" t="str">
        <f>IF(ISERROR(VLOOKUP($A319,'NonXtal_SegEnds_BW#'!$A:$Z,6,FALSE)+VLOOKUP($A319,A:AL,7,FALSE)-50),"-",(VLOOKUP($A319,'NonXtal_SegEnds_BW#'!$A:$Z,6,FALSE)+VLOOKUP($A319,A:AL,7,FALSE)-50))</f>
        <v>-</v>
      </c>
      <c r="I319" s="3">
        <f>VLOOKUP($A319,'NonXtal_SegEnds_BW#'!$A:$Z,7,FALSE)+J319-50</f>
        <v>71</v>
      </c>
      <c r="J319" s="3">
        <v>84</v>
      </c>
      <c r="K319" s="3">
        <f>VLOOKUP($A319,'NonXtal_SegEnds_BW#'!$A:$Z,8,FALSE)+VLOOKUP($A319,A:AL,10,FALSE)-50</f>
        <v>101</v>
      </c>
      <c r="L319" s="3">
        <f>M319-1</f>
        <v>103</v>
      </c>
      <c r="M319" s="3">
        <v>104</v>
      </c>
      <c r="N319" s="3">
        <f>M319+2</f>
        <v>106</v>
      </c>
      <c r="O319" s="3">
        <f>N319+1</f>
        <v>107</v>
      </c>
      <c r="P319" s="3">
        <v>136</v>
      </c>
      <c r="Q319" s="3">
        <f>VLOOKUP($A319,'NonXtal_SegEnds_BW#'!$A:$Z,12,FALSE)+VLOOKUP($A319,A:AL,16,FALSE)-50</f>
        <v>142</v>
      </c>
      <c r="R319" s="3">
        <f>IF(ISERROR(VLOOKUP($A319,'NonXtal_SegEnds_BW#'!$A:$Z,13,FALSE)+VLOOKUP($A319,A:AL,19,FALSE)-50),"-",VLOOKUP($A319,'NonXtal_SegEnds_BW#'!$A:$Z,13,FALSE)+VLOOKUP($A319,A:AL,19,FALSE)-50)</f>
        <v>143</v>
      </c>
      <c r="S319" s="3">
        <v>143</v>
      </c>
      <c r="T319" s="3">
        <f>IF(ISERROR(VLOOKUP($A319,'NonXtal_SegEnds_BW#'!$A:$Z,14,FALSE)+VLOOKUP($A319,A:AL,19,FALSE)-50),"-",(VLOOKUP($A319,'NonXtal_SegEnds_BW#'!$A:$Z,14,FALSE)+VLOOKUP($A319,A:AL,19,FALSE)-50))</f>
        <v>150</v>
      </c>
      <c r="U319" s="3">
        <f>IF(ISERROR(VLOOKUP($A319,'NonXtal_SegEnds_BW#'!$A:$Z,15,FALSE)+VLOOKUP($A319,A:AL,22,FALSE)-50),"-",VLOOKUP($A319,'NonXtal_SegEnds_BW#'!$A:$Z,15,FALSE)+VLOOKUP($A319,A:AL,22,FALSE)-50)</f>
        <v>151</v>
      </c>
      <c r="V319" s="3">
        <v>162</v>
      </c>
      <c r="W319" s="3">
        <f>IF(ISERROR(VLOOKUP($A319,'NonXtal_SegEnds_BW#'!$A:$Z,16,FALSE)+VLOOKUP($A319,A:AL,22,FALSE)-50),"-",(VLOOKUP($A319,'NonXtal_SegEnds_BW#'!$A:$Z,16,FALSE)+VLOOKUP($A319,A:AL,22,FALSE)-50))</f>
        <v>176</v>
      </c>
      <c r="X319" s="3">
        <f>IF(ISERROR(VLOOKUP($A319,'NonXtal_SegEnds_BW#'!$A:$Z,17,FALSE)+VLOOKUP($A319,A:AL,25,FALSE)-50),"-",(VLOOKUP($A319,'NonXtal_SegEnds_BW#'!$A:$Z,17,FALSE)+VLOOKUP($A319,A:AL,25,FALSE)-50))</f>
        <v>187</v>
      </c>
      <c r="Y319" s="3">
        <v>187</v>
      </c>
      <c r="Z319" s="3">
        <f t="shared" si="167"/>
        <v>189</v>
      </c>
      <c r="AA319" s="3">
        <f>IF(ISERROR(VLOOKUP($A319,'NonXtal_SegEnds_BW#'!$A:$Z,19,FALSE)+VLOOKUP($A319,A:AL,28,FALSE)-50),"-",(VLOOKUP($A319,'NonXtal_SegEnds_BW#'!$A:$Z,19,FALSE)+VLOOKUP($A319,A:AL,28,FALSE)-50))</f>
        <v>196</v>
      </c>
      <c r="AB319" s="3">
        <v>214</v>
      </c>
      <c r="AC319" s="3">
        <f>IF(ISERROR((VLOOKUP($A319,'NonXtal_SegEnds_BW#'!$A:$Z,20,FALSE)+VLOOKUP($A319,A:AL,28,FALSE)-50)),"-",(VLOOKUP($A319,'NonXtal_SegEnds_BW#'!$A:$Z,20,FALSE)+VLOOKUP($A319,A:AL,28,FALSE)-50))</f>
        <v>232</v>
      </c>
      <c r="AD319" s="3">
        <f>IF(ISERROR(VLOOKUP($A319,'NonXtal_SegEnds_BW#'!$A:$Z,21,FALSE)+VLOOKUP($A319,A:AL,31,FALSE)-50),"-",(VLOOKUP($A319,'NonXtal_SegEnds_BW#'!$A:$Z,21,FALSE)+VLOOKUP($A319,A:AL,31,FALSE)-50))</f>
        <v>238</v>
      </c>
      <c r="AE319" s="3">
        <v>265</v>
      </c>
      <c r="AF319" s="3">
        <f>IF(ISERROR((VLOOKUP($A319,'NonXtal_SegEnds_BW#'!$A:$Z,22,FALSE)+VLOOKUP($A319,A:AL,31,FALSE)-50)),"-",(VLOOKUP($A319,'NonXtal_SegEnds_BW#'!$A:$Z,22,FALSE)+VLOOKUP($A319,A:AL,31,FALSE)-50))</f>
        <v>276</v>
      </c>
      <c r="AG319" s="3">
        <f>IF(ISERROR(VLOOKUP($A319,'NonXtal_SegEnds_BW#'!$A:$Z,23,FALSE)+VLOOKUP($A319,A:AL,34,FALSE)-50),"-",(VLOOKUP($A319,'NonXtal_SegEnds_BW#'!$A:$Z,23,FALSE)+VLOOKUP($A319,A:AL,34,FALSE)-50))</f>
        <v>281</v>
      </c>
      <c r="AH319" s="3">
        <v>303</v>
      </c>
      <c r="AI319" s="3">
        <f>IF(ISERROR((VLOOKUP($A319,'NonXtal_SegEnds_BW#'!$A:$Z,24,FALSE)+VLOOKUP($A319,A:AL,34,FALSE)-50)),"-",(VLOOKUP($A319,'NonXtal_SegEnds_BW#'!$A:$Z,24,FALSE)+VLOOKUP($A319,A:AL,34,FALSE)-50))</f>
        <v>309</v>
      </c>
      <c r="AJ319" s="3">
        <f>IF(ISERROR(VLOOKUP($A319,'NonXtal_SegEnds_BW#'!$A:$Z,25,FALSE)+VLOOKUP($A319,A:AL,37,FALSE)-50),"-",(VLOOKUP($A319,'NonXtal_SegEnds_BW#'!$A:$Z,25,FALSE)+VLOOKUP($A319,A:AL,37,FALSE)-50))</f>
        <v>310</v>
      </c>
      <c r="AK319" s="3">
        <v>313</v>
      </c>
      <c r="AL319" s="3">
        <f>IF(ISERROR((VLOOKUP($A319,'NonXtal_SegEnds_BW#'!$A:$Z,26,FALSE)+VLOOKUP($A319,A:AL,37,FALSE)-50)),"-",(VLOOKUP($A319,'NonXtal_SegEnds_BW#'!$A:$Z,26,FALSE)+VLOOKUP($A319,A:AL,37,FALSE)-50))</f>
        <v>321</v>
      </c>
      <c r="AM319" s="71" t="str">
        <f>VLOOKUP(A319,Classification!A:B,2,FALSE)</f>
        <v>A</v>
      </c>
      <c r="AN319" s="71" t="b">
        <f t="shared" si="133"/>
        <v>1</v>
      </c>
      <c r="AO319" s="3" t="str">
        <f t="shared" si="134"/>
        <v>-</v>
      </c>
      <c r="AP319" s="3" t="str">
        <f t="shared" si="135"/>
        <v>-</v>
      </c>
      <c r="AQ319" s="3">
        <f t="shared" si="136"/>
        <v>2</v>
      </c>
      <c r="AR319" s="3">
        <f t="shared" si="137"/>
        <v>1</v>
      </c>
      <c r="AS319" s="3">
        <f t="shared" si="138"/>
        <v>1</v>
      </c>
      <c r="AT319" s="3">
        <f t="shared" si="139"/>
        <v>1</v>
      </c>
      <c r="AU319" s="3">
        <f t="shared" si="140"/>
        <v>11</v>
      </c>
      <c r="AV319" s="3">
        <f t="shared" si="141"/>
        <v>7</v>
      </c>
      <c r="AW319" s="3">
        <f t="shared" si="142"/>
        <v>6</v>
      </c>
      <c r="AX319" s="3">
        <f t="shared" si="143"/>
        <v>5</v>
      </c>
      <c r="AY319" s="3">
        <f t="shared" si="144"/>
        <v>1</v>
      </c>
      <c r="AZ319" s="3">
        <f>IF(ISERROR(LEN(VLOOKUP(A319,Seqs!A:E,2,FALSE))-AL319),"-",LEN(VLOOKUP(A319,Seqs!A:E,2,FALSE))-AL319)</f>
        <v>98</v>
      </c>
      <c r="BA319" s="35">
        <f t="shared" si="145"/>
        <v>30</v>
      </c>
      <c r="BB319" s="3">
        <f t="shared" si="146"/>
        <v>19</v>
      </c>
      <c r="BC319" s="3">
        <f t="shared" si="147"/>
        <v>30</v>
      </c>
      <c r="BD319" s="3">
        <f t="shared" si="148"/>
        <v>51</v>
      </c>
    </row>
    <row r="320" spans="1:57" s="3" customFormat="1" x14ac:dyDescent="0.2">
      <c r="A320" s="3" t="s">
        <v>553</v>
      </c>
      <c r="B320" s="3" t="str">
        <f>LOWER(VLOOKUP(A320,Xtal_Templ!A:B,2,FALSE))</f>
        <v>ox2r_human</v>
      </c>
      <c r="C320" s="3">
        <f>VLOOKUP($A320,'NonXtal_SegEnds_BW#'!$A:$Z,3,FALSE)+D320-50</f>
        <v>15</v>
      </c>
      <c r="D320" s="3">
        <v>34</v>
      </c>
      <c r="E320" s="3">
        <f>IF(ISERROR(VLOOKUP($A320,'NonXtal_SegEnds_BW#'!$A:$Z,4,FALSE)+VLOOKUP($A320,A:AL,4,FALSE)-50),"-",(VLOOKUP($A320,'NonXtal_SegEnds_BW#'!$A:$Z,4,FALSE)+VLOOKUP($A320,A:AL,4,FALSE)-50))</f>
        <v>44</v>
      </c>
      <c r="F320" s="3" t="str">
        <f>IF(ISERROR(VLOOKUP($A320,'NonXtal_SegEnds_BW#'!$A:$Z,5,FALSE)+VLOOKUP($A320,A:AL,7,FALSE)-50),"-",(VLOOKUP($A320,'NonXtal_SegEnds_BW#'!$A:$Z,5,FALSE)+VLOOKUP($A320,A:AL,7,FALSE)-50))</f>
        <v>-</v>
      </c>
      <c r="G320" s="3" t="s">
        <v>129</v>
      </c>
      <c r="H320" s="3" t="str">
        <f>IF(ISERROR(VLOOKUP($A320,'NonXtal_SegEnds_BW#'!$A:$Z,6,FALSE)+VLOOKUP($A320,A:AL,7,FALSE)-50),"-",(VLOOKUP($A320,'NonXtal_SegEnds_BW#'!$A:$Z,6,FALSE)+VLOOKUP($A320,A:AL,7,FALSE)-50))</f>
        <v>-</v>
      </c>
      <c r="I320" s="3">
        <f>VLOOKUP($A320,'NonXtal_SegEnds_BW#'!$A:$Z,7,FALSE)+J320-50</f>
        <v>59</v>
      </c>
      <c r="J320" s="3">
        <v>72</v>
      </c>
      <c r="K320" s="3">
        <f>VLOOKUP($A320,'NonXtal_SegEnds_BW#'!$A:$Z,8,FALSE)+VLOOKUP($A320,A:AL,10,FALSE)-50</f>
        <v>89</v>
      </c>
      <c r="L320" s="3" t="str">
        <f>IF(ISERROR(VLOOKUP($A320,'NonXtal_SegEnds_BW#'!$A:$Z,9,FALSE)+VLOOKUP($A320,A:AL,13,FALSE)-50),"-",(VLOOKUP($A320,'NonXtal_SegEnds_BW#'!$A:$Z,9,FALSE)+VLOOKUP($A320,A:AL,13,FALSE)-50))</f>
        <v>-</v>
      </c>
      <c r="M320" s="3" t="s">
        <v>129</v>
      </c>
      <c r="N320" s="3" t="str">
        <f>IF(ISERROR(VLOOKUP($A320,'NonXtal_SegEnds_BW#'!$A:$Z,10,FALSE)+VLOOKUP($A320,A:AL,13,FALSE)-50),"-",(VLOOKUP($A320,'NonXtal_SegEnds_BW#'!$A:$Z,10,FALSE)+VLOOKUP($A320,A:AL,13,FALSE)-50))</f>
        <v>-</v>
      </c>
      <c r="O320" s="3">
        <f>VLOOKUP($A320,'NonXtal_SegEnds_BW#'!$A:$Z,11,FALSE)+VLOOKUP($A320,A:AL,16,FALSE)-50</f>
        <v>98</v>
      </c>
      <c r="P320" s="3">
        <v>130</v>
      </c>
      <c r="Q320" s="3">
        <f>VLOOKUP($A320,'NonXtal_SegEnds_BW#'!$A:$Z,12,FALSE)+VLOOKUP($A320,A:AL,16,FALSE)-50</f>
        <v>136</v>
      </c>
      <c r="R320" s="3">
        <f>IF(ISERROR(VLOOKUP($A320,'NonXtal_SegEnds_BW#'!$A:$Z,13,FALSE)+VLOOKUP($A320,A:AL,19,FALSE)-50),"-",VLOOKUP($A320,'NonXtal_SegEnds_BW#'!$A:$Z,13,FALSE)+VLOOKUP($A320,A:AL,19,FALSE)-50)</f>
        <v>137</v>
      </c>
      <c r="S320" s="3">
        <v>137</v>
      </c>
      <c r="T320" s="3">
        <f>IF(ISERROR(VLOOKUP($A320,'NonXtal_SegEnds_BW#'!$A:$Z,14,FALSE)+VLOOKUP($A320,A:AL,19,FALSE)-50),"-",(VLOOKUP($A320,'NonXtal_SegEnds_BW#'!$A:$Z,14,FALSE)+VLOOKUP($A320,A:AL,19,FALSE)-50))</f>
        <v>144</v>
      </c>
      <c r="U320" s="3">
        <f>IF(ISERROR(VLOOKUP($A320,'NonXtal_SegEnds_BW#'!$A:$Z,15,FALSE)+VLOOKUP($A320,A:AL,22,FALSE)-50),"-",VLOOKUP($A320,'NonXtal_SegEnds_BW#'!$A:$Z,15,FALSE)+VLOOKUP($A320,A:AL,22,FALSE)-50)</f>
        <v>146</v>
      </c>
      <c r="V320" s="3">
        <v>157</v>
      </c>
      <c r="W320" s="3">
        <f>IF(ISERROR(VLOOKUP($A320,'NonXtal_SegEnds_BW#'!$A:$Z,16,FALSE)+VLOOKUP($A320,A:AL,22,FALSE)-50),"-",(VLOOKUP($A320,'NonXtal_SegEnds_BW#'!$A:$Z,16,FALSE)+VLOOKUP($A320,A:AL,22,FALSE)-50))</f>
        <v>171</v>
      </c>
      <c r="X320" s="3">
        <f>IF(ISERROR(VLOOKUP($A320,'NonXtal_SegEnds_BW#'!$A:$Z,17,FALSE)+VLOOKUP($A320,A:AL,25,FALSE)-50),"-",(VLOOKUP($A320,'NonXtal_SegEnds_BW#'!$A:$Z,17,FALSE)+VLOOKUP($A320,A:AL,25,FALSE)-50))</f>
        <v>183</v>
      </c>
      <c r="Y320" s="3">
        <v>183</v>
      </c>
      <c r="Z320" s="3">
        <f t="shared" si="167"/>
        <v>185</v>
      </c>
      <c r="AA320" s="3">
        <f>IF(ISERROR(VLOOKUP($A320,'NonXtal_SegEnds_BW#'!$A:$Z,19,FALSE)+VLOOKUP($A320,A:AL,28,FALSE)-50),"-",(VLOOKUP($A320,'NonXtal_SegEnds_BW#'!$A:$Z,19,FALSE)+VLOOKUP($A320,A:AL,28,FALSE)-50))</f>
        <v>194</v>
      </c>
      <c r="AB320" s="3">
        <v>212</v>
      </c>
      <c r="AC320" s="3">
        <f>IF(ISERROR((VLOOKUP($A320,'NonXtal_SegEnds_BW#'!$A:$Z,20,FALSE)+VLOOKUP($A320,A:AL,28,FALSE)-50)),"-",(VLOOKUP($A320,'NonXtal_SegEnds_BW#'!$A:$Z,20,FALSE)+VLOOKUP($A320,A:AL,28,FALSE)-50))</f>
        <v>238</v>
      </c>
      <c r="AD320" s="3">
        <f>IF(ISERROR(VLOOKUP($A320,'NonXtal_SegEnds_BW#'!$A:$Z,21,FALSE)+VLOOKUP($A320,A:AL,31,FALSE)-50),"-",(VLOOKUP($A320,'NonXtal_SegEnds_BW#'!$A:$Z,21,FALSE)+VLOOKUP($A320,A:AL,31,FALSE)-50))</f>
        <v>254</v>
      </c>
      <c r="AE320" s="3">
        <v>280</v>
      </c>
      <c r="AF320" s="3">
        <f>IF(ISERROR((VLOOKUP($A320,'NonXtal_SegEnds_BW#'!$A:$Z,22,FALSE)+VLOOKUP($A320,A:AL,31,FALSE)-50)),"-",(VLOOKUP($A320,'NonXtal_SegEnds_BW#'!$A:$Z,22,FALSE)+VLOOKUP($A320,A:AL,31,FALSE)-50))</f>
        <v>291</v>
      </c>
      <c r="AG320" s="3">
        <f>IF(ISERROR(VLOOKUP($A320,'NonXtal_SegEnds_BW#'!$A:$Z,23,FALSE)+VLOOKUP($A320,A:AL,34,FALSE)-50),"-",(VLOOKUP($A320,'NonXtal_SegEnds_BW#'!$A:$Z,23,FALSE)+VLOOKUP($A320,A:AL,34,FALSE)-50))</f>
        <v>298</v>
      </c>
      <c r="AH320" s="3">
        <v>320</v>
      </c>
      <c r="AI320" s="3">
        <f>IF(ISERROR((VLOOKUP($A320,'NonXtal_SegEnds_BW#'!$A:$Z,24,FALSE)+VLOOKUP($A320,A:AL,34,FALSE)-50)),"-",(VLOOKUP($A320,'NonXtal_SegEnds_BW#'!$A:$Z,24,FALSE)+VLOOKUP($A320,A:AL,34,FALSE)-50))</f>
        <v>326</v>
      </c>
      <c r="AJ320" s="3">
        <f>IF(ISERROR(VLOOKUP($A320,'NonXtal_SegEnds_BW#'!$A:$Z,25,FALSE)+VLOOKUP($A320,A:AL,37,FALSE)-50),"-",(VLOOKUP($A320,'NonXtal_SegEnds_BW#'!$A:$Z,25,FALSE)+VLOOKUP($A320,A:AL,37,FALSE)-50))</f>
        <v>327</v>
      </c>
      <c r="AK320" s="3">
        <v>330</v>
      </c>
      <c r="AL320" s="3">
        <f>IF(ISERROR((VLOOKUP($A320,'NonXtal_SegEnds_BW#'!$A:$Z,26,FALSE)+VLOOKUP($A320,A:AL,37,FALSE)-50)),"-",(VLOOKUP($A320,'NonXtal_SegEnds_BW#'!$A:$Z,26,FALSE)+VLOOKUP($A320,A:AL,37,FALSE)-50))</f>
        <v>338</v>
      </c>
      <c r="AM320" s="71" t="str">
        <f>VLOOKUP(A320,Classification!A:B,2,FALSE)</f>
        <v>A</v>
      </c>
      <c r="AN320" s="71" t="b">
        <f t="shared" si="133"/>
        <v>1</v>
      </c>
      <c r="AO320" s="3" t="str">
        <f t="shared" si="134"/>
        <v>-</v>
      </c>
      <c r="AP320" s="3" t="str">
        <f t="shared" si="135"/>
        <v>-</v>
      </c>
      <c r="AQ320" s="3" t="str">
        <f t="shared" si="136"/>
        <v>-</v>
      </c>
      <c r="AR320" s="3" t="str">
        <f t="shared" si="137"/>
        <v>-</v>
      </c>
      <c r="AS320" s="3">
        <f t="shared" si="138"/>
        <v>1</v>
      </c>
      <c r="AT320" s="3">
        <f t="shared" si="139"/>
        <v>2</v>
      </c>
      <c r="AU320" s="3">
        <f t="shared" si="140"/>
        <v>12</v>
      </c>
      <c r="AV320" s="3">
        <f t="shared" si="141"/>
        <v>9</v>
      </c>
      <c r="AW320" s="3">
        <f t="shared" si="142"/>
        <v>16</v>
      </c>
      <c r="AX320" s="3">
        <f t="shared" si="143"/>
        <v>7</v>
      </c>
      <c r="AY320" s="3">
        <f t="shared" si="144"/>
        <v>1</v>
      </c>
      <c r="AZ320" s="3">
        <f>IF(ISERROR(LEN(VLOOKUP(A320,Seqs!A:E,2,FALSE))-AL320),"-",LEN(VLOOKUP(A320,Seqs!A:E,2,FALSE))-AL320)</f>
        <v>21</v>
      </c>
      <c r="BA320" s="35">
        <f t="shared" si="145"/>
        <v>38</v>
      </c>
      <c r="BB320" s="3">
        <f t="shared" si="146"/>
        <v>20</v>
      </c>
      <c r="BC320" s="3">
        <f t="shared" si="147"/>
        <v>38</v>
      </c>
      <c r="BD320" s="3">
        <f t="shared" si="148"/>
        <v>68</v>
      </c>
      <c r="BE320" s="3">
        <f>AH320-AE320</f>
        <v>40</v>
      </c>
    </row>
    <row r="321" spans="1:57" s="3" customFormat="1" x14ac:dyDescent="0.2">
      <c r="A321" s="3" t="s">
        <v>438</v>
      </c>
      <c r="B321" s="3" t="str">
        <f>LOWER(VLOOKUP(A321,Xtal_Templ!A:B,2,FALSE))</f>
        <v>ox2r_human</v>
      </c>
      <c r="C321" s="3">
        <f>VLOOKUP($A321,'NonXtal_SegEnds_BW#'!$A:$Z,3,FALSE)+D321-50</f>
        <v>27</v>
      </c>
      <c r="D321" s="3">
        <v>46</v>
      </c>
      <c r="E321" s="3">
        <f>IF(ISERROR(VLOOKUP($A321,'NonXtal_SegEnds_BW#'!$A:$Z,4,FALSE)+VLOOKUP($A321,A:AL,4,FALSE)-50),"-",(VLOOKUP($A321,'NonXtal_SegEnds_BW#'!$A:$Z,4,FALSE)+VLOOKUP($A321,A:AL,4,FALSE)-50))</f>
        <v>56</v>
      </c>
      <c r="F321" s="3">
        <f>G321-2</f>
        <v>57</v>
      </c>
      <c r="G321" s="3">
        <v>59</v>
      </c>
      <c r="H321" s="3">
        <f t="shared" ref="H321:I325" si="169">G321+1</f>
        <v>60</v>
      </c>
      <c r="I321" s="3">
        <f t="shared" si="169"/>
        <v>61</v>
      </c>
      <c r="J321" s="3">
        <v>75</v>
      </c>
      <c r="K321" s="3">
        <f>VLOOKUP($A321,'NonXtal_SegEnds_BW#'!$A:$Z,8,FALSE)+VLOOKUP($A321,A:AL,10,FALSE)-50</f>
        <v>92</v>
      </c>
      <c r="L321" s="3" t="str">
        <f>IF(ISERROR(VLOOKUP($A321,'NonXtal_SegEnds_BW#'!$A:$Z,9,FALSE)+VLOOKUP($A321,A:AL,13,FALSE)-50),"-",(VLOOKUP($A321,'NonXtal_SegEnds_BW#'!$A:$Z,9,FALSE)+VLOOKUP($A321,A:AL,13,FALSE)-50))</f>
        <v>-</v>
      </c>
      <c r="M321" s="3" t="s">
        <v>129</v>
      </c>
      <c r="N321" s="3" t="str">
        <f>IF(ISERROR(VLOOKUP($A321,'NonXtal_SegEnds_BW#'!$A:$Z,10,FALSE)+VLOOKUP($A321,A:AL,13,FALSE)-50),"-",(VLOOKUP($A321,'NonXtal_SegEnds_BW#'!$A:$Z,10,FALSE)+VLOOKUP($A321,A:AL,13,FALSE)-50))</f>
        <v>-</v>
      </c>
      <c r="O321" s="3">
        <f>VLOOKUP($A321,'NonXtal_SegEnds_BW#'!$A:$Z,11,FALSE)+VLOOKUP($A321,A:AL,16,FALSE)-50</f>
        <v>95</v>
      </c>
      <c r="P321" s="3">
        <v>127</v>
      </c>
      <c r="Q321" s="3">
        <f>VLOOKUP($A321,'NonXtal_SegEnds_BW#'!$A:$Z,12,FALSE)+VLOOKUP($A321,A:AL,16,FALSE)-50</f>
        <v>133</v>
      </c>
      <c r="R321" s="3">
        <f>IF(ISERROR(VLOOKUP($A321,'NonXtal_SegEnds_BW#'!$A:$Z,13,FALSE)+VLOOKUP($A321,A:AL,19,FALSE)-50),"-",VLOOKUP($A321,'NonXtal_SegEnds_BW#'!$A:$Z,13,FALSE)+VLOOKUP($A321,A:AL,19,FALSE)-50)</f>
        <v>134</v>
      </c>
      <c r="S321" s="3">
        <v>134</v>
      </c>
      <c r="T321" s="3">
        <f>IF(ISERROR(VLOOKUP($A321,'NonXtal_SegEnds_BW#'!$A:$Z,14,FALSE)+VLOOKUP($A321,A:AL,19,FALSE)-50),"-",(VLOOKUP($A321,'NonXtal_SegEnds_BW#'!$A:$Z,14,FALSE)+VLOOKUP($A321,A:AL,19,FALSE)-50))</f>
        <v>141</v>
      </c>
      <c r="U321" s="3">
        <f>IF(ISERROR(VLOOKUP($A321,'NonXtal_SegEnds_BW#'!$A:$Z,15,FALSE)+VLOOKUP($A321,A:AL,22,FALSE)-50),"-",VLOOKUP($A321,'NonXtal_SegEnds_BW#'!$A:$Z,15,FALSE)+VLOOKUP($A321,A:AL,22,FALSE)-50)</f>
        <v>143</v>
      </c>
      <c r="V321" s="3">
        <v>154</v>
      </c>
      <c r="W321" s="3">
        <f>IF(ISERROR(VLOOKUP($A321,'NonXtal_SegEnds_BW#'!$A:$Z,16,FALSE)+VLOOKUP($A321,A:AL,22,FALSE)-50),"-",(VLOOKUP($A321,'NonXtal_SegEnds_BW#'!$A:$Z,16,FALSE)+VLOOKUP($A321,A:AL,22,FALSE)-50))</f>
        <v>168</v>
      </c>
      <c r="X321" s="3">
        <f>IF(ISERROR(VLOOKUP($A321,'NonXtal_SegEnds_BW#'!$A:$Z,17,FALSE)+VLOOKUP($A321,A:AL,25,FALSE)-50),"-",(VLOOKUP($A321,'NonXtal_SegEnds_BW#'!$A:$Z,17,FALSE)+VLOOKUP($A321,A:AL,25,FALSE)-50))</f>
        <v>181</v>
      </c>
      <c r="Y321" s="3">
        <v>181</v>
      </c>
      <c r="Z321" s="3">
        <f t="shared" si="167"/>
        <v>183</v>
      </c>
      <c r="AA321" s="3">
        <f>IF(ISERROR(VLOOKUP($A321,'NonXtal_SegEnds_BW#'!$A:$Z,19,FALSE)+VLOOKUP($A321,A:AL,28,FALSE)-50),"-",(VLOOKUP($A321,'NonXtal_SegEnds_BW#'!$A:$Z,19,FALSE)+VLOOKUP($A321,A:AL,28,FALSE)-50))</f>
        <v>187</v>
      </c>
      <c r="AB321" s="3">
        <v>202</v>
      </c>
      <c r="AC321" s="3">
        <f>IF(ISERROR((VLOOKUP($A321,'NonXtal_SegEnds_BW#'!$A:$Z,20,FALSE)+VLOOKUP($A321,A:AL,28,FALSE)-50)),"-",(VLOOKUP($A321,'NonXtal_SegEnds_BW#'!$A:$Z,20,FALSE)+VLOOKUP($A321,A:AL,28,FALSE)-50))</f>
        <v>226</v>
      </c>
      <c r="AD321" s="3">
        <f>IF(ISERROR(VLOOKUP($A321,'NonXtal_SegEnds_BW#'!$A:$Z,21,FALSE)+VLOOKUP($A321,A:AL,31,FALSE)-50),"-",(VLOOKUP($A321,'NonXtal_SegEnds_BW#'!$A:$Z,21,FALSE)+VLOOKUP($A321,A:AL,31,FALSE)-50))</f>
        <v>238</v>
      </c>
      <c r="AE321" s="3">
        <v>267</v>
      </c>
      <c r="AF321" s="3">
        <f>IF(ISERROR((VLOOKUP($A321,'NonXtal_SegEnds_BW#'!$A:$Z,22,FALSE)+VLOOKUP($A321,A:AL,31,FALSE)-50)),"-",(VLOOKUP($A321,'NonXtal_SegEnds_BW#'!$A:$Z,22,FALSE)+VLOOKUP($A321,A:AL,31,FALSE)-50))</f>
        <v>278</v>
      </c>
      <c r="AG321" s="3">
        <f>IF(ISERROR(VLOOKUP($A321,'NonXtal_SegEnds_BW#'!$A:$Z,23,FALSE)+VLOOKUP($A321,A:AL,34,FALSE)-50),"-",(VLOOKUP($A321,'NonXtal_SegEnds_BW#'!$A:$Z,23,FALSE)+VLOOKUP($A321,A:AL,34,FALSE)-50))</f>
        <v>283</v>
      </c>
      <c r="AH321" s="3">
        <v>301</v>
      </c>
      <c r="AI321" s="3">
        <f>IF(ISERROR((VLOOKUP($A321,'NonXtal_SegEnds_BW#'!$A:$Z,24,FALSE)+VLOOKUP($A321,A:AL,34,FALSE)-50)),"-",(VLOOKUP($A321,'NonXtal_SegEnds_BW#'!$A:$Z,24,FALSE)+VLOOKUP($A321,A:AL,34,FALSE)-50))</f>
        <v>307</v>
      </c>
      <c r="AJ321" s="3">
        <f>IF(ISERROR(VLOOKUP($A321,'NonXtal_SegEnds_BW#'!$A:$Z,25,FALSE)+VLOOKUP($A321,A:AL,37,FALSE)-50),"-",(VLOOKUP($A321,'NonXtal_SegEnds_BW#'!$A:$Z,25,FALSE)+VLOOKUP($A321,A:AL,37,FALSE)-50))</f>
        <v>308</v>
      </c>
      <c r="AK321" s="3">
        <v>311</v>
      </c>
      <c r="AL321" s="3">
        <f>IF(ISERROR((VLOOKUP($A321,'NonXtal_SegEnds_BW#'!$A:$Z,26,FALSE)+VLOOKUP($A321,A:AL,37,FALSE)-50)),"-",(VLOOKUP($A321,'NonXtal_SegEnds_BW#'!$A:$Z,26,FALSE)+VLOOKUP($A321,A:AL,37,FALSE)-50))</f>
        <v>319</v>
      </c>
      <c r="AM321" s="71" t="str">
        <f>VLOOKUP(A321,Classification!A:B,2,FALSE)</f>
        <v>A</v>
      </c>
      <c r="AN321" s="71" t="b">
        <f t="shared" si="133"/>
        <v>1</v>
      </c>
      <c r="AO321" s="3">
        <f t="shared" si="134"/>
        <v>1</v>
      </c>
      <c r="AP321" s="3">
        <f t="shared" si="135"/>
        <v>1</v>
      </c>
      <c r="AQ321" s="3" t="str">
        <f t="shared" si="136"/>
        <v>-</v>
      </c>
      <c r="AR321" s="3" t="str">
        <f t="shared" si="137"/>
        <v>-</v>
      </c>
      <c r="AS321" s="3">
        <f t="shared" si="138"/>
        <v>1</v>
      </c>
      <c r="AT321" s="3">
        <f t="shared" si="139"/>
        <v>2</v>
      </c>
      <c r="AU321" s="3">
        <f t="shared" si="140"/>
        <v>13</v>
      </c>
      <c r="AV321" s="3">
        <f t="shared" si="141"/>
        <v>4</v>
      </c>
      <c r="AW321" s="3">
        <f t="shared" si="142"/>
        <v>12</v>
      </c>
      <c r="AX321" s="3">
        <f t="shared" si="143"/>
        <v>5</v>
      </c>
      <c r="AY321" s="3">
        <f t="shared" si="144"/>
        <v>1</v>
      </c>
      <c r="AZ321" s="3">
        <f>IF(ISERROR(LEN(VLOOKUP(A321,Seqs!A:E,2,FALSE))-AL321),"-",LEN(VLOOKUP(A321,Seqs!A:E,2,FALSE))-AL321)</f>
        <v>30</v>
      </c>
      <c r="BA321" s="35">
        <f t="shared" si="145"/>
        <v>29</v>
      </c>
      <c r="BB321" s="3">
        <f t="shared" si="146"/>
        <v>20</v>
      </c>
      <c r="BC321" s="3">
        <f t="shared" si="147"/>
        <v>29</v>
      </c>
      <c r="BD321" s="3">
        <f t="shared" si="148"/>
        <v>65</v>
      </c>
    </row>
    <row r="322" spans="1:57" s="3" customFormat="1" x14ac:dyDescent="0.2">
      <c r="A322" s="3" t="s">
        <v>508</v>
      </c>
      <c r="B322" s="3" t="str">
        <f>LOWER(VLOOKUP(A322,Xtal_Templ!A:B,2,FALSE))</f>
        <v>ox2r_human</v>
      </c>
      <c r="C322" s="3">
        <f>VLOOKUP($A322,'NonXtal_SegEnds_BW#'!$A:$Z,3,FALSE)+D322-50</f>
        <v>31</v>
      </c>
      <c r="D322" s="3">
        <v>50</v>
      </c>
      <c r="E322" s="3">
        <f>IF(ISERROR(VLOOKUP($A322,'NonXtal_SegEnds_BW#'!$A:$Z,4,FALSE)+VLOOKUP($A322,A:AL,4,FALSE)-50),"-",(VLOOKUP($A322,'NonXtal_SegEnds_BW#'!$A:$Z,4,FALSE)+VLOOKUP($A322,A:AL,4,FALSE)-50))</f>
        <v>60</v>
      </c>
      <c r="F322" s="3">
        <f>G322-2</f>
        <v>61</v>
      </c>
      <c r="G322" s="3">
        <v>63</v>
      </c>
      <c r="H322" s="3">
        <f t="shared" si="169"/>
        <v>64</v>
      </c>
      <c r="I322" s="3">
        <f t="shared" si="169"/>
        <v>65</v>
      </c>
      <c r="J322" s="3">
        <v>78</v>
      </c>
      <c r="K322" s="3">
        <f>VLOOKUP($A322,'NonXtal_SegEnds_BW#'!$A:$Z,8,FALSE)+VLOOKUP($A322,A:AL,10,FALSE)-50</f>
        <v>95</v>
      </c>
      <c r="L322" s="3">
        <f>M322-1</f>
        <v>97</v>
      </c>
      <c r="M322" s="3">
        <v>98</v>
      </c>
      <c r="N322" s="3">
        <f>M322+2</f>
        <v>100</v>
      </c>
      <c r="O322" s="3">
        <f>N322+1</f>
        <v>101</v>
      </c>
      <c r="P322" s="3">
        <v>130</v>
      </c>
      <c r="Q322" s="3">
        <f>VLOOKUP($A322,'NonXtal_SegEnds_BW#'!$A:$Z,12,FALSE)+VLOOKUP($A322,A:AL,16,FALSE)-50</f>
        <v>136</v>
      </c>
      <c r="R322" s="3">
        <f>IF(ISERROR(VLOOKUP($A322,'NonXtal_SegEnds_BW#'!$A:$Z,13,FALSE)+VLOOKUP($A322,A:AL,19,FALSE)-50),"-",VLOOKUP($A322,'NonXtal_SegEnds_BW#'!$A:$Z,13,FALSE)+VLOOKUP($A322,A:AL,19,FALSE)-50)</f>
        <v>137</v>
      </c>
      <c r="S322" s="3">
        <v>137</v>
      </c>
      <c r="T322" s="3">
        <f>IF(ISERROR(VLOOKUP($A322,'NonXtal_SegEnds_BW#'!$A:$Z,14,FALSE)+VLOOKUP($A322,A:AL,19,FALSE)-50),"-",(VLOOKUP($A322,'NonXtal_SegEnds_BW#'!$A:$Z,14,FALSE)+VLOOKUP($A322,A:AL,19,FALSE)-50))</f>
        <v>143</v>
      </c>
      <c r="U322" s="3">
        <f>IF(ISERROR(VLOOKUP($A322,'NonXtal_SegEnds_BW#'!$A:$Z,15,FALSE)+VLOOKUP($A322,A:AL,22,FALSE)-50),"-",VLOOKUP($A322,'NonXtal_SegEnds_BW#'!$A:$Z,15,FALSE)+VLOOKUP($A322,A:AL,22,FALSE)-50)</f>
        <v>144</v>
      </c>
      <c r="V322" s="3">
        <v>155</v>
      </c>
      <c r="W322" s="3">
        <f>IF(ISERROR(VLOOKUP($A322,'NonXtal_SegEnds_BW#'!$A:$Z,16,FALSE)+VLOOKUP($A322,A:AL,22,FALSE)-50),"-",(VLOOKUP($A322,'NonXtal_SegEnds_BW#'!$A:$Z,16,FALSE)+VLOOKUP($A322,A:AL,22,FALSE)-50))</f>
        <v>169</v>
      </c>
      <c r="X322" s="3">
        <f>IF(ISERROR(VLOOKUP($A322,'NonXtal_SegEnds_BW#'!$A:$Z,17,FALSE)+VLOOKUP($A322,A:AL,25,FALSE)-50),"-",(VLOOKUP($A322,'NonXtal_SegEnds_BW#'!$A:$Z,17,FALSE)+VLOOKUP($A322,A:AL,25,FALSE)-50))</f>
        <v>180</v>
      </c>
      <c r="Y322" s="3">
        <v>180</v>
      </c>
      <c r="Z322" s="3">
        <f t="shared" si="167"/>
        <v>182</v>
      </c>
      <c r="AA322" s="3">
        <f>IF(ISERROR(VLOOKUP($A322,'NonXtal_SegEnds_BW#'!$A:$Z,19,FALSE)+VLOOKUP($A322,A:AL,28,FALSE)-50),"-",(VLOOKUP($A322,'NonXtal_SegEnds_BW#'!$A:$Z,19,FALSE)+VLOOKUP($A322,A:AL,28,FALSE)-50))</f>
        <v>190</v>
      </c>
      <c r="AB322" s="3">
        <v>208</v>
      </c>
      <c r="AC322" s="3">
        <f>IF(ISERROR((VLOOKUP($A322,'NonXtal_SegEnds_BW#'!$A:$Z,20,FALSE)+VLOOKUP($A322,A:AL,28,FALSE)-50)),"-",(VLOOKUP($A322,'NonXtal_SegEnds_BW#'!$A:$Z,20,FALSE)+VLOOKUP($A322,A:AL,28,FALSE)-50))</f>
        <v>231</v>
      </c>
      <c r="AD322" s="3">
        <f>IF(ISERROR(VLOOKUP($A322,'NonXtal_SegEnds_BW#'!$A:$Z,21,FALSE)+VLOOKUP($A322,A:AL,31,FALSE)-50),"-",(VLOOKUP($A322,'NonXtal_SegEnds_BW#'!$A:$Z,21,FALSE)+VLOOKUP($A322,A:AL,31,FALSE)-50))</f>
        <v>235</v>
      </c>
      <c r="AE322" s="3">
        <v>263</v>
      </c>
      <c r="AF322" s="3">
        <f>IF(ISERROR((VLOOKUP($A322,'NonXtal_SegEnds_BW#'!$A:$Z,22,FALSE)+VLOOKUP($A322,A:AL,31,FALSE)-50)),"-",(VLOOKUP($A322,'NonXtal_SegEnds_BW#'!$A:$Z,22,FALSE)+VLOOKUP($A322,A:AL,31,FALSE)-50))</f>
        <v>274</v>
      </c>
      <c r="AG322" s="3">
        <f>IF(ISERROR(VLOOKUP($A322,'NonXtal_SegEnds_BW#'!$A:$Z,23,FALSE)+VLOOKUP($A322,A:AL,34,FALSE)-50),"-",(VLOOKUP($A322,'NonXtal_SegEnds_BW#'!$A:$Z,23,FALSE)+VLOOKUP($A322,A:AL,34,FALSE)-50))</f>
        <v>280</v>
      </c>
      <c r="AH322" s="3">
        <v>302</v>
      </c>
      <c r="AI322" s="3">
        <f>IF(ISERROR((VLOOKUP($A322,'NonXtal_SegEnds_BW#'!$A:$Z,24,FALSE)+VLOOKUP($A322,A:AL,34,FALSE)-50)),"-",(VLOOKUP($A322,'NonXtal_SegEnds_BW#'!$A:$Z,24,FALSE)+VLOOKUP($A322,A:AL,34,FALSE)-50))</f>
        <v>308</v>
      </c>
      <c r="AJ322" s="3">
        <f>IF(ISERROR(VLOOKUP($A322,'NonXtal_SegEnds_BW#'!$A:$Z,25,FALSE)+VLOOKUP($A322,A:AL,37,FALSE)-50),"-",(VLOOKUP($A322,'NonXtal_SegEnds_BW#'!$A:$Z,25,FALSE)+VLOOKUP($A322,A:AL,37,FALSE)-50))</f>
        <v>309</v>
      </c>
      <c r="AK322" s="3">
        <v>312</v>
      </c>
      <c r="AL322" s="3">
        <f>IF(ISERROR((VLOOKUP($A322,'NonXtal_SegEnds_BW#'!$A:$Z,26,FALSE)+VLOOKUP($A322,A:AL,37,FALSE)-50)),"-",(VLOOKUP($A322,'NonXtal_SegEnds_BW#'!$A:$Z,26,FALSE)+VLOOKUP($A322,A:AL,37,FALSE)-50))</f>
        <v>320</v>
      </c>
      <c r="AM322" s="71" t="str">
        <f>VLOOKUP(A322,Classification!A:B,2,FALSE)</f>
        <v>A</v>
      </c>
      <c r="AN322" s="71" t="b">
        <f t="shared" ref="AN322:AN385" si="170">AND(C322&lt;E322,OR(E322&lt;F322,F322="-"),OR(F322&lt;H322,F322="-"),OR(H322&lt;I322,H322="-"),I322&lt;K322,OR(K322&lt;L322,L322="-"),OR(L322&lt;N322,L322="-"),OR(N322&lt;O322,N322="-"),O322&lt;Q322,OR(Q322&lt;R322,R322="-"),OR(R322&lt;T322,R322="-"),OR(T322&lt;U322,T322="-"),U322&lt;W322,OR(W322&lt;X322,X322="-"),OR(X322&lt;Z322,X322="-"),OR(Z322&lt;AA322,Z322="-"),AA322&lt;AC322,AC322&lt;AD322,AD322&lt;AF322,AF322&lt;AG322,AG322&lt;AI322,OR(AI322&lt;AJ322,AJ322="-"),OR(AJ322&lt;AL322,AJ322="-"))</f>
        <v>1</v>
      </c>
      <c r="AO322" s="3">
        <f t="shared" ref="AO322:AO385" si="171">IF(ISERROR(F322-E322),"-",F322-E322)</f>
        <v>1</v>
      </c>
      <c r="AP322" s="3">
        <f t="shared" ref="AP322:AP385" si="172">IF(ISERROR(I322-H322),"-",I322-H322)</f>
        <v>1</v>
      </c>
      <c r="AQ322" s="3">
        <f t="shared" ref="AQ322:AQ385" si="173">IF(ISERROR(L322-K322),"-",L322-K322)</f>
        <v>2</v>
      </c>
      <c r="AR322" s="3">
        <f t="shared" ref="AR322:AR385" si="174">IF(ISERROR(O322-N322),"-",O322-N322)</f>
        <v>1</v>
      </c>
      <c r="AS322" s="3">
        <f t="shared" ref="AS322:AS385" si="175">IF(ISERROR(R322-Q322),"-",R322-Q322)</f>
        <v>1</v>
      </c>
      <c r="AT322" s="3">
        <f t="shared" ref="AT322:AT385" si="176">IF(ISERROR(U322-T322),"-",U322-T322)</f>
        <v>1</v>
      </c>
      <c r="AU322" s="3">
        <f t="shared" ref="AU322:AU385" si="177">IF(ISERROR(X322-W322),"-",X322-W322)</f>
        <v>11</v>
      </c>
      <c r="AV322" s="3">
        <f t="shared" ref="AV322:AV385" si="178">IF(ISERROR(AA322-Z322),"-",AA322-Z322)</f>
        <v>8</v>
      </c>
      <c r="AW322" s="3">
        <f t="shared" ref="AW322:AW385" si="179">IF(ISERROR(AD322-AC322),"-",AD322-AC322)</f>
        <v>4</v>
      </c>
      <c r="AX322" s="3">
        <f t="shared" ref="AX322:AX385" si="180">IF(ISERROR(AG322-AF322),"-",AG322-AF322)</f>
        <v>6</v>
      </c>
      <c r="AY322" s="3">
        <f t="shared" ref="AY322:AY385" si="181">IF(ISERROR(AJ322-AI322),"-",AJ322-AI322)</f>
        <v>1</v>
      </c>
      <c r="AZ322" s="3">
        <f>IF(ISERROR(LEN(VLOOKUP(A322,Seqs!A:E,2,FALSE))-AL322),"-",LEN(VLOOKUP(A322,Seqs!A:E,2,FALSE))-AL322)</f>
        <v>87</v>
      </c>
      <c r="BA322" s="35">
        <f t="shared" ref="BA322:BA385" si="182">J322-D322</f>
        <v>28</v>
      </c>
      <c r="BB322" s="3">
        <f t="shared" ref="BB322:BB385" si="183">IF(ISERROR(V322-S322),"-",V322-S322)</f>
        <v>18</v>
      </c>
      <c r="BC322" s="3">
        <f t="shared" ref="BC322:BC385" si="184">J322-D322</f>
        <v>28</v>
      </c>
      <c r="BD322" s="3">
        <f t="shared" ref="BD322:BD385" si="185">AE322-AB322</f>
        <v>55</v>
      </c>
    </row>
    <row r="323" spans="1:57" s="3" customFormat="1" x14ac:dyDescent="0.2">
      <c r="A323" s="3" t="s">
        <v>507</v>
      </c>
      <c r="B323" s="3" t="str">
        <f>LOWER(VLOOKUP(A323,Xtal_Templ!A:B,2,FALSE))</f>
        <v>ox2r_human</v>
      </c>
      <c r="C323" s="3">
        <f>VLOOKUP($A323,'NonXtal_SegEnds_BW#'!$A:$Z,3,FALSE)+D323-50</f>
        <v>27</v>
      </c>
      <c r="D323" s="3">
        <v>46</v>
      </c>
      <c r="E323" s="3">
        <f>IF(ISERROR(VLOOKUP($A323,'NonXtal_SegEnds_BW#'!$A:$Z,4,FALSE)+VLOOKUP($A323,A:AL,4,FALSE)-50),"-",(VLOOKUP($A323,'NonXtal_SegEnds_BW#'!$A:$Z,4,FALSE)+VLOOKUP($A323,A:AL,4,FALSE)-50))</f>
        <v>56</v>
      </c>
      <c r="F323" s="3">
        <f>G323-2</f>
        <v>57</v>
      </c>
      <c r="G323" s="3">
        <v>59</v>
      </c>
      <c r="H323" s="3">
        <f t="shared" si="169"/>
        <v>60</v>
      </c>
      <c r="I323" s="3">
        <f t="shared" si="169"/>
        <v>61</v>
      </c>
      <c r="J323" s="3">
        <v>74</v>
      </c>
      <c r="K323" s="3">
        <f>VLOOKUP($A323,'NonXtal_SegEnds_BW#'!$A:$Z,8,FALSE)+VLOOKUP($A323,A:AL,10,FALSE)-50</f>
        <v>91</v>
      </c>
      <c r="L323" s="3">
        <f>M323-1</f>
        <v>93</v>
      </c>
      <c r="M323" s="3">
        <v>94</v>
      </c>
      <c r="N323" s="3">
        <f>M323+2</f>
        <v>96</v>
      </c>
      <c r="O323" s="3">
        <f>N323+1</f>
        <v>97</v>
      </c>
      <c r="P323" s="3">
        <v>126</v>
      </c>
      <c r="Q323" s="3">
        <f>VLOOKUP($A323,'NonXtal_SegEnds_BW#'!$A:$Z,12,FALSE)+VLOOKUP($A323,A:AL,16,FALSE)-50</f>
        <v>132</v>
      </c>
      <c r="R323" s="3">
        <f>IF(ISERROR(VLOOKUP($A323,'NonXtal_SegEnds_BW#'!$A:$Z,13,FALSE)+VLOOKUP($A323,A:AL,19,FALSE)-50),"-",VLOOKUP($A323,'NonXtal_SegEnds_BW#'!$A:$Z,13,FALSE)+VLOOKUP($A323,A:AL,19,FALSE)-50)</f>
        <v>133</v>
      </c>
      <c r="S323" s="3">
        <v>133</v>
      </c>
      <c r="T323" s="3">
        <f>IF(ISERROR(VLOOKUP($A323,'NonXtal_SegEnds_BW#'!$A:$Z,14,FALSE)+VLOOKUP($A323,A:AL,19,FALSE)-50),"-",(VLOOKUP($A323,'NonXtal_SegEnds_BW#'!$A:$Z,14,FALSE)+VLOOKUP($A323,A:AL,19,FALSE)-50))</f>
        <v>140</v>
      </c>
      <c r="U323" s="3">
        <f>IF(ISERROR(VLOOKUP($A323,'NonXtal_SegEnds_BW#'!$A:$Z,15,FALSE)+VLOOKUP($A323,A:AL,22,FALSE)-50),"-",VLOOKUP($A323,'NonXtal_SegEnds_BW#'!$A:$Z,15,FALSE)+VLOOKUP($A323,A:AL,22,FALSE)-50)</f>
        <v>142</v>
      </c>
      <c r="V323" s="3">
        <v>153</v>
      </c>
      <c r="W323" s="3">
        <f>IF(ISERROR(VLOOKUP($A323,'NonXtal_SegEnds_BW#'!$A:$Z,16,FALSE)+VLOOKUP($A323,A:AL,22,FALSE)-50),"-",(VLOOKUP($A323,'NonXtal_SegEnds_BW#'!$A:$Z,16,FALSE)+VLOOKUP($A323,A:AL,22,FALSE)-50))</f>
        <v>167</v>
      </c>
      <c r="X323" s="3">
        <f>IF(ISERROR(VLOOKUP($A323,'NonXtal_SegEnds_BW#'!$A:$Z,17,FALSE)+VLOOKUP($A323,A:AL,25,FALSE)-50),"-",(VLOOKUP($A323,'NonXtal_SegEnds_BW#'!$A:$Z,17,FALSE)+VLOOKUP($A323,A:AL,25,FALSE)-50))</f>
        <v>178</v>
      </c>
      <c r="Y323" s="3">
        <v>178</v>
      </c>
      <c r="Z323" s="3">
        <f t="shared" si="167"/>
        <v>180</v>
      </c>
      <c r="AA323" s="3">
        <f>IF(ISERROR(VLOOKUP($A323,'NonXtal_SegEnds_BW#'!$A:$Z,19,FALSE)+VLOOKUP($A323,A:AL,28,FALSE)-50),"-",(VLOOKUP($A323,'NonXtal_SegEnds_BW#'!$A:$Z,19,FALSE)+VLOOKUP($A323,A:AL,28,FALSE)-50))</f>
        <v>185</v>
      </c>
      <c r="AB323" s="3">
        <v>200</v>
      </c>
      <c r="AC323" s="3">
        <f>IF(ISERROR((VLOOKUP($A323,'NonXtal_SegEnds_BW#'!$A:$Z,20,FALSE)+VLOOKUP($A323,A:AL,28,FALSE)-50)),"-",(VLOOKUP($A323,'NonXtal_SegEnds_BW#'!$A:$Z,20,FALSE)+VLOOKUP($A323,A:AL,28,FALSE)-50))</f>
        <v>222</v>
      </c>
      <c r="AD323" s="3">
        <f>IF(ISERROR(VLOOKUP($A323,'NonXtal_SegEnds_BW#'!$A:$Z,21,FALSE)+VLOOKUP($A323,A:AL,31,FALSE)-50),"-",(VLOOKUP($A323,'NonXtal_SegEnds_BW#'!$A:$Z,21,FALSE)+VLOOKUP($A323,A:AL,31,FALSE)-50))</f>
        <v>226</v>
      </c>
      <c r="AE323" s="3">
        <v>252</v>
      </c>
      <c r="AF323" s="3">
        <f>IF(ISERROR((VLOOKUP($A323,'NonXtal_SegEnds_BW#'!$A:$Z,22,FALSE)+VLOOKUP($A323,A:AL,31,FALSE)-50)),"-",(VLOOKUP($A323,'NonXtal_SegEnds_BW#'!$A:$Z,22,FALSE)+VLOOKUP($A323,A:AL,31,FALSE)-50))</f>
        <v>263</v>
      </c>
      <c r="AG323" s="3">
        <f>IF(ISERROR(VLOOKUP($A323,'NonXtal_SegEnds_BW#'!$A:$Z,23,FALSE)+VLOOKUP($A323,A:AL,34,FALSE)-50),"-",(VLOOKUP($A323,'NonXtal_SegEnds_BW#'!$A:$Z,23,FALSE)+VLOOKUP($A323,A:AL,34,FALSE)-50))</f>
        <v>269</v>
      </c>
      <c r="AH323" s="3">
        <v>291</v>
      </c>
      <c r="AI323" s="3">
        <f>IF(ISERROR((VLOOKUP($A323,'NonXtal_SegEnds_BW#'!$A:$Z,24,FALSE)+VLOOKUP($A323,A:AL,34,FALSE)-50)),"-",(VLOOKUP($A323,'NonXtal_SegEnds_BW#'!$A:$Z,24,FALSE)+VLOOKUP($A323,A:AL,34,FALSE)-50))</f>
        <v>297</v>
      </c>
      <c r="AJ323" s="3">
        <f>IF(ISERROR(VLOOKUP($A323,'NonXtal_SegEnds_BW#'!$A:$Z,25,FALSE)+VLOOKUP($A323,A:AL,37,FALSE)-50),"-",(VLOOKUP($A323,'NonXtal_SegEnds_BW#'!$A:$Z,25,FALSE)+VLOOKUP($A323,A:AL,37,FALSE)-50))</f>
        <v>298</v>
      </c>
      <c r="AK323" s="3">
        <v>301</v>
      </c>
      <c r="AL323" s="3">
        <f>IF(ISERROR((VLOOKUP($A323,'NonXtal_SegEnds_BW#'!$A:$Z,26,FALSE)+VLOOKUP($A323,A:AL,37,FALSE)-50)),"-",(VLOOKUP($A323,'NonXtal_SegEnds_BW#'!$A:$Z,26,FALSE)+VLOOKUP($A323,A:AL,37,FALSE)-50))</f>
        <v>309</v>
      </c>
      <c r="AM323" s="71" t="str">
        <f>VLOOKUP(A323,Classification!A:B,2,FALSE)</f>
        <v>A</v>
      </c>
      <c r="AN323" s="71" t="b">
        <f t="shared" si="170"/>
        <v>1</v>
      </c>
      <c r="AO323" s="3">
        <f t="shared" si="171"/>
        <v>1</v>
      </c>
      <c r="AP323" s="3">
        <f t="shared" si="172"/>
        <v>1</v>
      </c>
      <c r="AQ323" s="3">
        <f t="shared" si="173"/>
        <v>2</v>
      </c>
      <c r="AR323" s="3">
        <f t="shared" si="174"/>
        <v>1</v>
      </c>
      <c r="AS323" s="3">
        <f t="shared" si="175"/>
        <v>1</v>
      </c>
      <c r="AT323" s="3">
        <f t="shared" si="176"/>
        <v>2</v>
      </c>
      <c r="AU323" s="3">
        <f t="shared" si="177"/>
        <v>11</v>
      </c>
      <c r="AV323" s="3">
        <f t="shared" si="178"/>
        <v>5</v>
      </c>
      <c r="AW323" s="3">
        <f t="shared" si="179"/>
        <v>4</v>
      </c>
      <c r="AX323" s="3">
        <f t="shared" si="180"/>
        <v>6</v>
      </c>
      <c r="AY323" s="3">
        <f t="shared" si="181"/>
        <v>1</v>
      </c>
      <c r="AZ323" s="3">
        <f>IF(ISERROR(LEN(VLOOKUP(A323,Seqs!A:E,2,FALSE))-AL323),"-",LEN(VLOOKUP(A323,Seqs!A:E,2,FALSE))-AL323)</f>
        <v>308</v>
      </c>
      <c r="BA323" s="35">
        <f t="shared" si="182"/>
        <v>28</v>
      </c>
      <c r="BB323" s="3">
        <f t="shared" si="183"/>
        <v>20</v>
      </c>
      <c r="BC323" s="3">
        <f t="shared" si="184"/>
        <v>28</v>
      </c>
      <c r="BD323" s="3">
        <f t="shared" si="185"/>
        <v>52</v>
      </c>
    </row>
    <row r="324" spans="1:57" s="3" customFormat="1" x14ac:dyDescent="0.2">
      <c r="A324" s="3" t="s">
        <v>419</v>
      </c>
      <c r="B324" s="3" t="str">
        <f>LOWER(VLOOKUP(A324,Xtal_Templ!A:B,2,FALSE))</f>
        <v>ox2r_human</v>
      </c>
      <c r="C324" s="3">
        <f>VLOOKUP($A324,'NonXtal_SegEnds_BW#'!$A:$Z,3,FALSE)+D324-50</f>
        <v>6</v>
      </c>
      <c r="D324" s="3">
        <v>25</v>
      </c>
      <c r="E324" s="3">
        <f>IF(ISERROR(VLOOKUP($A324,'NonXtal_SegEnds_BW#'!$A:$Z,4,FALSE)+VLOOKUP($A324,A:AL,4,FALSE)-50),"-",(VLOOKUP($A324,'NonXtal_SegEnds_BW#'!$A:$Z,4,FALSE)+VLOOKUP($A324,A:AL,4,FALSE)-50))</f>
        <v>35</v>
      </c>
      <c r="F324" s="3">
        <f>G324-2</f>
        <v>36</v>
      </c>
      <c r="G324" s="3">
        <v>38</v>
      </c>
      <c r="H324" s="3">
        <f t="shared" si="169"/>
        <v>39</v>
      </c>
      <c r="I324" s="3">
        <f t="shared" si="169"/>
        <v>40</v>
      </c>
      <c r="J324" s="3">
        <v>53</v>
      </c>
      <c r="K324" s="3">
        <f>VLOOKUP($A324,'NonXtal_SegEnds_BW#'!$A:$Z,8,FALSE)+VLOOKUP($A324,A:AL,10,FALSE)-50</f>
        <v>70</v>
      </c>
      <c r="L324" s="3">
        <f>M324-1</f>
        <v>75</v>
      </c>
      <c r="M324" s="3">
        <v>76</v>
      </c>
      <c r="N324" s="3">
        <f>M324+2</f>
        <v>78</v>
      </c>
      <c r="O324" s="3">
        <f>N324+1</f>
        <v>79</v>
      </c>
      <c r="P324" s="3">
        <v>108</v>
      </c>
      <c r="Q324" s="3">
        <f>VLOOKUP($A324,'NonXtal_SegEnds_BW#'!$A:$Z,12,FALSE)+VLOOKUP($A324,A:AL,16,FALSE)-50</f>
        <v>114</v>
      </c>
      <c r="R324" s="3">
        <f>IF(ISERROR(VLOOKUP($A324,'NonXtal_SegEnds_BW#'!$A:$Z,13,FALSE)+VLOOKUP($A324,A:AL,19,FALSE)-50),"-",VLOOKUP($A324,'NonXtal_SegEnds_BW#'!$A:$Z,13,FALSE)+VLOOKUP($A324,A:AL,19,FALSE)-50)</f>
        <v>115</v>
      </c>
      <c r="S324" s="3">
        <v>115</v>
      </c>
      <c r="T324" s="3">
        <f>IF(ISERROR(VLOOKUP($A324,'NonXtal_SegEnds_BW#'!$A:$Z,14,FALSE)+VLOOKUP($A324,A:AL,19,FALSE)-50),"-",(VLOOKUP($A324,'NonXtal_SegEnds_BW#'!$A:$Z,14,FALSE)+VLOOKUP($A324,A:AL,19,FALSE)-50))</f>
        <v>122</v>
      </c>
      <c r="U324" s="3">
        <f>IF(ISERROR(VLOOKUP($A324,'NonXtal_SegEnds_BW#'!$A:$Z,15,FALSE)+VLOOKUP($A324,A:AL,22,FALSE)-50),"-",VLOOKUP($A324,'NonXtal_SegEnds_BW#'!$A:$Z,15,FALSE)+VLOOKUP($A324,A:AL,22,FALSE)-50)</f>
        <v>124</v>
      </c>
      <c r="V324" s="3">
        <v>135</v>
      </c>
      <c r="W324" s="3">
        <f>IF(ISERROR(VLOOKUP($A324,'NonXtal_SegEnds_BW#'!$A:$Z,16,FALSE)+VLOOKUP($A324,A:AL,22,FALSE)-50),"-",(VLOOKUP($A324,'NonXtal_SegEnds_BW#'!$A:$Z,16,FALSE)+VLOOKUP($A324,A:AL,22,FALSE)-50))</f>
        <v>148</v>
      </c>
      <c r="X324" s="3">
        <f>IF(ISERROR(VLOOKUP($A324,'NonXtal_SegEnds_BW#'!$A:$Z,17,FALSE)+VLOOKUP($A324,A:AL,25,FALSE)-50),"-",(VLOOKUP($A324,'NonXtal_SegEnds_BW#'!$A:$Z,17,FALSE)+VLOOKUP($A324,A:AL,25,FALSE)-50))</f>
        <v>161</v>
      </c>
      <c r="Y324" s="3">
        <v>161</v>
      </c>
      <c r="Z324" s="3">
        <f t="shared" si="167"/>
        <v>163</v>
      </c>
      <c r="AA324" s="3">
        <f>IF(ISERROR(VLOOKUP($A324,'NonXtal_SegEnds_BW#'!$A:$Z,19,FALSE)+VLOOKUP($A324,A:AL,28,FALSE)-50),"-",(VLOOKUP($A324,'NonXtal_SegEnds_BW#'!$A:$Z,19,FALSE)+VLOOKUP($A324,A:AL,28,FALSE)-50))</f>
        <v>169</v>
      </c>
      <c r="AB324" s="3">
        <v>184</v>
      </c>
      <c r="AC324" s="3">
        <f>IF(ISERROR((VLOOKUP($A324,'NonXtal_SegEnds_BW#'!$A:$Z,20,FALSE)+VLOOKUP($A324,A:AL,28,FALSE)-50)),"-",(VLOOKUP($A324,'NonXtal_SegEnds_BW#'!$A:$Z,20,FALSE)+VLOOKUP($A324,A:AL,28,FALSE)-50))</f>
        <v>210</v>
      </c>
      <c r="AD324" s="3">
        <f>IF(ISERROR(VLOOKUP($A324,'NonXtal_SegEnds_BW#'!$A:$Z,21,FALSE)+VLOOKUP($A324,A:AL,31,FALSE)-50),"-",(VLOOKUP($A324,'NonXtal_SegEnds_BW#'!$A:$Z,21,FALSE)+VLOOKUP($A324,A:AL,31,FALSE)-50))</f>
        <v>234</v>
      </c>
      <c r="AE324" s="3">
        <v>260</v>
      </c>
      <c r="AF324" s="3">
        <f>IF(ISERROR((VLOOKUP($A324,'NonXtal_SegEnds_BW#'!$A:$Z,22,FALSE)+VLOOKUP($A324,A:AL,31,FALSE)-50)),"-",(VLOOKUP($A324,'NonXtal_SegEnds_BW#'!$A:$Z,22,FALSE)+VLOOKUP($A324,A:AL,31,FALSE)-50))</f>
        <v>271</v>
      </c>
      <c r="AG324" s="3">
        <f>IF(ISERROR(VLOOKUP($A324,'NonXtal_SegEnds_BW#'!$A:$Z,23,FALSE)+VLOOKUP($A324,A:AL,34,FALSE)-50),"-",(VLOOKUP($A324,'NonXtal_SegEnds_BW#'!$A:$Z,23,FALSE)+VLOOKUP($A324,A:AL,34,FALSE)-50))</f>
        <v>276</v>
      </c>
      <c r="AH324" s="3">
        <v>294</v>
      </c>
      <c r="AI324" s="3">
        <v>299</v>
      </c>
      <c r="AJ324" s="3">
        <f>IF(ISERROR(VLOOKUP($A324,'NonXtal_SegEnds_BW#'!$A:$Z,25,FALSE)+VLOOKUP($A324,A:AL,37,FALSE)-50),"-",(VLOOKUP($A324,'NonXtal_SegEnds_BW#'!$A:$Z,25,FALSE)+VLOOKUP($A324,A:AL,37,FALSE)-50))</f>
        <v>300</v>
      </c>
      <c r="AK324" s="3">
        <v>303</v>
      </c>
      <c r="AL324" s="3">
        <f>IF(ISERROR((VLOOKUP($A324,'NonXtal_SegEnds_BW#'!$A:$Z,26,FALSE)+VLOOKUP($A324,A:AL,37,FALSE)-50)),"-",(VLOOKUP($A324,'NonXtal_SegEnds_BW#'!$A:$Z,26,FALSE)+VLOOKUP($A324,A:AL,37,FALSE)-50))</f>
        <v>311</v>
      </c>
      <c r="AM324" s="71" t="str">
        <f>VLOOKUP(A324,Classification!A:B,2,FALSE)</f>
        <v>A</v>
      </c>
      <c r="AN324" s="71" t="b">
        <f t="shared" si="170"/>
        <v>1</v>
      </c>
      <c r="AO324" s="3">
        <f t="shared" si="171"/>
        <v>1</v>
      </c>
      <c r="AP324" s="3">
        <f t="shared" si="172"/>
        <v>1</v>
      </c>
      <c r="AQ324" s="3">
        <f t="shared" si="173"/>
        <v>5</v>
      </c>
      <c r="AR324" s="3">
        <f t="shared" si="174"/>
        <v>1</v>
      </c>
      <c r="AS324" s="3">
        <f t="shared" si="175"/>
        <v>1</v>
      </c>
      <c r="AT324" s="3">
        <f t="shared" si="176"/>
        <v>2</v>
      </c>
      <c r="AU324" s="3">
        <f t="shared" si="177"/>
        <v>13</v>
      </c>
      <c r="AV324" s="3">
        <f t="shared" si="178"/>
        <v>6</v>
      </c>
      <c r="AW324" s="3">
        <f t="shared" si="179"/>
        <v>24</v>
      </c>
      <c r="AX324" s="3">
        <f t="shared" si="180"/>
        <v>5</v>
      </c>
      <c r="AY324" s="3">
        <f t="shared" si="181"/>
        <v>1</v>
      </c>
      <c r="AZ324" s="3">
        <f>IF(ISERROR(LEN(VLOOKUP(A324,Seqs!A:E,2,FALSE))-AL324),"-",LEN(VLOOKUP(A324,Seqs!A:E,2,FALSE))-AL324)</f>
        <v>298</v>
      </c>
      <c r="BA324" s="35">
        <f t="shared" si="182"/>
        <v>28</v>
      </c>
      <c r="BB324" s="3">
        <f t="shared" si="183"/>
        <v>20</v>
      </c>
      <c r="BC324" s="3">
        <f t="shared" si="184"/>
        <v>28</v>
      </c>
      <c r="BD324" s="3">
        <f t="shared" si="185"/>
        <v>76</v>
      </c>
    </row>
    <row r="325" spans="1:57" s="3" customFormat="1" x14ac:dyDescent="0.2">
      <c r="A325" s="3" t="s">
        <v>441</v>
      </c>
      <c r="B325" s="3" t="str">
        <f>LOWER(VLOOKUP(A325,Xtal_Templ!A:B,2,FALSE))</f>
        <v>ox2r_human</v>
      </c>
      <c r="C325" s="3">
        <f>VLOOKUP($A325,'NonXtal_SegEnds_BW#'!$A:$Z,3,FALSE)+D325-50</f>
        <v>4</v>
      </c>
      <c r="D325" s="3">
        <v>23</v>
      </c>
      <c r="E325" s="3">
        <f>IF(ISERROR(VLOOKUP($A325,'NonXtal_SegEnds_BW#'!$A:$Z,4,FALSE)+VLOOKUP($A325,A:AL,4,FALSE)-50),"-",(VLOOKUP($A325,'NonXtal_SegEnds_BW#'!$A:$Z,4,FALSE)+VLOOKUP($A325,A:AL,4,FALSE)-50))</f>
        <v>33</v>
      </c>
      <c r="F325" s="3">
        <f>G325-2</f>
        <v>34</v>
      </c>
      <c r="G325" s="3">
        <v>36</v>
      </c>
      <c r="H325" s="3">
        <f t="shared" si="169"/>
        <v>37</v>
      </c>
      <c r="I325" s="3">
        <f t="shared" si="169"/>
        <v>38</v>
      </c>
      <c r="J325" s="3">
        <v>52</v>
      </c>
      <c r="K325" s="3">
        <f>VLOOKUP($A325,'NonXtal_SegEnds_BW#'!$A:$Z,8,FALSE)+VLOOKUP($A325,A:AL,10,FALSE)-50</f>
        <v>69</v>
      </c>
      <c r="L325" s="3" t="str">
        <f>IF(ISERROR(VLOOKUP($A325,'NonXtal_SegEnds_BW#'!$A:$Z,9,FALSE)+VLOOKUP($A325,A:AL,13,FALSE)-50),"-",(VLOOKUP($A325,'NonXtal_SegEnds_BW#'!$A:$Z,9,FALSE)+VLOOKUP($A325,A:AL,13,FALSE)-50))</f>
        <v>-</v>
      </c>
      <c r="M325" s="3" t="s">
        <v>129</v>
      </c>
      <c r="N325" s="3" t="str">
        <f>IF(ISERROR(VLOOKUP($A325,'NonXtal_SegEnds_BW#'!$A:$Z,10,FALSE)+VLOOKUP($A325,A:AL,13,FALSE)-50),"-",(VLOOKUP($A325,'NonXtal_SegEnds_BW#'!$A:$Z,10,FALSE)+VLOOKUP($A325,A:AL,13,FALSE)-50))</f>
        <v>-</v>
      </c>
      <c r="O325" s="3">
        <f>VLOOKUP($A325,'NonXtal_SegEnds_BW#'!$A:$Z,11,FALSE)+VLOOKUP($A325,A:AL,16,FALSE)-50</f>
        <v>72</v>
      </c>
      <c r="P325" s="3">
        <v>104</v>
      </c>
      <c r="Q325" s="3">
        <f>VLOOKUP($A325,'NonXtal_SegEnds_BW#'!$A:$Z,12,FALSE)+VLOOKUP($A325,A:AL,16,FALSE)-50</f>
        <v>110</v>
      </c>
      <c r="R325" s="3">
        <f>IF(ISERROR(VLOOKUP($A325,'NonXtal_SegEnds_BW#'!$A:$Z,13,FALSE)+VLOOKUP($A325,A:AL,19,FALSE)-50),"-",VLOOKUP($A325,'NonXtal_SegEnds_BW#'!$A:$Z,13,FALSE)+VLOOKUP($A325,A:AL,19,FALSE)-50)</f>
        <v>111</v>
      </c>
      <c r="S325" s="3">
        <v>111</v>
      </c>
      <c r="T325" s="3">
        <f>IF(ISERROR(VLOOKUP($A325,'NonXtal_SegEnds_BW#'!$A:$Z,14,FALSE)+VLOOKUP($A325,A:AL,19,FALSE)-50),"-",(VLOOKUP($A325,'NonXtal_SegEnds_BW#'!$A:$Z,14,FALSE)+VLOOKUP($A325,A:AL,19,FALSE)-50))</f>
        <v>118</v>
      </c>
      <c r="U325" s="3">
        <f>IF(ISERROR(VLOOKUP($A325,'NonXtal_SegEnds_BW#'!$A:$Z,15,FALSE)+VLOOKUP($A325,A:AL,22,FALSE)-50),"-",VLOOKUP($A325,'NonXtal_SegEnds_BW#'!$A:$Z,15,FALSE)+VLOOKUP($A325,A:AL,22,FALSE)-50)</f>
        <v>120</v>
      </c>
      <c r="V325" s="3">
        <v>131</v>
      </c>
      <c r="W325" s="3">
        <f>IF(ISERROR(VLOOKUP($A325,'NonXtal_SegEnds_BW#'!$A:$Z,16,FALSE)+VLOOKUP($A325,A:AL,22,FALSE)-50),"-",(VLOOKUP($A325,'NonXtal_SegEnds_BW#'!$A:$Z,16,FALSE)+VLOOKUP($A325,A:AL,22,FALSE)-50))</f>
        <v>145</v>
      </c>
      <c r="X325" s="3">
        <f>IF(ISERROR(VLOOKUP($A325,'NonXtal_SegEnds_BW#'!$A:$Z,17,FALSE)+VLOOKUP($A325,A:AL,25,FALSE)-50),"-",(VLOOKUP($A325,'NonXtal_SegEnds_BW#'!$A:$Z,17,FALSE)+VLOOKUP($A325,A:AL,25,FALSE)-50))</f>
        <v>159</v>
      </c>
      <c r="Y325" s="3">
        <v>159</v>
      </c>
      <c r="Z325" s="3">
        <f t="shared" si="167"/>
        <v>161</v>
      </c>
      <c r="AA325" s="3">
        <f>IF(ISERROR(VLOOKUP($A325,'NonXtal_SegEnds_BW#'!$A:$Z,19,FALSE)+VLOOKUP($A325,A:AL,28,FALSE)-50),"-",(VLOOKUP($A325,'NonXtal_SegEnds_BW#'!$A:$Z,19,FALSE)+VLOOKUP($A325,A:AL,28,FALSE)-50))</f>
        <v>169</v>
      </c>
      <c r="AB325" s="3">
        <v>184</v>
      </c>
      <c r="AC325" s="3">
        <f>IF(ISERROR((VLOOKUP($A325,'NonXtal_SegEnds_BW#'!$A:$Z,20,FALSE)+VLOOKUP($A325,A:AL,28,FALSE)-50)),"-",(VLOOKUP($A325,'NonXtal_SegEnds_BW#'!$A:$Z,20,FALSE)+VLOOKUP($A325,A:AL,28,FALSE)-50))</f>
        <v>210</v>
      </c>
      <c r="AD325" s="3">
        <f>IF(ISERROR(VLOOKUP($A325,'NonXtal_SegEnds_BW#'!$A:$Z,21,FALSE)+VLOOKUP($A325,A:AL,31,FALSE)-50),"-",(VLOOKUP($A325,'NonXtal_SegEnds_BW#'!$A:$Z,21,FALSE)+VLOOKUP($A325,A:AL,31,FALSE)-50))</f>
        <v>230</v>
      </c>
      <c r="AE325" s="3">
        <v>256</v>
      </c>
      <c r="AF325" s="3">
        <f>IF(ISERROR((VLOOKUP($A325,'NonXtal_SegEnds_BW#'!$A:$Z,22,FALSE)+VLOOKUP($A325,A:AL,31,FALSE)-50)),"-",(VLOOKUP($A325,'NonXtal_SegEnds_BW#'!$A:$Z,22,FALSE)+VLOOKUP($A325,A:AL,31,FALSE)-50))</f>
        <v>267</v>
      </c>
      <c r="AG325" s="3">
        <f>IF(ISERROR(VLOOKUP($A325,'NonXtal_SegEnds_BW#'!$A:$Z,23,FALSE)+VLOOKUP($A325,A:AL,34,FALSE)-50),"-",(VLOOKUP($A325,'NonXtal_SegEnds_BW#'!$A:$Z,23,FALSE)+VLOOKUP($A325,A:AL,34,FALSE)-50))</f>
        <v>272</v>
      </c>
      <c r="AH325" s="3">
        <v>291</v>
      </c>
      <c r="AI325" s="3">
        <f>IF(ISERROR((VLOOKUP($A325,'NonXtal_SegEnds_BW#'!$A:$Z,24,FALSE)+VLOOKUP($A325,A:AL,34,FALSE)-50)),"-",(VLOOKUP($A325,'NonXtal_SegEnds_BW#'!$A:$Z,24,FALSE)+VLOOKUP($A325,A:AL,34,FALSE)-50))</f>
        <v>297</v>
      </c>
      <c r="AJ325" s="3">
        <f>IF(ISERROR(VLOOKUP($A325,'NonXtal_SegEnds_BW#'!$A:$Z,25,FALSE)+VLOOKUP($A325,A:AL,37,FALSE)-50),"-",(VLOOKUP($A325,'NonXtal_SegEnds_BW#'!$A:$Z,25,FALSE)+VLOOKUP($A325,A:AL,37,FALSE)-50))</f>
        <v>298</v>
      </c>
      <c r="AK325" s="3">
        <v>301</v>
      </c>
      <c r="AL325" s="3">
        <f>IF(ISERROR((VLOOKUP($A325,'NonXtal_SegEnds_BW#'!$A:$Z,26,FALSE)+VLOOKUP($A325,A:AL,37,FALSE)-50)),"-",(VLOOKUP($A325,'NonXtal_SegEnds_BW#'!$A:$Z,26,FALSE)+VLOOKUP($A325,A:AL,37,FALSE)-50))</f>
        <v>309</v>
      </c>
      <c r="AM325" s="71" t="str">
        <f>VLOOKUP(A325,Classification!A:B,2,FALSE)</f>
        <v>A</v>
      </c>
      <c r="AN325" s="71" t="b">
        <f t="shared" si="170"/>
        <v>1</v>
      </c>
      <c r="AO325" s="3">
        <f t="shared" si="171"/>
        <v>1</v>
      </c>
      <c r="AP325" s="3">
        <f t="shared" si="172"/>
        <v>1</v>
      </c>
      <c r="AQ325" s="3" t="str">
        <f t="shared" si="173"/>
        <v>-</v>
      </c>
      <c r="AR325" s="3" t="str">
        <f t="shared" si="174"/>
        <v>-</v>
      </c>
      <c r="AS325" s="3">
        <f t="shared" si="175"/>
        <v>1</v>
      </c>
      <c r="AT325" s="3">
        <f t="shared" si="176"/>
        <v>2</v>
      </c>
      <c r="AU325" s="3">
        <f t="shared" si="177"/>
        <v>14</v>
      </c>
      <c r="AV325" s="3">
        <f t="shared" si="178"/>
        <v>8</v>
      </c>
      <c r="AW325" s="3">
        <f t="shared" si="179"/>
        <v>20</v>
      </c>
      <c r="AX325" s="3">
        <f t="shared" si="180"/>
        <v>5</v>
      </c>
      <c r="AY325" s="3">
        <f t="shared" si="181"/>
        <v>1</v>
      </c>
      <c r="AZ325" s="3">
        <f>IF(ISERROR(LEN(VLOOKUP(A325,Seqs!A:E,2,FALSE))-AL325),"-",LEN(VLOOKUP(A325,Seqs!A:E,2,FALSE))-AL325)</f>
        <v>28</v>
      </c>
      <c r="BA325" s="35">
        <f t="shared" si="182"/>
        <v>29</v>
      </c>
      <c r="BB325" s="3">
        <f t="shared" si="183"/>
        <v>20</v>
      </c>
      <c r="BC325" s="3">
        <f t="shared" si="184"/>
        <v>29</v>
      </c>
      <c r="BD325" s="3">
        <f t="shared" si="185"/>
        <v>72</v>
      </c>
      <c r="BE325" s="3">
        <f>AH325-AE325</f>
        <v>35</v>
      </c>
    </row>
    <row r="326" spans="1:57" s="3" customFormat="1" x14ac:dyDescent="0.2">
      <c r="A326" s="3" t="s">
        <v>488</v>
      </c>
      <c r="B326" s="3" t="str">
        <f>LOWER(VLOOKUP(A326,Xtal_Templ!A:B,2,FALSE))</f>
        <v>p2ry1_human</v>
      </c>
      <c r="C326" s="3">
        <f>VLOOKUP($A326,'NonXtal_SegEnds_BW#'!$A:$Z,3,FALSE)+D326-50</f>
        <v>30</v>
      </c>
      <c r="D326" s="3">
        <v>50</v>
      </c>
      <c r="E326" s="3">
        <f>IF(ISERROR(VLOOKUP($A326,'NonXtal_SegEnds_BW#'!$A:$Z,4,FALSE)+VLOOKUP($A326,A:AL,4,FALSE)-50),"-",(VLOOKUP($A326,'NonXtal_SegEnds_BW#'!$A:$Z,4,FALSE)+VLOOKUP($A326,A:AL,4,FALSE)-50))</f>
        <v>60</v>
      </c>
      <c r="F326" s="3" t="str">
        <f>IF(ISERROR(VLOOKUP($A326,'NonXtal_SegEnds_BW#'!$A:$Z,5,FALSE)+VLOOKUP($A326,A:AL,7,FALSE)-50),"-",(VLOOKUP($A326,'NonXtal_SegEnds_BW#'!$A:$Z,5,FALSE)+VLOOKUP($A326,A:AL,7,FALSE)-50))</f>
        <v>-</v>
      </c>
      <c r="G326" s="3" t="s">
        <v>129</v>
      </c>
      <c r="H326" s="3" t="str">
        <f>IF(ISERROR(VLOOKUP($A326,'NonXtal_SegEnds_BW#'!$A:$Z,6,FALSE)+VLOOKUP($A326,A:AL,7,FALSE)-50),"-",(VLOOKUP($A326,'NonXtal_SegEnds_BW#'!$A:$Z,6,FALSE)+VLOOKUP($A326,A:AL,7,FALSE)-50))</f>
        <v>-</v>
      </c>
      <c r="I326" s="3">
        <f>VLOOKUP($A326,'NonXtal_SegEnds_BW#'!$A:$Z,7,FALSE)+J326-50</f>
        <v>64</v>
      </c>
      <c r="J326" s="3">
        <v>77</v>
      </c>
      <c r="K326" s="3">
        <f>VLOOKUP($A326,'NonXtal_SegEnds_BW#'!$A:$Z,8,FALSE)+VLOOKUP($A326,A:AL,10,FALSE)-50</f>
        <v>94</v>
      </c>
      <c r="L326" s="3" t="s">
        <v>129</v>
      </c>
      <c r="M326" s="3" t="s">
        <v>129</v>
      </c>
      <c r="N326" s="3" t="s">
        <v>129</v>
      </c>
      <c r="O326" s="3">
        <f>VLOOKUP($A326,'NonXtal_SegEnds_BW#'!$A:$Z,11,FALSE)+VLOOKUP($A326,A:AL,16,FALSE)-50</f>
        <v>98</v>
      </c>
      <c r="P326" s="3">
        <v>130</v>
      </c>
      <c r="Q326" s="3">
        <f>VLOOKUP($A326,'NonXtal_SegEnds_BW#'!$A:$Z,12,FALSE)+VLOOKUP($A326,A:AL,16,FALSE)-50</f>
        <v>136</v>
      </c>
      <c r="R326" s="3">
        <f>IF(ISERROR(VLOOKUP($A326,'NonXtal_SegEnds_BW#'!$A:$Z,13,FALSE)+VLOOKUP($A326,A:AL,19,FALSE)-50),"-",VLOOKUP($A326,'NonXtal_SegEnds_BW#'!$A:$Z,13,FALSE)+VLOOKUP($A326,A:AL,19,FALSE)-50)</f>
        <v>137</v>
      </c>
      <c r="S326" s="3">
        <v>137</v>
      </c>
      <c r="T326" s="3">
        <f>IF(ISERROR(VLOOKUP($A326,'NonXtal_SegEnds_BW#'!$A:$Z,14,FALSE)+VLOOKUP($A326,A:AL,19,FALSE)-50),"-",(VLOOKUP($A326,'NonXtal_SegEnds_BW#'!$A:$Z,14,FALSE)+VLOOKUP($A326,A:AL,19,FALSE)-50))</f>
        <v>144</v>
      </c>
      <c r="U326" s="3">
        <f>IF(ISERROR(VLOOKUP($A326,'NonXtal_SegEnds_BW#'!$A:$Z,15,FALSE)+VLOOKUP($A326,A:AL,22,FALSE)-50),"-",VLOOKUP($A326,'NonXtal_SegEnds_BW#'!$A:$Z,15,FALSE)+VLOOKUP($A326,A:AL,22,FALSE)-50)</f>
        <v>146</v>
      </c>
      <c r="V326" s="3">
        <v>157</v>
      </c>
      <c r="W326" s="3">
        <f>IF(ISERROR(VLOOKUP($A326,'NonXtal_SegEnds_BW#'!$A:$Z,16,FALSE)+VLOOKUP($A326,A:AL,22,FALSE)-50),"-",(VLOOKUP($A326,'NonXtal_SegEnds_BW#'!$A:$Z,16,FALSE)+VLOOKUP($A326,A:AL,22,FALSE)-50))</f>
        <v>171</v>
      </c>
      <c r="X326" s="3" t="str">
        <f>IF(ISERROR(VLOOKUP($A326,'NonXtal_SegEnds_BW#'!$A:$Z,17,FALSE)+VLOOKUP($A326,A:AL,25,FALSE)-50),"-",(VLOOKUP($A326,'NonXtal_SegEnds_BW#'!$A:$Z,17,FALSE)+VLOOKUP($A326,A:AL,25,FALSE)-50))</f>
        <v>-</v>
      </c>
      <c r="Y326" s="3" t="s">
        <v>129</v>
      </c>
      <c r="Z326" s="3" t="str">
        <f>IF(ISERROR(VLOOKUP($A326,'NonXtal_SegEnds_BW#'!$A:$Z,18,FALSE)+VLOOKUP($A326,A:AL,25,FALSE)-50),"-",(VLOOKUP($A326,'NonXtal_SegEnds_BW#'!$A:$Z,18,FALSE)+VLOOKUP($A326,A:AL,25,FALSE)-50))</f>
        <v>-</v>
      </c>
      <c r="AA326" s="3">
        <f>IF(ISERROR(VLOOKUP($A326,'NonXtal_SegEnds_BW#'!$A:$Z,19,FALSE)+VLOOKUP($A326,A:AL,28,FALSE)-50),"-",(VLOOKUP($A326,'NonXtal_SegEnds_BW#'!$A:$Z,19,FALSE)+VLOOKUP($A326,A:AL,28,FALSE)-50))</f>
        <v>183</v>
      </c>
      <c r="AB326" s="3">
        <v>201</v>
      </c>
      <c r="AC326" s="3">
        <f>IF(ISERROR((VLOOKUP($A326,'NonXtal_SegEnds_BW#'!$A:$Z,20,FALSE)+VLOOKUP($A326,A:AL,28,FALSE)-50)),"-",(VLOOKUP($A326,'NonXtal_SegEnds_BW#'!$A:$Z,20,FALSE)+VLOOKUP($A326,A:AL,28,FALSE)-50))</f>
        <v>219</v>
      </c>
      <c r="AD326" s="3">
        <f>IF(ISERROR(VLOOKUP($A326,'NonXtal_SegEnds_BW#'!$A:$Z,21,FALSE)+VLOOKUP($A326,A:AL,31,FALSE)-50),"-",(VLOOKUP($A326,'NonXtal_SegEnds_BW#'!$A:$Z,21,FALSE)+VLOOKUP($A326,A:AL,31,FALSE)-50))</f>
        <v>223</v>
      </c>
      <c r="AE326" s="3">
        <v>243</v>
      </c>
      <c r="AF326" s="3">
        <f>IF(ISERROR((VLOOKUP($A326,'NonXtal_SegEnds_BW#'!$A:$Z,22,FALSE)+VLOOKUP($A326,A:AL,31,FALSE)-50)),"-",(VLOOKUP($A326,'NonXtal_SegEnds_BW#'!$A:$Z,22,FALSE)+VLOOKUP($A326,A:AL,31,FALSE)-50))</f>
        <v>254</v>
      </c>
      <c r="AG326" s="3">
        <f>IF(ISERROR(VLOOKUP($A326,'NonXtal_SegEnds_BW#'!$A:$Z,23,FALSE)+VLOOKUP($A326,A:AL,34,FALSE)-50),"-",(VLOOKUP($A326,'NonXtal_SegEnds_BW#'!$A:$Z,23,FALSE)+VLOOKUP($A326,A:AL,34,FALSE)-50))</f>
        <v>259</v>
      </c>
      <c r="AH326" s="3">
        <v>277</v>
      </c>
      <c r="AI326" s="3">
        <f>IF(ISERROR((VLOOKUP($A326,'NonXtal_SegEnds_BW#'!$A:$Z,24,FALSE)+VLOOKUP($A326,A:AL,34,FALSE)-50)),"-",(VLOOKUP($A326,'NonXtal_SegEnds_BW#'!$A:$Z,24,FALSE)+VLOOKUP($A326,A:AL,34,FALSE)-50))</f>
        <v>283</v>
      </c>
      <c r="AJ326" s="3">
        <f>IF(ISERROR(VLOOKUP($A326,'NonXtal_SegEnds_BW#'!$A:$Z,25,FALSE)+VLOOKUP($A326,A:AL,37,FALSE)-50),"-",(VLOOKUP($A326,'NonXtal_SegEnds_BW#'!$A:$Z,25,FALSE)+VLOOKUP($A326,A:AL,37,FALSE)-50))</f>
        <v>284</v>
      </c>
      <c r="AK326" s="3">
        <v>287</v>
      </c>
      <c r="AL326" s="3">
        <f>IF(ISERROR((VLOOKUP($A326,'NonXtal_SegEnds_BW#'!$A:$Z,26,FALSE)+VLOOKUP($A326,A:AL,37,FALSE)-50)),"-",(VLOOKUP($A326,'NonXtal_SegEnds_BW#'!$A:$Z,26,FALSE)+VLOOKUP($A326,A:AL,37,FALSE)-50))</f>
        <v>296</v>
      </c>
      <c r="AM326" s="71" t="str">
        <f>VLOOKUP(A326,Classification!A:B,2,FALSE)</f>
        <v>A</v>
      </c>
      <c r="AN326" s="71" t="b">
        <f t="shared" si="170"/>
        <v>1</v>
      </c>
      <c r="AO326" s="3" t="str">
        <f t="shared" si="171"/>
        <v>-</v>
      </c>
      <c r="AP326" s="3" t="str">
        <f t="shared" si="172"/>
        <v>-</v>
      </c>
      <c r="AQ326" s="3" t="str">
        <f t="shared" si="173"/>
        <v>-</v>
      </c>
      <c r="AR326" s="3" t="str">
        <f t="shared" si="174"/>
        <v>-</v>
      </c>
      <c r="AS326" s="3">
        <f t="shared" si="175"/>
        <v>1</v>
      </c>
      <c r="AT326" s="3">
        <f t="shared" si="176"/>
        <v>2</v>
      </c>
      <c r="AU326" s="3" t="str">
        <f t="shared" si="177"/>
        <v>-</v>
      </c>
      <c r="AV326" s="3" t="str">
        <f t="shared" si="178"/>
        <v>-</v>
      </c>
      <c r="AW326" s="3">
        <f t="shared" si="179"/>
        <v>4</v>
      </c>
      <c r="AX326" s="3">
        <f t="shared" si="180"/>
        <v>5</v>
      </c>
      <c r="AY326" s="3">
        <f t="shared" si="181"/>
        <v>1</v>
      </c>
      <c r="AZ326" s="3">
        <f>IF(ISERROR(LEN(VLOOKUP(A326,Seqs!A:E,2,FALSE))-AL326),"-",LEN(VLOOKUP(A326,Seqs!A:E,2,FALSE))-AL326)</f>
        <v>29</v>
      </c>
      <c r="BA326" s="35">
        <f t="shared" si="182"/>
        <v>27</v>
      </c>
      <c r="BB326" s="3">
        <f t="shared" si="183"/>
        <v>20</v>
      </c>
      <c r="BC326" s="3">
        <f t="shared" si="184"/>
        <v>27</v>
      </c>
      <c r="BD326" s="3">
        <f t="shared" si="185"/>
        <v>42</v>
      </c>
      <c r="BE326" s="3">
        <f>AH326-AE326</f>
        <v>34</v>
      </c>
    </row>
    <row r="327" spans="1:57" s="3" customFormat="1" x14ac:dyDescent="0.2">
      <c r="A327" s="3" t="s">
        <v>489</v>
      </c>
      <c r="B327" s="3" t="str">
        <f>LOWER(VLOOKUP(A327,Xtal_Templ!A:B,2,FALSE))</f>
        <v>p2ry1_human</v>
      </c>
      <c r="C327" s="3">
        <f>VLOOKUP($A327,'NonXtal_SegEnds_BW#'!$A:$Z,3,FALSE)+D327-50</f>
        <v>73</v>
      </c>
      <c r="D327" s="3">
        <v>93</v>
      </c>
      <c r="E327" s="3">
        <f>IF(ISERROR(VLOOKUP($A327,'NonXtal_SegEnds_BW#'!$A:$Z,4,FALSE)+VLOOKUP($A327,A:AL,4,FALSE)-50),"-",(VLOOKUP($A327,'NonXtal_SegEnds_BW#'!$A:$Z,4,FALSE)+VLOOKUP($A327,A:AL,4,FALSE)-50))</f>
        <v>103</v>
      </c>
      <c r="F327" s="3" t="str">
        <f>IF(ISERROR(VLOOKUP($A327,'NonXtal_SegEnds_BW#'!$A:$Z,5,FALSE)+VLOOKUP($A327,A:AL,7,FALSE)-50),"-",(VLOOKUP($A327,'NonXtal_SegEnds_BW#'!$A:$Z,5,FALSE)+VLOOKUP($A327,A:AL,7,FALSE)-50))</f>
        <v>-</v>
      </c>
      <c r="G327" s="3" t="s">
        <v>129</v>
      </c>
      <c r="H327" s="3" t="str">
        <f>IF(ISERROR(VLOOKUP($A327,'NonXtal_SegEnds_BW#'!$A:$Z,6,FALSE)+VLOOKUP($A327,A:AL,7,FALSE)-50),"-",(VLOOKUP($A327,'NonXtal_SegEnds_BW#'!$A:$Z,6,FALSE)+VLOOKUP($A327,A:AL,7,FALSE)-50))</f>
        <v>-</v>
      </c>
      <c r="I327" s="3">
        <f>VLOOKUP($A327,'NonXtal_SegEnds_BW#'!$A:$Z,7,FALSE)+J327-50</f>
        <v>106</v>
      </c>
      <c r="J327" s="3">
        <v>119</v>
      </c>
      <c r="K327" s="3">
        <f>VLOOKUP($A327,'NonXtal_SegEnds_BW#'!$A:$Z,8,FALSE)+VLOOKUP($A327,A:AL,10,FALSE)-50</f>
        <v>135</v>
      </c>
      <c r="L327" s="3" t="str">
        <f>IF(ISERROR(VLOOKUP($A327,'NonXtal_SegEnds_BW#'!$A:$Z,9,FALSE)+VLOOKUP($A327,A:AL,13,FALSE)-50),"-",(VLOOKUP($A327,'NonXtal_SegEnds_BW#'!$A:$Z,9,FALSE)+VLOOKUP($A327,A:AL,13,FALSE)-50))</f>
        <v>-</v>
      </c>
      <c r="M327" s="3" t="s">
        <v>129</v>
      </c>
      <c r="N327" s="3" t="str">
        <f>IF(ISERROR(VLOOKUP($A327,'NonXtal_SegEnds_BW#'!$A:$Z,10,FALSE)+VLOOKUP($A327,A:AL,13,FALSE)-50),"-",(VLOOKUP($A327,'NonXtal_SegEnds_BW#'!$A:$Z,10,FALSE)+VLOOKUP($A327,A:AL,13,FALSE)-50))</f>
        <v>-</v>
      </c>
      <c r="O327" s="3">
        <f>VLOOKUP($A327,'NonXtal_SegEnds_BW#'!$A:$Z,11,FALSE)+VLOOKUP($A327,A:AL,16,FALSE)-50</f>
        <v>139</v>
      </c>
      <c r="P327" s="3">
        <v>171</v>
      </c>
      <c r="Q327" s="3">
        <f>VLOOKUP($A327,'NonXtal_SegEnds_BW#'!$A:$Z,12,FALSE)+VLOOKUP($A327,A:AL,16,FALSE)-50</f>
        <v>177</v>
      </c>
      <c r="R327" s="3">
        <f>IF(ISERROR(VLOOKUP($A327,'NonXtal_SegEnds_BW#'!$A:$Z,13,FALSE)+VLOOKUP($A327,A:AL,19,FALSE)-50),"-",VLOOKUP($A327,'NonXtal_SegEnds_BW#'!$A:$Z,13,FALSE)+VLOOKUP($A327,A:AL,19,FALSE)-50)</f>
        <v>178</v>
      </c>
      <c r="S327" s="3">
        <v>178</v>
      </c>
      <c r="T327" s="3">
        <f>IF(ISERROR(VLOOKUP($A327,'NonXtal_SegEnds_BW#'!$A:$Z,14,FALSE)+VLOOKUP($A327,A:AL,19,FALSE)-50),"-",(VLOOKUP($A327,'NonXtal_SegEnds_BW#'!$A:$Z,14,FALSE)+VLOOKUP($A327,A:AL,19,FALSE)-50))</f>
        <v>185</v>
      </c>
      <c r="U327" s="3">
        <f>IF(ISERROR(VLOOKUP($A327,'NonXtal_SegEnds_BW#'!$A:$Z,15,FALSE)+VLOOKUP($A327,A:AL,22,FALSE)-50),"-",VLOOKUP($A327,'NonXtal_SegEnds_BW#'!$A:$Z,15,FALSE)+VLOOKUP($A327,A:AL,22,FALSE)-50)</f>
        <v>187</v>
      </c>
      <c r="V327" s="3">
        <v>198</v>
      </c>
      <c r="W327" s="3">
        <f>IF(ISERROR(VLOOKUP($A327,'NonXtal_SegEnds_BW#'!$A:$Z,16,FALSE)+VLOOKUP($A327,A:AL,22,FALSE)-50),"-",(VLOOKUP($A327,'NonXtal_SegEnds_BW#'!$A:$Z,16,FALSE)+VLOOKUP($A327,A:AL,22,FALSE)-50))</f>
        <v>212</v>
      </c>
      <c r="X327" s="3" t="str">
        <f>IF(ISERROR(VLOOKUP($A327,'NonXtal_SegEnds_BW#'!$A:$Z,17,FALSE)+VLOOKUP($A327,A:AL,25,FALSE)-50),"-",(VLOOKUP($A327,'NonXtal_SegEnds_BW#'!$A:$Z,17,FALSE)+VLOOKUP($A327,A:AL,25,FALSE)-50))</f>
        <v>-</v>
      </c>
      <c r="Y327" s="3" t="s">
        <v>129</v>
      </c>
      <c r="Z327" s="3" t="str">
        <f>IF(ISERROR(VLOOKUP($A327,'NonXtal_SegEnds_BW#'!$A:$Z,18,FALSE)+VLOOKUP($A327,A:AL,25,FALSE)-50),"-",(VLOOKUP($A327,'NonXtal_SegEnds_BW#'!$A:$Z,18,FALSE)+VLOOKUP($A327,A:AL,25,FALSE)-50))</f>
        <v>-</v>
      </c>
      <c r="AA327" s="3">
        <f>IF(ISERROR(VLOOKUP($A327,'NonXtal_SegEnds_BW#'!$A:$Z,19,FALSE)+VLOOKUP($A327,A:AL,28,FALSE)-50),"-",(VLOOKUP($A327,'NonXtal_SegEnds_BW#'!$A:$Z,19,FALSE)+VLOOKUP($A327,A:AL,28,FALSE)-50))</f>
        <v>219</v>
      </c>
      <c r="AB327" s="3">
        <v>237</v>
      </c>
      <c r="AC327" s="3">
        <f>IF(ISERROR((VLOOKUP($A327,'NonXtal_SegEnds_BW#'!$A:$Z,20,FALSE)+VLOOKUP($A327,A:AL,28,FALSE)-50)),"-",(VLOOKUP($A327,'NonXtal_SegEnds_BW#'!$A:$Z,20,FALSE)+VLOOKUP($A327,A:AL,28,FALSE)-50))</f>
        <v>255</v>
      </c>
      <c r="AD327" s="3">
        <f>IF(ISERROR(VLOOKUP($A327,'NonXtal_SegEnds_BW#'!$A:$Z,21,FALSE)+VLOOKUP($A327,A:AL,31,FALSE)-50),"-",(VLOOKUP($A327,'NonXtal_SegEnds_BW#'!$A:$Z,21,FALSE)+VLOOKUP($A327,A:AL,31,FALSE)-50))</f>
        <v>259</v>
      </c>
      <c r="AE327" s="3">
        <v>279</v>
      </c>
      <c r="AF327" s="3">
        <f>IF(ISERROR((VLOOKUP($A327,'NonXtal_SegEnds_BW#'!$A:$Z,22,FALSE)+VLOOKUP($A327,A:AL,31,FALSE)-50)),"-",(VLOOKUP($A327,'NonXtal_SegEnds_BW#'!$A:$Z,22,FALSE)+VLOOKUP($A327,A:AL,31,FALSE)-50))</f>
        <v>290</v>
      </c>
      <c r="AG327" s="3">
        <f>IF(ISERROR(VLOOKUP($A327,'NonXtal_SegEnds_BW#'!$A:$Z,23,FALSE)+VLOOKUP($A327,A:AL,34,FALSE)-50),"-",(VLOOKUP($A327,'NonXtal_SegEnds_BW#'!$A:$Z,23,FALSE)+VLOOKUP($A327,A:AL,34,FALSE)-50))</f>
        <v>295</v>
      </c>
      <c r="AH327" s="3">
        <v>311</v>
      </c>
      <c r="AI327" s="3">
        <f>IF(ISERROR((VLOOKUP($A327,'NonXtal_SegEnds_BW#'!$A:$Z,24,FALSE)+VLOOKUP($A327,A:AL,34,FALSE)-50)),"-",(VLOOKUP($A327,'NonXtal_SegEnds_BW#'!$A:$Z,24,FALSE)+VLOOKUP($A327,A:AL,34,FALSE)-50))</f>
        <v>317</v>
      </c>
      <c r="AJ327" s="3">
        <f>IF(ISERROR(VLOOKUP($A327,'NonXtal_SegEnds_BW#'!$A:$Z,25,FALSE)+VLOOKUP($A327,A:AL,37,FALSE)-50),"-",(VLOOKUP($A327,'NonXtal_SegEnds_BW#'!$A:$Z,25,FALSE)+VLOOKUP($A327,A:AL,37,FALSE)-50))</f>
        <v>318</v>
      </c>
      <c r="AK327" s="3">
        <v>321</v>
      </c>
      <c r="AL327" s="3">
        <f>IF(ISERROR((VLOOKUP($A327,'NonXtal_SegEnds_BW#'!$A:$Z,26,FALSE)+VLOOKUP($A327,A:AL,37,FALSE)-50)),"-",(VLOOKUP($A327,'NonXtal_SegEnds_BW#'!$A:$Z,26,FALSE)+VLOOKUP($A327,A:AL,37,FALSE)-50))</f>
        <v>330</v>
      </c>
      <c r="AM327" s="71" t="str">
        <f>VLOOKUP(A327,Classification!A:B,2,FALSE)</f>
        <v>A</v>
      </c>
      <c r="AN327" s="71" t="b">
        <f t="shared" si="170"/>
        <v>1</v>
      </c>
      <c r="AO327" s="3" t="str">
        <f t="shared" si="171"/>
        <v>-</v>
      </c>
      <c r="AP327" s="3" t="str">
        <f t="shared" si="172"/>
        <v>-</v>
      </c>
      <c r="AQ327" s="3" t="str">
        <f t="shared" si="173"/>
        <v>-</v>
      </c>
      <c r="AR327" s="3" t="str">
        <f t="shared" si="174"/>
        <v>-</v>
      </c>
      <c r="AS327" s="3">
        <f t="shared" si="175"/>
        <v>1</v>
      </c>
      <c r="AT327" s="3">
        <f t="shared" si="176"/>
        <v>2</v>
      </c>
      <c r="AU327" s="3" t="str">
        <f t="shared" si="177"/>
        <v>-</v>
      </c>
      <c r="AV327" s="3" t="str">
        <f t="shared" si="178"/>
        <v>-</v>
      </c>
      <c r="AW327" s="3">
        <f t="shared" si="179"/>
        <v>4</v>
      </c>
      <c r="AX327" s="3">
        <f t="shared" si="180"/>
        <v>5</v>
      </c>
      <c r="AY327" s="3">
        <f t="shared" si="181"/>
        <v>1</v>
      </c>
      <c r="AZ327" s="3">
        <f>IF(ISERROR(LEN(VLOOKUP(A327,Seqs!A:E,2,FALSE))-AL327),"-",LEN(VLOOKUP(A327,Seqs!A:E,2,FALSE))-AL327)</f>
        <v>48</v>
      </c>
      <c r="BA327" s="35">
        <f t="shared" si="182"/>
        <v>26</v>
      </c>
      <c r="BB327" s="3">
        <f t="shared" si="183"/>
        <v>20</v>
      </c>
      <c r="BC327" s="3">
        <f t="shared" si="184"/>
        <v>26</v>
      </c>
      <c r="BD327" s="3">
        <f t="shared" si="185"/>
        <v>42</v>
      </c>
    </row>
    <row r="328" spans="1:57" s="3" customFormat="1" x14ac:dyDescent="0.2">
      <c r="A328" s="3" t="s">
        <v>495</v>
      </c>
      <c r="B328" s="3" t="str">
        <f>LOWER(VLOOKUP(A328,Xtal_Templ!A:B,2,FALSE))</f>
        <v>p2ry1_human</v>
      </c>
      <c r="C328" s="3">
        <f>VLOOKUP($A328,'NonXtal_SegEnds_BW#'!$A:$Z,3,FALSE)+D328-50</f>
        <v>25</v>
      </c>
      <c r="D328" s="3">
        <v>45</v>
      </c>
      <c r="E328" s="3">
        <f>IF(ISERROR(VLOOKUP($A328,'NonXtal_SegEnds_BW#'!$A:$Z,4,FALSE)+VLOOKUP($A328,A:AL,4,FALSE)-50),"-",(VLOOKUP($A328,'NonXtal_SegEnds_BW#'!$A:$Z,4,FALSE)+VLOOKUP($A328,A:AL,4,FALSE)-50))</f>
        <v>55</v>
      </c>
      <c r="F328" s="3" t="str">
        <f>IF(ISERROR(VLOOKUP($A328,'NonXtal_SegEnds_BW#'!$A:$Z,5,FALSE)+VLOOKUP($A328,A:AL,7,FALSE)-50),"-",(VLOOKUP($A328,'NonXtal_SegEnds_BW#'!$A:$Z,5,FALSE)+VLOOKUP($A328,A:AL,7,FALSE)-50))</f>
        <v>-</v>
      </c>
      <c r="G328" s="3" t="s">
        <v>129</v>
      </c>
      <c r="H328" s="3" t="str">
        <f>IF(ISERROR(VLOOKUP($A328,'NonXtal_SegEnds_BW#'!$A:$Z,6,FALSE)+VLOOKUP($A328,A:AL,7,FALSE)-50),"-",(VLOOKUP($A328,'NonXtal_SegEnds_BW#'!$A:$Z,6,FALSE)+VLOOKUP($A328,A:AL,7,FALSE)-50))</f>
        <v>-</v>
      </c>
      <c r="I328" s="3">
        <f>VLOOKUP($A328,'NonXtal_SegEnds_BW#'!$A:$Z,7,FALSE)+J328-50</f>
        <v>59</v>
      </c>
      <c r="J328" s="3">
        <v>72</v>
      </c>
      <c r="K328" s="3">
        <f>VLOOKUP($A328,'NonXtal_SegEnds_BW#'!$A:$Z,8,FALSE)+VLOOKUP($A328,A:AL,10,FALSE)-50</f>
        <v>88</v>
      </c>
      <c r="L328" s="3" t="str">
        <f>IF(ISERROR(VLOOKUP($A328,'NonXtal_SegEnds_BW#'!$A:$Z,9,FALSE)+VLOOKUP($A328,A:AL,13,FALSE)-50),"-",(VLOOKUP($A328,'NonXtal_SegEnds_BW#'!$A:$Z,9,FALSE)+VLOOKUP($A328,A:AL,13,FALSE)-50))</f>
        <v>-</v>
      </c>
      <c r="M328" s="3" t="s">
        <v>129</v>
      </c>
      <c r="N328" s="3" t="str">
        <f>IF(ISERROR(VLOOKUP($A328,'NonXtal_SegEnds_BW#'!$A:$Z,10,FALSE)+VLOOKUP($A328,A:AL,13,FALSE)-50),"-",(VLOOKUP($A328,'NonXtal_SegEnds_BW#'!$A:$Z,10,FALSE)+VLOOKUP($A328,A:AL,13,FALSE)-50))</f>
        <v>-</v>
      </c>
      <c r="O328" s="3">
        <f>VLOOKUP($A328,'NonXtal_SegEnds_BW#'!$A:$Z,11,FALSE)+VLOOKUP($A328,A:AL,16,FALSE)-50</f>
        <v>91</v>
      </c>
      <c r="P328" s="3">
        <v>123</v>
      </c>
      <c r="Q328" s="3">
        <f>VLOOKUP($A328,'NonXtal_SegEnds_BW#'!$A:$Z,12,FALSE)+VLOOKUP($A328,A:AL,16,FALSE)-50</f>
        <v>129</v>
      </c>
      <c r="R328" s="3">
        <f>IF(ISERROR(VLOOKUP($A328,'NonXtal_SegEnds_BW#'!$A:$Z,13,FALSE)+VLOOKUP($A328,A:AL,19,FALSE)-50),"-",VLOOKUP($A328,'NonXtal_SegEnds_BW#'!$A:$Z,13,FALSE)+VLOOKUP($A328,A:AL,19,FALSE)-50)</f>
        <v>130</v>
      </c>
      <c r="S328" s="3">
        <v>130</v>
      </c>
      <c r="T328" s="3">
        <f>IF(ISERROR(VLOOKUP($A328,'NonXtal_SegEnds_BW#'!$A:$Z,14,FALSE)+VLOOKUP($A328,A:AL,19,FALSE)-50),"-",(VLOOKUP($A328,'NonXtal_SegEnds_BW#'!$A:$Z,14,FALSE)+VLOOKUP($A328,A:AL,19,FALSE)-50))</f>
        <v>137</v>
      </c>
      <c r="U328" s="3">
        <f>IF(ISERROR(VLOOKUP($A328,'NonXtal_SegEnds_BW#'!$A:$Z,15,FALSE)+VLOOKUP($A328,A:AL,22,FALSE)-50),"-",VLOOKUP($A328,'NonXtal_SegEnds_BW#'!$A:$Z,15,FALSE)+VLOOKUP($A328,A:AL,22,FALSE)-50)</f>
        <v>139</v>
      </c>
      <c r="V328" s="3">
        <v>150</v>
      </c>
      <c r="W328" s="3">
        <f>IF(ISERROR(VLOOKUP($A328,'NonXtal_SegEnds_BW#'!$A:$Z,16,FALSE)+VLOOKUP($A328,A:AL,22,FALSE)-50),"-",(VLOOKUP($A328,'NonXtal_SegEnds_BW#'!$A:$Z,16,FALSE)+VLOOKUP($A328,A:AL,22,FALSE)-50))</f>
        <v>164</v>
      </c>
      <c r="X328" s="3" t="str">
        <f>IF(ISERROR(VLOOKUP($A328,'NonXtal_SegEnds_BW#'!$A:$Z,17,FALSE)+VLOOKUP($A328,A:AL,25,FALSE)-50),"-",(VLOOKUP($A328,'NonXtal_SegEnds_BW#'!$A:$Z,17,FALSE)+VLOOKUP($A328,A:AL,25,FALSE)-50))</f>
        <v>-</v>
      </c>
      <c r="Y328" s="3" t="s">
        <v>129</v>
      </c>
      <c r="Z328" s="3" t="str">
        <f>IF(ISERROR(VLOOKUP($A328,'NonXtal_SegEnds_BW#'!$A:$Z,18,FALSE)+VLOOKUP($A328,A:AL,25,FALSE)-50),"-",(VLOOKUP($A328,'NonXtal_SegEnds_BW#'!$A:$Z,18,FALSE)+VLOOKUP($A328,A:AL,25,FALSE)-50))</f>
        <v>-</v>
      </c>
      <c r="AA328" s="3">
        <f>IF(ISERROR(VLOOKUP($A328,'NonXtal_SegEnds_BW#'!$A:$Z,19,FALSE)+VLOOKUP($A328,A:AL,28,FALSE)-50),"-",(VLOOKUP($A328,'NonXtal_SegEnds_BW#'!$A:$Z,19,FALSE)+VLOOKUP($A328,A:AL,28,FALSE)-50))</f>
        <v>174</v>
      </c>
      <c r="AB328" s="3">
        <v>192</v>
      </c>
      <c r="AC328" s="3">
        <f>IF(ISERROR((VLOOKUP($A328,'NonXtal_SegEnds_BW#'!$A:$Z,20,FALSE)+VLOOKUP($A328,A:AL,28,FALSE)-50)),"-",(VLOOKUP($A328,'NonXtal_SegEnds_BW#'!$A:$Z,20,FALSE)+VLOOKUP($A328,A:AL,28,FALSE)-50))</f>
        <v>210</v>
      </c>
      <c r="AD328" s="3">
        <f>IF(ISERROR(VLOOKUP($A328,'NonXtal_SegEnds_BW#'!$A:$Z,21,FALSE)+VLOOKUP($A328,A:AL,31,FALSE)-50),"-",(VLOOKUP($A328,'NonXtal_SegEnds_BW#'!$A:$Z,21,FALSE)+VLOOKUP($A328,A:AL,31,FALSE)-50))</f>
        <v>216</v>
      </c>
      <c r="AE328" s="3">
        <v>236</v>
      </c>
      <c r="AF328" s="3">
        <f>IF(ISERROR((VLOOKUP($A328,'NonXtal_SegEnds_BW#'!$A:$Z,22,FALSE)+VLOOKUP($A328,A:AL,31,FALSE)-50)),"-",(VLOOKUP($A328,'NonXtal_SegEnds_BW#'!$A:$Z,22,FALSE)+VLOOKUP($A328,A:AL,31,FALSE)-50))</f>
        <v>247</v>
      </c>
      <c r="AG328" s="3">
        <f>IF(ISERROR(VLOOKUP($A328,'NonXtal_SegEnds_BW#'!$A:$Z,23,FALSE)+VLOOKUP($A328,A:AL,34,FALSE)-50),"-",(VLOOKUP($A328,'NonXtal_SegEnds_BW#'!$A:$Z,23,FALSE)+VLOOKUP($A328,A:AL,34,FALSE)-50))</f>
        <v>254</v>
      </c>
      <c r="AH328" s="3">
        <v>273</v>
      </c>
      <c r="AI328" s="3">
        <f>IF(ISERROR((VLOOKUP($A328,'NonXtal_SegEnds_BW#'!$A:$Z,24,FALSE)+VLOOKUP($A328,A:AL,34,FALSE)-50)),"-",(VLOOKUP($A328,'NonXtal_SegEnds_BW#'!$A:$Z,24,FALSE)+VLOOKUP($A328,A:AL,34,FALSE)-50))</f>
        <v>279</v>
      </c>
      <c r="AJ328" s="3">
        <f>IF(ISERROR(VLOOKUP($A328,'NonXtal_SegEnds_BW#'!$A:$Z,25,FALSE)+VLOOKUP($A328,A:AL,37,FALSE)-50),"-",(VLOOKUP($A328,'NonXtal_SegEnds_BW#'!$A:$Z,25,FALSE)+VLOOKUP($A328,A:AL,37,FALSE)-50))</f>
        <v>280</v>
      </c>
      <c r="AK328" s="3">
        <v>283</v>
      </c>
      <c r="AL328" s="3">
        <f>IF(ISERROR((VLOOKUP($A328,'NonXtal_SegEnds_BW#'!$A:$Z,26,FALSE)+VLOOKUP($A328,A:AL,37,FALSE)-50)),"-",(VLOOKUP($A328,'NonXtal_SegEnds_BW#'!$A:$Z,26,FALSE)+VLOOKUP($A328,A:AL,37,FALSE)-50))</f>
        <v>292</v>
      </c>
      <c r="AM328" s="71" t="str">
        <f>VLOOKUP(A328,Classification!A:B,2,FALSE)</f>
        <v>A</v>
      </c>
      <c r="AN328" s="71" t="b">
        <f t="shared" si="170"/>
        <v>1</v>
      </c>
      <c r="AO328" s="3" t="str">
        <f t="shared" si="171"/>
        <v>-</v>
      </c>
      <c r="AP328" s="3" t="str">
        <f t="shared" si="172"/>
        <v>-</v>
      </c>
      <c r="AQ328" s="3" t="str">
        <f t="shared" si="173"/>
        <v>-</v>
      </c>
      <c r="AR328" s="3" t="str">
        <f t="shared" si="174"/>
        <v>-</v>
      </c>
      <c r="AS328" s="3">
        <f t="shared" si="175"/>
        <v>1</v>
      </c>
      <c r="AT328" s="3">
        <f t="shared" si="176"/>
        <v>2</v>
      </c>
      <c r="AU328" s="3" t="str">
        <f t="shared" si="177"/>
        <v>-</v>
      </c>
      <c r="AV328" s="3" t="str">
        <f t="shared" si="178"/>
        <v>-</v>
      </c>
      <c r="AW328" s="3">
        <f t="shared" si="179"/>
        <v>6</v>
      </c>
      <c r="AX328" s="3">
        <f t="shared" si="180"/>
        <v>7</v>
      </c>
      <c r="AY328" s="3">
        <f t="shared" si="181"/>
        <v>1</v>
      </c>
      <c r="AZ328" s="3">
        <f>IF(ISERROR(LEN(VLOOKUP(A328,Seqs!A:E,2,FALSE))-AL328),"-",LEN(VLOOKUP(A328,Seqs!A:E,2,FALSE))-AL328)</f>
        <v>29</v>
      </c>
      <c r="BA328" s="35">
        <f t="shared" si="182"/>
        <v>27</v>
      </c>
      <c r="BB328" s="3">
        <f t="shared" si="183"/>
        <v>20</v>
      </c>
      <c r="BC328" s="3">
        <f t="shared" si="184"/>
        <v>27</v>
      </c>
      <c r="BD328" s="3">
        <f t="shared" si="185"/>
        <v>44</v>
      </c>
      <c r="BE328" s="3">
        <f>AH328-AE328</f>
        <v>37</v>
      </c>
    </row>
    <row r="329" spans="1:57" s="3" customFormat="1" x14ac:dyDescent="0.2">
      <c r="A329" s="3" t="s">
        <v>497</v>
      </c>
      <c r="B329" s="3" t="str">
        <f>LOWER(VLOOKUP(A329,Xtal_Templ!A:B,2,FALSE))</f>
        <v>p2ry1_human</v>
      </c>
      <c r="C329" s="3">
        <f>VLOOKUP($A329,'NonXtal_SegEnds_BW#'!$A:$Z,3,FALSE)+D329-50</f>
        <v>42</v>
      </c>
      <c r="D329" s="3">
        <v>62</v>
      </c>
      <c r="E329" s="3">
        <f>IF(ISERROR(VLOOKUP($A329,'NonXtal_SegEnds_BW#'!$A:$Z,4,FALSE)+VLOOKUP($A329,A:AL,4,FALSE)-50),"-",(VLOOKUP($A329,'NonXtal_SegEnds_BW#'!$A:$Z,4,FALSE)+VLOOKUP($A329,A:AL,4,FALSE)-50))</f>
        <v>72</v>
      </c>
      <c r="F329" s="3" t="str">
        <f>IF(ISERROR(VLOOKUP($A329,'NonXtal_SegEnds_BW#'!$A:$Z,5,FALSE)+VLOOKUP($A329,A:AL,7,FALSE)-50),"-",(VLOOKUP($A329,'NonXtal_SegEnds_BW#'!$A:$Z,5,FALSE)+VLOOKUP($A329,A:AL,7,FALSE)-50))</f>
        <v>-</v>
      </c>
      <c r="G329" s="3" t="s">
        <v>129</v>
      </c>
      <c r="H329" s="3" t="str">
        <f>IF(ISERROR(VLOOKUP($A329,'NonXtal_SegEnds_BW#'!$A:$Z,6,FALSE)+VLOOKUP($A329,A:AL,7,FALSE)-50),"-",(VLOOKUP($A329,'NonXtal_SegEnds_BW#'!$A:$Z,6,FALSE)+VLOOKUP($A329,A:AL,7,FALSE)-50))</f>
        <v>-</v>
      </c>
      <c r="I329" s="3">
        <f>VLOOKUP($A329,'NonXtal_SegEnds_BW#'!$A:$Z,7,FALSE)+J329-50</f>
        <v>76</v>
      </c>
      <c r="J329" s="3">
        <v>89</v>
      </c>
      <c r="K329" s="3">
        <f>VLOOKUP($A329,'NonXtal_SegEnds_BW#'!$A:$Z,8,FALSE)+VLOOKUP($A329,A:AL,10,FALSE)-50</f>
        <v>105</v>
      </c>
      <c r="L329" s="3" t="str">
        <f>IF(ISERROR(VLOOKUP($A329,'NonXtal_SegEnds_BW#'!$A:$Z,9,FALSE)+VLOOKUP($A329,A:AL,13,FALSE)-50),"-",(VLOOKUP($A329,'NonXtal_SegEnds_BW#'!$A:$Z,9,FALSE)+VLOOKUP($A329,A:AL,13,FALSE)-50))</f>
        <v>-</v>
      </c>
      <c r="M329" s="3" t="s">
        <v>129</v>
      </c>
      <c r="N329" s="3" t="str">
        <f>IF(ISERROR(VLOOKUP($A329,'NonXtal_SegEnds_BW#'!$A:$Z,10,FALSE)+VLOOKUP($A329,A:AL,13,FALSE)-50),"-",(VLOOKUP($A329,'NonXtal_SegEnds_BW#'!$A:$Z,10,FALSE)+VLOOKUP($A329,A:AL,13,FALSE)-50))</f>
        <v>-</v>
      </c>
      <c r="O329" s="3">
        <f>VLOOKUP($A329,'NonXtal_SegEnds_BW#'!$A:$Z,11,FALSE)+VLOOKUP($A329,A:AL,16,FALSE)-50</f>
        <v>109</v>
      </c>
      <c r="P329" s="3">
        <v>141</v>
      </c>
      <c r="Q329" s="3">
        <f>VLOOKUP($A329,'NonXtal_SegEnds_BW#'!$A:$Z,12,FALSE)+VLOOKUP($A329,A:AL,16,FALSE)-50</f>
        <v>147</v>
      </c>
      <c r="R329" s="3">
        <f>IF(ISERROR(VLOOKUP($A329,'NonXtal_SegEnds_BW#'!$A:$Z,13,FALSE)+VLOOKUP($A329,A:AL,19,FALSE)-50),"-",VLOOKUP($A329,'NonXtal_SegEnds_BW#'!$A:$Z,13,FALSE)+VLOOKUP($A329,A:AL,19,FALSE)-50)</f>
        <v>148</v>
      </c>
      <c r="S329" s="3">
        <v>148</v>
      </c>
      <c r="T329" s="3">
        <f>IF(ISERROR(VLOOKUP($A329,'NonXtal_SegEnds_BW#'!$A:$Z,14,FALSE)+VLOOKUP($A329,A:AL,19,FALSE)-50),"-",(VLOOKUP($A329,'NonXtal_SegEnds_BW#'!$A:$Z,14,FALSE)+VLOOKUP($A329,A:AL,19,FALSE)-50))</f>
        <v>155</v>
      </c>
      <c r="U329" s="3">
        <f>IF(ISERROR(VLOOKUP($A329,'NonXtal_SegEnds_BW#'!$A:$Z,15,FALSE)+VLOOKUP($A329,A:AL,22,FALSE)-50),"-",VLOOKUP($A329,'NonXtal_SegEnds_BW#'!$A:$Z,15,FALSE)+VLOOKUP($A329,A:AL,22,FALSE)-50)</f>
        <v>157</v>
      </c>
      <c r="V329" s="3">
        <v>168</v>
      </c>
      <c r="W329" s="3">
        <f>IF(ISERROR(VLOOKUP($A329,'NonXtal_SegEnds_BW#'!$A:$Z,16,FALSE)+VLOOKUP($A329,A:AL,22,FALSE)-50),"-",(VLOOKUP($A329,'NonXtal_SegEnds_BW#'!$A:$Z,16,FALSE)+VLOOKUP($A329,A:AL,22,FALSE)-50))</f>
        <v>182</v>
      </c>
      <c r="X329" s="3" t="str">
        <f>IF(ISERROR(VLOOKUP($A329,'NonXtal_SegEnds_BW#'!$A:$Z,17,FALSE)+VLOOKUP($A329,A:AL,25,FALSE)-50),"-",(VLOOKUP($A329,'NonXtal_SegEnds_BW#'!$A:$Z,17,FALSE)+VLOOKUP($A329,A:AL,25,FALSE)-50))</f>
        <v>-</v>
      </c>
      <c r="Y329" s="3" t="s">
        <v>129</v>
      </c>
      <c r="Z329" s="3" t="str">
        <f>IF(ISERROR(VLOOKUP($A329,'NonXtal_SegEnds_BW#'!$A:$Z,18,FALSE)+VLOOKUP($A329,A:AL,25,FALSE)-50),"-",(VLOOKUP($A329,'NonXtal_SegEnds_BW#'!$A:$Z,18,FALSE)+VLOOKUP($A329,A:AL,25,FALSE)-50))</f>
        <v>-</v>
      </c>
      <c r="AA329" s="3">
        <f>IF(ISERROR(VLOOKUP($A329,'NonXtal_SegEnds_BW#'!$A:$Z,19,FALSE)+VLOOKUP($A329,A:AL,28,FALSE)-50),"-",(VLOOKUP($A329,'NonXtal_SegEnds_BW#'!$A:$Z,19,FALSE)+VLOOKUP($A329,A:AL,28,FALSE)-50))</f>
        <v>193</v>
      </c>
      <c r="AB329" s="3">
        <v>211</v>
      </c>
      <c r="AC329" s="3">
        <f>IF(ISERROR((VLOOKUP($A329,'NonXtal_SegEnds_BW#'!$A:$Z,20,FALSE)+VLOOKUP($A329,A:AL,28,FALSE)-50)),"-",(VLOOKUP($A329,'NonXtal_SegEnds_BW#'!$A:$Z,20,FALSE)+VLOOKUP($A329,A:AL,28,FALSE)-50))</f>
        <v>229</v>
      </c>
      <c r="AD329" s="3">
        <f>IF(ISERROR(VLOOKUP($A329,'NonXtal_SegEnds_BW#'!$A:$Z,21,FALSE)+VLOOKUP($A329,A:AL,31,FALSE)-50),"-",(VLOOKUP($A329,'NonXtal_SegEnds_BW#'!$A:$Z,21,FALSE)+VLOOKUP($A329,A:AL,31,FALSE)-50))</f>
        <v>234</v>
      </c>
      <c r="AE329" s="3">
        <v>254</v>
      </c>
      <c r="AF329" s="3">
        <f>IF(ISERROR((VLOOKUP($A329,'NonXtal_SegEnds_BW#'!$A:$Z,22,FALSE)+VLOOKUP($A329,A:AL,31,FALSE)-50)),"-",(VLOOKUP($A329,'NonXtal_SegEnds_BW#'!$A:$Z,22,FALSE)+VLOOKUP($A329,A:AL,31,FALSE)-50))</f>
        <v>265</v>
      </c>
      <c r="AG329" s="3">
        <f>IF(ISERROR(VLOOKUP($A329,'NonXtal_SegEnds_BW#'!$A:$Z,23,FALSE)+VLOOKUP($A329,A:AL,34,FALSE)-50),"-",(VLOOKUP($A329,'NonXtal_SegEnds_BW#'!$A:$Z,23,FALSE)+VLOOKUP($A329,A:AL,34,FALSE)-50))</f>
        <v>270</v>
      </c>
      <c r="AH329" s="3">
        <v>288</v>
      </c>
      <c r="AI329" s="3">
        <f>IF(ISERROR((VLOOKUP($A329,'NonXtal_SegEnds_BW#'!$A:$Z,24,FALSE)+VLOOKUP($A329,A:AL,34,FALSE)-50)),"-",(VLOOKUP($A329,'NonXtal_SegEnds_BW#'!$A:$Z,24,FALSE)+VLOOKUP($A329,A:AL,34,FALSE)-50))</f>
        <v>294</v>
      </c>
      <c r="AJ329" s="3">
        <f>IF(ISERROR(VLOOKUP($A329,'NonXtal_SegEnds_BW#'!$A:$Z,25,FALSE)+VLOOKUP($A329,A:AL,37,FALSE)-50),"-",(VLOOKUP($A329,'NonXtal_SegEnds_BW#'!$A:$Z,25,FALSE)+VLOOKUP($A329,A:AL,37,FALSE)-50))</f>
        <v>295</v>
      </c>
      <c r="AK329" s="3">
        <v>298</v>
      </c>
      <c r="AL329" s="3">
        <f>IF(ISERROR((VLOOKUP($A329,'NonXtal_SegEnds_BW#'!$A:$Z,26,FALSE)+VLOOKUP($A329,A:AL,37,FALSE)-50)),"-",(VLOOKUP($A329,'NonXtal_SegEnds_BW#'!$A:$Z,26,FALSE)+VLOOKUP($A329,A:AL,37,FALSE)-50))</f>
        <v>307</v>
      </c>
      <c r="AM329" s="71" t="str">
        <f>VLOOKUP(A329,Classification!A:B,2,FALSE)</f>
        <v>A</v>
      </c>
      <c r="AN329" s="71" t="b">
        <f t="shared" si="170"/>
        <v>1</v>
      </c>
      <c r="AO329" s="3" t="str">
        <f t="shared" si="171"/>
        <v>-</v>
      </c>
      <c r="AP329" s="3" t="str">
        <f t="shared" si="172"/>
        <v>-</v>
      </c>
      <c r="AQ329" s="3" t="str">
        <f t="shared" si="173"/>
        <v>-</v>
      </c>
      <c r="AR329" s="3" t="str">
        <f t="shared" si="174"/>
        <v>-</v>
      </c>
      <c r="AS329" s="3">
        <f t="shared" si="175"/>
        <v>1</v>
      </c>
      <c r="AT329" s="3">
        <f t="shared" si="176"/>
        <v>2</v>
      </c>
      <c r="AU329" s="3" t="str">
        <f t="shared" si="177"/>
        <v>-</v>
      </c>
      <c r="AV329" s="3" t="str">
        <f t="shared" si="178"/>
        <v>-</v>
      </c>
      <c r="AW329" s="3">
        <f t="shared" si="179"/>
        <v>5</v>
      </c>
      <c r="AX329" s="3">
        <f t="shared" si="180"/>
        <v>5</v>
      </c>
      <c r="AY329" s="3">
        <f t="shared" si="181"/>
        <v>1</v>
      </c>
      <c r="AZ329" s="3">
        <f>IF(ISERROR(LEN(VLOOKUP(A329,Seqs!A:E,2,FALSE))-AL329),"-",LEN(VLOOKUP(A329,Seqs!A:E,2,FALSE))-AL329)</f>
        <v>36</v>
      </c>
      <c r="BA329" s="35">
        <f t="shared" si="182"/>
        <v>27</v>
      </c>
      <c r="BB329" s="3">
        <f t="shared" si="183"/>
        <v>20</v>
      </c>
      <c r="BC329" s="3">
        <f t="shared" si="184"/>
        <v>27</v>
      </c>
      <c r="BD329" s="3">
        <f t="shared" si="185"/>
        <v>43</v>
      </c>
    </row>
    <row r="330" spans="1:57" s="3" customFormat="1" x14ac:dyDescent="0.2">
      <c r="A330" s="3" t="s">
        <v>499</v>
      </c>
      <c r="B330" s="3" t="str">
        <f>LOWER(VLOOKUP(A330,Xtal_Templ!A:B,2,FALSE))</f>
        <v>p2ry1_human</v>
      </c>
      <c r="C330" s="3">
        <f>VLOOKUP($A330,'NonXtal_SegEnds_BW#'!$A:$Z,3,FALSE)+D330-50</f>
        <v>25</v>
      </c>
      <c r="D330" s="3">
        <v>45</v>
      </c>
      <c r="E330" s="3">
        <f>IF(ISERROR(VLOOKUP($A330,'NonXtal_SegEnds_BW#'!$A:$Z,4,FALSE)+VLOOKUP($A330,A:AL,4,FALSE)-50),"-",(VLOOKUP($A330,'NonXtal_SegEnds_BW#'!$A:$Z,4,FALSE)+VLOOKUP($A330,A:AL,4,FALSE)-50))</f>
        <v>55</v>
      </c>
      <c r="F330" s="3" t="str">
        <f>IF(ISERROR(VLOOKUP($A330,'NonXtal_SegEnds_BW#'!$A:$Z,5,FALSE)+VLOOKUP($A330,A:AL,7,FALSE)-50),"-",(VLOOKUP($A330,'NonXtal_SegEnds_BW#'!$A:$Z,5,FALSE)+VLOOKUP($A330,A:AL,7,FALSE)-50))</f>
        <v>-</v>
      </c>
      <c r="G330" s="3" t="s">
        <v>129</v>
      </c>
      <c r="H330" s="3" t="str">
        <f>IF(ISERROR(VLOOKUP($A330,'NonXtal_SegEnds_BW#'!$A:$Z,6,FALSE)+VLOOKUP($A330,A:AL,7,FALSE)-50),"-",(VLOOKUP($A330,'NonXtal_SegEnds_BW#'!$A:$Z,6,FALSE)+VLOOKUP($A330,A:AL,7,FALSE)-50))</f>
        <v>-</v>
      </c>
      <c r="I330" s="3">
        <f>VLOOKUP($A330,'NonXtal_SegEnds_BW#'!$A:$Z,7,FALSE)+J330-50</f>
        <v>59</v>
      </c>
      <c r="J330" s="3">
        <v>72</v>
      </c>
      <c r="K330" s="3">
        <f>VLOOKUP($A330,'NonXtal_SegEnds_BW#'!$A:$Z,8,FALSE)+VLOOKUP($A330,A:AL,10,FALSE)-50</f>
        <v>88</v>
      </c>
      <c r="L330" s="3" t="str">
        <f>IF(ISERROR(VLOOKUP($A330,'NonXtal_SegEnds_BW#'!$A:$Z,9,FALSE)+VLOOKUP($A330,A:AL,13,FALSE)-50),"-",(VLOOKUP($A330,'NonXtal_SegEnds_BW#'!$A:$Z,9,FALSE)+VLOOKUP($A330,A:AL,13,FALSE)-50))</f>
        <v>-</v>
      </c>
      <c r="M330" s="3" t="s">
        <v>129</v>
      </c>
      <c r="N330" s="3" t="str">
        <f>IF(ISERROR(VLOOKUP($A330,'NonXtal_SegEnds_BW#'!$A:$Z,10,FALSE)+VLOOKUP($A330,A:AL,13,FALSE)-50),"-",(VLOOKUP($A330,'NonXtal_SegEnds_BW#'!$A:$Z,10,FALSE)+VLOOKUP($A330,A:AL,13,FALSE)-50))</f>
        <v>-</v>
      </c>
      <c r="O330" s="3">
        <f>VLOOKUP($A330,'NonXtal_SegEnds_BW#'!$A:$Z,11,FALSE)+VLOOKUP($A330,A:AL,16,FALSE)-50</f>
        <v>94</v>
      </c>
      <c r="P330" s="3">
        <v>120</v>
      </c>
      <c r="Q330" s="3">
        <f>VLOOKUP($A330,'NonXtal_SegEnds_BW#'!$A:$Z,12,FALSE)+VLOOKUP($A330,A:AL,16,FALSE)-50</f>
        <v>126</v>
      </c>
      <c r="R330" s="3">
        <f>IF(ISERROR(VLOOKUP($A330,'NonXtal_SegEnds_BW#'!$A:$Z,13,FALSE)+VLOOKUP($A330,A:AL,19,FALSE)-50),"-",VLOOKUP($A330,'NonXtal_SegEnds_BW#'!$A:$Z,13,FALSE)+VLOOKUP($A330,A:AL,19,FALSE)-50)</f>
        <v>127</v>
      </c>
      <c r="S330" s="3">
        <v>127</v>
      </c>
      <c r="T330" s="3">
        <f>IF(ISERROR(VLOOKUP($A330,'NonXtal_SegEnds_BW#'!$A:$Z,14,FALSE)+VLOOKUP($A330,A:AL,19,FALSE)-50),"-",(VLOOKUP($A330,'NonXtal_SegEnds_BW#'!$A:$Z,14,FALSE)+VLOOKUP($A330,A:AL,19,FALSE)-50))</f>
        <v>134</v>
      </c>
      <c r="U330" s="3">
        <f>IF(ISERROR(VLOOKUP($A330,'NonXtal_SegEnds_BW#'!$A:$Z,15,FALSE)+VLOOKUP($A330,A:AL,22,FALSE)-50),"-",VLOOKUP($A330,'NonXtal_SegEnds_BW#'!$A:$Z,15,FALSE)+VLOOKUP($A330,A:AL,22,FALSE)-50)</f>
        <v>136</v>
      </c>
      <c r="V330" s="3">
        <v>147</v>
      </c>
      <c r="W330" s="3">
        <f>IF(ISERROR(VLOOKUP($A330,'NonXtal_SegEnds_BW#'!$A:$Z,16,FALSE)+VLOOKUP($A330,A:AL,22,FALSE)-50),"-",(VLOOKUP($A330,'NonXtal_SegEnds_BW#'!$A:$Z,16,FALSE)+VLOOKUP($A330,A:AL,22,FALSE)-50))</f>
        <v>161</v>
      </c>
      <c r="X330" s="3" t="str">
        <f>IF(ISERROR(VLOOKUP($A330,'NonXtal_SegEnds_BW#'!$A:$Z,17,FALSE)+VLOOKUP($A330,A:AL,25,FALSE)-50),"-",(VLOOKUP($A330,'NonXtal_SegEnds_BW#'!$A:$Z,17,FALSE)+VLOOKUP($A330,A:AL,25,FALSE)-50))</f>
        <v>-</v>
      </c>
      <c r="Y330" s="3" t="s">
        <v>129</v>
      </c>
      <c r="Z330" s="3" t="str">
        <f>IF(ISERROR(VLOOKUP($A330,'NonXtal_SegEnds_BW#'!$A:$Z,18,FALSE)+VLOOKUP($A330,A:AL,25,FALSE)-50),"-",(VLOOKUP($A330,'NonXtal_SegEnds_BW#'!$A:$Z,18,FALSE)+VLOOKUP($A330,A:AL,25,FALSE)-50))</f>
        <v>-</v>
      </c>
      <c r="AA330" s="3">
        <f>IF(ISERROR(VLOOKUP($A330,'NonXtal_SegEnds_BW#'!$A:$Z,19,FALSE)+VLOOKUP($A330,A:AL,28,FALSE)-50),"-",(VLOOKUP($A330,'NonXtal_SegEnds_BW#'!$A:$Z,19,FALSE)+VLOOKUP($A330,A:AL,28,FALSE)-50))</f>
        <v>171</v>
      </c>
      <c r="AB330" s="3">
        <v>189</v>
      </c>
      <c r="AC330" s="3">
        <f>IF(ISERROR((VLOOKUP($A330,'NonXtal_SegEnds_BW#'!$A:$Z,20,FALSE)+VLOOKUP($A330,A:AL,28,FALSE)-50)),"-",(VLOOKUP($A330,'NonXtal_SegEnds_BW#'!$A:$Z,20,FALSE)+VLOOKUP($A330,A:AL,28,FALSE)-50))</f>
        <v>207</v>
      </c>
      <c r="AD330" s="3">
        <f>IF(ISERROR(VLOOKUP($A330,'NonXtal_SegEnds_BW#'!$A:$Z,21,FALSE)+VLOOKUP($A330,A:AL,31,FALSE)-50),"-",(VLOOKUP($A330,'NonXtal_SegEnds_BW#'!$A:$Z,21,FALSE)+VLOOKUP($A330,A:AL,31,FALSE)-50))</f>
        <v>211</v>
      </c>
      <c r="AE330" s="3">
        <v>231</v>
      </c>
      <c r="AF330" s="3">
        <f>IF(ISERROR((VLOOKUP($A330,'NonXtal_SegEnds_BW#'!$A:$Z,22,FALSE)+VLOOKUP($A330,A:AL,31,FALSE)-50)),"-",(VLOOKUP($A330,'NonXtal_SegEnds_BW#'!$A:$Z,22,FALSE)+VLOOKUP($A330,A:AL,31,FALSE)-50))</f>
        <v>242</v>
      </c>
      <c r="AG330" s="3">
        <f>IF(ISERROR(VLOOKUP($A330,'NonXtal_SegEnds_BW#'!$A:$Z,23,FALSE)+VLOOKUP($A330,A:AL,34,FALSE)-50),"-",(VLOOKUP($A330,'NonXtal_SegEnds_BW#'!$A:$Z,23,FALSE)+VLOOKUP($A330,A:AL,34,FALSE)-50))</f>
        <v>247</v>
      </c>
      <c r="AH330" s="3">
        <v>269</v>
      </c>
      <c r="AI330" s="3">
        <f>IF(ISERROR((VLOOKUP($A330,'NonXtal_SegEnds_BW#'!$A:$Z,24,FALSE)+VLOOKUP($A330,A:AL,34,FALSE)-50)),"-",(VLOOKUP($A330,'NonXtal_SegEnds_BW#'!$A:$Z,24,FALSE)+VLOOKUP($A330,A:AL,34,FALSE)-50))</f>
        <v>275</v>
      </c>
      <c r="AJ330" s="3">
        <f>IF(ISERROR(VLOOKUP($A330,'NonXtal_SegEnds_BW#'!$A:$Z,25,FALSE)+VLOOKUP($A330,A:AL,37,FALSE)-50),"-",(VLOOKUP($A330,'NonXtal_SegEnds_BW#'!$A:$Z,25,FALSE)+VLOOKUP($A330,A:AL,37,FALSE)-50))</f>
        <v>276</v>
      </c>
      <c r="AK330" s="3">
        <v>279</v>
      </c>
      <c r="AL330" s="3">
        <f>IF(ISERROR((VLOOKUP($A330,'NonXtal_SegEnds_BW#'!$A:$Z,26,FALSE)+VLOOKUP($A330,A:AL,37,FALSE)-50)),"-",(VLOOKUP($A330,'NonXtal_SegEnds_BW#'!$A:$Z,26,FALSE)+VLOOKUP($A330,A:AL,37,FALSE)-50))</f>
        <v>288</v>
      </c>
      <c r="AM330" s="71" t="str">
        <f>VLOOKUP(A330,Classification!A:B,2,FALSE)</f>
        <v>A</v>
      </c>
      <c r="AN330" s="71" t="b">
        <f t="shared" si="170"/>
        <v>1</v>
      </c>
      <c r="AO330" s="3" t="str">
        <f t="shared" si="171"/>
        <v>-</v>
      </c>
      <c r="AP330" s="3" t="str">
        <f t="shared" si="172"/>
        <v>-</v>
      </c>
      <c r="AQ330" s="3" t="str">
        <f t="shared" si="173"/>
        <v>-</v>
      </c>
      <c r="AR330" s="3" t="str">
        <f t="shared" si="174"/>
        <v>-</v>
      </c>
      <c r="AS330" s="3">
        <f t="shared" si="175"/>
        <v>1</v>
      </c>
      <c r="AT330" s="3">
        <f t="shared" si="176"/>
        <v>2</v>
      </c>
      <c r="AU330" s="3" t="str">
        <f t="shared" si="177"/>
        <v>-</v>
      </c>
      <c r="AV330" s="3" t="str">
        <f t="shared" si="178"/>
        <v>-</v>
      </c>
      <c r="AW330" s="3">
        <f t="shared" si="179"/>
        <v>4</v>
      </c>
      <c r="AX330" s="3">
        <f t="shared" si="180"/>
        <v>5</v>
      </c>
      <c r="AY330" s="3">
        <f t="shared" si="181"/>
        <v>1</v>
      </c>
      <c r="AZ330" s="3">
        <f>IF(ISERROR(LEN(VLOOKUP(A330,Seqs!A:E,2,FALSE))-AL330),"-",LEN(VLOOKUP(A330,Seqs!A:E,2,FALSE))-AL330)</f>
        <v>34</v>
      </c>
      <c r="BA330" s="35">
        <f t="shared" si="182"/>
        <v>27</v>
      </c>
      <c r="BB330" s="3">
        <f t="shared" si="183"/>
        <v>20</v>
      </c>
      <c r="BC330" s="3">
        <f t="shared" si="184"/>
        <v>27</v>
      </c>
      <c r="BD330" s="3">
        <f t="shared" si="185"/>
        <v>42</v>
      </c>
    </row>
    <row r="331" spans="1:57" s="3" customFormat="1" x14ac:dyDescent="0.2">
      <c r="A331" s="3" t="s">
        <v>653</v>
      </c>
      <c r="B331" s="3" t="str">
        <f>LOWER(VLOOKUP(A331,Xtal_Templ!A:B,2,FALSE))</f>
        <v>p2ry1_human</v>
      </c>
      <c r="C331" s="3">
        <f>VLOOKUP($A331,'NonXtal_SegEnds_BW#'!$A:$Z,3,FALSE)+D331-50</f>
        <v>6</v>
      </c>
      <c r="D331" s="3">
        <v>24</v>
      </c>
      <c r="E331" s="3">
        <f>F331-1</f>
        <v>36</v>
      </c>
      <c r="F331" s="3">
        <f>G331-2</f>
        <v>37</v>
      </c>
      <c r="G331" s="3">
        <v>39</v>
      </c>
      <c r="H331" s="3">
        <f>G331+1</f>
        <v>40</v>
      </c>
      <c r="I331" s="3">
        <f>H331+1</f>
        <v>41</v>
      </c>
      <c r="J331" s="3">
        <v>55</v>
      </c>
      <c r="K331" s="3">
        <f>VLOOKUP($A331,'NonXtal_SegEnds_BW#'!$A:$Z,8,FALSE)+VLOOKUP($A331,A:AL,10,FALSE)-50</f>
        <v>72</v>
      </c>
      <c r="L331" s="3" t="str">
        <f>IF(ISERROR(VLOOKUP($A331,'NonXtal_SegEnds_BW#'!$A:$Z,9,FALSE)+VLOOKUP($A331,A:AL,13,FALSE)-50),"-",(VLOOKUP($A331,'NonXtal_SegEnds_BW#'!$A:$Z,9,FALSE)+VLOOKUP($A331,A:AL,13,FALSE)-50))</f>
        <v>-</v>
      </c>
      <c r="M331" s="3" t="s">
        <v>129</v>
      </c>
      <c r="N331" s="3" t="str">
        <f>IF(ISERROR(VLOOKUP($A331,'NonXtal_SegEnds_BW#'!$A:$Z,10,FALSE)+VLOOKUP($A331,A:AL,13,FALSE)-50),"-",(VLOOKUP($A331,'NonXtal_SegEnds_BW#'!$A:$Z,10,FALSE)+VLOOKUP($A331,A:AL,13,FALSE)-50))</f>
        <v>-</v>
      </c>
      <c r="O331" s="3">
        <f>VLOOKUP($A331,'NonXtal_SegEnds_BW#'!$A:$Z,11,FALSE)+VLOOKUP($A331,A:AL,16,FALSE)-50</f>
        <v>75</v>
      </c>
      <c r="P331" s="3">
        <v>107</v>
      </c>
      <c r="Q331" s="3">
        <f>VLOOKUP($A331,'NonXtal_SegEnds_BW#'!$A:$Z,12,FALSE)+VLOOKUP($A331,A:AL,16,FALSE)-50</f>
        <v>113</v>
      </c>
      <c r="R331" s="3">
        <f>S331</f>
        <v>116</v>
      </c>
      <c r="S331" s="3">
        <v>116</v>
      </c>
      <c r="T331" s="3">
        <f>S331+7</f>
        <v>123</v>
      </c>
      <c r="U331" s="3">
        <f>IF(ISERROR(VLOOKUP($A331,'NonXtal_SegEnds_BW#'!$A:$Z,15,FALSE)+VLOOKUP($A331,A:AL,22,FALSE)-50),"-",VLOOKUP($A331,'NonXtal_SegEnds_BW#'!$A:$Z,15,FALSE)+VLOOKUP($A331,A:AL,22,FALSE)-50)</f>
        <v>125</v>
      </c>
      <c r="V331" s="3">
        <v>136</v>
      </c>
      <c r="W331" s="3">
        <f>IF(ISERROR(VLOOKUP($A331,'NonXtal_SegEnds_BW#'!$A:$Z,16,FALSE)+VLOOKUP($A331,A:AL,22,FALSE)-50),"-",(VLOOKUP($A331,'NonXtal_SegEnds_BW#'!$A:$Z,16,FALSE)+VLOOKUP($A331,A:AL,22,FALSE)-50))</f>
        <v>150</v>
      </c>
      <c r="X331" s="3" t="str">
        <f>IF(ISERROR(VLOOKUP($A331,'NonXtal_SegEnds_BW#'!$A:$Z,17,FALSE)+VLOOKUP($A331,A:AL,25,FALSE)-50),"-",(VLOOKUP($A331,'NonXtal_SegEnds_BW#'!$A:$Z,17,FALSE)+VLOOKUP($A331,A:AL,25,FALSE)-50))</f>
        <v>-</v>
      </c>
      <c r="Y331" s="3" t="s">
        <v>129</v>
      </c>
      <c r="Z331" s="3" t="str">
        <f>IF(ISERROR(VLOOKUP($A331,'NonXtal_SegEnds_BW#'!$A:$Z,18,FALSE)+VLOOKUP($A331,A:AL,25,FALSE)-50),"-",(VLOOKUP($A331,'NonXtal_SegEnds_BW#'!$A:$Z,18,FALSE)+VLOOKUP($A331,A:AL,25,FALSE)-50))</f>
        <v>-</v>
      </c>
      <c r="AA331" s="3">
        <f>IF(ISERROR(VLOOKUP($A331,'NonXtal_SegEnds_BW#'!$A:$Z,19,FALSE)+VLOOKUP($A331,A:AL,28,FALSE)-50),"-",(VLOOKUP($A331,'NonXtal_SegEnds_BW#'!$A:$Z,19,FALSE)+VLOOKUP($A331,A:AL,28,FALSE)-50))</f>
        <v>172</v>
      </c>
      <c r="AB331" s="3">
        <v>190</v>
      </c>
      <c r="AC331" s="3">
        <f>IF(ISERROR((VLOOKUP($A331,'NonXtal_SegEnds_BW#'!$A:$Z,20,FALSE)+VLOOKUP($A331,A:AL,28,FALSE)-50)),"-",(VLOOKUP($A331,'NonXtal_SegEnds_BW#'!$A:$Z,20,FALSE)+VLOOKUP($A331,A:AL,28,FALSE)-50))</f>
        <v>212</v>
      </c>
      <c r="AD331" s="3">
        <f>IF(ISERROR(VLOOKUP($A331,'NonXtal_SegEnds_BW#'!$A:$Z,21,FALSE)+VLOOKUP($A331,A:AL,31,FALSE)-50),"-",(VLOOKUP($A331,'NonXtal_SegEnds_BW#'!$A:$Z,21,FALSE)+VLOOKUP($A331,A:AL,31,FALSE)-50))</f>
        <v>221</v>
      </c>
      <c r="AE331" s="3">
        <v>242</v>
      </c>
      <c r="AF331" s="3">
        <f>IF(ISERROR((VLOOKUP($A331,'NonXtal_SegEnds_BW#'!$A:$Z,22,FALSE)+VLOOKUP($A331,A:AL,31,FALSE)-50)),"-",(VLOOKUP($A331,'NonXtal_SegEnds_BW#'!$A:$Z,22,FALSE)+VLOOKUP($A331,A:AL,31,FALSE)-50))</f>
        <v>253</v>
      </c>
      <c r="AG331" s="3">
        <f>IF(ISERROR(VLOOKUP($A331,'NonXtal_SegEnds_BW#'!$A:$Z,23,FALSE)+VLOOKUP($A331,A:AL,34,FALSE)-50),"-",(VLOOKUP($A331,'NonXtal_SegEnds_BW#'!$A:$Z,23,FALSE)+VLOOKUP($A331,A:AL,34,FALSE)-50))</f>
        <v>258</v>
      </c>
      <c r="AH331" s="3">
        <v>277</v>
      </c>
      <c r="AI331" s="3">
        <f>IF(ISERROR((VLOOKUP($A331,'NonXtal_SegEnds_BW#'!$A:$Z,24,FALSE)+VLOOKUP($A331,A:AL,34,FALSE)-50)),"-",(VLOOKUP($A331,'NonXtal_SegEnds_BW#'!$A:$Z,24,FALSE)+VLOOKUP($A331,A:AL,34,FALSE)-50))</f>
        <v>283</v>
      </c>
      <c r="AJ331" s="3">
        <f>IF(ISERROR(VLOOKUP($A331,'NonXtal_SegEnds_BW#'!$A:$Z,25,FALSE)+VLOOKUP($A331,A:AL,37,FALSE)-50),"-",(VLOOKUP($A331,'NonXtal_SegEnds_BW#'!$A:$Z,25,FALSE)+VLOOKUP($A331,A:AL,37,FALSE)-50))</f>
        <v>284</v>
      </c>
      <c r="AK331" s="3">
        <v>287</v>
      </c>
      <c r="AL331" s="3">
        <f>IF(ISERROR((VLOOKUP($A331,'NonXtal_SegEnds_BW#'!$A:$Z,26,FALSE)+VLOOKUP($A331,A:AL,37,FALSE)-50)),"-",(VLOOKUP($A331,'NonXtal_SegEnds_BW#'!$A:$Z,26,FALSE)+VLOOKUP($A331,A:AL,37,FALSE)-50))</f>
        <v>297</v>
      </c>
      <c r="AM331" s="71" t="str">
        <f>VLOOKUP(A331,Classification!A:B,2,FALSE)</f>
        <v>T</v>
      </c>
      <c r="AN331" s="71" t="b">
        <f t="shared" si="170"/>
        <v>1</v>
      </c>
      <c r="AO331" s="3">
        <f t="shared" si="171"/>
        <v>1</v>
      </c>
      <c r="AP331" s="3">
        <f t="shared" si="172"/>
        <v>1</v>
      </c>
      <c r="AQ331" s="3" t="str">
        <f t="shared" si="173"/>
        <v>-</v>
      </c>
      <c r="AR331" s="3" t="str">
        <f t="shared" si="174"/>
        <v>-</v>
      </c>
      <c r="AS331" s="3">
        <f t="shared" si="175"/>
        <v>3</v>
      </c>
      <c r="AT331" s="3">
        <f t="shared" si="176"/>
        <v>2</v>
      </c>
      <c r="AU331" s="3" t="str">
        <f t="shared" si="177"/>
        <v>-</v>
      </c>
      <c r="AV331" s="3" t="str">
        <f t="shared" si="178"/>
        <v>-</v>
      </c>
      <c r="AW331" s="3">
        <f t="shared" si="179"/>
        <v>9</v>
      </c>
      <c r="AX331" s="3">
        <f t="shared" si="180"/>
        <v>5</v>
      </c>
      <c r="AY331" s="3">
        <f t="shared" si="181"/>
        <v>1</v>
      </c>
      <c r="AZ331" s="3">
        <f>IF(ISERROR(LEN(VLOOKUP(A331,Seqs!A:E,2,FALSE))-AL331),"-",LEN(VLOOKUP(A331,Seqs!A:E,2,FALSE))-AL331)</f>
        <v>20</v>
      </c>
      <c r="BA331" s="35">
        <f t="shared" si="182"/>
        <v>31</v>
      </c>
      <c r="BB331" s="3">
        <f t="shared" si="183"/>
        <v>20</v>
      </c>
      <c r="BC331" s="3">
        <f t="shared" si="184"/>
        <v>31</v>
      </c>
      <c r="BD331" s="3">
        <f t="shared" si="185"/>
        <v>52</v>
      </c>
      <c r="BE331" s="3">
        <f>AH331-AE331</f>
        <v>35</v>
      </c>
    </row>
    <row r="332" spans="1:57" s="3" customFormat="1" x14ac:dyDescent="0.2">
      <c r="A332" s="3" t="s">
        <v>434</v>
      </c>
      <c r="B332" s="3" t="str">
        <f>LOWER(VLOOKUP(A332,Xtal_Templ!A:B,2,FALSE))</f>
        <v>p2ry1_human</v>
      </c>
      <c r="C332" s="3">
        <f>VLOOKUP($A332,'NonXtal_SegEnds_BW#'!$A:$Z,3,FALSE)+D332-50</f>
        <v>57</v>
      </c>
      <c r="D332" s="3">
        <v>77</v>
      </c>
      <c r="E332" s="3">
        <f>IF(ISERROR(VLOOKUP($A332,'NonXtal_SegEnds_BW#'!$A:$Z,4,FALSE)+VLOOKUP($A332,A:AL,4,FALSE)-50),"-",(VLOOKUP($A332,'NonXtal_SegEnds_BW#'!$A:$Z,4,FALSE)+VLOOKUP($A332,A:AL,4,FALSE)-50))</f>
        <v>87</v>
      </c>
      <c r="F332" s="3" t="str">
        <f>IF(ISERROR(VLOOKUP($A332,'NonXtal_SegEnds_BW#'!$A:$Z,5,FALSE)+VLOOKUP($A332,A:AL,7,FALSE)-50),"-",(VLOOKUP($A332,'NonXtal_SegEnds_BW#'!$A:$Z,5,FALSE)+VLOOKUP($A332,A:AL,7,FALSE)-50))</f>
        <v>-</v>
      </c>
      <c r="G332" s="3" t="s">
        <v>129</v>
      </c>
      <c r="H332" s="3" t="str">
        <f>IF(ISERROR(VLOOKUP($A332,'NonXtal_SegEnds_BW#'!$A:$Z,6,FALSE)+VLOOKUP($A332,A:AL,7,FALSE)-50),"-",(VLOOKUP($A332,'NonXtal_SegEnds_BW#'!$A:$Z,6,FALSE)+VLOOKUP($A332,A:AL,7,FALSE)-50))</f>
        <v>-</v>
      </c>
      <c r="I332" s="3">
        <f>VLOOKUP($A332,'NonXtal_SegEnds_BW#'!$A:$Z,7,FALSE)+J332-50</f>
        <v>92</v>
      </c>
      <c r="J332" s="3">
        <v>105</v>
      </c>
      <c r="K332" s="3">
        <f>VLOOKUP($A332,'NonXtal_SegEnds_BW#'!$A:$Z,8,FALSE)+VLOOKUP($A332,A:AL,10,FALSE)-50</f>
        <v>121</v>
      </c>
      <c r="L332" s="3">
        <f t="shared" ref="L332:L354" si="186">M332-1</f>
        <v>124</v>
      </c>
      <c r="M332" s="3">
        <v>125</v>
      </c>
      <c r="N332" s="3">
        <f t="shared" ref="N332:N354" si="187">M332+2</f>
        <v>127</v>
      </c>
      <c r="O332" s="3">
        <f t="shared" ref="O332:O354" si="188">N332+1</f>
        <v>128</v>
      </c>
      <c r="P332" s="3">
        <v>157</v>
      </c>
      <c r="Q332" s="3">
        <f>VLOOKUP($A332,'NonXtal_SegEnds_BW#'!$A:$Z,12,FALSE)+VLOOKUP($A332,A:AL,16,FALSE)-50</f>
        <v>163</v>
      </c>
      <c r="R332" s="3">
        <f>IF(ISERROR(VLOOKUP($A332,'NonXtal_SegEnds_BW#'!$A:$Z,13,FALSE)+VLOOKUP($A332,A:AL,19,FALSE)-50),"-",VLOOKUP($A332,'NonXtal_SegEnds_BW#'!$A:$Z,13,FALSE)+VLOOKUP($A332,A:AL,19,FALSE)-50)</f>
        <v>164</v>
      </c>
      <c r="S332" s="3">
        <v>164</v>
      </c>
      <c r="T332" s="3">
        <f>IF(ISERROR(VLOOKUP($A332,'NonXtal_SegEnds_BW#'!$A:$Z,14,FALSE)+VLOOKUP($A332,A:AL,19,FALSE)-50),"-",(VLOOKUP($A332,'NonXtal_SegEnds_BW#'!$A:$Z,14,FALSE)+VLOOKUP($A332,A:AL,19,FALSE)-50))</f>
        <v>171</v>
      </c>
      <c r="U332" s="3">
        <f>IF(ISERROR(VLOOKUP($A332,'NonXtal_SegEnds_BW#'!$A:$Z,15,FALSE)+VLOOKUP($A332,A:AL,22,FALSE)-50),"-",VLOOKUP($A332,'NonXtal_SegEnds_BW#'!$A:$Z,15,FALSE)+VLOOKUP($A332,A:AL,22,FALSE)-50)</f>
        <v>173</v>
      </c>
      <c r="V332" s="3">
        <v>184</v>
      </c>
      <c r="W332" s="3">
        <f>IF(ISERROR(VLOOKUP($A332,'NonXtal_SegEnds_BW#'!$A:$Z,16,FALSE)+VLOOKUP($A332,A:AL,22,FALSE)-50),"-",(VLOOKUP($A332,'NonXtal_SegEnds_BW#'!$A:$Z,16,FALSE)+VLOOKUP($A332,A:AL,22,FALSE)-50))</f>
        <v>198</v>
      </c>
      <c r="X332" s="3">
        <f>IF(ISERROR(VLOOKUP($A332,'NonXtal_SegEnds_BW#'!$A:$Z,17,FALSE)+VLOOKUP($A332,A:AL,25,FALSE)-50),"-",(VLOOKUP($A332,'NonXtal_SegEnds_BW#'!$A:$Z,17,FALSE)+VLOOKUP($A332,A:AL,25,FALSE)-50))</f>
        <v>209</v>
      </c>
      <c r="Y332" s="3">
        <v>209</v>
      </c>
      <c r="Z332" s="3">
        <f t="shared" ref="Z332:Z354" si="189">Y332+2</f>
        <v>211</v>
      </c>
      <c r="AA332" s="3">
        <f>IF(ISERROR(VLOOKUP($A332,'NonXtal_SegEnds_BW#'!$A:$Z,19,FALSE)+VLOOKUP($A332,A:AL,28,FALSE)-50),"-",(VLOOKUP($A332,'NonXtal_SegEnds_BW#'!$A:$Z,19,FALSE)+VLOOKUP($A332,A:AL,28,FALSE)-50))</f>
        <v>214</v>
      </c>
      <c r="AB332" s="3">
        <v>232</v>
      </c>
      <c r="AC332" s="3">
        <f>IF(ISERROR((VLOOKUP($A332,'NonXtal_SegEnds_BW#'!$A:$Z,20,FALSE)+VLOOKUP($A332,A:AL,28,FALSE)-50)),"-",(VLOOKUP($A332,'NonXtal_SegEnds_BW#'!$A:$Z,20,FALSE)+VLOOKUP($A332,A:AL,28,FALSE)-50))</f>
        <v>249</v>
      </c>
      <c r="AD332" s="3">
        <f>IF(ISERROR(VLOOKUP($A332,'NonXtal_SegEnds_BW#'!$A:$Z,21,FALSE)+VLOOKUP($A332,A:AL,31,FALSE)-50),"-",(VLOOKUP($A332,'NonXtal_SegEnds_BW#'!$A:$Z,21,FALSE)+VLOOKUP($A332,A:AL,31,FALSE)-50))</f>
        <v>254</v>
      </c>
      <c r="AE332" s="3">
        <v>278</v>
      </c>
      <c r="AF332" s="3">
        <f>IF(ISERROR((VLOOKUP($A332,'NonXtal_SegEnds_BW#'!$A:$Z,22,FALSE)+VLOOKUP($A332,A:AL,31,FALSE)-50)),"-",(VLOOKUP($A332,'NonXtal_SegEnds_BW#'!$A:$Z,22,FALSE)+VLOOKUP($A332,A:AL,31,FALSE)-50))</f>
        <v>292</v>
      </c>
      <c r="AG332" s="3">
        <f>IF(ISERROR(VLOOKUP($A332,'NonXtal_SegEnds_BW#'!$A:$Z,23,FALSE)+VLOOKUP($A332,A:AL,34,FALSE)-50),"-",(VLOOKUP($A332,'NonXtal_SegEnds_BW#'!$A:$Z,23,FALSE)+VLOOKUP($A332,A:AL,34,FALSE)-50))</f>
        <v>296</v>
      </c>
      <c r="AH332" s="3">
        <v>322</v>
      </c>
      <c r="AI332" s="3">
        <f>IF(ISERROR((VLOOKUP($A332,'NonXtal_SegEnds_BW#'!$A:$Z,24,FALSE)+VLOOKUP($A332,A:AL,34,FALSE)-50)),"-",(VLOOKUP($A332,'NonXtal_SegEnds_BW#'!$A:$Z,24,FALSE)+VLOOKUP($A332,A:AL,34,FALSE)-50))</f>
        <v>328</v>
      </c>
      <c r="AJ332" s="3">
        <f>IF(ISERROR(VLOOKUP($A332,'NonXtal_SegEnds_BW#'!$A:$Z,25,FALSE)+VLOOKUP($A332,A:AL,37,FALSE)-50),"-",(VLOOKUP($A332,'NonXtal_SegEnds_BW#'!$A:$Z,25,FALSE)+VLOOKUP($A332,A:AL,37,FALSE)-50))</f>
        <v>329</v>
      </c>
      <c r="AK332" s="3">
        <v>332</v>
      </c>
      <c r="AL332" s="3">
        <f>IF(ISERROR((VLOOKUP($A332,'NonXtal_SegEnds_BW#'!$A:$Z,26,FALSE)+VLOOKUP($A332,A:AL,37,FALSE)-50)),"-",(VLOOKUP($A332,'NonXtal_SegEnds_BW#'!$A:$Z,26,FALSE)+VLOOKUP($A332,A:AL,37,FALSE)-50))</f>
        <v>341</v>
      </c>
      <c r="AM332" s="71" t="str">
        <f>VLOOKUP(A332,Classification!A:B,2,FALSE)</f>
        <v>A</v>
      </c>
      <c r="AN332" s="71" t="b">
        <f t="shared" si="170"/>
        <v>1</v>
      </c>
      <c r="AO332" s="3" t="str">
        <f t="shared" si="171"/>
        <v>-</v>
      </c>
      <c r="AP332" s="3" t="str">
        <f t="shared" si="172"/>
        <v>-</v>
      </c>
      <c r="AQ332" s="3">
        <f t="shared" si="173"/>
        <v>3</v>
      </c>
      <c r="AR332" s="3">
        <f t="shared" si="174"/>
        <v>1</v>
      </c>
      <c r="AS332" s="3">
        <f t="shared" si="175"/>
        <v>1</v>
      </c>
      <c r="AT332" s="3">
        <f t="shared" si="176"/>
        <v>2</v>
      </c>
      <c r="AU332" s="3">
        <f t="shared" si="177"/>
        <v>11</v>
      </c>
      <c r="AV332" s="3">
        <f t="shared" si="178"/>
        <v>3</v>
      </c>
      <c r="AW332" s="3">
        <f t="shared" si="179"/>
        <v>5</v>
      </c>
      <c r="AX332" s="3">
        <f t="shared" si="180"/>
        <v>4</v>
      </c>
      <c r="AY332" s="3">
        <f t="shared" si="181"/>
        <v>1</v>
      </c>
      <c r="AZ332" s="3">
        <f>IF(ISERROR(LEN(VLOOKUP(A332,Seqs!A:E,2,FALSE))-AL332),"-",LEN(VLOOKUP(A332,Seqs!A:E,2,FALSE))-AL332)</f>
        <v>26</v>
      </c>
      <c r="BA332" s="35">
        <f t="shared" si="182"/>
        <v>28</v>
      </c>
      <c r="BB332" s="3">
        <f t="shared" si="183"/>
        <v>20</v>
      </c>
      <c r="BC332" s="3">
        <f t="shared" si="184"/>
        <v>28</v>
      </c>
      <c r="BD332" s="3">
        <f t="shared" si="185"/>
        <v>46</v>
      </c>
      <c r="BE332" s="3">
        <f>AH332-AE332</f>
        <v>44</v>
      </c>
    </row>
    <row r="333" spans="1:57" s="3" customFormat="1" x14ac:dyDescent="0.2">
      <c r="A333" s="3" t="s">
        <v>539</v>
      </c>
      <c r="B333" s="3" t="str">
        <f>LOWER(VLOOKUP(A333,Xtal_Templ!A:B,2,FALSE))</f>
        <v>p2ry1_human</v>
      </c>
      <c r="C333" s="3">
        <f>VLOOKUP($A333,'NonXtal_SegEnds_BW#'!$A:$Z,3,FALSE)+D333-50</f>
        <v>49</v>
      </c>
      <c r="D333" s="3">
        <v>69</v>
      </c>
      <c r="E333" s="3">
        <f>IF(ISERROR(VLOOKUP($A333,'NonXtal_SegEnds_BW#'!$A:$Z,4,FALSE)+VLOOKUP($A333,A:AL,4,FALSE)-50),"-",(VLOOKUP($A333,'NonXtal_SegEnds_BW#'!$A:$Z,4,FALSE)+VLOOKUP($A333,A:AL,4,FALSE)-50))</f>
        <v>79</v>
      </c>
      <c r="F333" s="3" t="str">
        <f>IF(ISERROR(VLOOKUP($A333,'NonXtal_SegEnds_BW#'!$A:$Z,5,FALSE)+VLOOKUP($A333,A:AL,7,FALSE)-50),"-",(VLOOKUP($A333,'NonXtal_SegEnds_BW#'!$A:$Z,5,FALSE)+VLOOKUP($A333,A:AL,7,FALSE)-50))</f>
        <v>-</v>
      </c>
      <c r="G333" s="3" t="s">
        <v>129</v>
      </c>
      <c r="H333" s="3" t="str">
        <f>IF(ISERROR(VLOOKUP($A333,'NonXtal_SegEnds_BW#'!$A:$Z,6,FALSE)+VLOOKUP($A333,A:AL,7,FALSE)-50),"-",(VLOOKUP($A333,'NonXtal_SegEnds_BW#'!$A:$Z,6,FALSE)+VLOOKUP($A333,A:AL,7,FALSE)-50))</f>
        <v>-</v>
      </c>
      <c r="I333" s="3">
        <f>VLOOKUP($A333,'NonXtal_SegEnds_BW#'!$A:$Z,7,FALSE)+J333-50</f>
        <v>84</v>
      </c>
      <c r="J333" s="3">
        <v>97</v>
      </c>
      <c r="K333" s="3">
        <f>VLOOKUP($A333,'NonXtal_SegEnds_BW#'!$A:$Z,8,FALSE)+VLOOKUP($A333,A:AL,10,FALSE)-50</f>
        <v>113</v>
      </c>
      <c r="L333" s="3">
        <f t="shared" si="186"/>
        <v>116</v>
      </c>
      <c r="M333" s="3">
        <v>117</v>
      </c>
      <c r="N333" s="3">
        <f t="shared" si="187"/>
        <v>119</v>
      </c>
      <c r="O333" s="3">
        <f t="shared" si="188"/>
        <v>120</v>
      </c>
      <c r="P333" s="3">
        <v>149</v>
      </c>
      <c r="Q333" s="3">
        <f>VLOOKUP($A333,'NonXtal_SegEnds_BW#'!$A:$Z,12,FALSE)+VLOOKUP($A333,A:AL,16,FALSE)-50</f>
        <v>155</v>
      </c>
      <c r="R333" s="3">
        <f>IF(ISERROR(VLOOKUP($A333,'NonXtal_SegEnds_BW#'!$A:$Z,13,FALSE)+VLOOKUP($A333,A:AL,19,FALSE)-50),"-",VLOOKUP($A333,'NonXtal_SegEnds_BW#'!$A:$Z,13,FALSE)+VLOOKUP($A333,A:AL,19,FALSE)-50)</f>
        <v>156</v>
      </c>
      <c r="S333" s="3">
        <v>156</v>
      </c>
      <c r="T333" s="3">
        <f>IF(ISERROR(VLOOKUP($A333,'NonXtal_SegEnds_BW#'!$A:$Z,14,FALSE)+VLOOKUP($A333,A:AL,19,FALSE)-50),"-",(VLOOKUP($A333,'NonXtal_SegEnds_BW#'!$A:$Z,14,FALSE)+VLOOKUP($A333,A:AL,19,FALSE)-50))</f>
        <v>163</v>
      </c>
      <c r="U333" s="3">
        <f>IF(ISERROR(VLOOKUP($A333,'NonXtal_SegEnds_BW#'!$A:$Z,15,FALSE)+VLOOKUP($A333,A:AL,22,FALSE)-50),"-",VLOOKUP($A333,'NonXtal_SegEnds_BW#'!$A:$Z,15,FALSE)+VLOOKUP($A333,A:AL,22,FALSE)-50)</f>
        <v>165</v>
      </c>
      <c r="V333" s="3">
        <v>176</v>
      </c>
      <c r="W333" s="3">
        <f>IF(ISERROR(VLOOKUP($A333,'NonXtal_SegEnds_BW#'!$A:$Z,16,FALSE)+VLOOKUP($A333,A:AL,22,FALSE)-50),"-",(VLOOKUP($A333,'NonXtal_SegEnds_BW#'!$A:$Z,16,FALSE)+VLOOKUP($A333,A:AL,22,FALSE)-50))</f>
        <v>190</v>
      </c>
      <c r="X333" s="3">
        <f>IF(ISERROR(VLOOKUP($A333,'NonXtal_SegEnds_BW#'!$A:$Z,17,FALSE)+VLOOKUP($A333,A:AL,25,FALSE)-50),"-",(VLOOKUP($A333,'NonXtal_SegEnds_BW#'!$A:$Z,17,FALSE)+VLOOKUP($A333,A:AL,25,FALSE)-50))</f>
        <v>202</v>
      </c>
      <c r="Y333" s="3">
        <v>202</v>
      </c>
      <c r="Z333" s="3">
        <f t="shared" si="189"/>
        <v>204</v>
      </c>
      <c r="AA333" s="3">
        <f>IF(ISERROR(VLOOKUP($A333,'NonXtal_SegEnds_BW#'!$A:$Z,19,FALSE)+VLOOKUP($A333,A:AL,28,FALSE)-50),"-",(VLOOKUP($A333,'NonXtal_SegEnds_BW#'!$A:$Z,19,FALSE)+VLOOKUP($A333,A:AL,28,FALSE)-50))</f>
        <v>211</v>
      </c>
      <c r="AB333" s="3">
        <v>229</v>
      </c>
      <c r="AC333" s="3">
        <f>IF(ISERROR((VLOOKUP($A333,'NonXtal_SegEnds_BW#'!$A:$Z,20,FALSE)+VLOOKUP($A333,A:AL,28,FALSE)-50)),"-",(VLOOKUP($A333,'NonXtal_SegEnds_BW#'!$A:$Z,20,FALSE)+VLOOKUP($A333,A:AL,28,FALSE)-50))</f>
        <v>247</v>
      </c>
      <c r="AD333" s="3">
        <f>IF(ISERROR(VLOOKUP($A333,'NonXtal_SegEnds_BW#'!$A:$Z,21,FALSE)+VLOOKUP($A333,A:AL,31,FALSE)-50),"-",(VLOOKUP($A333,'NonXtal_SegEnds_BW#'!$A:$Z,21,FALSE)+VLOOKUP($A333,A:AL,31,FALSE)-50))</f>
        <v>253</v>
      </c>
      <c r="AE333" s="3">
        <v>275</v>
      </c>
      <c r="AF333" s="3">
        <f>IF(ISERROR((VLOOKUP($A333,'NonXtal_SegEnds_BW#'!$A:$Z,22,FALSE)+VLOOKUP($A333,A:AL,31,FALSE)-50)),"-",(VLOOKUP($A333,'NonXtal_SegEnds_BW#'!$A:$Z,22,FALSE)+VLOOKUP($A333,A:AL,31,FALSE)-50))</f>
        <v>289</v>
      </c>
      <c r="AG333" s="3">
        <f>IF(ISERROR(VLOOKUP($A333,'NonXtal_SegEnds_BW#'!$A:$Z,23,FALSE)+VLOOKUP($A333,A:AL,34,FALSE)-50),"-",(VLOOKUP($A333,'NonXtal_SegEnds_BW#'!$A:$Z,23,FALSE)+VLOOKUP($A333,A:AL,34,FALSE)-50))</f>
        <v>295</v>
      </c>
      <c r="AH333" s="3">
        <v>321</v>
      </c>
      <c r="AI333" s="3">
        <f>IF(ISERROR((VLOOKUP($A333,'NonXtal_SegEnds_BW#'!$A:$Z,24,FALSE)+VLOOKUP($A333,A:AL,34,FALSE)-50)),"-",(VLOOKUP($A333,'NonXtal_SegEnds_BW#'!$A:$Z,24,FALSE)+VLOOKUP($A333,A:AL,34,FALSE)-50))</f>
        <v>327</v>
      </c>
      <c r="AJ333" s="3">
        <f>IF(ISERROR(VLOOKUP($A333,'NonXtal_SegEnds_BW#'!$A:$Z,25,FALSE)+VLOOKUP($A333,A:AL,37,FALSE)-50),"-",(VLOOKUP($A333,'NonXtal_SegEnds_BW#'!$A:$Z,25,FALSE)+VLOOKUP($A333,A:AL,37,FALSE)-50))</f>
        <v>328</v>
      </c>
      <c r="AK333" s="3">
        <v>331</v>
      </c>
      <c r="AL333" s="3">
        <f>IF(ISERROR((VLOOKUP($A333,'NonXtal_SegEnds_BW#'!$A:$Z,26,FALSE)+VLOOKUP($A333,A:AL,37,FALSE)-50)),"-",(VLOOKUP($A333,'NonXtal_SegEnds_BW#'!$A:$Z,26,FALSE)+VLOOKUP($A333,A:AL,37,FALSE)-50))</f>
        <v>340</v>
      </c>
      <c r="AM333" s="71" t="str">
        <f>VLOOKUP(A333,Classification!A:B,2,FALSE)</f>
        <v>A</v>
      </c>
      <c r="AN333" s="71" t="b">
        <f t="shared" si="170"/>
        <v>1</v>
      </c>
      <c r="AO333" s="3" t="str">
        <f t="shared" si="171"/>
        <v>-</v>
      </c>
      <c r="AP333" s="3" t="str">
        <f t="shared" si="172"/>
        <v>-</v>
      </c>
      <c r="AQ333" s="3">
        <f t="shared" si="173"/>
        <v>3</v>
      </c>
      <c r="AR333" s="3">
        <f t="shared" si="174"/>
        <v>1</v>
      </c>
      <c r="AS333" s="3">
        <f t="shared" si="175"/>
        <v>1</v>
      </c>
      <c r="AT333" s="3">
        <f t="shared" si="176"/>
        <v>2</v>
      </c>
      <c r="AU333" s="3">
        <f t="shared" si="177"/>
        <v>12</v>
      </c>
      <c r="AV333" s="3">
        <f t="shared" si="178"/>
        <v>7</v>
      </c>
      <c r="AW333" s="3">
        <f t="shared" si="179"/>
        <v>6</v>
      </c>
      <c r="AX333" s="3">
        <f t="shared" si="180"/>
        <v>6</v>
      </c>
      <c r="AY333" s="3">
        <f t="shared" si="181"/>
        <v>1</v>
      </c>
      <c r="AZ333" s="3">
        <f>IF(ISERROR(LEN(VLOOKUP(A333,Seqs!A:E,2,FALSE))-AL333),"-",LEN(VLOOKUP(A333,Seqs!A:E,2,FALSE))-AL333)</f>
        <v>33</v>
      </c>
      <c r="BA333" s="35">
        <f t="shared" si="182"/>
        <v>28</v>
      </c>
      <c r="BB333" s="3">
        <f t="shared" si="183"/>
        <v>20</v>
      </c>
      <c r="BC333" s="3">
        <f t="shared" si="184"/>
        <v>28</v>
      </c>
      <c r="BD333" s="3">
        <f t="shared" si="185"/>
        <v>46</v>
      </c>
    </row>
    <row r="334" spans="1:57" s="3" customFormat="1" x14ac:dyDescent="0.2">
      <c r="A334" s="3" t="s">
        <v>545</v>
      </c>
      <c r="B334" s="3" t="str">
        <f>LOWER(VLOOKUP(A334,Xtal_Templ!A:B,2,FALSE))</f>
        <v>p2ry1_human</v>
      </c>
      <c r="C334" s="3">
        <f>VLOOKUP($A334,'NonXtal_SegEnds_BW#'!$A:$Z,3,FALSE)+D334-50</f>
        <v>26</v>
      </c>
      <c r="D334" s="3">
        <v>46</v>
      </c>
      <c r="E334" s="3">
        <f>IF(ISERROR(VLOOKUP($A334,'NonXtal_SegEnds_BW#'!$A:$Z,4,FALSE)+VLOOKUP($A334,A:AL,4,FALSE)-50),"-",(VLOOKUP($A334,'NonXtal_SegEnds_BW#'!$A:$Z,4,FALSE)+VLOOKUP($A334,A:AL,4,FALSE)-50))</f>
        <v>56</v>
      </c>
      <c r="F334" s="3" t="str">
        <f>IF(ISERROR(VLOOKUP($A334,'NonXtal_SegEnds_BW#'!$A:$Z,5,FALSE)+VLOOKUP($A334,A:AL,7,FALSE)-50),"-",(VLOOKUP($A334,'NonXtal_SegEnds_BW#'!$A:$Z,5,FALSE)+VLOOKUP($A334,A:AL,7,FALSE)-50))</f>
        <v>-</v>
      </c>
      <c r="G334" s="3" t="s">
        <v>129</v>
      </c>
      <c r="H334" s="3" t="str">
        <f>IF(ISERROR(VLOOKUP($A334,'NonXtal_SegEnds_BW#'!$A:$Z,6,FALSE)+VLOOKUP($A334,A:AL,7,FALSE)-50),"-",(VLOOKUP($A334,'NonXtal_SegEnds_BW#'!$A:$Z,6,FALSE)+VLOOKUP($A334,A:AL,7,FALSE)-50))</f>
        <v>-</v>
      </c>
      <c r="I334" s="3">
        <f>VLOOKUP($A334,'NonXtal_SegEnds_BW#'!$A:$Z,7,FALSE)+J334-50</f>
        <v>62</v>
      </c>
      <c r="J334" s="3">
        <v>75</v>
      </c>
      <c r="K334" s="3">
        <f>VLOOKUP($A334,'NonXtal_SegEnds_BW#'!$A:$Z,8,FALSE)+VLOOKUP($A334,A:AL,10,FALSE)-50</f>
        <v>91</v>
      </c>
      <c r="L334" s="3">
        <f t="shared" si="186"/>
        <v>94</v>
      </c>
      <c r="M334" s="3">
        <v>95</v>
      </c>
      <c r="N334" s="3">
        <f t="shared" si="187"/>
        <v>97</v>
      </c>
      <c r="O334" s="3">
        <f t="shared" si="188"/>
        <v>98</v>
      </c>
      <c r="P334" s="3">
        <v>127</v>
      </c>
      <c r="Q334" s="3">
        <f>VLOOKUP($A334,'NonXtal_SegEnds_BW#'!$A:$Z,12,FALSE)+VLOOKUP($A334,A:AL,16,FALSE)-50</f>
        <v>133</v>
      </c>
      <c r="R334" s="3">
        <f>IF(ISERROR(VLOOKUP($A334,'NonXtal_SegEnds_BW#'!$A:$Z,13,FALSE)+VLOOKUP($A334,A:AL,19,FALSE)-50),"-",VLOOKUP($A334,'NonXtal_SegEnds_BW#'!$A:$Z,13,FALSE)+VLOOKUP($A334,A:AL,19,FALSE)-50)</f>
        <v>134</v>
      </c>
      <c r="S334" s="3">
        <v>134</v>
      </c>
      <c r="T334" s="3">
        <f>IF(ISERROR(VLOOKUP($A334,'NonXtal_SegEnds_BW#'!$A:$Z,14,FALSE)+VLOOKUP($A334,A:AL,19,FALSE)-50),"-",(VLOOKUP($A334,'NonXtal_SegEnds_BW#'!$A:$Z,14,FALSE)+VLOOKUP($A334,A:AL,19,FALSE)-50))</f>
        <v>141</v>
      </c>
      <c r="U334" s="3">
        <f>IF(ISERROR(VLOOKUP($A334,'NonXtal_SegEnds_BW#'!$A:$Z,15,FALSE)+VLOOKUP($A334,A:AL,22,FALSE)-50),"-",VLOOKUP($A334,'NonXtal_SegEnds_BW#'!$A:$Z,15,FALSE)+VLOOKUP($A334,A:AL,22,FALSE)-50)</f>
        <v>143</v>
      </c>
      <c r="V334" s="3">
        <v>154</v>
      </c>
      <c r="W334" s="3">
        <f>IF(ISERROR(VLOOKUP($A334,'NonXtal_SegEnds_BW#'!$A:$Z,16,FALSE)+VLOOKUP($A334,A:AL,22,FALSE)-50),"-",(VLOOKUP($A334,'NonXtal_SegEnds_BW#'!$A:$Z,16,FALSE)+VLOOKUP($A334,A:AL,22,FALSE)-50))</f>
        <v>168</v>
      </c>
      <c r="X334" s="3">
        <f>IF(ISERROR(VLOOKUP($A334,'NonXtal_SegEnds_BW#'!$A:$Z,17,FALSE)+VLOOKUP($A334,A:AL,25,FALSE)-50),"-",(VLOOKUP($A334,'NonXtal_SegEnds_BW#'!$A:$Z,17,FALSE)+VLOOKUP($A334,A:AL,25,FALSE)-50))</f>
        <v>191</v>
      </c>
      <c r="Y334" s="3">
        <v>191</v>
      </c>
      <c r="Z334" s="3">
        <f t="shared" si="189"/>
        <v>193</v>
      </c>
      <c r="AA334" s="3">
        <f>IF(ISERROR(VLOOKUP($A334,'NonXtal_SegEnds_BW#'!$A:$Z,19,FALSE)+VLOOKUP($A334,A:AL,28,FALSE)-50),"-",(VLOOKUP($A334,'NonXtal_SegEnds_BW#'!$A:$Z,19,FALSE)+VLOOKUP($A334,A:AL,28,FALSE)-50))</f>
        <v>199</v>
      </c>
      <c r="AB334" s="3">
        <v>217</v>
      </c>
      <c r="AC334" s="3">
        <f>IF(ISERROR((VLOOKUP($A334,'NonXtal_SegEnds_BW#'!$A:$Z,20,FALSE)+VLOOKUP($A334,A:AL,28,FALSE)-50)),"-",(VLOOKUP($A334,'NonXtal_SegEnds_BW#'!$A:$Z,20,FALSE)+VLOOKUP($A334,A:AL,28,FALSE)-50))</f>
        <v>234</v>
      </c>
      <c r="AD334" s="3">
        <f>IF(ISERROR(VLOOKUP($A334,'NonXtal_SegEnds_BW#'!$A:$Z,21,FALSE)+VLOOKUP($A334,A:AL,31,FALSE)-50),"-",(VLOOKUP($A334,'NonXtal_SegEnds_BW#'!$A:$Z,21,FALSE)+VLOOKUP($A334,A:AL,31,FALSE)-50))</f>
        <v>239</v>
      </c>
      <c r="AE334" s="3">
        <v>263</v>
      </c>
      <c r="AF334" s="3">
        <f>IF(ISERROR((VLOOKUP($A334,'NonXtal_SegEnds_BW#'!$A:$Z,22,FALSE)+VLOOKUP($A334,A:AL,31,FALSE)-50)),"-",(VLOOKUP($A334,'NonXtal_SegEnds_BW#'!$A:$Z,22,FALSE)+VLOOKUP($A334,A:AL,31,FALSE)-50))</f>
        <v>277</v>
      </c>
      <c r="AG334" s="3">
        <f>IF(ISERROR(VLOOKUP($A334,'NonXtal_SegEnds_BW#'!$A:$Z,23,FALSE)+VLOOKUP($A334,A:AL,34,FALSE)-50),"-",(VLOOKUP($A334,'NonXtal_SegEnds_BW#'!$A:$Z,23,FALSE)+VLOOKUP($A334,A:AL,34,FALSE)-50))</f>
        <v>292</v>
      </c>
      <c r="AH334" s="3">
        <v>318</v>
      </c>
      <c r="AI334" s="3">
        <f>IF(ISERROR((VLOOKUP($A334,'NonXtal_SegEnds_BW#'!$A:$Z,24,FALSE)+VLOOKUP($A334,A:AL,34,FALSE)-50)),"-",(VLOOKUP($A334,'NonXtal_SegEnds_BW#'!$A:$Z,24,FALSE)+VLOOKUP($A334,A:AL,34,FALSE)-50))</f>
        <v>324</v>
      </c>
      <c r="AJ334" s="3">
        <f>IF(ISERROR(VLOOKUP($A334,'NonXtal_SegEnds_BW#'!$A:$Z,25,FALSE)+VLOOKUP($A334,A:AL,37,FALSE)-50),"-",(VLOOKUP($A334,'NonXtal_SegEnds_BW#'!$A:$Z,25,FALSE)+VLOOKUP($A334,A:AL,37,FALSE)-50))</f>
        <v>325</v>
      </c>
      <c r="AK334" s="3">
        <v>328</v>
      </c>
      <c r="AL334" s="3">
        <f>IF(ISERROR((VLOOKUP($A334,'NonXtal_SegEnds_BW#'!$A:$Z,26,FALSE)+VLOOKUP($A334,A:AL,37,FALSE)-50)),"-",(VLOOKUP($A334,'NonXtal_SegEnds_BW#'!$A:$Z,26,FALSE)+VLOOKUP($A334,A:AL,37,FALSE)-50))</f>
        <v>337</v>
      </c>
      <c r="AM334" s="71" t="str">
        <f>VLOOKUP(A334,Classification!A:B,2,FALSE)</f>
        <v>A</v>
      </c>
      <c r="AN334" s="71" t="b">
        <f t="shared" si="170"/>
        <v>1</v>
      </c>
      <c r="AO334" s="3" t="str">
        <f t="shared" si="171"/>
        <v>-</v>
      </c>
      <c r="AP334" s="3" t="str">
        <f t="shared" si="172"/>
        <v>-</v>
      </c>
      <c r="AQ334" s="3">
        <f t="shared" si="173"/>
        <v>3</v>
      </c>
      <c r="AR334" s="3">
        <f t="shared" si="174"/>
        <v>1</v>
      </c>
      <c r="AS334" s="3">
        <f t="shared" si="175"/>
        <v>1</v>
      </c>
      <c r="AT334" s="3">
        <f t="shared" si="176"/>
        <v>2</v>
      </c>
      <c r="AU334" s="3">
        <f t="shared" si="177"/>
        <v>23</v>
      </c>
      <c r="AV334" s="3">
        <f t="shared" si="178"/>
        <v>6</v>
      </c>
      <c r="AW334" s="3">
        <f t="shared" si="179"/>
        <v>5</v>
      </c>
      <c r="AX334" s="3">
        <f t="shared" si="180"/>
        <v>15</v>
      </c>
      <c r="AY334" s="3">
        <f t="shared" si="181"/>
        <v>1</v>
      </c>
      <c r="AZ334" s="3">
        <f>IF(ISERROR(LEN(VLOOKUP(A334,Seqs!A:E,2,FALSE))-AL334),"-",LEN(VLOOKUP(A334,Seqs!A:E,2,FALSE))-AL334)</f>
        <v>37</v>
      </c>
      <c r="BA334" s="35">
        <f t="shared" si="182"/>
        <v>29</v>
      </c>
      <c r="BB334" s="3">
        <f t="shared" si="183"/>
        <v>20</v>
      </c>
      <c r="BC334" s="3">
        <f t="shared" si="184"/>
        <v>29</v>
      </c>
      <c r="BD334" s="3">
        <f t="shared" si="185"/>
        <v>46</v>
      </c>
    </row>
    <row r="335" spans="1:57" s="3" customFormat="1" x14ac:dyDescent="0.2">
      <c r="A335" s="3" t="s">
        <v>482</v>
      </c>
      <c r="B335" s="3" t="str">
        <f>LOWER(VLOOKUP(A335,Xtal_Templ!A:B,2,FALSE))</f>
        <v>p2ry1_human</v>
      </c>
      <c r="C335" s="3">
        <f>VLOOKUP($A335,'NonXtal_SegEnds_BW#'!$A:$Z,3,FALSE)+D335-50</f>
        <v>37</v>
      </c>
      <c r="D335" s="3">
        <v>57</v>
      </c>
      <c r="E335" s="3">
        <f>IF(ISERROR(VLOOKUP($A335,'NonXtal_SegEnds_BW#'!$A:$Z,4,FALSE)+VLOOKUP($A335,A:AL,4,FALSE)-50),"-",(VLOOKUP($A335,'NonXtal_SegEnds_BW#'!$A:$Z,4,FALSE)+VLOOKUP($A335,A:AL,4,FALSE)-50))</f>
        <v>67</v>
      </c>
      <c r="F335" s="3">
        <f>G335-2</f>
        <v>68</v>
      </c>
      <c r="G335" s="3">
        <v>70</v>
      </c>
      <c r="H335" s="3">
        <f>G335+1</f>
        <v>71</v>
      </c>
      <c r="I335" s="3">
        <f>H335+1</f>
        <v>72</v>
      </c>
      <c r="J335" s="3">
        <v>85</v>
      </c>
      <c r="K335" s="3">
        <f>VLOOKUP($A335,'NonXtal_SegEnds_BW#'!$A:$Z,8,FALSE)+VLOOKUP($A335,A:AL,10,FALSE)-50</f>
        <v>101</v>
      </c>
      <c r="L335" s="3">
        <f t="shared" si="186"/>
        <v>103</v>
      </c>
      <c r="M335" s="3">
        <v>104</v>
      </c>
      <c r="N335" s="3">
        <f t="shared" si="187"/>
        <v>106</v>
      </c>
      <c r="O335" s="3">
        <f t="shared" si="188"/>
        <v>107</v>
      </c>
      <c r="P335" s="3">
        <v>136</v>
      </c>
      <c r="Q335" s="3">
        <f>VLOOKUP($A335,'NonXtal_SegEnds_BW#'!$A:$Z,12,FALSE)+VLOOKUP($A335,A:AL,16,FALSE)-50</f>
        <v>142</v>
      </c>
      <c r="R335" s="3">
        <f>IF(ISERROR(VLOOKUP($A335,'NonXtal_SegEnds_BW#'!$A:$Z,13,FALSE)+VLOOKUP($A335,A:AL,19,FALSE)-50),"-",VLOOKUP($A335,'NonXtal_SegEnds_BW#'!$A:$Z,13,FALSE)+VLOOKUP($A335,A:AL,19,FALSE)-50)</f>
        <v>143</v>
      </c>
      <c r="S335" s="3">
        <v>143</v>
      </c>
      <c r="T335" s="3">
        <f>IF(ISERROR(VLOOKUP($A335,'NonXtal_SegEnds_BW#'!$A:$Z,14,FALSE)+VLOOKUP($A335,A:AL,19,FALSE)-50),"-",(VLOOKUP($A335,'NonXtal_SegEnds_BW#'!$A:$Z,14,FALSE)+VLOOKUP($A335,A:AL,19,FALSE)-50))</f>
        <v>150</v>
      </c>
      <c r="U335" s="3">
        <f>IF(ISERROR(VLOOKUP($A335,'NonXtal_SegEnds_BW#'!$A:$Z,15,FALSE)+VLOOKUP($A335,A:AL,22,FALSE)-50),"-",VLOOKUP($A335,'NonXtal_SegEnds_BW#'!$A:$Z,15,FALSE)+VLOOKUP($A335,A:AL,22,FALSE)-50)</f>
        <v>152</v>
      </c>
      <c r="V335" s="3">
        <v>163</v>
      </c>
      <c r="W335" s="3">
        <f>IF(ISERROR(VLOOKUP($A335,'NonXtal_SegEnds_BW#'!$A:$Z,16,FALSE)+VLOOKUP($A335,A:AL,22,FALSE)-50),"-",(VLOOKUP($A335,'NonXtal_SegEnds_BW#'!$A:$Z,16,FALSE)+VLOOKUP($A335,A:AL,22,FALSE)-50))</f>
        <v>177</v>
      </c>
      <c r="X335" s="3">
        <f>IF(ISERROR(VLOOKUP($A335,'NonXtal_SegEnds_BW#'!$A:$Z,17,FALSE)+VLOOKUP($A335,A:AL,25,FALSE)-50),"-",(VLOOKUP($A335,'NonXtal_SegEnds_BW#'!$A:$Z,17,FALSE)+VLOOKUP($A335,A:AL,25,FALSE)-50))</f>
        <v>188</v>
      </c>
      <c r="Y335" s="3">
        <v>188</v>
      </c>
      <c r="Z335" s="3">
        <f t="shared" si="189"/>
        <v>190</v>
      </c>
      <c r="AA335" s="3">
        <f>IF(ISERROR(VLOOKUP($A335,'NonXtal_SegEnds_BW#'!$A:$Z,19,FALSE)+VLOOKUP($A335,A:AL,28,FALSE)-50),"-",(VLOOKUP($A335,'NonXtal_SegEnds_BW#'!$A:$Z,19,FALSE)+VLOOKUP($A335,A:AL,28,FALSE)-50))</f>
        <v>198</v>
      </c>
      <c r="AB335" s="3">
        <v>216</v>
      </c>
      <c r="AC335" s="3">
        <f>IF(ISERROR((VLOOKUP($A335,'NonXtal_SegEnds_BW#'!$A:$Z,20,FALSE)+VLOOKUP($A335,A:AL,28,FALSE)-50)),"-",(VLOOKUP($A335,'NonXtal_SegEnds_BW#'!$A:$Z,20,FALSE)+VLOOKUP($A335,A:AL,28,FALSE)-50))</f>
        <v>234</v>
      </c>
      <c r="AD335" s="3">
        <f>IF(ISERROR(VLOOKUP($A335,'NonXtal_SegEnds_BW#'!$A:$Z,21,FALSE)+VLOOKUP($A335,A:AL,31,FALSE)-50),"-",(VLOOKUP($A335,'NonXtal_SegEnds_BW#'!$A:$Z,21,FALSE)+VLOOKUP($A335,A:AL,31,FALSE)-50))</f>
        <v>242</v>
      </c>
      <c r="AE335" s="3">
        <v>264</v>
      </c>
      <c r="AF335" s="3">
        <f>IF(ISERROR((VLOOKUP($A335,'NonXtal_SegEnds_BW#'!$A:$Z,22,FALSE)+VLOOKUP($A335,A:AL,31,FALSE)-50)),"-",(VLOOKUP($A335,'NonXtal_SegEnds_BW#'!$A:$Z,22,FALSE)+VLOOKUP($A335,A:AL,31,FALSE)-50))</f>
        <v>278</v>
      </c>
      <c r="AG335" s="3">
        <f>IF(ISERROR(VLOOKUP($A335,'NonXtal_SegEnds_BW#'!$A:$Z,23,FALSE)+VLOOKUP($A335,A:AL,34,FALSE)-50),"-",(VLOOKUP($A335,'NonXtal_SegEnds_BW#'!$A:$Z,23,FALSE)+VLOOKUP($A335,A:AL,34,FALSE)-50))</f>
        <v>282</v>
      </c>
      <c r="AH335" s="3">
        <v>308</v>
      </c>
      <c r="AI335" s="3">
        <f>IF(ISERROR((VLOOKUP($A335,'NonXtal_SegEnds_BW#'!$A:$Z,24,FALSE)+VLOOKUP($A335,A:AL,34,FALSE)-50)),"-",(VLOOKUP($A335,'NonXtal_SegEnds_BW#'!$A:$Z,24,FALSE)+VLOOKUP($A335,A:AL,34,FALSE)-50))</f>
        <v>314</v>
      </c>
      <c r="AJ335" s="3">
        <f>IF(ISERROR(VLOOKUP($A335,'NonXtal_SegEnds_BW#'!$A:$Z,25,FALSE)+VLOOKUP($A335,A:AL,37,FALSE)-50),"-",(VLOOKUP($A335,'NonXtal_SegEnds_BW#'!$A:$Z,25,FALSE)+VLOOKUP($A335,A:AL,37,FALSE)-50))</f>
        <v>315</v>
      </c>
      <c r="AK335" s="3">
        <v>318</v>
      </c>
      <c r="AL335" s="3">
        <f>IF(ISERROR((VLOOKUP($A335,'NonXtal_SegEnds_BW#'!$A:$Z,26,FALSE)+VLOOKUP($A335,A:AL,37,FALSE)-50)),"-",(VLOOKUP($A335,'NonXtal_SegEnds_BW#'!$A:$Z,26,FALSE)+VLOOKUP($A335,A:AL,37,FALSE)-50))</f>
        <v>327</v>
      </c>
      <c r="AM335" s="71" t="str">
        <f>VLOOKUP(A335,Classification!A:B,2,FALSE)</f>
        <v>A</v>
      </c>
      <c r="AN335" s="71" t="b">
        <f t="shared" si="170"/>
        <v>1</v>
      </c>
      <c r="AO335" s="3">
        <f t="shared" si="171"/>
        <v>1</v>
      </c>
      <c r="AP335" s="3">
        <f t="shared" si="172"/>
        <v>1</v>
      </c>
      <c r="AQ335" s="3">
        <f t="shared" si="173"/>
        <v>2</v>
      </c>
      <c r="AR335" s="3">
        <f t="shared" si="174"/>
        <v>1</v>
      </c>
      <c r="AS335" s="3">
        <f t="shared" si="175"/>
        <v>1</v>
      </c>
      <c r="AT335" s="3">
        <f t="shared" si="176"/>
        <v>2</v>
      </c>
      <c r="AU335" s="3">
        <f t="shared" si="177"/>
        <v>11</v>
      </c>
      <c r="AV335" s="3">
        <f t="shared" si="178"/>
        <v>8</v>
      </c>
      <c r="AW335" s="3">
        <f t="shared" si="179"/>
        <v>8</v>
      </c>
      <c r="AX335" s="3">
        <f t="shared" si="180"/>
        <v>4</v>
      </c>
      <c r="AY335" s="3">
        <f t="shared" si="181"/>
        <v>1</v>
      </c>
      <c r="AZ335" s="3">
        <f>IF(ISERROR(LEN(VLOOKUP(A335,Seqs!A:E,2,FALSE))-AL335),"-",LEN(VLOOKUP(A335,Seqs!A:E,2,FALSE))-AL335)</f>
        <v>43</v>
      </c>
      <c r="BA335" s="35">
        <f t="shared" si="182"/>
        <v>28</v>
      </c>
      <c r="BB335" s="3">
        <f t="shared" si="183"/>
        <v>20</v>
      </c>
      <c r="BC335" s="3">
        <f t="shared" si="184"/>
        <v>28</v>
      </c>
      <c r="BD335" s="3">
        <f t="shared" si="185"/>
        <v>48</v>
      </c>
    </row>
    <row r="336" spans="1:57" s="3" customFormat="1" x14ac:dyDescent="0.2">
      <c r="A336" s="3" t="s">
        <v>374</v>
      </c>
      <c r="B336" s="3" t="str">
        <f>LOWER(VLOOKUP(A336,Xtal_Templ!A:B,2,FALSE))</f>
        <v>p2ry1_human</v>
      </c>
      <c r="C336" s="3">
        <f>VLOOKUP($A336,'NonXtal_SegEnds_BW#'!$A:$Z,3,FALSE)+D336-50</f>
        <v>36</v>
      </c>
      <c r="D336" s="3">
        <v>56</v>
      </c>
      <c r="E336" s="3">
        <f>IF(ISERROR(VLOOKUP($A336,'NonXtal_SegEnds_BW#'!$A:$Z,4,FALSE)+VLOOKUP($A336,A:AL,4,FALSE)-50),"-",(VLOOKUP($A336,'NonXtal_SegEnds_BW#'!$A:$Z,4,FALSE)+VLOOKUP($A336,A:AL,4,FALSE)-50))</f>
        <v>66</v>
      </c>
      <c r="F336" s="3" t="str">
        <f>IF(ISERROR(VLOOKUP($A336,'NonXtal_SegEnds_BW#'!$A:$Z,5,FALSE)+VLOOKUP($A336,A:AL,7,FALSE)-50),"-",(VLOOKUP($A336,'NonXtal_SegEnds_BW#'!$A:$Z,5,FALSE)+VLOOKUP($A336,A:AL,7,FALSE)-50))</f>
        <v>-</v>
      </c>
      <c r="G336" s="3" t="s">
        <v>129</v>
      </c>
      <c r="H336" s="3" t="str">
        <f>IF(ISERROR(VLOOKUP($A336,'NonXtal_SegEnds_BW#'!$A:$Z,6,FALSE)+VLOOKUP($A336,A:AL,7,FALSE)-50),"-",(VLOOKUP($A336,'NonXtal_SegEnds_BW#'!$A:$Z,6,FALSE)+VLOOKUP($A336,A:AL,7,FALSE)-50))</f>
        <v>-</v>
      </c>
      <c r="I336" s="3">
        <f>VLOOKUP($A336,'NonXtal_SegEnds_BW#'!$A:$Z,7,FALSE)+J336-50</f>
        <v>71</v>
      </c>
      <c r="J336" s="3">
        <v>84</v>
      </c>
      <c r="K336" s="3">
        <f>VLOOKUP($A336,'NonXtal_SegEnds_BW#'!$A:$Z,8,FALSE)+VLOOKUP($A336,A:AL,10,FALSE)-50</f>
        <v>100</v>
      </c>
      <c r="L336" s="3">
        <f t="shared" si="186"/>
        <v>103</v>
      </c>
      <c r="M336" s="3">
        <v>104</v>
      </c>
      <c r="N336" s="3">
        <f t="shared" si="187"/>
        <v>106</v>
      </c>
      <c r="O336" s="3">
        <f t="shared" si="188"/>
        <v>107</v>
      </c>
      <c r="P336" s="3">
        <v>136</v>
      </c>
      <c r="Q336" s="3">
        <f>VLOOKUP($A336,'NonXtal_SegEnds_BW#'!$A:$Z,12,FALSE)+VLOOKUP($A336,A:AL,16,FALSE)-50</f>
        <v>142</v>
      </c>
      <c r="R336" s="3">
        <f>IF(ISERROR(VLOOKUP($A336,'NonXtal_SegEnds_BW#'!$A:$Z,13,FALSE)+VLOOKUP($A336,A:AL,19,FALSE)-50),"-",VLOOKUP($A336,'NonXtal_SegEnds_BW#'!$A:$Z,13,FALSE)+VLOOKUP($A336,A:AL,19,FALSE)-50)</f>
        <v>143</v>
      </c>
      <c r="S336" s="3">
        <v>143</v>
      </c>
      <c r="T336" s="3">
        <f>IF(ISERROR(VLOOKUP($A336,'NonXtal_SegEnds_BW#'!$A:$Z,14,FALSE)+VLOOKUP($A336,A:AL,19,FALSE)-50),"-",(VLOOKUP($A336,'NonXtal_SegEnds_BW#'!$A:$Z,14,FALSE)+VLOOKUP($A336,A:AL,19,FALSE)-50))</f>
        <v>150</v>
      </c>
      <c r="U336" s="3">
        <f>IF(ISERROR(VLOOKUP($A336,'NonXtal_SegEnds_BW#'!$A:$Z,15,FALSE)+VLOOKUP($A336,A:AL,22,FALSE)-50),"-",VLOOKUP($A336,'NonXtal_SegEnds_BW#'!$A:$Z,15,FALSE)+VLOOKUP($A336,A:AL,22,FALSE)-50)</f>
        <v>152</v>
      </c>
      <c r="V336" s="3">
        <v>163</v>
      </c>
      <c r="W336" s="3">
        <f>IF(ISERROR(VLOOKUP($A336,'NonXtal_SegEnds_BW#'!$A:$Z,16,FALSE)+VLOOKUP($A336,A:AL,22,FALSE)-50),"-",(VLOOKUP($A336,'NonXtal_SegEnds_BW#'!$A:$Z,16,FALSE)+VLOOKUP($A336,A:AL,22,FALSE)-50))</f>
        <v>177</v>
      </c>
      <c r="X336" s="3">
        <f>IF(ISERROR(VLOOKUP($A336,'NonXtal_SegEnds_BW#'!$A:$Z,17,FALSE)+VLOOKUP($A336,A:AL,25,FALSE)-50),"-",(VLOOKUP($A336,'NonXtal_SegEnds_BW#'!$A:$Z,17,FALSE)+VLOOKUP($A336,A:AL,25,FALSE)-50))</f>
        <v>187</v>
      </c>
      <c r="Y336" s="3">
        <v>187</v>
      </c>
      <c r="Z336" s="3">
        <f t="shared" si="189"/>
        <v>189</v>
      </c>
      <c r="AA336" s="3">
        <f>IF(ISERROR(VLOOKUP($A336,'NonXtal_SegEnds_BW#'!$A:$Z,19,FALSE)+VLOOKUP($A336,A:AL,28,FALSE)-50),"-",(VLOOKUP($A336,'NonXtal_SegEnds_BW#'!$A:$Z,19,FALSE)+VLOOKUP($A336,A:AL,28,FALSE)-50))</f>
        <v>195</v>
      </c>
      <c r="AB336" s="3">
        <v>213</v>
      </c>
      <c r="AC336" s="3">
        <f>IF(ISERROR((VLOOKUP($A336,'NonXtal_SegEnds_BW#'!$A:$Z,20,FALSE)+VLOOKUP($A336,A:AL,28,FALSE)-50)),"-",(VLOOKUP($A336,'NonXtal_SegEnds_BW#'!$A:$Z,20,FALSE)+VLOOKUP($A336,A:AL,28,FALSE)-50))</f>
        <v>231</v>
      </c>
      <c r="AD336" s="3">
        <f>IF(ISERROR(VLOOKUP($A336,'NonXtal_SegEnds_BW#'!$A:$Z,21,FALSE)+VLOOKUP($A336,A:AL,31,FALSE)-50),"-",(VLOOKUP($A336,'NonXtal_SegEnds_BW#'!$A:$Z,21,FALSE)+VLOOKUP($A336,A:AL,31,FALSE)-50))</f>
        <v>240</v>
      </c>
      <c r="AE336" s="3">
        <v>262</v>
      </c>
      <c r="AF336" s="3">
        <f>IF(ISERROR((VLOOKUP($A336,'NonXtal_SegEnds_BW#'!$A:$Z,22,FALSE)+VLOOKUP($A336,A:AL,31,FALSE)-50)),"-",(VLOOKUP($A336,'NonXtal_SegEnds_BW#'!$A:$Z,22,FALSE)+VLOOKUP($A336,A:AL,31,FALSE)-50))</f>
        <v>273</v>
      </c>
      <c r="AG336" s="3">
        <f>IF(ISERROR(VLOOKUP($A336,'NonXtal_SegEnds_BW#'!$A:$Z,23,FALSE)+VLOOKUP($A336,A:AL,34,FALSE)-50),"-",(VLOOKUP($A336,'NonXtal_SegEnds_BW#'!$A:$Z,23,FALSE)+VLOOKUP($A336,A:AL,34,FALSE)-50))</f>
        <v>280</v>
      </c>
      <c r="AH336" s="3">
        <v>302</v>
      </c>
      <c r="AI336" s="3">
        <f>IF(ISERROR((VLOOKUP($A336,'NonXtal_SegEnds_BW#'!$A:$Z,24,FALSE)+VLOOKUP($A336,A:AL,34,FALSE)-50)),"-",(VLOOKUP($A336,'NonXtal_SegEnds_BW#'!$A:$Z,24,FALSE)+VLOOKUP($A336,A:AL,34,FALSE)-50))</f>
        <v>308</v>
      </c>
      <c r="AJ336" s="3">
        <f>IF(ISERROR(VLOOKUP($A336,'NonXtal_SegEnds_BW#'!$A:$Z,25,FALSE)+VLOOKUP($A336,A:AL,37,FALSE)-50),"-",(VLOOKUP($A336,'NonXtal_SegEnds_BW#'!$A:$Z,25,FALSE)+VLOOKUP($A336,A:AL,37,FALSE)-50))</f>
        <v>309</v>
      </c>
      <c r="AK336" s="3">
        <v>312</v>
      </c>
      <c r="AL336" s="3">
        <f>IF(ISERROR((VLOOKUP($A336,'NonXtal_SegEnds_BW#'!$A:$Z,26,FALSE)+VLOOKUP($A336,A:AL,37,FALSE)-50)),"-",(VLOOKUP($A336,'NonXtal_SegEnds_BW#'!$A:$Z,26,FALSE)+VLOOKUP($A336,A:AL,37,FALSE)-50))</f>
        <v>321</v>
      </c>
      <c r="AM336" s="71" t="str">
        <f>VLOOKUP(A336,Classification!A:B,2,FALSE)</f>
        <v>A</v>
      </c>
      <c r="AN336" s="71" t="b">
        <f t="shared" si="170"/>
        <v>1</v>
      </c>
      <c r="AO336" s="3" t="str">
        <f t="shared" si="171"/>
        <v>-</v>
      </c>
      <c r="AP336" s="3" t="str">
        <f t="shared" si="172"/>
        <v>-</v>
      </c>
      <c r="AQ336" s="3">
        <f t="shared" si="173"/>
        <v>3</v>
      </c>
      <c r="AR336" s="3">
        <f t="shared" si="174"/>
        <v>1</v>
      </c>
      <c r="AS336" s="3">
        <f t="shared" si="175"/>
        <v>1</v>
      </c>
      <c r="AT336" s="3">
        <f t="shared" si="176"/>
        <v>2</v>
      </c>
      <c r="AU336" s="3">
        <f t="shared" si="177"/>
        <v>10</v>
      </c>
      <c r="AV336" s="3">
        <f t="shared" si="178"/>
        <v>6</v>
      </c>
      <c r="AW336" s="3">
        <f t="shared" si="179"/>
        <v>9</v>
      </c>
      <c r="AX336" s="3">
        <f t="shared" si="180"/>
        <v>7</v>
      </c>
      <c r="AY336" s="3">
        <f t="shared" si="181"/>
        <v>1</v>
      </c>
      <c r="AZ336" s="3">
        <f>IF(ISERROR(LEN(VLOOKUP(A336,Seqs!A:E,2,FALSE))-AL336),"-",LEN(VLOOKUP(A336,Seqs!A:E,2,FALSE))-AL336)</f>
        <v>25</v>
      </c>
      <c r="BA336" s="35">
        <f t="shared" si="182"/>
        <v>28</v>
      </c>
      <c r="BB336" s="3">
        <f t="shared" si="183"/>
        <v>20</v>
      </c>
      <c r="BC336" s="3">
        <f t="shared" si="184"/>
        <v>28</v>
      </c>
      <c r="BD336" s="3">
        <f t="shared" si="185"/>
        <v>49</v>
      </c>
      <c r="BE336" s="3">
        <f>AH336-AE336</f>
        <v>40</v>
      </c>
    </row>
    <row r="337" spans="1:57" s="3" customFormat="1" x14ac:dyDescent="0.2">
      <c r="A337" s="3" t="s">
        <v>408</v>
      </c>
      <c r="B337" s="3" t="str">
        <f>LOWER(VLOOKUP(A337,Xtal_Templ!A:B,2,FALSE))</f>
        <v>p2ry1_human</v>
      </c>
      <c r="C337" s="3">
        <f>VLOOKUP($A337,'NonXtal_SegEnds_BW#'!$A:$Z,3,FALSE)+D337-50</f>
        <v>40</v>
      </c>
      <c r="D337" s="3">
        <v>60</v>
      </c>
      <c r="E337" s="3">
        <f>IF(ISERROR(VLOOKUP($A337,'NonXtal_SegEnds_BW#'!$A:$Z,4,FALSE)+VLOOKUP($A337,A:AL,4,FALSE)-50),"-",(VLOOKUP($A337,'NonXtal_SegEnds_BW#'!$A:$Z,4,FALSE)+VLOOKUP($A337,A:AL,4,FALSE)-50))</f>
        <v>70</v>
      </c>
      <c r="F337" s="3" t="str">
        <f>IF(ISERROR(VLOOKUP($A337,'NonXtal_SegEnds_BW#'!$A:$Z,5,FALSE)+VLOOKUP($A337,A:AL,7,FALSE)-50),"-",(VLOOKUP($A337,'NonXtal_SegEnds_BW#'!$A:$Z,5,FALSE)+VLOOKUP($A337,A:AL,7,FALSE)-50))</f>
        <v>-</v>
      </c>
      <c r="G337" s="3" t="s">
        <v>129</v>
      </c>
      <c r="H337" s="3" t="str">
        <f>IF(ISERROR(VLOOKUP($A337,'NonXtal_SegEnds_BW#'!$A:$Z,6,FALSE)+VLOOKUP($A337,A:AL,7,FALSE)-50),"-",(VLOOKUP($A337,'NonXtal_SegEnds_BW#'!$A:$Z,6,FALSE)+VLOOKUP($A337,A:AL,7,FALSE)-50))</f>
        <v>-</v>
      </c>
      <c r="I337" s="3">
        <f>VLOOKUP($A337,'NonXtal_SegEnds_BW#'!$A:$Z,7,FALSE)+J337-50</f>
        <v>75</v>
      </c>
      <c r="J337" s="3">
        <v>88</v>
      </c>
      <c r="K337" s="3">
        <f>VLOOKUP($A337,'NonXtal_SegEnds_BW#'!$A:$Z,8,FALSE)+VLOOKUP($A337,A:AL,10,FALSE)-50</f>
        <v>104</v>
      </c>
      <c r="L337" s="3">
        <f t="shared" si="186"/>
        <v>107</v>
      </c>
      <c r="M337" s="3">
        <v>108</v>
      </c>
      <c r="N337" s="3">
        <f t="shared" si="187"/>
        <v>110</v>
      </c>
      <c r="O337" s="3">
        <f t="shared" si="188"/>
        <v>111</v>
      </c>
      <c r="P337" s="3">
        <v>140</v>
      </c>
      <c r="Q337" s="3">
        <f>VLOOKUP($A337,'NonXtal_SegEnds_BW#'!$A:$Z,12,FALSE)+VLOOKUP($A337,A:AL,16,FALSE)-50</f>
        <v>146</v>
      </c>
      <c r="R337" s="3" t="str">
        <f>IF(ISERROR(VLOOKUP($A337,'NonXtal_SegEnds_BW#'!$A:$Z,13,FALSE)+VLOOKUP($A337,A:AL,19,FALSE)-50),"-",VLOOKUP($A337,'NonXtal_SegEnds_BW#'!$A:$Z,13,FALSE)+VLOOKUP($A337,A:AL,19,FALSE)-50)</f>
        <v>-</v>
      </c>
      <c r="S337" s="3" t="s">
        <v>129</v>
      </c>
      <c r="T337" s="3" t="str">
        <f>IF(ISERROR(VLOOKUP($A337,'NonXtal_SegEnds_BW#'!$A:$Z,14,FALSE)+VLOOKUP($A337,A:AL,19,FALSE)-50),"-",(VLOOKUP($A337,'NonXtal_SegEnds_BW#'!$A:$Z,14,FALSE)+VLOOKUP($A337,A:AL,19,FALSE)-50))</f>
        <v>-</v>
      </c>
      <c r="U337" s="3">
        <f>IF(ISERROR(VLOOKUP($A337,'NonXtal_SegEnds_BW#'!$A:$Z,15,FALSE)+VLOOKUP($A337,A:AL,22,FALSE)-50),"-",VLOOKUP($A337,'NonXtal_SegEnds_BW#'!$A:$Z,15,FALSE)+VLOOKUP($A337,A:AL,22,FALSE)-50)</f>
        <v>156</v>
      </c>
      <c r="V337" s="3">
        <v>167</v>
      </c>
      <c r="W337" s="3">
        <f>IF(ISERROR(VLOOKUP($A337,'NonXtal_SegEnds_BW#'!$A:$Z,16,FALSE)+VLOOKUP($A337,A:AL,22,FALSE)-50),"-",(VLOOKUP($A337,'NonXtal_SegEnds_BW#'!$A:$Z,16,FALSE)+VLOOKUP($A337,A:AL,22,FALSE)-50))</f>
        <v>181</v>
      </c>
      <c r="X337" s="3">
        <f>IF(ISERROR(VLOOKUP($A337,'NonXtal_SegEnds_BW#'!$A:$Z,17,FALSE)+VLOOKUP($A337,A:AL,25,FALSE)-50),"-",(VLOOKUP($A337,'NonXtal_SegEnds_BW#'!$A:$Z,17,FALSE)+VLOOKUP($A337,A:AL,25,FALSE)-50))</f>
        <v>186</v>
      </c>
      <c r="Y337" s="3">
        <v>186</v>
      </c>
      <c r="Z337" s="3">
        <f t="shared" si="189"/>
        <v>188</v>
      </c>
      <c r="AA337" s="3">
        <f>IF(ISERROR(VLOOKUP($A337,'NonXtal_SegEnds_BW#'!$A:$Z,19,FALSE)+VLOOKUP($A337,A:AL,28,FALSE)-50),"-",(VLOOKUP($A337,'NonXtal_SegEnds_BW#'!$A:$Z,19,FALSE)+VLOOKUP($A337,A:AL,28,FALSE)-50))</f>
        <v>193</v>
      </c>
      <c r="AB337" s="3">
        <v>211</v>
      </c>
      <c r="AC337" s="3">
        <f>IF(ISERROR((VLOOKUP($A337,'NonXtal_SegEnds_BW#'!$A:$Z,20,FALSE)+VLOOKUP($A337,A:AL,28,FALSE)-50)),"-",(VLOOKUP($A337,'NonXtal_SegEnds_BW#'!$A:$Z,20,FALSE)+VLOOKUP($A337,A:AL,28,FALSE)-50))</f>
        <v>228</v>
      </c>
      <c r="AD337" s="3">
        <f>IF(ISERROR(VLOOKUP($A337,'NonXtal_SegEnds_BW#'!$A:$Z,21,FALSE)+VLOOKUP($A337,A:AL,31,FALSE)-50),"-",(VLOOKUP($A337,'NonXtal_SegEnds_BW#'!$A:$Z,21,FALSE)+VLOOKUP($A337,A:AL,31,FALSE)-50))</f>
        <v>233</v>
      </c>
      <c r="AE337" s="3">
        <v>257</v>
      </c>
      <c r="AF337" s="3">
        <f>IF(ISERROR((VLOOKUP($A337,'NonXtal_SegEnds_BW#'!$A:$Z,22,FALSE)+VLOOKUP($A337,A:AL,31,FALSE)-50)),"-",(VLOOKUP($A337,'NonXtal_SegEnds_BW#'!$A:$Z,22,FALSE)+VLOOKUP($A337,A:AL,31,FALSE)-50))</f>
        <v>271</v>
      </c>
      <c r="AG337" s="3">
        <f>IF(ISERROR(VLOOKUP($A337,'NonXtal_SegEnds_BW#'!$A:$Z,23,FALSE)+VLOOKUP($A337,A:AL,34,FALSE)-50),"-",(VLOOKUP($A337,'NonXtal_SegEnds_BW#'!$A:$Z,23,FALSE)+VLOOKUP($A337,A:AL,34,FALSE)-50))</f>
        <v>279</v>
      </c>
      <c r="AH337" s="3">
        <v>305</v>
      </c>
      <c r="AI337" s="3">
        <f>IF(ISERROR((VLOOKUP($A337,'NonXtal_SegEnds_BW#'!$A:$Z,24,FALSE)+VLOOKUP($A337,A:AL,34,FALSE)-50)),"-",(VLOOKUP($A337,'NonXtal_SegEnds_BW#'!$A:$Z,24,FALSE)+VLOOKUP($A337,A:AL,34,FALSE)-50))</f>
        <v>311</v>
      </c>
      <c r="AJ337" s="3">
        <f>IF(ISERROR(VLOOKUP($A337,'NonXtal_SegEnds_BW#'!$A:$Z,25,FALSE)+VLOOKUP($A337,A:AL,37,FALSE)-50),"-",(VLOOKUP($A337,'NonXtal_SegEnds_BW#'!$A:$Z,25,FALSE)+VLOOKUP($A337,A:AL,37,FALSE)-50))</f>
        <v>312</v>
      </c>
      <c r="AK337" s="3">
        <v>315</v>
      </c>
      <c r="AL337" s="3">
        <f>IF(ISERROR((VLOOKUP($A337,'NonXtal_SegEnds_BW#'!$A:$Z,26,FALSE)+VLOOKUP($A337,A:AL,37,FALSE)-50)),"-",(VLOOKUP($A337,'NonXtal_SegEnds_BW#'!$A:$Z,26,FALSE)+VLOOKUP($A337,A:AL,37,FALSE)-50))</f>
        <v>324</v>
      </c>
      <c r="AM337" s="71" t="str">
        <f>VLOOKUP(A337,Classification!A:B,2,FALSE)</f>
        <v>A</v>
      </c>
      <c r="AN337" s="71" t="b">
        <f t="shared" si="170"/>
        <v>1</v>
      </c>
      <c r="AO337" s="3" t="str">
        <f t="shared" si="171"/>
        <v>-</v>
      </c>
      <c r="AP337" s="3" t="str">
        <f t="shared" si="172"/>
        <v>-</v>
      </c>
      <c r="AQ337" s="3">
        <f t="shared" si="173"/>
        <v>3</v>
      </c>
      <c r="AR337" s="3">
        <f t="shared" si="174"/>
        <v>1</v>
      </c>
      <c r="AS337" s="3" t="str">
        <f t="shared" si="175"/>
        <v>-</v>
      </c>
      <c r="AT337" s="3" t="str">
        <f t="shared" si="176"/>
        <v>-</v>
      </c>
      <c r="AU337" s="3">
        <f t="shared" si="177"/>
        <v>5</v>
      </c>
      <c r="AV337" s="3">
        <f t="shared" si="178"/>
        <v>5</v>
      </c>
      <c r="AW337" s="3">
        <f t="shared" si="179"/>
        <v>5</v>
      </c>
      <c r="AX337" s="3">
        <f t="shared" si="180"/>
        <v>8</v>
      </c>
      <c r="AY337" s="3">
        <f t="shared" si="181"/>
        <v>1</v>
      </c>
      <c r="AZ337" s="3">
        <f>IF(ISERROR(LEN(VLOOKUP(A337,Seqs!A:E,2,FALSE))-AL337),"-",LEN(VLOOKUP(A337,Seqs!A:E,2,FALSE))-AL337)</f>
        <v>56</v>
      </c>
      <c r="BA337" s="35">
        <f t="shared" si="182"/>
        <v>28</v>
      </c>
      <c r="BB337" s="3" t="str">
        <f t="shared" si="183"/>
        <v>-</v>
      </c>
      <c r="BC337" s="3">
        <f t="shared" si="184"/>
        <v>28</v>
      </c>
      <c r="BD337" s="3">
        <f t="shared" si="185"/>
        <v>46</v>
      </c>
    </row>
    <row r="338" spans="1:57" s="3" customFormat="1" x14ac:dyDescent="0.2">
      <c r="A338" s="3" t="s">
        <v>541</v>
      </c>
      <c r="B338" s="3" t="str">
        <f>LOWER(VLOOKUP(A338,Xtal_Templ!A:B,2,FALSE))</f>
        <v>p2ry1_human</v>
      </c>
      <c r="C338" s="3">
        <f>VLOOKUP($A338,'NonXtal_SegEnds_BW#'!$A:$Z,3,FALSE)+D338-50</f>
        <v>33</v>
      </c>
      <c r="D338" s="3">
        <v>53</v>
      </c>
      <c r="E338" s="3">
        <f>IF(ISERROR(VLOOKUP($A338,'NonXtal_SegEnds_BW#'!$A:$Z,4,FALSE)+VLOOKUP($A338,A:AL,4,FALSE)-50),"-",(VLOOKUP($A338,'NonXtal_SegEnds_BW#'!$A:$Z,4,FALSE)+VLOOKUP($A338,A:AL,4,FALSE)-50))</f>
        <v>63</v>
      </c>
      <c r="F338" s="3" t="str">
        <f>IF(ISERROR(VLOOKUP($A338,'NonXtal_SegEnds_BW#'!$A:$Z,5,FALSE)+VLOOKUP($A338,A:AL,7,FALSE)-50),"-",(VLOOKUP($A338,'NonXtal_SegEnds_BW#'!$A:$Z,5,FALSE)+VLOOKUP($A338,A:AL,7,FALSE)-50))</f>
        <v>-</v>
      </c>
      <c r="G338" s="3" t="s">
        <v>129</v>
      </c>
      <c r="H338" s="3" t="str">
        <f>IF(ISERROR(VLOOKUP($A338,'NonXtal_SegEnds_BW#'!$A:$Z,6,FALSE)+VLOOKUP($A338,A:AL,7,FALSE)-50),"-",(VLOOKUP($A338,'NonXtal_SegEnds_BW#'!$A:$Z,6,FALSE)+VLOOKUP($A338,A:AL,7,FALSE)-50))</f>
        <v>-</v>
      </c>
      <c r="I338" s="3">
        <f>VLOOKUP($A338,'NonXtal_SegEnds_BW#'!$A:$Z,7,FALSE)+J338-50</f>
        <v>68</v>
      </c>
      <c r="J338" s="3">
        <v>81</v>
      </c>
      <c r="K338" s="3">
        <f>VLOOKUP($A338,'NonXtal_SegEnds_BW#'!$A:$Z,8,FALSE)+VLOOKUP($A338,A:AL,10,FALSE)-50</f>
        <v>97</v>
      </c>
      <c r="L338" s="3">
        <f t="shared" si="186"/>
        <v>100</v>
      </c>
      <c r="M338" s="3">
        <v>101</v>
      </c>
      <c r="N338" s="3">
        <f t="shared" si="187"/>
        <v>103</v>
      </c>
      <c r="O338" s="3">
        <f t="shared" si="188"/>
        <v>104</v>
      </c>
      <c r="P338" s="3">
        <v>133</v>
      </c>
      <c r="Q338" s="3">
        <f>VLOOKUP($A338,'NonXtal_SegEnds_BW#'!$A:$Z,12,FALSE)+VLOOKUP($A338,A:AL,16,FALSE)-50</f>
        <v>139</v>
      </c>
      <c r="R338" s="3">
        <f>IF(ISERROR(VLOOKUP($A338,'NonXtal_SegEnds_BW#'!$A:$Z,13,FALSE)+VLOOKUP($A338,A:AL,19,FALSE)-50),"-",VLOOKUP($A338,'NonXtal_SegEnds_BW#'!$A:$Z,13,FALSE)+VLOOKUP($A338,A:AL,19,FALSE)-50)</f>
        <v>140</v>
      </c>
      <c r="S338" s="3">
        <v>140</v>
      </c>
      <c r="T338" s="3">
        <f>IF(ISERROR(VLOOKUP($A338,'NonXtal_SegEnds_BW#'!$A:$Z,14,FALSE)+VLOOKUP($A338,A:AL,19,FALSE)-50),"-",(VLOOKUP($A338,'NonXtal_SegEnds_BW#'!$A:$Z,14,FALSE)+VLOOKUP($A338,A:AL,19,FALSE)-50))</f>
        <v>147</v>
      </c>
      <c r="U338" s="3">
        <f>IF(ISERROR(VLOOKUP($A338,'NonXtal_SegEnds_BW#'!$A:$Z,15,FALSE)+VLOOKUP($A338,A:AL,22,FALSE)-50),"-",VLOOKUP($A338,'NonXtal_SegEnds_BW#'!$A:$Z,15,FALSE)+VLOOKUP($A338,A:AL,22,FALSE)-50)</f>
        <v>149</v>
      </c>
      <c r="V338" s="3">
        <v>160</v>
      </c>
      <c r="W338" s="3">
        <f>IF(ISERROR(VLOOKUP($A338,'NonXtal_SegEnds_BW#'!$A:$Z,16,FALSE)+VLOOKUP($A338,A:AL,22,FALSE)-50),"-",(VLOOKUP($A338,'NonXtal_SegEnds_BW#'!$A:$Z,16,FALSE)+VLOOKUP($A338,A:AL,22,FALSE)-50))</f>
        <v>174</v>
      </c>
      <c r="X338" s="3">
        <f>IF(ISERROR(VLOOKUP($A338,'NonXtal_SegEnds_BW#'!$A:$Z,17,FALSE)+VLOOKUP($A338,A:AL,25,FALSE)-50),"-",(VLOOKUP($A338,'NonXtal_SegEnds_BW#'!$A:$Z,17,FALSE)+VLOOKUP($A338,A:AL,25,FALSE)-50))</f>
        <v>185</v>
      </c>
      <c r="Y338" s="3">
        <v>185</v>
      </c>
      <c r="Z338" s="3">
        <f t="shared" si="189"/>
        <v>187</v>
      </c>
      <c r="AA338" s="3">
        <f>IF(ISERROR(VLOOKUP($A338,'NonXtal_SegEnds_BW#'!$A:$Z,19,FALSE)+VLOOKUP($A338,A:AL,28,FALSE)-50),"-",(VLOOKUP($A338,'NonXtal_SegEnds_BW#'!$A:$Z,19,FALSE)+VLOOKUP($A338,A:AL,28,FALSE)-50))</f>
        <v>194</v>
      </c>
      <c r="AB338" s="3">
        <v>212</v>
      </c>
      <c r="AC338" s="3">
        <f>IF(ISERROR((VLOOKUP($A338,'NonXtal_SegEnds_BW#'!$A:$Z,20,FALSE)+VLOOKUP($A338,A:AL,28,FALSE)-50)),"-",(VLOOKUP($A338,'NonXtal_SegEnds_BW#'!$A:$Z,20,FALSE)+VLOOKUP($A338,A:AL,28,FALSE)-50))</f>
        <v>230</v>
      </c>
      <c r="AD338" s="3">
        <f>IF(ISERROR(VLOOKUP($A338,'NonXtal_SegEnds_BW#'!$A:$Z,21,FALSE)+VLOOKUP($A338,A:AL,31,FALSE)-50),"-",(VLOOKUP($A338,'NonXtal_SegEnds_BW#'!$A:$Z,21,FALSE)+VLOOKUP($A338,A:AL,31,FALSE)-50))</f>
        <v>238</v>
      </c>
      <c r="AE338" s="3">
        <v>260</v>
      </c>
      <c r="AF338" s="3">
        <f>IF(ISERROR((VLOOKUP($A338,'NonXtal_SegEnds_BW#'!$A:$Z,22,FALSE)+VLOOKUP($A338,A:AL,31,FALSE)-50)),"-",(VLOOKUP($A338,'NonXtal_SegEnds_BW#'!$A:$Z,22,FALSE)+VLOOKUP($A338,A:AL,31,FALSE)-50))</f>
        <v>271</v>
      </c>
      <c r="AG338" s="3">
        <f>IF(ISERROR(VLOOKUP($A338,'NonXtal_SegEnds_BW#'!$A:$Z,23,FALSE)+VLOOKUP($A338,A:AL,34,FALSE)-50),"-",(VLOOKUP($A338,'NonXtal_SegEnds_BW#'!$A:$Z,23,FALSE)+VLOOKUP($A338,A:AL,34,FALSE)-50))</f>
        <v>277</v>
      </c>
      <c r="AH338" s="3">
        <v>303</v>
      </c>
      <c r="AI338" s="3">
        <f>IF(ISERROR((VLOOKUP($A338,'NonXtal_SegEnds_BW#'!$A:$Z,24,FALSE)+VLOOKUP($A338,A:AL,34,FALSE)-50)),"-",(VLOOKUP($A338,'NonXtal_SegEnds_BW#'!$A:$Z,24,FALSE)+VLOOKUP($A338,A:AL,34,FALSE)-50))</f>
        <v>309</v>
      </c>
      <c r="AJ338" s="3">
        <f>IF(ISERROR(VLOOKUP($A338,'NonXtal_SegEnds_BW#'!$A:$Z,25,FALSE)+VLOOKUP($A338,A:AL,37,FALSE)-50),"-",(VLOOKUP($A338,'NonXtal_SegEnds_BW#'!$A:$Z,25,FALSE)+VLOOKUP($A338,A:AL,37,FALSE)-50))</f>
        <v>310</v>
      </c>
      <c r="AK338" s="3">
        <v>313</v>
      </c>
      <c r="AL338" s="3">
        <f>IF(ISERROR((VLOOKUP($A338,'NonXtal_SegEnds_BW#'!$A:$Z,26,FALSE)+VLOOKUP($A338,A:AL,37,FALSE)-50)),"-",(VLOOKUP($A338,'NonXtal_SegEnds_BW#'!$A:$Z,26,FALSE)+VLOOKUP($A338,A:AL,37,FALSE)-50))</f>
        <v>322</v>
      </c>
      <c r="AM338" s="71" t="str">
        <f>VLOOKUP(A338,Classification!A:B,2,FALSE)</f>
        <v>A</v>
      </c>
      <c r="AN338" s="71" t="b">
        <f t="shared" si="170"/>
        <v>1</v>
      </c>
      <c r="AO338" s="3" t="str">
        <f t="shared" si="171"/>
        <v>-</v>
      </c>
      <c r="AP338" s="3" t="str">
        <f t="shared" si="172"/>
        <v>-</v>
      </c>
      <c r="AQ338" s="3">
        <f t="shared" si="173"/>
        <v>3</v>
      </c>
      <c r="AR338" s="3">
        <f t="shared" si="174"/>
        <v>1</v>
      </c>
      <c r="AS338" s="3">
        <f t="shared" si="175"/>
        <v>1</v>
      </c>
      <c r="AT338" s="3">
        <f t="shared" si="176"/>
        <v>2</v>
      </c>
      <c r="AU338" s="3">
        <f t="shared" si="177"/>
        <v>11</v>
      </c>
      <c r="AV338" s="3">
        <f t="shared" si="178"/>
        <v>7</v>
      </c>
      <c r="AW338" s="3">
        <f t="shared" si="179"/>
        <v>8</v>
      </c>
      <c r="AX338" s="3">
        <f t="shared" si="180"/>
        <v>6</v>
      </c>
      <c r="AY338" s="3">
        <f t="shared" si="181"/>
        <v>1</v>
      </c>
      <c r="AZ338" s="3">
        <f>IF(ISERROR(LEN(VLOOKUP(A338,Seqs!A:E,2,FALSE))-AL338),"-",LEN(VLOOKUP(A338,Seqs!A:E,2,FALSE))-AL338)</f>
        <v>43</v>
      </c>
      <c r="BA338" s="35">
        <f t="shared" si="182"/>
        <v>28</v>
      </c>
      <c r="BB338" s="3">
        <f t="shared" si="183"/>
        <v>20</v>
      </c>
      <c r="BC338" s="3">
        <f t="shared" si="184"/>
        <v>28</v>
      </c>
      <c r="BD338" s="3">
        <f t="shared" si="185"/>
        <v>48</v>
      </c>
    </row>
    <row r="339" spans="1:57" s="3" customFormat="1" x14ac:dyDescent="0.2">
      <c r="A339" s="3" t="s">
        <v>537</v>
      </c>
      <c r="B339" s="3" t="str">
        <f>LOWER(VLOOKUP(A339,Xtal_Templ!A:B,2,FALSE))</f>
        <v>p2ry1_human</v>
      </c>
      <c r="C339" s="3">
        <f>VLOOKUP($A339,'NonXtal_SegEnds_BW#'!$A:$Z,3,FALSE)+D339-50</f>
        <v>31</v>
      </c>
      <c r="D339" s="3">
        <v>51</v>
      </c>
      <c r="E339" s="3">
        <f>IF(ISERROR(VLOOKUP($A339,'NonXtal_SegEnds_BW#'!$A:$Z,4,FALSE)+VLOOKUP($A339,A:AL,4,FALSE)-50),"-",(VLOOKUP($A339,'NonXtal_SegEnds_BW#'!$A:$Z,4,FALSE)+VLOOKUP($A339,A:AL,4,FALSE)-50))</f>
        <v>61</v>
      </c>
      <c r="F339" s="3" t="str">
        <f>IF(ISERROR(VLOOKUP($A339,'NonXtal_SegEnds_BW#'!$A:$Z,5,FALSE)+VLOOKUP($A339,A:AL,7,FALSE)-50),"-",(VLOOKUP($A339,'NonXtal_SegEnds_BW#'!$A:$Z,5,FALSE)+VLOOKUP($A339,A:AL,7,FALSE)-50))</f>
        <v>-</v>
      </c>
      <c r="G339" s="3" t="s">
        <v>129</v>
      </c>
      <c r="H339" s="3" t="str">
        <f>IF(ISERROR(VLOOKUP($A339,'NonXtal_SegEnds_BW#'!$A:$Z,6,FALSE)+VLOOKUP($A339,A:AL,7,FALSE)-50),"-",(VLOOKUP($A339,'NonXtal_SegEnds_BW#'!$A:$Z,6,FALSE)+VLOOKUP($A339,A:AL,7,FALSE)-50))</f>
        <v>-</v>
      </c>
      <c r="I339" s="3">
        <f>VLOOKUP($A339,'NonXtal_SegEnds_BW#'!$A:$Z,7,FALSE)+J339-50</f>
        <v>66</v>
      </c>
      <c r="J339" s="3">
        <v>79</v>
      </c>
      <c r="K339" s="3">
        <f>VLOOKUP($A339,'NonXtal_SegEnds_BW#'!$A:$Z,8,FALSE)+VLOOKUP($A339,A:AL,10,FALSE)-50</f>
        <v>95</v>
      </c>
      <c r="L339" s="3">
        <f t="shared" si="186"/>
        <v>98</v>
      </c>
      <c r="M339" s="3">
        <v>99</v>
      </c>
      <c r="N339" s="3">
        <f t="shared" si="187"/>
        <v>101</v>
      </c>
      <c r="O339" s="3">
        <f t="shared" si="188"/>
        <v>102</v>
      </c>
      <c r="P339" s="3">
        <v>131</v>
      </c>
      <c r="Q339" s="3">
        <f>VLOOKUP($A339,'NonXtal_SegEnds_BW#'!$A:$Z,12,FALSE)+VLOOKUP($A339,A:AL,16,FALSE)-50</f>
        <v>137</v>
      </c>
      <c r="R339" s="3">
        <f>IF(ISERROR(VLOOKUP($A339,'NonXtal_SegEnds_BW#'!$A:$Z,13,FALSE)+VLOOKUP($A339,A:AL,19,FALSE)-50),"-",VLOOKUP($A339,'NonXtal_SegEnds_BW#'!$A:$Z,13,FALSE)+VLOOKUP($A339,A:AL,19,FALSE)-50)</f>
        <v>138</v>
      </c>
      <c r="S339" s="3">
        <v>138</v>
      </c>
      <c r="T339" s="3">
        <f>IF(ISERROR(VLOOKUP($A339,'NonXtal_SegEnds_BW#'!$A:$Z,14,FALSE)+VLOOKUP($A339,A:AL,19,FALSE)-50),"-",(VLOOKUP($A339,'NonXtal_SegEnds_BW#'!$A:$Z,14,FALSE)+VLOOKUP($A339,A:AL,19,FALSE)-50))</f>
        <v>145</v>
      </c>
      <c r="U339" s="3">
        <f>IF(ISERROR(VLOOKUP($A339,'NonXtal_SegEnds_BW#'!$A:$Z,15,FALSE)+VLOOKUP($A339,A:AL,22,FALSE)-50),"-",VLOOKUP($A339,'NonXtal_SegEnds_BW#'!$A:$Z,15,FALSE)+VLOOKUP($A339,A:AL,22,FALSE)-50)</f>
        <v>147</v>
      </c>
      <c r="V339" s="3">
        <v>158</v>
      </c>
      <c r="W339" s="3">
        <f>IF(ISERROR(VLOOKUP($A339,'NonXtal_SegEnds_BW#'!$A:$Z,16,FALSE)+VLOOKUP($A339,A:AL,22,FALSE)-50),"-",(VLOOKUP($A339,'NonXtal_SegEnds_BW#'!$A:$Z,16,FALSE)+VLOOKUP($A339,A:AL,22,FALSE)-50))</f>
        <v>172</v>
      </c>
      <c r="X339" s="3">
        <f>IF(ISERROR(VLOOKUP($A339,'NonXtal_SegEnds_BW#'!$A:$Z,17,FALSE)+VLOOKUP($A339,A:AL,25,FALSE)-50),"-",(VLOOKUP($A339,'NonXtal_SegEnds_BW#'!$A:$Z,17,FALSE)+VLOOKUP($A339,A:AL,25,FALSE)-50))</f>
        <v>183</v>
      </c>
      <c r="Y339" s="3">
        <v>183</v>
      </c>
      <c r="Z339" s="3">
        <f t="shared" si="189"/>
        <v>185</v>
      </c>
      <c r="AA339" s="3">
        <f>IF(ISERROR(VLOOKUP($A339,'NonXtal_SegEnds_BW#'!$A:$Z,19,FALSE)+VLOOKUP($A339,A:AL,28,FALSE)-50),"-",(VLOOKUP($A339,'NonXtal_SegEnds_BW#'!$A:$Z,19,FALSE)+VLOOKUP($A339,A:AL,28,FALSE)-50))</f>
        <v>192</v>
      </c>
      <c r="AB339" s="3">
        <v>210</v>
      </c>
      <c r="AC339" s="3">
        <f>IF(ISERROR((VLOOKUP($A339,'NonXtal_SegEnds_BW#'!$A:$Z,20,FALSE)+VLOOKUP($A339,A:AL,28,FALSE)-50)),"-",(VLOOKUP($A339,'NonXtal_SegEnds_BW#'!$A:$Z,20,FALSE)+VLOOKUP($A339,A:AL,28,FALSE)-50))</f>
        <v>227</v>
      </c>
      <c r="AD339" s="3">
        <f>IF(ISERROR(VLOOKUP($A339,'NonXtal_SegEnds_BW#'!$A:$Z,21,FALSE)+VLOOKUP($A339,A:AL,31,FALSE)-50),"-",(VLOOKUP($A339,'NonXtal_SegEnds_BW#'!$A:$Z,21,FALSE)+VLOOKUP($A339,A:AL,31,FALSE)-50))</f>
        <v>232</v>
      </c>
      <c r="AE339" s="3">
        <v>256</v>
      </c>
      <c r="AF339" s="3">
        <f>IF(ISERROR((VLOOKUP($A339,'NonXtal_SegEnds_BW#'!$A:$Z,22,FALSE)+VLOOKUP($A339,A:AL,31,FALSE)-50)),"-",(VLOOKUP($A339,'NonXtal_SegEnds_BW#'!$A:$Z,22,FALSE)+VLOOKUP($A339,A:AL,31,FALSE)-50))</f>
        <v>267</v>
      </c>
      <c r="AG339" s="3">
        <f>IF(ISERROR(VLOOKUP($A339,'NonXtal_SegEnds_BW#'!$A:$Z,23,FALSE)+VLOOKUP($A339,A:AL,34,FALSE)-50),"-",(VLOOKUP($A339,'NonXtal_SegEnds_BW#'!$A:$Z,23,FALSE)+VLOOKUP($A339,A:AL,34,FALSE)-50))</f>
        <v>273</v>
      </c>
      <c r="AH339" s="3">
        <v>299</v>
      </c>
      <c r="AI339" s="3">
        <f>IF(ISERROR((VLOOKUP($A339,'NonXtal_SegEnds_BW#'!$A:$Z,24,FALSE)+VLOOKUP($A339,A:AL,34,FALSE)-50)),"-",(VLOOKUP($A339,'NonXtal_SegEnds_BW#'!$A:$Z,24,FALSE)+VLOOKUP($A339,A:AL,34,FALSE)-50))</f>
        <v>305</v>
      </c>
      <c r="AJ339" s="3">
        <f>IF(ISERROR(VLOOKUP($A339,'NonXtal_SegEnds_BW#'!$A:$Z,25,FALSE)+VLOOKUP($A339,A:AL,37,FALSE)-50),"-",(VLOOKUP($A339,'NonXtal_SegEnds_BW#'!$A:$Z,25,FALSE)+VLOOKUP($A339,A:AL,37,FALSE)-50))</f>
        <v>306</v>
      </c>
      <c r="AK339" s="3">
        <v>309</v>
      </c>
      <c r="AL339" s="3">
        <f>IF(ISERROR((VLOOKUP($A339,'NonXtal_SegEnds_BW#'!$A:$Z,26,FALSE)+VLOOKUP($A339,A:AL,37,FALSE)-50)),"-",(VLOOKUP($A339,'NonXtal_SegEnds_BW#'!$A:$Z,26,FALSE)+VLOOKUP($A339,A:AL,37,FALSE)-50))</f>
        <v>318</v>
      </c>
      <c r="AM339" s="71" t="str">
        <f>VLOOKUP(A339,Classification!A:B,2,FALSE)</f>
        <v>A</v>
      </c>
      <c r="AN339" s="71" t="b">
        <f t="shared" si="170"/>
        <v>1</v>
      </c>
      <c r="AO339" s="3" t="str">
        <f t="shared" si="171"/>
        <v>-</v>
      </c>
      <c r="AP339" s="3" t="str">
        <f t="shared" si="172"/>
        <v>-</v>
      </c>
      <c r="AQ339" s="3">
        <f t="shared" si="173"/>
        <v>3</v>
      </c>
      <c r="AR339" s="3">
        <f t="shared" si="174"/>
        <v>1</v>
      </c>
      <c r="AS339" s="3">
        <f t="shared" si="175"/>
        <v>1</v>
      </c>
      <c r="AT339" s="3">
        <f t="shared" si="176"/>
        <v>2</v>
      </c>
      <c r="AU339" s="3">
        <f t="shared" si="177"/>
        <v>11</v>
      </c>
      <c r="AV339" s="3">
        <f t="shared" si="178"/>
        <v>7</v>
      </c>
      <c r="AW339" s="3">
        <f t="shared" si="179"/>
        <v>5</v>
      </c>
      <c r="AX339" s="3">
        <f t="shared" si="180"/>
        <v>6</v>
      </c>
      <c r="AY339" s="3">
        <f t="shared" si="181"/>
        <v>1</v>
      </c>
      <c r="AZ339" s="3">
        <f>IF(ISERROR(LEN(VLOOKUP(A339,Seqs!A:E,2,FALSE))-AL339),"-",LEN(VLOOKUP(A339,Seqs!A:E,2,FALSE))-AL339)</f>
        <v>19</v>
      </c>
      <c r="BA339" s="35">
        <f t="shared" si="182"/>
        <v>28</v>
      </c>
      <c r="BB339" s="3">
        <f t="shared" si="183"/>
        <v>20</v>
      </c>
      <c r="BC339" s="3">
        <f t="shared" si="184"/>
        <v>28</v>
      </c>
      <c r="BD339" s="3">
        <f t="shared" si="185"/>
        <v>46</v>
      </c>
      <c r="BE339" s="3">
        <f>AH339-AE339</f>
        <v>43</v>
      </c>
    </row>
    <row r="340" spans="1:57" s="3" customFormat="1" x14ac:dyDescent="0.2">
      <c r="A340" s="3" t="s">
        <v>540</v>
      </c>
      <c r="B340" s="3" t="str">
        <f>LOWER(VLOOKUP(A340,Xtal_Templ!A:B,2,FALSE))</f>
        <v>p2ry1_human</v>
      </c>
      <c r="C340" s="3">
        <f>VLOOKUP($A340,'NonXtal_SegEnds_BW#'!$A:$Z,3,FALSE)+D340-50</f>
        <v>31</v>
      </c>
      <c r="D340" s="3">
        <v>51</v>
      </c>
      <c r="E340" s="3">
        <f>IF(ISERROR(VLOOKUP($A340,'NonXtal_SegEnds_BW#'!$A:$Z,4,FALSE)+VLOOKUP($A340,A:AL,4,FALSE)-50),"-",(VLOOKUP($A340,'NonXtal_SegEnds_BW#'!$A:$Z,4,FALSE)+VLOOKUP($A340,A:AL,4,FALSE)-50))</f>
        <v>61</v>
      </c>
      <c r="F340" s="3" t="str">
        <f>IF(ISERROR(VLOOKUP($A340,'NonXtal_SegEnds_BW#'!$A:$Z,5,FALSE)+VLOOKUP($A340,A:AL,7,FALSE)-50),"-",(VLOOKUP($A340,'NonXtal_SegEnds_BW#'!$A:$Z,5,FALSE)+VLOOKUP($A340,A:AL,7,FALSE)-50))</f>
        <v>-</v>
      </c>
      <c r="G340" s="3" t="s">
        <v>129</v>
      </c>
      <c r="H340" s="3" t="str">
        <f>IF(ISERROR(VLOOKUP($A340,'NonXtal_SegEnds_BW#'!$A:$Z,6,FALSE)+VLOOKUP($A340,A:AL,7,FALSE)-50),"-",(VLOOKUP($A340,'NonXtal_SegEnds_BW#'!$A:$Z,6,FALSE)+VLOOKUP($A340,A:AL,7,FALSE)-50))</f>
        <v>-</v>
      </c>
      <c r="I340" s="3">
        <f>VLOOKUP($A340,'NonXtal_SegEnds_BW#'!$A:$Z,7,FALSE)+J340-50</f>
        <v>66</v>
      </c>
      <c r="J340" s="3">
        <v>79</v>
      </c>
      <c r="K340" s="3">
        <f>VLOOKUP($A340,'NonXtal_SegEnds_BW#'!$A:$Z,8,FALSE)+VLOOKUP($A340,A:AL,10,FALSE)-50</f>
        <v>95</v>
      </c>
      <c r="L340" s="3">
        <f t="shared" si="186"/>
        <v>98</v>
      </c>
      <c r="M340" s="3">
        <v>99</v>
      </c>
      <c r="N340" s="3">
        <f t="shared" si="187"/>
        <v>101</v>
      </c>
      <c r="O340" s="3">
        <f t="shared" si="188"/>
        <v>102</v>
      </c>
      <c r="P340" s="3">
        <v>131</v>
      </c>
      <c r="Q340" s="3">
        <f>VLOOKUP($A340,'NonXtal_SegEnds_BW#'!$A:$Z,12,FALSE)+VLOOKUP($A340,A:AL,16,FALSE)-50</f>
        <v>137</v>
      </c>
      <c r="R340" s="3">
        <f>IF(ISERROR(VLOOKUP($A340,'NonXtal_SegEnds_BW#'!$A:$Z,13,FALSE)+VLOOKUP($A340,A:AL,19,FALSE)-50),"-",VLOOKUP($A340,'NonXtal_SegEnds_BW#'!$A:$Z,13,FALSE)+VLOOKUP($A340,A:AL,19,FALSE)-50)</f>
        <v>138</v>
      </c>
      <c r="S340" s="3">
        <v>138</v>
      </c>
      <c r="T340" s="3">
        <f>IF(ISERROR(VLOOKUP($A340,'NonXtal_SegEnds_BW#'!$A:$Z,14,FALSE)+VLOOKUP($A340,A:AL,19,FALSE)-50),"-",(VLOOKUP($A340,'NonXtal_SegEnds_BW#'!$A:$Z,14,FALSE)+VLOOKUP($A340,A:AL,19,FALSE)-50))</f>
        <v>145</v>
      </c>
      <c r="U340" s="3">
        <f>IF(ISERROR(VLOOKUP($A340,'NonXtal_SegEnds_BW#'!$A:$Z,15,FALSE)+VLOOKUP($A340,A:AL,22,FALSE)-50),"-",VLOOKUP($A340,'NonXtal_SegEnds_BW#'!$A:$Z,15,FALSE)+VLOOKUP($A340,A:AL,22,FALSE)-50)</f>
        <v>147</v>
      </c>
      <c r="V340" s="3">
        <v>158</v>
      </c>
      <c r="W340" s="3">
        <f>IF(ISERROR(VLOOKUP($A340,'NonXtal_SegEnds_BW#'!$A:$Z,16,FALSE)+VLOOKUP($A340,A:AL,22,FALSE)-50),"-",(VLOOKUP($A340,'NonXtal_SegEnds_BW#'!$A:$Z,16,FALSE)+VLOOKUP($A340,A:AL,22,FALSE)-50))</f>
        <v>172</v>
      </c>
      <c r="X340" s="3">
        <f>IF(ISERROR(VLOOKUP($A340,'NonXtal_SegEnds_BW#'!$A:$Z,17,FALSE)+VLOOKUP($A340,A:AL,25,FALSE)-50),"-",(VLOOKUP($A340,'NonXtal_SegEnds_BW#'!$A:$Z,17,FALSE)+VLOOKUP($A340,A:AL,25,FALSE)-50))</f>
        <v>183</v>
      </c>
      <c r="Y340" s="3">
        <v>183</v>
      </c>
      <c r="Z340" s="3">
        <f t="shared" si="189"/>
        <v>185</v>
      </c>
      <c r="AA340" s="3">
        <f>IF(ISERROR(VLOOKUP($A340,'NonXtal_SegEnds_BW#'!$A:$Z,19,FALSE)+VLOOKUP($A340,A:AL,28,FALSE)-50),"-",(VLOOKUP($A340,'NonXtal_SegEnds_BW#'!$A:$Z,19,FALSE)+VLOOKUP($A340,A:AL,28,FALSE)-50))</f>
        <v>192</v>
      </c>
      <c r="AB340" s="3">
        <v>210</v>
      </c>
      <c r="AC340" s="3">
        <f>IF(ISERROR((VLOOKUP($A340,'NonXtal_SegEnds_BW#'!$A:$Z,20,FALSE)+VLOOKUP($A340,A:AL,28,FALSE)-50)),"-",(VLOOKUP($A340,'NonXtal_SegEnds_BW#'!$A:$Z,20,FALSE)+VLOOKUP($A340,A:AL,28,FALSE)-50))</f>
        <v>232</v>
      </c>
      <c r="AD340" s="3">
        <f>IF(ISERROR(VLOOKUP($A340,'NonXtal_SegEnds_BW#'!$A:$Z,21,FALSE)+VLOOKUP($A340,A:AL,31,FALSE)-50),"-",(VLOOKUP($A340,'NonXtal_SegEnds_BW#'!$A:$Z,21,FALSE)+VLOOKUP($A340,A:AL,31,FALSE)-50))</f>
        <v>239</v>
      </c>
      <c r="AE340" s="3">
        <v>260</v>
      </c>
      <c r="AF340" s="3">
        <f>IF(ISERROR((VLOOKUP($A340,'NonXtal_SegEnds_BW#'!$A:$Z,22,FALSE)+VLOOKUP($A340,A:AL,31,FALSE)-50)),"-",(VLOOKUP($A340,'NonXtal_SegEnds_BW#'!$A:$Z,22,FALSE)+VLOOKUP($A340,A:AL,31,FALSE)-50))</f>
        <v>271</v>
      </c>
      <c r="AG340" s="3">
        <f>IF(ISERROR(VLOOKUP($A340,'NonXtal_SegEnds_BW#'!$A:$Z,23,FALSE)+VLOOKUP($A340,A:AL,34,FALSE)-50),"-",(VLOOKUP($A340,'NonXtal_SegEnds_BW#'!$A:$Z,23,FALSE)+VLOOKUP($A340,A:AL,34,FALSE)-50))</f>
        <v>277</v>
      </c>
      <c r="AH340" s="3">
        <v>303</v>
      </c>
      <c r="AI340" s="3">
        <f>IF(ISERROR((VLOOKUP($A340,'NonXtal_SegEnds_BW#'!$A:$Z,24,FALSE)+VLOOKUP($A340,A:AL,34,FALSE)-50)),"-",(VLOOKUP($A340,'NonXtal_SegEnds_BW#'!$A:$Z,24,FALSE)+VLOOKUP($A340,A:AL,34,FALSE)-50))</f>
        <v>309</v>
      </c>
      <c r="AJ340" s="3">
        <f>IF(ISERROR(VLOOKUP($A340,'NonXtal_SegEnds_BW#'!$A:$Z,25,FALSE)+VLOOKUP($A340,A:AL,37,FALSE)-50),"-",(VLOOKUP($A340,'NonXtal_SegEnds_BW#'!$A:$Z,25,FALSE)+VLOOKUP($A340,A:AL,37,FALSE)-50))</f>
        <v>310</v>
      </c>
      <c r="AK340" s="3">
        <v>313</v>
      </c>
      <c r="AL340" s="3">
        <f>IF(ISERROR((VLOOKUP($A340,'NonXtal_SegEnds_BW#'!$A:$Z,26,FALSE)+VLOOKUP($A340,A:AL,37,FALSE)-50)),"-",(VLOOKUP($A340,'NonXtal_SegEnds_BW#'!$A:$Z,26,FALSE)+VLOOKUP($A340,A:AL,37,FALSE)-50))</f>
        <v>322</v>
      </c>
      <c r="AM340" s="71" t="str">
        <f>VLOOKUP(A340,Classification!A:B,2,FALSE)</f>
        <v>A</v>
      </c>
      <c r="AN340" s="71" t="b">
        <f t="shared" si="170"/>
        <v>1</v>
      </c>
      <c r="AO340" s="3" t="str">
        <f t="shared" si="171"/>
        <v>-</v>
      </c>
      <c r="AP340" s="3" t="str">
        <f t="shared" si="172"/>
        <v>-</v>
      </c>
      <c r="AQ340" s="3">
        <f t="shared" si="173"/>
        <v>3</v>
      </c>
      <c r="AR340" s="3">
        <f t="shared" si="174"/>
        <v>1</v>
      </c>
      <c r="AS340" s="3">
        <f t="shared" si="175"/>
        <v>1</v>
      </c>
      <c r="AT340" s="3">
        <f t="shared" si="176"/>
        <v>2</v>
      </c>
      <c r="AU340" s="3">
        <f t="shared" si="177"/>
        <v>11</v>
      </c>
      <c r="AV340" s="3">
        <f t="shared" si="178"/>
        <v>7</v>
      </c>
      <c r="AW340" s="3">
        <f t="shared" si="179"/>
        <v>7</v>
      </c>
      <c r="AX340" s="3">
        <f t="shared" si="180"/>
        <v>6</v>
      </c>
      <c r="AY340" s="3">
        <f t="shared" si="181"/>
        <v>1</v>
      </c>
      <c r="AZ340" s="3">
        <f>IF(ISERROR(LEN(VLOOKUP(A340,Seqs!A:E,2,FALSE))-AL340),"-",LEN(VLOOKUP(A340,Seqs!A:E,2,FALSE))-AL340)</f>
        <v>55</v>
      </c>
      <c r="BA340" s="35">
        <f t="shared" si="182"/>
        <v>28</v>
      </c>
      <c r="BB340" s="3">
        <f t="shared" si="183"/>
        <v>20</v>
      </c>
      <c r="BC340" s="3">
        <f t="shared" si="184"/>
        <v>28</v>
      </c>
      <c r="BD340" s="3">
        <f t="shared" si="185"/>
        <v>50</v>
      </c>
    </row>
    <row r="341" spans="1:57" s="3" customFormat="1" x14ac:dyDescent="0.2">
      <c r="A341" s="3" t="s">
        <v>544</v>
      </c>
      <c r="B341" s="3" t="str">
        <f>LOWER(VLOOKUP(A341,Xtal_Templ!A:B,2,FALSE))</f>
        <v>p2ry1_human</v>
      </c>
      <c r="C341" s="3">
        <f>VLOOKUP($A341,'NonXtal_SegEnds_BW#'!$A:$Z,3,FALSE)+D341-50</f>
        <v>32</v>
      </c>
      <c r="D341" s="3">
        <v>52</v>
      </c>
      <c r="E341" s="3">
        <f>IF(ISERROR(VLOOKUP($A341,'NonXtal_SegEnds_BW#'!$A:$Z,4,FALSE)+VLOOKUP($A341,A:AL,4,FALSE)-50),"-",(VLOOKUP($A341,'NonXtal_SegEnds_BW#'!$A:$Z,4,FALSE)+VLOOKUP($A341,A:AL,4,FALSE)-50))</f>
        <v>62</v>
      </c>
      <c r="F341" s="3" t="str">
        <f>IF(ISERROR(VLOOKUP($A341,'NonXtal_SegEnds_BW#'!$A:$Z,5,FALSE)+VLOOKUP($A341,A:AL,7,FALSE)-50),"-",(VLOOKUP($A341,'NonXtal_SegEnds_BW#'!$A:$Z,5,FALSE)+VLOOKUP($A341,A:AL,7,FALSE)-50))</f>
        <v>-</v>
      </c>
      <c r="G341" s="3" t="s">
        <v>129</v>
      </c>
      <c r="H341" s="3" t="str">
        <f>IF(ISERROR(VLOOKUP($A341,'NonXtal_SegEnds_BW#'!$A:$Z,6,FALSE)+VLOOKUP($A341,A:AL,7,FALSE)-50),"-",(VLOOKUP($A341,'NonXtal_SegEnds_BW#'!$A:$Z,6,FALSE)+VLOOKUP($A341,A:AL,7,FALSE)-50))</f>
        <v>-</v>
      </c>
      <c r="I341" s="3">
        <f>VLOOKUP($A341,'NonXtal_SegEnds_BW#'!$A:$Z,7,FALSE)+J341-50</f>
        <v>67</v>
      </c>
      <c r="J341" s="3">
        <v>80</v>
      </c>
      <c r="K341" s="3">
        <f>VLOOKUP($A341,'NonXtal_SegEnds_BW#'!$A:$Z,8,FALSE)+VLOOKUP($A341,A:AL,10,FALSE)-50</f>
        <v>96</v>
      </c>
      <c r="L341" s="3">
        <f t="shared" si="186"/>
        <v>98</v>
      </c>
      <c r="M341" s="3">
        <v>99</v>
      </c>
      <c r="N341" s="3">
        <f t="shared" si="187"/>
        <v>101</v>
      </c>
      <c r="O341" s="3">
        <f t="shared" si="188"/>
        <v>102</v>
      </c>
      <c r="P341" s="3">
        <v>131</v>
      </c>
      <c r="Q341" s="3">
        <f>VLOOKUP($A341,'NonXtal_SegEnds_BW#'!$A:$Z,12,FALSE)+VLOOKUP($A341,A:AL,16,FALSE)-50</f>
        <v>137</v>
      </c>
      <c r="R341" s="3">
        <f>IF(ISERROR(VLOOKUP($A341,'NonXtal_SegEnds_BW#'!$A:$Z,13,FALSE)+VLOOKUP($A341,A:AL,19,FALSE)-50),"-",VLOOKUP($A341,'NonXtal_SegEnds_BW#'!$A:$Z,13,FALSE)+VLOOKUP($A341,A:AL,19,FALSE)-50)</f>
        <v>138</v>
      </c>
      <c r="S341" s="3">
        <v>138</v>
      </c>
      <c r="T341" s="3">
        <f>IF(ISERROR(VLOOKUP($A341,'NonXtal_SegEnds_BW#'!$A:$Z,14,FALSE)+VLOOKUP($A341,A:AL,19,FALSE)-50),"-",(VLOOKUP($A341,'NonXtal_SegEnds_BW#'!$A:$Z,14,FALSE)+VLOOKUP($A341,A:AL,19,FALSE)-50))</f>
        <v>145</v>
      </c>
      <c r="U341" s="3">
        <f>IF(ISERROR(VLOOKUP($A341,'NonXtal_SegEnds_BW#'!$A:$Z,15,FALSE)+VLOOKUP($A341,A:AL,22,FALSE)-50),"-",VLOOKUP($A341,'NonXtal_SegEnds_BW#'!$A:$Z,15,FALSE)+VLOOKUP($A341,A:AL,22,FALSE)-50)</f>
        <v>146</v>
      </c>
      <c r="V341" s="3">
        <v>157</v>
      </c>
      <c r="W341" s="3">
        <f>IF(ISERROR(VLOOKUP($A341,'NonXtal_SegEnds_BW#'!$A:$Z,16,FALSE)+VLOOKUP($A341,A:AL,22,FALSE)-50),"-",(VLOOKUP($A341,'NonXtal_SegEnds_BW#'!$A:$Z,16,FALSE)+VLOOKUP($A341,A:AL,22,FALSE)-50))</f>
        <v>171</v>
      </c>
      <c r="X341" s="3">
        <f>IF(ISERROR(VLOOKUP($A341,'NonXtal_SegEnds_BW#'!$A:$Z,17,FALSE)+VLOOKUP($A341,A:AL,25,FALSE)-50),"-",(VLOOKUP($A341,'NonXtal_SegEnds_BW#'!$A:$Z,17,FALSE)+VLOOKUP($A341,A:AL,25,FALSE)-50))</f>
        <v>181</v>
      </c>
      <c r="Y341" s="3">
        <v>181</v>
      </c>
      <c r="Z341" s="3">
        <f t="shared" si="189"/>
        <v>183</v>
      </c>
      <c r="AA341" s="3">
        <f>IF(ISERROR(VLOOKUP($A341,'NonXtal_SegEnds_BW#'!$A:$Z,19,FALSE)+VLOOKUP($A341,A:AL,28,FALSE)-50),"-",(VLOOKUP($A341,'NonXtal_SegEnds_BW#'!$A:$Z,19,FALSE)+VLOOKUP($A341,A:AL,28,FALSE)-50))</f>
        <v>192</v>
      </c>
      <c r="AB341" s="3">
        <v>210</v>
      </c>
      <c r="AC341" s="3">
        <f>IF(ISERROR((VLOOKUP($A341,'NonXtal_SegEnds_BW#'!$A:$Z,20,FALSE)+VLOOKUP($A341,A:AL,28,FALSE)-50)),"-",(VLOOKUP($A341,'NonXtal_SegEnds_BW#'!$A:$Z,20,FALSE)+VLOOKUP($A341,A:AL,28,FALSE)-50))</f>
        <v>228</v>
      </c>
      <c r="AD341" s="3">
        <f>IF(ISERROR(VLOOKUP($A341,'NonXtal_SegEnds_BW#'!$A:$Z,21,FALSE)+VLOOKUP($A341,A:AL,31,FALSE)-50),"-",(VLOOKUP($A341,'NonXtal_SegEnds_BW#'!$A:$Z,21,FALSE)+VLOOKUP($A341,A:AL,31,FALSE)-50))</f>
        <v>236</v>
      </c>
      <c r="AE341" s="3">
        <v>258</v>
      </c>
      <c r="AF341" s="3">
        <f>IF(ISERROR((VLOOKUP($A341,'NonXtal_SegEnds_BW#'!$A:$Z,22,FALSE)+VLOOKUP($A341,A:AL,31,FALSE)-50)),"-",(VLOOKUP($A341,'NonXtal_SegEnds_BW#'!$A:$Z,22,FALSE)+VLOOKUP($A341,A:AL,31,FALSE)-50))</f>
        <v>272</v>
      </c>
      <c r="AG341" s="3">
        <f>IF(ISERROR(VLOOKUP($A341,'NonXtal_SegEnds_BW#'!$A:$Z,23,FALSE)+VLOOKUP($A341,A:AL,34,FALSE)-50),"-",(VLOOKUP($A341,'NonXtal_SegEnds_BW#'!$A:$Z,23,FALSE)+VLOOKUP($A341,A:AL,34,FALSE)-50))</f>
        <v>276</v>
      </c>
      <c r="AH341" s="3">
        <v>302</v>
      </c>
      <c r="AI341" s="3">
        <f>IF(ISERROR((VLOOKUP($A341,'NonXtal_SegEnds_BW#'!$A:$Z,24,FALSE)+VLOOKUP($A341,A:AL,34,FALSE)-50)),"-",(VLOOKUP($A341,'NonXtal_SegEnds_BW#'!$A:$Z,24,FALSE)+VLOOKUP($A341,A:AL,34,FALSE)-50))</f>
        <v>308</v>
      </c>
      <c r="AJ341" s="3">
        <f>IF(ISERROR(VLOOKUP($A341,'NonXtal_SegEnds_BW#'!$A:$Z,25,FALSE)+VLOOKUP($A341,A:AL,37,FALSE)-50),"-",(VLOOKUP($A341,'NonXtal_SegEnds_BW#'!$A:$Z,25,FALSE)+VLOOKUP($A341,A:AL,37,FALSE)-50))</f>
        <v>309</v>
      </c>
      <c r="AK341" s="3">
        <v>312</v>
      </c>
      <c r="AL341" s="3">
        <f>IF(ISERROR((VLOOKUP($A341,'NonXtal_SegEnds_BW#'!$A:$Z,26,FALSE)+VLOOKUP($A341,A:AL,37,FALSE)-50)),"-",(VLOOKUP($A341,'NonXtal_SegEnds_BW#'!$A:$Z,26,FALSE)+VLOOKUP($A341,A:AL,37,FALSE)-50))</f>
        <v>321</v>
      </c>
      <c r="AM341" s="71" t="str">
        <f>VLOOKUP(A341,Classification!A:B,2,FALSE)</f>
        <v>A</v>
      </c>
      <c r="AN341" s="71" t="b">
        <f t="shared" si="170"/>
        <v>1</v>
      </c>
      <c r="AO341" s="3" t="str">
        <f t="shared" si="171"/>
        <v>-</v>
      </c>
      <c r="AP341" s="3" t="str">
        <f t="shared" si="172"/>
        <v>-</v>
      </c>
      <c r="AQ341" s="3">
        <f t="shared" si="173"/>
        <v>2</v>
      </c>
      <c r="AR341" s="3">
        <f t="shared" si="174"/>
        <v>1</v>
      </c>
      <c r="AS341" s="3">
        <f t="shared" si="175"/>
        <v>1</v>
      </c>
      <c r="AT341" s="3">
        <f t="shared" si="176"/>
        <v>1</v>
      </c>
      <c r="AU341" s="3">
        <f t="shared" si="177"/>
        <v>10</v>
      </c>
      <c r="AV341" s="3">
        <f t="shared" si="178"/>
        <v>9</v>
      </c>
      <c r="AW341" s="3">
        <f t="shared" si="179"/>
        <v>8</v>
      </c>
      <c r="AX341" s="3">
        <f t="shared" si="180"/>
        <v>4</v>
      </c>
      <c r="AY341" s="3">
        <f t="shared" si="181"/>
        <v>1</v>
      </c>
      <c r="AZ341" s="3">
        <f>IF(ISERROR(LEN(VLOOKUP(A341,Seqs!A:E,2,FALSE))-AL341),"-",LEN(VLOOKUP(A341,Seqs!A:E,2,FALSE))-AL341)</f>
        <v>18</v>
      </c>
      <c r="BA341" s="35">
        <f t="shared" si="182"/>
        <v>28</v>
      </c>
      <c r="BB341" s="3">
        <f t="shared" si="183"/>
        <v>19</v>
      </c>
      <c r="BC341" s="3">
        <f t="shared" si="184"/>
        <v>28</v>
      </c>
      <c r="BD341" s="3">
        <f t="shared" si="185"/>
        <v>48</v>
      </c>
      <c r="BE341" s="3">
        <f>AH341-AE341</f>
        <v>44</v>
      </c>
    </row>
    <row r="342" spans="1:57" s="3" customFormat="1" x14ac:dyDescent="0.2">
      <c r="A342" s="3" t="s">
        <v>470</v>
      </c>
      <c r="B342" s="3" t="str">
        <f>LOWER(VLOOKUP(A342,Xtal_Templ!A:B,2,FALSE))</f>
        <v>p2ry1_human</v>
      </c>
      <c r="C342" s="3">
        <f>VLOOKUP($A342,'NonXtal_SegEnds_BW#'!$A:$Z,3,FALSE)+D342-50</f>
        <v>25</v>
      </c>
      <c r="D342" s="3">
        <v>45</v>
      </c>
      <c r="E342" s="3">
        <f>IF(ISERROR(VLOOKUP($A342,'NonXtal_SegEnds_BW#'!$A:$Z,4,FALSE)+VLOOKUP($A342,A:AL,4,FALSE)-50),"-",(VLOOKUP($A342,'NonXtal_SegEnds_BW#'!$A:$Z,4,FALSE)+VLOOKUP($A342,A:AL,4,FALSE)-50))</f>
        <v>55</v>
      </c>
      <c r="F342" s="3" t="str">
        <f>IF(ISERROR(VLOOKUP($A342,'NonXtal_SegEnds_BW#'!$A:$Z,5,FALSE)+VLOOKUP($A342,A:AL,7,FALSE)-50),"-",(VLOOKUP($A342,'NonXtal_SegEnds_BW#'!$A:$Z,5,FALSE)+VLOOKUP($A342,A:AL,7,FALSE)-50))</f>
        <v>-</v>
      </c>
      <c r="G342" s="3" t="s">
        <v>129</v>
      </c>
      <c r="H342" s="3" t="str">
        <f>IF(ISERROR(VLOOKUP($A342,'NonXtal_SegEnds_BW#'!$A:$Z,6,FALSE)+VLOOKUP($A342,A:AL,7,FALSE)-50),"-",(VLOOKUP($A342,'NonXtal_SegEnds_BW#'!$A:$Z,6,FALSE)+VLOOKUP($A342,A:AL,7,FALSE)-50))</f>
        <v>-</v>
      </c>
      <c r="I342" s="3">
        <f>VLOOKUP($A342,'NonXtal_SegEnds_BW#'!$A:$Z,7,FALSE)+J342-50</f>
        <v>60</v>
      </c>
      <c r="J342" s="3">
        <v>73</v>
      </c>
      <c r="K342" s="3">
        <f>VLOOKUP($A342,'NonXtal_SegEnds_BW#'!$A:$Z,8,FALSE)+VLOOKUP($A342,A:AL,10,FALSE)-50</f>
        <v>89</v>
      </c>
      <c r="L342" s="3">
        <f t="shared" si="186"/>
        <v>92</v>
      </c>
      <c r="M342" s="3">
        <v>93</v>
      </c>
      <c r="N342" s="3">
        <f t="shared" si="187"/>
        <v>95</v>
      </c>
      <c r="O342" s="3">
        <f t="shared" si="188"/>
        <v>96</v>
      </c>
      <c r="P342" s="3">
        <v>125</v>
      </c>
      <c r="Q342" s="3">
        <f>VLOOKUP($A342,'NonXtal_SegEnds_BW#'!$A:$Z,12,FALSE)+VLOOKUP($A342,A:AL,16,FALSE)-50</f>
        <v>131</v>
      </c>
      <c r="R342" s="3">
        <f>IF(ISERROR(VLOOKUP($A342,'NonXtal_SegEnds_BW#'!$A:$Z,13,FALSE)+VLOOKUP($A342,A:AL,19,FALSE)-50),"-",VLOOKUP($A342,'NonXtal_SegEnds_BW#'!$A:$Z,13,FALSE)+VLOOKUP($A342,A:AL,19,FALSE)-50)</f>
        <v>132</v>
      </c>
      <c r="S342" s="3">
        <v>132</v>
      </c>
      <c r="T342" s="3">
        <f>IF(ISERROR(VLOOKUP($A342,'NonXtal_SegEnds_BW#'!$A:$Z,14,FALSE)+VLOOKUP($A342,A:AL,19,FALSE)-50),"-",(VLOOKUP($A342,'NonXtal_SegEnds_BW#'!$A:$Z,14,FALSE)+VLOOKUP($A342,A:AL,19,FALSE)-50))</f>
        <v>139</v>
      </c>
      <c r="U342" s="3">
        <f>IF(ISERROR(VLOOKUP($A342,'NonXtal_SegEnds_BW#'!$A:$Z,15,FALSE)+VLOOKUP($A342,A:AL,22,FALSE)-50),"-",VLOOKUP($A342,'NonXtal_SegEnds_BW#'!$A:$Z,15,FALSE)+VLOOKUP($A342,A:AL,22,FALSE)-50)</f>
        <v>141</v>
      </c>
      <c r="V342" s="3">
        <v>152</v>
      </c>
      <c r="W342" s="3">
        <f>IF(ISERROR(VLOOKUP($A342,'NonXtal_SegEnds_BW#'!$A:$Z,16,FALSE)+VLOOKUP($A342,A:AL,22,FALSE)-50),"-",(VLOOKUP($A342,'NonXtal_SegEnds_BW#'!$A:$Z,16,FALSE)+VLOOKUP($A342,A:AL,22,FALSE)-50))</f>
        <v>166</v>
      </c>
      <c r="X342" s="3">
        <f>IF(ISERROR(VLOOKUP($A342,'NonXtal_SegEnds_BW#'!$A:$Z,17,FALSE)+VLOOKUP($A342,A:AL,25,FALSE)-50),"-",(VLOOKUP($A342,'NonXtal_SegEnds_BW#'!$A:$Z,17,FALSE)+VLOOKUP($A342,A:AL,25,FALSE)-50))</f>
        <v>177</v>
      </c>
      <c r="Y342" s="3">
        <v>177</v>
      </c>
      <c r="Z342" s="3">
        <f t="shared" si="189"/>
        <v>179</v>
      </c>
      <c r="AA342" s="3">
        <f>IF(ISERROR(VLOOKUP($A342,'NonXtal_SegEnds_BW#'!$A:$Z,19,FALSE)+VLOOKUP($A342,A:AL,28,FALSE)-50),"-",(VLOOKUP($A342,'NonXtal_SegEnds_BW#'!$A:$Z,19,FALSE)+VLOOKUP($A342,A:AL,28,FALSE)-50))</f>
        <v>182</v>
      </c>
      <c r="AB342" s="3">
        <v>200</v>
      </c>
      <c r="AC342" s="3">
        <f>IF(ISERROR((VLOOKUP($A342,'NonXtal_SegEnds_BW#'!$A:$Z,20,FALSE)+VLOOKUP($A342,A:AL,28,FALSE)-50)),"-",(VLOOKUP($A342,'NonXtal_SegEnds_BW#'!$A:$Z,20,FALSE)+VLOOKUP($A342,A:AL,28,FALSE)-50))</f>
        <v>217</v>
      </c>
      <c r="AD342" s="3">
        <f>IF(ISERROR(VLOOKUP($A342,'NonXtal_SegEnds_BW#'!$A:$Z,21,FALSE)+VLOOKUP($A342,A:AL,31,FALSE)-50),"-",(VLOOKUP($A342,'NonXtal_SegEnds_BW#'!$A:$Z,21,FALSE)+VLOOKUP($A342,A:AL,31,FALSE)-50))</f>
        <v>222</v>
      </c>
      <c r="AE342" s="3">
        <v>246</v>
      </c>
      <c r="AF342" s="3">
        <f>IF(ISERROR((VLOOKUP($A342,'NonXtal_SegEnds_BW#'!$A:$Z,22,FALSE)+VLOOKUP($A342,A:AL,31,FALSE)-50)),"-",(VLOOKUP($A342,'NonXtal_SegEnds_BW#'!$A:$Z,22,FALSE)+VLOOKUP($A342,A:AL,31,FALSE)-50))</f>
        <v>260</v>
      </c>
      <c r="AG342" s="3">
        <f>IF(ISERROR(VLOOKUP($A342,'NonXtal_SegEnds_BW#'!$A:$Z,23,FALSE)+VLOOKUP($A342,A:AL,34,FALSE)-50),"-",(VLOOKUP($A342,'NonXtal_SegEnds_BW#'!$A:$Z,23,FALSE)+VLOOKUP($A342,A:AL,34,FALSE)-50))</f>
        <v>265</v>
      </c>
      <c r="AH342" s="3">
        <v>291</v>
      </c>
      <c r="AI342" s="3">
        <f>IF(ISERROR((VLOOKUP($A342,'NonXtal_SegEnds_BW#'!$A:$Z,24,FALSE)+VLOOKUP($A342,A:AL,34,FALSE)-50)),"-",(VLOOKUP($A342,'NonXtal_SegEnds_BW#'!$A:$Z,24,FALSE)+VLOOKUP($A342,A:AL,34,FALSE)-50))</f>
        <v>297</v>
      </c>
      <c r="AJ342" s="3">
        <f>IF(ISERROR(VLOOKUP($A342,'NonXtal_SegEnds_BW#'!$A:$Z,25,FALSE)+VLOOKUP($A342,A:AL,37,FALSE)-50),"-",(VLOOKUP($A342,'NonXtal_SegEnds_BW#'!$A:$Z,25,FALSE)+VLOOKUP($A342,A:AL,37,FALSE)-50))</f>
        <v>298</v>
      </c>
      <c r="AK342" s="3">
        <v>301</v>
      </c>
      <c r="AL342" s="3">
        <f>IF(ISERROR((VLOOKUP($A342,'NonXtal_SegEnds_BW#'!$A:$Z,26,FALSE)+VLOOKUP($A342,A:AL,37,FALSE)-50)),"-",(VLOOKUP($A342,'NonXtal_SegEnds_BW#'!$A:$Z,26,FALSE)+VLOOKUP($A342,A:AL,37,FALSE)-50))</f>
        <v>310</v>
      </c>
      <c r="AM342" s="71" t="str">
        <f>VLOOKUP(A342,Classification!A:B,2,FALSE)</f>
        <v>A</v>
      </c>
      <c r="AN342" s="71" t="b">
        <f t="shared" si="170"/>
        <v>1</v>
      </c>
      <c r="AO342" s="3" t="str">
        <f t="shared" si="171"/>
        <v>-</v>
      </c>
      <c r="AP342" s="3" t="str">
        <f t="shared" si="172"/>
        <v>-</v>
      </c>
      <c r="AQ342" s="3">
        <f t="shared" si="173"/>
        <v>3</v>
      </c>
      <c r="AR342" s="3">
        <f t="shared" si="174"/>
        <v>1</v>
      </c>
      <c r="AS342" s="3">
        <f t="shared" si="175"/>
        <v>1</v>
      </c>
      <c r="AT342" s="3">
        <f t="shared" si="176"/>
        <v>2</v>
      </c>
      <c r="AU342" s="3">
        <f t="shared" si="177"/>
        <v>11</v>
      </c>
      <c r="AV342" s="3">
        <f t="shared" si="178"/>
        <v>3</v>
      </c>
      <c r="AW342" s="3">
        <f t="shared" si="179"/>
        <v>5</v>
      </c>
      <c r="AX342" s="3">
        <f t="shared" si="180"/>
        <v>5</v>
      </c>
      <c r="AY342" s="3">
        <f t="shared" si="181"/>
        <v>1</v>
      </c>
      <c r="AZ342" s="3">
        <f>IF(ISERROR(LEN(VLOOKUP(A342,Seqs!A:E,2,FALSE))-AL342),"-",LEN(VLOOKUP(A342,Seqs!A:E,2,FALSE))-AL342)</f>
        <v>53</v>
      </c>
      <c r="BA342" s="35">
        <f t="shared" si="182"/>
        <v>28</v>
      </c>
      <c r="BB342" s="3">
        <f t="shared" si="183"/>
        <v>20</v>
      </c>
      <c r="BC342" s="3">
        <f t="shared" si="184"/>
        <v>28</v>
      </c>
      <c r="BD342" s="3">
        <f t="shared" si="185"/>
        <v>46</v>
      </c>
    </row>
    <row r="343" spans="1:57" s="3" customFormat="1" x14ac:dyDescent="0.2">
      <c r="A343" s="3" t="s">
        <v>471</v>
      </c>
      <c r="B343" s="3" t="str">
        <f>LOWER(VLOOKUP(A343,Xtal_Templ!A:B,2,FALSE))</f>
        <v>p2ry1_human</v>
      </c>
      <c r="C343" s="3">
        <f>VLOOKUP($A343,'NonXtal_SegEnds_BW#'!$A:$Z,3,FALSE)+D343-50</f>
        <v>25</v>
      </c>
      <c r="D343" s="3">
        <v>45</v>
      </c>
      <c r="E343" s="3">
        <f>IF(ISERROR(VLOOKUP($A343,'NonXtal_SegEnds_BW#'!$A:$Z,4,FALSE)+VLOOKUP($A343,A:AL,4,FALSE)-50),"-",(VLOOKUP($A343,'NonXtal_SegEnds_BW#'!$A:$Z,4,FALSE)+VLOOKUP($A343,A:AL,4,FALSE)-50))</f>
        <v>55</v>
      </c>
      <c r="F343" s="3" t="str">
        <f>IF(ISERROR(VLOOKUP($A343,'NonXtal_SegEnds_BW#'!$A:$Z,5,FALSE)+VLOOKUP($A343,A:AL,7,FALSE)-50),"-",(VLOOKUP($A343,'NonXtal_SegEnds_BW#'!$A:$Z,5,FALSE)+VLOOKUP($A343,A:AL,7,FALSE)-50))</f>
        <v>-</v>
      </c>
      <c r="G343" s="3" t="s">
        <v>129</v>
      </c>
      <c r="H343" s="3" t="str">
        <f>IF(ISERROR(VLOOKUP($A343,'NonXtal_SegEnds_BW#'!$A:$Z,6,FALSE)+VLOOKUP($A343,A:AL,7,FALSE)-50),"-",(VLOOKUP($A343,'NonXtal_SegEnds_BW#'!$A:$Z,6,FALSE)+VLOOKUP($A343,A:AL,7,FALSE)-50))</f>
        <v>-</v>
      </c>
      <c r="I343" s="3">
        <f>VLOOKUP($A343,'NonXtal_SegEnds_BW#'!$A:$Z,7,FALSE)+J343-50</f>
        <v>60</v>
      </c>
      <c r="J343" s="3">
        <v>73</v>
      </c>
      <c r="K343" s="3">
        <f>VLOOKUP($A343,'NonXtal_SegEnds_BW#'!$A:$Z,8,FALSE)+VLOOKUP($A343,A:AL,10,FALSE)-50</f>
        <v>89</v>
      </c>
      <c r="L343" s="3">
        <f t="shared" si="186"/>
        <v>92</v>
      </c>
      <c r="M343" s="3">
        <v>93</v>
      </c>
      <c r="N343" s="3">
        <f t="shared" si="187"/>
        <v>95</v>
      </c>
      <c r="O343" s="3">
        <f t="shared" si="188"/>
        <v>96</v>
      </c>
      <c r="P343" s="3">
        <v>125</v>
      </c>
      <c r="Q343" s="3">
        <f>VLOOKUP($A343,'NonXtal_SegEnds_BW#'!$A:$Z,12,FALSE)+VLOOKUP($A343,A:AL,16,FALSE)-50</f>
        <v>131</v>
      </c>
      <c r="R343" s="3">
        <f>IF(ISERROR(VLOOKUP($A343,'NonXtal_SegEnds_BW#'!$A:$Z,13,FALSE)+VLOOKUP($A343,A:AL,19,FALSE)-50),"-",VLOOKUP($A343,'NonXtal_SegEnds_BW#'!$A:$Z,13,FALSE)+VLOOKUP($A343,A:AL,19,FALSE)-50)</f>
        <v>132</v>
      </c>
      <c r="S343" s="3">
        <v>132</v>
      </c>
      <c r="T343" s="3">
        <f>IF(ISERROR(VLOOKUP($A343,'NonXtal_SegEnds_BW#'!$A:$Z,14,FALSE)+VLOOKUP($A343,A:AL,19,FALSE)-50),"-",(VLOOKUP($A343,'NonXtal_SegEnds_BW#'!$A:$Z,14,FALSE)+VLOOKUP($A343,A:AL,19,FALSE)-50))</f>
        <v>139</v>
      </c>
      <c r="U343" s="3">
        <f>IF(ISERROR(VLOOKUP($A343,'NonXtal_SegEnds_BW#'!$A:$Z,15,FALSE)+VLOOKUP($A343,A:AL,22,FALSE)-50),"-",VLOOKUP($A343,'NonXtal_SegEnds_BW#'!$A:$Z,15,FALSE)+VLOOKUP($A343,A:AL,22,FALSE)-50)</f>
        <v>141</v>
      </c>
      <c r="V343" s="3">
        <v>152</v>
      </c>
      <c r="W343" s="3">
        <f>IF(ISERROR(VLOOKUP($A343,'NonXtal_SegEnds_BW#'!$A:$Z,16,FALSE)+VLOOKUP($A343,A:AL,22,FALSE)-50),"-",(VLOOKUP($A343,'NonXtal_SegEnds_BW#'!$A:$Z,16,FALSE)+VLOOKUP($A343,A:AL,22,FALSE)-50))</f>
        <v>166</v>
      </c>
      <c r="X343" s="3">
        <f>IF(ISERROR(VLOOKUP($A343,'NonXtal_SegEnds_BW#'!$A:$Z,17,FALSE)+VLOOKUP($A343,A:AL,25,FALSE)-50),"-",(VLOOKUP($A343,'NonXtal_SegEnds_BW#'!$A:$Z,17,FALSE)+VLOOKUP($A343,A:AL,25,FALSE)-50))</f>
        <v>177</v>
      </c>
      <c r="Y343" s="3">
        <v>177</v>
      </c>
      <c r="Z343" s="3">
        <f t="shared" si="189"/>
        <v>179</v>
      </c>
      <c r="AA343" s="3">
        <f>IF(ISERROR(VLOOKUP($A343,'NonXtal_SegEnds_BW#'!$A:$Z,19,FALSE)+VLOOKUP($A343,A:AL,28,FALSE)-50),"-",(VLOOKUP($A343,'NonXtal_SegEnds_BW#'!$A:$Z,19,FALSE)+VLOOKUP($A343,A:AL,28,FALSE)-50))</f>
        <v>182</v>
      </c>
      <c r="AB343" s="3">
        <v>200</v>
      </c>
      <c r="AC343" s="3">
        <f>IF(ISERROR((VLOOKUP($A343,'NonXtal_SegEnds_BW#'!$A:$Z,20,FALSE)+VLOOKUP($A343,A:AL,28,FALSE)-50)),"-",(VLOOKUP($A343,'NonXtal_SegEnds_BW#'!$A:$Z,20,FALSE)+VLOOKUP($A343,A:AL,28,FALSE)-50))</f>
        <v>217</v>
      </c>
      <c r="AD343" s="3">
        <f>IF(ISERROR(VLOOKUP($A343,'NonXtal_SegEnds_BW#'!$A:$Z,21,FALSE)+VLOOKUP($A343,A:AL,31,FALSE)-50),"-",(VLOOKUP($A343,'NonXtal_SegEnds_BW#'!$A:$Z,21,FALSE)+VLOOKUP($A343,A:AL,31,FALSE)-50))</f>
        <v>222</v>
      </c>
      <c r="AE343" s="3">
        <v>246</v>
      </c>
      <c r="AF343" s="3">
        <f>IF(ISERROR((VLOOKUP($A343,'NonXtal_SegEnds_BW#'!$A:$Z,22,FALSE)+VLOOKUP($A343,A:AL,31,FALSE)-50)),"-",(VLOOKUP($A343,'NonXtal_SegEnds_BW#'!$A:$Z,22,FALSE)+VLOOKUP($A343,A:AL,31,FALSE)-50))</f>
        <v>260</v>
      </c>
      <c r="AG343" s="3">
        <f>IF(ISERROR(VLOOKUP($A343,'NonXtal_SegEnds_BW#'!$A:$Z,23,FALSE)+VLOOKUP($A343,A:AL,34,FALSE)-50),"-",(VLOOKUP($A343,'NonXtal_SegEnds_BW#'!$A:$Z,23,FALSE)+VLOOKUP($A343,A:AL,34,FALSE)-50))</f>
        <v>265</v>
      </c>
      <c r="AH343" s="3">
        <v>291</v>
      </c>
      <c r="AI343" s="3">
        <f>IF(ISERROR((VLOOKUP($A343,'NonXtal_SegEnds_BW#'!$A:$Z,24,FALSE)+VLOOKUP($A343,A:AL,34,FALSE)-50)),"-",(VLOOKUP($A343,'NonXtal_SegEnds_BW#'!$A:$Z,24,FALSE)+VLOOKUP($A343,A:AL,34,FALSE)-50))</f>
        <v>297</v>
      </c>
      <c r="AJ343" s="3">
        <f>IF(ISERROR(VLOOKUP($A343,'NonXtal_SegEnds_BW#'!$A:$Z,25,FALSE)+VLOOKUP($A343,A:AL,37,FALSE)-50),"-",(VLOOKUP($A343,'NonXtal_SegEnds_BW#'!$A:$Z,25,FALSE)+VLOOKUP($A343,A:AL,37,FALSE)-50))</f>
        <v>298</v>
      </c>
      <c r="AK343" s="3">
        <v>301</v>
      </c>
      <c r="AL343" s="3">
        <f>IF(ISERROR((VLOOKUP($A343,'NonXtal_SegEnds_BW#'!$A:$Z,26,FALSE)+VLOOKUP($A343,A:AL,37,FALSE)-50)),"-",(VLOOKUP($A343,'NonXtal_SegEnds_BW#'!$A:$Z,26,FALSE)+VLOOKUP($A343,A:AL,37,FALSE)-50))</f>
        <v>310</v>
      </c>
      <c r="AM343" s="71" t="str">
        <f>VLOOKUP(A343,Classification!A:B,2,FALSE)</f>
        <v>A</v>
      </c>
      <c r="AN343" s="71" t="b">
        <f t="shared" si="170"/>
        <v>1</v>
      </c>
      <c r="AO343" s="3" t="str">
        <f t="shared" si="171"/>
        <v>-</v>
      </c>
      <c r="AP343" s="3" t="str">
        <f t="shared" si="172"/>
        <v>-</v>
      </c>
      <c r="AQ343" s="3">
        <f t="shared" si="173"/>
        <v>3</v>
      </c>
      <c r="AR343" s="3">
        <f t="shared" si="174"/>
        <v>1</v>
      </c>
      <c r="AS343" s="3">
        <f t="shared" si="175"/>
        <v>1</v>
      </c>
      <c r="AT343" s="3">
        <f t="shared" si="176"/>
        <v>2</v>
      </c>
      <c r="AU343" s="3">
        <f t="shared" si="177"/>
        <v>11</v>
      </c>
      <c r="AV343" s="3">
        <f t="shared" si="178"/>
        <v>3</v>
      </c>
      <c r="AW343" s="3">
        <f t="shared" si="179"/>
        <v>5</v>
      </c>
      <c r="AX343" s="3">
        <f t="shared" si="180"/>
        <v>5</v>
      </c>
      <c r="AY343" s="3">
        <f t="shared" si="181"/>
        <v>1</v>
      </c>
      <c r="AZ343" s="3">
        <f>IF(ISERROR(LEN(VLOOKUP(A343,Seqs!A:E,2,FALSE))-AL343),"-",LEN(VLOOKUP(A343,Seqs!A:E,2,FALSE))-AL343)</f>
        <v>77</v>
      </c>
      <c r="BA343" s="35">
        <f t="shared" si="182"/>
        <v>28</v>
      </c>
      <c r="BB343" s="3">
        <f t="shared" si="183"/>
        <v>20</v>
      </c>
      <c r="BC343" s="3">
        <f t="shared" si="184"/>
        <v>28</v>
      </c>
      <c r="BD343" s="3">
        <f t="shared" si="185"/>
        <v>46</v>
      </c>
    </row>
    <row r="344" spans="1:57" s="3" customFormat="1" x14ac:dyDescent="0.2">
      <c r="A344" s="3" t="s">
        <v>542</v>
      </c>
      <c r="B344" s="3" t="str">
        <f>LOWER(VLOOKUP(A344,Xtal_Templ!A:B,2,FALSE))</f>
        <v>p2ry1_human</v>
      </c>
      <c r="C344" s="3">
        <f>VLOOKUP($A344,'NonXtal_SegEnds_BW#'!$A:$Z,3,FALSE)+D344-50</f>
        <v>24</v>
      </c>
      <c r="D344" s="3">
        <v>44</v>
      </c>
      <c r="E344" s="3">
        <f>IF(ISERROR(VLOOKUP($A344,'NonXtal_SegEnds_BW#'!$A:$Z,4,FALSE)+VLOOKUP($A344,A:AL,4,FALSE)-50),"-",(VLOOKUP($A344,'NonXtal_SegEnds_BW#'!$A:$Z,4,FALSE)+VLOOKUP($A344,A:AL,4,FALSE)-50))</f>
        <v>54</v>
      </c>
      <c r="F344" s="3">
        <f>G344-2</f>
        <v>55</v>
      </c>
      <c r="G344" s="3">
        <v>57</v>
      </c>
      <c r="H344" s="3">
        <f>G344+1</f>
        <v>58</v>
      </c>
      <c r="I344" s="3">
        <f>H344+1</f>
        <v>59</v>
      </c>
      <c r="J344" s="3">
        <v>72</v>
      </c>
      <c r="K344" s="3">
        <f>VLOOKUP($A344,'NonXtal_SegEnds_BW#'!$A:$Z,8,FALSE)+VLOOKUP($A344,A:AL,10,FALSE)-50</f>
        <v>88</v>
      </c>
      <c r="L344" s="3">
        <f t="shared" si="186"/>
        <v>91</v>
      </c>
      <c r="M344" s="3">
        <v>92</v>
      </c>
      <c r="N344" s="3">
        <f t="shared" si="187"/>
        <v>94</v>
      </c>
      <c r="O344" s="3">
        <f t="shared" si="188"/>
        <v>95</v>
      </c>
      <c r="P344" s="3">
        <v>124</v>
      </c>
      <c r="Q344" s="3">
        <f>VLOOKUP($A344,'NonXtal_SegEnds_BW#'!$A:$Z,12,FALSE)+VLOOKUP($A344,A:AL,16,FALSE)-50</f>
        <v>130</v>
      </c>
      <c r="R344" s="3">
        <f>IF(ISERROR(VLOOKUP($A344,'NonXtal_SegEnds_BW#'!$A:$Z,13,FALSE)+VLOOKUP($A344,A:AL,19,FALSE)-50),"-",VLOOKUP($A344,'NonXtal_SegEnds_BW#'!$A:$Z,13,FALSE)+VLOOKUP($A344,A:AL,19,FALSE)-50)</f>
        <v>131</v>
      </c>
      <c r="S344" s="3">
        <v>131</v>
      </c>
      <c r="T344" s="3">
        <f>IF(ISERROR(VLOOKUP($A344,'NonXtal_SegEnds_BW#'!$A:$Z,14,FALSE)+VLOOKUP($A344,A:AL,19,FALSE)-50),"-",(VLOOKUP($A344,'NonXtal_SegEnds_BW#'!$A:$Z,14,FALSE)+VLOOKUP($A344,A:AL,19,FALSE)-50))</f>
        <v>139</v>
      </c>
      <c r="U344" s="3">
        <f>IF(ISERROR(VLOOKUP($A344,'NonXtal_SegEnds_BW#'!$A:$Z,15,FALSE)+VLOOKUP($A344,A:AL,22,FALSE)-50),"-",VLOOKUP($A344,'NonXtal_SegEnds_BW#'!$A:$Z,15,FALSE)+VLOOKUP($A344,A:AL,22,FALSE)-50)</f>
        <v>141</v>
      </c>
      <c r="V344" s="3">
        <v>152</v>
      </c>
      <c r="W344" s="3">
        <f>IF(ISERROR(VLOOKUP($A344,'NonXtal_SegEnds_BW#'!$A:$Z,16,FALSE)+VLOOKUP($A344,A:AL,22,FALSE)-50),"-",(VLOOKUP($A344,'NonXtal_SegEnds_BW#'!$A:$Z,16,FALSE)+VLOOKUP($A344,A:AL,22,FALSE)-50))</f>
        <v>166</v>
      </c>
      <c r="X344" s="3">
        <f>IF(ISERROR(VLOOKUP($A344,'NonXtal_SegEnds_BW#'!$A:$Z,17,FALSE)+VLOOKUP($A344,A:AL,25,FALSE)-50),"-",(VLOOKUP($A344,'NonXtal_SegEnds_BW#'!$A:$Z,17,FALSE)+VLOOKUP($A344,A:AL,25,FALSE)-50))</f>
        <v>177</v>
      </c>
      <c r="Y344" s="3">
        <v>177</v>
      </c>
      <c r="Z344" s="3">
        <f t="shared" si="189"/>
        <v>179</v>
      </c>
      <c r="AA344" s="3">
        <f>IF(ISERROR(VLOOKUP($A344,'NonXtal_SegEnds_BW#'!$A:$Z,19,FALSE)+VLOOKUP($A344,A:AL,28,FALSE)-50),"-",(VLOOKUP($A344,'NonXtal_SegEnds_BW#'!$A:$Z,19,FALSE)+VLOOKUP($A344,A:AL,28,FALSE)-50))</f>
        <v>186</v>
      </c>
      <c r="AB344" s="3">
        <v>204</v>
      </c>
      <c r="AC344" s="3">
        <f>IF(ISERROR((VLOOKUP($A344,'NonXtal_SegEnds_BW#'!$A:$Z,20,FALSE)+VLOOKUP($A344,A:AL,28,FALSE)-50)),"-",(VLOOKUP($A344,'NonXtal_SegEnds_BW#'!$A:$Z,20,FALSE)+VLOOKUP($A344,A:AL,28,FALSE)-50))</f>
        <v>226</v>
      </c>
      <c r="AD344" s="3">
        <f>IF(ISERROR(VLOOKUP($A344,'NonXtal_SegEnds_BW#'!$A:$Z,21,FALSE)+VLOOKUP($A344,A:AL,31,FALSE)-50),"-",(VLOOKUP($A344,'NonXtal_SegEnds_BW#'!$A:$Z,21,FALSE)+VLOOKUP($A344,A:AL,31,FALSE)-50))</f>
        <v>233</v>
      </c>
      <c r="AE344" s="3">
        <v>254</v>
      </c>
      <c r="AF344" s="3">
        <f>IF(ISERROR((VLOOKUP($A344,'NonXtal_SegEnds_BW#'!$A:$Z,22,FALSE)+VLOOKUP($A344,A:AL,31,FALSE)-50)),"-",(VLOOKUP($A344,'NonXtal_SegEnds_BW#'!$A:$Z,22,FALSE)+VLOOKUP($A344,A:AL,31,FALSE)-50))</f>
        <v>268</v>
      </c>
      <c r="AG344" s="3">
        <f>IF(ISERROR(VLOOKUP($A344,'NonXtal_SegEnds_BW#'!$A:$Z,23,FALSE)+VLOOKUP($A344,A:AL,34,FALSE)-50),"-",(VLOOKUP($A344,'NonXtal_SegEnds_BW#'!$A:$Z,23,FALSE)+VLOOKUP($A344,A:AL,34,FALSE)-50))</f>
        <v>272</v>
      </c>
      <c r="AH344" s="3">
        <v>298</v>
      </c>
      <c r="AI344" s="3">
        <f>IF(ISERROR((VLOOKUP($A344,'NonXtal_SegEnds_BW#'!$A:$Z,24,FALSE)+VLOOKUP($A344,A:AL,34,FALSE)-50)),"-",(VLOOKUP($A344,'NonXtal_SegEnds_BW#'!$A:$Z,24,FALSE)+VLOOKUP($A344,A:AL,34,FALSE)-50))</f>
        <v>304</v>
      </c>
      <c r="AJ344" s="3">
        <f>IF(ISERROR(VLOOKUP($A344,'NonXtal_SegEnds_BW#'!$A:$Z,25,FALSE)+VLOOKUP($A344,A:AL,37,FALSE)-50),"-",(VLOOKUP($A344,'NonXtal_SegEnds_BW#'!$A:$Z,25,FALSE)+VLOOKUP($A344,A:AL,37,FALSE)-50))</f>
        <v>305</v>
      </c>
      <c r="AK344" s="3">
        <v>308</v>
      </c>
      <c r="AL344" s="3">
        <f>IF(ISERROR((VLOOKUP($A344,'NonXtal_SegEnds_BW#'!$A:$Z,26,FALSE)+VLOOKUP($A344,A:AL,37,FALSE)-50)),"-",(VLOOKUP($A344,'NonXtal_SegEnds_BW#'!$A:$Z,26,FALSE)+VLOOKUP($A344,A:AL,37,FALSE)-50))</f>
        <v>317</v>
      </c>
      <c r="AM344" s="71" t="str">
        <f>VLOOKUP(A344,Classification!A:B,2,FALSE)</f>
        <v>A</v>
      </c>
      <c r="AN344" s="71" t="b">
        <f t="shared" si="170"/>
        <v>1</v>
      </c>
      <c r="AO344" s="3">
        <f t="shared" si="171"/>
        <v>1</v>
      </c>
      <c r="AP344" s="3">
        <f t="shared" si="172"/>
        <v>1</v>
      </c>
      <c r="AQ344" s="3">
        <f t="shared" si="173"/>
        <v>3</v>
      </c>
      <c r="AR344" s="3">
        <f t="shared" si="174"/>
        <v>1</v>
      </c>
      <c r="AS344" s="3">
        <f t="shared" si="175"/>
        <v>1</v>
      </c>
      <c r="AT344" s="3">
        <f t="shared" si="176"/>
        <v>2</v>
      </c>
      <c r="AU344" s="3">
        <f t="shared" si="177"/>
        <v>11</v>
      </c>
      <c r="AV344" s="3">
        <f t="shared" si="178"/>
        <v>7</v>
      </c>
      <c r="AW344" s="3">
        <f t="shared" si="179"/>
        <v>7</v>
      </c>
      <c r="AX344" s="3">
        <f t="shared" si="180"/>
        <v>4</v>
      </c>
      <c r="AY344" s="3">
        <f t="shared" si="181"/>
        <v>1</v>
      </c>
      <c r="AZ344" s="3">
        <f>IF(ISERROR(LEN(VLOOKUP(A344,Seqs!A:E,2,FALSE))-AL344),"-",LEN(VLOOKUP(A344,Seqs!A:E,2,FALSE))-AL344)</f>
        <v>11</v>
      </c>
      <c r="BA344" s="35">
        <f t="shared" si="182"/>
        <v>28</v>
      </c>
      <c r="BB344" s="3">
        <f t="shared" si="183"/>
        <v>21</v>
      </c>
      <c r="BC344" s="3">
        <f t="shared" si="184"/>
        <v>28</v>
      </c>
      <c r="BD344" s="3">
        <f t="shared" si="185"/>
        <v>50</v>
      </c>
      <c r="BE344" s="3">
        <f>AH344-AE344</f>
        <v>44</v>
      </c>
    </row>
    <row r="345" spans="1:57" s="3" customFormat="1" x14ac:dyDescent="0.2">
      <c r="A345" s="3" t="s">
        <v>483</v>
      </c>
      <c r="B345" s="3" t="str">
        <f>LOWER(VLOOKUP(A345,Xtal_Templ!A:B,2,FALSE))</f>
        <v>p2ry1_human</v>
      </c>
      <c r="C345" s="3">
        <f>VLOOKUP($A345,'NonXtal_SegEnds_BW#'!$A:$Z,3,FALSE)+D345-50</f>
        <v>20</v>
      </c>
      <c r="D345" s="3">
        <v>40</v>
      </c>
      <c r="E345" s="3">
        <f>IF(ISERROR(VLOOKUP($A345,'NonXtal_SegEnds_BW#'!$A:$Z,4,FALSE)+VLOOKUP($A345,A:AL,4,FALSE)-50),"-",(VLOOKUP($A345,'NonXtal_SegEnds_BW#'!$A:$Z,4,FALSE)+VLOOKUP($A345,A:AL,4,FALSE)-50))</f>
        <v>50</v>
      </c>
      <c r="F345" s="3">
        <f>G345-2</f>
        <v>51</v>
      </c>
      <c r="G345" s="3">
        <v>53</v>
      </c>
      <c r="H345" s="3">
        <f>G345+1</f>
        <v>54</v>
      </c>
      <c r="I345" s="3">
        <f>H345+1</f>
        <v>55</v>
      </c>
      <c r="J345" s="3">
        <v>68</v>
      </c>
      <c r="K345" s="3">
        <f>VLOOKUP($A345,'NonXtal_SegEnds_BW#'!$A:$Z,8,FALSE)+VLOOKUP($A345,A:AL,10,FALSE)-50</f>
        <v>84</v>
      </c>
      <c r="L345" s="3">
        <f t="shared" si="186"/>
        <v>86</v>
      </c>
      <c r="M345" s="3">
        <v>87</v>
      </c>
      <c r="N345" s="3">
        <f t="shared" si="187"/>
        <v>89</v>
      </c>
      <c r="O345" s="3">
        <f t="shared" si="188"/>
        <v>90</v>
      </c>
      <c r="P345" s="3">
        <v>119</v>
      </c>
      <c r="Q345" s="3">
        <f>VLOOKUP($A345,'NonXtal_SegEnds_BW#'!$A:$Z,12,FALSE)+VLOOKUP($A345,A:AL,16,FALSE)-50</f>
        <v>125</v>
      </c>
      <c r="R345" s="3">
        <f>IF(ISERROR(VLOOKUP($A345,'NonXtal_SegEnds_BW#'!$A:$Z,13,FALSE)+VLOOKUP($A345,A:AL,19,FALSE)-50),"-",VLOOKUP($A345,'NonXtal_SegEnds_BW#'!$A:$Z,13,FALSE)+VLOOKUP($A345,A:AL,19,FALSE)-50)</f>
        <v>126</v>
      </c>
      <c r="S345" s="3">
        <v>126</v>
      </c>
      <c r="T345" s="3">
        <f>IF(ISERROR(VLOOKUP($A345,'NonXtal_SegEnds_BW#'!$A:$Z,14,FALSE)+VLOOKUP($A345,A:AL,19,FALSE)-50),"-",(VLOOKUP($A345,'NonXtal_SegEnds_BW#'!$A:$Z,14,FALSE)+VLOOKUP($A345,A:AL,19,FALSE)-50))</f>
        <v>133</v>
      </c>
      <c r="U345" s="3">
        <f>IF(ISERROR(VLOOKUP($A345,'NonXtal_SegEnds_BW#'!$A:$Z,15,FALSE)+VLOOKUP($A345,A:AL,22,FALSE)-50),"-",VLOOKUP($A345,'NonXtal_SegEnds_BW#'!$A:$Z,15,FALSE)+VLOOKUP($A345,A:AL,22,FALSE)-50)</f>
        <v>135</v>
      </c>
      <c r="V345" s="3">
        <v>146</v>
      </c>
      <c r="W345" s="3">
        <f>IF(ISERROR(VLOOKUP($A345,'NonXtal_SegEnds_BW#'!$A:$Z,16,FALSE)+VLOOKUP($A345,A:AL,22,FALSE)-50),"-",(VLOOKUP($A345,'NonXtal_SegEnds_BW#'!$A:$Z,16,FALSE)+VLOOKUP($A345,A:AL,22,FALSE)-50))</f>
        <v>160</v>
      </c>
      <c r="X345" s="3">
        <f>IF(ISERROR(VLOOKUP($A345,'NonXtal_SegEnds_BW#'!$A:$Z,17,FALSE)+VLOOKUP($A345,A:AL,25,FALSE)-50),"-",(VLOOKUP($A345,'NonXtal_SegEnds_BW#'!$A:$Z,17,FALSE)+VLOOKUP($A345,A:AL,25,FALSE)-50))</f>
        <v>175</v>
      </c>
      <c r="Y345" s="3">
        <v>175</v>
      </c>
      <c r="Z345" s="3">
        <f t="shared" si="189"/>
        <v>177</v>
      </c>
      <c r="AA345" s="3">
        <f>IF(ISERROR(VLOOKUP($A345,'NonXtal_SegEnds_BW#'!$A:$Z,19,FALSE)+VLOOKUP($A345,A:AL,28,FALSE)-50),"-",(VLOOKUP($A345,'NonXtal_SegEnds_BW#'!$A:$Z,19,FALSE)+VLOOKUP($A345,A:AL,28,FALSE)-50))</f>
        <v>185</v>
      </c>
      <c r="AB345" s="3">
        <v>203</v>
      </c>
      <c r="AC345" s="3">
        <f>IF(ISERROR((VLOOKUP($A345,'NonXtal_SegEnds_BW#'!$A:$Z,20,FALSE)+VLOOKUP($A345,A:AL,28,FALSE)-50)),"-",(VLOOKUP($A345,'NonXtal_SegEnds_BW#'!$A:$Z,20,FALSE)+VLOOKUP($A345,A:AL,28,FALSE)-50))</f>
        <v>220</v>
      </c>
      <c r="AD345" s="3">
        <f>IF(ISERROR(VLOOKUP($A345,'NonXtal_SegEnds_BW#'!$A:$Z,21,FALSE)+VLOOKUP($A345,A:AL,31,FALSE)-50),"-",(VLOOKUP($A345,'NonXtal_SegEnds_BW#'!$A:$Z,21,FALSE)+VLOOKUP($A345,A:AL,31,FALSE)-50))</f>
        <v>225</v>
      </c>
      <c r="AE345" s="3">
        <v>249</v>
      </c>
      <c r="AF345" s="3">
        <f>IF(ISERROR((VLOOKUP($A345,'NonXtal_SegEnds_BW#'!$A:$Z,22,FALSE)+VLOOKUP($A345,A:AL,31,FALSE)-50)),"-",(VLOOKUP($A345,'NonXtal_SegEnds_BW#'!$A:$Z,22,FALSE)+VLOOKUP($A345,A:AL,31,FALSE)-50))</f>
        <v>263</v>
      </c>
      <c r="AG345" s="3">
        <f>IF(ISERROR(VLOOKUP($A345,'NonXtal_SegEnds_BW#'!$A:$Z,23,FALSE)+VLOOKUP($A345,A:AL,34,FALSE)-50),"-",(VLOOKUP($A345,'NonXtal_SegEnds_BW#'!$A:$Z,23,FALSE)+VLOOKUP($A345,A:AL,34,FALSE)-50))</f>
        <v>268</v>
      </c>
      <c r="AH345" s="3">
        <v>294</v>
      </c>
      <c r="AI345" s="3">
        <f>IF(ISERROR((VLOOKUP($A345,'NonXtal_SegEnds_BW#'!$A:$Z,24,FALSE)+VLOOKUP($A345,A:AL,34,FALSE)-50)),"-",(VLOOKUP($A345,'NonXtal_SegEnds_BW#'!$A:$Z,24,FALSE)+VLOOKUP($A345,A:AL,34,FALSE)-50))</f>
        <v>300</v>
      </c>
      <c r="AJ345" s="3">
        <f>IF(ISERROR(VLOOKUP($A345,'NonXtal_SegEnds_BW#'!$A:$Z,25,FALSE)+VLOOKUP($A345,A:AL,37,FALSE)-50),"-",(VLOOKUP($A345,'NonXtal_SegEnds_BW#'!$A:$Z,25,FALSE)+VLOOKUP($A345,A:AL,37,FALSE)-50))</f>
        <v>301</v>
      </c>
      <c r="AK345" s="3">
        <v>304</v>
      </c>
      <c r="AL345" s="3">
        <f>IF(ISERROR((VLOOKUP($A345,'NonXtal_SegEnds_BW#'!$A:$Z,26,FALSE)+VLOOKUP($A345,A:AL,37,FALSE)-50)),"-",(VLOOKUP($A345,'NonXtal_SegEnds_BW#'!$A:$Z,26,FALSE)+VLOOKUP($A345,A:AL,37,FALSE)-50))</f>
        <v>313</v>
      </c>
      <c r="AM345" s="71" t="str">
        <f>VLOOKUP(A345,Classification!A:B,2,FALSE)</f>
        <v>A</v>
      </c>
      <c r="AN345" s="71" t="b">
        <f t="shared" si="170"/>
        <v>1</v>
      </c>
      <c r="AO345" s="3">
        <f t="shared" si="171"/>
        <v>1</v>
      </c>
      <c r="AP345" s="3">
        <f t="shared" si="172"/>
        <v>1</v>
      </c>
      <c r="AQ345" s="3">
        <f t="shared" si="173"/>
        <v>2</v>
      </c>
      <c r="AR345" s="3">
        <f t="shared" si="174"/>
        <v>1</v>
      </c>
      <c r="AS345" s="3">
        <f t="shared" si="175"/>
        <v>1</v>
      </c>
      <c r="AT345" s="3">
        <f t="shared" si="176"/>
        <v>2</v>
      </c>
      <c r="AU345" s="3">
        <f t="shared" si="177"/>
        <v>15</v>
      </c>
      <c r="AV345" s="3">
        <f t="shared" si="178"/>
        <v>8</v>
      </c>
      <c r="AW345" s="3">
        <f t="shared" si="179"/>
        <v>5</v>
      </c>
      <c r="AX345" s="3">
        <f t="shared" si="180"/>
        <v>5</v>
      </c>
      <c r="AY345" s="3">
        <f t="shared" si="181"/>
        <v>1</v>
      </c>
      <c r="AZ345" s="3">
        <f>IF(ISERROR(LEN(VLOOKUP(A345,Seqs!A:E,2,FALSE))-AL345),"-",LEN(VLOOKUP(A345,Seqs!A:E,2,FALSE))-AL345)</f>
        <v>59</v>
      </c>
      <c r="BA345" s="35">
        <f t="shared" si="182"/>
        <v>28</v>
      </c>
      <c r="BB345" s="3">
        <f t="shared" si="183"/>
        <v>20</v>
      </c>
      <c r="BC345" s="3">
        <f t="shared" si="184"/>
        <v>28</v>
      </c>
      <c r="BD345" s="3">
        <f t="shared" si="185"/>
        <v>46</v>
      </c>
    </row>
    <row r="346" spans="1:57" s="3" customFormat="1" x14ac:dyDescent="0.2">
      <c r="A346" s="3" t="s">
        <v>373</v>
      </c>
      <c r="B346" s="3" t="str">
        <f>LOWER(VLOOKUP(A346,Xtal_Templ!A:B,2,FALSE))</f>
        <v>p2ry1_human</v>
      </c>
      <c r="C346" s="3">
        <f>VLOOKUP($A346,'NonXtal_SegEnds_BW#'!$A:$Z,3,FALSE)+D346-50</f>
        <v>21</v>
      </c>
      <c r="D346" s="3">
        <v>41</v>
      </c>
      <c r="E346" s="3">
        <f>IF(ISERROR(VLOOKUP($A346,'NonXtal_SegEnds_BW#'!$A:$Z,4,FALSE)+VLOOKUP($A346,A:AL,4,FALSE)-50),"-",(VLOOKUP($A346,'NonXtal_SegEnds_BW#'!$A:$Z,4,FALSE)+VLOOKUP($A346,A:AL,4,FALSE)-50))</f>
        <v>51</v>
      </c>
      <c r="F346" s="3" t="str">
        <f>IF(ISERROR(VLOOKUP($A346,'NonXtal_SegEnds_BW#'!$A:$Z,5,FALSE)+VLOOKUP($A346,A:AL,7,FALSE)-50),"-",(VLOOKUP($A346,'NonXtal_SegEnds_BW#'!$A:$Z,5,FALSE)+VLOOKUP($A346,A:AL,7,FALSE)-50))</f>
        <v>-</v>
      </c>
      <c r="G346" s="3" t="s">
        <v>129</v>
      </c>
      <c r="H346" s="3" t="str">
        <f>IF(ISERROR(VLOOKUP($A346,'NonXtal_SegEnds_BW#'!$A:$Z,6,FALSE)+VLOOKUP($A346,A:AL,7,FALSE)-50),"-",(VLOOKUP($A346,'NonXtal_SegEnds_BW#'!$A:$Z,6,FALSE)+VLOOKUP($A346,A:AL,7,FALSE)-50))</f>
        <v>-</v>
      </c>
      <c r="I346" s="3">
        <f>VLOOKUP($A346,'NonXtal_SegEnds_BW#'!$A:$Z,7,FALSE)+J346-50</f>
        <v>56</v>
      </c>
      <c r="J346" s="3">
        <v>69</v>
      </c>
      <c r="K346" s="3">
        <f>VLOOKUP($A346,'NonXtal_SegEnds_BW#'!$A:$Z,8,FALSE)+VLOOKUP($A346,A:AL,10,FALSE)-50</f>
        <v>85</v>
      </c>
      <c r="L346" s="3">
        <f t="shared" si="186"/>
        <v>88</v>
      </c>
      <c r="M346" s="3">
        <v>89</v>
      </c>
      <c r="N346" s="3">
        <f t="shared" si="187"/>
        <v>91</v>
      </c>
      <c r="O346" s="3">
        <f t="shared" si="188"/>
        <v>92</v>
      </c>
      <c r="P346" s="3">
        <v>121</v>
      </c>
      <c r="Q346" s="3">
        <f>VLOOKUP($A346,'NonXtal_SegEnds_BW#'!$A:$Z,12,FALSE)+VLOOKUP($A346,A:AL,16,FALSE)-50</f>
        <v>127</v>
      </c>
      <c r="R346" s="3">
        <f>IF(ISERROR(VLOOKUP($A346,'NonXtal_SegEnds_BW#'!$A:$Z,13,FALSE)+VLOOKUP($A346,A:AL,19,FALSE)-50),"-",VLOOKUP($A346,'NonXtal_SegEnds_BW#'!$A:$Z,13,FALSE)+VLOOKUP($A346,A:AL,19,FALSE)-50)</f>
        <v>128</v>
      </c>
      <c r="S346" s="3">
        <v>128</v>
      </c>
      <c r="T346" s="3">
        <f>IF(ISERROR(VLOOKUP($A346,'NonXtal_SegEnds_BW#'!$A:$Z,14,FALSE)+VLOOKUP($A346,A:AL,19,FALSE)-50),"-",(VLOOKUP($A346,'NonXtal_SegEnds_BW#'!$A:$Z,14,FALSE)+VLOOKUP($A346,A:AL,19,FALSE)-50))</f>
        <v>135</v>
      </c>
      <c r="U346" s="3">
        <f>IF(ISERROR(VLOOKUP($A346,'NonXtal_SegEnds_BW#'!$A:$Z,15,FALSE)+VLOOKUP($A346,A:AL,22,FALSE)-50),"-",VLOOKUP($A346,'NonXtal_SegEnds_BW#'!$A:$Z,15,FALSE)+VLOOKUP($A346,A:AL,22,FALSE)-50)</f>
        <v>137</v>
      </c>
      <c r="V346" s="3">
        <v>148</v>
      </c>
      <c r="W346" s="3">
        <f>IF(ISERROR(VLOOKUP($A346,'NonXtal_SegEnds_BW#'!$A:$Z,16,FALSE)+VLOOKUP($A346,A:AL,22,FALSE)-50),"-",(VLOOKUP($A346,'NonXtal_SegEnds_BW#'!$A:$Z,16,FALSE)+VLOOKUP($A346,A:AL,22,FALSE)-50))</f>
        <v>162</v>
      </c>
      <c r="X346" s="3">
        <f>IF(ISERROR(VLOOKUP($A346,'NonXtal_SegEnds_BW#'!$A:$Z,17,FALSE)+VLOOKUP($A346,A:AL,25,FALSE)-50),"-",(VLOOKUP($A346,'NonXtal_SegEnds_BW#'!$A:$Z,17,FALSE)+VLOOKUP($A346,A:AL,25,FALSE)-50))</f>
        <v>173</v>
      </c>
      <c r="Y346" s="3">
        <v>173</v>
      </c>
      <c r="Z346" s="3">
        <f t="shared" si="189"/>
        <v>175</v>
      </c>
      <c r="AA346" s="3">
        <f>IF(ISERROR(VLOOKUP($A346,'NonXtal_SegEnds_BW#'!$A:$Z,19,FALSE)+VLOOKUP($A346,A:AL,28,FALSE)-50),"-",(VLOOKUP($A346,'NonXtal_SegEnds_BW#'!$A:$Z,19,FALSE)+VLOOKUP($A346,A:AL,28,FALSE)-50))</f>
        <v>183</v>
      </c>
      <c r="AB346" s="3">
        <v>201</v>
      </c>
      <c r="AC346" s="3">
        <f>IF(ISERROR((VLOOKUP($A346,'NonXtal_SegEnds_BW#'!$A:$Z,20,FALSE)+VLOOKUP($A346,A:AL,28,FALSE)-50)),"-",(VLOOKUP($A346,'NonXtal_SegEnds_BW#'!$A:$Z,20,FALSE)+VLOOKUP($A346,A:AL,28,FALSE)-50))</f>
        <v>218</v>
      </c>
      <c r="AD346" s="3">
        <f>IF(ISERROR(VLOOKUP($A346,'NonXtal_SegEnds_BW#'!$A:$Z,21,FALSE)+VLOOKUP($A346,A:AL,31,FALSE)-50),"-",(VLOOKUP($A346,'NonXtal_SegEnds_BW#'!$A:$Z,21,FALSE)+VLOOKUP($A346,A:AL,31,FALSE)-50))</f>
        <v>224</v>
      </c>
      <c r="AE346" s="3">
        <v>248</v>
      </c>
      <c r="AF346" s="3">
        <f>IF(ISERROR((VLOOKUP($A346,'NonXtal_SegEnds_BW#'!$A:$Z,22,FALSE)+VLOOKUP($A346,A:AL,31,FALSE)-50)),"-",(VLOOKUP($A346,'NonXtal_SegEnds_BW#'!$A:$Z,22,FALSE)+VLOOKUP($A346,A:AL,31,FALSE)-50))</f>
        <v>262</v>
      </c>
      <c r="AG346" s="3">
        <f>IF(ISERROR(VLOOKUP($A346,'NonXtal_SegEnds_BW#'!$A:$Z,23,FALSE)+VLOOKUP($A346,A:AL,34,FALSE)-50),"-",(VLOOKUP($A346,'NonXtal_SegEnds_BW#'!$A:$Z,23,FALSE)+VLOOKUP($A346,A:AL,34,FALSE)-50))</f>
        <v>266</v>
      </c>
      <c r="AH346" s="3">
        <v>292</v>
      </c>
      <c r="AI346" s="3">
        <f>IF(ISERROR((VLOOKUP($A346,'NonXtal_SegEnds_BW#'!$A:$Z,24,FALSE)+VLOOKUP($A346,A:AL,34,FALSE)-50)),"-",(VLOOKUP($A346,'NonXtal_SegEnds_BW#'!$A:$Z,24,FALSE)+VLOOKUP($A346,A:AL,34,FALSE)-50))</f>
        <v>298</v>
      </c>
      <c r="AJ346" s="3">
        <f>IF(ISERROR(VLOOKUP($A346,'NonXtal_SegEnds_BW#'!$A:$Z,25,FALSE)+VLOOKUP($A346,A:AL,37,FALSE)-50),"-",(VLOOKUP($A346,'NonXtal_SegEnds_BW#'!$A:$Z,25,FALSE)+VLOOKUP($A346,A:AL,37,FALSE)-50))</f>
        <v>299</v>
      </c>
      <c r="AK346" s="3">
        <v>302</v>
      </c>
      <c r="AL346" s="3">
        <f>IF(ISERROR((VLOOKUP($A346,'NonXtal_SegEnds_BW#'!$A:$Z,26,FALSE)+VLOOKUP($A346,A:AL,37,FALSE)-50)),"-",(VLOOKUP($A346,'NonXtal_SegEnds_BW#'!$A:$Z,26,FALSE)+VLOOKUP($A346,A:AL,37,FALSE)-50))</f>
        <v>311</v>
      </c>
      <c r="AM346" s="71" t="str">
        <f>VLOOKUP(A346,Classification!A:B,2,FALSE)</f>
        <v>A</v>
      </c>
      <c r="AN346" s="71" t="b">
        <f t="shared" si="170"/>
        <v>1</v>
      </c>
      <c r="AO346" s="3" t="str">
        <f t="shared" si="171"/>
        <v>-</v>
      </c>
      <c r="AP346" s="3" t="str">
        <f t="shared" si="172"/>
        <v>-</v>
      </c>
      <c r="AQ346" s="3">
        <f t="shared" si="173"/>
        <v>3</v>
      </c>
      <c r="AR346" s="3">
        <f t="shared" si="174"/>
        <v>1</v>
      </c>
      <c r="AS346" s="3">
        <f t="shared" si="175"/>
        <v>1</v>
      </c>
      <c r="AT346" s="3">
        <f t="shared" si="176"/>
        <v>2</v>
      </c>
      <c r="AU346" s="3">
        <f t="shared" si="177"/>
        <v>11</v>
      </c>
      <c r="AV346" s="3">
        <f t="shared" si="178"/>
        <v>8</v>
      </c>
      <c r="AW346" s="3">
        <f t="shared" si="179"/>
        <v>6</v>
      </c>
      <c r="AX346" s="3">
        <f t="shared" si="180"/>
        <v>4</v>
      </c>
      <c r="AY346" s="3">
        <f t="shared" si="181"/>
        <v>1</v>
      </c>
      <c r="AZ346" s="3">
        <f>IF(ISERROR(LEN(VLOOKUP(A346,Seqs!A:E,2,FALSE))-AL346),"-",LEN(VLOOKUP(A346,Seqs!A:E,2,FALSE))-AL346)</f>
        <v>26</v>
      </c>
      <c r="BA346" s="35">
        <f t="shared" si="182"/>
        <v>28</v>
      </c>
      <c r="BB346" s="3">
        <f t="shared" si="183"/>
        <v>20</v>
      </c>
      <c r="BC346" s="3">
        <f t="shared" si="184"/>
        <v>28</v>
      </c>
      <c r="BD346" s="3">
        <f t="shared" si="185"/>
        <v>47</v>
      </c>
      <c r="BE346" s="3">
        <f>AH346-AE346</f>
        <v>44</v>
      </c>
    </row>
    <row r="347" spans="1:57" s="3" customFormat="1" x14ac:dyDescent="0.2">
      <c r="A347" s="3" t="s">
        <v>435</v>
      </c>
      <c r="B347" s="3" t="str">
        <f>LOWER(VLOOKUP(A347,Xtal_Templ!A:B,2,FALSE))</f>
        <v>p2ry1_human</v>
      </c>
      <c r="C347" s="3">
        <f>VLOOKUP($A347,'NonXtal_SegEnds_BW#'!$A:$Z,3,FALSE)+D347-50</f>
        <v>20</v>
      </c>
      <c r="D347" s="3">
        <v>40</v>
      </c>
      <c r="E347" s="3">
        <f>IF(ISERROR(VLOOKUP($A347,'NonXtal_SegEnds_BW#'!$A:$Z,4,FALSE)+VLOOKUP($A347,A:AL,4,FALSE)-50),"-",(VLOOKUP($A347,'NonXtal_SegEnds_BW#'!$A:$Z,4,FALSE)+VLOOKUP($A347,A:AL,4,FALSE)-50))</f>
        <v>50</v>
      </c>
      <c r="F347" s="3" t="str">
        <f>IF(ISERROR(VLOOKUP($A347,'NonXtal_SegEnds_BW#'!$A:$Z,5,FALSE)+VLOOKUP($A347,A:AL,7,FALSE)-50),"-",(VLOOKUP($A347,'NonXtal_SegEnds_BW#'!$A:$Z,5,FALSE)+VLOOKUP($A347,A:AL,7,FALSE)-50))</f>
        <v>-</v>
      </c>
      <c r="G347" s="3" t="s">
        <v>129</v>
      </c>
      <c r="H347" s="3" t="str">
        <f>IF(ISERROR(VLOOKUP($A347,'NonXtal_SegEnds_BW#'!$A:$Z,6,FALSE)+VLOOKUP($A347,A:AL,7,FALSE)-50),"-",(VLOOKUP($A347,'NonXtal_SegEnds_BW#'!$A:$Z,6,FALSE)+VLOOKUP($A347,A:AL,7,FALSE)-50))</f>
        <v>-</v>
      </c>
      <c r="I347" s="3">
        <f>VLOOKUP($A347,'NonXtal_SegEnds_BW#'!$A:$Z,7,FALSE)+J347-50</f>
        <v>55</v>
      </c>
      <c r="J347" s="3">
        <v>68</v>
      </c>
      <c r="K347" s="3">
        <f>VLOOKUP($A347,'NonXtal_SegEnds_BW#'!$A:$Z,8,FALSE)+VLOOKUP($A347,A:AL,10,FALSE)-50</f>
        <v>84</v>
      </c>
      <c r="L347" s="3">
        <f t="shared" si="186"/>
        <v>86</v>
      </c>
      <c r="M347" s="3">
        <v>87</v>
      </c>
      <c r="N347" s="3">
        <f t="shared" si="187"/>
        <v>89</v>
      </c>
      <c r="O347" s="3">
        <f t="shared" si="188"/>
        <v>90</v>
      </c>
      <c r="P347" s="3">
        <v>119</v>
      </c>
      <c r="Q347" s="3">
        <f>VLOOKUP($A347,'NonXtal_SegEnds_BW#'!$A:$Z,12,FALSE)+VLOOKUP($A347,A:AL,16,FALSE)-50</f>
        <v>125</v>
      </c>
      <c r="R347" s="3">
        <f>IF(ISERROR(VLOOKUP($A347,'NonXtal_SegEnds_BW#'!$A:$Z,13,FALSE)+VLOOKUP($A347,A:AL,19,FALSE)-50),"-",VLOOKUP($A347,'NonXtal_SegEnds_BW#'!$A:$Z,13,FALSE)+VLOOKUP($A347,A:AL,19,FALSE)-50)</f>
        <v>126</v>
      </c>
      <c r="S347" s="3">
        <v>126</v>
      </c>
      <c r="T347" s="3">
        <f>IF(ISERROR(VLOOKUP($A347,'NonXtal_SegEnds_BW#'!$A:$Z,14,FALSE)+VLOOKUP($A347,A:AL,19,FALSE)-50),"-",(VLOOKUP($A347,'NonXtal_SegEnds_BW#'!$A:$Z,14,FALSE)+VLOOKUP($A347,A:AL,19,FALSE)-50))</f>
        <v>133</v>
      </c>
      <c r="U347" s="3">
        <f>IF(ISERROR(VLOOKUP($A347,'NonXtal_SegEnds_BW#'!$A:$Z,15,FALSE)+VLOOKUP($A347,A:AL,22,FALSE)-50),"-",VLOOKUP($A347,'NonXtal_SegEnds_BW#'!$A:$Z,15,FALSE)+VLOOKUP($A347,A:AL,22,FALSE)-50)</f>
        <v>135</v>
      </c>
      <c r="V347" s="3">
        <v>146</v>
      </c>
      <c r="W347" s="3">
        <f>IF(ISERROR(VLOOKUP($A347,'NonXtal_SegEnds_BW#'!$A:$Z,16,FALSE)+VLOOKUP($A347,A:AL,22,FALSE)-50),"-",(VLOOKUP($A347,'NonXtal_SegEnds_BW#'!$A:$Z,16,FALSE)+VLOOKUP($A347,A:AL,22,FALSE)-50))</f>
        <v>160</v>
      </c>
      <c r="X347" s="3">
        <f>IF(ISERROR(VLOOKUP($A347,'NonXtal_SegEnds_BW#'!$A:$Z,17,FALSE)+VLOOKUP($A347,A:AL,25,FALSE)-50),"-",(VLOOKUP($A347,'NonXtal_SegEnds_BW#'!$A:$Z,17,FALSE)+VLOOKUP($A347,A:AL,25,FALSE)-50))</f>
        <v>172</v>
      </c>
      <c r="Y347" s="3">
        <v>172</v>
      </c>
      <c r="Z347" s="3">
        <f t="shared" si="189"/>
        <v>174</v>
      </c>
      <c r="AA347" s="3">
        <f>IF(ISERROR(VLOOKUP($A347,'NonXtal_SegEnds_BW#'!$A:$Z,19,FALSE)+VLOOKUP($A347,A:AL,28,FALSE)-50),"-",(VLOOKUP($A347,'NonXtal_SegEnds_BW#'!$A:$Z,19,FALSE)+VLOOKUP($A347,A:AL,28,FALSE)-50))</f>
        <v>181</v>
      </c>
      <c r="AB347" s="3">
        <v>199</v>
      </c>
      <c r="AC347" s="3">
        <f>IF(ISERROR((VLOOKUP($A347,'NonXtal_SegEnds_BW#'!$A:$Z,20,FALSE)+VLOOKUP($A347,A:AL,28,FALSE)-50)),"-",(VLOOKUP($A347,'NonXtal_SegEnds_BW#'!$A:$Z,20,FALSE)+VLOOKUP($A347,A:AL,28,FALSE)-50))</f>
        <v>217</v>
      </c>
      <c r="AD347" s="3">
        <f>IF(ISERROR(VLOOKUP($A347,'NonXtal_SegEnds_BW#'!$A:$Z,21,FALSE)+VLOOKUP($A347,A:AL,31,FALSE)-50),"-",(VLOOKUP($A347,'NonXtal_SegEnds_BW#'!$A:$Z,21,FALSE)+VLOOKUP($A347,A:AL,31,FALSE)-50))</f>
        <v>225</v>
      </c>
      <c r="AE347" s="3">
        <v>247</v>
      </c>
      <c r="AF347" s="3">
        <f>IF(ISERROR((VLOOKUP($A347,'NonXtal_SegEnds_BW#'!$A:$Z,22,FALSE)+VLOOKUP($A347,A:AL,31,FALSE)-50)),"-",(VLOOKUP($A347,'NonXtal_SegEnds_BW#'!$A:$Z,22,FALSE)+VLOOKUP($A347,A:AL,31,FALSE)-50))</f>
        <v>258</v>
      </c>
      <c r="AG347" s="3">
        <f>IF(ISERROR(VLOOKUP($A347,'NonXtal_SegEnds_BW#'!$A:$Z,23,FALSE)+VLOOKUP($A347,A:AL,34,FALSE)-50),"-",(VLOOKUP($A347,'NonXtal_SegEnds_BW#'!$A:$Z,23,FALSE)+VLOOKUP($A347,A:AL,34,FALSE)-50))</f>
        <v>264</v>
      </c>
      <c r="AH347" s="3">
        <v>283</v>
      </c>
      <c r="AI347" s="3">
        <f>IF(ISERROR((VLOOKUP($A347,'NonXtal_SegEnds_BW#'!$A:$Z,24,FALSE)+VLOOKUP($A347,A:AL,34,FALSE)-50)),"-",(VLOOKUP($A347,'NonXtal_SegEnds_BW#'!$A:$Z,24,FALSE)+VLOOKUP($A347,A:AL,34,FALSE)-50))</f>
        <v>289</v>
      </c>
      <c r="AJ347" s="3">
        <f>IF(ISERROR(VLOOKUP($A347,'NonXtal_SegEnds_BW#'!$A:$Z,25,FALSE)+VLOOKUP($A347,A:AL,37,FALSE)-50),"-",(VLOOKUP($A347,'NonXtal_SegEnds_BW#'!$A:$Z,25,FALSE)+VLOOKUP($A347,A:AL,37,FALSE)-50))</f>
        <v>290</v>
      </c>
      <c r="AK347" s="3">
        <v>293</v>
      </c>
      <c r="AL347" s="3">
        <f>IF(ISERROR((VLOOKUP($A347,'NonXtal_SegEnds_BW#'!$A:$Z,26,FALSE)+VLOOKUP($A347,A:AL,37,FALSE)-50)),"-",(VLOOKUP($A347,'NonXtal_SegEnds_BW#'!$A:$Z,26,FALSE)+VLOOKUP($A347,A:AL,37,FALSE)-50))</f>
        <v>302</v>
      </c>
      <c r="AM347" s="71" t="str">
        <f>VLOOKUP(A347,Classification!A:B,2,FALSE)</f>
        <v>A</v>
      </c>
      <c r="AN347" s="71" t="b">
        <f t="shared" si="170"/>
        <v>1</v>
      </c>
      <c r="AO347" s="3" t="str">
        <f t="shared" si="171"/>
        <v>-</v>
      </c>
      <c r="AP347" s="3" t="str">
        <f t="shared" si="172"/>
        <v>-</v>
      </c>
      <c r="AQ347" s="3">
        <f t="shared" si="173"/>
        <v>2</v>
      </c>
      <c r="AR347" s="3">
        <f t="shared" si="174"/>
        <v>1</v>
      </c>
      <c r="AS347" s="3">
        <f t="shared" si="175"/>
        <v>1</v>
      </c>
      <c r="AT347" s="3">
        <f t="shared" si="176"/>
        <v>2</v>
      </c>
      <c r="AU347" s="3">
        <f t="shared" si="177"/>
        <v>12</v>
      </c>
      <c r="AV347" s="3">
        <f t="shared" si="178"/>
        <v>7</v>
      </c>
      <c r="AW347" s="3">
        <f t="shared" si="179"/>
        <v>8</v>
      </c>
      <c r="AX347" s="3">
        <f t="shared" si="180"/>
        <v>6</v>
      </c>
      <c r="AY347" s="3">
        <f t="shared" si="181"/>
        <v>1</v>
      </c>
      <c r="AZ347" s="3">
        <f>IF(ISERROR(LEN(VLOOKUP(A347,Seqs!A:E,2,FALSE))-AL347),"-",LEN(VLOOKUP(A347,Seqs!A:E,2,FALSE))-AL347)</f>
        <v>29</v>
      </c>
      <c r="BA347" s="35">
        <f t="shared" si="182"/>
        <v>28</v>
      </c>
      <c r="BB347" s="3">
        <f t="shared" si="183"/>
        <v>20</v>
      </c>
      <c r="BC347" s="3">
        <f t="shared" si="184"/>
        <v>28</v>
      </c>
      <c r="BD347" s="3">
        <f t="shared" si="185"/>
        <v>48</v>
      </c>
      <c r="BE347" s="3">
        <f>AH347-AE347</f>
        <v>36</v>
      </c>
    </row>
    <row r="348" spans="1:57" s="3" customFormat="1" x14ac:dyDescent="0.2">
      <c r="A348" s="3" t="s">
        <v>580</v>
      </c>
      <c r="B348" s="3" t="str">
        <f>LOWER(VLOOKUP(A348,Xtal_Templ!A:B,2,FALSE))</f>
        <v>p2ry1_human</v>
      </c>
      <c r="C348" s="3">
        <f>VLOOKUP($A348,'NonXtal_SegEnds_BW#'!$A:$Z,3,FALSE)+D348-50</f>
        <v>21</v>
      </c>
      <c r="D348" s="3">
        <v>41</v>
      </c>
      <c r="E348" s="3">
        <f>IF(ISERROR(VLOOKUP($A348,'NonXtal_SegEnds_BW#'!$A:$Z,4,FALSE)+VLOOKUP($A348,A:AL,4,FALSE)-50),"-",(VLOOKUP($A348,'NonXtal_SegEnds_BW#'!$A:$Z,4,FALSE)+VLOOKUP($A348,A:AL,4,FALSE)-50))</f>
        <v>51</v>
      </c>
      <c r="F348" s="3" t="str">
        <f>IF(ISERROR(VLOOKUP($A348,'NonXtal_SegEnds_BW#'!$A:$Z,5,FALSE)+VLOOKUP($A348,A:AL,7,FALSE)-50),"-",(VLOOKUP($A348,'NonXtal_SegEnds_BW#'!$A:$Z,5,FALSE)+VLOOKUP($A348,A:AL,7,FALSE)-50))</f>
        <v>-</v>
      </c>
      <c r="G348" s="3" t="s">
        <v>129</v>
      </c>
      <c r="H348" s="3" t="str">
        <f>IF(ISERROR(VLOOKUP($A348,'NonXtal_SegEnds_BW#'!$A:$Z,6,FALSE)+VLOOKUP($A348,A:AL,7,FALSE)-50),"-",(VLOOKUP($A348,'NonXtal_SegEnds_BW#'!$A:$Z,6,FALSE)+VLOOKUP($A348,A:AL,7,FALSE)-50))</f>
        <v>-</v>
      </c>
      <c r="I348" s="3">
        <f>VLOOKUP($A348,'NonXtal_SegEnds_BW#'!$A:$Z,7,FALSE)+J348-50</f>
        <v>56</v>
      </c>
      <c r="J348" s="3">
        <v>69</v>
      </c>
      <c r="K348" s="3">
        <f>VLOOKUP($A348,'NonXtal_SegEnds_BW#'!$A:$Z,8,FALSE)+VLOOKUP($A348,A:AL,10,FALSE)-50</f>
        <v>85</v>
      </c>
      <c r="L348" s="3">
        <f t="shared" si="186"/>
        <v>87</v>
      </c>
      <c r="M348" s="3">
        <v>88</v>
      </c>
      <c r="N348" s="3">
        <f t="shared" si="187"/>
        <v>90</v>
      </c>
      <c r="O348" s="3">
        <f t="shared" si="188"/>
        <v>91</v>
      </c>
      <c r="P348" s="3">
        <v>120</v>
      </c>
      <c r="Q348" s="3">
        <f>VLOOKUP($A348,'NonXtal_SegEnds_BW#'!$A:$Z,12,FALSE)+VLOOKUP($A348,A:AL,16,FALSE)-50</f>
        <v>126</v>
      </c>
      <c r="R348" s="3">
        <f>IF(ISERROR(VLOOKUP($A348,'NonXtal_SegEnds_BW#'!$A:$Z,13,FALSE)+VLOOKUP($A348,A:AL,19,FALSE)-50),"-",VLOOKUP($A348,'NonXtal_SegEnds_BW#'!$A:$Z,13,FALSE)+VLOOKUP($A348,A:AL,19,FALSE)-50)</f>
        <v>127</v>
      </c>
      <c r="S348" s="3">
        <v>127</v>
      </c>
      <c r="T348" s="3">
        <f>IF(ISERROR(VLOOKUP($A348,'NonXtal_SegEnds_BW#'!$A:$Z,14,FALSE)+VLOOKUP($A348,A:AL,19,FALSE)-50),"-",(VLOOKUP($A348,'NonXtal_SegEnds_BW#'!$A:$Z,14,FALSE)+VLOOKUP($A348,A:AL,19,FALSE)-50))</f>
        <v>134</v>
      </c>
      <c r="U348" s="3">
        <f>IF(ISERROR(VLOOKUP($A348,'NonXtal_SegEnds_BW#'!$A:$Z,15,FALSE)+VLOOKUP($A348,A:AL,22,FALSE)-50),"-",VLOOKUP($A348,'NonXtal_SegEnds_BW#'!$A:$Z,15,FALSE)+VLOOKUP($A348,A:AL,22,FALSE)-50)</f>
        <v>136</v>
      </c>
      <c r="V348" s="3">
        <v>147</v>
      </c>
      <c r="W348" s="3">
        <f>IF(ISERROR(VLOOKUP($A348,'NonXtal_SegEnds_BW#'!$A:$Z,16,FALSE)+VLOOKUP($A348,A:AL,22,FALSE)-50),"-",(VLOOKUP($A348,'NonXtal_SegEnds_BW#'!$A:$Z,16,FALSE)+VLOOKUP($A348,A:AL,22,FALSE)-50))</f>
        <v>161</v>
      </c>
      <c r="X348" s="3">
        <f>IF(ISERROR(VLOOKUP($A348,'NonXtal_SegEnds_BW#'!$A:$Z,17,FALSE)+VLOOKUP($A348,A:AL,25,FALSE)-50),"-",(VLOOKUP($A348,'NonXtal_SegEnds_BW#'!$A:$Z,17,FALSE)+VLOOKUP($A348,A:AL,25,FALSE)-50))</f>
        <v>172</v>
      </c>
      <c r="Y348" s="3">
        <v>172</v>
      </c>
      <c r="Z348" s="3">
        <f t="shared" si="189"/>
        <v>174</v>
      </c>
      <c r="AA348" s="3">
        <f>IF(ISERROR(VLOOKUP($A348,'NonXtal_SegEnds_BW#'!$A:$Z,19,FALSE)+VLOOKUP($A348,A:AL,28,FALSE)-50),"-",(VLOOKUP($A348,'NonXtal_SegEnds_BW#'!$A:$Z,19,FALSE)+VLOOKUP($A348,A:AL,28,FALSE)-50))</f>
        <v>181</v>
      </c>
      <c r="AB348" s="3">
        <v>199</v>
      </c>
      <c r="AC348" s="3">
        <f>IF(ISERROR((VLOOKUP($A348,'NonXtal_SegEnds_BW#'!$A:$Z,20,FALSE)+VLOOKUP($A348,A:AL,28,FALSE)-50)),"-",(VLOOKUP($A348,'NonXtal_SegEnds_BW#'!$A:$Z,20,FALSE)+VLOOKUP($A348,A:AL,28,FALSE)-50))</f>
        <v>217</v>
      </c>
      <c r="AD348" s="3">
        <f>IF(ISERROR(VLOOKUP($A348,'NonXtal_SegEnds_BW#'!$A:$Z,21,FALSE)+VLOOKUP($A348,A:AL,31,FALSE)-50),"-",(VLOOKUP($A348,'NonXtal_SegEnds_BW#'!$A:$Z,21,FALSE)+VLOOKUP($A348,A:AL,31,FALSE)-50))</f>
        <v>225</v>
      </c>
      <c r="AE348" s="3">
        <v>247</v>
      </c>
      <c r="AF348" s="3">
        <f>IF(ISERROR((VLOOKUP($A348,'NonXtal_SegEnds_BW#'!$A:$Z,22,FALSE)+VLOOKUP($A348,A:AL,31,FALSE)-50)),"-",(VLOOKUP($A348,'NonXtal_SegEnds_BW#'!$A:$Z,22,FALSE)+VLOOKUP($A348,A:AL,31,FALSE)-50))</f>
        <v>261</v>
      </c>
      <c r="AG348" s="3">
        <f>IF(ISERROR(VLOOKUP($A348,'NonXtal_SegEnds_BW#'!$A:$Z,23,FALSE)+VLOOKUP($A348,A:AL,34,FALSE)-50),"-",(VLOOKUP($A348,'NonXtal_SegEnds_BW#'!$A:$Z,23,FALSE)+VLOOKUP($A348,A:AL,34,FALSE)-50))</f>
        <v>266</v>
      </c>
      <c r="AH348" s="3">
        <v>292</v>
      </c>
      <c r="AI348" s="3">
        <f>IF(ISERROR((VLOOKUP($A348,'NonXtal_SegEnds_BW#'!$A:$Z,24,FALSE)+VLOOKUP($A348,A:AL,34,FALSE)-50)),"-",(VLOOKUP($A348,'NonXtal_SegEnds_BW#'!$A:$Z,24,FALSE)+VLOOKUP($A348,A:AL,34,FALSE)-50))</f>
        <v>298</v>
      </c>
      <c r="AJ348" s="3">
        <f>IF(ISERROR(VLOOKUP($A348,'NonXtal_SegEnds_BW#'!$A:$Z,25,FALSE)+VLOOKUP($A348,A:AL,37,FALSE)-50),"-",(VLOOKUP($A348,'NonXtal_SegEnds_BW#'!$A:$Z,25,FALSE)+VLOOKUP($A348,A:AL,37,FALSE)-50))</f>
        <v>299</v>
      </c>
      <c r="AK348" s="3">
        <v>302</v>
      </c>
      <c r="AL348" s="3">
        <f>IF(ISERROR((VLOOKUP($A348,'NonXtal_SegEnds_BW#'!$A:$Z,26,FALSE)+VLOOKUP($A348,A:AL,37,FALSE)-50)),"-",(VLOOKUP($A348,'NonXtal_SegEnds_BW#'!$A:$Z,26,FALSE)+VLOOKUP($A348,A:AL,37,FALSE)-50))</f>
        <v>311</v>
      </c>
      <c r="AM348" s="71" t="str">
        <f>VLOOKUP(A348,Classification!A:B,2,FALSE)</f>
        <v>A</v>
      </c>
      <c r="AN348" s="71" t="b">
        <f t="shared" si="170"/>
        <v>1</v>
      </c>
      <c r="AO348" s="3" t="str">
        <f t="shared" si="171"/>
        <v>-</v>
      </c>
      <c r="AP348" s="3" t="str">
        <f t="shared" si="172"/>
        <v>-</v>
      </c>
      <c r="AQ348" s="3">
        <f t="shared" si="173"/>
        <v>2</v>
      </c>
      <c r="AR348" s="3">
        <f t="shared" si="174"/>
        <v>1</v>
      </c>
      <c r="AS348" s="3">
        <f t="shared" si="175"/>
        <v>1</v>
      </c>
      <c r="AT348" s="3">
        <f t="shared" si="176"/>
        <v>2</v>
      </c>
      <c r="AU348" s="3">
        <f t="shared" si="177"/>
        <v>11</v>
      </c>
      <c r="AV348" s="3">
        <f t="shared" si="178"/>
        <v>7</v>
      </c>
      <c r="AW348" s="3">
        <f t="shared" si="179"/>
        <v>8</v>
      </c>
      <c r="AX348" s="3">
        <f t="shared" si="180"/>
        <v>5</v>
      </c>
      <c r="AY348" s="3">
        <f t="shared" si="181"/>
        <v>1</v>
      </c>
      <c r="AZ348" s="3">
        <f>IF(ISERROR(LEN(VLOOKUP(A348,Seqs!A:E,2,FALSE))-AL348),"-",LEN(VLOOKUP(A348,Seqs!A:E,2,FALSE))-AL348)</f>
        <v>23</v>
      </c>
      <c r="BA348" s="35">
        <f t="shared" si="182"/>
        <v>28</v>
      </c>
      <c r="BB348" s="3">
        <f t="shared" si="183"/>
        <v>20</v>
      </c>
      <c r="BC348" s="3">
        <f t="shared" si="184"/>
        <v>28</v>
      </c>
      <c r="BD348" s="3">
        <f t="shared" si="185"/>
        <v>48</v>
      </c>
      <c r="BE348" s="3">
        <f>AH348-AE348</f>
        <v>45</v>
      </c>
    </row>
    <row r="349" spans="1:57" s="3" customFormat="1" x14ac:dyDescent="0.2">
      <c r="A349" s="3" t="s">
        <v>564</v>
      </c>
      <c r="B349" s="3" t="str">
        <f>LOWER(VLOOKUP(A349,Xtal_Templ!A:B,2,FALSE))</f>
        <v>p2ry1_human</v>
      </c>
      <c r="C349" s="3">
        <f>VLOOKUP($A349,'NonXtal_SegEnds_BW#'!$A:$Z,3,FALSE)+D349-50</f>
        <v>12</v>
      </c>
      <c r="D349" s="3">
        <v>32</v>
      </c>
      <c r="E349" s="3">
        <f>IF(ISERROR(VLOOKUP($A349,'NonXtal_SegEnds_BW#'!$A:$Z,4,FALSE)+VLOOKUP($A349,A:AL,4,FALSE)-50),"-",(VLOOKUP($A349,'NonXtal_SegEnds_BW#'!$A:$Z,4,FALSE)+VLOOKUP($A349,A:AL,4,FALSE)-50))</f>
        <v>42</v>
      </c>
      <c r="F349" s="3" t="str">
        <f>IF(ISERROR(VLOOKUP($A349,'NonXtal_SegEnds_BW#'!$A:$Z,5,FALSE)+VLOOKUP($A349,A:AL,7,FALSE)-50),"-",(VLOOKUP($A349,'NonXtal_SegEnds_BW#'!$A:$Z,5,FALSE)+VLOOKUP($A349,A:AL,7,FALSE)-50))</f>
        <v>-</v>
      </c>
      <c r="G349" s="3" t="s">
        <v>129</v>
      </c>
      <c r="H349" s="3" t="str">
        <f>IF(ISERROR(VLOOKUP($A349,'NonXtal_SegEnds_BW#'!$A:$Z,6,FALSE)+VLOOKUP($A349,A:AL,7,FALSE)-50),"-",(VLOOKUP($A349,'NonXtal_SegEnds_BW#'!$A:$Z,6,FALSE)+VLOOKUP($A349,A:AL,7,FALSE)-50))</f>
        <v>-</v>
      </c>
      <c r="I349" s="3">
        <f>VLOOKUP($A349,'NonXtal_SegEnds_BW#'!$A:$Z,7,FALSE)+J349-50</f>
        <v>47</v>
      </c>
      <c r="J349" s="3">
        <v>60</v>
      </c>
      <c r="K349" s="3">
        <f>VLOOKUP($A349,'NonXtal_SegEnds_BW#'!$A:$Z,8,FALSE)+VLOOKUP($A349,A:AL,10,FALSE)-50</f>
        <v>76</v>
      </c>
      <c r="L349" s="3">
        <f t="shared" si="186"/>
        <v>79</v>
      </c>
      <c r="M349" s="3">
        <v>80</v>
      </c>
      <c r="N349" s="3">
        <f t="shared" si="187"/>
        <v>82</v>
      </c>
      <c r="O349" s="3">
        <f t="shared" si="188"/>
        <v>83</v>
      </c>
      <c r="P349" s="3">
        <v>112</v>
      </c>
      <c r="Q349" s="3">
        <f>VLOOKUP($A349,'NonXtal_SegEnds_BW#'!$A:$Z,12,FALSE)+VLOOKUP($A349,A:AL,16,FALSE)-50</f>
        <v>118</v>
      </c>
      <c r="R349" s="3">
        <f>IF(ISERROR(VLOOKUP($A349,'NonXtal_SegEnds_BW#'!$A:$Z,13,FALSE)+VLOOKUP($A349,A:AL,19,FALSE)-50),"-",VLOOKUP($A349,'NonXtal_SegEnds_BW#'!$A:$Z,13,FALSE)+VLOOKUP($A349,A:AL,19,FALSE)-50)</f>
        <v>119</v>
      </c>
      <c r="S349" s="3">
        <v>119</v>
      </c>
      <c r="T349" s="3">
        <f>IF(ISERROR(VLOOKUP($A349,'NonXtal_SegEnds_BW#'!$A:$Z,14,FALSE)+VLOOKUP($A349,A:AL,19,FALSE)-50),"-",(VLOOKUP($A349,'NonXtal_SegEnds_BW#'!$A:$Z,14,FALSE)+VLOOKUP($A349,A:AL,19,FALSE)-50))</f>
        <v>126</v>
      </c>
      <c r="U349" s="3">
        <f>IF(ISERROR(VLOOKUP($A349,'NonXtal_SegEnds_BW#'!$A:$Z,15,FALSE)+VLOOKUP($A349,A:AL,22,FALSE)-50),"-",VLOOKUP($A349,'NonXtal_SegEnds_BW#'!$A:$Z,15,FALSE)+VLOOKUP($A349,A:AL,22,FALSE)-50)</f>
        <v>128</v>
      </c>
      <c r="V349" s="3">
        <v>139</v>
      </c>
      <c r="W349" s="3">
        <f>IF(ISERROR(VLOOKUP($A349,'NonXtal_SegEnds_BW#'!$A:$Z,16,FALSE)+VLOOKUP($A349,A:AL,22,FALSE)-50),"-",(VLOOKUP($A349,'NonXtal_SegEnds_BW#'!$A:$Z,16,FALSE)+VLOOKUP($A349,A:AL,22,FALSE)-50))</f>
        <v>153</v>
      </c>
      <c r="X349" s="3">
        <f>IF(ISERROR(VLOOKUP($A349,'NonXtal_SegEnds_BW#'!$A:$Z,17,FALSE)+VLOOKUP($A349,A:AL,25,FALSE)-50),"-",(VLOOKUP($A349,'NonXtal_SegEnds_BW#'!$A:$Z,17,FALSE)+VLOOKUP($A349,A:AL,25,FALSE)-50))</f>
        <v>170</v>
      </c>
      <c r="Y349" s="3">
        <v>170</v>
      </c>
      <c r="Z349" s="3">
        <f t="shared" si="189"/>
        <v>172</v>
      </c>
      <c r="AA349" s="3">
        <f>IF(ISERROR(VLOOKUP($A349,'NonXtal_SegEnds_BW#'!$A:$Z,19,FALSE)+VLOOKUP($A349,A:AL,28,FALSE)-50),"-",(VLOOKUP($A349,'NonXtal_SegEnds_BW#'!$A:$Z,19,FALSE)+VLOOKUP($A349,A:AL,28,FALSE)-50))</f>
        <v>177</v>
      </c>
      <c r="AB349" s="3">
        <v>195</v>
      </c>
      <c r="AC349" s="3">
        <f>IF(ISERROR((VLOOKUP($A349,'NonXtal_SegEnds_BW#'!$A:$Z,20,FALSE)+VLOOKUP($A349,A:AL,28,FALSE)-50)),"-",(VLOOKUP($A349,'NonXtal_SegEnds_BW#'!$A:$Z,20,FALSE)+VLOOKUP($A349,A:AL,28,FALSE)-50))</f>
        <v>212</v>
      </c>
      <c r="AD349" s="3">
        <f>IF(ISERROR(VLOOKUP($A349,'NonXtal_SegEnds_BW#'!$A:$Z,21,FALSE)+VLOOKUP($A349,A:AL,31,FALSE)-50),"-",(VLOOKUP($A349,'NonXtal_SegEnds_BW#'!$A:$Z,21,FALSE)+VLOOKUP($A349,A:AL,31,FALSE)-50))</f>
        <v>217</v>
      </c>
      <c r="AE349" s="3">
        <v>241</v>
      </c>
      <c r="AF349" s="3">
        <f>IF(ISERROR((VLOOKUP($A349,'NonXtal_SegEnds_BW#'!$A:$Z,22,FALSE)+VLOOKUP($A349,A:AL,31,FALSE)-50)),"-",(VLOOKUP($A349,'NonXtal_SegEnds_BW#'!$A:$Z,22,FALSE)+VLOOKUP($A349,A:AL,31,FALSE)-50))</f>
        <v>255</v>
      </c>
      <c r="AG349" s="3">
        <f>IF(ISERROR(VLOOKUP($A349,'NonXtal_SegEnds_BW#'!$A:$Z,23,FALSE)+VLOOKUP($A349,A:AL,34,FALSE)-50),"-",(VLOOKUP($A349,'NonXtal_SegEnds_BW#'!$A:$Z,23,FALSE)+VLOOKUP($A349,A:AL,34,FALSE)-50))</f>
        <v>261</v>
      </c>
      <c r="AH349" s="3">
        <v>287</v>
      </c>
      <c r="AI349" s="3">
        <f>IF(ISERROR((VLOOKUP($A349,'NonXtal_SegEnds_BW#'!$A:$Z,24,FALSE)+VLOOKUP($A349,A:AL,34,FALSE)-50)),"-",(VLOOKUP($A349,'NonXtal_SegEnds_BW#'!$A:$Z,24,FALSE)+VLOOKUP($A349,A:AL,34,FALSE)-50))</f>
        <v>293</v>
      </c>
      <c r="AJ349" s="3">
        <f>IF(ISERROR(VLOOKUP($A349,'NonXtal_SegEnds_BW#'!$A:$Z,25,FALSE)+VLOOKUP($A349,A:AL,37,FALSE)-50),"-",(VLOOKUP($A349,'NonXtal_SegEnds_BW#'!$A:$Z,25,FALSE)+VLOOKUP($A349,A:AL,37,FALSE)-50))</f>
        <v>294</v>
      </c>
      <c r="AK349" s="3">
        <v>297</v>
      </c>
      <c r="AL349" s="3">
        <f>IF(ISERROR((VLOOKUP($A349,'NonXtal_SegEnds_BW#'!$A:$Z,26,FALSE)+VLOOKUP($A349,A:AL,37,FALSE)-50)),"-",(VLOOKUP($A349,'NonXtal_SegEnds_BW#'!$A:$Z,26,FALSE)+VLOOKUP($A349,A:AL,37,FALSE)-50))</f>
        <v>306</v>
      </c>
      <c r="AM349" s="71" t="str">
        <f>VLOOKUP(A349,Classification!A:B,2,FALSE)</f>
        <v>A</v>
      </c>
      <c r="AN349" s="71" t="b">
        <f t="shared" si="170"/>
        <v>1</v>
      </c>
      <c r="AO349" s="3" t="str">
        <f t="shared" si="171"/>
        <v>-</v>
      </c>
      <c r="AP349" s="3" t="str">
        <f t="shared" si="172"/>
        <v>-</v>
      </c>
      <c r="AQ349" s="3">
        <f t="shared" si="173"/>
        <v>3</v>
      </c>
      <c r="AR349" s="3">
        <f t="shared" si="174"/>
        <v>1</v>
      </c>
      <c r="AS349" s="3">
        <f t="shared" si="175"/>
        <v>1</v>
      </c>
      <c r="AT349" s="3">
        <f t="shared" si="176"/>
        <v>2</v>
      </c>
      <c r="AU349" s="3">
        <f t="shared" si="177"/>
        <v>17</v>
      </c>
      <c r="AV349" s="3">
        <f t="shared" si="178"/>
        <v>5</v>
      </c>
      <c r="AW349" s="3">
        <f t="shared" si="179"/>
        <v>5</v>
      </c>
      <c r="AX349" s="3">
        <f t="shared" si="180"/>
        <v>6</v>
      </c>
      <c r="AY349" s="3">
        <f t="shared" si="181"/>
        <v>1</v>
      </c>
      <c r="AZ349" s="3">
        <f>IF(ISERROR(LEN(VLOOKUP(A349,Seqs!A:E,2,FALSE))-AL349),"-",LEN(VLOOKUP(A349,Seqs!A:E,2,FALSE))-AL349)</f>
        <v>31</v>
      </c>
      <c r="BA349" s="35">
        <f t="shared" si="182"/>
        <v>28</v>
      </c>
      <c r="BB349" s="3">
        <f t="shared" si="183"/>
        <v>20</v>
      </c>
      <c r="BC349" s="3">
        <f t="shared" si="184"/>
        <v>28</v>
      </c>
      <c r="BD349" s="3">
        <f t="shared" si="185"/>
        <v>46</v>
      </c>
    </row>
    <row r="350" spans="1:57" s="3" customFormat="1" x14ac:dyDescent="0.2">
      <c r="A350" s="3" t="s">
        <v>425</v>
      </c>
      <c r="B350" s="3" t="str">
        <f>LOWER(VLOOKUP(A350,Xtal_Templ!A:B,2,FALSE))</f>
        <v>p2ry1_human</v>
      </c>
      <c r="C350" s="3">
        <f>VLOOKUP($A350,'NonXtal_SegEnds_BW#'!$A:$Z,3,FALSE)+D350-50</f>
        <v>17</v>
      </c>
      <c r="D350" s="3">
        <v>37</v>
      </c>
      <c r="E350" s="3">
        <f>IF(ISERROR(VLOOKUP($A350,'NonXtal_SegEnds_BW#'!$A:$Z,4,FALSE)+VLOOKUP($A350,A:AL,4,FALSE)-50),"-",(VLOOKUP($A350,'NonXtal_SegEnds_BW#'!$A:$Z,4,FALSE)+VLOOKUP($A350,A:AL,4,FALSE)-50))</f>
        <v>47</v>
      </c>
      <c r="F350" s="3" t="str">
        <f>IF(ISERROR(VLOOKUP($A350,'NonXtal_SegEnds_BW#'!$A:$Z,5,FALSE)+VLOOKUP($A350,A:AL,7,FALSE)-50),"-",(VLOOKUP($A350,'NonXtal_SegEnds_BW#'!$A:$Z,5,FALSE)+VLOOKUP($A350,A:AL,7,FALSE)-50))</f>
        <v>-</v>
      </c>
      <c r="G350" s="3" t="s">
        <v>129</v>
      </c>
      <c r="H350" s="3" t="str">
        <f>IF(ISERROR(VLOOKUP($A350,'NonXtal_SegEnds_BW#'!$A:$Z,6,FALSE)+VLOOKUP($A350,A:AL,7,FALSE)-50),"-",(VLOOKUP($A350,'NonXtal_SegEnds_BW#'!$A:$Z,6,FALSE)+VLOOKUP($A350,A:AL,7,FALSE)-50))</f>
        <v>-</v>
      </c>
      <c r="I350" s="3">
        <f>VLOOKUP($A350,'NonXtal_SegEnds_BW#'!$A:$Z,7,FALSE)+J350-50</f>
        <v>52</v>
      </c>
      <c r="J350" s="3">
        <v>65</v>
      </c>
      <c r="K350" s="3">
        <f>VLOOKUP($A350,'NonXtal_SegEnds_BW#'!$A:$Z,8,FALSE)+VLOOKUP($A350,A:AL,10,FALSE)-50</f>
        <v>81</v>
      </c>
      <c r="L350" s="3">
        <f t="shared" si="186"/>
        <v>83</v>
      </c>
      <c r="M350" s="3">
        <v>84</v>
      </c>
      <c r="N350" s="3">
        <f t="shared" si="187"/>
        <v>86</v>
      </c>
      <c r="O350" s="3">
        <f t="shared" si="188"/>
        <v>87</v>
      </c>
      <c r="P350" s="3">
        <v>116</v>
      </c>
      <c r="Q350" s="3">
        <f>VLOOKUP($A350,'NonXtal_SegEnds_BW#'!$A:$Z,12,FALSE)+VLOOKUP($A350,A:AL,16,FALSE)-50</f>
        <v>122</v>
      </c>
      <c r="R350" s="3">
        <f>IF(ISERROR(VLOOKUP($A350,'NonXtal_SegEnds_BW#'!$A:$Z,13,FALSE)+VLOOKUP($A350,A:AL,19,FALSE)-50),"-",VLOOKUP($A350,'NonXtal_SegEnds_BW#'!$A:$Z,13,FALSE)+VLOOKUP($A350,A:AL,19,FALSE)-50)</f>
        <v>123</v>
      </c>
      <c r="S350" s="3">
        <v>123</v>
      </c>
      <c r="T350" s="3">
        <f>IF(ISERROR(VLOOKUP($A350,'NonXtal_SegEnds_BW#'!$A:$Z,14,FALSE)+VLOOKUP($A350,A:AL,19,FALSE)-50),"-",(VLOOKUP($A350,'NonXtal_SegEnds_BW#'!$A:$Z,14,FALSE)+VLOOKUP($A350,A:AL,19,FALSE)-50))</f>
        <v>130</v>
      </c>
      <c r="U350" s="3">
        <f>IF(ISERROR(VLOOKUP($A350,'NonXtal_SegEnds_BW#'!$A:$Z,15,FALSE)+VLOOKUP($A350,A:AL,22,FALSE)-50),"-",VLOOKUP($A350,'NonXtal_SegEnds_BW#'!$A:$Z,15,FALSE)+VLOOKUP($A350,A:AL,22,FALSE)-50)</f>
        <v>131</v>
      </c>
      <c r="V350" s="3">
        <v>142</v>
      </c>
      <c r="W350" s="3">
        <f>IF(ISERROR(VLOOKUP($A350,'NonXtal_SegEnds_BW#'!$A:$Z,16,FALSE)+VLOOKUP($A350,A:AL,22,FALSE)-50),"-",(VLOOKUP($A350,'NonXtal_SegEnds_BW#'!$A:$Z,16,FALSE)+VLOOKUP($A350,A:AL,22,FALSE)-50))</f>
        <v>156</v>
      </c>
      <c r="X350" s="3">
        <f>IF(ISERROR(VLOOKUP($A350,'NonXtal_SegEnds_BW#'!$A:$Z,17,FALSE)+VLOOKUP($A350,A:AL,25,FALSE)-50),"-",(VLOOKUP($A350,'NonXtal_SegEnds_BW#'!$A:$Z,17,FALSE)+VLOOKUP($A350,A:AL,25,FALSE)-50))</f>
        <v>168</v>
      </c>
      <c r="Y350" s="3">
        <v>168</v>
      </c>
      <c r="Z350" s="3">
        <f t="shared" si="189"/>
        <v>170</v>
      </c>
      <c r="AA350" s="3">
        <f>IF(ISERROR(VLOOKUP($A350,'NonXtal_SegEnds_BW#'!$A:$Z,19,FALSE)+VLOOKUP($A350,A:AL,28,FALSE)-50),"-",(VLOOKUP($A350,'NonXtal_SegEnds_BW#'!$A:$Z,19,FALSE)+VLOOKUP($A350,A:AL,28,FALSE)-50))</f>
        <v>179</v>
      </c>
      <c r="AB350" s="3">
        <v>197</v>
      </c>
      <c r="AC350" s="3">
        <f>IF(ISERROR((VLOOKUP($A350,'NonXtal_SegEnds_BW#'!$A:$Z,20,FALSE)+VLOOKUP($A350,A:AL,28,FALSE)-50)),"-",(VLOOKUP($A350,'NonXtal_SegEnds_BW#'!$A:$Z,20,FALSE)+VLOOKUP($A350,A:AL,28,FALSE)-50))</f>
        <v>215</v>
      </c>
      <c r="AD350" s="3">
        <f>IF(ISERROR(VLOOKUP($A350,'NonXtal_SegEnds_BW#'!$A:$Z,21,FALSE)+VLOOKUP($A350,A:AL,31,FALSE)-50),"-",(VLOOKUP($A350,'NonXtal_SegEnds_BW#'!$A:$Z,21,FALSE)+VLOOKUP($A350,A:AL,31,FALSE)-50))</f>
        <v>223</v>
      </c>
      <c r="AE350" s="3">
        <v>245</v>
      </c>
      <c r="AF350" s="3">
        <f>IF(ISERROR((VLOOKUP($A350,'NonXtal_SegEnds_BW#'!$A:$Z,22,FALSE)+VLOOKUP($A350,A:AL,31,FALSE)-50)),"-",(VLOOKUP($A350,'NonXtal_SegEnds_BW#'!$A:$Z,22,FALSE)+VLOOKUP($A350,A:AL,31,FALSE)-50))</f>
        <v>259</v>
      </c>
      <c r="AG350" s="3">
        <f>IF(ISERROR(VLOOKUP($A350,'NonXtal_SegEnds_BW#'!$A:$Z,23,FALSE)+VLOOKUP($A350,A:AL,34,FALSE)-50),"-",(VLOOKUP($A350,'NonXtal_SegEnds_BW#'!$A:$Z,23,FALSE)+VLOOKUP($A350,A:AL,34,FALSE)-50))</f>
        <v>263</v>
      </c>
      <c r="AH350" s="3">
        <v>289</v>
      </c>
      <c r="AI350" s="3">
        <f>IF(ISERROR((VLOOKUP($A350,'NonXtal_SegEnds_BW#'!$A:$Z,24,FALSE)+VLOOKUP($A350,A:AL,34,FALSE)-50)),"-",(VLOOKUP($A350,'NonXtal_SegEnds_BW#'!$A:$Z,24,FALSE)+VLOOKUP($A350,A:AL,34,FALSE)-50))</f>
        <v>295</v>
      </c>
      <c r="AJ350" s="3">
        <f>IF(ISERROR(VLOOKUP($A350,'NonXtal_SegEnds_BW#'!$A:$Z,25,FALSE)+VLOOKUP($A350,A:AL,37,FALSE)-50),"-",(VLOOKUP($A350,'NonXtal_SegEnds_BW#'!$A:$Z,25,FALSE)+VLOOKUP($A350,A:AL,37,FALSE)-50))</f>
        <v>296</v>
      </c>
      <c r="AK350" s="3">
        <v>299</v>
      </c>
      <c r="AL350" s="3">
        <f>IF(ISERROR((VLOOKUP($A350,'NonXtal_SegEnds_BW#'!$A:$Z,26,FALSE)+VLOOKUP($A350,A:AL,37,FALSE)-50)),"-",(VLOOKUP($A350,'NonXtal_SegEnds_BW#'!$A:$Z,26,FALSE)+VLOOKUP($A350,A:AL,37,FALSE)-50))</f>
        <v>308</v>
      </c>
      <c r="AM350" s="71" t="str">
        <f>VLOOKUP(A350,Classification!A:B,2,FALSE)</f>
        <v>A</v>
      </c>
      <c r="AN350" s="71" t="b">
        <f t="shared" si="170"/>
        <v>1</v>
      </c>
      <c r="AO350" s="3" t="str">
        <f t="shared" si="171"/>
        <v>-</v>
      </c>
      <c r="AP350" s="3" t="str">
        <f t="shared" si="172"/>
        <v>-</v>
      </c>
      <c r="AQ350" s="3">
        <f t="shared" si="173"/>
        <v>2</v>
      </c>
      <c r="AR350" s="3">
        <f t="shared" si="174"/>
        <v>1</v>
      </c>
      <c r="AS350" s="3">
        <f t="shared" si="175"/>
        <v>1</v>
      </c>
      <c r="AT350" s="3">
        <f t="shared" si="176"/>
        <v>1</v>
      </c>
      <c r="AU350" s="3">
        <f t="shared" si="177"/>
        <v>12</v>
      </c>
      <c r="AV350" s="3">
        <f t="shared" si="178"/>
        <v>9</v>
      </c>
      <c r="AW350" s="3">
        <f t="shared" si="179"/>
        <v>8</v>
      </c>
      <c r="AX350" s="3">
        <f t="shared" si="180"/>
        <v>4</v>
      </c>
      <c r="AY350" s="3">
        <f t="shared" si="181"/>
        <v>1</v>
      </c>
      <c r="AZ350" s="3">
        <f>IF(ISERROR(LEN(VLOOKUP(A350,Seqs!A:E,2,FALSE))-AL350),"-",LEN(VLOOKUP(A350,Seqs!A:E,2,FALSE))-AL350)</f>
        <v>25</v>
      </c>
      <c r="BA350" s="35">
        <f t="shared" si="182"/>
        <v>28</v>
      </c>
      <c r="BB350" s="3">
        <f t="shared" si="183"/>
        <v>19</v>
      </c>
      <c r="BC350" s="3">
        <f t="shared" si="184"/>
        <v>28</v>
      </c>
      <c r="BD350" s="3">
        <f t="shared" si="185"/>
        <v>48</v>
      </c>
      <c r="BE350" s="3">
        <f>AH350-AE350</f>
        <v>44</v>
      </c>
    </row>
    <row r="351" spans="1:57" s="3" customFormat="1" x14ac:dyDescent="0.2">
      <c r="A351" s="3" t="s">
        <v>451</v>
      </c>
      <c r="B351" s="3" t="str">
        <f>LOWER(VLOOKUP(A351,Xtal_Templ!A:B,2,FALSE))</f>
        <v>p2ry1_human</v>
      </c>
      <c r="C351" s="3">
        <f>VLOOKUP($A351,'NonXtal_SegEnds_BW#'!$A:$Z,3,FALSE)+D351-50</f>
        <v>15</v>
      </c>
      <c r="D351" s="3">
        <v>35</v>
      </c>
      <c r="E351" s="3">
        <f>IF(ISERROR(VLOOKUP($A351,'NonXtal_SegEnds_BW#'!$A:$Z,4,FALSE)+VLOOKUP($A351,A:AL,4,FALSE)-50),"-",(VLOOKUP($A351,'NonXtal_SegEnds_BW#'!$A:$Z,4,FALSE)+VLOOKUP($A351,A:AL,4,FALSE)-50))</f>
        <v>45</v>
      </c>
      <c r="F351" s="3" t="str">
        <f>IF(ISERROR(VLOOKUP($A351,'NonXtal_SegEnds_BW#'!$A:$Z,5,FALSE)+VLOOKUP($A351,A:AL,7,FALSE)-50),"-",(VLOOKUP($A351,'NonXtal_SegEnds_BW#'!$A:$Z,5,FALSE)+VLOOKUP($A351,A:AL,7,FALSE)-50))</f>
        <v>-</v>
      </c>
      <c r="G351" s="3" t="s">
        <v>129</v>
      </c>
      <c r="H351" s="3" t="str">
        <f>IF(ISERROR(VLOOKUP($A351,'NonXtal_SegEnds_BW#'!$A:$Z,6,FALSE)+VLOOKUP($A351,A:AL,7,FALSE)-50),"-",(VLOOKUP($A351,'NonXtal_SegEnds_BW#'!$A:$Z,6,FALSE)+VLOOKUP($A351,A:AL,7,FALSE)-50))</f>
        <v>-</v>
      </c>
      <c r="I351" s="3">
        <f>VLOOKUP($A351,'NonXtal_SegEnds_BW#'!$A:$Z,7,FALSE)+J351-50</f>
        <v>50</v>
      </c>
      <c r="J351" s="3">
        <v>63</v>
      </c>
      <c r="K351" s="3">
        <f>VLOOKUP($A351,'NonXtal_SegEnds_BW#'!$A:$Z,8,FALSE)+VLOOKUP($A351,A:AL,10,FALSE)-50</f>
        <v>79</v>
      </c>
      <c r="L351" s="3">
        <f t="shared" si="186"/>
        <v>82</v>
      </c>
      <c r="M351" s="3">
        <v>83</v>
      </c>
      <c r="N351" s="3">
        <f t="shared" si="187"/>
        <v>85</v>
      </c>
      <c r="O351" s="3">
        <f t="shared" si="188"/>
        <v>86</v>
      </c>
      <c r="P351" s="3">
        <v>115</v>
      </c>
      <c r="Q351" s="3">
        <f>VLOOKUP($A351,'NonXtal_SegEnds_BW#'!$A:$Z,12,FALSE)+VLOOKUP($A351,A:AL,16,FALSE)-50</f>
        <v>121</v>
      </c>
      <c r="R351" s="3">
        <f>IF(ISERROR(VLOOKUP($A351,'NonXtal_SegEnds_BW#'!$A:$Z,13,FALSE)+VLOOKUP($A351,A:AL,19,FALSE)-50),"-",VLOOKUP($A351,'NonXtal_SegEnds_BW#'!$A:$Z,13,FALSE)+VLOOKUP($A351,A:AL,19,FALSE)-50)</f>
        <v>122</v>
      </c>
      <c r="S351" s="3">
        <v>122</v>
      </c>
      <c r="T351" s="3">
        <f>IF(ISERROR(VLOOKUP($A351,'NonXtal_SegEnds_BW#'!$A:$Z,14,FALSE)+VLOOKUP($A351,A:AL,19,FALSE)-50),"-",(VLOOKUP($A351,'NonXtal_SegEnds_BW#'!$A:$Z,14,FALSE)+VLOOKUP($A351,A:AL,19,FALSE)-50))</f>
        <v>129</v>
      </c>
      <c r="U351" s="3">
        <f>IF(ISERROR(VLOOKUP($A351,'NonXtal_SegEnds_BW#'!$A:$Z,15,FALSE)+VLOOKUP($A351,A:AL,22,FALSE)-50),"-",VLOOKUP($A351,'NonXtal_SegEnds_BW#'!$A:$Z,15,FALSE)+VLOOKUP($A351,A:AL,22,FALSE)-50)</f>
        <v>131</v>
      </c>
      <c r="V351" s="3">
        <v>142</v>
      </c>
      <c r="W351" s="3">
        <f>IF(ISERROR(VLOOKUP($A351,'NonXtal_SegEnds_BW#'!$A:$Z,16,FALSE)+VLOOKUP($A351,A:AL,22,FALSE)-50),"-",(VLOOKUP($A351,'NonXtal_SegEnds_BW#'!$A:$Z,16,FALSE)+VLOOKUP($A351,A:AL,22,FALSE)-50))</f>
        <v>156</v>
      </c>
      <c r="X351" s="3">
        <f>IF(ISERROR(VLOOKUP($A351,'NonXtal_SegEnds_BW#'!$A:$Z,17,FALSE)+VLOOKUP($A351,A:AL,25,FALSE)-50),"-",(VLOOKUP($A351,'NonXtal_SegEnds_BW#'!$A:$Z,17,FALSE)+VLOOKUP($A351,A:AL,25,FALSE)-50))</f>
        <v>168</v>
      </c>
      <c r="Y351" s="3">
        <v>168</v>
      </c>
      <c r="Z351" s="3">
        <f t="shared" si="189"/>
        <v>170</v>
      </c>
      <c r="AA351" s="3">
        <f>IF(ISERROR(VLOOKUP($A351,'NonXtal_SegEnds_BW#'!$A:$Z,19,FALSE)+VLOOKUP($A351,A:AL,28,FALSE)-50),"-",(VLOOKUP($A351,'NonXtal_SegEnds_BW#'!$A:$Z,19,FALSE)+VLOOKUP($A351,A:AL,28,FALSE)-50))</f>
        <v>175</v>
      </c>
      <c r="AB351" s="3">
        <v>193</v>
      </c>
      <c r="AC351" s="3">
        <f>IF(ISERROR((VLOOKUP($A351,'NonXtal_SegEnds_BW#'!$A:$Z,20,FALSE)+VLOOKUP($A351,A:AL,28,FALSE)-50)),"-",(VLOOKUP($A351,'NonXtal_SegEnds_BW#'!$A:$Z,20,FALSE)+VLOOKUP($A351,A:AL,28,FALSE)-50))</f>
        <v>210</v>
      </c>
      <c r="AD351" s="3">
        <f>IF(ISERROR(VLOOKUP($A351,'NonXtal_SegEnds_BW#'!$A:$Z,21,FALSE)+VLOOKUP($A351,A:AL,31,FALSE)-50),"-",(VLOOKUP($A351,'NonXtal_SegEnds_BW#'!$A:$Z,21,FALSE)+VLOOKUP($A351,A:AL,31,FALSE)-50))</f>
        <v>215</v>
      </c>
      <c r="AE351" s="3">
        <v>239</v>
      </c>
      <c r="AF351" s="3">
        <f>IF(ISERROR((VLOOKUP($A351,'NonXtal_SegEnds_BW#'!$A:$Z,22,FALSE)+VLOOKUP($A351,A:AL,31,FALSE)-50)),"-",(VLOOKUP($A351,'NonXtal_SegEnds_BW#'!$A:$Z,22,FALSE)+VLOOKUP($A351,A:AL,31,FALSE)-50))</f>
        <v>253</v>
      </c>
      <c r="AG351" s="3">
        <f>IF(ISERROR(VLOOKUP($A351,'NonXtal_SegEnds_BW#'!$A:$Z,23,FALSE)+VLOOKUP($A351,A:AL,34,FALSE)-50),"-",(VLOOKUP($A351,'NonXtal_SegEnds_BW#'!$A:$Z,23,FALSE)+VLOOKUP($A351,A:AL,34,FALSE)-50))</f>
        <v>257</v>
      </c>
      <c r="AH351" s="3">
        <v>283</v>
      </c>
      <c r="AI351" s="3">
        <f>IF(ISERROR((VLOOKUP($A351,'NonXtal_SegEnds_BW#'!$A:$Z,24,FALSE)+VLOOKUP($A351,A:AL,34,FALSE)-50)),"-",(VLOOKUP($A351,'NonXtal_SegEnds_BW#'!$A:$Z,24,FALSE)+VLOOKUP($A351,A:AL,34,FALSE)-50))</f>
        <v>289</v>
      </c>
      <c r="AJ351" s="3">
        <f>IF(ISERROR(VLOOKUP($A351,'NonXtal_SegEnds_BW#'!$A:$Z,25,FALSE)+VLOOKUP($A351,A:AL,37,FALSE)-50),"-",(VLOOKUP($A351,'NonXtal_SegEnds_BW#'!$A:$Z,25,FALSE)+VLOOKUP($A351,A:AL,37,FALSE)-50))</f>
        <v>290</v>
      </c>
      <c r="AK351" s="3">
        <v>293</v>
      </c>
      <c r="AL351" s="3">
        <f>IF(ISERROR((VLOOKUP($A351,'NonXtal_SegEnds_BW#'!$A:$Z,26,FALSE)+VLOOKUP($A351,A:AL,37,FALSE)-50)),"-",(VLOOKUP($A351,'NonXtal_SegEnds_BW#'!$A:$Z,26,FALSE)+VLOOKUP($A351,A:AL,37,FALSE)-50))</f>
        <v>302</v>
      </c>
      <c r="AM351" s="71" t="str">
        <f>VLOOKUP(A351,Classification!A:B,2,FALSE)</f>
        <v>A</v>
      </c>
      <c r="AN351" s="71" t="b">
        <f t="shared" si="170"/>
        <v>1</v>
      </c>
      <c r="AO351" s="3" t="str">
        <f t="shared" si="171"/>
        <v>-</v>
      </c>
      <c r="AP351" s="3" t="str">
        <f t="shared" si="172"/>
        <v>-</v>
      </c>
      <c r="AQ351" s="3">
        <f t="shared" si="173"/>
        <v>3</v>
      </c>
      <c r="AR351" s="3">
        <f t="shared" si="174"/>
        <v>1</v>
      </c>
      <c r="AS351" s="3">
        <f t="shared" si="175"/>
        <v>1</v>
      </c>
      <c r="AT351" s="3">
        <f t="shared" si="176"/>
        <v>2</v>
      </c>
      <c r="AU351" s="3">
        <f t="shared" si="177"/>
        <v>12</v>
      </c>
      <c r="AV351" s="3">
        <f t="shared" si="178"/>
        <v>5</v>
      </c>
      <c r="AW351" s="3">
        <f t="shared" si="179"/>
        <v>5</v>
      </c>
      <c r="AX351" s="3">
        <f t="shared" si="180"/>
        <v>4</v>
      </c>
      <c r="AY351" s="3">
        <f t="shared" si="181"/>
        <v>1</v>
      </c>
      <c r="AZ351" s="3">
        <f>IF(ISERROR(LEN(VLOOKUP(A351,Seqs!A:E,2,FALSE))-AL351),"-",LEN(VLOOKUP(A351,Seqs!A:E,2,FALSE))-AL351)</f>
        <v>60</v>
      </c>
      <c r="BA351" s="35">
        <f t="shared" si="182"/>
        <v>28</v>
      </c>
      <c r="BB351" s="3">
        <f t="shared" si="183"/>
        <v>20</v>
      </c>
      <c r="BC351" s="3">
        <f t="shared" si="184"/>
        <v>28</v>
      </c>
      <c r="BD351" s="3">
        <f t="shared" si="185"/>
        <v>46</v>
      </c>
    </row>
    <row r="352" spans="1:57" s="3" customFormat="1" x14ac:dyDescent="0.2">
      <c r="A352" s="3" t="s">
        <v>484</v>
      </c>
      <c r="B352" s="3" t="str">
        <f>LOWER(VLOOKUP(A352,Xtal_Templ!A:B,2,FALSE))</f>
        <v>p2ry1_human</v>
      </c>
      <c r="C352" s="3">
        <f>VLOOKUP($A352,'NonXtal_SegEnds_BW#'!$A:$Z,3,FALSE)+D352-50</f>
        <v>15</v>
      </c>
      <c r="D352" s="3">
        <v>35</v>
      </c>
      <c r="E352" s="3">
        <f>IF(ISERROR(VLOOKUP($A352,'NonXtal_SegEnds_BW#'!$A:$Z,4,FALSE)+VLOOKUP($A352,A:AL,4,FALSE)-50),"-",(VLOOKUP($A352,'NonXtal_SegEnds_BW#'!$A:$Z,4,FALSE)+VLOOKUP($A352,A:AL,4,FALSE)-50))</f>
        <v>45</v>
      </c>
      <c r="F352" s="3">
        <f>G352-2</f>
        <v>46</v>
      </c>
      <c r="G352" s="3">
        <v>48</v>
      </c>
      <c r="H352" s="3">
        <f>G352+1</f>
        <v>49</v>
      </c>
      <c r="I352" s="3">
        <f>H352+1</f>
        <v>50</v>
      </c>
      <c r="J352" s="3">
        <v>63</v>
      </c>
      <c r="K352" s="3">
        <f>VLOOKUP($A352,'NonXtal_SegEnds_BW#'!$A:$Z,8,FALSE)+VLOOKUP($A352,A:AL,10,FALSE)-50</f>
        <v>79</v>
      </c>
      <c r="L352" s="3">
        <f t="shared" si="186"/>
        <v>81</v>
      </c>
      <c r="M352" s="3">
        <v>82</v>
      </c>
      <c r="N352" s="3">
        <f t="shared" si="187"/>
        <v>84</v>
      </c>
      <c r="O352" s="3">
        <f t="shared" si="188"/>
        <v>85</v>
      </c>
      <c r="P352" s="3">
        <v>114</v>
      </c>
      <c r="Q352" s="3">
        <f>VLOOKUP($A352,'NonXtal_SegEnds_BW#'!$A:$Z,12,FALSE)+VLOOKUP($A352,A:AL,16,FALSE)-50</f>
        <v>120</v>
      </c>
      <c r="R352" s="3">
        <f>IF(ISERROR(VLOOKUP($A352,'NonXtal_SegEnds_BW#'!$A:$Z,13,FALSE)+VLOOKUP($A352,A:AL,19,FALSE)-50),"-",VLOOKUP($A352,'NonXtal_SegEnds_BW#'!$A:$Z,13,FALSE)+VLOOKUP($A352,A:AL,19,FALSE)-50)</f>
        <v>121</v>
      </c>
      <c r="S352" s="3">
        <v>121</v>
      </c>
      <c r="T352" s="3">
        <f>IF(ISERROR(VLOOKUP($A352,'NonXtal_SegEnds_BW#'!$A:$Z,14,FALSE)+VLOOKUP($A352,A:AL,19,FALSE)-50),"-",(VLOOKUP($A352,'NonXtal_SegEnds_BW#'!$A:$Z,14,FALSE)+VLOOKUP($A352,A:AL,19,FALSE)-50))</f>
        <v>128</v>
      </c>
      <c r="U352" s="3">
        <f>IF(ISERROR(VLOOKUP($A352,'NonXtal_SegEnds_BW#'!$A:$Z,15,FALSE)+VLOOKUP($A352,A:AL,22,FALSE)-50),"-",VLOOKUP($A352,'NonXtal_SegEnds_BW#'!$A:$Z,15,FALSE)+VLOOKUP($A352,A:AL,22,FALSE)-50)</f>
        <v>130</v>
      </c>
      <c r="V352" s="3">
        <v>141</v>
      </c>
      <c r="W352" s="3">
        <f>IF(ISERROR(VLOOKUP($A352,'NonXtal_SegEnds_BW#'!$A:$Z,16,FALSE)+VLOOKUP($A352,A:AL,22,FALSE)-50),"-",(VLOOKUP($A352,'NonXtal_SegEnds_BW#'!$A:$Z,16,FALSE)+VLOOKUP($A352,A:AL,22,FALSE)-50))</f>
        <v>155</v>
      </c>
      <c r="X352" s="3">
        <f>IF(ISERROR(VLOOKUP($A352,'NonXtal_SegEnds_BW#'!$A:$Z,17,FALSE)+VLOOKUP($A352,A:AL,25,FALSE)-50),"-",(VLOOKUP($A352,'NonXtal_SegEnds_BW#'!$A:$Z,17,FALSE)+VLOOKUP($A352,A:AL,25,FALSE)-50))</f>
        <v>168</v>
      </c>
      <c r="Y352" s="3">
        <v>168</v>
      </c>
      <c r="Z352" s="3">
        <f t="shared" si="189"/>
        <v>170</v>
      </c>
      <c r="AA352" s="3">
        <f>IF(ISERROR(VLOOKUP($A352,'NonXtal_SegEnds_BW#'!$A:$Z,19,FALSE)+VLOOKUP($A352,A:AL,28,FALSE)-50),"-",(VLOOKUP($A352,'NonXtal_SegEnds_BW#'!$A:$Z,19,FALSE)+VLOOKUP($A352,A:AL,28,FALSE)-50))</f>
        <v>178</v>
      </c>
      <c r="AB352" s="3">
        <v>196</v>
      </c>
      <c r="AC352" s="3">
        <f>IF(ISERROR((VLOOKUP($A352,'NonXtal_SegEnds_BW#'!$A:$Z,20,FALSE)+VLOOKUP($A352,A:AL,28,FALSE)-50)),"-",(VLOOKUP($A352,'NonXtal_SegEnds_BW#'!$A:$Z,20,FALSE)+VLOOKUP($A352,A:AL,28,FALSE)-50))</f>
        <v>214</v>
      </c>
      <c r="AD352" s="3">
        <f>IF(ISERROR(VLOOKUP($A352,'NonXtal_SegEnds_BW#'!$A:$Z,21,FALSE)+VLOOKUP($A352,A:AL,31,FALSE)-50),"-",(VLOOKUP($A352,'NonXtal_SegEnds_BW#'!$A:$Z,21,FALSE)+VLOOKUP($A352,A:AL,31,FALSE)-50))</f>
        <v>222</v>
      </c>
      <c r="AE352" s="3">
        <v>244</v>
      </c>
      <c r="AF352" s="3">
        <f>IF(ISERROR((VLOOKUP($A352,'NonXtal_SegEnds_BW#'!$A:$Z,22,FALSE)+VLOOKUP($A352,A:AL,31,FALSE)-50)),"-",(VLOOKUP($A352,'NonXtal_SegEnds_BW#'!$A:$Z,22,FALSE)+VLOOKUP($A352,A:AL,31,FALSE)-50))</f>
        <v>258</v>
      </c>
      <c r="AG352" s="3">
        <f>IF(ISERROR(VLOOKUP($A352,'NonXtal_SegEnds_BW#'!$A:$Z,23,FALSE)+VLOOKUP($A352,A:AL,34,FALSE)-50),"-",(VLOOKUP($A352,'NonXtal_SegEnds_BW#'!$A:$Z,23,FALSE)+VLOOKUP($A352,A:AL,34,FALSE)-50))</f>
        <v>262</v>
      </c>
      <c r="AH352" s="3">
        <v>288</v>
      </c>
      <c r="AI352" s="3">
        <f>IF(ISERROR((VLOOKUP($A352,'NonXtal_SegEnds_BW#'!$A:$Z,24,FALSE)+VLOOKUP($A352,A:AL,34,FALSE)-50)),"-",(VLOOKUP($A352,'NonXtal_SegEnds_BW#'!$A:$Z,24,FALSE)+VLOOKUP($A352,A:AL,34,FALSE)-50))</f>
        <v>294</v>
      </c>
      <c r="AJ352" s="3">
        <f>IF(ISERROR(VLOOKUP($A352,'NonXtal_SegEnds_BW#'!$A:$Z,25,FALSE)+VLOOKUP($A352,A:AL,37,FALSE)-50),"-",(VLOOKUP($A352,'NonXtal_SegEnds_BW#'!$A:$Z,25,FALSE)+VLOOKUP($A352,A:AL,37,FALSE)-50))</f>
        <v>295</v>
      </c>
      <c r="AK352" s="3">
        <v>298</v>
      </c>
      <c r="AL352" s="3">
        <f>IF(ISERROR((VLOOKUP($A352,'NonXtal_SegEnds_BW#'!$A:$Z,26,FALSE)+VLOOKUP($A352,A:AL,37,FALSE)-50)),"-",(VLOOKUP($A352,'NonXtal_SegEnds_BW#'!$A:$Z,26,FALSE)+VLOOKUP($A352,A:AL,37,FALSE)-50))</f>
        <v>307</v>
      </c>
      <c r="AM352" s="71" t="str">
        <f>VLOOKUP(A352,Classification!A:B,2,FALSE)</f>
        <v>A</v>
      </c>
      <c r="AN352" s="71" t="b">
        <f t="shared" si="170"/>
        <v>1</v>
      </c>
      <c r="AO352" s="3">
        <f t="shared" si="171"/>
        <v>1</v>
      </c>
      <c r="AP352" s="3">
        <f t="shared" si="172"/>
        <v>1</v>
      </c>
      <c r="AQ352" s="3">
        <f t="shared" si="173"/>
        <v>2</v>
      </c>
      <c r="AR352" s="3">
        <f t="shared" si="174"/>
        <v>1</v>
      </c>
      <c r="AS352" s="3">
        <f t="shared" si="175"/>
        <v>1</v>
      </c>
      <c r="AT352" s="3">
        <f t="shared" si="176"/>
        <v>2</v>
      </c>
      <c r="AU352" s="3">
        <f t="shared" si="177"/>
        <v>13</v>
      </c>
      <c r="AV352" s="3">
        <f t="shared" si="178"/>
        <v>8</v>
      </c>
      <c r="AW352" s="3">
        <f t="shared" si="179"/>
        <v>8</v>
      </c>
      <c r="AX352" s="3">
        <f t="shared" si="180"/>
        <v>4</v>
      </c>
      <c r="AY352" s="3">
        <f t="shared" si="181"/>
        <v>1</v>
      </c>
      <c r="AZ352" s="3">
        <f>IF(ISERROR(LEN(VLOOKUP(A352,Seqs!A:E,2,FALSE))-AL352),"-",LEN(VLOOKUP(A352,Seqs!A:E,2,FALSE))-AL352)</f>
        <v>37</v>
      </c>
      <c r="BA352" s="35">
        <f t="shared" si="182"/>
        <v>28</v>
      </c>
      <c r="BB352" s="3">
        <f t="shared" si="183"/>
        <v>20</v>
      </c>
      <c r="BC352" s="3">
        <f t="shared" si="184"/>
        <v>28</v>
      </c>
      <c r="BD352" s="3">
        <f t="shared" si="185"/>
        <v>48</v>
      </c>
    </row>
    <row r="353" spans="1:57" s="3" customFormat="1" x14ac:dyDescent="0.2">
      <c r="A353" s="3" t="s">
        <v>469</v>
      </c>
      <c r="B353" s="3" t="str">
        <f>LOWER(VLOOKUP(A353,Xtal_Templ!A:B,2,FALSE))</f>
        <v>p2ry1_human</v>
      </c>
      <c r="C353" s="3">
        <f>VLOOKUP($A353,'NonXtal_SegEnds_BW#'!$A:$Z,3,FALSE)+D353-50</f>
        <v>13</v>
      </c>
      <c r="D353" s="3">
        <v>33</v>
      </c>
      <c r="E353" s="3">
        <f>IF(ISERROR(VLOOKUP($A353,'NonXtal_SegEnds_BW#'!$A:$Z,4,FALSE)+VLOOKUP($A353,A:AL,4,FALSE)-50),"-",(VLOOKUP($A353,'NonXtal_SegEnds_BW#'!$A:$Z,4,FALSE)+VLOOKUP($A353,A:AL,4,FALSE)-50))</f>
        <v>43</v>
      </c>
      <c r="F353" s="3" t="str">
        <f>IF(ISERROR(VLOOKUP($A353,'NonXtal_SegEnds_BW#'!$A:$Z,5,FALSE)+VLOOKUP($A353,A:AL,7,FALSE)-50),"-",(VLOOKUP($A353,'NonXtal_SegEnds_BW#'!$A:$Z,5,FALSE)+VLOOKUP($A353,A:AL,7,FALSE)-50))</f>
        <v>-</v>
      </c>
      <c r="G353" s="3" t="s">
        <v>129</v>
      </c>
      <c r="H353" s="3" t="str">
        <f>IF(ISERROR(VLOOKUP($A353,'NonXtal_SegEnds_BW#'!$A:$Z,6,FALSE)+VLOOKUP($A353,A:AL,7,FALSE)-50),"-",(VLOOKUP($A353,'NonXtal_SegEnds_BW#'!$A:$Z,6,FALSE)+VLOOKUP($A353,A:AL,7,FALSE)-50))</f>
        <v>-</v>
      </c>
      <c r="I353" s="3">
        <f>VLOOKUP($A353,'NonXtal_SegEnds_BW#'!$A:$Z,7,FALSE)+J353-50</f>
        <v>48</v>
      </c>
      <c r="J353" s="3">
        <v>61</v>
      </c>
      <c r="K353" s="3">
        <f>VLOOKUP($A353,'NonXtal_SegEnds_BW#'!$A:$Z,8,FALSE)+VLOOKUP($A353,A:AL,10,FALSE)-50</f>
        <v>77</v>
      </c>
      <c r="L353" s="3">
        <f t="shared" si="186"/>
        <v>80</v>
      </c>
      <c r="M353" s="3">
        <v>81</v>
      </c>
      <c r="N353" s="3">
        <f t="shared" si="187"/>
        <v>83</v>
      </c>
      <c r="O353" s="3">
        <f t="shared" si="188"/>
        <v>84</v>
      </c>
      <c r="P353" s="3">
        <v>113</v>
      </c>
      <c r="Q353" s="3">
        <f>VLOOKUP($A353,'NonXtal_SegEnds_BW#'!$A:$Z,12,FALSE)+VLOOKUP($A353,A:AL,16,FALSE)-50</f>
        <v>119</v>
      </c>
      <c r="R353" s="3">
        <f>IF(ISERROR(VLOOKUP($A353,'NonXtal_SegEnds_BW#'!$A:$Z,13,FALSE)+VLOOKUP($A353,A:AL,19,FALSE)-50),"-",VLOOKUP($A353,'NonXtal_SegEnds_BW#'!$A:$Z,13,FALSE)+VLOOKUP($A353,A:AL,19,FALSE)-50)</f>
        <v>120</v>
      </c>
      <c r="S353" s="3">
        <v>120</v>
      </c>
      <c r="T353" s="3">
        <f>IF(ISERROR(VLOOKUP($A353,'NonXtal_SegEnds_BW#'!$A:$Z,14,FALSE)+VLOOKUP($A353,A:AL,19,FALSE)-50),"-",(VLOOKUP($A353,'NonXtal_SegEnds_BW#'!$A:$Z,14,FALSE)+VLOOKUP($A353,A:AL,19,FALSE)-50))</f>
        <v>127</v>
      </c>
      <c r="U353" s="3">
        <f>IF(ISERROR(VLOOKUP($A353,'NonXtal_SegEnds_BW#'!$A:$Z,15,FALSE)+VLOOKUP($A353,A:AL,22,FALSE)-50),"-",VLOOKUP($A353,'NonXtal_SegEnds_BW#'!$A:$Z,15,FALSE)+VLOOKUP($A353,A:AL,22,FALSE)-50)</f>
        <v>129</v>
      </c>
      <c r="V353" s="3">
        <v>140</v>
      </c>
      <c r="W353" s="3">
        <f>IF(ISERROR(VLOOKUP($A353,'NonXtal_SegEnds_BW#'!$A:$Z,16,FALSE)+VLOOKUP($A353,A:AL,22,FALSE)-50),"-",(VLOOKUP($A353,'NonXtal_SegEnds_BW#'!$A:$Z,16,FALSE)+VLOOKUP($A353,A:AL,22,FALSE)-50))</f>
        <v>154</v>
      </c>
      <c r="X353" s="3">
        <f>IF(ISERROR(VLOOKUP($A353,'NonXtal_SegEnds_BW#'!$A:$Z,17,FALSE)+VLOOKUP($A353,A:AL,25,FALSE)-50),"-",(VLOOKUP($A353,'NonXtal_SegEnds_BW#'!$A:$Z,17,FALSE)+VLOOKUP($A353,A:AL,25,FALSE)-50))</f>
        <v>165</v>
      </c>
      <c r="Y353" s="3">
        <v>165</v>
      </c>
      <c r="Z353" s="3">
        <f t="shared" si="189"/>
        <v>167</v>
      </c>
      <c r="AA353" s="3">
        <f>IF(ISERROR(VLOOKUP($A353,'NonXtal_SegEnds_BW#'!$A:$Z,19,FALSE)+VLOOKUP($A353,A:AL,28,FALSE)-50),"-",(VLOOKUP($A353,'NonXtal_SegEnds_BW#'!$A:$Z,19,FALSE)+VLOOKUP($A353,A:AL,28,FALSE)-50))</f>
        <v>170</v>
      </c>
      <c r="AB353" s="3">
        <v>188</v>
      </c>
      <c r="AC353" s="3">
        <f>IF(ISERROR((VLOOKUP($A353,'NonXtal_SegEnds_BW#'!$A:$Z,20,FALSE)+VLOOKUP($A353,A:AL,28,FALSE)-50)),"-",(VLOOKUP($A353,'NonXtal_SegEnds_BW#'!$A:$Z,20,FALSE)+VLOOKUP($A353,A:AL,28,FALSE)-50))</f>
        <v>205</v>
      </c>
      <c r="AD353" s="3">
        <f>IF(ISERROR(VLOOKUP($A353,'NonXtal_SegEnds_BW#'!$A:$Z,21,FALSE)+VLOOKUP($A353,A:AL,31,FALSE)-50),"-",(VLOOKUP($A353,'NonXtal_SegEnds_BW#'!$A:$Z,21,FALSE)+VLOOKUP($A353,A:AL,31,FALSE)-50))</f>
        <v>211</v>
      </c>
      <c r="AE353" s="3">
        <v>235</v>
      </c>
      <c r="AF353" s="3">
        <f>IF(ISERROR((VLOOKUP($A353,'NonXtal_SegEnds_BW#'!$A:$Z,22,FALSE)+VLOOKUP($A353,A:AL,31,FALSE)-50)),"-",(VLOOKUP($A353,'NonXtal_SegEnds_BW#'!$A:$Z,22,FALSE)+VLOOKUP($A353,A:AL,31,FALSE)-50))</f>
        <v>246</v>
      </c>
      <c r="AG353" s="3">
        <f>IF(ISERROR(VLOOKUP($A353,'NonXtal_SegEnds_BW#'!$A:$Z,23,FALSE)+VLOOKUP($A353,A:AL,34,FALSE)-50),"-",(VLOOKUP($A353,'NonXtal_SegEnds_BW#'!$A:$Z,23,FALSE)+VLOOKUP($A353,A:AL,34,FALSE)-50))</f>
        <v>253</v>
      </c>
      <c r="AH353" s="3">
        <v>275</v>
      </c>
      <c r="AI353" s="3">
        <f>IF(ISERROR((VLOOKUP($A353,'NonXtal_SegEnds_BW#'!$A:$Z,24,FALSE)+VLOOKUP($A353,A:AL,34,FALSE)-50)),"-",(VLOOKUP($A353,'NonXtal_SegEnds_BW#'!$A:$Z,24,FALSE)+VLOOKUP($A353,A:AL,34,FALSE)-50))</f>
        <v>281</v>
      </c>
      <c r="AJ353" s="3">
        <f>IF(ISERROR(VLOOKUP($A353,'NonXtal_SegEnds_BW#'!$A:$Z,25,FALSE)+VLOOKUP($A353,A:AL,37,FALSE)-50),"-",(VLOOKUP($A353,'NonXtal_SegEnds_BW#'!$A:$Z,25,FALSE)+VLOOKUP($A353,A:AL,37,FALSE)-50))</f>
        <v>282</v>
      </c>
      <c r="AK353" s="3">
        <v>285</v>
      </c>
      <c r="AL353" s="3">
        <f>IF(ISERROR((VLOOKUP($A353,'NonXtal_SegEnds_BW#'!$A:$Z,26,FALSE)+VLOOKUP($A353,A:AL,37,FALSE)-50)),"-",(VLOOKUP($A353,'NonXtal_SegEnds_BW#'!$A:$Z,26,FALSE)+VLOOKUP($A353,A:AL,37,FALSE)-50))</f>
        <v>294</v>
      </c>
      <c r="AM353" s="71" t="str">
        <f>VLOOKUP(A353,Classification!A:B,2,FALSE)</f>
        <v>A</v>
      </c>
      <c r="AN353" s="71" t="b">
        <f t="shared" si="170"/>
        <v>1</v>
      </c>
      <c r="AO353" s="3" t="str">
        <f t="shared" si="171"/>
        <v>-</v>
      </c>
      <c r="AP353" s="3" t="str">
        <f t="shared" si="172"/>
        <v>-</v>
      </c>
      <c r="AQ353" s="3">
        <f t="shared" si="173"/>
        <v>3</v>
      </c>
      <c r="AR353" s="3">
        <f t="shared" si="174"/>
        <v>1</v>
      </c>
      <c r="AS353" s="3">
        <f t="shared" si="175"/>
        <v>1</v>
      </c>
      <c r="AT353" s="3">
        <f t="shared" si="176"/>
        <v>2</v>
      </c>
      <c r="AU353" s="3">
        <f t="shared" si="177"/>
        <v>11</v>
      </c>
      <c r="AV353" s="3">
        <f t="shared" si="178"/>
        <v>3</v>
      </c>
      <c r="AW353" s="3">
        <f t="shared" si="179"/>
        <v>6</v>
      </c>
      <c r="AX353" s="3">
        <f t="shared" si="180"/>
        <v>7</v>
      </c>
      <c r="AY353" s="3">
        <f t="shared" si="181"/>
        <v>1</v>
      </c>
      <c r="AZ353" s="3">
        <f>IF(ISERROR(LEN(VLOOKUP(A353,Seqs!A:E,2,FALSE))-AL353),"-",LEN(VLOOKUP(A353,Seqs!A:E,2,FALSE))-AL353)</f>
        <v>52</v>
      </c>
      <c r="BA353" s="35">
        <f t="shared" si="182"/>
        <v>28</v>
      </c>
      <c r="BB353" s="3">
        <f t="shared" si="183"/>
        <v>20</v>
      </c>
      <c r="BC353" s="3">
        <f t="shared" si="184"/>
        <v>28</v>
      </c>
      <c r="BD353" s="3">
        <f t="shared" si="185"/>
        <v>47</v>
      </c>
    </row>
    <row r="354" spans="1:57" s="3" customFormat="1" x14ac:dyDescent="0.2">
      <c r="A354" s="3" t="s">
        <v>444</v>
      </c>
      <c r="B354" s="3" t="str">
        <f>LOWER(VLOOKUP(A354,Xtal_Templ!A:B,2,FALSE))</f>
        <v>p2ry1_human</v>
      </c>
      <c r="C354" s="3">
        <f>VLOOKUP($A354,'NonXtal_SegEnds_BW#'!$A:$Z,3,FALSE)+D354-50</f>
        <v>12</v>
      </c>
      <c r="D354" s="3">
        <v>32</v>
      </c>
      <c r="E354" s="3">
        <f>IF(ISERROR(VLOOKUP($A354,'NonXtal_SegEnds_BW#'!$A:$Z,4,FALSE)+VLOOKUP($A354,A:AL,4,FALSE)-50),"-",(VLOOKUP($A354,'NonXtal_SegEnds_BW#'!$A:$Z,4,FALSE)+VLOOKUP($A354,A:AL,4,FALSE)-50))</f>
        <v>42</v>
      </c>
      <c r="F354" s="3">
        <f>G354-2</f>
        <v>43</v>
      </c>
      <c r="G354" s="3">
        <v>45</v>
      </c>
      <c r="H354" s="3">
        <f>G354+1</f>
        <v>46</v>
      </c>
      <c r="I354" s="3">
        <f>H354+1</f>
        <v>47</v>
      </c>
      <c r="J354" s="3">
        <v>60</v>
      </c>
      <c r="K354" s="3">
        <f>VLOOKUP($A354,'NonXtal_SegEnds_BW#'!$A:$Z,8,FALSE)+VLOOKUP($A354,A:AL,10,FALSE)-50</f>
        <v>76</v>
      </c>
      <c r="L354" s="3">
        <f t="shared" si="186"/>
        <v>79</v>
      </c>
      <c r="M354" s="3">
        <v>80</v>
      </c>
      <c r="N354" s="3">
        <f t="shared" si="187"/>
        <v>82</v>
      </c>
      <c r="O354" s="3">
        <f t="shared" si="188"/>
        <v>83</v>
      </c>
      <c r="P354" s="3">
        <v>112</v>
      </c>
      <c r="Q354" s="3">
        <f>VLOOKUP($A354,'NonXtal_SegEnds_BW#'!$A:$Z,12,FALSE)+VLOOKUP($A354,A:AL,16,FALSE)-50</f>
        <v>118</v>
      </c>
      <c r="R354" s="3">
        <f>IF(ISERROR(VLOOKUP($A354,'NonXtal_SegEnds_BW#'!$A:$Z,13,FALSE)+VLOOKUP($A354,A:AL,19,FALSE)-50),"-",VLOOKUP($A354,'NonXtal_SegEnds_BW#'!$A:$Z,13,FALSE)+VLOOKUP($A354,A:AL,19,FALSE)-50)</f>
        <v>119</v>
      </c>
      <c r="S354" s="3">
        <v>119</v>
      </c>
      <c r="T354" s="3">
        <f>IF(ISERROR(VLOOKUP($A354,'NonXtal_SegEnds_BW#'!$A:$Z,14,FALSE)+VLOOKUP($A354,A:AL,19,FALSE)-50),"-",(VLOOKUP($A354,'NonXtal_SegEnds_BW#'!$A:$Z,14,FALSE)+VLOOKUP($A354,A:AL,19,FALSE)-50))</f>
        <v>126</v>
      </c>
      <c r="U354" s="3">
        <f>IF(ISERROR(VLOOKUP($A354,'NonXtal_SegEnds_BW#'!$A:$Z,15,FALSE)+VLOOKUP($A354,A:AL,22,FALSE)-50),"-",VLOOKUP($A354,'NonXtal_SegEnds_BW#'!$A:$Z,15,FALSE)+VLOOKUP($A354,A:AL,22,FALSE)-50)</f>
        <v>128</v>
      </c>
      <c r="V354" s="3">
        <v>139</v>
      </c>
      <c r="W354" s="3">
        <f>IF(ISERROR(VLOOKUP($A354,'NonXtal_SegEnds_BW#'!$A:$Z,16,FALSE)+VLOOKUP($A354,A:AL,22,FALSE)-50),"-",(VLOOKUP($A354,'NonXtal_SegEnds_BW#'!$A:$Z,16,FALSE)+VLOOKUP($A354,A:AL,22,FALSE)-50))</f>
        <v>153</v>
      </c>
      <c r="X354" s="3">
        <f>IF(ISERROR(VLOOKUP($A354,'NonXtal_SegEnds_BW#'!$A:$Z,17,FALSE)+VLOOKUP($A354,A:AL,25,FALSE)-50),"-",(VLOOKUP($A354,'NonXtal_SegEnds_BW#'!$A:$Z,17,FALSE)+VLOOKUP($A354,A:AL,25,FALSE)-50))</f>
        <v>162</v>
      </c>
      <c r="Y354" s="3">
        <v>162</v>
      </c>
      <c r="Z354" s="3">
        <f t="shared" si="189"/>
        <v>164</v>
      </c>
      <c r="AA354" s="3">
        <f>IF(ISERROR(VLOOKUP($A354,'NonXtal_SegEnds_BW#'!$A:$Z,19,FALSE)+VLOOKUP($A354,A:AL,28,FALSE)-50),"-",(VLOOKUP($A354,'NonXtal_SegEnds_BW#'!$A:$Z,19,FALSE)+VLOOKUP($A354,A:AL,28,FALSE)-50))</f>
        <v>171</v>
      </c>
      <c r="AB354" s="3">
        <v>189</v>
      </c>
      <c r="AC354" s="3">
        <f>IF(ISERROR((VLOOKUP($A354,'NonXtal_SegEnds_BW#'!$A:$Z,20,FALSE)+VLOOKUP($A354,A:AL,28,FALSE)-50)),"-",(VLOOKUP($A354,'NonXtal_SegEnds_BW#'!$A:$Z,20,FALSE)+VLOOKUP($A354,A:AL,28,FALSE)-50))</f>
        <v>207</v>
      </c>
      <c r="AD354" s="3">
        <f>IF(ISERROR(VLOOKUP($A354,'NonXtal_SegEnds_BW#'!$A:$Z,21,FALSE)+VLOOKUP($A354,A:AL,31,FALSE)-50),"-",(VLOOKUP($A354,'NonXtal_SegEnds_BW#'!$A:$Z,21,FALSE)+VLOOKUP($A354,A:AL,31,FALSE)-50))</f>
        <v>215</v>
      </c>
      <c r="AE354" s="3">
        <v>237</v>
      </c>
      <c r="AF354" s="3">
        <f>IF(ISERROR((VLOOKUP($A354,'NonXtal_SegEnds_BW#'!$A:$Z,22,FALSE)+VLOOKUP($A354,A:AL,31,FALSE)-50)),"-",(VLOOKUP($A354,'NonXtal_SegEnds_BW#'!$A:$Z,22,FALSE)+VLOOKUP($A354,A:AL,31,FALSE)-50))</f>
        <v>248</v>
      </c>
      <c r="AG354" s="3">
        <f>IF(ISERROR(VLOOKUP($A354,'NonXtal_SegEnds_BW#'!$A:$Z,23,FALSE)+VLOOKUP($A354,A:AL,34,FALSE)-50),"-",(VLOOKUP($A354,'NonXtal_SegEnds_BW#'!$A:$Z,23,FALSE)+VLOOKUP($A354,A:AL,34,FALSE)-50))</f>
        <v>257</v>
      </c>
      <c r="AH354" s="3">
        <v>279</v>
      </c>
      <c r="AI354" s="3">
        <f>IF(ISERROR((VLOOKUP($A354,'NonXtal_SegEnds_BW#'!$A:$Z,24,FALSE)+VLOOKUP($A354,A:AL,34,FALSE)-50)),"-",(VLOOKUP($A354,'NonXtal_SegEnds_BW#'!$A:$Z,24,FALSE)+VLOOKUP($A354,A:AL,34,FALSE)-50))</f>
        <v>285</v>
      </c>
      <c r="AJ354" s="3">
        <f>IF(ISERROR(VLOOKUP($A354,'NonXtal_SegEnds_BW#'!$A:$Z,25,FALSE)+VLOOKUP($A354,A:AL,37,FALSE)-50),"-",(VLOOKUP($A354,'NonXtal_SegEnds_BW#'!$A:$Z,25,FALSE)+VLOOKUP($A354,A:AL,37,FALSE)-50))</f>
        <v>286</v>
      </c>
      <c r="AK354" s="3">
        <v>289</v>
      </c>
      <c r="AL354" s="3">
        <f>IF(ISERROR((VLOOKUP($A354,'NonXtal_SegEnds_BW#'!$A:$Z,26,FALSE)+VLOOKUP($A354,A:AL,37,FALSE)-50)),"-",(VLOOKUP($A354,'NonXtal_SegEnds_BW#'!$A:$Z,26,FALSE)+VLOOKUP($A354,A:AL,37,FALSE)-50))</f>
        <v>298</v>
      </c>
      <c r="AM354" s="71" t="str">
        <f>VLOOKUP(A354,Classification!A:B,2,FALSE)</f>
        <v>A</v>
      </c>
      <c r="AN354" s="71" t="b">
        <f t="shared" si="170"/>
        <v>1</v>
      </c>
      <c r="AO354" s="3">
        <f t="shared" si="171"/>
        <v>1</v>
      </c>
      <c r="AP354" s="3">
        <f t="shared" si="172"/>
        <v>1</v>
      </c>
      <c r="AQ354" s="3">
        <f t="shared" si="173"/>
        <v>3</v>
      </c>
      <c r="AR354" s="3">
        <f t="shared" si="174"/>
        <v>1</v>
      </c>
      <c r="AS354" s="3">
        <f t="shared" si="175"/>
        <v>1</v>
      </c>
      <c r="AT354" s="3">
        <f t="shared" si="176"/>
        <v>2</v>
      </c>
      <c r="AU354" s="3">
        <f t="shared" si="177"/>
        <v>9</v>
      </c>
      <c r="AV354" s="3">
        <f t="shared" si="178"/>
        <v>7</v>
      </c>
      <c r="AW354" s="3">
        <f t="shared" si="179"/>
        <v>8</v>
      </c>
      <c r="AX354" s="3">
        <f t="shared" si="180"/>
        <v>9</v>
      </c>
      <c r="AY354" s="3">
        <f t="shared" si="181"/>
        <v>1</v>
      </c>
      <c r="AZ354" s="3">
        <f>IF(ISERROR(LEN(VLOOKUP(A354,Seqs!A:E,2,FALSE))-AL354),"-",LEN(VLOOKUP(A354,Seqs!A:E,2,FALSE))-AL354)</f>
        <v>21</v>
      </c>
      <c r="BA354" s="35">
        <f t="shared" si="182"/>
        <v>28</v>
      </c>
      <c r="BB354" s="3">
        <f t="shared" si="183"/>
        <v>20</v>
      </c>
      <c r="BC354" s="3">
        <f t="shared" si="184"/>
        <v>28</v>
      </c>
      <c r="BD354" s="3">
        <f t="shared" si="185"/>
        <v>48</v>
      </c>
      <c r="BE354" s="3">
        <f>AH354-AE354</f>
        <v>42</v>
      </c>
    </row>
    <row r="355" spans="1:57" s="3" customFormat="1" x14ac:dyDescent="0.2">
      <c r="A355" s="3" t="s">
        <v>501</v>
      </c>
      <c r="B355" s="3" t="str">
        <f>LOWER(VLOOKUP(A355,Xtal_Templ!A:B,2,FALSE))</f>
        <v>p2y12_human</v>
      </c>
      <c r="C355" s="3">
        <f>VLOOKUP($A355,'NonXtal_SegEnds_BW#'!$A:$Z,3,FALSE)+D355-50</f>
        <v>23</v>
      </c>
      <c r="D355" s="3">
        <v>45</v>
      </c>
      <c r="E355" s="3">
        <f>IF(ISERROR(VLOOKUP($A355,'NonXtal_SegEnds_BW#'!$A:$Z,4,FALSE)+VLOOKUP($A355,A:AL,4,FALSE)-50),"-",(VLOOKUP($A355,'NonXtal_SegEnds_BW#'!$A:$Z,4,FALSE)+VLOOKUP($A355,A:AL,4,FALSE)-50))</f>
        <v>55</v>
      </c>
      <c r="F355" s="3" t="str">
        <f>IF(ISERROR(VLOOKUP($A355,'NonXtal_SegEnds_BW#'!$A:$Z,5,FALSE)+VLOOKUP($A355,A:AL,7,FALSE)-50),"-",(VLOOKUP($A355,'NonXtal_SegEnds_BW#'!$A:$Z,5,FALSE)+VLOOKUP($A355,A:AL,7,FALSE)-50))</f>
        <v>-</v>
      </c>
      <c r="G355" s="3" t="s">
        <v>129</v>
      </c>
      <c r="H355" s="3" t="str">
        <f>IF(ISERROR(VLOOKUP($A355,'NonXtal_SegEnds_BW#'!$A:$Z,6,FALSE)+VLOOKUP($A355,A:AL,7,FALSE)-50),"-",(VLOOKUP($A355,'NonXtal_SegEnds_BW#'!$A:$Z,6,FALSE)+VLOOKUP($A355,A:AL,7,FALSE)-50))</f>
        <v>-</v>
      </c>
      <c r="I355" s="3">
        <f>VLOOKUP($A355,'NonXtal_SegEnds_BW#'!$A:$Z,7,FALSE)+J355-50</f>
        <v>59</v>
      </c>
      <c r="J355" s="3">
        <v>72</v>
      </c>
      <c r="K355" s="3">
        <f>VLOOKUP($A355,'NonXtal_SegEnds_BW#'!$A:$Z,8,FALSE)+VLOOKUP($A355,A:AL,10,FALSE)-50</f>
        <v>88</v>
      </c>
      <c r="L355" s="3" t="str">
        <f>IF(ISERROR(VLOOKUP($A355,'NonXtal_SegEnds_BW#'!$A:$Z,9,FALSE)+VLOOKUP($A355,A:AL,13,FALSE)-50),"-",(VLOOKUP($A355,'NonXtal_SegEnds_BW#'!$A:$Z,9,FALSE)+VLOOKUP($A355,A:AL,13,FALSE)-50))</f>
        <v>-</v>
      </c>
      <c r="M355" s="3" t="s">
        <v>129</v>
      </c>
      <c r="N355" s="3" t="str">
        <f>IF(ISERROR(VLOOKUP($A355,'NonXtal_SegEnds_BW#'!$A:$Z,10,FALSE)+VLOOKUP($A355,A:AL,13,FALSE)-50),"-",(VLOOKUP($A355,'NonXtal_SegEnds_BW#'!$A:$Z,10,FALSE)+VLOOKUP($A355,A:AL,13,FALSE)-50))</f>
        <v>-</v>
      </c>
      <c r="O355" s="3">
        <f>VLOOKUP($A355,'NonXtal_SegEnds_BW#'!$A:$Z,11,FALSE)+VLOOKUP($A355,A:AL,16,FALSE)-50</f>
        <v>94</v>
      </c>
      <c r="P355" s="3">
        <v>120</v>
      </c>
      <c r="Q355" s="3">
        <f>VLOOKUP($A355,'NonXtal_SegEnds_BW#'!$A:$Z,12,FALSE)+VLOOKUP($A355,A:AL,16,FALSE)-50</f>
        <v>126</v>
      </c>
      <c r="R355" s="3">
        <f>IF(ISERROR(VLOOKUP($A355,'NonXtal_SegEnds_BW#'!$A:$Z,13,FALSE)+VLOOKUP($A355,A:AL,19,FALSE)-50),"-",VLOOKUP($A355,'NonXtal_SegEnds_BW#'!$A:$Z,13,FALSE)+VLOOKUP($A355,A:AL,19,FALSE)-50)</f>
        <v>127</v>
      </c>
      <c r="S355" s="3">
        <v>127</v>
      </c>
      <c r="T355" s="3">
        <f>IF(ISERROR(VLOOKUP($A355,'NonXtal_SegEnds_BW#'!$A:$Z,14,FALSE)+VLOOKUP($A355,A:AL,19,FALSE)-50),"-",(VLOOKUP($A355,'NonXtal_SegEnds_BW#'!$A:$Z,14,FALSE)+VLOOKUP($A355,A:AL,19,FALSE)-50))</f>
        <v>134</v>
      </c>
      <c r="U355" s="3">
        <f>IF(ISERROR(VLOOKUP($A355,'NonXtal_SegEnds_BW#'!$A:$Z,15,FALSE)+VLOOKUP($A355,A:AL,22,FALSE)-50),"-",VLOOKUP($A355,'NonXtal_SegEnds_BW#'!$A:$Z,15,FALSE)+VLOOKUP($A355,A:AL,22,FALSE)-50)</f>
        <v>136</v>
      </c>
      <c r="V355" s="3">
        <v>147</v>
      </c>
      <c r="W355" s="3">
        <f>IF(ISERROR(VLOOKUP($A355,'NonXtal_SegEnds_BW#'!$A:$Z,16,FALSE)+VLOOKUP($A355,A:AL,22,FALSE)-50),"-",(VLOOKUP($A355,'NonXtal_SegEnds_BW#'!$A:$Z,16,FALSE)+VLOOKUP($A355,A:AL,22,FALSE)-50))</f>
        <v>161</v>
      </c>
      <c r="X355" s="3" t="str">
        <f>IF(ISERROR(VLOOKUP($A355,'NonXtal_SegEnds_BW#'!$A:$Z,17,FALSE)+VLOOKUP($A355,A:AL,25,FALSE)-50),"-",(VLOOKUP($A355,'NonXtal_SegEnds_BW#'!$A:$Z,17,FALSE)+VLOOKUP($A355,A:AL,25,FALSE)-50))</f>
        <v>-</v>
      </c>
      <c r="Y355" s="3" t="s">
        <v>129</v>
      </c>
      <c r="Z355" s="3" t="str">
        <f>IF(ISERROR(VLOOKUP($A355,'NonXtal_SegEnds_BW#'!$A:$Z,18,FALSE)+VLOOKUP($A355,A:AL,25,FALSE)-50),"-",(VLOOKUP($A355,'NonXtal_SegEnds_BW#'!$A:$Z,18,FALSE)+VLOOKUP($A355,A:AL,25,FALSE)-50))</f>
        <v>-</v>
      </c>
      <c r="AA355" s="3">
        <f>IF(ISERROR(VLOOKUP($A355,'NonXtal_SegEnds_BW#'!$A:$Z,19,FALSE)+VLOOKUP($A355,A:AL,28,FALSE)-50),"-",(VLOOKUP($A355,'NonXtal_SegEnds_BW#'!$A:$Z,19,FALSE)+VLOOKUP($A355,A:AL,28,FALSE)-50))</f>
        <v>169</v>
      </c>
      <c r="AB355" s="3">
        <v>189</v>
      </c>
      <c r="AC355" s="3">
        <f>IF(ISERROR((VLOOKUP($A355,'NonXtal_SegEnds_BW#'!$A:$Z,20,FALSE)+VLOOKUP($A355,A:AL,28,FALSE)-50)),"-",(VLOOKUP($A355,'NonXtal_SegEnds_BW#'!$A:$Z,20,FALSE)+VLOOKUP($A355,A:AL,28,FALSE)-50))</f>
        <v>207</v>
      </c>
      <c r="AD355" s="3">
        <f>IF(ISERROR(VLOOKUP($A355,'NonXtal_SegEnds_BW#'!$A:$Z,21,FALSE)+VLOOKUP($A355,A:AL,31,FALSE)-50),"-",(VLOOKUP($A355,'NonXtal_SegEnds_BW#'!$A:$Z,21,FALSE)+VLOOKUP($A355,A:AL,31,FALSE)-50))</f>
        <v>211</v>
      </c>
      <c r="AE355" s="3">
        <v>231</v>
      </c>
      <c r="AF355" s="3">
        <f>IF(ISERROR((VLOOKUP($A355,'NonXtal_SegEnds_BW#'!$A:$Z,22,FALSE)+VLOOKUP($A355,A:AL,31,FALSE)-50)),"-",(VLOOKUP($A355,'NonXtal_SegEnds_BW#'!$A:$Z,22,FALSE)+VLOOKUP($A355,A:AL,31,FALSE)-50))</f>
        <v>242</v>
      </c>
      <c r="AG355" s="3">
        <f>IF(ISERROR(VLOOKUP($A355,'NonXtal_SegEnds_BW#'!$A:$Z,23,FALSE)+VLOOKUP($A355,A:AL,34,FALSE)-50),"-",(VLOOKUP($A355,'NonXtal_SegEnds_BW#'!$A:$Z,23,FALSE)+VLOOKUP($A355,A:AL,34,FALSE)-50))</f>
        <v>247</v>
      </c>
      <c r="AH355" s="3">
        <v>269</v>
      </c>
      <c r="AI355" s="3">
        <f>IF(ISERROR((VLOOKUP($A355,'NonXtal_SegEnds_BW#'!$A:$Z,24,FALSE)+VLOOKUP($A355,A:AL,34,FALSE)-50)),"-",(VLOOKUP($A355,'NonXtal_SegEnds_BW#'!$A:$Z,24,FALSE)+VLOOKUP($A355,A:AL,34,FALSE)-50))</f>
        <v>275</v>
      </c>
      <c r="AJ355" s="3">
        <f>IF(ISERROR(VLOOKUP($A355,'NonXtal_SegEnds_BW#'!$A:$Z,25,FALSE)+VLOOKUP($A355,A:AL,37,FALSE)-50),"-",(VLOOKUP($A355,'NonXtal_SegEnds_BW#'!$A:$Z,25,FALSE)+VLOOKUP($A355,A:AL,37,FALSE)-50))</f>
        <v>276</v>
      </c>
      <c r="AK355" s="3">
        <v>279</v>
      </c>
      <c r="AL355" s="3">
        <f>IF(ISERROR((VLOOKUP($A355,'NonXtal_SegEnds_BW#'!$A:$Z,26,FALSE)+VLOOKUP($A355,A:AL,37,FALSE)-50)),"-",(VLOOKUP($A355,'NonXtal_SegEnds_BW#'!$A:$Z,26,FALSE)+VLOOKUP($A355,A:AL,37,FALSE)-50))</f>
        <v>286</v>
      </c>
      <c r="AM355" s="71" t="str">
        <f>VLOOKUP(A355,Classification!A:B,2,FALSE)</f>
        <v>A</v>
      </c>
      <c r="AN355" s="71" t="b">
        <f t="shared" si="170"/>
        <v>1</v>
      </c>
      <c r="AO355" s="3" t="str">
        <f t="shared" si="171"/>
        <v>-</v>
      </c>
      <c r="AP355" s="3" t="str">
        <f t="shared" si="172"/>
        <v>-</v>
      </c>
      <c r="AQ355" s="3" t="str">
        <f t="shared" si="173"/>
        <v>-</v>
      </c>
      <c r="AR355" s="3" t="str">
        <f t="shared" si="174"/>
        <v>-</v>
      </c>
      <c r="AS355" s="3">
        <f t="shared" si="175"/>
        <v>1</v>
      </c>
      <c r="AT355" s="3">
        <f t="shared" si="176"/>
        <v>2</v>
      </c>
      <c r="AU355" s="3" t="str">
        <f t="shared" si="177"/>
        <v>-</v>
      </c>
      <c r="AV355" s="3" t="str">
        <f t="shared" si="178"/>
        <v>-</v>
      </c>
      <c r="AW355" s="3">
        <f t="shared" si="179"/>
        <v>4</v>
      </c>
      <c r="AX355" s="3">
        <f t="shared" si="180"/>
        <v>5</v>
      </c>
      <c r="AY355" s="3">
        <f t="shared" si="181"/>
        <v>1</v>
      </c>
      <c r="AZ355" s="3">
        <f>IF(ISERROR(LEN(VLOOKUP(A355,Seqs!A:E,2,FALSE))-AL355),"-",LEN(VLOOKUP(A355,Seqs!A:E,2,FALSE))-AL355)</f>
        <v>36</v>
      </c>
      <c r="BA355" s="35">
        <f t="shared" si="182"/>
        <v>27</v>
      </c>
      <c r="BB355" s="3">
        <f t="shared" si="183"/>
        <v>20</v>
      </c>
      <c r="BC355" s="3">
        <f t="shared" si="184"/>
        <v>27</v>
      </c>
      <c r="BD355" s="3">
        <f t="shared" si="185"/>
        <v>42</v>
      </c>
    </row>
    <row r="356" spans="1:57" s="3" customFormat="1" x14ac:dyDescent="0.2">
      <c r="A356" s="3" t="s">
        <v>558</v>
      </c>
      <c r="B356" s="3" t="str">
        <f>LOWER(VLOOKUP(A356,Xtal_Templ!A:B,2,FALSE))</f>
        <v>p2y12_human</v>
      </c>
      <c r="C356" s="3">
        <f>VLOOKUP($A356,'NonXtal_SegEnds_BW#'!$A:$Z,3,FALSE)+D356-50</f>
        <v>13</v>
      </c>
      <c r="D356" s="3">
        <v>35</v>
      </c>
      <c r="E356" s="3">
        <f>IF(ISERROR(VLOOKUP($A356,'NonXtal_SegEnds_BW#'!$A:$Z,4,FALSE)+VLOOKUP($A356,A:AL,4,FALSE)-50),"-",(VLOOKUP($A356,'NonXtal_SegEnds_BW#'!$A:$Z,4,FALSE)+VLOOKUP($A356,A:AL,4,FALSE)-50))</f>
        <v>45</v>
      </c>
      <c r="F356" s="3" t="str">
        <f>IF(ISERROR(VLOOKUP($A356,'NonXtal_SegEnds_BW#'!$A:$Z,5,FALSE)+VLOOKUP($A356,A:AL,7,FALSE)-50),"-",(VLOOKUP($A356,'NonXtal_SegEnds_BW#'!$A:$Z,5,FALSE)+VLOOKUP($A356,A:AL,7,FALSE)-50))</f>
        <v>-</v>
      </c>
      <c r="G356" s="3" t="s">
        <v>129</v>
      </c>
      <c r="H356" s="3" t="str">
        <f>IF(ISERROR(VLOOKUP($A356,'NonXtal_SegEnds_BW#'!$A:$Z,6,FALSE)+VLOOKUP($A356,A:AL,7,FALSE)-50),"-",(VLOOKUP($A356,'NonXtal_SegEnds_BW#'!$A:$Z,6,FALSE)+VLOOKUP($A356,A:AL,7,FALSE)-50))</f>
        <v>-</v>
      </c>
      <c r="I356" s="3">
        <f>VLOOKUP($A356,'NonXtal_SegEnds_BW#'!$A:$Z,7,FALSE)+J356-50</f>
        <v>52</v>
      </c>
      <c r="J356" s="3">
        <v>65</v>
      </c>
      <c r="K356" s="3">
        <f>VLOOKUP($A356,'NonXtal_SegEnds_BW#'!$A:$Z,8,FALSE)+VLOOKUP($A356,A:AL,10,FALSE)-50</f>
        <v>81</v>
      </c>
      <c r="L356" s="3" t="str">
        <f>IF(ISERROR(VLOOKUP($A356,'NonXtal_SegEnds_BW#'!$A:$Z,9,FALSE)+VLOOKUP($A356,A:AL,13,FALSE)-50),"-",(VLOOKUP($A356,'NonXtal_SegEnds_BW#'!$A:$Z,9,FALSE)+VLOOKUP($A356,A:AL,13,FALSE)-50))</f>
        <v>-</v>
      </c>
      <c r="M356" s="3" t="s">
        <v>129</v>
      </c>
      <c r="N356" s="3" t="str">
        <f>IF(ISERROR(VLOOKUP($A356,'NonXtal_SegEnds_BW#'!$A:$Z,10,FALSE)+VLOOKUP($A356,A:AL,13,FALSE)-50),"-",(VLOOKUP($A356,'NonXtal_SegEnds_BW#'!$A:$Z,10,FALSE)+VLOOKUP($A356,A:AL,13,FALSE)-50))</f>
        <v>-</v>
      </c>
      <c r="O356" s="3">
        <f>VLOOKUP($A356,'NonXtal_SegEnds_BW#'!$A:$Z,11,FALSE)+VLOOKUP($A356,A:AL,16,FALSE)-50</f>
        <v>85</v>
      </c>
      <c r="P356" s="3">
        <v>117</v>
      </c>
      <c r="Q356" s="3">
        <f>VLOOKUP($A356,'NonXtal_SegEnds_BW#'!$A:$Z,12,FALSE)+VLOOKUP($A356,A:AL,16,FALSE)-50</f>
        <v>123</v>
      </c>
      <c r="R356" s="3">
        <f>IF(ISERROR(VLOOKUP($A356,'NonXtal_SegEnds_BW#'!$A:$Z,13,FALSE)+VLOOKUP($A356,A:AL,19,FALSE)-50),"-",VLOOKUP($A356,'NonXtal_SegEnds_BW#'!$A:$Z,13,FALSE)+VLOOKUP($A356,A:AL,19,FALSE)-50)</f>
        <v>124</v>
      </c>
      <c r="S356" s="3">
        <v>124</v>
      </c>
      <c r="T356" s="3">
        <f>IF(ISERROR(VLOOKUP($A356,'NonXtal_SegEnds_BW#'!$A:$Z,14,FALSE)+VLOOKUP($A356,A:AL,19,FALSE)-50),"-",(VLOOKUP($A356,'NonXtal_SegEnds_BW#'!$A:$Z,14,FALSE)+VLOOKUP($A356,A:AL,19,FALSE)-50))</f>
        <v>131</v>
      </c>
      <c r="U356" s="3">
        <f>IF(ISERROR(VLOOKUP($A356,'NonXtal_SegEnds_BW#'!$A:$Z,15,FALSE)+VLOOKUP($A356,A:AL,22,FALSE)-50),"-",VLOOKUP($A356,'NonXtal_SegEnds_BW#'!$A:$Z,15,FALSE)+VLOOKUP($A356,A:AL,22,FALSE)-50)</f>
        <v>133</v>
      </c>
      <c r="V356" s="3">
        <v>144</v>
      </c>
      <c r="W356" s="3">
        <f>IF(ISERROR(VLOOKUP($A356,'NonXtal_SegEnds_BW#'!$A:$Z,16,FALSE)+VLOOKUP($A356,A:AL,22,FALSE)-50),"-",(VLOOKUP($A356,'NonXtal_SegEnds_BW#'!$A:$Z,16,FALSE)+VLOOKUP($A356,A:AL,22,FALSE)-50))</f>
        <v>158</v>
      </c>
      <c r="X356" s="3" t="str">
        <f>IF(ISERROR(VLOOKUP($A356,'NonXtal_SegEnds_BW#'!$A:$Z,17,FALSE)+VLOOKUP($A356,A:AL,25,FALSE)-50),"-",(VLOOKUP($A356,'NonXtal_SegEnds_BW#'!$A:$Z,17,FALSE)+VLOOKUP($A356,A:AL,25,FALSE)-50))</f>
        <v>-</v>
      </c>
      <c r="Y356" s="3" t="s">
        <v>129</v>
      </c>
      <c r="Z356" s="3" t="str">
        <f>IF(ISERROR(VLOOKUP($A356,'NonXtal_SegEnds_BW#'!$A:$Z,18,FALSE)+VLOOKUP($A356,A:AL,25,FALSE)-50),"-",(VLOOKUP($A356,'NonXtal_SegEnds_BW#'!$A:$Z,18,FALSE)+VLOOKUP($A356,A:AL,25,FALSE)-50))</f>
        <v>-</v>
      </c>
      <c r="AA356" s="3">
        <f>IF(ISERROR(VLOOKUP($A356,'NonXtal_SegEnds_BW#'!$A:$Z,19,FALSE)+VLOOKUP($A356,A:AL,28,FALSE)-50),"-",(VLOOKUP($A356,'NonXtal_SegEnds_BW#'!$A:$Z,19,FALSE)+VLOOKUP($A356,A:AL,28,FALSE)-50))</f>
        <v>177</v>
      </c>
      <c r="AB356" s="3">
        <v>197</v>
      </c>
      <c r="AC356" s="3">
        <f>IF(ISERROR((VLOOKUP($A356,'NonXtal_SegEnds_BW#'!$A:$Z,20,FALSE)+VLOOKUP($A356,A:AL,28,FALSE)-50)),"-",(VLOOKUP($A356,'NonXtal_SegEnds_BW#'!$A:$Z,20,FALSE)+VLOOKUP($A356,A:AL,28,FALSE)-50))</f>
        <v>223</v>
      </c>
      <c r="AD356" s="3">
        <f>IF(ISERROR(VLOOKUP($A356,'NonXtal_SegEnds_BW#'!$A:$Z,21,FALSE)+VLOOKUP($A356,A:AL,31,FALSE)-50),"-",(VLOOKUP($A356,'NonXtal_SegEnds_BW#'!$A:$Z,21,FALSE)+VLOOKUP($A356,A:AL,31,FALSE)-50))</f>
        <v>261</v>
      </c>
      <c r="AE356" s="3">
        <v>287</v>
      </c>
      <c r="AF356" s="3">
        <f>IF(ISERROR((VLOOKUP($A356,'NonXtal_SegEnds_BW#'!$A:$Z,22,FALSE)+VLOOKUP($A356,A:AL,31,FALSE)-50)),"-",(VLOOKUP($A356,'NonXtal_SegEnds_BW#'!$A:$Z,22,FALSE)+VLOOKUP($A356,A:AL,31,FALSE)-50))</f>
        <v>298</v>
      </c>
      <c r="AG356" s="3">
        <f>IF(ISERROR(VLOOKUP($A356,'NonXtal_SegEnds_BW#'!$A:$Z,23,FALSE)+VLOOKUP($A356,A:AL,34,FALSE)-50),"-",(VLOOKUP($A356,'NonXtal_SegEnds_BW#'!$A:$Z,23,FALSE)+VLOOKUP($A356,A:AL,34,FALSE)-50))</f>
        <v>304</v>
      </c>
      <c r="AH356" s="3">
        <v>326</v>
      </c>
      <c r="AI356" s="3">
        <f>IF(ISERROR((VLOOKUP($A356,'NonXtal_SegEnds_BW#'!$A:$Z,24,FALSE)+VLOOKUP($A356,A:AL,34,FALSE)-50)),"-",(VLOOKUP($A356,'NonXtal_SegEnds_BW#'!$A:$Z,24,FALSE)+VLOOKUP($A356,A:AL,34,FALSE)-50))</f>
        <v>332</v>
      </c>
      <c r="AJ356" s="3">
        <f>IF(ISERROR(VLOOKUP($A356,'NonXtal_SegEnds_BW#'!$A:$Z,25,FALSE)+VLOOKUP($A356,A:AL,37,FALSE)-50),"-",(VLOOKUP($A356,'NonXtal_SegEnds_BW#'!$A:$Z,25,FALSE)+VLOOKUP($A356,A:AL,37,FALSE)-50))</f>
        <v>333</v>
      </c>
      <c r="AK356" s="3">
        <v>336</v>
      </c>
      <c r="AL356" s="3">
        <f>IF(ISERROR((VLOOKUP($A356,'NonXtal_SegEnds_BW#'!$A:$Z,26,FALSE)+VLOOKUP($A356,A:AL,37,FALSE)-50)),"-",(VLOOKUP($A356,'NonXtal_SegEnds_BW#'!$A:$Z,26,FALSE)+VLOOKUP($A356,A:AL,37,FALSE)-50))</f>
        <v>343</v>
      </c>
      <c r="AM356" s="71" t="str">
        <f>VLOOKUP(A356,Classification!A:B,2,FALSE)</f>
        <v>A</v>
      </c>
      <c r="AN356" s="71" t="b">
        <f t="shared" si="170"/>
        <v>1</v>
      </c>
      <c r="AO356" s="3" t="str">
        <f t="shared" si="171"/>
        <v>-</v>
      </c>
      <c r="AP356" s="3" t="str">
        <f t="shared" si="172"/>
        <v>-</v>
      </c>
      <c r="AQ356" s="3" t="str">
        <f t="shared" si="173"/>
        <v>-</v>
      </c>
      <c r="AR356" s="3" t="str">
        <f t="shared" si="174"/>
        <v>-</v>
      </c>
      <c r="AS356" s="3">
        <f t="shared" si="175"/>
        <v>1</v>
      </c>
      <c r="AT356" s="3">
        <f t="shared" si="176"/>
        <v>2</v>
      </c>
      <c r="AU356" s="3" t="str">
        <f t="shared" si="177"/>
        <v>-</v>
      </c>
      <c r="AV356" s="3" t="str">
        <f t="shared" si="178"/>
        <v>-</v>
      </c>
      <c r="AW356" s="3">
        <f t="shared" si="179"/>
        <v>38</v>
      </c>
      <c r="AX356" s="3">
        <f t="shared" si="180"/>
        <v>6</v>
      </c>
      <c r="AY356" s="3">
        <f t="shared" si="181"/>
        <v>1</v>
      </c>
      <c r="AZ356" s="3">
        <f>IF(ISERROR(LEN(VLOOKUP(A356,Seqs!A:E,2,FALSE))-AL356),"-",LEN(VLOOKUP(A356,Seqs!A:E,2,FALSE))-AL356)</f>
        <v>145</v>
      </c>
      <c r="BA356" s="35">
        <f t="shared" si="182"/>
        <v>30</v>
      </c>
      <c r="BB356" s="3">
        <f t="shared" si="183"/>
        <v>20</v>
      </c>
      <c r="BC356" s="3">
        <f t="shared" si="184"/>
        <v>30</v>
      </c>
      <c r="BD356" s="3">
        <f t="shared" si="185"/>
        <v>90</v>
      </c>
    </row>
    <row r="357" spans="1:57" s="3" customFormat="1" x14ac:dyDescent="0.2">
      <c r="A357" s="3" t="s">
        <v>677</v>
      </c>
      <c r="B357" s="3" t="str">
        <f>LOWER(VLOOKUP(A357,Xtal_Templ!A:B,2,FALSE))</f>
        <v>p2y12_human</v>
      </c>
      <c r="C357" s="3">
        <v>202</v>
      </c>
      <c r="D357" s="3">
        <v>231</v>
      </c>
      <c r="E357" s="3">
        <f>IF(ISERROR(VLOOKUP($A357,'NonXtal_SegEnds_BW#'!$A:$Z,4,FALSE)+VLOOKUP($A357,A:AL,4,FALSE)-50),"-",(VLOOKUP($A357,'NonXtal_SegEnds_BW#'!$A:$Z,4,FALSE)+VLOOKUP($A357,A:AL,4,FALSE)-50))</f>
        <v>241</v>
      </c>
      <c r="F357" s="3" t="str">
        <f>IF(ISERROR(VLOOKUP($A357,'NonXtal_SegEnds_BW#'!$A:$Z,5,FALSE)+VLOOKUP($A357,A:AL,7,FALSE)-50),"-",(VLOOKUP($A357,'NonXtal_SegEnds_BW#'!$A:$Z,5,FALSE)+VLOOKUP($A357,A:AL,7,FALSE)-50))</f>
        <v>-</v>
      </c>
      <c r="G357" s="3" t="s">
        <v>129</v>
      </c>
      <c r="H357" s="3" t="str">
        <f>IF(ISERROR(VLOOKUP($A357,'NonXtal_SegEnds_BW#'!$A:$Z,6,FALSE)+VLOOKUP($A357,A:AL,7,FALSE)-50),"-",(VLOOKUP($A357,'NonXtal_SegEnds_BW#'!$A:$Z,6,FALSE)+VLOOKUP($A357,A:AL,7,FALSE)-50))</f>
        <v>-</v>
      </c>
      <c r="I357" s="3">
        <f>VLOOKUP($A357,'NonXtal_SegEnds_BW#'!$A:$Z,7,FALSE)+J357-50</f>
        <v>269</v>
      </c>
      <c r="J357" s="3">
        <v>280</v>
      </c>
      <c r="K357" s="3">
        <f>VLOOKUP($A357,'NonXtal_SegEnds_BW#'!$A:$Z,8,FALSE)+VLOOKUP($A357,A:AL,10,FALSE)-50</f>
        <v>293</v>
      </c>
      <c r="L357" s="3" t="str">
        <f>IF(ISERROR(VLOOKUP($A357,'NonXtal_SegEnds_BW#'!$A:$Z,9,FALSE)+VLOOKUP($A357,A:AL,13,FALSE)-50),"-",(VLOOKUP($A357,'NonXtal_SegEnds_BW#'!$A:$Z,9,FALSE)+VLOOKUP($A357,A:AL,13,FALSE)-50))</f>
        <v>-</v>
      </c>
      <c r="M357" s="3" t="s">
        <v>129</v>
      </c>
      <c r="N357" s="3" t="str">
        <f>IF(ISERROR(VLOOKUP($A357,'NonXtal_SegEnds_BW#'!$A:$Z,10,FALSE)+VLOOKUP($A357,A:AL,13,FALSE)-50),"-",(VLOOKUP($A357,'NonXtal_SegEnds_BW#'!$A:$Z,10,FALSE)+VLOOKUP($A357,A:AL,13,FALSE)-50))</f>
        <v>-</v>
      </c>
      <c r="O357" s="3">
        <f>VLOOKUP($A357,'NonXtal_SegEnds_BW#'!$A:$Z,11,FALSE)+VLOOKUP($A357,A:AL,16,FALSE)-50</f>
        <v>327</v>
      </c>
      <c r="P357" s="3">
        <v>354</v>
      </c>
      <c r="Q357" s="3">
        <f>VLOOKUP($A357,'NonXtal_SegEnds_BW#'!$A:$Z,12,FALSE)+VLOOKUP($A357,A:AL,16,FALSE)-50</f>
        <v>360</v>
      </c>
      <c r="R357" s="3" t="str">
        <f>IF(ISERROR(VLOOKUP($A357,'NonXtal_SegEnds_BW#'!$A:$Z,13,FALSE)+VLOOKUP($A357,A:AL,19,FALSE)-50),"-",VLOOKUP($A357,'NonXtal_SegEnds_BW#'!$A:$Z,13,FALSE)+VLOOKUP($A357,A:AL,19,FALSE)-50)</f>
        <v>-</v>
      </c>
      <c r="S357" s="3" t="s">
        <v>129</v>
      </c>
      <c r="T357" s="3" t="str">
        <f>IF(ISERROR(VLOOKUP($A357,'NonXtal_SegEnds_BW#'!$A:$Z,14,FALSE)+VLOOKUP($A357,A:AL,19,FALSE)-50),"-",(VLOOKUP($A357,'NonXtal_SegEnds_BW#'!$A:$Z,14,FALSE)+VLOOKUP($A357,A:AL,19,FALSE)-50))</f>
        <v>-</v>
      </c>
      <c r="U357" s="3">
        <f>IF(ISERROR(VLOOKUP($A357,'NonXtal_SegEnds_BW#'!$A:$Z,15,FALSE)+VLOOKUP($A357,A:AL,22,FALSE)-50),"-",VLOOKUP($A357,'NonXtal_SegEnds_BW#'!$A:$Z,15,FALSE)+VLOOKUP($A357,A:AL,22,FALSE)-50)</f>
        <v>381</v>
      </c>
      <c r="V357" s="3">
        <v>391</v>
      </c>
      <c r="W357" s="3">
        <f>IF(ISERROR(VLOOKUP($A357,'NonXtal_SegEnds_BW#'!$A:$Z,16,FALSE)+VLOOKUP($A357,A:AL,22,FALSE)-50),"-",(VLOOKUP($A357,'NonXtal_SegEnds_BW#'!$A:$Z,16,FALSE)+VLOOKUP($A357,A:AL,22,FALSE)-50))</f>
        <v>405</v>
      </c>
      <c r="X357" s="3" t="str">
        <f>IF(ISERROR(VLOOKUP($A357,'NonXtal_SegEnds_BW#'!$A:$Z,17,FALSE)+VLOOKUP($A357,A:AL,25,FALSE)-50),"-",(VLOOKUP($A357,'NonXtal_SegEnds_BW#'!$A:$Z,17,FALSE)+VLOOKUP($A357,A:AL,25,FALSE)-50))</f>
        <v>-</v>
      </c>
      <c r="Y357" s="3" t="s">
        <v>129</v>
      </c>
      <c r="Z357" s="3" t="str">
        <f>IF(ISERROR(VLOOKUP($A357,'NonXtal_SegEnds_BW#'!$A:$Z,18,FALSE)+VLOOKUP($A357,A:AL,25,FALSE)-50),"-",(VLOOKUP($A357,'NonXtal_SegEnds_BW#'!$A:$Z,18,FALSE)+VLOOKUP($A357,A:AL,25,FALSE)-50))</f>
        <v>-</v>
      </c>
      <c r="AA357" s="3">
        <f>IF(ISERROR(VLOOKUP($A357,'NonXtal_SegEnds_BW#'!$A:$Z,19,FALSE)+VLOOKUP($A357,A:AL,28,FALSE)-50),"-",(VLOOKUP($A357,'NonXtal_SegEnds_BW#'!$A:$Z,19,FALSE)+VLOOKUP($A357,A:AL,28,FALSE)-50))</f>
        <v>461</v>
      </c>
      <c r="AB357" s="3">
        <v>472</v>
      </c>
      <c r="AC357" s="3">
        <f>IF(ISERROR((VLOOKUP($A357,'NonXtal_SegEnds_BW#'!$A:$Z,20,FALSE)+VLOOKUP($A357,A:AL,28,FALSE)-50)),"-",(VLOOKUP($A357,'NonXtal_SegEnds_BW#'!$A:$Z,20,FALSE)+VLOOKUP($A357,A:AL,28,FALSE)-50))</f>
        <v>483</v>
      </c>
      <c r="AD357" s="3">
        <f>IF(ISERROR(VLOOKUP($A357,'NonXtal_SegEnds_BW#'!$A:$Z,21,FALSE)+VLOOKUP($A357,A:AL,31,FALSE)-50),"-",(VLOOKUP($A357,'NonXtal_SegEnds_BW#'!$A:$Z,21,FALSE)+VLOOKUP($A357,A:AL,31,FALSE)-50))</f>
        <v>488</v>
      </c>
      <c r="AE357" s="3">
        <v>509</v>
      </c>
      <c r="AF357" s="3">
        <f>IF(ISERROR((VLOOKUP($A357,'NonXtal_SegEnds_BW#'!$A:$Z,22,FALSE)+VLOOKUP($A357,A:AL,31,FALSE)-50)),"-",(VLOOKUP($A357,'NonXtal_SegEnds_BW#'!$A:$Z,22,FALSE)+VLOOKUP($A357,A:AL,31,FALSE)-50))</f>
        <v>512</v>
      </c>
      <c r="AG357" s="3">
        <f>IF(ISERROR(VLOOKUP($A357,'NonXtal_SegEnds_BW#'!$A:$Z,23,FALSE)+VLOOKUP($A357,A:AL,34,FALSE)-50),"-",(VLOOKUP($A357,'NonXtal_SegEnds_BW#'!$A:$Z,23,FALSE)+VLOOKUP($A357,A:AL,34,FALSE)-50))</f>
        <v>538</v>
      </c>
      <c r="AH357" s="3">
        <v>553</v>
      </c>
      <c r="AI357" s="3">
        <f>IF(ISERROR((VLOOKUP($A357,'NonXtal_SegEnds_BW#'!$A:$Z,24,FALSE)+VLOOKUP($A357,A:AL,34,FALSE)-50)),"-",(VLOOKUP($A357,'NonXtal_SegEnds_BW#'!$A:$Z,24,FALSE)+VLOOKUP($A357,A:AL,34,FALSE)-50))</f>
        <v>559</v>
      </c>
      <c r="AJ357" s="3">
        <f>IF(ISERROR(VLOOKUP($A357,'NonXtal_SegEnds_BW#'!$A:$Z,25,FALSE)+VLOOKUP($A357,A:AL,37,FALSE)-50),"-",(VLOOKUP($A357,'NonXtal_SegEnds_BW#'!$A:$Z,25,FALSE)+VLOOKUP($A357,A:AL,37,FALSE)-50))</f>
        <v>561</v>
      </c>
      <c r="AK357" s="3">
        <v>564</v>
      </c>
      <c r="AL357" s="3">
        <f>IF(ISERROR((VLOOKUP($A357,'NonXtal_SegEnds_BW#'!$A:$Z,26,FALSE)+VLOOKUP($A357,A:AL,37,FALSE)-50)),"-",(VLOOKUP($A357,'NonXtal_SegEnds_BW#'!$A:$Z,26,FALSE)+VLOOKUP($A357,A:AL,37,FALSE)-50))</f>
        <v>571</v>
      </c>
      <c r="AM357" s="71" t="str">
        <f>VLOOKUP(A357,Classification!A:B,2,FALSE)</f>
        <v>O</v>
      </c>
      <c r="AN357" s="71" t="b">
        <f t="shared" si="170"/>
        <v>1</v>
      </c>
      <c r="AO357" s="3" t="str">
        <f t="shared" si="171"/>
        <v>-</v>
      </c>
      <c r="AP357" s="3" t="str">
        <f t="shared" si="172"/>
        <v>-</v>
      </c>
      <c r="AQ357" s="3" t="str">
        <f t="shared" si="173"/>
        <v>-</v>
      </c>
      <c r="AR357" s="3" t="str">
        <f t="shared" si="174"/>
        <v>-</v>
      </c>
      <c r="AS357" s="3" t="str">
        <f t="shared" si="175"/>
        <v>-</v>
      </c>
      <c r="AT357" s="3" t="str">
        <f t="shared" si="176"/>
        <v>-</v>
      </c>
      <c r="AU357" s="3" t="str">
        <f t="shared" si="177"/>
        <v>-</v>
      </c>
      <c r="AV357" s="3" t="str">
        <f t="shared" si="178"/>
        <v>-</v>
      </c>
      <c r="AW357" s="3">
        <f t="shared" si="179"/>
        <v>5</v>
      </c>
      <c r="AX357" s="3">
        <f t="shared" si="180"/>
        <v>26</v>
      </c>
      <c r="AY357" s="3">
        <f t="shared" si="181"/>
        <v>2</v>
      </c>
      <c r="AZ357" s="3">
        <f>IF(ISERROR(LEN(VLOOKUP(A357,Seqs!A:E,2,FALSE))-AL357),"-",LEN(VLOOKUP(A357,Seqs!A:E,2,FALSE))-AL357)</f>
        <v>29</v>
      </c>
      <c r="BA357" s="35">
        <f t="shared" si="182"/>
        <v>49</v>
      </c>
      <c r="BB357" s="3" t="str">
        <f t="shared" si="183"/>
        <v>-</v>
      </c>
      <c r="BC357" s="3">
        <f t="shared" si="184"/>
        <v>49</v>
      </c>
      <c r="BD357" s="3">
        <f t="shared" si="185"/>
        <v>37</v>
      </c>
      <c r="BE357" s="3">
        <f>AH357-AE357</f>
        <v>44</v>
      </c>
    </row>
    <row r="358" spans="1:57" s="3" customFormat="1" x14ac:dyDescent="0.2">
      <c r="A358" s="3" t="s">
        <v>447</v>
      </c>
      <c r="B358" s="3" t="str">
        <f>LOWER(VLOOKUP(A358,Xtal_Templ!A:B,2,FALSE))</f>
        <v>p2y12_human</v>
      </c>
      <c r="C358" s="3">
        <f>VLOOKUP($A358,'NonXtal_SegEnds_BW#'!$A:$Z,3,FALSE)+D358-50</f>
        <v>50</v>
      </c>
      <c r="D358" s="3">
        <v>72</v>
      </c>
      <c r="E358" s="3">
        <f>IF(ISERROR(VLOOKUP($A358,'NonXtal_SegEnds_BW#'!$A:$Z,4,FALSE)+VLOOKUP($A358,A:AL,4,FALSE)-50),"-",(VLOOKUP($A358,'NonXtal_SegEnds_BW#'!$A:$Z,4,FALSE)+VLOOKUP($A358,A:AL,4,FALSE)-50))</f>
        <v>82</v>
      </c>
      <c r="F358" s="3" t="str">
        <f>IF(ISERROR(VLOOKUP($A358,'NonXtal_SegEnds_BW#'!$A:$Z,5,FALSE)+VLOOKUP($A358,A:AL,7,FALSE)-50),"-",(VLOOKUP($A358,'NonXtal_SegEnds_BW#'!$A:$Z,5,FALSE)+VLOOKUP($A358,A:AL,7,FALSE)-50))</f>
        <v>-</v>
      </c>
      <c r="G358" s="3" t="s">
        <v>129</v>
      </c>
      <c r="H358" s="3" t="str">
        <f>IF(ISERROR(VLOOKUP($A358,'NonXtal_SegEnds_BW#'!$A:$Z,6,FALSE)+VLOOKUP($A358,A:AL,7,FALSE)-50),"-",(VLOOKUP($A358,'NonXtal_SegEnds_BW#'!$A:$Z,6,FALSE)+VLOOKUP($A358,A:AL,7,FALSE)-50))</f>
        <v>-</v>
      </c>
      <c r="I358" s="3">
        <f>VLOOKUP($A358,'NonXtal_SegEnds_BW#'!$A:$Z,7,FALSE)+J358-50</f>
        <v>87</v>
      </c>
      <c r="J358" s="3">
        <v>100</v>
      </c>
      <c r="K358" s="3">
        <f>VLOOKUP($A358,'NonXtal_SegEnds_BW#'!$A:$Z,8,FALSE)+VLOOKUP($A358,A:AL,10,FALSE)-50</f>
        <v>116</v>
      </c>
      <c r="L358" s="3">
        <f>M358-1</f>
        <v>119</v>
      </c>
      <c r="M358" s="3">
        <v>120</v>
      </c>
      <c r="N358" s="3">
        <f>M358+2</f>
        <v>122</v>
      </c>
      <c r="O358" s="3">
        <f>N358+1</f>
        <v>123</v>
      </c>
      <c r="P358" s="3">
        <v>152</v>
      </c>
      <c r="Q358" s="3">
        <f>VLOOKUP($A358,'NonXtal_SegEnds_BW#'!$A:$Z,12,FALSE)+VLOOKUP($A358,A:AL,16,FALSE)-50</f>
        <v>158</v>
      </c>
      <c r="R358" s="3">
        <f>IF(ISERROR(VLOOKUP($A358,'NonXtal_SegEnds_BW#'!$A:$Z,13,FALSE)+VLOOKUP($A358,A:AL,19,FALSE)-50),"-",VLOOKUP($A358,'NonXtal_SegEnds_BW#'!$A:$Z,13,FALSE)+VLOOKUP($A358,A:AL,19,FALSE)-50)</f>
        <v>159</v>
      </c>
      <c r="S358" s="3">
        <v>159</v>
      </c>
      <c r="T358" s="3">
        <f>IF(ISERROR(VLOOKUP($A358,'NonXtal_SegEnds_BW#'!$A:$Z,14,FALSE)+VLOOKUP($A358,A:AL,19,FALSE)-50),"-",(VLOOKUP($A358,'NonXtal_SegEnds_BW#'!$A:$Z,14,FALSE)+VLOOKUP($A358,A:AL,19,FALSE)-50))</f>
        <v>166</v>
      </c>
      <c r="U358" s="3">
        <f>IF(ISERROR(VLOOKUP($A358,'NonXtal_SegEnds_BW#'!$A:$Z,15,FALSE)+VLOOKUP($A358,A:AL,22,FALSE)-50),"-",VLOOKUP($A358,'NonXtal_SegEnds_BW#'!$A:$Z,15,FALSE)+VLOOKUP($A358,A:AL,22,FALSE)-50)</f>
        <v>168</v>
      </c>
      <c r="V358" s="3">
        <v>179</v>
      </c>
      <c r="W358" s="3">
        <f>IF(ISERROR(VLOOKUP($A358,'NonXtal_SegEnds_BW#'!$A:$Z,16,FALSE)+VLOOKUP($A358,A:AL,22,FALSE)-50),"-",(VLOOKUP($A358,'NonXtal_SegEnds_BW#'!$A:$Z,16,FALSE)+VLOOKUP($A358,A:AL,22,FALSE)-50))</f>
        <v>193</v>
      </c>
      <c r="X358" s="3">
        <f>IF(ISERROR(VLOOKUP($A358,'NonXtal_SegEnds_BW#'!$A:$Z,17,FALSE)+VLOOKUP($A358,A:AL,25,FALSE)-50),"-",(VLOOKUP($A358,'NonXtal_SegEnds_BW#'!$A:$Z,17,FALSE)+VLOOKUP($A358,A:AL,25,FALSE)-50))</f>
        <v>204</v>
      </c>
      <c r="Y358" s="3">
        <v>204</v>
      </c>
      <c r="Z358" s="3">
        <f t="shared" ref="Z358:Z366" si="190">Y358+2</f>
        <v>206</v>
      </c>
      <c r="AA358" s="3">
        <f>IF(ISERROR(VLOOKUP($A358,'NonXtal_SegEnds_BW#'!$A:$Z,19,FALSE)+VLOOKUP($A358,A:AL,28,FALSE)-50),"-",(VLOOKUP($A358,'NonXtal_SegEnds_BW#'!$A:$Z,19,FALSE)+VLOOKUP($A358,A:AL,28,FALSE)-50))</f>
        <v>210</v>
      </c>
      <c r="AB358" s="3">
        <v>230</v>
      </c>
      <c r="AC358" s="3">
        <f>IF(ISERROR((VLOOKUP($A358,'NonXtal_SegEnds_BW#'!$A:$Z,20,FALSE)+VLOOKUP($A358,A:AL,28,FALSE)-50)),"-",(VLOOKUP($A358,'NonXtal_SegEnds_BW#'!$A:$Z,20,FALSE)+VLOOKUP($A358,A:AL,28,FALSE)-50))</f>
        <v>248</v>
      </c>
      <c r="AD358" s="3">
        <f>IF(ISERROR(VLOOKUP($A358,'NonXtal_SegEnds_BW#'!$A:$Z,21,FALSE)+VLOOKUP($A358,A:AL,31,FALSE)-50),"-",(VLOOKUP($A358,'NonXtal_SegEnds_BW#'!$A:$Z,21,FALSE)+VLOOKUP($A358,A:AL,31,FALSE)-50))</f>
        <v>254</v>
      </c>
      <c r="AE358" s="3">
        <v>281</v>
      </c>
      <c r="AF358" s="3">
        <f>IF(ISERROR((VLOOKUP($A358,'NonXtal_SegEnds_BW#'!$A:$Z,22,FALSE)+VLOOKUP($A358,A:AL,31,FALSE)-50)),"-",(VLOOKUP($A358,'NonXtal_SegEnds_BW#'!$A:$Z,22,FALSE)+VLOOKUP($A358,A:AL,31,FALSE)-50))</f>
        <v>292</v>
      </c>
      <c r="AG358" s="3">
        <f>IF(ISERROR(VLOOKUP($A358,'NonXtal_SegEnds_BW#'!$A:$Z,23,FALSE)+VLOOKUP($A358,A:AL,34,FALSE)-50),"-",(VLOOKUP($A358,'NonXtal_SegEnds_BW#'!$A:$Z,23,FALSE)+VLOOKUP($A358,A:AL,34,FALSE)-50))</f>
        <v>298</v>
      </c>
      <c r="AH358" s="3">
        <v>324</v>
      </c>
      <c r="AI358" s="3">
        <f>IF(ISERROR((VLOOKUP($A358,'NonXtal_SegEnds_BW#'!$A:$Z,24,FALSE)+VLOOKUP($A358,A:AL,34,FALSE)-50)),"-",(VLOOKUP($A358,'NonXtal_SegEnds_BW#'!$A:$Z,24,FALSE)+VLOOKUP($A358,A:AL,34,FALSE)-50))</f>
        <v>330</v>
      </c>
      <c r="AJ358" s="3">
        <f>IF(ISERROR(VLOOKUP($A358,'NonXtal_SegEnds_BW#'!$A:$Z,25,FALSE)+VLOOKUP($A358,A:AL,37,FALSE)-50),"-",(VLOOKUP($A358,'NonXtal_SegEnds_BW#'!$A:$Z,25,FALSE)+VLOOKUP($A358,A:AL,37,FALSE)-50))</f>
        <v>331</v>
      </c>
      <c r="AK358" s="3">
        <v>334</v>
      </c>
      <c r="AL358" s="3">
        <f>IF(ISERROR((VLOOKUP($A358,'NonXtal_SegEnds_BW#'!$A:$Z,26,FALSE)+VLOOKUP($A358,A:AL,37,FALSE)-50)),"-",(VLOOKUP($A358,'NonXtal_SegEnds_BW#'!$A:$Z,26,FALSE)+VLOOKUP($A358,A:AL,37,FALSE)-50))</f>
        <v>341</v>
      </c>
      <c r="AM358" s="71" t="str">
        <f>VLOOKUP(A358,Classification!A:B,2,FALSE)</f>
        <v>A</v>
      </c>
      <c r="AN358" s="71" t="b">
        <f t="shared" si="170"/>
        <v>1</v>
      </c>
      <c r="AO358" s="3" t="str">
        <f t="shared" si="171"/>
        <v>-</v>
      </c>
      <c r="AP358" s="3" t="str">
        <f t="shared" si="172"/>
        <v>-</v>
      </c>
      <c r="AQ358" s="3">
        <f t="shared" si="173"/>
        <v>3</v>
      </c>
      <c r="AR358" s="3">
        <f t="shared" si="174"/>
        <v>1</v>
      </c>
      <c r="AS358" s="3">
        <f t="shared" si="175"/>
        <v>1</v>
      </c>
      <c r="AT358" s="3">
        <f t="shared" si="176"/>
        <v>2</v>
      </c>
      <c r="AU358" s="3">
        <f t="shared" si="177"/>
        <v>11</v>
      </c>
      <c r="AV358" s="3">
        <f t="shared" si="178"/>
        <v>4</v>
      </c>
      <c r="AW358" s="3">
        <f t="shared" si="179"/>
        <v>6</v>
      </c>
      <c r="AX358" s="3">
        <f t="shared" si="180"/>
        <v>6</v>
      </c>
      <c r="AY358" s="3">
        <f t="shared" si="181"/>
        <v>1</v>
      </c>
      <c r="AZ358" s="3">
        <f>IF(ISERROR(LEN(VLOOKUP(A358,Seqs!A:E,2,FALSE))-AL358),"-",LEN(VLOOKUP(A358,Seqs!A:E,2,FALSE))-AL358)</f>
        <v>40</v>
      </c>
      <c r="BA358" s="35">
        <f t="shared" si="182"/>
        <v>28</v>
      </c>
      <c r="BB358" s="3">
        <f t="shared" si="183"/>
        <v>20</v>
      </c>
      <c r="BC358" s="3">
        <f t="shared" si="184"/>
        <v>28</v>
      </c>
      <c r="BD358" s="3">
        <f t="shared" si="185"/>
        <v>51</v>
      </c>
    </row>
    <row r="359" spans="1:57" s="3" customFormat="1" x14ac:dyDescent="0.2">
      <c r="A359" s="3" t="s">
        <v>547</v>
      </c>
      <c r="B359" s="3" t="str">
        <f>LOWER(VLOOKUP(A359,Xtal_Templ!A:B,2,FALSE))</f>
        <v>p2y12_human</v>
      </c>
      <c r="C359" s="3">
        <f>VLOOKUP($A359,'NonXtal_SegEnds_BW#'!$A:$Z,3,FALSE)+D359-50</f>
        <v>40</v>
      </c>
      <c r="D359" s="3">
        <v>62</v>
      </c>
      <c r="E359" s="3">
        <f>IF(ISERROR(VLOOKUP($A359,'NonXtal_SegEnds_BW#'!$A:$Z,4,FALSE)+VLOOKUP($A359,A:AL,4,FALSE)-50),"-",(VLOOKUP($A359,'NonXtal_SegEnds_BW#'!$A:$Z,4,FALSE)+VLOOKUP($A359,A:AL,4,FALSE)-50))</f>
        <v>72</v>
      </c>
      <c r="F359" s="3" t="str">
        <f>IF(ISERROR(VLOOKUP($A359,'NonXtal_SegEnds_BW#'!$A:$Z,5,FALSE)+VLOOKUP($A359,A:AL,7,FALSE)-50),"-",(VLOOKUP($A359,'NonXtal_SegEnds_BW#'!$A:$Z,5,FALSE)+VLOOKUP($A359,A:AL,7,FALSE)-50))</f>
        <v>-</v>
      </c>
      <c r="G359" s="3" t="s">
        <v>129</v>
      </c>
      <c r="H359" s="3" t="str">
        <f>IF(ISERROR(VLOOKUP($A359,'NonXtal_SegEnds_BW#'!$A:$Z,6,FALSE)+VLOOKUP($A359,A:AL,7,FALSE)-50),"-",(VLOOKUP($A359,'NonXtal_SegEnds_BW#'!$A:$Z,6,FALSE)+VLOOKUP($A359,A:AL,7,FALSE)-50))</f>
        <v>-</v>
      </c>
      <c r="I359" s="3">
        <f>VLOOKUP($A359,'NonXtal_SegEnds_BW#'!$A:$Z,7,FALSE)+J359-50</f>
        <v>76</v>
      </c>
      <c r="J359" s="3">
        <v>89</v>
      </c>
      <c r="K359" s="3">
        <f>VLOOKUP($A359,'NonXtal_SegEnds_BW#'!$A:$Z,8,FALSE)+VLOOKUP($A359,A:AL,10,FALSE)-50</f>
        <v>105</v>
      </c>
      <c r="L359" s="3" t="s">
        <v>129</v>
      </c>
      <c r="M359" s="3" t="s">
        <v>129</v>
      </c>
      <c r="N359" s="3" t="s">
        <v>129</v>
      </c>
      <c r="O359" s="3">
        <f>VLOOKUP($A359,'NonXtal_SegEnds_BW#'!$A:$Z,11,FALSE)+VLOOKUP($A359,A:AL,16,FALSE)-50</f>
        <v>109</v>
      </c>
      <c r="P359" s="3">
        <v>141</v>
      </c>
      <c r="Q359" s="3">
        <f>VLOOKUP($A359,'NonXtal_SegEnds_BW#'!$A:$Z,12,FALSE)+VLOOKUP($A359,A:AL,16,FALSE)-50</f>
        <v>147</v>
      </c>
      <c r="R359" s="3">
        <f>IF(ISERROR(VLOOKUP($A359,'NonXtal_SegEnds_BW#'!$A:$Z,13,FALSE)+VLOOKUP($A359,A:AL,19,FALSE)-50),"-",VLOOKUP($A359,'NonXtal_SegEnds_BW#'!$A:$Z,13,FALSE)+VLOOKUP($A359,A:AL,19,FALSE)-50)</f>
        <v>148</v>
      </c>
      <c r="S359" s="3">
        <v>148</v>
      </c>
      <c r="T359" s="3">
        <f>IF(ISERROR(VLOOKUP($A359,'NonXtal_SegEnds_BW#'!$A:$Z,14,FALSE)+VLOOKUP($A359,A:AL,19,FALSE)-50),"-",(VLOOKUP($A359,'NonXtal_SegEnds_BW#'!$A:$Z,14,FALSE)+VLOOKUP($A359,A:AL,19,FALSE)-50))</f>
        <v>155</v>
      </c>
      <c r="U359" s="3">
        <f>IF(ISERROR(VLOOKUP($A359,'NonXtal_SegEnds_BW#'!$A:$Z,15,FALSE)+VLOOKUP($A359,A:AL,22,FALSE)-50),"-",VLOOKUP($A359,'NonXtal_SegEnds_BW#'!$A:$Z,15,FALSE)+VLOOKUP($A359,A:AL,22,FALSE)-50)</f>
        <v>157</v>
      </c>
      <c r="V359" s="3">
        <v>168</v>
      </c>
      <c r="W359" s="3">
        <f>IF(ISERROR(VLOOKUP($A359,'NonXtal_SegEnds_BW#'!$A:$Z,16,FALSE)+VLOOKUP($A359,A:AL,22,FALSE)-50),"-",(VLOOKUP($A359,'NonXtal_SegEnds_BW#'!$A:$Z,16,FALSE)+VLOOKUP($A359,A:AL,22,FALSE)-50))</f>
        <v>182</v>
      </c>
      <c r="X359" s="3">
        <f>IF(ISERROR(VLOOKUP($A359,'NonXtal_SegEnds_BW#'!$A:$Z,17,FALSE)+VLOOKUP($A359,A:AL,25,FALSE)-50),"-",(VLOOKUP($A359,'NonXtal_SegEnds_BW#'!$A:$Z,17,FALSE)+VLOOKUP($A359,A:AL,25,FALSE)-50))</f>
        <v>194</v>
      </c>
      <c r="Y359" s="3">
        <v>194</v>
      </c>
      <c r="Z359" s="3">
        <f t="shared" si="190"/>
        <v>196</v>
      </c>
      <c r="AA359" s="3">
        <f>IF(ISERROR(VLOOKUP($A359,'NonXtal_SegEnds_BW#'!$A:$Z,19,FALSE)+VLOOKUP($A359,A:AL,28,FALSE)-50),"-",(VLOOKUP($A359,'NonXtal_SegEnds_BW#'!$A:$Z,19,FALSE)+VLOOKUP($A359,A:AL,28,FALSE)-50))</f>
        <v>200</v>
      </c>
      <c r="AB359" s="3">
        <v>220</v>
      </c>
      <c r="AC359" s="3">
        <f>IF(ISERROR((VLOOKUP($A359,'NonXtal_SegEnds_BW#'!$A:$Z,20,FALSE)+VLOOKUP($A359,A:AL,28,FALSE)-50)),"-",(VLOOKUP($A359,'NonXtal_SegEnds_BW#'!$A:$Z,20,FALSE)+VLOOKUP($A359,A:AL,28,FALSE)-50))</f>
        <v>242</v>
      </c>
      <c r="AD359" s="3">
        <f>IF(ISERROR(VLOOKUP($A359,'NonXtal_SegEnds_BW#'!$A:$Z,21,FALSE)+VLOOKUP($A359,A:AL,31,FALSE)-50),"-",(VLOOKUP($A359,'NonXtal_SegEnds_BW#'!$A:$Z,21,FALSE)+VLOOKUP($A359,A:AL,31,FALSE)-50))</f>
        <v>249</v>
      </c>
      <c r="AE359" s="3">
        <v>270</v>
      </c>
      <c r="AF359" s="3">
        <f>IF(ISERROR((VLOOKUP($A359,'NonXtal_SegEnds_BW#'!$A:$Z,22,FALSE)+VLOOKUP($A359,A:AL,31,FALSE)-50)),"-",(VLOOKUP($A359,'NonXtal_SegEnds_BW#'!$A:$Z,22,FALSE)+VLOOKUP($A359,A:AL,31,FALSE)-50))</f>
        <v>284</v>
      </c>
      <c r="AG359" s="3">
        <f>IF(ISERROR(VLOOKUP($A359,'NonXtal_SegEnds_BW#'!$A:$Z,23,FALSE)+VLOOKUP($A359,A:AL,34,FALSE)-50),"-",(VLOOKUP($A359,'NonXtal_SegEnds_BW#'!$A:$Z,23,FALSE)+VLOOKUP($A359,A:AL,34,FALSE)-50))</f>
        <v>288</v>
      </c>
      <c r="AH359" s="3">
        <v>314</v>
      </c>
      <c r="AI359" s="3">
        <f>IF(ISERROR((VLOOKUP($A359,'NonXtal_SegEnds_BW#'!$A:$Z,24,FALSE)+VLOOKUP($A359,A:AL,34,FALSE)-50)),"-",(VLOOKUP($A359,'NonXtal_SegEnds_BW#'!$A:$Z,24,FALSE)+VLOOKUP($A359,A:AL,34,FALSE)-50))</f>
        <v>320</v>
      </c>
      <c r="AJ359" s="3">
        <f>IF(ISERROR(VLOOKUP($A359,'NonXtal_SegEnds_BW#'!$A:$Z,25,FALSE)+VLOOKUP($A359,A:AL,37,FALSE)-50),"-",(VLOOKUP($A359,'NonXtal_SegEnds_BW#'!$A:$Z,25,FALSE)+VLOOKUP($A359,A:AL,37,FALSE)-50))</f>
        <v>321</v>
      </c>
      <c r="AK359" s="3">
        <v>324</v>
      </c>
      <c r="AL359" s="3">
        <f>IF(ISERROR((VLOOKUP($A359,'NonXtal_SegEnds_BW#'!$A:$Z,26,FALSE)+VLOOKUP($A359,A:AL,37,FALSE)-50)),"-",(VLOOKUP($A359,'NonXtal_SegEnds_BW#'!$A:$Z,26,FALSE)+VLOOKUP($A359,A:AL,37,FALSE)-50))</f>
        <v>331</v>
      </c>
      <c r="AM359" s="71" t="str">
        <f>VLOOKUP(A359,Classification!A:B,2,FALSE)</f>
        <v>A</v>
      </c>
      <c r="AN359" s="71" t="b">
        <f t="shared" si="170"/>
        <v>1</v>
      </c>
      <c r="AO359" s="3" t="str">
        <f t="shared" si="171"/>
        <v>-</v>
      </c>
      <c r="AP359" s="3" t="str">
        <f t="shared" si="172"/>
        <v>-</v>
      </c>
      <c r="AQ359" s="3" t="str">
        <f t="shared" si="173"/>
        <v>-</v>
      </c>
      <c r="AR359" s="3" t="str">
        <f t="shared" si="174"/>
        <v>-</v>
      </c>
      <c r="AS359" s="3">
        <f t="shared" si="175"/>
        <v>1</v>
      </c>
      <c r="AT359" s="3">
        <f t="shared" si="176"/>
        <v>2</v>
      </c>
      <c r="AU359" s="3">
        <f t="shared" si="177"/>
        <v>12</v>
      </c>
      <c r="AV359" s="3">
        <f t="shared" si="178"/>
        <v>4</v>
      </c>
      <c r="AW359" s="3">
        <f t="shared" si="179"/>
        <v>7</v>
      </c>
      <c r="AX359" s="3">
        <f t="shared" si="180"/>
        <v>4</v>
      </c>
      <c r="AY359" s="3">
        <f t="shared" si="181"/>
        <v>1</v>
      </c>
      <c r="AZ359" s="3">
        <f>IF(ISERROR(LEN(VLOOKUP(A359,Seqs!A:E,2,FALSE))-AL359),"-",LEN(VLOOKUP(A359,Seqs!A:E,2,FALSE))-AL359)</f>
        <v>23</v>
      </c>
      <c r="BA359" s="35">
        <f t="shared" si="182"/>
        <v>27</v>
      </c>
      <c r="BB359" s="3">
        <f t="shared" si="183"/>
        <v>20</v>
      </c>
      <c r="BC359" s="3">
        <f t="shared" si="184"/>
        <v>27</v>
      </c>
      <c r="BD359" s="3">
        <f t="shared" si="185"/>
        <v>50</v>
      </c>
      <c r="BE359" s="3">
        <f>AH359-AE359</f>
        <v>44</v>
      </c>
    </row>
    <row r="360" spans="1:57" s="3" customFormat="1" x14ac:dyDescent="0.2">
      <c r="A360" s="3" t="s">
        <v>466</v>
      </c>
      <c r="B360" s="3" t="str">
        <f>LOWER(VLOOKUP(A360,Xtal_Templ!A:B,2,FALSE))</f>
        <v>p2y12_human</v>
      </c>
      <c r="C360" s="3">
        <f>VLOOKUP($A360,'NonXtal_SegEnds_BW#'!$A:$Z,3,FALSE)+D360-50</f>
        <v>38</v>
      </c>
      <c r="D360" s="3">
        <v>60</v>
      </c>
      <c r="E360" s="3">
        <f>IF(ISERROR(VLOOKUP($A360,'NonXtal_SegEnds_BW#'!$A:$Z,4,FALSE)+VLOOKUP($A360,A:AL,4,FALSE)-50),"-",(VLOOKUP($A360,'NonXtal_SegEnds_BW#'!$A:$Z,4,FALSE)+VLOOKUP($A360,A:AL,4,FALSE)-50))</f>
        <v>70</v>
      </c>
      <c r="F360" s="3" t="str">
        <f>IF(ISERROR(VLOOKUP($A360,'NonXtal_SegEnds_BW#'!$A:$Z,5,FALSE)+VLOOKUP($A360,A:AL,7,FALSE)-50),"-",(VLOOKUP($A360,'NonXtal_SegEnds_BW#'!$A:$Z,5,FALSE)+VLOOKUP($A360,A:AL,7,FALSE)-50))</f>
        <v>-</v>
      </c>
      <c r="G360" s="3" t="s">
        <v>129</v>
      </c>
      <c r="H360" s="3" t="str">
        <f>IF(ISERROR(VLOOKUP($A360,'NonXtal_SegEnds_BW#'!$A:$Z,6,FALSE)+VLOOKUP($A360,A:AL,7,FALSE)-50),"-",(VLOOKUP($A360,'NonXtal_SegEnds_BW#'!$A:$Z,6,FALSE)+VLOOKUP($A360,A:AL,7,FALSE)-50))</f>
        <v>-</v>
      </c>
      <c r="I360" s="3">
        <f>VLOOKUP($A360,'NonXtal_SegEnds_BW#'!$A:$Z,7,FALSE)+J360-50</f>
        <v>74</v>
      </c>
      <c r="J360" s="3">
        <v>87</v>
      </c>
      <c r="K360" s="3">
        <f>VLOOKUP($A360,'NonXtal_SegEnds_BW#'!$A:$Z,8,FALSE)+VLOOKUP($A360,A:AL,10,FALSE)-50</f>
        <v>103</v>
      </c>
      <c r="L360" s="3">
        <f>M360-1</f>
        <v>106</v>
      </c>
      <c r="M360" s="3">
        <v>107</v>
      </c>
      <c r="N360" s="3">
        <f>M360+2</f>
        <v>109</v>
      </c>
      <c r="O360" s="3">
        <f>N360+1</f>
        <v>110</v>
      </c>
      <c r="P360" s="3">
        <v>139</v>
      </c>
      <c r="Q360" s="3">
        <f>VLOOKUP($A360,'NonXtal_SegEnds_BW#'!$A:$Z,12,FALSE)+VLOOKUP($A360,A:AL,16,FALSE)-50</f>
        <v>145</v>
      </c>
      <c r="R360" s="3">
        <f>IF(ISERROR(VLOOKUP($A360,'NonXtal_SegEnds_BW#'!$A:$Z,13,FALSE)+VLOOKUP($A360,A:AL,19,FALSE)-50),"-",VLOOKUP($A360,'NonXtal_SegEnds_BW#'!$A:$Z,13,FALSE)+VLOOKUP($A360,A:AL,19,FALSE)-50)</f>
        <v>146</v>
      </c>
      <c r="S360" s="3">
        <v>146</v>
      </c>
      <c r="T360" s="3">
        <f>IF(ISERROR(VLOOKUP($A360,'NonXtal_SegEnds_BW#'!$A:$Z,14,FALSE)+VLOOKUP($A360,A:AL,19,FALSE)-50),"-",(VLOOKUP($A360,'NonXtal_SegEnds_BW#'!$A:$Z,14,FALSE)+VLOOKUP($A360,A:AL,19,FALSE)-50))</f>
        <v>153</v>
      </c>
      <c r="U360" s="3">
        <f>IF(ISERROR(VLOOKUP($A360,'NonXtal_SegEnds_BW#'!$A:$Z,15,FALSE)+VLOOKUP($A360,A:AL,22,FALSE)-50),"-",VLOOKUP($A360,'NonXtal_SegEnds_BW#'!$A:$Z,15,FALSE)+VLOOKUP($A360,A:AL,22,FALSE)-50)</f>
        <v>155</v>
      </c>
      <c r="V360" s="3">
        <v>166</v>
      </c>
      <c r="W360" s="3">
        <f>IF(ISERROR(VLOOKUP($A360,'NonXtal_SegEnds_BW#'!$A:$Z,16,FALSE)+VLOOKUP($A360,A:AL,22,FALSE)-50),"-",(VLOOKUP($A360,'NonXtal_SegEnds_BW#'!$A:$Z,16,FALSE)+VLOOKUP($A360,A:AL,22,FALSE)-50))</f>
        <v>180</v>
      </c>
      <c r="X360" s="3">
        <f>IF(ISERROR(VLOOKUP($A360,'NonXtal_SegEnds_BW#'!$A:$Z,17,FALSE)+VLOOKUP($A360,A:AL,25,FALSE)-50),"-",(VLOOKUP($A360,'NonXtal_SegEnds_BW#'!$A:$Z,17,FALSE)+VLOOKUP($A360,A:AL,25,FALSE)-50))</f>
        <v>192</v>
      </c>
      <c r="Y360" s="3">
        <v>192</v>
      </c>
      <c r="Z360" s="3">
        <f t="shared" si="190"/>
        <v>194</v>
      </c>
      <c r="AA360" s="3">
        <f>IF(ISERROR(VLOOKUP($A360,'NonXtal_SegEnds_BW#'!$A:$Z,19,FALSE)+VLOOKUP($A360,A:AL,28,FALSE)-50),"-",(VLOOKUP($A360,'NonXtal_SegEnds_BW#'!$A:$Z,19,FALSE)+VLOOKUP($A360,A:AL,28,FALSE)-50))</f>
        <v>198</v>
      </c>
      <c r="AB360" s="3">
        <v>218</v>
      </c>
      <c r="AC360" s="3">
        <f>IF(ISERROR((VLOOKUP($A360,'NonXtal_SegEnds_BW#'!$A:$Z,20,FALSE)+VLOOKUP($A360,A:AL,28,FALSE)-50)),"-",(VLOOKUP($A360,'NonXtal_SegEnds_BW#'!$A:$Z,20,FALSE)+VLOOKUP($A360,A:AL,28,FALSE)-50))</f>
        <v>236</v>
      </c>
      <c r="AD360" s="3">
        <f>IF(ISERROR(VLOOKUP($A360,'NonXtal_SegEnds_BW#'!$A:$Z,21,FALSE)+VLOOKUP($A360,A:AL,31,FALSE)-50),"-",(VLOOKUP($A360,'NonXtal_SegEnds_BW#'!$A:$Z,21,FALSE)+VLOOKUP($A360,A:AL,31,FALSE)-50))</f>
        <v>245</v>
      </c>
      <c r="AE360" s="3">
        <v>267</v>
      </c>
      <c r="AF360" s="3">
        <f>IF(ISERROR((VLOOKUP($A360,'NonXtal_SegEnds_BW#'!$A:$Z,22,FALSE)+VLOOKUP($A360,A:AL,31,FALSE)-50)),"-",(VLOOKUP($A360,'NonXtal_SegEnds_BW#'!$A:$Z,22,FALSE)+VLOOKUP($A360,A:AL,31,FALSE)-50))</f>
        <v>281</v>
      </c>
      <c r="AG360" s="3">
        <f>IF(ISERROR(VLOOKUP($A360,'NonXtal_SegEnds_BW#'!$A:$Z,23,FALSE)+VLOOKUP($A360,A:AL,34,FALSE)-50),"-",(VLOOKUP($A360,'NonXtal_SegEnds_BW#'!$A:$Z,23,FALSE)+VLOOKUP($A360,A:AL,34,FALSE)-50))</f>
        <v>285</v>
      </c>
      <c r="AH360" s="3">
        <v>311</v>
      </c>
      <c r="AI360" s="3">
        <f>IF(ISERROR((VLOOKUP($A360,'NonXtal_SegEnds_BW#'!$A:$Z,24,FALSE)+VLOOKUP($A360,A:AL,34,FALSE)-50)),"-",(VLOOKUP($A360,'NonXtal_SegEnds_BW#'!$A:$Z,24,FALSE)+VLOOKUP($A360,A:AL,34,FALSE)-50))</f>
        <v>317</v>
      </c>
      <c r="AJ360" s="3">
        <f>IF(ISERROR(VLOOKUP($A360,'NonXtal_SegEnds_BW#'!$A:$Z,25,FALSE)+VLOOKUP($A360,A:AL,37,FALSE)-50),"-",(VLOOKUP($A360,'NonXtal_SegEnds_BW#'!$A:$Z,25,FALSE)+VLOOKUP($A360,A:AL,37,FALSE)-50))</f>
        <v>318</v>
      </c>
      <c r="AK360" s="3">
        <v>321</v>
      </c>
      <c r="AL360" s="3">
        <f>IF(ISERROR((VLOOKUP($A360,'NonXtal_SegEnds_BW#'!$A:$Z,26,FALSE)+VLOOKUP($A360,A:AL,37,FALSE)-50)),"-",(VLOOKUP($A360,'NonXtal_SegEnds_BW#'!$A:$Z,26,FALSE)+VLOOKUP($A360,A:AL,37,FALSE)-50))</f>
        <v>328</v>
      </c>
      <c r="AM360" s="71" t="str">
        <f>VLOOKUP(A360,Classification!A:B,2,FALSE)</f>
        <v>A</v>
      </c>
      <c r="AN360" s="71" t="b">
        <f t="shared" si="170"/>
        <v>1</v>
      </c>
      <c r="AO360" s="3" t="str">
        <f t="shared" si="171"/>
        <v>-</v>
      </c>
      <c r="AP360" s="3" t="str">
        <f t="shared" si="172"/>
        <v>-</v>
      </c>
      <c r="AQ360" s="3">
        <f t="shared" si="173"/>
        <v>3</v>
      </c>
      <c r="AR360" s="3">
        <f t="shared" si="174"/>
        <v>1</v>
      </c>
      <c r="AS360" s="3">
        <f t="shared" si="175"/>
        <v>1</v>
      </c>
      <c r="AT360" s="3">
        <f t="shared" si="176"/>
        <v>2</v>
      </c>
      <c r="AU360" s="3">
        <f t="shared" si="177"/>
        <v>12</v>
      </c>
      <c r="AV360" s="3">
        <f t="shared" si="178"/>
        <v>4</v>
      </c>
      <c r="AW360" s="3">
        <f t="shared" si="179"/>
        <v>9</v>
      </c>
      <c r="AX360" s="3">
        <f t="shared" si="180"/>
        <v>4</v>
      </c>
      <c r="AY360" s="3">
        <f t="shared" si="181"/>
        <v>1</v>
      </c>
      <c r="AZ360" s="3">
        <f>IF(ISERROR(LEN(VLOOKUP(A360,Seqs!A:E,2,FALSE))-AL360),"-",LEN(VLOOKUP(A360,Seqs!A:E,2,FALSE))-AL360)</f>
        <v>30</v>
      </c>
      <c r="BA360" s="35">
        <f t="shared" si="182"/>
        <v>27</v>
      </c>
      <c r="BB360" s="3">
        <f t="shared" si="183"/>
        <v>20</v>
      </c>
      <c r="BC360" s="3">
        <f t="shared" si="184"/>
        <v>27</v>
      </c>
      <c r="BD360" s="3">
        <f t="shared" si="185"/>
        <v>49</v>
      </c>
    </row>
    <row r="361" spans="1:57" s="3" customFormat="1" x14ac:dyDescent="0.2">
      <c r="A361" s="3" t="s">
        <v>559</v>
      </c>
      <c r="B361" s="3" t="str">
        <f>LOWER(VLOOKUP(A361,Xtal_Templ!A:B,2,FALSE))</f>
        <v>p2y12_human</v>
      </c>
      <c r="C361" s="3">
        <f>VLOOKUP($A361,'NonXtal_SegEnds_BW#'!$A:$Z,3,FALSE)+D361-50</f>
        <v>22</v>
      </c>
      <c r="D361" s="3">
        <v>44</v>
      </c>
      <c r="E361" s="3">
        <f>IF(ISERROR(VLOOKUP($A361,'NonXtal_SegEnds_BW#'!$A:$Z,4,FALSE)+VLOOKUP($A361,A:AL,4,FALSE)-50),"-",(VLOOKUP($A361,'NonXtal_SegEnds_BW#'!$A:$Z,4,FALSE)+VLOOKUP($A361,A:AL,4,FALSE)-50))</f>
        <v>54</v>
      </c>
      <c r="F361" s="3">
        <f>G361-2</f>
        <v>56</v>
      </c>
      <c r="G361" s="3">
        <v>58</v>
      </c>
      <c r="H361" s="3">
        <f>G361+1</f>
        <v>59</v>
      </c>
      <c r="I361" s="3">
        <f>H361+1</f>
        <v>60</v>
      </c>
      <c r="J361" s="3">
        <v>77</v>
      </c>
      <c r="K361" s="3">
        <f>VLOOKUP($A361,'NonXtal_SegEnds_BW#'!$A:$Z,8,FALSE)+VLOOKUP($A361,A:AL,10,FALSE)-50</f>
        <v>93</v>
      </c>
      <c r="L361" s="3">
        <f>M361-1</f>
        <v>97</v>
      </c>
      <c r="M361" s="3">
        <v>98</v>
      </c>
      <c r="N361" s="3">
        <f>M361+2</f>
        <v>100</v>
      </c>
      <c r="O361" s="3">
        <f>N361+1</f>
        <v>101</v>
      </c>
      <c r="P361" s="3">
        <v>133</v>
      </c>
      <c r="Q361" s="3">
        <f>VLOOKUP($A361,'NonXtal_SegEnds_BW#'!$A:$Z,12,FALSE)+VLOOKUP($A361,A:AL,16,FALSE)-50</f>
        <v>139</v>
      </c>
      <c r="R361" s="3">
        <f>IF(ISERROR(VLOOKUP($A361,'NonXtal_SegEnds_BW#'!$A:$Z,13,FALSE)+VLOOKUP($A361,A:AL,19,FALSE)-50),"-",VLOOKUP($A361,'NonXtal_SegEnds_BW#'!$A:$Z,13,FALSE)+VLOOKUP($A361,A:AL,19,FALSE)-50)</f>
        <v>140</v>
      </c>
      <c r="S361" s="3">
        <v>140</v>
      </c>
      <c r="T361" s="3">
        <f>IF(ISERROR(VLOOKUP($A361,'NonXtal_SegEnds_BW#'!$A:$Z,14,FALSE)+VLOOKUP($A361,A:AL,19,FALSE)-50),"-",(VLOOKUP($A361,'NonXtal_SegEnds_BW#'!$A:$Z,14,FALSE)+VLOOKUP($A361,A:AL,19,FALSE)-50))</f>
        <v>147</v>
      </c>
      <c r="U361" s="3">
        <f>IF(ISERROR(VLOOKUP($A361,'NonXtal_SegEnds_BW#'!$A:$Z,15,FALSE)+VLOOKUP($A361,A:AL,22,FALSE)-50),"-",VLOOKUP($A361,'NonXtal_SegEnds_BW#'!$A:$Z,15,FALSE)+VLOOKUP($A361,A:AL,22,FALSE)-50)</f>
        <v>149</v>
      </c>
      <c r="V361" s="3">
        <v>160</v>
      </c>
      <c r="W361" s="3">
        <f>IF(ISERROR(VLOOKUP($A361,'NonXtal_SegEnds_BW#'!$A:$Z,16,FALSE)+VLOOKUP($A361,A:AL,22,FALSE)-50),"-",(VLOOKUP($A361,'NonXtal_SegEnds_BW#'!$A:$Z,16,FALSE)+VLOOKUP($A361,A:AL,22,FALSE)-50))</f>
        <v>174</v>
      </c>
      <c r="X361" s="3">
        <f>IF(ISERROR(VLOOKUP($A361,'NonXtal_SegEnds_BW#'!$A:$Z,17,FALSE)+VLOOKUP($A361,A:AL,25,FALSE)-50),"-",(VLOOKUP($A361,'NonXtal_SegEnds_BW#'!$A:$Z,17,FALSE)+VLOOKUP($A361,A:AL,25,FALSE)-50))</f>
        <v>186</v>
      </c>
      <c r="Y361" s="3">
        <v>186</v>
      </c>
      <c r="Z361" s="3">
        <f t="shared" si="190"/>
        <v>188</v>
      </c>
      <c r="AA361" s="3">
        <f>IF(ISERROR(VLOOKUP($A361,'NonXtal_SegEnds_BW#'!$A:$Z,19,FALSE)+VLOOKUP($A361,A:AL,28,FALSE)-50),"-",(VLOOKUP($A361,'NonXtal_SegEnds_BW#'!$A:$Z,19,FALSE)+VLOOKUP($A361,A:AL,28,FALSE)-50))</f>
        <v>199</v>
      </c>
      <c r="AB361" s="3">
        <v>214</v>
      </c>
      <c r="AC361" s="3">
        <f>IF(ISERROR((VLOOKUP($A361,'NonXtal_SegEnds_BW#'!$A:$Z,20,FALSE)+VLOOKUP($A361,A:AL,28,FALSE)-50)),"-",(VLOOKUP($A361,'NonXtal_SegEnds_BW#'!$A:$Z,20,FALSE)+VLOOKUP($A361,A:AL,28,FALSE)-50))</f>
        <v>236</v>
      </c>
      <c r="AD361" s="3">
        <f>IF(ISERROR(VLOOKUP($A361,'NonXtal_SegEnds_BW#'!$A:$Z,21,FALSE)+VLOOKUP($A361,A:AL,31,FALSE)-50),"-",(VLOOKUP($A361,'NonXtal_SegEnds_BW#'!$A:$Z,21,FALSE)+VLOOKUP($A361,A:AL,31,FALSE)-50))</f>
        <v>243</v>
      </c>
      <c r="AE361" s="3">
        <v>264</v>
      </c>
      <c r="AF361" s="3">
        <f>IF(ISERROR((VLOOKUP($A361,'NonXtal_SegEnds_BW#'!$A:$Z,22,FALSE)+VLOOKUP($A361,A:AL,31,FALSE)-50)),"-",(VLOOKUP($A361,'NonXtal_SegEnds_BW#'!$A:$Z,22,FALSE)+VLOOKUP($A361,A:AL,31,FALSE)-50))</f>
        <v>275</v>
      </c>
      <c r="AG361" s="3">
        <f>IF(ISERROR(VLOOKUP($A361,'NonXtal_SegEnds_BW#'!$A:$Z,23,FALSE)+VLOOKUP($A361,A:AL,34,FALSE)-50),"-",(VLOOKUP($A361,'NonXtal_SegEnds_BW#'!$A:$Z,23,FALSE)+VLOOKUP($A361,A:AL,34,FALSE)-50))</f>
        <v>282</v>
      </c>
      <c r="AH361" s="3">
        <v>301</v>
      </c>
      <c r="AI361" s="3">
        <f>IF(ISERROR((VLOOKUP($A361,'NonXtal_SegEnds_BW#'!$A:$Z,24,FALSE)+VLOOKUP($A361,A:AL,34,FALSE)-50)),"-",(VLOOKUP($A361,'NonXtal_SegEnds_BW#'!$A:$Z,24,FALSE)+VLOOKUP($A361,A:AL,34,FALSE)-50))</f>
        <v>307</v>
      </c>
      <c r="AJ361" s="3">
        <f>IF(ISERROR(VLOOKUP($A361,'NonXtal_SegEnds_BW#'!$A:$Z,25,FALSE)+VLOOKUP($A361,A:AL,37,FALSE)-50),"-",(VLOOKUP($A361,'NonXtal_SegEnds_BW#'!$A:$Z,25,FALSE)+VLOOKUP($A361,A:AL,37,FALSE)-50))</f>
        <v>308</v>
      </c>
      <c r="AK361" s="3">
        <v>311</v>
      </c>
      <c r="AL361" s="3">
        <f>IF(ISERROR((VLOOKUP($A361,'NonXtal_SegEnds_BW#'!$A:$Z,26,FALSE)+VLOOKUP($A361,A:AL,37,FALSE)-50)),"-",(VLOOKUP($A361,'NonXtal_SegEnds_BW#'!$A:$Z,26,FALSE)+VLOOKUP($A361,A:AL,37,FALSE)-50))</f>
        <v>318</v>
      </c>
      <c r="AM361" s="71" t="str">
        <f>VLOOKUP(A361,Classification!A:B,2,FALSE)</f>
        <v>A</v>
      </c>
      <c r="AN361" s="71" t="b">
        <f t="shared" si="170"/>
        <v>1</v>
      </c>
      <c r="AO361" s="3">
        <f t="shared" si="171"/>
        <v>2</v>
      </c>
      <c r="AP361" s="3">
        <f t="shared" si="172"/>
        <v>1</v>
      </c>
      <c r="AQ361" s="3">
        <f t="shared" si="173"/>
        <v>4</v>
      </c>
      <c r="AR361" s="3">
        <f t="shared" si="174"/>
        <v>1</v>
      </c>
      <c r="AS361" s="3">
        <f t="shared" si="175"/>
        <v>1</v>
      </c>
      <c r="AT361" s="3">
        <f t="shared" si="176"/>
        <v>2</v>
      </c>
      <c r="AU361" s="3">
        <f t="shared" si="177"/>
        <v>12</v>
      </c>
      <c r="AV361" s="3">
        <f t="shared" si="178"/>
        <v>11</v>
      </c>
      <c r="AW361" s="3">
        <f t="shared" si="179"/>
        <v>7</v>
      </c>
      <c r="AX361" s="3">
        <f t="shared" si="180"/>
        <v>7</v>
      </c>
      <c r="AY361" s="3">
        <f t="shared" si="181"/>
        <v>1</v>
      </c>
      <c r="AZ361" s="3">
        <f>IF(ISERROR(LEN(VLOOKUP(A361,Seqs!A:E,2,FALSE))-AL361),"-",LEN(VLOOKUP(A361,Seqs!A:E,2,FALSE))-AL361)</f>
        <v>41</v>
      </c>
      <c r="BA361" s="35">
        <f t="shared" si="182"/>
        <v>33</v>
      </c>
      <c r="BB361" s="3">
        <f t="shared" si="183"/>
        <v>20</v>
      </c>
      <c r="BC361" s="3">
        <f t="shared" si="184"/>
        <v>33</v>
      </c>
      <c r="BD361" s="3">
        <f t="shared" si="185"/>
        <v>50</v>
      </c>
    </row>
    <row r="362" spans="1:57" s="3" customFormat="1" x14ac:dyDescent="0.2">
      <c r="A362" s="3" t="s">
        <v>428</v>
      </c>
      <c r="B362" s="3" t="str">
        <f>LOWER(VLOOKUP(A362,Xtal_Templ!A:B,2,FALSE))</f>
        <v>p2y12_human</v>
      </c>
      <c r="C362" s="3">
        <f>VLOOKUP($A362,'NonXtal_SegEnds_BW#'!$A:$Z,3,FALSE)+D362-50</f>
        <v>27</v>
      </c>
      <c r="D362" s="3">
        <v>49</v>
      </c>
      <c r="E362" s="3">
        <f>IF(ISERROR(VLOOKUP($A362,'NonXtal_SegEnds_BW#'!$A:$Z,4,FALSE)+VLOOKUP($A362,A:AL,4,FALSE)-50),"-",(VLOOKUP($A362,'NonXtal_SegEnds_BW#'!$A:$Z,4,FALSE)+VLOOKUP($A362,A:AL,4,FALSE)-50))</f>
        <v>59</v>
      </c>
      <c r="F362" s="3">
        <f>G362-2</f>
        <v>60</v>
      </c>
      <c r="G362" s="3">
        <v>62</v>
      </c>
      <c r="H362" s="3">
        <f>G362+1</f>
        <v>63</v>
      </c>
      <c r="I362" s="3">
        <f>H362+1</f>
        <v>64</v>
      </c>
      <c r="J362" s="3">
        <v>77</v>
      </c>
      <c r="K362" s="3">
        <f>VLOOKUP($A362,'NonXtal_SegEnds_BW#'!$A:$Z,8,FALSE)+VLOOKUP($A362,A:AL,10,FALSE)-50</f>
        <v>93</v>
      </c>
      <c r="L362" s="3">
        <f>M362-1</f>
        <v>96</v>
      </c>
      <c r="M362" s="3">
        <v>97</v>
      </c>
      <c r="N362" s="3">
        <f>M362+2</f>
        <v>99</v>
      </c>
      <c r="O362" s="3">
        <f>N362+1</f>
        <v>100</v>
      </c>
      <c r="P362" s="3">
        <v>129</v>
      </c>
      <c r="Q362" s="3">
        <f>VLOOKUP($A362,'NonXtal_SegEnds_BW#'!$A:$Z,12,FALSE)+VLOOKUP($A362,A:AL,16,FALSE)-50</f>
        <v>135</v>
      </c>
      <c r="R362" s="3">
        <f>IF(ISERROR(VLOOKUP($A362,'NonXtal_SegEnds_BW#'!$A:$Z,13,FALSE)+VLOOKUP($A362,A:AL,19,FALSE)-50),"-",VLOOKUP($A362,'NonXtal_SegEnds_BW#'!$A:$Z,13,FALSE)+VLOOKUP($A362,A:AL,19,FALSE)-50)</f>
        <v>136</v>
      </c>
      <c r="S362" s="3">
        <v>136</v>
      </c>
      <c r="T362" s="3">
        <f>IF(ISERROR(VLOOKUP($A362,'NonXtal_SegEnds_BW#'!$A:$Z,14,FALSE)+VLOOKUP($A362,A:AL,19,FALSE)-50),"-",(VLOOKUP($A362,'NonXtal_SegEnds_BW#'!$A:$Z,14,FALSE)+VLOOKUP($A362,A:AL,19,FALSE)-50))</f>
        <v>143</v>
      </c>
      <c r="U362" s="3">
        <f>IF(ISERROR(VLOOKUP($A362,'NonXtal_SegEnds_BW#'!$A:$Z,15,FALSE)+VLOOKUP($A362,A:AL,22,FALSE)-50),"-",VLOOKUP($A362,'NonXtal_SegEnds_BW#'!$A:$Z,15,FALSE)+VLOOKUP($A362,A:AL,22,FALSE)-50)</f>
        <v>145</v>
      </c>
      <c r="V362" s="3">
        <v>156</v>
      </c>
      <c r="W362" s="3">
        <f>IF(ISERROR(VLOOKUP($A362,'NonXtal_SegEnds_BW#'!$A:$Z,16,FALSE)+VLOOKUP($A362,A:AL,22,FALSE)-50),"-",(VLOOKUP($A362,'NonXtal_SegEnds_BW#'!$A:$Z,16,FALSE)+VLOOKUP($A362,A:AL,22,FALSE)-50))</f>
        <v>170</v>
      </c>
      <c r="X362" s="3">
        <f>IF(ISERROR(VLOOKUP($A362,'NonXtal_SegEnds_BW#'!$A:$Z,17,FALSE)+VLOOKUP($A362,A:AL,25,FALSE)-50),"-",(VLOOKUP($A362,'NonXtal_SegEnds_BW#'!$A:$Z,17,FALSE)+VLOOKUP($A362,A:AL,25,FALSE)-50))</f>
        <v>181</v>
      </c>
      <c r="Y362" s="3">
        <v>181</v>
      </c>
      <c r="Z362" s="3">
        <f t="shared" si="190"/>
        <v>183</v>
      </c>
      <c r="AA362" s="3">
        <f>IF(ISERROR(VLOOKUP($A362,'NonXtal_SegEnds_BW#'!$A:$Z,19,FALSE)+VLOOKUP($A362,A:AL,28,FALSE)-50),"-",(VLOOKUP($A362,'NonXtal_SegEnds_BW#'!$A:$Z,19,FALSE)+VLOOKUP($A362,A:AL,28,FALSE)-50))</f>
        <v>188</v>
      </c>
      <c r="AB362" s="3">
        <v>208</v>
      </c>
      <c r="AC362" s="3">
        <f>IF(ISERROR((VLOOKUP($A362,'NonXtal_SegEnds_BW#'!$A:$Z,20,FALSE)+VLOOKUP($A362,A:AL,28,FALSE)-50)),"-",(VLOOKUP($A362,'NonXtal_SegEnds_BW#'!$A:$Z,20,FALSE)+VLOOKUP($A362,A:AL,28,FALSE)-50))</f>
        <v>226</v>
      </c>
      <c r="AD362" s="3">
        <f>IF(ISERROR(VLOOKUP($A362,'NonXtal_SegEnds_BW#'!$A:$Z,21,FALSE)+VLOOKUP($A362,A:AL,31,FALSE)-50),"-",(VLOOKUP($A362,'NonXtal_SegEnds_BW#'!$A:$Z,21,FALSE)+VLOOKUP($A362,A:AL,31,FALSE)-50))</f>
        <v>232</v>
      </c>
      <c r="AE362" s="3">
        <v>259</v>
      </c>
      <c r="AF362" s="3">
        <f>IF(ISERROR((VLOOKUP($A362,'NonXtal_SegEnds_BW#'!$A:$Z,22,FALSE)+VLOOKUP($A362,A:AL,31,FALSE)-50)),"-",(VLOOKUP($A362,'NonXtal_SegEnds_BW#'!$A:$Z,22,FALSE)+VLOOKUP($A362,A:AL,31,FALSE)-50))</f>
        <v>273</v>
      </c>
      <c r="AG362" s="3">
        <f>IF(ISERROR(VLOOKUP($A362,'NonXtal_SegEnds_BW#'!$A:$Z,23,FALSE)+VLOOKUP($A362,A:AL,34,FALSE)-50),"-",(VLOOKUP($A362,'NonXtal_SegEnds_BW#'!$A:$Z,23,FALSE)+VLOOKUP($A362,A:AL,34,FALSE)-50))</f>
        <v>279</v>
      </c>
      <c r="AH362" s="3">
        <v>305</v>
      </c>
      <c r="AI362" s="3">
        <f>IF(ISERROR((VLOOKUP($A362,'NonXtal_SegEnds_BW#'!$A:$Z,24,FALSE)+VLOOKUP($A362,A:AL,34,FALSE)-50)),"-",(VLOOKUP($A362,'NonXtal_SegEnds_BW#'!$A:$Z,24,FALSE)+VLOOKUP($A362,A:AL,34,FALSE)-50))</f>
        <v>311</v>
      </c>
      <c r="AJ362" s="3">
        <f>IF(ISERROR(VLOOKUP($A362,'NonXtal_SegEnds_BW#'!$A:$Z,25,FALSE)+VLOOKUP($A362,A:AL,37,FALSE)-50),"-",(VLOOKUP($A362,'NonXtal_SegEnds_BW#'!$A:$Z,25,FALSE)+VLOOKUP($A362,A:AL,37,FALSE)-50))</f>
        <v>312</v>
      </c>
      <c r="AK362" s="3">
        <v>315</v>
      </c>
      <c r="AL362" s="3">
        <f>IF(ISERROR((VLOOKUP($A362,'NonXtal_SegEnds_BW#'!$A:$Z,26,FALSE)+VLOOKUP($A362,A:AL,37,FALSE)-50)),"-",(VLOOKUP($A362,'NonXtal_SegEnds_BW#'!$A:$Z,26,FALSE)+VLOOKUP($A362,A:AL,37,FALSE)-50))</f>
        <v>322</v>
      </c>
      <c r="AM362" s="71" t="str">
        <f>VLOOKUP(A362,Classification!A:B,2,FALSE)</f>
        <v>A</v>
      </c>
      <c r="AN362" s="71" t="b">
        <f t="shared" si="170"/>
        <v>1</v>
      </c>
      <c r="AO362" s="3">
        <f t="shared" si="171"/>
        <v>1</v>
      </c>
      <c r="AP362" s="3">
        <f t="shared" si="172"/>
        <v>1</v>
      </c>
      <c r="AQ362" s="3">
        <f t="shared" si="173"/>
        <v>3</v>
      </c>
      <c r="AR362" s="3">
        <f t="shared" si="174"/>
        <v>1</v>
      </c>
      <c r="AS362" s="3">
        <f t="shared" si="175"/>
        <v>1</v>
      </c>
      <c r="AT362" s="3">
        <f t="shared" si="176"/>
        <v>2</v>
      </c>
      <c r="AU362" s="3">
        <f t="shared" si="177"/>
        <v>11</v>
      </c>
      <c r="AV362" s="3">
        <f t="shared" si="178"/>
        <v>5</v>
      </c>
      <c r="AW362" s="3">
        <f t="shared" si="179"/>
        <v>6</v>
      </c>
      <c r="AX362" s="3">
        <f t="shared" si="180"/>
        <v>6</v>
      </c>
      <c r="AY362" s="3">
        <f t="shared" si="181"/>
        <v>1</v>
      </c>
      <c r="AZ362" s="3">
        <f>IF(ISERROR(LEN(VLOOKUP(A362,Seqs!A:E,2,FALSE))-AL362),"-",LEN(VLOOKUP(A362,Seqs!A:E,2,FALSE))-AL362)</f>
        <v>39</v>
      </c>
      <c r="BA362" s="35">
        <f t="shared" si="182"/>
        <v>28</v>
      </c>
      <c r="BB362" s="3">
        <f t="shared" si="183"/>
        <v>20</v>
      </c>
      <c r="BC362" s="3">
        <f t="shared" si="184"/>
        <v>28</v>
      </c>
      <c r="BD362" s="3">
        <f t="shared" si="185"/>
        <v>51</v>
      </c>
    </row>
    <row r="363" spans="1:57" s="3" customFormat="1" x14ac:dyDescent="0.2">
      <c r="A363" s="3" t="s">
        <v>546</v>
      </c>
      <c r="B363" s="3" t="str">
        <f>LOWER(VLOOKUP(A363,Xtal_Templ!A:B,2,FALSE))</f>
        <v>p2y12_human</v>
      </c>
      <c r="C363" s="3">
        <f>VLOOKUP($A363,'NonXtal_SegEnds_BW#'!$A:$Z,3,FALSE)+D363-50</f>
        <v>21</v>
      </c>
      <c r="D363" s="3">
        <v>43</v>
      </c>
      <c r="E363" s="3">
        <f>IF(ISERROR(VLOOKUP($A363,'NonXtal_SegEnds_BW#'!$A:$Z,4,FALSE)+VLOOKUP($A363,A:AL,4,FALSE)-50),"-",(VLOOKUP($A363,'NonXtal_SegEnds_BW#'!$A:$Z,4,FALSE)+VLOOKUP($A363,A:AL,4,FALSE)-50))</f>
        <v>53</v>
      </c>
      <c r="F363" s="3" t="str">
        <f>IF(ISERROR(VLOOKUP($A363,'NonXtal_SegEnds_BW#'!$A:$Z,5,FALSE)+VLOOKUP($A363,A:AL,7,FALSE)-50),"-",(VLOOKUP($A363,'NonXtal_SegEnds_BW#'!$A:$Z,5,FALSE)+VLOOKUP($A363,A:AL,7,FALSE)-50))</f>
        <v>-</v>
      </c>
      <c r="G363" s="3" t="s">
        <v>129</v>
      </c>
      <c r="H363" s="3" t="str">
        <f>IF(ISERROR(VLOOKUP($A363,'NonXtal_SegEnds_BW#'!$A:$Z,6,FALSE)+VLOOKUP($A363,A:AL,7,FALSE)-50),"-",(VLOOKUP($A363,'NonXtal_SegEnds_BW#'!$A:$Z,6,FALSE)+VLOOKUP($A363,A:AL,7,FALSE)-50))</f>
        <v>-</v>
      </c>
      <c r="I363" s="3">
        <f>VLOOKUP($A363,'NonXtal_SegEnds_BW#'!$A:$Z,7,FALSE)+J363-50</f>
        <v>57</v>
      </c>
      <c r="J363" s="3">
        <v>70</v>
      </c>
      <c r="K363" s="3">
        <f>VLOOKUP($A363,'NonXtal_SegEnds_BW#'!$A:$Z,8,FALSE)+VLOOKUP($A363,A:AL,10,FALSE)-50</f>
        <v>86</v>
      </c>
      <c r="L363" s="3" t="str">
        <f>IF(ISERROR(VLOOKUP($A363,'NonXtal_SegEnds_BW#'!$A:$Z,9,FALSE)+VLOOKUP($A363,A:AL,13,FALSE)-50),"-",(VLOOKUP($A363,'NonXtal_SegEnds_BW#'!$A:$Z,9,FALSE)+VLOOKUP($A363,A:AL,13,FALSE)-50))</f>
        <v>-</v>
      </c>
      <c r="M363" s="3" t="s">
        <v>129</v>
      </c>
      <c r="N363" s="3" t="str">
        <f>IF(ISERROR(VLOOKUP($A363,'NonXtal_SegEnds_BW#'!$A:$Z,10,FALSE)+VLOOKUP($A363,A:AL,13,FALSE)-50),"-",(VLOOKUP($A363,'NonXtal_SegEnds_BW#'!$A:$Z,10,FALSE)+VLOOKUP($A363,A:AL,13,FALSE)-50))</f>
        <v>-</v>
      </c>
      <c r="O363" s="3">
        <f>VLOOKUP($A363,'NonXtal_SegEnds_BW#'!$A:$Z,11,FALSE)+VLOOKUP($A363,A:AL,16,FALSE)-50</f>
        <v>90</v>
      </c>
      <c r="P363" s="3">
        <v>122</v>
      </c>
      <c r="Q363" s="3">
        <f>VLOOKUP($A363,'NonXtal_SegEnds_BW#'!$A:$Z,12,FALSE)+VLOOKUP($A363,A:AL,16,FALSE)-50</f>
        <v>128</v>
      </c>
      <c r="R363" s="3">
        <f>IF(ISERROR(VLOOKUP($A363,'NonXtal_SegEnds_BW#'!$A:$Z,13,FALSE)+VLOOKUP($A363,A:AL,19,FALSE)-50),"-",VLOOKUP($A363,'NonXtal_SegEnds_BW#'!$A:$Z,13,FALSE)+VLOOKUP($A363,A:AL,19,FALSE)-50)</f>
        <v>129</v>
      </c>
      <c r="S363" s="3">
        <v>129</v>
      </c>
      <c r="T363" s="3">
        <f>IF(ISERROR(VLOOKUP($A363,'NonXtal_SegEnds_BW#'!$A:$Z,14,FALSE)+VLOOKUP($A363,A:AL,19,FALSE)-50),"-",(VLOOKUP($A363,'NonXtal_SegEnds_BW#'!$A:$Z,14,FALSE)+VLOOKUP($A363,A:AL,19,FALSE)-50))</f>
        <v>136</v>
      </c>
      <c r="U363" s="3">
        <f>IF(ISERROR(VLOOKUP($A363,'NonXtal_SegEnds_BW#'!$A:$Z,15,FALSE)+VLOOKUP($A363,A:AL,22,FALSE)-50),"-",VLOOKUP($A363,'NonXtal_SegEnds_BW#'!$A:$Z,15,FALSE)+VLOOKUP($A363,A:AL,22,FALSE)-50)</f>
        <v>138</v>
      </c>
      <c r="V363" s="3">
        <v>149</v>
      </c>
      <c r="W363" s="3">
        <f>IF(ISERROR(VLOOKUP($A363,'NonXtal_SegEnds_BW#'!$A:$Z,16,FALSE)+VLOOKUP($A363,A:AL,22,FALSE)-50),"-",(VLOOKUP($A363,'NonXtal_SegEnds_BW#'!$A:$Z,16,FALSE)+VLOOKUP($A363,A:AL,22,FALSE)-50))</f>
        <v>163</v>
      </c>
      <c r="X363" s="3">
        <f>IF(ISERROR(VLOOKUP($A363,'NonXtal_SegEnds_BW#'!$A:$Z,17,FALSE)+VLOOKUP($A363,A:AL,25,FALSE)-50),"-",(VLOOKUP($A363,'NonXtal_SegEnds_BW#'!$A:$Z,17,FALSE)+VLOOKUP($A363,A:AL,25,FALSE)-50))</f>
        <v>175</v>
      </c>
      <c r="Y363" s="3">
        <v>175</v>
      </c>
      <c r="Z363" s="3">
        <f t="shared" si="190"/>
        <v>177</v>
      </c>
      <c r="AA363" s="3">
        <f>IF(ISERROR(VLOOKUP($A363,'NonXtal_SegEnds_BW#'!$A:$Z,19,FALSE)+VLOOKUP($A363,A:AL,28,FALSE)-50),"-",(VLOOKUP($A363,'NonXtal_SegEnds_BW#'!$A:$Z,19,FALSE)+VLOOKUP($A363,A:AL,28,FALSE)-50))</f>
        <v>181</v>
      </c>
      <c r="AB363" s="3">
        <v>201</v>
      </c>
      <c r="AC363" s="3">
        <f>IF(ISERROR((VLOOKUP($A363,'NonXtal_SegEnds_BW#'!$A:$Z,20,FALSE)+VLOOKUP($A363,A:AL,28,FALSE)-50)),"-",(VLOOKUP($A363,'NonXtal_SegEnds_BW#'!$A:$Z,20,FALSE)+VLOOKUP($A363,A:AL,28,FALSE)-50))</f>
        <v>223</v>
      </c>
      <c r="AD363" s="3">
        <f>IF(ISERROR(VLOOKUP($A363,'NonXtal_SegEnds_BW#'!$A:$Z,21,FALSE)+VLOOKUP($A363,A:AL,31,FALSE)-50),"-",(VLOOKUP($A363,'NonXtal_SegEnds_BW#'!$A:$Z,21,FALSE)+VLOOKUP($A363,A:AL,31,FALSE)-50))</f>
        <v>230</v>
      </c>
      <c r="AE363" s="3">
        <v>251</v>
      </c>
      <c r="AF363" s="3">
        <f>IF(ISERROR((VLOOKUP($A363,'NonXtal_SegEnds_BW#'!$A:$Z,22,FALSE)+VLOOKUP($A363,A:AL,31,FALSE)-50)),"-",(VLOOKUP($A363,'NonXtal_SegEnds_BW#'!$A:$Z,22,FALSE)+VLOOKUP($A363,A:AL,31,FALSE)-50))</f>
        <v>265</v>
      </c>
      <c r="AG363" s="3">
        <f>IF(ISERROR(VLOOKUP($A363,'NonXtal_SegEnds_BW#'!$A:$Z,23,FALSE)+VLOOKUP($A363,A:AL,34,FALSE)-50),"-",(VLOOKUP($A363,'NonXtal_SegEnds_BW#'!$A:$Z,23,FALSE)+VLOOKUP($A363,A:AL,34,FALSE)-50))</f>
        <v>269</v>
      </c>
      <c r="AH363" s="3">
        <v>295</v>
      </c>
      <c r="AI363" s="3">
        <f>IF(ISERROR((VLOOKUP($A363,'NonXtal_SegEnds_BW#'!$A:$Z,24,FALSE)+VLOOKUP($A363,A:AL,34,FALSE)-50)),"-",(VLOOKUP($A363,'NonXtal_SegEnds_BW#'!$A:$Z,24,FALSE)+VLOOKUP($A363,A:AL,34,FALSE)-50))</f>
        <v>301</v>
      </c>
      <c r="AJ363" s="3">
        <f>IF(ISERROR(VLOOKUP($A363,'NonXtal_SegEnds_BW#'!$A:$Z,25,FALSE)+VLOOKUP($A363,A:AL,37,FALSE)-50),"-",(VLOOKUP($A363,'NonXtal_SegEnds_BW#'!$A:$Z,25,FALSE)+VLOOKUP($A363,A:AL,37,FALSE)-50))</f>
        <v>302</v>
      </c>
      <c r="AK363" s="3">
        <v>305</v>
      </c>
      <c r="AL363" s="3">
        <f>IF(ISERROR((VLOOKUP($A363,'NonXtal_SegEnds_BW#'!$A:$Z,26,FALSE)+VLOOKUP($A363,A:AL,37,FALSE)-50)),"-",(VLOOKUP($A363,'NonXtal_SegEnds_BW#'!$A:$Z,26,FALSE)+VLOOKUP($A363,A:AL,37,FALSE)-50))</f>
        <v>312</v>
      </c>
      <c r="AM363" s="71" t="str">
        <f>VLOOKUP(A363,Classification!A:B,2,FALSE)</f>
        <v>A</v>
      </c>
      <c r="AN363" s="71" t="b">
        <f t="shared" si="170"/>
        <v>1</v>
      </c>
      <c r="AO363" s="3" t="str">
        <f t="shared" si="171"/>
        <v>-</v>
      </c>
      <c r="AP363" s="3" t="str">
        <f t="shared" si="172"/>
        <v>-</v>
      </c>
      <c r="AQ363" s="3" t="str">
        <f t="shared" si="173"/>
        <v>-</v>
      </c>
      <c r="AR363" s="3" t="str">
        <f t="shared" si="174"/>
        <v>-</v>
      </c>
      <c r="AS363" s="3">
        <f t="shared" si="175"/>
        <v>1</v>
      </c>
      <c r="AT363" s="3">
        <f t="shared" si="176"/>
        <v>2</v>
      </c>
      <c r="AU363" s="3">
        <f t="shared" si="177"/>
        <v>12</v>
      </c>
      <c r="AV363" s="3">
        <f t="shared" si="178"/>
        <v>4</v>
      </c>
      <c r="AW363" s="3">
        <f t="shared" si="179"/>
        <v>7</v>
      </c>
      <c r="AX363" s="3">
        <f t="shared" si="180"/>
        <v>4</v>
      </c>
      <c r="AY363" s="3">
        <f t="shared" si="181"/>
        <v>1</v>
      </c>
      <c r="AZ363" s="3">
        <f>IF(ISERROR(LEN(VLOOKUP(A363,Seqs!A:E,2,FALSE))-AL363),"-",LEN(VLOOKUP(A363,Seqs!A:E,2,FALSE))-AL363)</f>
        <v>30</v>
      </c>
      <c r="BA363" s="35">
        <f t="shared" si="182"/>
        <v>27</v>
      </c>
      <c r="BB363" s="3">
        <f t="shared" si="183"/>
        <v>20</v>
      </c>
      <c r="BC363" s="3">
        <f t="shared" si="184"/>
        <v>27</v>
      </c>
      <c r="BD363" s="3">
        <f t="shared" si="185"/>
        <v>50</v>
      </c>
    </row>
    <row r="364" spans="1:57" s="3" customFormat="1" ht="17" customHeight="1" x14ac:dyDescent="0.2">
      <c r="A364" s="3" t="s">
        <v>565</v>
      </c>
      <c r="B364" s="3" t="str">
        <f>LOWER(VLOOKUP(A364,Xtal_Templ!A:B,2,FALSE))</f>
        <v>p2y12_human</v>
      </c>
      <c r="C364" s="3">
        <f>VLOOKUP($A364,'NonXtal_SegEnds_BW#'!$A:$Z,3,FALSE)+D364-50</f>
        <v>11</v>
      </c>
      <c r="D364" s="3">
        <v>33</v>
      </c>
      <c r="E364" s="3">
        <f>IF(ISERROR(VLOOKUP($A364,'NonXtal_SegEnds_BW#'!$A:$Z,4,FALSE)+VLOOKUP($A364,A:AL,4,FALSE)-50),"-",(VLOOKUP($A364,'NonXtal_SegEnds_BW#'!$A:$Z,4,FALSE)+VLOOKUP($A364,A:AL,4,FALSE)-50))</f>
        <v>43</v>
      </c>
      <c r="F364" s="3" t="str">
        <f>IF(ISERROR(VLOOKUP($A364,'NonXtal_SegEnds_BW#'!$A:$Z,5,FALSE)+VLOOKUP($A364,A:AL,7,FALSE)-50),"-",(VLOOKUP($A364,'NonXtal_SegEnds_BW#'!$A:$Z,5,FALSE)+VLOOKUP($A364,A:AL,7,FALSE)-50))</f>
        <v>-</v>
      </c>
      <c r="G364" s="3" t="s">
        <v>129</v>
      </c>
      <c r="H364" s="3" t="str">
        <f>IF(ISERROR(VLOOKUP($A364,'NonXtal_SegEnds_BW#'!$A:$Z,6,FALSE)+VLOOKUP($A364,A:AL,7,FALSE)-50),"-",(VLOOKUP($A364,'NonXtal_SegEnds_BW#'!$A:$Z,6,FALSE)+VLOOKUP($A364,A:AL,7,FALSE)-50))</f>
        <v>-</v>
      </c>
      <c r="I364" s="3">
        <f>VLOOKUP($A364,'NonXtal_SegEnds_BW#'!$A:$Z,7,FALSE)+J364-50</f>
        <v>50</v>
      </c>
      <c r="J364" s="3">
        <v>63</v>
      </c>
      <c r="K364" s="3">
        <f>VLOOKUP($A364,'NonXtal_SegEnds_BW#'!$A:$Z,8,FALSE)+VLOOKUP($A364,A:AL,10,FALSE)-50</f>
        <v>79</v>
      </c>
      <c r="L364" s="3">
        <f>M364-1</f>
        <v>82</v>
      </c>
      <c r="M364" s="3">
        <v>83</v>
      </c>
      <c r="N364" s="3">
        <f>M364+2</f>
        <v>85</v>
      </c>
      <c r="O364" s="3">
        <f>N364+1</f>
        <v>86</v>
      </c>
      <c r="P364" s="3">
        <v>115</v>
      </c>
      <c r="Q364" s="3">
        <f>VLOOKUP($A364,'NonXtal_SegEnds_BW#'!$A:$Z,12,FALSE)+VLOOKUP($A364,A:AL,16,FALSE)-50</f>
        <v>121</v>
      </c>
      <c r="R364" s="3">
        <f>IF(ISERROR(VLOOKUP($A364,'NonXtal_SegEnds_BW#'!$A:$Z,13,FALSE)+VLOOKUP($A364,A:AL,19,FALSE)-50),"-",VLOOKUP($A364,'NonXtal_SegEnds_BW#'!$A:$Z,13,FALSE)+VLOOKUP($A364,A:AL,19,FALSE)-50)</f>
        <v>122</v>
      </c>
      <c r="S364" s="3">
        <v>122</v>
      </c>
      <c r="T364" s="3">
        <f>IF(ISERROR(VLOOKUP($A364,'NonXtal_SegEnds_BW#'!$A:$Z,14,FALSE)+VLOOKUP($A364,A:AL,19,FALSE)-50),"-",(VLOOKUP($A364,'NonXtal_SegEnds_BW#'!$A:$Z,14,FALSE)+VLOOKUP($A364,A:AL,19,FALSE)-50))</f>
        <v>129</v>
      </c>
      <c r="U364" s="3">
        <f>IF(ISERROR(VLOOKUP($A364,'NonXtal_SegEnds_BW#'!$A:$Z,15,FALSE)+VLOOKUP($A364,A:AL,22,FALSE)-50),"-",VLOOKUP($A364,'NonXtal_SegEnds_BW#'!$A:$Z,15,FALSE)+VLOOKUP($A364,A:AL,22,FALSE)-50)</f>
        <v>131</v>
      </c>
      <c r="V364" s="3">
        <v>142</v>
      </c>
      <c r="W364" s="3">
        <f>IF(ISERROR(VLOOKUP($A364,'NonXtal_SegEnds_BW#'!$A:$Z,16,FALSE)+VLOOKUP($A364,A:AL,22,FALSE)-50),"-",(VLOOKUP($A364,'NonXtal_SegEnds_BW#'!$A:$Z,16,FALSE)+VLOOKUP($A364,A:AL,22,FALSE)-50))</f>
        <v>156</v>
      </c>
      <c r="X364" s="3">
        <f>IF(ISERROR(VLOOKUP($A364,'NonXtal_SegEnds_BW#'!$A:$Z,17,FALSE)+VLOOKUP($A364,A:AL,25,FALSE)-50),"-",(VLOOKUP($A364,'NonXtal_SegEnds_BW#'!$A:$Z,17,FALSE)+VLOOKUP($A364,A:AL,25,FALSE)-50))</f>
        <v>173</v>
      </c>
      <c r="Y364" s="3">
        <v>173</v>
      </c>
      <c r="Z364" s="3">
        <f t="shared" si="190"/>
        <v>175</v>
      </c>
      <c r="AA364" s="3">
        <f>IF(ISERROR(VLOOKUP($A364,'NonXtal_SegEnds_BW#'!$A:$Z,19,FALSE)+VLOOKUP($A364,A:AL,28,FALSE)-50),"-",(VLOOKUP($A364,'NonXtal_SegEnds_BW#'!$A:$Z,19,FALSE)+VLOOKUP($A364,A:AL,28,FALSE)-50))</f>
        <v>178</v>
      </c>
      <c r="AB364" s="3">
        <v>198</v>
      </c>
      <c r="AC364" s="3">
        <f>IF(ISERROR((VLOOKUP($A364,'NonXtal_SegEnds_BW#'!$A:$Z,20,FALSE)+VLOOKUP($A364,A:AL,28,FALSE)-50)),"-",(VLOOKUP($A364,'NonXtal_SegEnds_BW#'!$A:$Z,20,FALSE)+VLOOKUP($A364,A:AL,28,FALSE)-50))</f>
        <v>216</v>
      </c>
      <c r="AD364" s="3">
        <f>IF(ISERROR(VLOOKUP($A364,'NonXtal_SegEnds_BW#'!$A:$Z,21,FALSE)+VLOOKUP($A364,A:AL,31,FALSE)-50),"-",(VLOOKUP($A364,'NonXtal_SegEnds_BW#'!$A:$Z,21,FALSE)+VLOOKUP($A364,A:AL,31,FALSE)-50))</f>
        <v>225</v>
      </c>
      <c r="AE364" s="3">
        <v>247</v>
      </c>
      <c r="AF364" s="3">
        <f>IF(ISERROR((VLOOKUP($A364,'NonXtal_SegEnds_BW#'!$A:$Z,22,FALSE)+VLOOKUP($A364,A:AL,31,FALSE)-50)),"-",(VLOOKUP($A364,'NonXtal_SegEnds_BW#'!$A:$Z,22,FALSE)+VLOOKUP($A364,A:AL,31,FALSE)-50))</f>
        <v>258</v>
      </c>
      <c r="AG364" s="3">
        <f>IF(ISERROR(VLOOKUP($A364,'NonXtal_SegEnds_BW#'!$A:$Z,23,FALSE)+VLOOKUP($A364,A:AL,34,FALSE)-50),"-",(VLOOKUP($A364,'NonXtal_SegEnds_BW#'!$A:$Z,23,FALSE)+VLOOKUP($A364,A:AL,34,FALSE)-50))</f>
        <v>264</v>
      </c>
      <c r="AH364" s="3">
        <v>290</v>
      </c>
      <c r="AI364" s="3">
        <f>IF(ISERROR((VLOOKUP($A364,'NonXtal_SegEnds_BW#'!$A:$Z,24,FALSE)+VLOOKUP($A364,A:AL,34,FALSE)-50)),"-",(VLOOKUP($A364,'NonXtal_SegEnds_BW#'!$A:$Z,24,FALSE)+VLOOKUP($A364,A:AL,34,FALSE)-50))</f>
        <v>296</v>
      </c>
      <c r="AJ364" s="3">
        <f>IF(ISERROR(VLOOKUP($A364,'NonXtal_SegEnds_BW#'!$A:$Z,25,FALSE)+VLOOKUP($A364,A:AL,37,FALSE)-50),"-",(VLOOKUP($A364,'NonXtal_SegEnds_BW#'!$A:$Z,25,FALSE)+VLOOKUP($A364,A:AL,37,FALSE)-50))</f>
        <v>297</v>
      </c>
      <c r="AK364" s="3">
        <v>300</v>
      </c>
      <c r="AL364" s="3">
        <f>IF(ISERROR((VLOOKUP($A364,'NonXtal_SegEnds_BW#'!$A:$Z,26,FALSE)+VLOOKUP($A364,A:AL,37,FALSE)-50)),"-",(VLOOKUP($A364,'NonXtal_SegEnds_BW#'!$A:$Z,26,FALSE)+VLOOKUP($A364,A:AL,37,FALSE)-50))</f>
        <v>307</v>
      </c>
      <c r="AM364" s="71" t="str">
        <f>VLOOKUP(A364,Classification!A:B,2,FALSE)</f>
        <v>A</v>
      </c>
      <c r="AN364" s="71" t="b">
        <f t="shared" si="170"/>
        <v>1</v>
      </c>
      <c r="AO364" s="3" t="str">
        <f t="shared" si="171"/>
        <v>-</v>
      </c>
      <c r="AP364" s="3" t="str">
        <f t="shared" si="172"/>
        <v>-</v>
      </c>
      <c r="AQ364" s="3">
        <f t="shared" si="173"/>
        <v>3</v>
      </c>
      <c r="AR364" s="3">
        <f t="shared" si="174"/>
        <v>1</v>
      </c>
      <c r="AS364" s="3">
        <f t="shared" si="175"/>
        <v>1</v>
      </c>
      <c r="AT364" s="3">
        <f t="shared" si="176"/>
        <v>2</v>
      </c>
      <c r="AU364" s="3">
        <f t="shared" si="177"/>
        <v>17</v>
      </c>
      <c r="AV364" s="3">
        <f t="shared" si="178"/>
        <v>3</v>
      </c>
      <c r="AW364" s="3">
        <f t="shared" si="179"/>
        <v>9</v>
      </c>
      <c r="AX364" s="3">
        <f t="shared" si="180"/>
        <v>6</v>
      </c>
      <c r="AY364" s="3">
        <f t="shared" si="181"/>
        <v>1</v>
      </c>
      <c r="AZ364" s="3">
        <f>IF(ISERROR(LEN(VLOOKUP(A364,Seqs!A:E,2,FALSE))-AL364),"-",LEN(VLOOKUP(A364,Seqs!A:E,2,FALSE))-AL364)</f>
        <v>35</v>
      </c>
      <c r="BA364" s="35">
        <f t="shared" si="182"/>
        <v>30</v>
      </c>
      <c r="BB364" s="3">
        <f t="shared" si="183"/>
        <v>20</v>
      </c>
      <c r="BC364" s="3">
        <f t="shared" si="184"/>
        <v>30</v>
      </c>
      <c r="BD364" s="3">
        <f t="shared" si="185"/>
        <v>49</v>
      </c>
    </row>
    <row r="365" spans="1:57" s="3" customFormat="1" x14ac:dyDescent="0.2">
      <c r="A365" s="3" t="s">
        <v>548</v>
      </c>
      <c r="B365" s="3" t="str">
        <f>LOWER(VLOOKUP(A365,Xtal_Templ!A:B,2,FALSE))</f>
        <v>p2y12_human</v>
      </c>
      <c r="C365" s="3">
        <f>VLOOKUP($A365,'NonXtal_SegEnds_BW#'!$A:$Z,3,FALSE)+D365-50</f>
        <v>18</v>
      </c>
      <c r="D365" s="3">
        <v>40</v>
      </c>
      <c r="E365" s="3">
        <f>IF(ISERROR(VLOOKUP($A365,'NonXtal_SegEnds_BW#'!$A:$Z,4,FALSE)+VLOOKUP($A365,A:AL,4,FALSE)-50),"-",(VLOOKUP($A365,'NonXtal_SegEnds_BW#'!$A:$Z,4,FALSE)+VLOOKUP($A365,A:AL,4,FALSE)-50))</f>
        <v>50</v>
      </c>
      <c r="F365" s="3" t="str">
        <f>IF(ISERROR(VLOOKUP($A365,'NonXtal_SegEnds_BW#'!$A:$Z,5,FALSE)+VLOOKUP($A365,A:AL,7,FALSE)-50),"-",(VLOOKUP($A365,'NonXtal_SegEnds_BW#'!$A:$Z,5,FALSE)+VLOOKUP($A365,A:AL,7,FALSE)-50))</f>
        <v>-</v>
      </c>
      <c r="G365" s="3" t="s">
        <v>129</v>
      </c>
      <c r="H365" s="3" t="str">
        <f>IF(ISERROR(VLOOKUP($A365,'NonXtal_SegEnds_BW#'!$A:$Z,6,FALSE)+VLOOKUP($A365,A:AL,7,FALSE)-50),"-",(VLOOKUP($A365,'NonXtal_SegEnds_BW#'!$A:$Z,6,FALSE)+VLOOKUP($A365,A:AL,7,FALSE)-50))</f>
        <v>-</v>
      </c>
      <c r="I365" s="3">
        <f>VLOOKUP($A365,'NonXtal_SegEnds_BW#'!$A:$Z,7,FALSE)+J365-50</f>
        <v>54</v>
      </c>
      <c r="J365" s="3">
        <v>67</v>
      </c>
      <c r="K365" s="3">
        <f>VLOOKUP($A365,'NonXtal_SegEnds_BW#'!$A:$Z,8,FALSE)+VLOOKUP($A365,A:AL,10,FALSE)-50</f>
        <v>83</v>
      </c>
      <c r="L365" s="3" t="str">
        <f>IF(ISERROR(VLOOKUP($A365,'NonXtal_SegEnds_BW#'!$A:$Z,9,FALSE)+VLOOKUP($A365,A:AL,13,FALSE)-50),"-",(VLOOKUP($A365,'NonXtal_SegEnds_BW#'!$A:$Z,9,FALSE)+VLOOKUP($A365,A:AL,13,FALSE)-50))</f>
        <v>-</v>
      </c>
      <c r="M365" s="3" t="s">
        <v>129</v>
      </c>
      <c r="N365" s="3" t="str">
        <f>IF(ISERROR(VLOOKUP($A365,'NonXtal_SegEnds_BW#'!$A:$Z,10,FALSE)+VLOOKUP($A365,A:AL,13,FALSE)-50),"-",(VLOOKUP($A365,'NonXtal_SegEnds_BW#'!$A:$Z,10,FALSE)+VLOOKUP($A365,A:AL,13,FALSE)-50))</f>
        <v>-</v>
      </c>
      <c r="O365" s="3">
        <f>VLOOKUP($A365,'NonXtal_SegEnds_BW#'!$A:$Z,11,FALSE)+VLOOKUP($A365,A:AL,16,FALSE)-50</f>
        <v>87</v>
      </c>
      <c r="P365" s="3">
        <v>119</v>
      </c>
      <c r="Q365" s="3">
        <f>VLOOKUP($A365,'NonXtal_SegEnds_BW#'!$A:$Z,12,FALSE)+VLOOKUP($A365,A:AL,16,FALSE)-50</f>
        <v>125</v>
      </c>
      <c r="R365" s="3">
        <f>IF(ISERROR(VLOOKUP($A365,'NonXtal_SegEnds_BW#'!$A:$Z,13,FALSE)+VLOOKUP($A365,A:AL,19,FALSE)-50),"-",VLOOKUP($A365,'NonXtal_SegEnds_BW#'!$A:$Z,13,FALSE)+VLOOKUP($A365,A:AL,19,FALSE)-50)</f>
        <v>126</v>
      </c>
      <c r="S365" s="3">
        <v>126</v>
      </c>
      <c r="T365" s="3">
        <f>IF(ISERROR(VLOOKUP($A365,'NonXtal_SegEnds_BW#'!$A:$Z,14,FALSE)+VLOOKUP($A365,A:AL,19,FALSE)-50),"-",(VLOOKUP($A365,'NonXtal_SegEnds_BW#'!$A:$Z,14,FALSE)+VLOOKUP($A365,A:AL,19,FALSE)-50))</f>
        <v>133</v>
      </c>
      <c r="U365" s="3">
        <f>IF(ISERROR(VLOOKUP($A365,'NonXtal_SegEnds_BW#'!$A:$Z,15,FALSE)+VLOOKUP($A365,A:AL,22,FALSE)-50),"-",VLOOKUP($A365,'NonXtal_SegEnds_BW#'!$A:$Z,15,FALSE)+VLOOKUP($A365,A:AL,22,FALSE)-50)</f>
        <v>135</v>
      </c>
      <c r="V365" s="3">
        <v>146</v>
      </c>
      <c r="W365" s="3">
        <f>IF(ISERROR(VLOOKUP($A365,'NonXtal_SegEnds_BW#'!$A:$Z,16,FALSE)+VLOOKUP($A365,A:AL,22,FALSE)-50),"-",(VLOOKUP($A365,'NonXtal_SegEnds_BW#'!$A:$Z,16,FALSE)+VLOOKUP($A365,A:AL,22,FALSE)-50))</f>
        <v>160</v>
      </c>
      <c r="X365" s="3">
        <f>IF(ISERROR(VLOOKUP($A365,'NonXtal_SegEnds_BW#'!$A:$Z,17,FALSE)+VLOOKUP($A365,A:AL,25,FALSE)-50),"-",(VLOOKUP($A365,'NonXtal_SegEnds_BW#'!$A:$Z,17,FALSE)+VLOOKUP($A365,A:AL,25,FALSE)-50))</f>
        <v>172</v>
      </c>
      <c r="Y365" s="3">
        <v>172</v>
      </c>
      <c r="Z365" s="3">
        <f t="shared" si="190"/>
        <v>174</v>
      </c>
      <c r="AA365" s="3">
        <f>IF(ISERROR(VLOOKUP($A365,'NonXtal_SegEnds_BW#'!$A:$Z,19,FALSE)+VLOOKUP($A365,A:AL,28,FALSE)-50),"-",(VLOOKUP($A365,'NonXtal_SegEnds_BW#'!$A:$Z,19,FALSE)+VLOOKUP($A365,A:AL,28,FALSE)-50))</f>
        <v>178</v>
      </c>
      <c r="AB365" s="3">
        <v>198</v>
      </c>
      <c r="AC365" s="3">
        <f>IF(ISERROR((VLOOKUP($A365,'NonXtal_SegEnds_BW#'!$A:$Z,20,FALSE)+VLOOKUP($A365,A:AL,28,FALSE)-50)),"-",(VLOOKUP($A365,'NonXtal_SegEnds_BW#'!$A:$Z,20,FALSE)+VLOOKUP($A365,A:AL,28,FALSE)-50))</f>
        <v>220</v>
      </c>
      <c r="AD365" s="3">
        <f>IF(ISERROR(VLOOKUP($A365,'NonXtal_SegEnds_BW#'!$A:$Z,21,FALSE)+VLOOKUP($A365,A:AL,31,FALSE)-50),"-",(VLOOKUP($A365,'NonXtal_SegEnds_BW#'!$A:$Z,21,FALSE)+VLOOKUP($A365,A:AL,31,FALSE)-50))</f>
        <v>227</v>
      </c>
      <c r="AE365" s="3">
        <v>248</v>
      </c>
      <c r="AF365" s="3">
        <f>IF(ISERROR((VLOOKUP($A365,'NonXtal_SegEnds_BW#'!$A:$Z,22,FALSE)+VLOOKUP($A365,A:AL,31,FALSE)-50)),"-",(VLOOKUP($A365,'NonXtal_SegEnds_BW#'!$A:$Z,22,FALSE)+VLOOKUP($A365,A:AL,31,FALSE)-50))</f>
        <v>262</v>
      </c>
      <c r="AG365" s="3">
        <f>IF(ISERROR(VLOOKUP($A365,'NonXtal_SegEnds_BW#'!$A:$Z,23,FALSE)+VLOOKUP($A365,A:AL,34,FALSE)-50),"-",(VLOOKUP($A365,'NonXtal_SegEnds_BW#'!$A:$Z,23,FALSE)+VLOOKUP($A365,A:AL,34,FALSE)-50))</f>
        <v>266</v>
      </c>
      <c r="AH365" s="3">
        <v>292</v>
      </c>
      <c r="AI365" s="3">
        <f>IF(ISERROR((VLOOKUP($A365,'NonXtal_SegEnds_BW#'!$A:$Z,24,FALSE)+VLOOKUP($A365,A:AL,34,FALSE)-50)),"-",(VLOOKUP($A365,'NonXtal_SegEnds_BW#'!$A:$Z,24,FALSE)+VLOOKUP($A365,A:AL,34,FALSE)-50))</f>
        <v>298</v>
      </c>
      <c r="AJ365" s="3">
        <f>IF(ISERROR(VLOOKUP($A365,'NonXtal_SegEnds_BW#'!$A:$Z,25,FALSE)+VLOOKUP($A365,A:AL,37,FALSE)-50),"-",(VLOOKUP($A365,'NonXtal_SegEnds_BW#'!$A:$Z,25,FALSE)+VLOOKUP($A365,A:AL,37,FALSE)-50))</f>
        <v>299</v>
      </c>
      <c r="AK365" s="3">
        <v>302</v>
      </c>
      <c r="AL365" s="3">
        <f>IF(ISERROR((VLOOKUP($A365,'NonXtal_SegEnds_BW#'!$A:$Z,26,FALSE)+VLOOKUP($A365,A:AL,37,FALSE)-50)),"-",(VLOOKUP($A365,'NonXtal_SegEnds_BW#'!$A:$Z,26,FALSE)+VLOOKUP($A365,A:AL,37,FALSE)-50))</f>
        <v>309</v>
      </c>
      <c r="AM365" s="71" t="str">
        <f>VLOOKUP(A365,Classification!A:B,2,FALSE)</f>
        <v>A</v>
      </c>
      <c r="AN365" s="71" t="b">
        <f t="shared" si="170"/>
        <v>1</v>
      </c>
      <c r="AO365" s="3" t="str">
        <f t="shared" si="171"/>
        <v>-</v>
      </c>
      <c r="AP365" s="3" t="str">
        <f t="shared" si="172"/>
        <v>-</v>
      </c>
      <c r="AQ365" s="3" t="str">
        <f t="shared" si="173"/>
        <v>-</v>
      </c>
      <c r="AR365" s="3" t="str">
        <f t="shared" si="174"/>
        <v>-</v>
      </c>
      <c r="AS365" s="3">
        <f t="shared" si="175"/>
        <v>1</v>
      </c>
      <c r="AT365" s="3">
        <f t="shared" si="176"/>
        <v>2</v>
      </c>
      <c r="AU365" s="3">
        <f t="shared" si="177"/>
        <v>12</v>
      </c>
      <c r="AV365" s="3">
        <f t="shared" si="178"/>
        <v>4</v>
      </c>
      <c r="AW365" s="3">
        <f t="shared" si="179"/>
        <v>7</v>
      </c>
      <c r="AX365" s="3">
        <f t="shared" si="180"/>
        <v>4</v>
      </c>
      <c r="AY365" s="3">
        <f t="shared" si="181"/>
        <v>1</v>
      </c>
      <c r="AZ365" s="3">
        <f>IF(ISERROR(LEN(VLOOKUP(A365,Seqs!A:E,2,FALSE))-AL365),"-",LEN(VLOOKUP(A365,Seqs!A:E,2,FALSE))-AL365)</f>
        <v>29</v>
      </c>
      <c r="BA365" s="35">
        <f t="shared" si="182"/>
        <v>27</v>
      </c>
      <c r="BB365" s="3">
        <f t="shared" si="183"/>
        <v>20</v>
      </c>
      <c r="BC365" s="3">
        <f t="shared" si="184"/>
        <v>27</v>
      </c>
      <c r="BD365" s="3">
        <f t="shared" si="185"/>
        <v>50</v>
      </c>
      <c r="BE365" s="3">
        <f>AH365-AE365</f>
        <v>44</v>
      </c>
    </row>
    <row r="366" spans="1:57" s="3" customFormat="1" x14ac:dyDescent="0.2">
      <c r="A366" s="3" t="s">
        <v>423</v>
      </c>
      <c r="B366" s="3" t="str">
        <f>LOWER(VLOOKUP(A366,Xtal_Templ!A:B,2,FALSE))</f>
        <v>p2y12_human</v>
      </c>
      <c r="C366" s="3">
        <f>VLOOKUP($A366,'NonXtal_SegEnds_BW#'!$A:$Z,3,FALSE)+D366-50</f>
        <v>10</v>
      </c>
      <c r="D366" s="3">
        <v>32</v>
      </c>
      <c r="E366" s="3">
        <f>IF(ISERROR(VLOOKUP($A366,'NonXtal_SegEnds_BW#'!$A:$Z,4,FALSE)+VLOOKUP($A366,A:AL,4,FALSE)-50),"-",(VLOOKUP($A366,'NonXtal_SegEnds_BW#'!$A:$Z,4,FALSE)+VLOOKUP($A366,A:AL,4,FALSE)-50))</f>
        <v>42</v>
      </c>
      <c r="F366" s="3" t="str">
        <f>IF(ISERROR(VLOOKUP($A366,'NonXtal_SegEnds_BW#'!$A:$Z,5,FALSE)+VLOOKUP($A366,A:AL,7,FALSE)-50),"-",(VLOOKUP($A366,'NonXtal_SegEnds_BW#'!$A:$Z,5,FALSE)+VLOOKUP($A366,A:AL,7,FALSE)-50))</f>
        <v>-</v>
      </c>
      <c r="G366" s="3" t="s">
        <v>129</v>
      </c>
      <c r="H366" s="3" t="str">
        <f>IF(ISERROR(VLOOKUP($A366,'NonXtal_SegEnds_BW#'!$A:$Z,6,FALSE)+VLOOKUP($A366,A:AL,7,FALSE)-50),"-",(VLOOKUP($A366,'NonXtal_SegEnds_BW#'!$A:$Z,6,FALSE)+VLOOKUP($A366,A:AL,7,FALSE)-50))</f>
        <v>-</v>
      </c>
      <c r="I366" s="3">
        <f>VLOOKUP($A366,'NonXtal_SegEnds_BW#'!$A:$Z,7,FALSE)+J366-50</f>
        <v>47</v>
      </c>
      <c r="J366" s="3">
        <v>60</v>
      </c>
      <c r="K366" s="3">
        <f>VLOOKUP($A366,'NonXtal_SegEnds_BW#'!$A:$Z,8,FALSE)+VLOOKUP($A366,A:AL,10,FALSE)-50</f>
        <v>76</v>
      </c>
      <c r="L366" s="3" t="str">
        <f>IF(ISERROR(VLOOKUP($A366,'NonXtal_SegEnds_BW#'!$A:$Z,9,FALSE)+VLOOKUP($A366,A:AL,13,FALSE)-50),"-",(VLOOKUP($A366,'NonXtal_SegEnds_BW#'!$A:$Z,9,FALSE)+VLOOKUP($A366,A:AL,13,FALSE)-50))</f>
        <v>-</v>
      </c>
      <c r="M366" s="3" t="s">
        <v>129</v>
      </c>
      <c r="N366" s="3" t="str">
        <f>IF(ISERROR(VLOOKUP($A366,'NonXtal_SegEnds_BW#'!$A:$Z,10,FALSE)+VLOOKUP($A366,A:AL,13,FALSE)-50),"-",(VLOOKUP($A366,'NonXtal_SegEnds_BW#'!$A:$Z,10,FALSE)+VLOOKUP($A366,A:AL,13,FALSE)-50))</f>
        <v>-</v>
      </c>
      <c r="O366" s="3">
        <f>VLOOKUP($A366,'NonXtal_SegEnds_BW#'!$A:$Z,11,FALSE)+VLOOKUP($A366,A:AL,16,FALSE)-50</f>
        <v>80</v>
      </c>
      <c r="P366" s="3">
        <v>112</v>
      </c>
      <c r="Q366" s="3">
        <f>VLOOKUP($A366,'NonXtal_SegEnds_BW#'!$A:$Z,12,FALSE)+VLOOKUP($A366,A:AL,16,FALSE)-50</f>
        <v>118</v>
      </c>
      <c r="R366" s="3">
        <f>IF(ISERROR(VLOOKUP($A366,'NonXtal_SegEnds_BW#'!$A:$Z,13,FALSE)+VLOOKUP($A366,A:AL,19,FALSE)-50),"-",VLOOKUP($A366,'NonXtal_SegEnds_BW#'!$A:$Z,13,FALSE)+VLOOKUP($A366,A:AL,19,FALSE)-50)</f>
        <v>119</v>
      </c>
      <c r="S366" s="3">
        <v>119</v>
      </c>
      <c r="T366" s="3">
        <f>IF(ISERROR(VLOOKUP($A366,'NonXtal_SegEnds_BW#'!$A:$Z,14,FALSE)+VLOOKUP($A366,A:AL,19,FALSE)-50),"-",(VLOOKUP($A366,'NonXtal_SegEnds_BW#'!$A:$Z,14,FALSE)+VLOOKUP($A366,A:AL,19,FALSE)-50))</f>
        <v>126</v>
      </c>
      <c r="U366" s="3">
        <f>IF(ISERROR(VLOOKUP($A366,'NonXtal_SegEnds_BW#'!$A:$Z,15,FALSE)+VLOOKUP($A366,A:AL,22,FALSE)-50),"-",VLOOKUP($A366,'NonXtal_SegEnds_BW#'!$A:$Z,15,FALSE)+VLOOKUP($A366,A:AL,22,FALSE)-50)</f>
        <v>128</v>
      </c>
      <c r="V366" s="3">
        <v>139</v>
      </c>
      <c r="W366" s="3">
        <f>IF(ISERROR(VLOOKUP($A366,'NonXtal_SegEnds_BW#'!$A:$Z,16,FALSE)+VLOOKUP($A366,A:AL,22,FALSE)-50),"-",(VLOOKUP($A366,'NonXtal_SegEnds_BW#'!$A:$Z,16,FALSE)+VLOOKUP($A366,A:AL,22,FALSE)-50))</f>
        <v>153</v>
      </c>
      <c r="X366" s="3">
        <f>IF(ISERROR(VLOOKUP($A366,'NonXtal_SegEnds_BW#'!$A:$Z,17,FALSE)+VLOOKUP($A366,A:AL,25,FALSE)-50),"-",(VLOOKUP($A366,'NonXtal_SegEnds_BW#'!$A:$Z,17,FALSE)+VLOOKUP($A366,A:AL,25,FALSE)-50))</f>
        <v>165</v>
      </c>
      <c r="Y366" s="3">
        <v>165</v>
      </c>
      <c r="Z366" s="3">
        <f t="shared" si="190"/>
        <v>167</v>
      </c>
      <c r="AA366" s="3">
        <f>IF(ISERROR(VLOOKUP($A366,'NonXtal_SegEnds_BW#'!$A:$Z,19,FALSE)+VLOOKUP($A366,A:AL,28,FALSE)-50),"-",(VLOOKUP($A366,'NonXtal_SegEnds_BW#'!$A:$Z,19,FALSE)+VLOOKUP($A366,A:AL,28,FALSE)-50))</f>
        <v>171</v>
      </c>
      <c r="AB366" s="3">
        <v>191</v>
      </c>
      <c r="AC366" s="3">
        <f>IF(ISERROR((VLOOKUP($A366,'NonXtal_SegEnds_BW#'!$A:$Z,20,FALSE)+VLOOKUP($A366,A:AL,28,FALSE)-50)),"-",(VLOOKUP($A366,'NonXtal_SegEnds_BW#'!$A:$Z,20,FALSE)+VLOOKUP($A366,A:AL,28,FALSE)-50))</f>
        <v>208</v>
      </c>
      <c r="AD366" s="3">
        <f>IF(ISERROR(VLOOKUP($A366,'NonXtal_SegEnds_BW#'!$A:$Z,21,FALSE)+VLOOKUP($A366,A:AL,31,FALSE)-50),"-",(VLOOKUP($A366,'NonXtal_SegEnds_BW#'!$A:$Z,21,FALSE)+VLOOKUP($A366,A:AL,31,FALSE)-50))</f>
        <v>214</v>
      </c>
      <c r="AE366" s="3">
        <v>238</v>
      </c>
      <c r="AF366" s="3">
        <f>IF(ISERROR((VLOOKUP($A366,'NonXtal_SegEnds_BW#'!$A:$Z,22,FALSE)+VLOOKUP($A366,A:AL,31,FALSE)-50)),"-",(VLOOKUP($A366,'NonXtal_SegEnds_BW#'!$A:$Z,22,FALSE)+VLOOKUP($A366,A:AL,31,FALSE)-50))</f>
        <v>252</v>
      </c>
      <c r="AG366" s="3">
        <f>IF(ISERROR(VLOOKUP($A366,'NonXtal_SegEnds_BW#'!$A:$Z,23,FALSE)+VLOOKUP($A366,A:AL,34,FALSE)-50),"-",(VLOOKUP($A366,'NonXtal_SegEnds_BW#'!$A:$Z,23,FALSE)+VLOOKUP($A366,A:AL,34,FALSE)-50))</f>
        <v>256</v>
      </c>
      <c r="AH366" s="3">
        <v>282</v>
      </c>
      <c r="AI366" s="3">
        <f>IF(ISERROR((VLOOKUP($A366,'NonXtal_SegEnds_BW#'!$A:$Z,24,FALSE)+VLOOKUP($A366,A:AL,34,FALSE)-50)),"-",(VLOOKUP($A366,'NonXtal_SegEnds_BW#'!$A:$Z,24,FALSE)+VLOOKUP($A366,A:AL,34,FALSE)-50))</f>
        <v>288</v>
      </c>
      <c r="AJ366" s="3">
        <f>IF(ISERROR(VLOOKUP($A366,'NonXtal_SegEnds_BW#'!$A:$Z,25,FALSE)+VLOOKUP($A366,A:AL,37,FALSE)-50),"-",(VLOOKUP($A366,'NonXtal_SegEnds_BW#'!$A:$Z,25,FALSE)+VLOOKUP($A366,A:AL,37,FALSE)-50))</f>
        <v>289</v>
      </c>
      <c r="AK366" s="3">
        <v>292</v>
      </c>
      <c r="AL366" s="3">
        <f>IF(ISERROR((VLOOKUP($A366,'NonXtal_SegEnds_BW#'!$A:$Z,26,FALSE)+VLOOKUP($A366,A:AL,37,FALSE)-50)),"-",(VLOOKUP($A366,'NonXtal_SegEnds_BW#'!$A:$Z,26,FALSE)+VLOOKUP($A366,A:AL,37,FALSE)-50))</f>
        <v>299</v>
      </c>
      <c r="AM366" s="71" t="str">
        <f>VLOOKUP(A366,Classification!A:B,2,FALSE)</f>
        <v>A</v>
      </c>
      <c r="AN366" s="71" t="b">
        <f t="shared" si="170"/>
        <v>1</v>
      </c>
      <c r="AO366" s="3" t="str">
        <f t="shared" si="171"/>
        <v>-</v>
      </c>
      <c r="AP366" s="3" t="str">
        <f t="shared" si="172"/>
        <v>-</v>
      </c>
      <c r="AQ366" s="3" t="str">
        <f t="shared" si="173"/>
        <v>-</v>
      </c>
      <c r="AR366" s="3" t="str">
        <f t="shared" si="174"/>
        <v>-</v>
      </c>
      <c r="AS366" s="3">
        <f t="shared" si="175"/>
        <v>1</v>
      </c>
      <c r="AT366" s="3">
        <f t="shared" si="176"/>
        <v>2</v>
      </c>
      <c r="AU366" s="3">
        <f t="shared" si="177"/>
        <v>12</v>
      </c>
      <c r="AV366" s="3">
        <f t="shared" si="178"/>
        <v>4</v>
      </c>
      <c r="AW366" s="3">
        <f t="shared" si="179"/>
        <v>6</v>
      </c>
      <c r="AX366" s="3">
        <f t="shared" si="180"/>
        <v>4</v>
      </c>
      <c r="AY366" s="3">
        <f t="shared" si="181"/>
        <v>1</v>
      </c>
      <c r="AZ366" s="3">
        <f>IF(ISERROR(LEN(VLOOKUP(A366,Seqs!A:E,2,FALSE))-AL366),"-",LEN(VLOOKUP(A366,Seqs!A:E,2,FALSE))-AL366)</f>
        <v>20</v>
      </c>
      <c r="BA366" s="35">
        <f t="shared" si="182"/>
        <v>28</v>
      </c>
      <c r="BB366" s="3">
        <f t="shared" si="183"/>
        <v>20</v>
      </c>
      <c r="BC366" s="3">
        <f t="shared" si="184"/>
        <v>28</v>
      </c>
      <c r="BD366" s="3">
        <f t="shared" si="185"/>
        <v>47</v>
      </c>
      <c r="BE366" s="3">
        <f>AH366-AE366</f>
        <v>44</v>
      </c>
    </row>
    <row r="367" spans="1:57" s="3" customFormat="1" x14ac:dyDescent="0.2">
      <c r="A367" s="3" t="s">
        <v>437</v>
      </c>
      <c r="B367" s="3" t="str">
        <f>LOWER(VLOOKUP(A367,Xtal_Templ!A:B,2,FALSE))</f>
        <v>par1_human</v>
      </c>
      <c r="C367" s="3">
        <f>VLOOKUP($A367,'NonXtal_SegEnds_BW#'!$A:$Z,3,FALSE)+D367-50</f>
        <v>50</v>
      </c>
      <c r="D367" s="3">
        <v>71</v>
      </c>
      <c r="E367" s="3">
        <f>IF(ISERROR(VLOOKUP($A367,'NonXtal_SegEnds_BW#'!$A:$Z,4,FALSE)+VLOOKUP($A367,A:AL,4,FALSE)-50),"-",(VLOOKUP($A367,'NonXtal_SegEnds_BW#'!$A:$Z,4,FALSE)+VLOOKUP($A367,A:AL,4,FALSE)-50))</f>
        <v>81</v>
      </c>
      <c r="F367" s="3">
        <f>G367-2</f>
        <v>82</v>
      </c>
      <c r="G367" s="3">
        <v>84</v>
      </c>
      <c r="H367" s="3">
        <f>G367+1</f>
        <v>85</v>
      </c>
      <c r="I367" s="3">
        <f>H367+1</f>
        <v>86</v>
      </c>
      <c r="J367" s="3">
        <v>99</v>
      </c>
      <c r="K367" s="3">
        <f>VLOOKUP($A367,'NonXtal_SegEnds_BW#'!$A:$Z,8,FALSE)+VLOOKUP($A367,A:AL,10,FALSE)-50</f>
        <v>115</v>
      </c>
      <c r="L367" s="3" t="str">
        <f>IF(ISERROR(VLOOKUP($A367,'NonXtal_SegEnds_BW#'!$A:$Z,9,FALSE)+VLOOKUP($A367,A:AL,13,FALSE)-50),"-",(VLOOKUP($A367,'NonXtal_SegEnds_BW#'!$A:$Z,9,FALSE)+VLOOKUP($A367,A:AL,13,FALSE)-50))</f>
        <v>-</v>
      </c>
      <c r="M367" s="3" t="s">
        <v>129</v>
      </c>
      <c r="N367" s="3" t="str">
        <f>IF(ISERROR(VLOOKUP($A367,'NonXtal_SegEnds_BW#'!$A:$Z,10,FALSE)+VLOOKUP($A367,A:AL,13,FALSE)-50),"-",(VLOOKUP($A367,'NonXtal_SegEnds_BW#'!$A:$Z,10,FALSE)+VLOOKUP($A367,A:AL,13,FALSE)-50))</f>
        <v>-</v>
      </c>
      <c r="O367" s="3">
        <f>VLOOKUP($A367,'NonXtal_SegEnds_BW#'!$A:$Z,11,FALSE)+VLOOKUP($A367,A:AL,16,FALSE)-50</f>
        <v>122</v>
      </c>
      <c r="P367" s="3">
        <v>148</v>
      </c>
      <c r="Q367" s="3">
        <f>VLOOKUP($A367,'NonXtal_SegEnds_BW#'!$A:$Z,12,FALSE)+VLOOKUP($A367,A:AL,16,FALSE)-50</f>
        <v>154</v>
      </c>
      <c r="R367" s="3">
        <f>IF(ISERROR(VLOOKUP($A367,'NonXtal_SegEnds_BW#'!$A:$Z,13,FALSE)+VLOOKUP($A367,A:AL,19,FALSE)-50),"-",VLOOKUP($A367,'NonXtal_SegEnds_BW#'!$A:$Z,13,FALSE)+VLOOKUP($A367,A:AL,19,FALSE)-50)</f>
        <v>155</v>
      </c>
      <c r="S367" s="3">
        <v>155</v>
      </c>
      <c r="T367" s="3">
        <f>IF(ISERROR(VLOOKUP($A367,'NonXtal_SegEnds_BW#'!$A:$Z,14,FALSE)+VLOOKUP($A367,A:AL,19,FALSE)-50),"-",(VLOOKUP($A367,'NonXtal_SegEnds_BW#'!$A:$Z,14,FALSE)+VLOOKUP($A367,A:AL,19,FALSE)-50))</f>
        <v>162</v>
      </c>
      <c r="U367" s="3">
        <f>IF(ISERROR(VLOOKUP($A367,'NonXtal_SegEnds_BW#'!$A:$Z,15,FALSE)+VLOOKUP($A367,A:AL,22,FALSE)-50),"-",VLOOKUP($A367,'NonXtal_SegEnds_BW#'!$A:$Z,15,FALSE)+VLOOKUP($A367,A:AL,22,FALSE)-50)</f>
        <v>164</v>
      </c>
      <c r="V367" s="3">
        <v>175</v>
      </c>
      <c r="W367" s="3">
        <f>IF(ISERROR(VLOOKUP($A367,'NonXtal_SegEnds_BW#'!$A:$Z,16,FALSE)+VLOOKUP($A367,A:AL,22,FALSE)-50),"-",(VLOOKUP($A367,'NonXtal_SegEnds_BW#'!$A:$Z,16,FALSE)+VLOOKUP($A367,A:AL,22,FALSE)-50))</f>
        <v>188</v>
      </c>
      <c r="X367" s="3" t="str">
        <f>IF(ISERROR(VLOOKUP($A367,'NonXtal_SegEnds_BW#'!$A:$Z,17,FALSE)+VLOOKUP($A367,A:AL,25,FALSE)-50),"-",(VLOOKUP($A367,'NonXtal_SegEnds_BW#'!$A:$Z,17,FALSE)+VLOOKUP($A367,A:AL,25,FALSE)-50))</f>
        <v>-</v>
      </c>
      <c r="Y367" s="3" t="s">
        <v>129</v>
      </c>
      <c r="Z367" s="3" t="str">
        <f>IF(ISERROR(VLOOKUP($A367,'NonXtal_SegEnds_BW#'!$A:$Z,18,FALSE)+VLOOKUP($A367,A:AL,25,FALSE)-50),"-",(VLOOKUP($A367,'NonXtal_SegEnds_BW#'!$A:$Z,18,FALSE)+VLOOKUP($A367,A:AL,25,FALSE)-50))</f>
        <v>-</v>
      </c>
      <c r="AA367" s="3">
        <f>IF(ISERROR(VLOOKUP($A367,'NonXtal_SegEnds_BW#'!$A:$Z,19,FALSE)+VLOOKUP($A367,A:AL,28,FALSE)-50),"-",(VLOOKUP($A367,'NonXtal_SegEnds_BW#'!$A:$Z,19,FALSE)+VLOOKUP($A367,A:AL,28,FALSE)-50))</f>
        <v>190</v>
      </c>
      <c r="AB367" s="3">
        <v>208</v>
      </c>
      <c r="AC367" s="3">
        <f>IF(ISERROR((VLOOKUP($A367,'NonXtal_SegEnds_BW#'!$A:$Z,20,FALSE)+VLOOKUP($A367,A:AL,28,FALSE)-50)),"-",(VLOOKUP($A367,'NonXtal_SegEnds_BW#'!$A:$Z,20,FALSE)+VLOOKUP($A367,A:AL,28,FALSE)-50))</f>
        <v>226</v>
      </c>
      <c r="AD367" s="3">
        <f>IF(ISERROR(VLOOKUP($A367,'NonXtal_SegEnds_BW#'!$A:$Z,21,FALSE)+VLOOKUP($A367,A:AL,31,FALSE)-50),"-",(VLOOKUP($A367,'NonXtal_SegEnds_BW#'!$A:$Z,21,FALSE)+VLOOKUP($A367,A:AL,31,FALSE)-50))</f>
        <v>234</v>
      </c>
      <c r="AE367" s="3">
        <v>256</v>
      </c>
      <c r="AF367" s="3">
        <f>IF(ISERROR((VLOOKUP($A367,'NonXtal_SegEnds_BW#'!$A:$Z,22,FALSE)+VLOOKUP($A367,A:AL,31,FALSE)-50)),"-",(VLOOKUP($A367,'NonXtal_SegEnds_BW#'!$A:$Z,22,FALSE)+VLOOKUP($A367,A:AL,31,FALSE)-50))</f>
        <v>267</v>
      </c>
      <c r="AG367" s="3">
        <f>IF(ISERROR(VLOOKUP($A367,'NonXtal_SegEnds_BW#'!$A:$Z,23,FALSE)+VLOOKUP($A367,A:AL,34,FALSE)-50),"-",(VLOOKUP($A367,'NonXtal_SegEnds_BW#'!$A:$Z,23,FALSE)+VLOOKUP($A367,A:AL,34,FALSE)-50))</f>
        <v>272</v>
      </c>
      <c r="AH367" s="3">
        <v>294</v>
      </c>
      <c r="AI367" s="3">
        <f>IF(ISERROR((VLOOKUP($A367,'NonXtal_SegEnds_BW#'!$A:$Z,24,FALSE)+VLOOKUP($A367,A:AL,34,FALSE)-50)),"-",(VLOOKUP($A367,'NonXtal_SegEnds_BW#'!$A:$Z,24,FALSE)+VLOOKUP($A367,A:AL,34,FALSE)-50))</f>
        <v>300</v>
      </c>
      <c r="AJ367" s="3">
        <f>IF(ISERROR(VLOOKUP($A367,'NonXtal_SegEnds_BW#'!$A:$Z,25,FALSE)+VLOOKUP($A367,A:AL,37,FALSE)-50),"-",(VLOOKUP($A367,'NonXtal_SegEnds_BW#'!$A:$Z,25,FALSE)+VLOOKUP($A367,A:AL,37,FALSE)-50))</f>
        <v>301</v>
      </c>
      <c r="AK367" s="3">
        <v>304</v>
      </c>
      <c r="AL367" s="3">
        <f>IF(ISERROR((VLOOKUP($A367,'NonXtal_SegEnds_BW#'!$A:$Z,26,FALSE)+VLOOKUP($A367,A:AL,37,FALSE)-50)),"-",(VLOOKUP($A367,'NonXtal_SegEnds_BW#'!$A:$Z,26,FALSE)+VLOOKUP($A367,A:AL,37,FALSE)-50))</f>
        <v>315</v>
      </c>
      <c r="AM367" s="71" t="str">
        <f>VLOOKUP(A367,Classification!A:B,2,FALSE)</f>
        <v>A</v>
      </c>
      <c r="AN367" s="71" t="b">
        <f t="shared" si="170"/>
        <v>1</v>
      </c>
      <c r="AO367" s="3">
        <f t="shared" si="171"/>
        <v>1</v>
      </c>
      <c r="AP367" s="3">
        <f t="shared" si="172"/>
        <v>1</v>
      </c>
      <c r="AQ367" s="3" t="str">
        <f t="shared" si="173"/>
        <v>-</v>
      </c>
      <c r="AR367" s="3" t="str">
        <f t="shared" si="174"/>
        <v>-</v>
      </c>
      <c r="AS367" s="3">
        <f t="shared" si="175"/>
        <v>1</v>
      </c>
      <c r="AT367" s="3">
        <f t="shared" si="176"/>
        <v>2</v>
      </c>
      <c r="AU367" s="3" t="str">
        <f t="shared" si="177"/>
        <v>-</v>
      </c>
      <c r="AV367" s="3" t="str">
        <f t="shared" si="178"/>
        <v>-</v>
      </c>
      <c r="AW367" s="3">
        <f t="shared" si="179"/>
        <v>8</v>
      </c>
      <c r="AX367" s="3">
        <f t="shared" si="180"/>
        <v>5</v>
      </c>
      <c r="AY367" s="3">
        <f t="shared" si="181"/>
        <v>1</v>
      </c>
      <c r="AZ367" s="3">
        <f>IF(ISERROR(LEN(VLOOKUP(A367,Seqs!A:E,2,FALSE))-AL367),"-",LEN(VLOOKUP(A367,Seqs!A:E,2,FALSE))-AL367)</f>
        <v>43</v>
      </c>
      <c r="BA367" s="35">
        <f t="shared" si="182"/>
        <v>28</v>
      </c>
      <c r="BB367" s="3">
        <f t="shared" si="183"/>
        <v>20</v>
      </c>
      <c r="BC367" s="3">
        <f t="shared" si="184"/>
        <v>28</v>
      </c>
      <c r="BD367" s="3">
        <f t="shared" si="185"/>
        <v>48</v>
      </c>
    </row>
    <row r="368" spans="1:57" s="3" customFormat="1" x14ac:dyDescent="0.2">
      <c r="A368" s="3" t="s">
        <v>496</v>
      </c>
      <c r="B368" s="3" t="str">
        <f>LOWER(VLOOKUP(A368,Xtal_Templ!A:B,2,FALSE))</f>
        <v>par1_human</v>
      </c>
      <c r="C368" s="3">
        <f>VLOOKUP($A368,'NonXtal_SegEnds_BW#'!$A:$Z,3,FALSE)+D368-50</f>
        <v>21</v>
      </c>
      <c r="D368" s="3">
        <v>42</v>
      </c>
      <c r="E368" s="3">
        <f>IF(ISERROR(VLOOKUP($A368,'NonXtal_SegEnds_BW#'!$A:$Z,4,FALSE)+VLOOKUP($A368,A:AL,4,FALSE)-50),"-",(VLOOKUP($A368,'NonXtal_SegEnds_BW#'!$A:$Z,4,FALSE)+VLOOKUP($A368,A:AL,4,FALSE)-50))</f>
        <v>52</v>
      </c>
      <c r="F368" s="3" t="str">
        <f>IF(ISERROR(VLOOKUP($A368,'NonXtal_SegEnds_BW#'!$A:$Z,5,FALSE)+VLOOKUP($A368,A:AL,7,FALSE)-50),"-",(VLOOKUP($A368,'NonXtal_SegEnds_BW#'!$A:$Z,5,FALSE)+VLOOKUP($A368,A:AL,7,FALSE)-50))</f>
        <v>-</v>
      </c>
      <c r="G368" s="3" t="s">
        <v>129</v>
      </c>
      <c r="H368" s="3" t="str">
        <f>IF(ISERROR(VLOOKUP($A368,'NonXtal_SegEnds_BW#'!$A:$Z,6,FALSE)+VLOOKUP($A368,A:AL,7,FALSE)-50),"-",(VLOOKUP($A368,'NonXtal_SegEnds_BW#'!$A:$Z,6,FALSE)+VLOOKUP($A368,A:AL,7,FALSE)-50))</f>
        <v>-</v>
      </c>
      <c r="I368" s="3">
        <f>VLOOKUP($A368,'NonXtal_SegEnds_BW#'!$A:$Z,7,FALSE)+J368-50</f>
        <v>56</v>
      </c>
      <c r="J368" s="3">
        <v>69</v>
      </c>
      <c r="K368" s="3">
        <f>VLOOKUP($A368,'NonXtal_SegEnds_BW#'!$A:$Z,8,FALSE)+VLOOKUP($A368,A:AL,10,FALSE)-50</f>
        <v>85</v>
      </c>
      <c r="L368" s="3" t="str">
        <f>IF(ISERROR(VLOOKUP($A368,'NonXtal_SegEnds_BW#'!$A:$Z,9,FALSE)+VLOOKUP($A368,A:AL,13,FALSE)-50),"-",(VLOOKUP($A368,'NonXtal_SegEnds_BW#'!$A:$Z,9,FALSE)+VLOOKUP($A368,A:AL,13,FALSE)-50))</f>
        <v>-</v>
      </c>
      <c r="M368" s="3" t="s">
        <v>129</v>
      </c>
      <c r="N368" s="3" t="str">
        <f>IF(ISERROR(VLOOKUP($A368,'NonXtal_SegEnds_BW#'!$A:$Z,10,FALSE)+VLOOKUP($A368,A:AL,13,FALSE)-50),"-",(VLOOKUP($A368,'NonXtal_SegEnds_BW#'!$A:$Z,10,FALSE)+VLOOKUP($A368,A:AL,13,FALSE)-50))</f>
        <v>-</v>
      </c>
      <c r="O368" s="3">
        <f>VLOOKUP($A368,'NonXtal_SegEnds_BW#'!$A:$Z,11,FALSE)+VLOOKUP($A368,A:AL,16,FALSE)-50</f>
        <v>89</v>
      </c>
      <c r="P368" s="3">
        <v>121</v>
      </c>
      <c r="Q368" s="3">
        <f>VLOOKUP($A368,'NonXtal_SegEnds_BW#'!$A:$Z,12,FALSE)+VLOOKUP($A368,A:AL,16,FALSE)-50</f>
        <v>127</v>
      </c>
      <c r="R368" s="3">
        <f>IF(ISERROR(VLOOKUP($A368,'NonXtal_SegEnds_BW#'!$A:$Z,13,FALSE)+VLOOKUP($A368,A:AL,19,FALSE)-50),"-",VLOOKUP($A368,'NonXtal_SegEnds_BW#'!$A:$Z,13,FALSE)+VLOOKUP($A368,A:AL,19,FALSE)-50)</f>
        <v>128</v>
      </c>
      <c r="S368" s="3">
        <v>128</v>
      </c>
      <c r="T368" s="3">
        <f>IF(ISERROR(VLOOKUP($A368,'NonXtal_SegEnds_BW#'!$A:$Z,14,FALSE)+VLOOKUP($A368,A:AL,19,FALSE)-50),"-",(VLOOKUP($A368,'NonXtal_SegEnds_BW#'!$A:$Z,14,FALSE)+VLOOKUP($A368,A:AL,19,FALSE)-50))</f>
        <v>135</v>
      </c>
      <c r="U368" s="3">
        <f>IF(ISERROR(VLOOKUP($A368,'NonXtal_SegEnds_BW#'!$A:$Z,15,FALSE)+VLOOKUP($A368,A:AL,22,FALSE)-50),"-",VLOOKUP($A368,'NonXtal_SegEnds_BW#'!$A:$Z,15,FALSE)+VLOOKUP($A368,A:AL,22,FALSE)-50)</f>
        <v>137</v>
      </c>
      <c r="V368" s="3">
        <v>148</v>
      </c>
      <c r="W368" s="3">
        <f>IF(ISERROR(VLOOKUP($A368,'NonXtal_SegEnds_BW#'!$A:$Z,16,FALSE)+VLOOKUP($A368,A:AL,22,FALSE)-50),"-",(VLOOKUP($A368,'NonXtal_SegEnds_BW#'!$A:$Z,16,FALSE)+VLOOKUP($A368,A:AL,22,FALSE)-50))</f>
        <v>161</v>
      </c>
      <c r="X368" s="3" t="str">
        <f>IF(ISERROR(VLOOKUP($A368,'NonXtal_SegEnds_BW#'!$A:$Z,17,FALSE)+VLOOKUP($A368,A:AL,25,FALSE)-50),"-",(VLOOKUP($A368,'NonXtal_SegEnds_BW#'!$A:$Z,17,FALSE)+VLOOKUP($A368,A:AL,25,FALSE)-50))</f>
        <v>-</v>
      </c>
      <c r="Y368" s="3" t="s">
        <v>129</v>
      </c>
      <c r="Z368" s="3" t="str">
        <f>IF(ISERROR(VLOOKUP($A368,'NonXtal_SegEnds_BW#'!$A:$Z,18,FALSE)+VLOOKUP($A368,A:AL,25,FALSE)-50),"-",(VLOOKUP($A368,'NonXtal_SegEnds_BW#'!$A:$Z,18,FALSE)+VLOOKUP($A368,A:AL,25,FALSE)-50))</f>
        <v>-</v>
      </c>
      <c r="AA368" s="3">
        <f>IF(ISERROR(VLOOKUP($A368,'NonXtal_SegEnds_BW#'!$A:$Z,19,FALSE)+VLOOKUP($A368,A:AL,28,FALSE)-50),"-",(VLOOKUP($A368,'NonXtal_SegEnds_BW#'!$A:$Z,19,FALSE)+VLOOKUP($A368,A:AL,28,FALSE)-50))</f>
        <v>172</v>
      </c>
      <c r="AB368" s="3">
        <v>190</v>
      </c>
      <c r="AC368" s="3">
        <f>IF(ISERROR((VLOOKUP($A368,'NonXtal_SegEnds_BW#'!$A:$Z,20,FALSE)+VLOOKUP($A368,A:AL,28,FALSE)-50)),"-",(VLOOKUP($A368,'NonXtal_SegEnds_BW#'!$A:$Z,20,FALSE)+VLOOKUP($A368,A:AL,28,FALSE)-50))</f>
        <v>208</v>
      </c>
      <c r="AD368" s="3">
        <f>IF(ISERROR(VLOOKUP($A368,'NonXtal_SegEnds_BW#'!$A:$Z,21,FALSE)+VLOOKUP($A368,A:AL,31,FALSE)-50),"-",(VLOOKUP($A368,'NonXtal_SegEnds_BW#'!$A:$Z,21,FALSE)+VLOOKUP($A368,A:AL,31,FALSE)-50))</f>
        <v>212</v>
      </c>
      <c r="AE368" s="3">
        <v>232</v>
      </c>
      <c r="AF368" s="3">
        <f>IF(ISERROR((VLOOKUP($A368,'NonXtal_SegEnds_BW#'!$A:$Z,22,FALSE)+VLOOKUP($A368,A:AL,31,FALSE)-50)),"-",(VLOOKUP($A368,'NonXtal_SegEnds_BW#'!$A:$Z,22,FALSE)+VLOOKUP($A368,A:AL,31,FALSE)-50))</f>
        <v>243</v>
      </c>
      <c r="AG368" s="3">
        <f>IF(ISERROR(VLOOKUP($A368,'NonXtal_SegEnds_BW#'!$A:$Z,23,FALSE)+VLOOKUP($A368,A:AL,34,FALSE)-50),"-",(VLOOKUP($A368,'NonXtal_SegEnds_BW#'!$A:$Z,23,FALSE)+VLOOKUP($A368,A:AL,34,FALSE)-50))</f>
        <v>248</v>
      </c>
      <c r="AH368" s="3">
        <v>266</v>
      </c>
      <c r="AI368" s="3">
        <f>IF(ISERROR((VLOOKUP($A368,'NonXtal_SegEnds_BW#'!$A:$Z,24,FALSE)+VLOOKUP($A368,A:AL,34,FALSE)-50)),"-",(VLOOKUP($A368,'NonXtal_SegEnds_BW#'!$A:$Z,24,FALSE)+VLOOKUP($A368,A:AL,34,FALSE)-50))</f>
        <v>272</v>
      </c>
      <c r="AJ368" s="3">
        <f>IF(ISERROR(VLOOKUP($A368,'NonXtal_SegEnds_BW#'!$A:$Z,25,FALSE)+VLOOKUP($A368,A:AL,37,FALSE)-50),"-",(VLOOKUP($A368,'NonXtal_SegEnds_BW#'!$A:$Z,25,FALSE)+VLOOKUP($A368,A:AL,37,FALSE)-50))</f>
        <v>273</v>
      </c>
      <c r="AK368" s="3">
        <v>276</v>
      </c>
      <c r="AL368" s="3">
        <f>IF(ISERROR((VLOOKUP($A368,'NonXtal_SegEnds_BW#'!$A:$Z,26,FALSE)+VLOOKUP($A368,A:AL,37,FALSE)-50)),"-",(VLOOKUP($A368,'NonXtal_SegEnds_BW#'!$A:$Z,26,FALSE)+VLOOKUP($A368,A:AL,37,FALSE)-50))</f>
        <v>287</v>
      </c>
      <c r="AM368" s="71" t="str">
        <f>VLOOKUP(A368,Classification!A:B,2,FALSE)</f>
        <v>A</v>
      </c>
      <c r="AN368" s="71" t="b">
        <f t="shared" si="170"/>
        <v>1</v>
      </c>
      <c r="AO368" s="3" t="str">
        <f t="shared" si="171"/>
        <v>-</v>
      </c>
      <c r="AP368" s="3" t="str">
        <f t="shared" si="172"/>
        <v>-</v>
      </c>
      <c r="AQ368" s="3" t="str">
        <f t="shared" si="173"/>
        <v>-</v>
      </c>
      <c r="AR368" s="3" t="str">
        <f t="shared" si="174"/>
        <v>-</v>
      </c>
      <c r="AS368" s="3">
        <f t="shared" si="175"/>
        <v>1</v>
      </c>
      <c r="AT368" s="3">
        <f t="shared" si="176"/>
        <v>2</v>
      </c>
      <c r="AU368" s="3" t="str">
        <f t="shared" si="177"/>
        <v>-</v>
      </c>
      <c r="AV368" s="3" t="str">
        <f t="shared" si="178"/>
        <v>-</v>
      </c>
      <c r="AW368" s="3">
        <f t="shared" si="179"/>
        <v>4</v>
      </c>
      <c r="AX368" s="3">
        <f t="shared" si="180"/>
        <v>5</v>
      </c>
      <c r="AY368" s="3">
        <f t="shared" si="181"/>
        <v>1</v>
      </c>
      <c r="AZ368" s="3">
        <f>IF(ISERROR(LEN(VLOOKUP(A368,Seqs!A:E,2,FALSE))-AL368),"-",LEN(VLOOKUP(A368,Seqs!A:E,2,FALSE))-AL368)</f>
        <v>25</v>
      </c>
      <c r="BA368" s="35">
        <f t="shared" si="182"/>
        <v>27</v>
      </c>
      <c r="BB368" s="3">
        <f t="shared" si="183"/>
        <v>20</v>
      </c>
      <c r="BC368" s="3">
        <f t="shared" si="184"/>
        <v>27</v>
      </c>
      <c r="BD368" s="3">
        <f t="shared" si="185"/>
        <v>42</v>
      </c>
      <c r="BE368" s="3">
        <f>AH368-AE368</f>
        <v>34</v>
      </c>
    </row>
    <row r="369" spans="1:58" s="3" customFormat="1" x14ac:dyDescent="0.2">
      <c r="A369" s="3" t="s">
        <v>549</v>
      </c>
      <c r="B369" s="3" t="str">
        <f>LOWER(VLOOKUP(A369,Xtal_Templ!A:B,2,FALSE))</f>
        <v>par1_human</v>
      </c>
      <c r="C369" s="3">
        <f>VLOOKUP($A369,'NonXtal_SegEnds_BW#'!$A:$Z,3,FALSE)+D369-50</f>
        <v>99</v>
      </c>
      <c r="D369" s="3">
        <v>120</v>
      </c>
      <c r="E369" s="3">
        <f>IF(ISERROR(VLOOKUP($A369,'NonXtal_SegEnds_BW#'!$A:$Z,4,FALSE)+VLOOKUP($A369,A:AL,4,FALSE)-50),"-",(VLOOKUP($A369,'NonXtal_SegEnds_BW#'!$A:$Z,4,FALSE)+VLOOKUP($A369,A:AL,4,FALSE)-50))</f>
        <v>130</v>
      </c>
      <c r="F369" s="3">
        <f>G369-2</f>
        <v>131</v>
      </c>
      <c r="G369" s="3">
        <v>133</v>
      </c>
      <c r="H369" s="3">
        <f>G369+1</f>
        <v>134</v>
      </c>
      <c r="I369" s="3">
        <f>H369+1</f>
        <v>135</v>
      </c>
      <c r="J369" s="3">
        <v>148</v>
      </c>
      <c r="K369" s="3">
        <f>VLOOKUP($A369,'NonXtal_SegEnds_BW#'!$A:$Z,8,FALSE)+VLOOKUP($A369,A:AL,10,FALSE)-50</f>
        <v>164</v>
      </c>
      <c r="L369" s="3">
        <f t="shared" ref="L369:L375" si="191">M369-1</f>
        <v>167</v>
      </c>
      <c r="M369" s="3">
        <v>168</v>
      </c>
      <c r="N369" s="3">
        <f t="shared" ref="N369:N375" si="192">M369+2</f>
        <v>170</v>
      </c>
      <c r="O369" s="3">
        <f t="shared" ref="O369:O375" si="193">N369+1</f>
        <v>171</v>
      </c>
      <c r="P369" s="3">
        <v>200</v>
      </c>
      <c r="Q369" s="3">
        <f>VLOOKUP($A369,'NonXtal_SegEnds_BW#'!$A:$Z,12,FALSE)+VLOOKUP($A369,A:AL,16,FALSE)-50</f>
        <v>206</v>
      </c>
      <c r="R369" s="3">
        <f>IF(ISERROR(VLOOKUP($A369,'NonXtal_SegEnds_BW#'!$A:$Z,13,FALSE)+VLOOKUP($A369,A:AL,19,FALSE)-50),"-",VLOOKUP($A369,'NonXtal_SegEnds_BW#'!$A:$Z,13,FALSE)+VLOOKUP($A369,A:AL,19,FALSE)-50)</f>
        <v>207</v>
      </c>
      <c r="S369" s="3">
        <v>207</v>
      </c>
      <c r="T369" s="3">
        <f>IF(ISERROR(VLOOKUP($A369,'NonXtal_SegEnds_BW#'!$A:$Z,14,FALSE)+VLOOKUP($A369,A:AL,19,FALSE)-50),"-",(VLOOKUP($A369,'NonXtal_SegEnds_BW#'!$A:$Z,14,FALSE)+VLOOKUP($A369,A:AL,19,FALSE)-50))</f>
        <v>214</v>
      </c>
      <c r="U369" s="3">
        <f>IF(ISERROR(VLOOKUP($A369,'NonXtal_SegEnds_BW#'!$A:$Z,15,FALSE)+VLOOKUP($A369,A:AL,22,FALSE)-50),"-",VLOOKUP($A369,'NonXtal_SegEnds_BW#'!$A:$Z,15,FALSE)+VLOOKUP($A369,A:AL,22,FALSE)-50)</f>
        <v>216</v>
      </c>
      <c r="V369" s="3">
        <v>227</v>
      </c>
      <c r="W369" s="3">
        <f>IF(ISERROR(VLOOKUP($A369,'NonXtal_SegEnds_BW#'!$A:$Z,16,FALSE)+VLOOKUP($A369,A:AL,22,FALSE)-50),"-",(VLOOKUP($A369,'NonXtal_SegEnds_BW#'!$A:$Z,16,FALSE)+VLOOKUP($A369,A:AL,22,FALSE)-50))</f>
        <v>240</v>
      </c>
      <c r="X369" s="3">
        <f>IF(ISERROR(VLOOKUP($A369,'NonXtal_SegEnds_BW#'!$A:$Z,17,FALSE)+VLOOKUP($A369,A:AL,25,FALSE)-50),"-",(VLOOKUP($A369,'NonXtal_SegEnds_BW#'!$A:$Z,17,FALSE)+VLOOKUP($A369,A:AL,25,FALSE)-50))</f>
        <v>254</v>
      </c>
      <c r="Y369" s="3">
        <v>254</v>
      </c>
      <c r="Z369" s="3">
        <f t="shared" ref="Z369:Z377" si="194">Y369+2</f>
        <v>256</v>
      </c>
      <c r="AA369" s="3">
        <f>IF(ISERROR(VLOOKUP($A369,'NonXtal_SegEnds_BW#'!$A:$Z,19,FALSE)+VLOOKUP($A369,A:AL,28,FALSE)-50),"-",(VLOOKUP($A369,'NonXtal_SegEnds_BW#'!$A:$Z,19,FALSE)+VLOOKUP($A369,A:AL,28,FALSE)-50))</f>
        <v>264</v>
      </c>
      <c r="AB369" s="3">
        <v>282</v>
      </c>
      <c r="AC369" s="3">
        <f>IF(ISERROR((VLOOKUP($A369,'NonXtal_SegEnds_BW#'!$A:$Z,20,FALSE)+VLOOKUP($A369,A:AL,28,FALSE)-50)),"-",(VLOOKUP($A369,'NonXtal_SegEnds_BW#'!$A:$Z,20,FALSE)+VLOOKUP($A369,A:AL,28,FALSE)-50))</f>
        <v>299</v>
      </c>
      <c r="AD369" s="3">
        <f>IF(ISERROR(VLOOKUP($A369,'NonXtal_SegEnds_BW#'!$A:$Z,21,FALSE)+VLOOKUP($A369,A:AL,31,FALSE)-50),"-",(VLOOKUP($A369,'NonXtal_SegEnds_BW#'!$A:$Z,21,FALSE)+VLOOKUP($A369,A:AL,31,FALSE)-50))</f>
        <v>304</v>
      </c>
      <c r="AE369" s="3">
        <v>328</v>
      </c>
      <c r="AF369" s="3">
        <f>IF(ISERROR((VLOOKUP($A369,'NonXtal_SegEnds_BW#'!$A:$Z,22,FALSE)+VLOOKUP($A369,A:AL,31,FALSE)-50)),"-",(VLOOKUP($A369,'NonXtal_SegEnds_BW#'!$A:$Z,22,FALSE)+VLOOKUP($A369,A:AL,31,FALSE)-50))</f>
        <v>340</v>
      </c>
      <c r="AG369" s="3">
        <f>IF(ISERROR(VLOOKUP($A369,'NonXtal_SegEnds_BW#'!$A:$Z,23,FALSE)+VLOOKUP($A369,A:AL,34,FALSE)-50),"-",(VLOOKUP($A369,'NonXtal_SegEnds_BW#'!$A:$Z,23,FALSE)+VLOOKUP($A369,A:AL,34,FALSE)-50))</f>
        <v>346</v>
      </c>
      <c r="AH369" s="3">
        <v>368</v>
      </c>
      <c r="AI369" s="3">
        <f>IF(ISERROR((VLOOKUP($A369,'NonXtal_SegEnds_BW#'!$A:$Z,24,FALSE)+VLOOKUP($A369,A:AL,34,FALSE)-50)),"-",(VLOOKUP($A369,'NonXtal_SegEnds_BW#'!$A:$Z,24,FALSE)+VLOOKUP($A369,A:AL,34,FALSE)-50))</f>
        <v>374</v>
      </c>
      <c r="AJ369" s="3">
        <f>IF(ISERROR(VLOOKUP($A369,'NonXtal_SegEnds_BW#'!$A:$Z,25,FALSE)+VLOOKUP($A369,A:AL,37,FALSE)-50),"-",(VLOOKUP($A369,'NonXtal_SegEnds_BW#'!$A:$Z,25,FALSE)+VLOOKUP($A369,A:AL,37,FALSE)-50))</f>
        <v>375</v>
      </c>
      <c r="AK369" s="3">
        <v>378</v>
      </c>
      <c r="AL369" s="3">
        <f>IF(ISERROR((VLOOKUP($A369,'NonXtal_SegEnds_BW#'!$A:$Z,26,FALSE)+VLOOKUP($A369,A:AL,37,FALSE)-50)),"-",(VLOOKUP($A369,'NonXtal_SegEnds_BW#'!$A:$Z,26,FALSE)+VLOOKUP($A369,A:AL,37,FALSE)-50))</f>
        <v>389</v>
      </c>
      <c r="AM369" s="71" t="str">
        <f>VLOOKUP(A369,Classification!A:B,2,FALSE)</f>
        <v>A</v>
      </c>
      <c r="AN369" s="71" t="b">
        <f t="shared" si="170"/>
        <v>1</v>
      </c>
      <c r="AO369" s="3">
        <f t="shared" si="171"/>
        <v>1</v>
      </c>
      <c r="AP369" s="3">
        <f t="shared" si="172"/>
        <v>1</v>
      </c>
      <c r="AQ369" s="3">
        <f t="shared" si="173"/>
        <v>3</v>
      </c>
      <c r="AR369" s="3">
        <f t="shared" si="174"/>
        <v>1</v>
      </c>
      <c r="AS369" s="3">
        <f t="shared" si="175"/>
        <v>1</v>
      </c>
      <c r="AT369" s="3">
        <f t="shared" si="176"/>
        <v>2</v>
      </c>
      <c r="AU369" s="3">
        <f t="shared" si="177"/>
        <v>14</v>
      </c>
      <c r="AV369" s="3">
        <f t="shared" si="178"/>
        <v>8</v>
      </c>
      <c r="AW369" s="3">
        <f t="shared" si="179"/>
        <v>5</v>
      </c>
      <c r="AX369" s="3">
        <f t="shared" si="180"/>
        <v>6</v>
      </c>
      <c r="AY369" s="3">
        <f t="shared" si="181"/>
        <v>1</v>
      </c>
      <c r="AZ369" s="3">
        <f>IF(ISERROR(LEN(VLOOKUP(A369,Seqs!A:E,2,FALSE))-AL369),"-",LEN(VLOOKUP(A369,Seqs!A:E,2,FALSE))-AL369)</f>
        <v>36</v>
      </c>
      <c r="BA369" s="35">
        <f t="shared" si="182"/>
        <v>28</v>
      </c>
      <c r="BB369" s="3">
        <f t="shared" si="183"/>
        <v>20</v>
      </c>
      <c r="BC369" s="3">
        <f t="shared" si="184"/>
        <v>28</v>
      </c>
      <c r="BD369" s="3">
        <f t="shared" si="185"/>
        <v>46</v>
      </c>
    </row>
    <row r="370" spans="1:58" s="3" customFormat="1" x14ac:dyDescent="0.2">
      <c r="A370" s="3" t="s">
        <v>551</v>
      </c>
      <c r="B370" s="3" t="str">
        <f>LOWER(VLOOKUP(A370,Xtal_Templ!A:B,2,FALSE))</f>
        <v>par1_human</v>
      </c>
      <c r="C370" s="3">
        <f>VLOOKUP($A370,'NonXtal_SegEnds_BW#'!$A:$Z,3,FALSE)+D370-50</f>
        <v>91</v>
      </c>
      <c r="D370" s="3">
        <v>112</v>
      </c>
      <c r="E370" s="3">
        <f>IF(ISERROR(VLOOKUP($A370,'NonXtal_SegEnds_BW#'!$A:$Z,4,FALSE)+VLOOKUP($A370,A:AL,4,FALSE)-50),"-",(VLOOKUP($A370,'NonXtal_SegEnds_BW#'!$A:$Z,4,FALSE)+VLOOKUP($A370,A:AL,4,FALSE)-50))</f>
        <v>122</v>
      </c>
      <c r="F370" s="3" t="str">
        <f>IF(ISERROR(VLOOKUP($A370,'NonXtal_SegEnds_BW#'!$A:$Z,5,FALSE)+VLOOKUP($A370,A:AL,7,FALSE)-50),"-",(VLOOKUP($A370,'NonXtal_SegEnds_BW#'!$A:$Z,5,FALSE)+VLOOKUP($A370,A:AL,7,FALSE)-50))</f>
        <v>-</v>
      </c>
      <c r="G370" s="3" t="s">
        <v>129</v>
      </c>
      <c r="H370" s="3" t="str">
        <f>IF(ISERROR(VLOOKUP($A370,'NonXtal_SegEnds_BW#'!$A:$Z,6,FALSE)+VLOOKUP($A370,A:AL,7,FALSE)-50),"-",(VLOOKUP($A370,'NonXtal_SegEnds_BW#'!$A:$Z,6,FALSE)+VLOOKUP($A370,A:AL,7,FALSE)-50))</f>
        <v>-</v>
      </c>
      <c r="I370" s="3">
        <f>VLOOKUP($A370,'NonXtal_SegEnds_BW#'!$A:$Z,7,FALSE)+J370-50</f>
        <v>126</v>
      </c>
      <c r="J370" s="3">
        <v>139</v>
      </c>
      <c r="K370" s="3">
        <f>VLOOKUP($A370,'NonXtal_SegEnds_BW#'!$A:$Z,8,FALSE)+VLOOKUP($A370,A:AL,10,FALSE)-50</f>
        <v>155</v>
      </c>
      <c r="L370" s="3">
        <f t="shared" si="191"/>
        <v>158</v>
      </c>
      <c r="M370" s="3">
        <v>159</v>
      </c>
      <c r="N370" s="3">
        <f t="shared" si="192"/>
        <v>161</v>
      </c>
      <c r="O370" s="3">
        <f t="shared" si="193"/>
        <v>162</v>
      </c>
      <c r="P370" s="3">
        <v>191</v>
      </c>
      <c r="Q370" s="3">
        <f>VLOOKUP($A370,'NonXtal_SegEnds_BW#'!$A:$Z,12,FALSE)+VLOOKUP($A370,A:AL,16,FALSE)-50</f>
        <v>197</v>
      </c>
      <c r="R370" s="3">
        <f>IF(ISERROR(VLOOKUP($A370,'NonXtal_SegEnds_BW#'!$A:$Z,13,FALSE)+VLOOKUP($A370,A:AL,19,FALSE)-50),"-",VLOOKUP($A370,'NonXtal_SegEnds_BW#'!$A:$Z,13,FALSE)+VLOOKUP($A370,A:AL,19,FALSE)-50)</f>
        <v>198</v>
      </c>
      <c r="S370" s="3">
        <v>198</v>
      </c>
      <c r="T370" s="3">
        <f>IF(ISERROR(VLOOKUP($A370,'NonXtal_SegEnds_BW#'!$A:$Z,14,FALSE)+VLOOKUP($A370,A:AL,19,FALSE)-50),"-",(VLOOKUP($A370,'NonXtal_SegEnds_BW#'!$A:$Z,14,FALSE)+VLOOKUP($A370,A:AL,19,FALSE)-50))</f>
        <v>205</v>
      </c>
      <c r="U370" s="3">
        <f>IF(ISERROR(VLOOKUP($A370,'NonXtal_SegEnds_BW#'!$A:$Z,15,FALSE)+VLOOKUP($A370,A:AL,22,FALSE)-50),"-",VLOOKUP($A370,'NonXtal_SegEnds_BW#'!$A:$Z,15,FALSE)+VLOOKUP($A370,A:AL,22,FALSE)-50)</f>
        <v>207</v>
      </c>
      <c r="V370" s="3">
        <v>218</v>
      </c>
      <c r="W370" s="3">
        <f>IF(ISERROR(VLOOKUP($A370,'NonXtal_SegEnds_BW#'!$A:$Z,16,FALSE)+VLOOKUP($A370,A:AL,22,FALSE)-50),"-",(VLOOKUP($A370,'NonXtal_SegEnds_BW#'!$A:$Z,16,FALSE)+VLOOKUP($A370,A:AL,22,FALSE)-50))</f>
        <v>231</v>
      </c>
      <c r="X370" s="3">
        <f>IF(ISERROR(VLOOKUP($A370,'NonXtal_SegEnds_BW#'!$A:$Z,17,FALSE)+VLOOKUP($A370,A:AL,25,FALSE)-50),"-",(VLOOKUP($A370,'NonXtal_SegEnds_BW#'!$A:$Z,17,FALSE)+VLOOKUP($A370,A:AL,25,FALSE)-50))</f>
        <v>252</v>
      </c>
      <c r="Y370" s="3">
        <v>252</v>
      </c>
      <c r="Z370" s="3">
        <f t="shared" si="194"/>
        <v>254</v>
      </c>
      <c r="AA370" s="3">
        <f>IF(ISERROR(VLOOKUP($A370,'NonXtal_SegEnds_BW#'!$A:$Z,19,FALSE)+VLOOKUP($A370,A:AL,28,FALSE)-50),"-",(VLOOKUP($A370,'NonXtal_SegEnds_BW#'!$A:$Z,19,FALSE)+VLOOKUP($A370,A:AL,28,FALSE)-50))</f>
        <v>259</v>
      </c>
      <c r="AB370" s="3">
        <v>274</v>
      </c>
      <c r="AC370" s="3">
        <f>IF(ISERROR((VLOOKUP($A370,'NonXtal_SegEnds_BW#'!$A:$Z,20,FALSE)+VLOOKUP($A370,A:AL,28,FALSE)-50)),"-",(VLOOKUP($A370,'NonXtal_SegEnds_BW#'!$A:$Z,20,FALSE)+VLOOKUP($A370,A:AL,28,FALSE)-50))</f>
        <v>292</v>
      </c>
      <c r="AD370" s="3">
        <f>IF(ISERROR(VLOOKUP($A370,'NonXtal_SegEnds_BW#'!$A:$Z,21,FALSE)+VLOOKUP($A370,A:AL,31,FALSE)-50),"-",(VLOOKUP($A370,'NonXtal_SegEnds_BW#'!$A:$Z,21,FALSE)+VLOOKUP($A370,A:AL,31,FALSE)-50))</f>
        <v>296</v>
      </c>
      <c r="AE370" s="3">
        <v>316</v>
      </c>
      <c r="AF370" s="3">
        <f>IF(ISERROR((VLOOKUP($A370,'NonXtal_SegEnds_BW#'!$A:$Z,22,FALSE)+VLOOKUP($A370,A:AL,31,FALSE)-50)),"-",(VLOOKUP($A370,'NonXtal_SegEnds_BW#'!$A:$Z,22,FALSE)+VLOOKUP($A370,A:AL,31,FALSE)-50))</f>
        <v>328</v>
      </c>
      <c r="AG370" s="3">
        <f>IF(ISERROR(VLOOKUP($A370,'NonXtal_SegEnds_BW#'!$A:$Z,23,FALSE)+VLOOKUP($A370,A:AL,34,FALSE)-50),"-",(VLOOKUP($A370,'NonXtal_SegEnds_BW#'!$A:$Z,23,FALSE)+VLOOKUP($A370,A:AL,34,FALSE)-50))</f>
        <v>333</v>
      </c>
      <c r="AH370" s="3">
        <v>355</v>
      </c>
      <c r="AI370" s="3">
        <f>IF(ISERROR((VLOOKUP($A370,'NonXtal_SegEnds_BW#'!$A:$Z,24,FALSE)+VLOOKUP($A370,A:AL,34,FALSE)-50)),"-",(VLOOKUP($A370,'NonXtal_SegEnds_BW#'!$A:$Z,24,FALSE)+VLOOKUP($A370,A:AL,34,FALSE)-50))</f>
        <v>361</v>
      </c>
      <c r="AJ370" s="3" t="s">
        <v>129</v>
      </c>
      <c r="AK370" s="3" t="s">
        <v>129</v>
      </c>
      <c r="AL370" s="3" t="s">
        <v>129</v>
      </c>
      <c r="AM370" s="71" t="str">
        <f>VLOOKUP(A370,Classification!A:B,2,FALSE)</f>
        <v>A</v>
      </c>
      <c r="AN370" s="71" t="b">
        <f t="shared" si="170"/>
        <v>1</v>
      </c>
      <c r="AO370" s="3" t="str">
        <f t="shared" si="171"/>
        <v>-</v>
      </c>
      <c r="AP370" s="3" t="str">
        <f t="shared" si="172"/>
        <v>-</v>
      </c>
      <c r="AQ370" s="3">
        <f t="shared" si="173"/>
        <v>3</v>
      </c>
      <c r="AR370" s="3">
        <f t="shared" si="174"/>
        <v>1</v>
      </c>
      <c r="AS370" s="3">
        <f t="shared" si="175"/>
        <v>1</v>
      </c>
      <c r="AT370" s="3">
        <f t="shared" si="176"/>
        <v>2</v>
      </c>
      <c r="AU370" s="3">
        <f t="shared" si="177"/>
        <v>21</v>
      </c>
      <c r="AV370" s="3">
        <f t="shared" si="178"/>
        <v>5</v>
      </c>
      <c r="AW370" s="3">
        <f t="shared" si="179"/>
        <v>4</v>
      </c>
      <c r="AX370" s="3">
        <f t="shared" si="180"/>
        <v>5</v>
      </c>
      <c r="AY370" s="3" t="str">
        <f t="shared" si="181"/>
        <v>-</v>
      </c>
      <c r="AZ370" s="3" t="str">
        <f>IF(ISERROR(LEN(VLOOKUP(A370,Seqs!A:E,2,FALSE))-AL370),"-",LEN(VLOOKUP(A370,Seqs!A:E,2,FALSE))-AL370)</f>
        <v>-</v>
      </c>
      <c r="BA370" s="35">
        <f t="shared" si="182"/>
        <v>27</v>
      </c>
      <c r="BB370" s="3">
        <f t="shared" si="183"/>
        <v>20</v>
      </c>
      <c r="BC370" s="3">
        <f t="shared" si="184"/>
        <v>27</v>
      </c>
      <c r="BD370" s="3">
        <f t="shared" si="185"/>
        <v>42</v>
      </c>
      <c r="BE370" s="3">
        <f>AH370-AE370</f>
        <v>39</v>
      </c>
      <c r="BF370" s="3" t="s">
        <v>1534</v>
      </c>
    </row>
    <row r="371" spans="1:58" s="3" customFormat="1" x14ac:dyDescent="0.2">
      <c r="A371" s="3" t="s">
        <v>552</v>
      </c>
      <c r="B371" s="3" t="str">
        <f>LOWER(VLOOKUP(A371,Xtal_Templ!A:B,2,FALSE))</f>
        <v>par1_human</v>
      </c>
      <c r="C371" s="3">
        <f>VLOOKUP($A371,'NonXtal_SegEnds_BW#'!$A:$Z,3,FALSE)+D371-50</f>
        <v>74</v>
      </c>
      <c r="D371" s="3">
        <v>95</v>
      </c>
      <c r="E371" s="3">
        <f>IF(ISERROR(VLOOKUP($A371,'NonXtal_SegEnds_BW#'!$A:$Z,4,FALSE)+VLOOKUP($A371,A:AL,4,FALSE)-50),"-",(VLOOKUP($A371,'NonXtal_SegEnds_BW#'!$A:$Z,4,FALSE)+VLOOKUP($A371,A:AL,4,FALSE)-50))</f>
        <v>105</v>
      </c>
      <c r="F371" s="3" t="str">
        <f>IF(ISERROR(VLOOKUP($A371,'NonXtal_SegEnds_BW#'!$A:$Z,5,FALSE)+VLOOKUP($A371,A:AL,7,FALSE)-50),"-",(VLOOKUP($A371,'NonXtal_SegEnds_BW#'!$A:$Z,5,FALSE)+VLOOKUP($A371,A:AL,7,FALSE)-50))</f>
        <v>-</v>
      </c>
      <c r="G371" s="3" t="s">
        <v>129</v>
      </c>
      <c r="H371" s="3" t="str">
        <f>IF(ISERROR(VLOOKUP($A371,'NonXtal_SegEnds_BW#'!$A:$Z,6,FALSE)+VLOOKUP($A371,A:AL,7,FALSE)-50),"-",(VLOOKUP($A371,'NonXtal_SegEnds_BW#'!$A:$Z,6,FALSE)+VLOOKUP($A371,A:AL,7,FALSE)-50))</f>
        <v>-</v>
      </c>
      <c r="I371" s="3">
        <f>VLOOKUP($A371,'NonXtal_SegEnds_BW#'!$A:$Z,7,FALSE)+J371-50</f>
        <v>109</v>
      </c>
      <c r="J371" s="3">
        <v>122</v>
      </c>
      <c r="K371" s="3">
        <f>VLOOKUP($A371,'NonXtal_SegEnds_BW#'!$A:$Z,8,FALSE)+VLOOKUP($A371,A:AL,10,FALSE)-50</f>
        <v>138</v>
      </c>
      <c r="L371" s="3">
        <f t="shared" si="191"/>
        <v>141</v>
      </c>
      <c r="M371" s="3">
        <v>142</v>
      </c>
      <c r="N371" s="3">
        <f t="shared" si="192"/>
        <v>144</v>
      </c>
      <c r="O371" s="3">
        <f t="shared" si="193"/>
        <v>145</v>
      </c>
      <c r="P371" s="3">
        <v>174</v>
      </c>
      <c r="Q371" s="3">
        <f>VLOOKUP($A371,'NonXtal_SegEnds_BW#'!$A:$Z,12,FALSE)+VLOOKUP($A371,A:AL,16,FALSE)-50</f>
        <v>180</v>
      </c>
      <c r="R371" s="3">
        <f>IF(ISERROR(VLOOKUP($A371,'NonXtal_SegEnds_BW#'!$A:$Z,13,FALSE)+VLOOKUP($A371,A:AL,19,FALSE)-50),"-",VLOOKUP($A371,'NonXtal_SegEnds_BW#'!$A:$Z,13,FALSE)+VLOOKUP($A371,A:AL,19,FALSE)-50)</f>
        <v>181</v>
      </c>
      <c r="S371" s="3">
        <v>181</v>
      </c>
      <c r="T371" s="3">
        <f>IF(ISERROR(VLOOKUP($A371,'NonXtal_SegEnds_BW#'!$A:$Z,14,FALSE)+VLOOKUP($A371,A:AL,19,FALSE)-50),"-",(VLOOKUP($A371,'NonXtal_SegEnds_BW#'!$A:$Z,14,FALSE)+VLOOKUP($A371,A:AL,19,FALSE)-50))</f>
        <v>188</v>
      </c>
      <c r="U371" s="3">
        <f>IF(ISERROR(VLOOKUP($A371,'NonXtal_SegEnds_BW#'!$A:$Z,15,FALSE)+VLOOKUP($A371,A:AL,22,FALSE)-50),"-",VLOOKUP($A371,'NonXtal_SegEnds_BW#'!$A:$Z,15,FALSE)+VLOOKUP($A371,A:AL,22,FALSE)-50)</f>
        <v>190</v>
      </c>
      <c r="V371" s="3">
        <v>201</v>
      </c>
      <c r="W371" s="3">
        <f>IF(ISERROR(VLOOKUP($A371,'NonXtal_SegEnds_BW#'!$A:$Z,16,FALSE)+VLOOKUP($A371,A:AL,22,FALSE)-50),"-",(VLOOKUP($A371,'NonXtal_SegEnds_BW#'!$A:$Z,16,FALSE)+VLOOKUP($A371,A:AL,22,FALSE)-50))</f>
        <v>214</v>
      </c>
      <c r="X371" s="3">
        <f>IF(ISERROR(VLOOKUP($A371,'NonXtal_SegEnds_BW#'!$A:$Z,17,FALSE)+VLOOKUP($A371,A:AL,25,FALSE)-50),"-",(VLOOKUP($A371,'NonXtal_SegEnds_BW#'!$A:$Z,17,FALSE)+VLOOKUP($A371,A:AL,25,FALSE)-50))</f>
        <v>228</v>
      </c>
      <c r="Y371" s="3">
        <v>228</v>
      </c>
      <c r="Z371" s="3">
        <f t="shared" si="194"/>
        <v>230</v>
      </c>
      <c r="AA371" s="3">
        <f>IF(ISERROR(VLOOKUP($A371,'NonXtal_SegEnds_BW#'!$A:$Z,19,FALSE)+VLOOKUP($A371,A:AL,28,FALSE)-50),"-",(VLOOKUP($A371,'NonXtal_SegEnds_BW#'!$A:$Z,19,FALSE)+VLOOKUP($A371,A:AL,28,FALSE)-50))</f>
        <v>238</v>
      </c>
      <c r="AB371" s="3">
        <v>256</v>
      </c>
      <c r="AC371" s="3">
        <f>IF(ISERROR((VLOOKUP($A371,'NonXtal_SegEnds_BW#'!$A:$Z,20,FALSE)+VLOOKUP($A371,A:AL,28,FALSE)-50)),"-",(VLOOKUP($A371,'NonXtal_SegEnds_BW#'!$A:$Z,20,FALSE)+VLOOKUP($A371,A:AL,28,FALSE)-50))</f>
        <v>274</v>
      </c>
      <c r="AD371" s="3">
        <f>IF(ISERROR(VLOOKUP($A371,'NonXtal_SegEnds_BW#'!$A:$Z,21,FALSE)+VLOOKUP($A371,A:AL,31,FALSE)-50),"-",(VLOOKUP($A371,'NonXtal_SegEnds_BW#'!$A:$Z,21,FALSE)+VLOOKUP($A371,A:AL,31,FALSE)-50))</f>
        <v>278</v>
      </c>
      <c r="AE371" s="3">
        <v>298</v>
      </c>
      <c r="AF371" s="3">
        <f>IF(ISERROR((VLOOKUP($A371,'NonXtal_SegEnds_BW#'!$A:$Z,22,FALSE)+VLOOKUP($A371,A:AL,31,FALSE)-50)),"-",(VLOOKUP($A371,'NonXtal_SegEnds_BW#'!$A:$Z,22,FALSE)+VLOOKUP($A371,A:AL,31,FALSE)-50))</f>
        <v>310</v>
      </c>
      <c r="AG371" s="3">
        <f>IF(ISERROR(VLOOKUP($A371,'NonXtal_SegEnds_BW#'!$A:$Z,23,FALSE)+VLOOKUP($A371,A:AL,34,FALSE)-50),"-",(VLOOKUP($A371,'NonXtal_SegEnds_BW#'!$A:$Z,23,FALSE)+VLOOKUP($A371,A:AL,34,FALSE)-50))</f>
        <v>315</v>
      </c>
      <c r="AH371" s="3">
        <v>337</v>
      </c>
      <c r="AI371" s="3">
        <f>IF(ISERROR((VLOOKUP($A371,'NonXtal_SegEnds_BW#'!$A:$Z,24,FALSE)+VLOOKUP($A371,A:AL,34,FALSE)-50)),"-",(VLOOKUP($A371,'NonXtal_SegEnds_BW#'!$A:$Z,24,FALSE)+VLOOKUP($A371,A:AL,34,FALSE)-50))</f>
        <v>343</v>
      </c>
      <c r="AJ371" s="3">
        <f>IF(ISERROR(VLOOKUP($A371,'NonXtal_SegEnds_BW#'!$A:$Z,25,FALSE)+VLOOKUP($A371,A:AL,37,FALSE)-50),"-",(VLOOKUP($A371,'NonXtal_SegEnds_BW#'!$A:$Z,25,FALSE)+VLOOKUP($A371,A:AL,37,FALSE)-50))</f>
        <v>344</v>
      </c>
      <c r="AK371" s="3">
        <v>347</v>
      </c>
      <c r="AL371" s="3">
        <f>IF(ISERROR((VLOOKUP($A371,'NonXtal_SegEnds_BW#'!$A:$Z,26,FALSE)+VLOOKUP($A371,A:AL,37,FALSE)-50)),"-",(VLOOKUP($A371,'NonXtal_SegEnds_BW#'!$A:$Z,26,FALSE)+VLOOKUP($A371,A:AL,37,FALSE)-50))</f>
        <v>358</v>
      </c>
      <c r="AM371" s="71" t="str">
        <f>VLOOKUP(A371,Classification!A:B,2,FALSE)</f>
        <v>A</v>
      </c>
      <c r="AN371" s="71" t="b">
        <f t="shared" si="170"/>
        <v>1</v>
      </c>
      <c r="AO371" s="3" t="str">
        <f t="shared" si="171"/>
        <v>-</v>
      </c>
      <c r="AP371" s="3" t="str">
        <f t="shared" si="172"/>
        <v>-</v>
      </c>
      <c r="AQ371" s="3">
        <f t="shared" si="173"/>
        <v>3</v>
      </c>
      <c r="AR371" s="3">
        <f t="shared" si="174"/>
        <v>1</v>
      </c>
      <c r="AS371" s="3">
        <f t="shared" si="175"/>
        <v>1</v>
      </c>
      <c r="AT371" s="3">
        <f t="shared" si="176"/>
        <v>2</v>
      </c>
      <c r="AU371" s="3">
        <f t="shared" si="177"/>
        <v>14</v>
      </c>
      <c r="AV371" s="3">
        <f t="shared" si="178"/>
        <v>8</v>
      </c>
      <c r="AW371" s="3">
        <f t="shared" si="179"/>
        <v>4</v>
      </c>
      <c r="AX371" s="3">
        <f t="shared" si="180"/>
        <v>5</v>
      </c>
      <c r="AY371" s="3">
        <f t="shared" si="181"/>
        <v>1</v>
      </c>
      <c r="AZ371" s="3">
        <f>IF(ISERROR(LEN(VLOOKUP(A371,Seqs!A:E,2,FALSE))-AL371),"-",LEN(VLOOKUP(A371,Seqs!A:E,2,FALSE))-AL371)</f>
        <v>27</v>
      </c>
      <c r="BA371" s="35">
        <f t="shared" si="182"/>
        <v>27</v>
      </c>
      <c r="BB371" s="3">
        <f t="shared" si="183"/>
        <v>20</v>
      </c>
      <c r="BC371" s="3">
        <f t="shared" si="184"/>
        <v>27</v>
      </c>
      <c r="BD371" s="3">
        <f t="shared" si="185"/>
        <v>42</v>
      </c>
      <c r="BE371" s="3">
        <f>AH371-AE371</f>
        <v>39</v>
      </c>
    </row>
    <row r="372" spans="1:58" s="3" customFormat="1" x14ac:dyDescent="0.2">
      <c r="A372" s="3" t="s">
        <v>550</v>
      </c>
      <c r="B372" s="3" t="str">
        <f>LOWER(VLOOKUP(A372,Xtal_Templ!A:B,2,FALSE))</f>
        <v>par1_human</v>
      </c>
      <c r="C372" s="3">
        <f>VLOOKUP($A372,'NonXtal_SegEnds_BW#'!$A:$Z,3,FALSE)+D372-50</f>
        <v>72</v>
      </c>
      <c r="D372" s="3">
        <v>93</v>
      </c>
      <c r="E372" s="3">
        <f>IF(ISERROR(VLOOKUP($A372,'NonXtal_SegEnds_BW#'!$A:$Z,4,FALSE)+VLOOKUP($A372,A:AL,4,FALSE)-50),"-",(VLOOKUP($A372,'NonXtal_SegEnds_BW#'!$A:$Z,4,FALSE)+VLOOKUP($A372,A:AL,4,FALSE)-50))</f>
        <v>103</v>
      </c>
      <c r="F372" s="3">
        <f>G372-2</f>
        <v>104</v>
      </c>
      <c r="G372" s="3">
        <v>106</v>
      </c>
      <c r="H372" s="3">
        <f>G372+1</f>
        <v>107</v>
      </c>
      <c r="I372" s="3">
        <f>H372+1</f>
        <v>108</v>
      </c>
      <c r="J372" s="3">
        <v>121</v>
      </c>
      <c r="K372" s="3">
        <f>VLOOKUP($A372,'NonXtal_SegEnds_BW#'!$A:$Z,8,FALSE)+VLOOKUP($A372,A:AL,10,FALSE)-50</f>
        <v>137</v>
      </c>
      <c r="L372" s="3">
        <f t="shared" si="191"/>
        <v>140</v>
      </c>
      <c r="M372" s="3">
        <v>141</v>
      </c>
      <c r="N372" s="3">
        <f t="shared" si="192"/>
        <v>143</v>
      </c>
      <c r="O372" s="3">
        <f t="shared" si="193"/>
        <v>144</v>
      </c>
      <c r="P372" s="3">
        <v>173</v>
      </c>
      <c r="Q372" s="3">
        <f>VLOOKUP($A372,'NonXtal_SegEnds_BW#'!$A:$Z,12,FALSE)+VLOOKUP($A372,A:AL,16,FALSE)-50</f>
        <v>179</v>
      </c>
      <c r="R372" s="3">
        <f>IF(ISERROR(VLOOKUP($A372,'NonXtal_SegEnds_BW#'!$A:$Z,13,FALSE)+VLOOKUP($A372,A:AL,19,FALSE)-50),"-",VLOOKUP($A372,'NonXtal_SegEnds_BW#'!$A:$Z,13,FALSE)+VLOOKUP($A372,A:AL,19,FALSE)-50)</f>
        <v>180</v>
      </c>
      <c r="S372" s="3">
        <v>180</v>
      </c>
      <c r="T372" s="3">
        <f>IF(ISERROR(VLOOKUP($A372,'NonXtal_SegEnds_BW#'!$A:$Z,14,FALSE)+VLOOKUP($A372,A:AL,19,FALSE)-50),"-",(VLOOKUP($A372,'NonXtal_SegEnds_BW#'!$A:$Z,14,FALSE)+VLOOKUP($A372,A:AL,19,FALSE)-50))</f>
        <v>187</v>
      </c>
      <c r="U372" s="3">
        <f>IF(ISERROR(VLOOKUP($A372,'NonXtal_SegEnds_BW#'!$A:$Z,15,FALSE)+VLOOKUP($A372,A:AL,22,FALSE)-50),"-",VLOOKUP($A372,'NonXtal_SegEnds_BW#'!$A:$Z,15,FALSE)+VLOOKUP($A372,A:AL,22,FALSE)-50)</f>
        <v>188</v>
      </c>
      <c r="V372" s="3">
        <v>199</v>
      </c>
      <c r="W372" s="3">
        <f>IF(ISERROR(VLOOKUP($A372,'NonXtal_SegEnds_BW#'!$A:$Z,16,FALSE)+VLOOKUP($A372,A:AL,22,FALSE)-50),"-",(VLOOKUP($A372,'NonXtal_SegEnds_BW#'!$A:$Z,16,FALSE)+VLOOKUP($A372,A:AL,22,FALSE)-50))</f>
        <v>212</v>
      </c>
      <c r="X372" s="3">
        <f>IF(ISERROR(VLOOKUP($A372,'NonXtal_SegEnds_BW#'!$A:$Z,17,FALSE)+VLOOKUP($A372,A:AL,25,FALSE)-50),"-",(VLOOKUP($A372,'NonXtal_SegEnds_BW#'!$A:$Z,17,FALSE)+VLOOKUP($A372,A:AL,25,FALSE)-50))</f>
        <v>226</v>
      </c>
      <c r="Y372" s="3">
        <v>226</v>
      </c>
      <c r="Z372" s="3">
        <f t="shared" si="194"/>
        <v>228</v>
      </c>
      <c r="AA372" s="3">
        <f>IF(ISERROR(VLOOKUP($A372,'NonXtal_SegEnds_BW#'!$A:$Z,19,FALSE)+VLOOKUP($A372,A:AL,28,FALSE)-50),"-",(VLOOKUP($A372,'NonXtal_SegEnds_BW#'!$A:$Z,19,FALSE)+VLOOKUP($A372,A:AL,28,FALSE)-50))</f>
        <v>236</v>
      </c>
      <c r="AB372" s="3">
        <v>254</v>
      </c>
      <c r="AC372" s="3">
        <f>IF(ISERROR((VLOOKUP($A372,'NonXtal_SegEnds_BW#'!$A:$Z,20,FALSE)+VLOOKUP($A372,A:AL,28,FALSE)-50)),"-",(VLOOKUP($A372,'NonXtal_SegEnds_BW#'!$A:$Z,20,FALSE)+VLOOKUP($A372,A:AL,28,FALSE)-50))</f>
        <v>272</v>
      </c>
      <c r="AD372" s="3">
        <f>IF(ISERROR(VLOOKUP($A372,'NonXtal_SegEnds_BW#'!$A:$Z,21,FALSE)+VLOOKUP($A372,A:AL,31,FALSE)-50),"-",(VLOOKUP($A372,'NonXtal_SegEnds_BW#'!$A:$Z,21,FALSE)+VLOOKUP($A372,A:AL,31,FALSE)-50))</f>
        <v>280</v>
      </c>
      <c r="AE372" s="3">
        <v>302</v>
      </c>
      <c r="AF372" s="3">
        <f>IF(ISERROR((VLOOKUP($A372,'NonXtal_SegEnds_BW#'!$A:$Z,22,FALSE)+VLOOKUP($A372,A:AL,31,FALSE)-50)),"-",(VLOOKUP($A372,'NonXtal_SegEnds_BW#'!$A:$Z,22,FALSE)+VLOOKUP($A372,A:AL,31,FALSE)-50))</f>
        <v>314</v>
      </c>
      <c r="AG372" s="3">
        <f>IF(ISERROR(VLOOKUP($A372,'NonXtal_SegEnds_BW#'!$A:$Z,23,FALSE)+VLOOKUP($A372,A:AL,34,FALSE)-50),"-",(VLOOKUP($A372,'NonXtal_SegEnds_BW#'!$A:$Z,23,FALSE)+VLOOKUP($A372,A:AL,34,FALSE)-50))</f>
        <v>319</v>
      </c>
      <c r="AH372" s="3">
        <v>341</v>
      </c>
      <c r="AI372" s="3">
        <f>IF(ISERROR((VLOOKUP($A372,'NonXtal_SegEnds_BW#'!$A:$Z,24,FALSE)+VLOOKUP($A372,A:AL,34,FALSE)-50)),"-",(VLOOKUP($A372,'NonXtal_SegEnds_BW#'!$A:$Z,24,FALSE)+VLOOKUP($A372,A:AL,34,FALSE)-50))</f>
        <v>347</v>
      </c>
      <c r="AJ372" s="3">
        <f>IF(ISERROR(VLOOKUP($A372,'NonXtal_SegEnds_BW#'!$A:$Z,25,FALSE)+VLOOKUP($A372,A:AL,37,FALSE)-50),"-",(VLOOKUP($A372,'NonXtal_SegEnds_BW#'!$A:$Z,25,FALSE)+VLOOKUP($A372,A:AL,37,FALSE)-50))</f>
        <v>348</v>
      </c>
      <c r="AK372" s="3">
        <v>351</v>
      </c>
      <c r="AL372" s="3">
        <f>IF(ISERROR((VLOOKUP($A372,'NonXtal_SegEnds_BW#'!$A:$Z,26,FALSE)+VLOOKUP($A372,A:AL,37,FALSE)-50)),"-",(VLOOKUP($A372,'NonXtal_SegEnds_BW#'!$A:$Z,26,FALSE)+VLOOKUP($A372,A:AL,37,FALSE)-50))</f>
        <v>362</v>
      </c>
      <c r="AM372" s="71" t="str">
        <f>VLOOKUP(A372,Classification!A:B,2,FALSE)</f>
        <v>A</v>
      </c>
      <c r="AN372" s="71" t="b">
        <f t="shared" si="170"/>
        <v>1</v>
      </c>
      <c r="AO372" s="3">
        <f t="shared" si="171"/>
        <v>1</v>
      </c>
      <c r="AP372" s="3">
        <f t="shared" si="172"/>
        <v>1</v>
      </c>
      <c r="AQ372" s="3">
        <f t="shared" si="173"/>
        <v>3</v>
      </c>
      <c r="AR372" s="3">
        <f t="shared" si="174"/>
        <v>1</v>
      </c>
      <c r="AS372" s="3">
        <f t="shared" si="175"/>
        <v>1</v>
      </c>
      <c r="AT372" s="3">
        <f t="shared" si="176"/>
        <v>1</v>
      </c>
      <c r="AU372" s="3">
        <f t="shared" si="177"/>
        <v>14</v>
      </c>
      <c r="AV372" s="3">
        <f t="shared" si="178"/>
        <v>8</v>
      </c>
      <c r="AW372" s="3">
        <f t="shared" si="179"/>
        <v>8</v>
      </c>
      <c r="AX372" s="3">
        <f t="shared" si="180"/>
        <v>5</v>
      </c>
      <c r="AY372" s="3">
        <f t="shared" si="181"/>
        <v>1</v>
      </c>
      <c r="AZ372" s="3">
        <f>IF(ISERROR(LEN(VLOOKUP(A372,Seqs!A:E,2,FALSE))-AL372),"-",LEN(VLOOKUP(A372,Seqs!A:E,2,FALSE))-AL372)</f>
        <v>35</v>
      </c>
      <c r="BA372" s="35">
        <f t="shared" si="182"/>
        <v>28</v>
      </c>
      <c r="BB372" s="3">
        <f t="shared" si="183"/>
        <v>19</v>
      </c>
      <c r="BC372" s="3">
        <f t="shared" si="184"/>
        <v>28</v>
      </c>
      <c r="BD372" s="3">
        <f t="shared" si="185"/>
        <v>48</v>
      </c>
    </row>
    <row r="373" spans="1:58" s="3" customFormat="1" x14ac:dyDescent="0.2">
      <c r="A373" s="3" t="s">
        <v>543</v>
      </c>
      <c r="B373" s="3" t="str">
        <f>LOWER(VLOOKUP(A373,Xtal_Templ!A:B,2,FALSE))</f>
        <v>par1_human</v>
      </c>
      <c r="C373" s="3">
        <f>VLOOKUP($A373,'NonXtal_SegEnds_BW#'!$A:$Z,3,FALSE)+D373-50</f>
        <v>20</v>
      </c>
      <c r="D373" s="3">
        <v>41</v>
      </c>
      <c r="E373" s="3">
        <f>IF(ISERROR(VLOOKUP($A373,'NonXtal_SegEnds_BW#'!$A:$Z,4,FALSE)+VLOOKUP($A373,A:AL,4,FALSE)-50),"-",(VLOOKUP($A373,'NonXtal_SegEnds_BW#'!$A:$Z,4,FALSE)+VLOOKUP($A373,A:AL,4,FALSE)-50))</f>
        <v>51</v>
      </c>
      <c r="F373" s="3" t="str">
        <f>IF(ISERROR(VLOOKUP($A373,'NonXtal_SegEnds_BW#'!$A:$Z,5,FALSE)+VLOOKUP($A373,A:AL,7,FALSE)-50),"-",(VLOOKUP($A373,'NonXtal_SegEnds_BW#'!$A:$Z,5,FALSE)+VLOOKUP($A373,A:AL,7,FALSE)-50))</f>
        <v>-</v>
      </c>
      <c r="G373" s="3" t="s">
        <v>129</v>
      </c>
      <c r="H373" s="3" t="str">
        <f>IF(ISERROR(VLOOKUP($A373,'NonXtal_SegEnds_BW#'!$A:$Z,6,FALSE)+VLOOKUP($A373,A:AL,7,FALSE)-50),"-",(VLOOKUP($A373,'NonXtal_SegEnds_BW#'!$A:$Z,6,FALSE)+VLOOKUP($A373,A:AL,7,FALSE)-50))</f>
        <v>-</v>
      </c>
      <c r="I373" s="3">
        <f>VLOOKUP($A373,'NonXtal_SegEnds_BW#'!$A:$Z,7,FALSE)+J373-50</f>
        <v>56</v>
      </c>
      <c r="J373" s="3">
        <v>69</v>
      </c>
      <c r="K373" s="3">
        <f>VLOOKUP($A373,'NonXtal_SegEnds_BW#'!$A:$Z,8,FALSE)+VLOOKUP($A373,A:AL,10,FALSE)-50</f>
        <v>85</v>
      </c>
      <c r="L373" s="3">
        <f t="shared" si="191"/>
        <v>88</v>
      </c>
      <c r="M373" s="3">
        <v>89</v>
      </c>
      <c r="N373" s="3">
        <f t="shared" si="192"/>
        <v>91</v>
      </c>
      <c r="O373" s="3">
        <f t="shared" si="193"/>
        <v>92</v>
      </c>
      <c r="P373" s="3">
        <v>121</v>
      </c>
      <c r="Q373" s="3">
        <f>VLOOKUP($A373,'NonXtal_SegEnds_BW#'!$A:$Z,12,FALSE)+VLOOKUP($A373,A:AL,16,FALSE)-50</f>
        <v>127</v>
      </c>
      <c r="R373" s="3">
        <f>IF(ISERROR(VLOOKUP($A373,'NonXtal_SegEnds_BW#'!$A:$Z,13,FALSE)+VLOOKUP($A373,A:AL,19,FALSE)-50),"-",VLOOKUP($A373,'NonXtal_SegEnds_BW#'!$A:$Z,13,FALSE)+VLOOKUP($A373,A:AL,19,FALSE)-50)</f>
        <v>128</v>
      </c>
      <c r="S373" s="3">
        <v>128</v>
      </c>
      <c r="T373" s="3">
        <f>IF(ISERROR(VLOOKUP($A373,'NonXtal_SegEnds_BW#'!$A:$Z,14,FALSE)+VLOOKUP($A373,A:AL,19,FALSE)-50),"-",(VLOOKUP($A373,'NonXtal_SegEnds_BW#'!$A:$Z,14,FALSE)+VLOOKUP($A373,A:AL,19,FALSE)-50))</f>
        <v>135</v>
      </c>
      <c r="U373" s="3">
        <f>IF(ISERROR(VLOOKUP($A373,'NonXtal_SegEnds_BW#'!$A:$Z,15,FALSE)+VLOOKUP($A373,A:AL,22,FALSE)-50),"-",VLOOKUP($A373,'NonXtal_SegEnds_BW#'!$A:$Z,15,FALSE)+VLOOKUP($A373,A:AL,22,FALSE)-50)</f>
        <v>137</v>
      </c>
      <c r="V373" s="3">
        <v>148</v>
      </c>
      <c r="W373" s="3">
        <f>IF(ISERROR(VLOOKUP($A373,'NonXtal_SegEnds_BW#'!$A:$Z,16,FALSE)+VLOOKUP($A373,A:AL,22,FALSE)-50),"-",(VLOOKUP($A373,'NonXtal_SegEnds_BW#'!$A:$Z,16,FALSE)+VLOOKUP($A373,A:AL,22,FALSE)-50))</f>
        <v>161</v>
      </c>
      <c r="X373" s="3">
        <f>IF(ISERROR(VLOOKUP($A373,'NonXtal_SegEnds_BW#'!$A:$Z,17,FALSE)+VLOOKUP($A373,A:AL,25,FALSE)-50),"-",(VLOOKUP($A373,'NonXtal_SegEnds_BW#'!$A:$Z,17,FALSE)+VLOOKUP($A373,A:AL,25,FALSE)-50))</f>
        <v>175</v>
      </c>
      <c r="Y373" s="3">
        <v>175</v>
      </c>
      <c r="Z373" s="3">
        <f t="shared" si="194"/>
        <v>177</v>
      </c>
      <c r="AA373" s="3">
        <f>IF(ISERROR(VLOOKUP($A373,'NonXtal_SegEnds_BW#'!$A:$Z,19,FALSE)+VLOOKUP($A373,A:AL,28,FALSE)-50),"-",(VLOOKUP($A373,'NonXtal_SegEnds_BW#'!$A:$Z,19,FALSE)+VLOOKUP($A373,A:AL,28,FALSE)-50))</f>
        <v>187</v>
      </c>
      <c r="AB373" s="3">
        <v>205</v>
      </c>
      <c r="AC373" s="3">
        <f>IF(ISERROR((VLOOKUP($A373,'NonXtal_SegEnds_BW#'!$A:$Z,20,FALSE)+VLOOKUP($A373,A:AL,28,FALSE)-50)),"-",(VLOOKUP($A373,'NonXtal_SegEnds_BW#'!$A:$Z,20,FALSE)+VLOOKUP($A373,A:AL,28,FALSE)-50))</f>
        <v>222</v>
      </c>
      <c r="AD373" s="3">
        <f>IF(ISERROR(VLOOKUP($A373,'NonXtal_SegEnds_BW#'!$A:$Z,21,FALSE)+VLOOKUP($A373,A:AL,31,FALSE)-50),"-",(VLOOKUP($A373,'NonXtal_SegEnds_BW#'!$A:$Z,21,FALSE)+VLOOKUP($A373,A:AL,31,FALSE)-50))</f>
        <v>228</v>
      </c>
      <c r="AE373" s="3">
        <v>252</v>
      </c>
      <c r="AF373" s="3">
        <f>IF(ISERROR((VLOOKUP($A373,'NonXtal_SegEnds_BW#'!$A:$Z,22,FALSE)+VLOOKUP($A373,A:AL,31,FALSE)-50)),"-",(VLOOKUP($A373,'NonXtal_SegEnds_BW#'!$A:$Z,22,FALSE)+VLOOKUP($A373,A:AL,31,FALSE)-50))</f>
        <v>263</v>
      </c>
      <c r="AG373" s="3">
        <f>IF(ISERROR(VLOOKUP($A373,'NonXtal_SegEnds_BW#'!$A:$Z,23,FALSE)+VLOOKUP($A373,A:AL,34,FALSE)-50),"-",(VLOOKUP($A373,'NonXtal_SegEnds_BW#'!$A:$Z,23,FALSE)+VLOOKUP($A373,A:AL,34,FALSE)-50))</f>
        <v>268</v>
      </c>
      <c r="AH373" s="3">
        <v>290</v>
      </c>
      <c r="AI373" s="3">
        <f>IF(ISERROR((VLOOKUP($A373,'NonXtal_SegEnds_BW#'!$A:$Z,24,FALSE)+VLOOKUP($A373,A:AL,34,FALSE)-50)),"-",(VLOOKUP($A373,'NonXtal_SegEnds_BW#'!$A:$Z,24,FALSE)+VLOOKUP($A373,A:AL,34,FALSE)-50))</f>
        <v>296</v>
      </c>
      <c r="AJ373" s="3">
        <f>IF(ISERROR(VLOOKUP($A373,'NonXtal_SegEnds_BW#'!$A:$Z,25,FALSE)+VLOOKUP($A373,A:AL,37,FALSE)-50),"-",(VLOOKUP($A373,'NonXtal_SegEnds_BW#'!$A:$Z,25,FALSE)+VLOOKUP($A373,A:AL,37,FALSE)-50))</f>
        <v>297</v>
      </c>
      <c r="AK373" s="3">
        <v>300</v>
      </c>
      <c r="AL373" s="3">
        <f>IF(ISERROR((VLOOKUP($A373,'NonXtal_SegEnds_BW#'!$A:$Z,26,FALSE)+VLOOKUP($A373,A:AL,37,FALSE)-50)),"-",(VLOOKUP($A373,'NonXtal_SegEnds_BW#'!$A:$Z,26,FALSE)+VLOOKUP($A373,A:AL,37,FALSE)-50))</f>
        <v>311</v>
      </c>
      <c r="AM373" s="71" t="str">
        <f>VLOOKUP(A373,Classification!A:B,2,FALSE)</f>
        <v>A</v>
      </c>
      <c r="AN373" s="71" t="b">
        <f t="shared" si="170"/>
        <v>1</v>
      </c>
      <c r="AO373" s="3" t="str">
        <f t="shared" si="171"/>
        <v>-</v>
      </c>
      <c r="AP373" s="3" t="str">
        <f t="shared" si="172"/>
        <v>-</v>
      </c>
      <c r="AQ373" s="3">
        <f t="shared" si="173"/>
        <v>3</v>
      </c>
      <c r="AR373" s="3">
        <f t="shared" si="174"/>
        <v>1</v>
      </c>
      <c r="AS373" s="3">
        <f t="shared" si="175"/>
        <v>1</v>
      </c>
      <c r="AT373" s="3">
        <f t="shared" si="176"/>
        <v>2</v>
      </c>
      <c r="AU373" s="3">
        <f t="shared" si="177"/>
        <v>14</v>
      </c>
      <c r="AV373" s="3">
        <f t="shared" si="178"/>
        <v>10</v>
      </c>
      <c r="AW373" s="3">
        <f t="shared" si="179"/>
        <v>6</v>
      </c>
      <c r="AX373" s="3">
        <f t="shared" si="180"/>
        <v>5</v>
      </c>
      <c r="AY373" s="3">
        <f t="shared" si="181"/>
        <v>1</v>
      </c>
      <c r="AZ373" s="3">
        <f>IF(ISERROR(LEN(VLOOKUP(A373,Seqs!A:E,2,FALSE))-AL373),"-",LEN(VLOOKUP(A373,Seqs!A:E,2,FALSE))-AL373)</f>
        <v>48</v>
      </c>
      <c r="BA373" s="35">
        <f t="shared" si="182"/>
        <v>28</v>
      </c>
      <c r="BB373" s="3">
        <f t="shared" si="183"/>
        <v>20</v>
      </c>
      <c r="BC373" s="3">
        <f t="shared" si="184"/>
        <v>28</v>
      </c>
      <c r="BD373" s="3">
        <f t="shared" si="185"/>
        <v>47</v>
      </c>
    </row>
    <row r="374" spans="1:58" s="3" customFormat="1" x14ac:dyDescent="0.2">
      <c r="A374" s="3" t="s">
        <v>393</v>
      </c>
      <c r="B374" s="3" t="str">
        <f>LOWER(VLOOKUP(A374,Xtal_Templ!A:B,2,FALSE))</f>
        <v>par1_human</v>
      </c>
      <c r="C374" s="3">
        <f>VLOOKUP($A374,'NonXtal_SegEnds_BW#'!$A:$Z,3,FALSE)+D374-50</f>
        <v>11</v>
      </c>
      <c r="D374" s="3">
        <v>32</v>
      </c>
      <c r="E374" s="3">
        <f>IF(ISERROR(VLOOKUP($A374,'NonXtal_SegEnds_BW#'!$A:$Z,4,FALSE)+VLOOKUP($A374,A:AL,4,FALSE)-50),"-",(VLOOKUP($A374,'NonXtal_SegEnds_BW#'!$A:$Z,4,FALSE)+VLOOKUP($A374,A:AL,4,FALSE)-50))</f>
        <v>42</v>
      </c>
      <c r="F374" s="3" t="str">
        <f>IF(ISERROR(VLOOKUP($A374,'NonXtal_SegEnds_BW#'!$A:$Z,5,FALSE)+VLOOKUP($A374,A:AL,7,FALSE)-50),"-",(VLOOKUP($A374,'NonXtal_SegEnds_BW#'!$A:$Z,5,FALSE)+VLOOKUP($A374,A:AL,7,FALSE)-50))</f>
        <v>-</v>
      </c>
      <c r="G374" s="3" t="s">
        <v>129</v>
      </c>
      <c r="H374" s="3" t="str">
        <f>IF(ISERROR(VLOOKUP($A374,'NonXtal_SegEnds_BW#'!$A:$Z,6,FALSE)+VLOOKUP($A374,A:AL,7,FALSE)-50),"-",(VLOOKUP($A374,'NonXtal_SegEnds_BW#'!$A:$Z,6,FALSE)+VLOOKUP($A374,A:AL,7,FALSE)-50))</f>
        <v>-</v>
      </c>
      <c r="I374" s="3">
        <f>VLOOKUP($A374,'NonXtal_SegEnds_BW#'!$A:$Z,7,FALSE)+J374-50</f>
        <v>48</v>
      </c>
      <c r="J374" s="3">
        <v>61</v>
      </c>
      <c r="K374" s="3">
        <f>VLOOKUP($A374,'NonXtal_SegEnds_BW#'!$A:$Z,8,FALSE)+VLOOKUP($A374,A:AL,10,FALSE)-50</f>
        <v>77</v>
      </c>
      <c r="L374" s="3">
        <f t="shared" si="191"/>
        <v>80</v>
      </c>
      <c r="M374" s="3">
        <v>81</v>
      </c>
      <c r="N374" s="3">
        <f t="shared" si="192"/>
        <v>83</v>
      </c>
      <c r="O374" s="3">
        <f t="shared" si="193"/>
        <v>84</v>
      </c>
      <c r="P374" s="3">
        <v>113</v>
      </c>
      <c r="Q374" s="3">
        <f>VLOOKUP($A374,'NonXtal_SegEnds_BW#'!$A:$Z,12,FALSE)+VLOOKUP($A374,A:AL,16,FALSE)-50</f>
        <v>119</v>
      </c>
      <c r="R374" s="3">
        <f>IF(ISERROR(VLOOKUP($A374,'NonXtal_SegEnds_BW#'!$A:$Z,13,FALSE)+VLOOKUP($A374,A:AL,19,FALSE)-50),"-",VLOOKUP($A374,'NonXtal_SegEnds_BW#'!$A:$Z,13,FALSE)+VLOOKUP($A374,A:AL,19,FALSE)-50)</f>
        <v>120</v>
      </c>
      <c r="S374" s="3">
        <v>120</v>
      </c>
      <c r="T374" s="3">
        <f>IF(ISERROR(VLOOKUP($A374,'NonXtal_SegEnds_BW#'!$A:$Z,14,FALSE)+VLOOKUP($A374,A:AL,19,FALSE)-50),"-",(VLOOKUP($A374,'NonXtal_SegEnds_BW#'!$A:$Z,14,FALSE)+VLOOKUP($A374,A:AL,19,FALSE)-50))</f>
        <v>127</v>
      </c>
      <c r="U374" s="3">
        <f>IF(ISERROR(VLOOKUP($A374,'NonXtal_SegEnds_BW#'!$A:$Z,15,FALSE)+VLOOKUP($A374,A:AL,22,FALSE)-50),"-",VLOOKUP($A374,'NonXtal_SegEnds_BW#'!$A:$Z,15,FALSE)+VLOOKUP($A374,A:AL,22,FALSE)-50)</f>
        <v>129</v>
      </c>
      <c r="V374" s="3">
        <v>140</v>
      </c>
      <c r="W374" s="3">
        <f>IF(ISERROR(VLOOKUP($A374,'NonXtal_SegEnds_BW#'!$A:$Z,16,FALSE)+VLOOKUP($A374,A:AL,22,FALSE)-50),"-",(VLOOKUP($A374,'NonXtal_SegEnds_BW#'!$A:$Z,16,FALSE)+VLOOKUP($A374,A:AL,22,FALSE)-50))</f>
        <v>153</v>
      </c>
      <c r="X374" s="3">
        <f>IF(ISERROR(VLOOKUP($A374,'NonXtal_SegEnds_BW#'!$A:$Z,17,FALSE)+VLOOKUP($A374,A:AL,25,FALSE)-50),"-",(VLOOKUP($A374,'NonXtal_SegEnds_BW#'!$A:$Z,17,FALSE)+VLOOKUP($A374,A:AL,25,FALSE)-50))</f>
        <v>169</v>
      </c>
      <c r="Y374" s="3">
        <v>169</v>
      </c>
      <c r="Z374" s="3">
        <f t="shared" si="194"/>
        <v>171</v>
      </c>
      <c r="AA374" s="3">
        <f>IF(ISERROR(VLOOKUP($A374,'NonXtal_SegEnds_BW#'!$A:$Z,19,FALSE)+VLOOKUP($A374,A:AL,28,FALSE)-50),"-",(VLOOKUP($A374,'NonXtal_SegEnds_BW#'!$A:$Z,19,FALSE)+VLOOKUP($A374,A:AL,28,FALSE)-50))</f>
        <v>178</v>
      </c>
      <c r="AB374" s="3">
        <v>196</v>
      </c>
      <c r="AC374" s="3">
        <f>IF(ISERROR((VLOOKUP($A374,'NonXtal_SegEnds_BW#'!$A:$Z,20,FALSE)+VLOOKUP($A374,A:AL,28,FALSE)-50)),"-",(VLOOKUP($A374,'NonXtal_SegEnds_BW#'!$A:$Z,20,FALSE)+VLOOKUP($A374,A:AL,28,FALSE)-50))</f>
        <v>214</v>
      </c>
      <c r="AD374" s="3">
        <f>IF(ISERROR(VLOOKUP($A374,'NonXtal_SegEnds_BW#'!$A:$Z,21,FALSE)+VLOOKUP($A374,A:AL,31,FALSE)-50),"-",(VLOOKUP($A374,'NonXtal_SegEnds_BW#'!$A:$Z,21,FALSE)+VLOOKUP($A374,A:AL,31,FALSE)-50))</f>
        <v>220</v>
      </c>
      <c r="AE374" s="3">
        <v>240</v>
      </c>
      <c r="AF374" s="3">
        <f>IF(ISERROR((VLOOKUP($A374,'NonXtal_SegEnds_BW#'!$A:$Z,22,FALSE)+VLOOKUP($A374,A:AL,31,FALSE)-50)),"-",(VLOOKUP($A374,'NonXtal_SegEnds_BW#'!$A:$Z,22,FALSE)+VLOOKUP($A374,A:AL,31,FALSE)-50))</f>
        <v>251</v>
      </c>
      <c r="AG374" s="3">
        <f>IF(ISERROR(VLOOKUP($A374,'NonXtal_SegEnds_BW#'!$A:$Z,23,FALSE)+VLOOKUP($A374,A:AL,34,FALSE)-50),"-",(VLOOKUP($A374,'NonXtal_SegEnds_BW#'!$A:$Z,23,FALSE)+VLOOKUP($A374,A:AL,34,FALSE)-50))</f>
        <v>256</v>
      </c>
      <c r="AH374" s="3">
        <v>273</v>
      </c>
      <c r="AI374" s="3">
        <f>IF(ISERROR((VLOOKUP($A374,'NonXtal_SegEnds_BW#'!$A:$Z,24,FALSE)+VLOOKUP($A374,A:AL,34,FALSE)-50)),"-",(VLOOKUP($A374,'NonXtal_SegEnds_BW#'!$A:$Z,24,FALSE)+VLOOKUP($A374,A:AL,34,FALSE)-50))</f>
        <v>279</v>
      </c>
      <c r="AJ374" s="3">
        <f>IF(ISERROR(VLOOKUP($A374,'NonXtal_SegEnds_BW#'!$A:$Z,25,FALSE)+VLOOKUP($A374,A:AL,37,FALSE)-50),"-",(VLOOKUP($A374,'NonXtal_SegEnds_BW#'!$A:$Z,25,FALSE)+VLOOKUP($A374,A:AL,37,FALSE)-50))</f>
        <v>280</v>
      </c>
      <c r="AK374" s="3">
        <v>283</v>
      </c>
      <c r="AL374" s="3">
        <f>IF(ISERROR((VLOOKUP($A374,'NonXtal_SegEnds_BW#'!$A:$Z,26,FALSE)+VLOOKUP($A374,A:AL,37,FALSE)-50)),"-",(VLOOKUP($A374,'NonXtal_SegEnds_BW#'!$A:$Z,26,FALSE)+VLOOKUP($A374,A:AL,37,FALSE)-50))</f>
        <v>294</v>
      </c>
      <c r="AM374" s="71" t="str">
        <f>VLOOKUP(A374,Classification!A:B,2,FALSE)</f>
        <v>A</v>
      </c>
      <c r="AN374" s="71" t="b">
        <f t="shared" si="170"/>
        <v>1</v>
      </c>
      <c r="AO374" s="3" t="str">
        <f t="shared" si="171"/>
        <v>-</v>
      </c>
      <c r="AP374" s="3" t="str">
        <f t="shared" si="172"/>
        <v>-</v>
      </c>
      <c r="AQ374" s="3">
        <f t="shared" si="173"/>
        <v>3</v>
      </c>
      <c r="AR374" s="3">
        <f t="shared" si="174"/>
        <v>1</v>
      </c>
      <c r="AS374" s="3">
        <f t="shared" si="175"/>
        <v>1</v>
      </c>
      <c r="AT374" s="3">
        <f t="shared" si="176"/>
        <v>2</v>
      </c>
      <c r="AU374" s="3">
        <f t="shared" si="177"/>
        <v>16</v>
      </c>
      <c r="AV374" s="3">
        <f t="shared" si="178"/>
        <v>7</v>
      </c>
      <c r="AW374" s="3">
        <f t="shared" si="179"/>
        <v>6</v>
      </c>
      <c r="AX374" s="3">
        <f t="shared" si="180"/>
        <v>5</v>
      </c>
      <c r="AY374" s="3">
        <f t="shared" si="181"/>
        <v>1</v>
      </c>
      <c r="AZ374" s="3">
        <f>IF(ISERROR(LEN(VLOOKUP(A374,Seqs!A:E,2,FALSE))-AL374),"-",LEN(VLOOKUP(A374,Seqs!A:E,2,FALSE))-AL374)</f>
        <v>52</v>
      </c>
      <c r="BA374" s="35">
        <f t="shared" si="182"/>
        <v>29</v>
      </c>
      <c r="BB374" s="3">
        <f t="shared" si="183"/>
        <v>20</v>
      </c>
      <c r="BC374" s="3">
        <f t="shared" si="184"/>
        <v>29</v>
      </c>
      <c r="BD374" s="3">
        <f t="shared" si="185"/>
        <v>44</v>
      </c>
    </row>
    <row r="375" spans="1:58" s="3" customFormat="1" x14ac:dyDescent="0.2">
      <c r="A375" s="3" t="s">
        <v>452</v>
      </c>
      <c r="B375" s="3" t="str">
        <f>LOWER(VLOOKUP(A375,Xtal_Templ!A:B,2,FALSE))</f>
        <v>par1_human</v>
      </c>
      <c r="C375" s="3">
        <f>VLOOKUP($A375,'NonXtal_SegEnds_BW#'!$A:$Z,3,FALSE)+D375-50</f>
        <v>11</v>
      </c>
      <c r="D375" s="3">
        <v>32</v>
      </c>
      <c r="E375" s="3">
        <f>IF(ISERROR(VLOOKUP($A375,'NonXtal_SegEnds_BW#'!$A:$Z,4,FALSE)+VLOOKUP($A375,A:AL,4,FALSE)-50),"-",(VLOOKUP($A375,'NonXtal_SegEnds_BW#'!$A:$Z,4,FALSE)+VLOOKUP($A375,A:AL,4,FALSE)-50))</f>
        <v>42</v>
      </c>
      <c r="F375" s="3" t="str">
        <f>IF(ISERROR(VLOOKUP($A375,'NonXtal_SegEnds_BW#'!$A:$Z,5,FALSE)+VLOOKUP($A375,A:AL,7,FALSE)-50),"-",(VLOOKUP($A375,'NonXtal_SegEnds_BW#'!$A:$Z,5,FALSE)+VLOOKUP($A375,A:AL,7,FALSE)-50))</f>
        <v>-</v>
      </c>
      <c r="G375" s="3" t="s">
        <v>129</v>
      </c>
      <c r="H375" s="3" t="str">
        <f>IF(ISERROR(VLOOKUP($A375,'NonXtal_SegEnds_BW#'!$A:$Z,6,FALSE)+VLOOKUP($A375,A:AL,7,FALSE)-50),"-",(VLOOKUP($A375,'NonXtal_SegEnds_BW#'!$A:$Z,6,FALSE)+VLOOKUP($A375,A:AL,7,FALSE)-50))</f>
        <v>-</v>
      </c>
      <c r="I375" s="3">
        <f>VLOOKUP($A375,'NonXtal_SegEnds_BW#'!$A:$Z,7,FALSE)+J375-50</f>
        <v>48</v>
      </c>
      <c r="J375" s="3">
        <v>61</v>
      </c>
      <c r="K375" s="3">
        <f>VLOOKUP($A375,'NonXtal_SegEnds_BW#'!$A:$Z,8,FALSE)+VLOOKUP($A375,A:AL,10,FALSE)-50</f>
        <v>77</v>
      </c>
      <c r="L375" s="3">
        <f t="shared" si="191"/>
        <v>80</v>
      </c>
      <c r="M375" s="3">
        <v>81</v>
      </c>
      <c r="N375" s="3">
        <f t="shared" si="192"/>
        <v>83</v>
      </c>
      <c r="O375" s="3">
        <f t="shared" si="193"/>
        <v>84</v>
      </c>
      <c r="P375" s="3">
        <v>113</v>
      </c>
      <c r="Q375" s="3">
        <f>VLOOKUP($A375,'NonXtal_SegEnds_BW#'!$A:$Z,12,FALSE)+VLOOKUP($A375,A:AL,16,FALSE)-50</f>
        <v>119</v>
      </c>
      <c r="R375" s="3">
        <f>IF(ISERROR(VLOOKUP($A375,'NonXtal_SegEnds_BW#'!$A:$Z,13,FALSE)+VLOOKUP($A375,A:AL,19,FALSE)-50),"-",VLOOKUP($A375,'NonXtal_SegEnds_BW#'!$A:$Z,13,FALSE)+VLOOKUP($A375,A:AL,19,FALSE)-50)</f>
        <v>120</v>
      </c>
      <c r="S375" s="3">
        <v>120</v>
      </c>
      <c r="T375" s="3">
        <f>IF(ISERROR(VLOOKUP($A375,'NonXtal_SegEnds_BW#'!$A:$Z,14,FALSE)+VLOOKUP($A375,A:AL,19,FALSE)-50),"-",(VLOOKUP($A375,'NonXtal_SegEnds_BW#'!$A:$Z,14,FALSE)+VLOOKUP($A375,A:AL,19,FALSE)-50))</f>
        <v>127</v>
      </c>
      <c r="U375" s="3">
        <f>IF(ISERROR(VLOOKUP($A375,'NonXtal_SegEnds_BW#'!$A:$Z,15,FALSE)+VLOOKUP($A375,A:AL,22,FALSE)-50),"-",VLOOKUP($A375,'NonXtal_SegEnds_BW#'!$A:$Z,15,FALSE)+VLOOKUP($A375,A:AL,22,FALSE)-50)</f>
        <v>129</v>
      </c>
      <c r="V375" s="3">
        <v>140</v>
      </c>
      <c r="W375" s="3">
        <f>IF(ISERROR(VLOOKUP($A375,'NonXtal_SegEnds_BW#'!$A:$Z,16,FALSE)+VLOOKUP($A375,A:AL,22,FALSE)-50),"-",(VLOOKUP($A375,'NonXtal_SegEnds_BW#'!$A:$Z,16,FALSE)+VLOOKUP($A375,A:AL,22,FALSE)-50))</f>
        <v>153</v>
      </c>
      <c r="X375" s="3">
        <f>IF(ISERROR(VLOOKUP($A375,'NonXtal_SegEnds_BW#'!$A:$Z,17,FALSE)+VLOOKUP($A375,A:AL,25,FALSE)-50),"-",(VLOOKUP($A375,'NonXtal_SegEnds_BW#'!$A:$Z,17,FALSE)+VLOOKUP($A375,A:AL,25,FALSE)-50))</f>
        <v>169</v>
      </c>
      <c r="Y375" s="3">
        <v>169</v>
      </c>
      <c r="Z375" s="3">
        <f t="shared" si="194"/>
        <v>171</v>
      </c>
      <c r="AA375" s="3">
        <f>IF(ISERROR(VLOOKUP($A375,'NonXtal_SegEnds_BW#'!$A:$Z,19,FALSE)+VLOOKUP($A375,A:AL,28,FALSE)-50),"-",(VLOOKUP($A375,'NonXtal_SegEnds_BW#'!$A:$Z,19,FALSE)+VLOOKUP($A375,A:AL,28,FALSE)-50))</f>
        <v>178</v>
      </c>
      <c r="AB375" s="3">
        <v>196</v>
      </c>
      <c r="AC375" s="3">
        <f>IF(ISERROR((VLOOKUP($A375,'NonXtal_SegEnds_BW#'!$A:$Z,20,FALSE)+VLOOKUP($A375,A:AL,28,FALSE)-50)),"-",(VLOOKUP($A375,'NonXtal_SegEnds_BW#'!$A:$Z,20,FALSE)+VLOOKUP($A375,A:AL,28,FALSE)-50))</f>
        <v>214</v>
      </c>
      <c r="AD375" s="3">
        <f>IF(ISERROR(VLOOKUP($A375,'NonXtal_SegEnds_BW#'!$A:$Z,21,FALSE)+VLOOKUP($A375,A:AL,31,FALSE)-50),"-",(VLOOKUP($A375,'NonXtal_SegEnds_BW#'!$A:$Z,21,FALSE)+VLOOKUP($A375,A:AL,31,FALSE)-50))</f>
        <v>220</v>
      </c>
      <c r="AE375" s="3">
        <v>240</v>
      </c>
      <c r="AF375" s="3">
        <f>IF(ISERROR((VLOOKUP($A375,'NonXtal_SegEnds_BW#'!$A:$Z,22,FALSE)+VLOOKUP($A375,A:AL,31,FALSE)-50)),"-",(VLOOKUP($A375,'NonXtal_SegEnds_BW#'!$A:$Z,22,FALSE)+VLOOKUP($A375,A:AL,31,FALSE)-50))</f>
        <v>251</v>
      </c>
      <c r="AG375" s="3">
        <f>IF(ISERROR(VLOOKUP($A375,'NonXtal_SegEnds_BW#'!$A:$Z,23,FALSE)+VLOOKUP($A375,A:AL,34,FALSE)-50),"-",(VLOOKUP($A375,'NonXtal_SegEnds_BW#'!$A:$Z,23,FALSE)+VLOOKUP($A375,A:AL,34,FALSE)-50))</f>
        <v>256</v>
      </c>
      <c r="AH375" s="3">
        <v>273</v>
      </c>
      <c r="AI375" s="3">
        <f>IF(ISERROR((VLOOKUP($A375,'NonXtal_SegEnds_BW#'!$A:$Z,24,FALSE)+VLOOKUP($A375,A:AL,34,FALSE)-50)),"-",(VLOOKUP($A375,'NonXtal_SegEnds_BW#'!$A:$Z,24,FALSE)+VLOOKUP($A375,A:AL,34,FALSE)-50))</f>
        <v>279</v>
      </c>
      <c r="AJ375" s="3">
        <f>IF(ISERROR(VLOOKUP($A375,'NonXtal_SegEnds_BW#'!$A:$Z,25,FALSE)+VLOOKUP($A375,A:AL,37,FALSE)-50),"-",(VLOOKUP($A375,'NonXtal_SegEnds_BW#'!$A:$Z,25,FALSE)+VLOOKUP($A375,A:AL,37,FALSE)-50))</f>
        <v>280</v>
      </c>
      <c r="AK375" s="3">
        <v>283</v>
      </c>
      <c r="AL375" s="3">
        <f>IF(ISERROR((VLOOKUP($A375,'NonXtal_SegEnds_BW#'!$A:$Z,26,FALSE)+VLOOKUP($A375,A:AL,37,FALSE)-50)),"-",(VLOOKUP($A375,'NonXtal_SegEnds_BW#'!$A:$Z,26,FALSE)+VLOOKUP($A375,A:AL,37,FALSE)-50))</f>
        <v>294</v>
      </c>
      <c r="AM375" s="71" t="str">
        <f>VLOOKUP(A375,Classification!A:B,2,FALSE)</f>
        <v>A</v>
      </c>
      <c r="AN375" s="71" t="b">
        <f t="shared" si="170"/>
        <v>1</v>
      </c>
      <c r="AO375" s="3" t="str">
        <f t="shared" si="171"/>
        <v>-</v>
      </c>
      <c r="AP375" s="3" t="str">
        <f t="shared" si="172"/>
        <v>-</v>
      </c>
      <c r="AQ375" s="3">
        <f t="shared" si="173"/>
        <v>3</v>
      </c>
      <c r="AR375" s="3">
        <f t="shared" si="174"/>
        <v>1</v>
      </c>
      <c r="AS375" s="3">
        <f t="shared" si="175"/>
        <v>1</v>
      </c>
      <c r="AT375" s="3">
        <f t="shared" si="176"/>
        <v>2</v>
      </c>
      <c r="AU375" s="3">
        <f t="shared" si="177"/>
        <v>16</v>
      </c>
      <c r="AV375" s="3">
        <f t="shared" si="178"/>
        <v>7</v>
      </c>
      <c r="AW375" s="3">
        <f t="shared" si="179"/>
        <v>6</v>
      </c>
      <c r="AX375" s="3">
        <f t="shared" si="180"/>
        <v>5</v>
      </c>
      <c r="AY375" s="3">
        <f t="shared" si="181"/>
        <v>1</v>
      </c>
      <c r="AZ375" s="3">
        <f>IF(ISERROR(LEN(VLOOKUP(A375,Seqs!A:E,2,FALSE))-AL375),"-",LEN(VLOOKUP(A375,Seqs!A:E,2,FALSE))-AL375)</f>
        <v>52</v>
      </c>
      <c r="BA375" s="35">
        <f t="shared" si="182"/>
        <v>29</v>
      </c>
      <c r="BB375" s="3">
        <f t="shared" si="183"/>
        <v>20</v>
      </c>
      <c r="BC375" s="3">
        <f t="shared" si="184"/>
        <v>29</v>
      </c>
      <c r="BD375" s="3">
        <f t="shared" si="185"/>
        <v>44</v>
      </c>
    </row>
    <row r="376" spans="1:58" s="3" customFormat="1" x14ac:dyDescent="0.2">
      <c r="A376" s="3" t="s">
        <v>455</v>
      </c>
      <c r="B376" s="3" t="str">
        <f>LOWER(VLOOKUP(A376,Xtal_Templ!A:B,2,FALSE))</f>
        <v>par1_human</v>
      </c>
      <c r="C376" s="3">
        <f>VLOOKUP($A376,'NonXtal_SegEnds_BW#'!$A:$Z,3,FALSE)+D376-50</f>
        <v>17</v>
      </c>
      <c r="D376" s="3">
        <v>38</v>
      </c>
      <c r="E376" s="3">
        <f>IF(ISERROR(VLOOKUP($A376,'NonXtal_SegEnds_BW#'!$A:$Z,4,FALSE)+VLOOKUP($A376,A:AL,4,FALSE)-50),"-",(VLOOKUP($A376,'NonXtal_SegEnds_BW#'!$A:$Z,4,FALSE)+VLOOKUP($A376,A:AL,4,FALSE)-50))</f>
        <v>48</v>
      </c>
      <c r="F376" s="3" t="str">
        <f>IF(ISERROR(VLOOKUP($A376,'NonXtal_SegEnds_BW#'!$A:$Z,5,FALSE)+VLOOKUP($A376,A:AL,7,FALSE)-50),"-",(VLOOKUP($A376,'NonXtal_SegEnds_BW#'!$A:$Z,5,FALSE)+VLOOKUP($A376,A:AL,7,FALSE)-50))</f>
        <v>-</v>
      </c>
      <c r="G376" s="3" t="s">
        <v>129</v>
      </c>
      <c r="H376" s="3" t="str">
        <f>IF(ISERROR(VLOOKUP($A376,'NonXtal_SegEnds_BW#'!$A:$Z,6,FALSE)+VLOOKUP($A376,A:AL,7,FALSE)-50),"-",(VLOOKUP($A376,'NonXtal_SegEnds_BW#'!$A:$Z,6,FALSE)+VLOOKUP($A376,A:AL,7,FALSE)-50))</f>
        <v>-</v>
      </c>
      <c r="I376" s="3">
        <f>VLOOKUP($A376,'NonXtal_SegEnds_BW#'!$A:$Z,7,FALSE)+J376-50</f>
        <v>57</v>
      </c>
      <c r="J376" s="3">
        <v>70</v>
      </c>
      <c r="K376" s="3">
        <f>VLOOKUP($A376,'NonXtal_SegEnds_BW#'!$A:$Z,8,FALSE)+VLOOKUP($A376,A:AL,10,FALSE)-50</f>
        <v>86</v>
      </c>
      <c r="L376" s="3" t="str">
        <f>IF(ISERROR(VLOOKUP($A376,'NonXtal_SegEnds_BW#'!$A:$Z,9,FALSE)+VLOOKUP($A376,A:AL,13,FALSE)-50),"-",(VLOOKUP($A376,'NonXtal_SegEnds_BW#'!$A:$Z,9,FALSE)+VLOOKUP($A376,A:AL,13,FALSE)-50))</f>
        <v>-</v>
      </c>
      <c r="M376" s="3" t="s">
        <v>129</v>
      </c>
      <c r="N376" s="3" t="str">
        <f>IF(ISERROR(VLOOKUP($A376,'NonXtal_SegEnds_BW#'!$A:$Z,10,FALSE)+VLOOKUP($A376,A:AL,13,FALSE)-50),"-",(VLOOKUP($A376,'NonXtal_SegEnds_BW#'!$A:$Z,10,FALSE)+VLOOKUP($A376,A:AL,13,FALSE)-50))</f>
        <v>-</v>
      </c>
      <c r="O376" s="3">
        <f>VLOOKUP($A376,'NonXtal_SegEnds_BW#'!$A:$Z,11,FALSE)+VLOOKUP($A376,A:AL,16,FALSE)-50</f>
        <v>93</v>
      </c>
      <c r="P376" s="3">
        <v>119</v>
      </c>
      <c r="Q376" s="3">
        <f>VLOOKUP($A376,'NonXtal_SegEnds_BW#'!$A:$Z,12,FALSE)+VLOOKUP($A376,A:AL,16,FALSE)-50</f>
        <v>125</v>
      </c>
      <c r="R376" s="3">
        <f>IF(ISERROR(VLOOKUP($A376,'NonXtal_SegEnds_BW#'!$A:$Z,13,FALSE)+VLOOKUP($A376,A:AL,19,FALSE)-50),"-",VLOOKUP($A376,'NonXtal_SegEnds_BW#'!$A:$Z,13,FALSE)+VLOOKUP($A376,A:AL,19,FALSE)-50)</f>
        <v>126</v>
      </c>
      <c r="S376" s="3">
        <v>126</v>
      </c>
      <c r="T376" s="3">
        <f>IF(ISERROR(VLOOKUP($A376,'NonXtal_SegEnds_BW#'!$A:$Z,14,FALSE)+VLOOKUP($A376,A:AL,19,FALSE)-50),"-",(VLOOKUP($A376,'NonXtal_SegEnds_BW#'!$A:$Z,14,FALSE)+VLOOKUP($A376,A:AL,19,FALSE)-50))</f>
        <v>133</v>
      </c>
      <c r="U376" s="3">
        <f>IF(ISERROR(VLOOKUP($A376,'NonXtal_SegEnds_BW#'!$A:$Z,15,FALSE)+VLOOKUP($A376,A:AL,22,FALSE)-50),"-",VLOOKUP($A376,'NonXtal_SegEnds_BW#'!$A:$Z,15,FALSE)+VLOOKUP($A376,A:AL,22,FALSE)-50)</f>
        <v>135</v>
      </c>
      <c r="V376" s="3">
        <v>146</v>
      </c>
      <c r="W376" s="3">
        <f>IF(ISERROR(VLOOKUP($A376,'NonXtal_SegEnds_BW#'!$A:$Z,16,FALSE)+VLOOKUP($A376,A:AL,22,FALSE)-50),"-",(VLOOKUP($A376,'NonXtal_SegEnds_BW#'!$A:$Z,16,FALSE)+VLOOKUP($A376,A:AL,22,FALSE)-50))</f>
        <v>159</v>
      </c>
      <c r="X376" s="3">
        <f>IF(ISERROR(VLOOKUP($A376,'NonXtal_SegEnds_BW#'!$A:$Z,17,FALSE)+VLOOKUP($A376,A:AL,25,FALSE)-50),"-",(VLOOKUP($A376,'NonXtal_SegEnds_BW#'!$A:$Z,17,FALSE)+VLOOKUP($A376,A:AL,25,FALSE)-50))</f>
        <v>168</v>
      </c>
      <c r="Y376" s="3">
        <v>168</v>
      </c>
      <c r="Z376" s="3">
        <f t="shared" si="194"/>
        <v>170</v>
      </c>
      <c r="AA376" s="3">
        <f>IF(ISERROR(VLOOKUP($A376,'NonXtal_SegEnds_BW#'!$A:$Z,19,FALSE)+VLOOKUP($A376,A:AL,28,FALSE)-50),"-",(VLOOKUP($A376,'NonXtal_SegEnds_BW#'!$A:$Z,19,FALSE)+VLOOKUP($A376,A:AL,28,FALSE)-50))</f>
        <v>175</v>
      </c>
      <c r="AB376" s="3">
        <v>193</v>
      </c>
      <c r="AC376" s="3">
        <f>IF(ISERROR((VLOOKUP($A376,'NonXtal_SegEnds_BW#'!$A:$Z,20,FALSE)+VLOOKUP($A376,A:AL,28,FALSE)-50)),"-",(VLOOKUP($A376,'NonXtal_SegEnds_BW#'!$A:$Z,20,FALSE)+VLOOKUP($A376,A:AL,28,FALSE)-50))</f>
        <v>211</v>
      </c>
      <c r="AD376" s="3">
        <f>IF(ISERROR(VLOOKUP($A376,'NonXtal_SegEnds_BW#'!$A:$Z,21,FALSE)+VLOOKUP($A376,A:AL,31,FALSE)-50),"-",(VLOOKUP($A376,'NonXtal_SegEnds_BW#'!$A:$Z,21,FALSE)+VLOOKUP($A376,A:AL,31,FALSE)-50))</f>
        <v>219</v>
      </c>
      <c r="AE376" s="3">
        <v>241</v>
      </c>
      <c r="AF376" s="3">
        <f>IF(ISERROR((VLOOKUP($A376,'NonXtal_SegEnds_BW#'!$A:$Z,22,FALSE)+VLOOKUP($A376,A:AL,31,FALSE)-50)),"-",(VLOOKUP($A376,'NonXtal_SegEnds_BW#'!$A:$Z,22,FALSE)+VLOOKUP($A376,A:AL,31,FALSE)-50))</f>
        <v>255</v>
      </c>
      <c r="AG376" s="3">
        <f>IF(ISERROR(VLOOKUP($A376,'NonXtal_SegEnds_BW#'!$A:$Z,23,FALSE)+VLOOKUP($A376,A:AL,34,FALSE)-50),"-",(VLOOKUP($A376,'NonXtal_SegEnds_BW#'!$A:$Z,23,FALSE)+VLOOKUP($A376,A:AL,34,FALSE)-50))</f>
        <v>259</v>
      </c>
      <c r="AH376" s="3">
        <v>285</v>
      </c>
      <c r="AI376" s="3">
        <f>IF(ISERROR((VLOOKUP($A376,'NonXtal_SegEnds_BW#'!$A:$Z,24,FALSE)+VLOOKUP($A376,A:AL,34,FALSE)-50)),"-",(VLOOKUP($A376,'NonXtal_SegEnds_BW#'!$A:$Z,24,FALSE)+VLOOKUP($A376,A:AL,34,FALSE)-50))</f>
        <v>291</v>
      </c>
      <c r="AJ376" s="3">
        <f>IF(ISERROR(VLOOKUP($A376,'NonXtal_SegEnds_BW#'!$A:$Z,25,FALSE)+VLOOKUP($A376,A:AL,37,FALSE)-50),"-",(VLOOKUP($A376,'NonXtal_SegEnds_BW#'!$A:$Z,25,FALSE)+VLOOKUP($A376,A:AL,37,FALSE)-50))</f>
        <v>292</v>
      </c>
      <c r="AK376" s="3">
        <v>295</v>
      </c>
      <c r="AL376" s="3">
        <f>IF(ISERROR((VLOOKUP($A376,'NonXtal_SegEnds_BW#'!$A:$Z,26,FALSE)+VLOOKUP($A376,A:AL,37,FALSE)-50)),"-",(VLOOKUP($A376,'NonXtal_SegEnds_BW#'!$A:$Z,26,FALSE)+VLOOKUP($A376,A:AL,37,FALSE)-50))</f>
        <v>306</v>
      </c>
      <c r="AM376" s="71" t="str">
        <f>VLOOKUP(A376,Classification!A:B,2,FALSE)</f>
        <v>A</v>
      </c>
      <c r="AN376" s="71" t="b">
        <f t="shared" si="170"/>
        <v>1</v>
      </c>
      <c r="AO376" s="3" t="str">
        <f t="shared" si="171"/>
        <v>-</v>
      </c>
      <c r="AP376" s="3" t="str">
        <f t="shared" si="172"/>
        <v>-</v>
      </c>
      <c r="AQ376" s="3" t="str">
        <f t="shared" si="173"/>
        <v>-</v>
      </c>
      <c r="AR376" s="3" t="str">
        <f t="shared" si="174"/>
        <v>-</v>
      </c>
      <c r="AS376" s="3">
        <f t="shared" si="175"/>
        <v>1</v>
      </c>
      <c r="AT376" s="3">
        <f t="shared" si="176"/>
        <v>2</v>
      </c>
      <c r="AU376" s="3">
        <f t="shared" si="177"/>
        <v>9</v>
      </c>
      <c r="AV376" s="3">
        <f t="shared" si="178"/>
        <v>5</v>
      </c>
      <c r="AW376" s="3">
        <f t="shared" si="179"/>
        <v>8</v>
      </c>
      <c r="AX376" s="3">
        <f t="shared" si="180"/>
        <v>4</v>
      </c>
      <c r="AY376" s="3">
        <f t="shared" si="181"/>
        <v>1</v>
      </c>
      <c r="AZ376" s="3">
        <f>IF(ISERROR(LEN(VLOOKUP(A376,Seqs!A:E,2,FALSE))-AL376),"-",LEN(VLOOKUP(A376,Seqs!A:E,2,FALSE))-AL376)</f>
        <v>13</v>
      </c>
      <c r="BA376" s="35">
        <f t="shared" si="182"/>
        <v>32</v>
      </c>
      <c r="BB376" s="3">
        <f t="shared" si="183"/>
        <v>20</v>
      </c>
      <c r="BC376" s="3">
        <f t="shared" si="184"/>
        <v>32</v>
      </c>
      <c r="BD376" s="3">
        <f t="shared" si="185"/>
        <v>48</v>
      </c>
      <c r="BE376" s="3">
        <f>AH376-AE376</f>
        <v>44</v>
      </c>
    </row>
    <row r="377" spans="1:58" s="3" customFormat="1" x14ac:dyDescent="0.2">
      <c r="A377" s="3" t="s">
        <v>448</v>
      </c>
      <c r="B377" s="3" t="str">
        <f>LOWER(VLOOKUP(A377,Xtal_Templ!A:B,2,FALSE))</f>
        <v>par1_human</v>
      </c>
      <c r="C377" s="3">
        <f>VLOOKUP($A377,'NonXtal_SegEnds_BW#'!$A:$Z,3,FALSE)+D377-50</f>
        <v>17</v>
      </c>
      <c r="D377" s="3">
        <v>38</v>
      </c>
      <c r="E377" s="3">
        <f>IF(ISERROR(VLOOKUP($A377,'NonXtal_SegEnds_BW#'!$A:$Z,4,FALSE)+VLOOKUP($A377,A:AL,4,FALSE)-50),"-",(VLOOKUP($A377,'NonXtal_SegEnds_BW#'!$A:$Z,4,FALSE)+VLOOKUP($A377,A:AL,4,FALSE)-50))</f>
        <v>48</v>
      </c>
      <c r="F377" s="3">
        <f>G377-2</f>
        <v>49</v>
      </c>
      <c r="G377" s="3">
        <v>51</v>
      </c>
      <c r="H377" s="3">
        <f>G377+1</f>
        <v>52</v>
      </c>
      <c r="I377" s="3">
        <f>H377+1</f>
        <v>53</v>
      </c>
      <c r="J377" s="3">
        <v>66</v>
      </c>
      <c r="K377" s="3">
        <f>VLOOKUP($A377,'NonXtal_SegEnds_BW#'!$A:$Z,8,FALSE)+VLOOKUP($A377,A:AL,10,FALSE)-50</f>
        <v>82</v>
      </c>
      <c r="L377" s="3" t="str">
        <f>IF(ISERROR(VLOOKUP($A377,'NonXtal_SegEnds_BW#'!$A:$Z,9,FALSE)+VLOOKUP($A377,A:AL,13,FALSE)-50),"-",(VLOOKUP($A377,'NonXtal_SegEnds_BW#'!$A:$Z,9,FALSE)+VLOOKUP($A377,A:AL,13,FALSE)-50))</f>
        <v>-</v>
      </c>
      <c r="M377" s="3" t="s">
        <v>129</v>
      </c>
      <c r="N377" s="3" t="str">
        <f>IF(ISERROR(VLOOKUP($A377,'NonXtal_SegEnds_BW#'!$A:$Z,10,FALSE)+VLOOKUP($A377,A:AL,13,FALSE)-50),"-",(VLOOKUP($A377,'NonXtal_SegEnds_BW#'!$A:$Z,10,FALSE)+VLOOKUP($A377,A:AL,13,FALSE)-50))</f>
        <v>-</v>
      </c>
      <c r="O377" s="3">
        <f>VLOOKUP($A377,'NonXtal_SegEnds_BW#'!$A:$Z,11,FALSE)+VLOOKUP($A377,A:AL,16,FALSE)-50</f>
        <v>88</v>
      </c>
      <c r="P377" s="3">
        <v>114</v>
      </c>
      <c r="Q377" s="3">
        <f>VLOOKUP($A377,'NonXtal_SegEnds_BW#'!$A:$Z,12,FALSE)+VLOOKUP($A377,A:AL,16,FALSE)-50</f>
        <v>120</v>
      </c>
      <c r="R377" s="3">
        <f>IF(ISERROR(VLOOKUP($A377,'NonXtal_SegEnds_BW#'!$A:$Z,13,FALSE)+VLOOKUP($A377,A:AL,19,FALSE)-50),"-",VLOOKUP($A377,'NonXtal_SegEnds_BW#'!$A:$Z,13,FALSE)+VLOOKUP($A377,A:AL,19,FALSE)-50)</f>
        <v>121</v>
      </c>
      <c r="S377" s="3">
        <v>121</v>
      </c>
      <c r="T377" s="3">
        <f>IF(ISERROR(VLOOKUP($A377,'NonXtal_SegEnds_BW#'!$A:$Z,14,FALSE)+VLOOKUP($A377,A:AL,19,FALSE)-50),"-",(VLOOKUP($A377,'NonXtal_SegEnds_BW#'!$A:$Z,14,FALSE)+VLOOKUP($A377,A:AL,19,FALSE)-50))</f>
        <v>128</v>
      </c>
      <c r="U377" s="3">
        <f>IF(ISERROR(VLOOKUP($A377,'NonXtal_SegEnds_BW#'!$A:$Z,15,FALSE)+VLOOKUP($A377,A:AL,22,FALSE)-50),"-",VLOOKUP($A377,'NonXtal_SegEnds_BW#'!$A:$Z,15,FALSE)+VLOOKUP($A377,A:AL,22,FALSE)-50)</f>
        <v>130</v>
      </c>
      <c r="V377" s="3">
        <v>141</v>
      </c>
      <c r="W377" s="3">
        <f>IF(ISERROR(VLOOKUP($A377,'NonXtal_SegEnds_BW#'!$A:$Z,16,FALSE)+VLOOKUP($A377,A:AL,22,FALSE)-50),"-",(VLOOKUP($A377,'NonXtal_SegEnds_BW#'!$A:$Z,16,FALSE)+VLOOKUP($A377,A:AL,22,FALSE)-50))</f>
        <v>154</v>
      </c>
      <c r="X377" s="3">
        <f>IF(ISERROR(VLOOKUP($A377,'NonXtal_SegEnds_BW#'!$A:$Z,17,FALSE)+VLOOKUP($A377,A:AL,25,FALSE)-50),"-",(VLOOKUP($A377,'NonXtal_SegEnds_BW#'!$A:$Z,17,FALSE)+VLOOKUP($A377,A:AL,25,FALSE)-50))</f>
        <v>162</v>
      </c>
      <c r="Y377" s="3">
        <v>162</v>
      </c>
      <c r="Z377" s="3">
        <f t="shared" si="194"/>
        <v>164</v>
      </c>
      <c r="AA377" s="3">
        <f>IF(ISERROR(VLOOKUP($A377,'NonXtal_SegEnds_BW#'!$A:$Z,19,FALSE)+VLOOKUP($A377,A:AL,28,FALSE)-50),"-",(VLOOKUP($A377,'NonXtal_SegEnds_BW#'!$A:$Z,19,FALSE)+VLOOKUP($A377,A:AL,28,FALSE)-50))</f>
        <v>168</v>
      </c>
      <c r="AB377" s="3">
        <v>183</v>
      </c>
      <c r="AC377" s="3">
        <f>IF(ISERROR((VLOOKUP($A377,'NonXtal_SegEnds_BW#'!$A:$Z,20,FALSE)+VLOOKUP($A377,A:AL,28,FALSE)-50)),"-",(VLOOKUP($A377,'NonXtal_SegEnds_BW#'!$A:$Z,20,FALSE)+VLOOKUP($A377,A:AL,28,FALSE)-50))</f>
        <v>201</v>
      </c>
      <c r="AD377" s="3">
        <f>IF(ISERROR(VLOOKUP($A377,'NonXtal_SegEnds_BW#'!$A:$Z,21,FALSE)+VLOOKUP($A377,A:AL,31,FALSE)-50),"-",(VLOOKUP($A377,'NonXtal_SegEnds_BW#'!$A:$Z,21,FALSE)+VLOOKUP($A377,A:AL,31,FALSE)-50))</f>
        <v>210</v>
      </c>
      <c r="AE377" s="3">
        <v>232</v>
      </c>
      <c r="AF377" s="3">
        <f>IF(ISERROR((VLOOKUP($A377,'NonXtal_SegEnds_BW#'!$A:$Z,22,FALSE)+VLOOKUP($A377,A:AL,31,FALSE)-50)),"-",(VLOOKUP($A377,'NonXtal_SegEnds_BW#'!$A:$Z,22,FALSE)+VLOOKUP($A377,A:AL,31,FALSE)-50))</f>
        <v>243</v>
      </c>
      <c r="AG377" s="3">
        <f>IF(ISERROR(VLOOKUP($A377,'NonXtal_SegEnds_BW#'!$A:$Z,23,FALSE)+VLOOKUP($A377,A:AL,34,FALSE)-50),"-",(VLOOKUP($A377,'NonXtal_SegEnds_BW#'!$A:$Z,23,FALSE)+VLOOKUP($A377,A:AL,34,FALSE)-50))</f>
        <v>251</v>
      </c>
      <c r="AH377" s="3">
        <v>273</v>
      </c>
      <c r="AI377" s="3">
        <f>IF(ISERROR((VLOOKUP($A377,'NonXtal_SegEnds_BW#'!$A:$Z,24,FALSE)+VLOOKUP($A377,A:AL,34,FALSE)-50)),"-",(VLOOKUP($A377,'NonXtal_SegEnds_BW#'!$A:$Z,24,FALSE)+VLOOKUP($A377,A:AL,34,FALSE)-50))</f>
        <v>279</v>
      </c>
      <c r="AJ377" s="3">
        <f>IF(ISERROR(VLOOKUP($A377,'NonXtal_SegEnds_BW#'!$A:$Z,25,FALSE)+VLOOKUP($A377,A:AL,37,FALSE)-50),"-",(VLOOKUP($A377,'NonXtal_SegEnds_BW#'!$A:$Z,25,FALSE)+VLOOKUP($A377,A:AL,37,FALSE)-50))</f>
        <v>280</v>
      </c>
      <c r="AK377" s="3">
        <v>283</v>
      </c>
      <c r="AL377" s="3">
        <f>IF(ISERROR((VLOOKUP($A377,'NonXtal_SegEnds_BW#'!$A:$Z,26,FALSE)+VLOOKUP($A377,A:AL,37,FALSE)-50)),"-",(VLOOKUP($A377,'NonXtal_SegEnds_BW#'!$A:$Z,26,FALSE)+VLOOKUP($A377,A:AL,37,FALSE)-50))</f>
        <v>294</v>
      </c>
      <c r="AM377" s="71" t="str">
        <f>VLOOKUP(A377,Classification!A:B,2,FALSE)</f>
        <v>A</v>
      </c>
      <c r="AN377" s="71" t="b">
        <f t="shared" si="170"/>
        <v>1</v>
      </c>
      <c r="AO377" s="3">
        <f t="shared" si="171"/>
        <v>1</v>
      </c>
      <c r="AP377" s="3">
        <f t="shared" si="172"/>
        <v>1</v>
      </c>
      <c r="AQ377" s="3" t="str">
        <f t="shared" si="173"/>
        <v>-</v>
      </c>
      <c r="AR377" s="3" t="str">
        <f t="shared" si="174"/>
        <v>-</v>
      </c>
      <c r="AS377" s="3">
        <f t="shared" si="175"/>
        <v>1</v>
      </c>
      <c r="AT377" s="3">
        <f t="shared" si="176"/>
        <v>2</v>
      </c>
      <c r="AU377" s="3">
        <f t="shared" si="177"/>
        <v>8</v>
      </c>
      <c r="AV377" s="3">
        <f t="shared" si="178"/>
        <v>4</v>
      </c>
      <c r="AW377" s="3">
        <f t="shared" si="179"/>
        <v>9</v>
      </c>
      <c r="AX377" s="3">
        <f t="shared" si="180"/>
        <v>8</v>
      </c>
      <c r="AY377" s="3">
        <f t="shared" si="181"/>
        <v>1</v>
      </c>
      <c r="AZ377" s="3">
        <f>IF(ISERROR(LEN(VLOOKUP(A377,Seqs!A:E,2,FALSE))-AL377),"-",LEN(VLOOKUP(A377,Seqs!A:E,2,FALSE))-AL377)</f>
        <v>15</v>
      </c>
      <c r="BA377" s="35">
        <f t="shared" si="182"/>
        <v>28</v>
      </c>
      <c r="BB377" s="3">
        <f t="shared" si="183"/>
        <v>20</v>
      </c>
      <c r="BC377" s="3">
        <f t="shared" si="184"/>
        <v>28</v>
      </c>
      <c r="BD377" s="3">
        <f t="shared" si="185"/>
        <v>49</v>
      </c>
      <c r="BE377" s="3">
        <f>AH377-AE377</f>
        <v>41</v>
      </c>
    </row>
    <row r="378" spans="1:58" s="3" customFormat="1" x14ac:dyDescent="0.2">
      <c r="A378" s="3" t="s">
        <v>345</v>
      </c>
      <c r="B378" s="3" t="str">
        <f>LOWER(VLOOKUP(A378,Xtal_Templ!A:B,2,FALSE))</f>
        <v>s1pr1_human</v>
      </c>
      <c r="C378" s="3">
        <f>VLOOKUP($A378,'NonXtal_SegEnds_BW#'!$A:$Z,3,FALSE)+D378-50</f>
        <v>21</v>
      </c>
      <c r="D378" s="3">
        <v>42</v>
      </c>
      <c r="E378" s="3">
        <f>IF(ISERROR(VLOOKUP($A378,'NonXtal_SegEnds_BW#'!$A:$Z,4,FALSE)+VLOOKUP($A378,A:AL,4,FALSE)-50),"-",(VLOOKUP($A378,'NonXtal_SegEnds_BW#'!$A:$Z,4,FALSE)+VLOOKUP($A378,A:AL,4,FALSE)-50))</f>
        <v>52</v>
      </c>
      <c r="F378" s="3">
        <f>G378-2</f>
        <v>53</v>
      </c>
      <c r="G378" s="3">
        <v>55</v>
      </c>
      <c r="H378" s="3">
        <f>G378+1</f>
        <v>56</v>
      </c>
      <c r="I378" s="3">
        <f>H378+1</f>
        <v>57</v>
      </c>
      <c r="J378" s="3">
        <v>70</v>
      </c>
      <c r="K378" s="3">
        <f>VLOOKUP($A378,'NonXtal_SegEnds_BW#'!$A:$Z,8,FALSE)+VLOOKUP($A378,A:AL,10,FALSE)-50</f>
        <v>87</v>
      </c>
      <c r="L378" s="3" t="str">
        <f>IF(ISERROR(VLOOKUP($A378,'NonXtal_SegEnds_BW#'!$A:$Z,9,FALSE)+VLOOKUP($A378,A:AL,13,FALSE)-50),"-",(VLOOKUP($A378,'NonXtal_SegEnds_BW#'!$A:$Z,9,FALSE)+VLOOKUP($A378,A:AL,13,FALSE)-50))</f>
        <v>-</v>
      </c>
      <c r="M378" s="3" t="s">
        <v>129</v>
      </c>
      <c r="N378" s="3" t="str">
        <f>IF(ISERROR(VLOOKUP($A378,'NonXtal_SegEnds_BW#'!$A:$Z,10,FALSE)+VLOOKUP($A378,A:AL,13,FALSE)-50),"-",(VLOOKUP($A378,'NonXtal_SegEnds_BW#'!$A:$Z,10,FALSE)+VLOOKUP($A378,A:AL,13,FALSE)-50))</f>
        <v>-</v>
      </c>
      <c r="O378" s="3">
        <f>VLOOKUP($A378,'NonXtal_SegEnds_BW#'!$A:$Z,11,FALSE)+VLOOKUP($A378,A:AL,16,FALSE)-50</f>
        <v>96</v>
      </c>
      <c r="P378" s="3">
        <v>128</v>
      </c>
      <c r="Q378" s="3">
        <f>VLOOKUP($A378,'NonXtal_SegEnds_BW#'!$A:$Z,12,FALSE)+VLOOKUP($A378,A:AL,16,FALSE)-50</f>
        <v>134</v>
      </c>
      <c r="R378" s="3">
        <f>S378</f>
        <v>135</v>
      </c>
      <c r="S378" s="3">
        <v>135</v>
      </c>
      <c r="T378" s="3">
        <f>S378+7</f>
        <v>142</v>
      </c>
      <c r="U378" s="3">
        <f>IF(ISERROR(VLOOKUP($A378,'NonXtal_SegEnds_BW#'!$A:$Z,15,FALSE)+VLOOKUP($A378,A:AL,22,FALSE)-50),"-",VLOOKUP($A378,'NonXtal_SegEnds_BW#'!$A:$Z,15,FALSE)+VLOOKUP($A378,A:AL,22,FALSE)-50)</f>
        <v>144</v>
      </c>
      <c r="V378" s="3">
        <v>155</v>
      </c>
      <c r="W378" s="3">
        <f>IF(ISERROR(VLOOKUP($A378,'NonXtal_SegEnds_BW#'!$A:$Z,16,FALSE)+VLOOKUP($A378,A:AL,22,FALSE)-50),"-",(VLOOKUP($A378,'NonXtal_SegEnds_BW#'!$A:$Z,16,FALSE)+VLOOKUP($A378,A:AL,22,FALSE)-50))</f>
        <v>168</v>
      </c>
      <c r="X378" s="3" t="str">
        <f>IF(ISERROR(VLOOKUP($A378,'NonXtal_SegEnds_BW#'!$A:$Z,17,FALSE)+VLOOKUP($A378,A:AL,25,FALSE)-50),"-",(VLOOKUP($A378,'NonXtal_SegEnds_BW#'!$A:$Z,17,FALSE)+VLOOKUP($A378,A:AL,25,FALSE)-50))</f>
        <v>-</v>
      </c>
      <c r="Y378" s="3" t="s">
        <v>129</v>
      </c>
      <c r="Z378" s="3" t="str">
        <f>IF(ISERROR(VLOOKUP($A378,'NonXtal_SegEnds_BW#'!$A:$Z,18,FALSE)+VLOOKUP($A378,A:AL,25,FALSE)-50),"-",(VLOOKUP($A378,'NonXtal_SegEnds_BW#'!$A:$Z,18,FALSE)+VLOOKUP($A378,A:AL,25,FALSE)-50))</f>
        <v>-</v>
      </c>
      <c r="AA378" s="3">
        <f>IF(ISERROR(VLOOKUP($A378,'NonXtal_SegEnds_BW#'!$A:$Z,19,FALSE)+VLOOKUP($A378,A:AL,28,FALSE)-50),"-",(VLOOKUP($A378,'NonXtal_SegEnds_BW#'!$A:$Z,19,FALSE)+VLOOKUP($A378,A:AL,28,FALSE)-50))</f>
        <v>171</v>
      </c>
      <c r="AB378" s="3">
        <v>185</v>
      </c>
      <c r="AC378" s="3">
        <f>IF(ISERROR((VLOOKUP($A378,'NonXtal_SegEnds_BW#'!$A:$Z,20,FALSE)+VLOOKUP($A378,A:AL,28,FALSE)-50)),"-",(VLOOKUP($A378,'NonXtal_SegEnds_BW#'!$A:$Z,20,FALSE)+VLOOKUP($A378,A:AL,28,FALSE)-50))</f>
        <v>203</v>
      </c>
      <c r="AD378" s="3">
        <f>IF(ISERROR(VLOOKUP($A378,'NonXtal_SegEnds_BW#'!$A:$Z,21,FALSE)+VLOOKUP($A378,A:AL,31,FALSE)-50),"-",(VLOOKUP($A378,'NonXtal_SegEnds_BW#'!$A:$Z,21,FALSE)+VLOOKUP($A378,A:AL,31,FALSE)-50))</f>
        <v>212</v>
      </c>
      <c r="AE378" s="3">
        <v>234</v>
      </c>
      <c r="AF378" s="3">
        <f>IF(ISERROR((VLOOKUP($A378,'NonXtal_SegEnds_BW#'!$A:$Z,22,FALSE)+VLOOKUP($A378,A:AL,31,FALSE)-50)),"-",(VLOOKUP($A378,'NonXtal_SegEnds_BW#'!$A:$Z,22,FALSE)+VLOOKUP($A378,A:AL,31,FALSE)-50))</f>
        <v>245</v>
      </c>
      <c r="AG378" s="3">
        <f>IF(ISERROR(VLOOKUP($A378,'NonXtal_SegEnds_BW#'!$A:$Z,23,FALSE)+VLOOKUP($A378,A:AL,34,FALSE)-50),"-",(VLOOKUP($A378,'NonXtal_SegEnds_BW#'!$A:$Z,23,FALSE)+VLOOKUP($A378,A:AL,34,FALSE)-50))</f>
        <v>251</v>
      </c>
      <c r="AH378" s="3">
        <v>273</v>
      </c>
      <c r="AI378" s="3">
        <f>IF(ISERROR((VLOOKUP($A378,'NonXtal_SegEnds_BW#'!$A:$Z,24,FALSE)+VLOOKUP($A378,A:AL,34,FALSE)-50)),"-",(VLOOKUP($A378,'NonXtal_SegEnds_BW#'!$A:$Z,24,FALSE)+VLOOKUP($A378,A:AL,34,FALSE)-50))</f>
        <v>279</v>
      </c>
      <c r="AJ378" s="3">
        <f>IF(ISERROR(VLOOKUP($A378,'NonXtal_SegEnds_BW#'!$A:$Z,25,FALSE)+VLOOKUP($A378,A:AL,37,FALSE)-50),"-",(VLOOKUP($A378,'NonXtal_SegEnds_BW#'!$A:$Z,25,FALSE)+VLOOKUP($A378,A:AL,37,FALSE)-50))</f>
        <v>280</v>
      </c>
      <c r="AK378" s="3">
        <v>283</v>
      </c>
      <c r="AL378" s="3">
        <f>IF(ISERROR((VLOOKUP($A378,'NonXtal_SegEnds_BW#'!$A:$Z,26,FALSE)+VLOOKUP($A378,A:AL,37,FALSE)-50)),"-",(VLOOKUP($A378,'NonXtal_SegEnds_BW#'!$A:$Z,26,FALSE)+VLOOKUP($A378,A:AL,37,FALSE)-50))</f>
        <v>292</v>
      </c>
      <c r="AM378" s="71" t="str">
        <f>VLOOKUP(A378,Classification!A:B,2,FALSE)</f>
        <v>A</v>
      </c>
      <c r="AN378" s="71" t="b">
        <f t="shared" si="170"/>
        <v>1</v>
      </c>
      <c r="AO378" s="3">
        <f t="shared" si="171"/>
        <v>1</v>
      </c>
      <c r="AP378" s="3">
        <f t="shared" si="172"/>
        <v>1</v>
      </c>
      <c r="AQ378" s="3" t="str">
        <f t="shared" si="173"/>
        <v>-</v>
      </c>
      <c r="AR378" s="3" t="str">
        <f t="shared" si="174"/>
        <v>-</v>
      </c>
      <c r="AS378" s="3">
        <f t="shared" si="175"/>
        <v>1</v>
      </c>
      <c r="AT378" s="3">
        <f t="shared" si="176"/>
        <v>2</v>
      </c>
      <c r="AU378" s="3" t="str">
        <f t="shared" si="177"/>
        <v>-</v>
      </c>
      <c r="AV378" s="3" t="str">
        <f t="shared" si="178"/>
        <v>-</v>
      </c>
      <c r="AW378" s="3">
        <f t="shared" si="179"/>
        <v>9</v>
      </c>
      <c r="AX378" s="3">
        <f t="shared" si="180"/>
        <v>6</v>
      </c>
      <c r="AY378" s="3">
        <f t="shared" si="181"/>
        <v>1</v>
      </c>
      <c r="AZ378" s="3">
        <f>IF(ISERROR(LEN(VLOOKUP(A378,Seqs!A:E,2,FALSE))-AL378),"-",LEN(VLOOKUP(A378,Seqs!A:E,2,FALSE))-AL378)</f>
        <v>5</v>
      </c>
      <c r="BA378" s="35">
        <f t="shared" si="182"/>
        <v>28</v>
      </c>
      <c r="BB378" s="3">
        <f t="shared" si="183"/>
        <v>20</v>
      </c>
      <c r="BC378" s="3">
        <f t="shared" si="184"/>
        <v>28</v>
      </c>
      <c r="BD378" s="3">
        <f t="shared" si="185"/>
        <v>49</v>
      </c>
      <c r="BE378" s="3">
        <f>AH378-AE378</f>
        <v>39</v>
      </c>
    </row>
    <row r="379" spans="1:58" s="3" customFormat="1" x14ac:dyDescent="0.2">
      <c r="A379" s="3" t="s">
        <v>407</v>
      </c>
      <c r="B379" s="3" t="str">
        <f>LOWER(VLOOKUP(A379,Xtal_Templ!A:B,2,FALSE))</f>
        <v>s1pr1_human</v>
      </c>
      <c r="C379" s="3">
        <f>VLOOKUP($A379,'NonXtal_SegEnds_BW#'!$A:$Z,3,FALSE)+D379-50</f>
        <v>1</v>
      </c>
      <c r="D379" s="3">
        <v>22</v>
      </c>
      <c r="E379" s="3">
        <f>IF(ISERROR(VLOOKUP($A379,'NonXtal_SegEnds_BW#'!$A:$Z,4,FALSE)+VLOOKUP($A379,A:AL,4,FALSE)-50),"-",(VLOOKUP($A379,'NonXtal_SegEnds_BW#'!$A:$Z,4,FALSE)+VLOOKUP($A379,A:AL,4,FALSE)-50))</f>
        <v>32</v>
      </c>
      <c r="F379" s="3" t="str">
        <f>IF(ISERROR(VLOOKUP($A379,'NonXtal_SegEnds_BW#'!$A:$Z,5,FALSE)+VLOOKUP($A379,A:AL,7,FALSE)-50),"-",(VLOOKUP($A379,'NonXtal_SegEnds_BW#'!$A:$Z,5,FALSE)+VLOOKUP($A379,A:AL,7,FALSE)-50))</f>
        <v>-</v>
      </c>
      <c r="G379" s="3" t="s">
        <v>129</v>
      </c>
      <c r="H379" s="3" t="str">
        <f>IF(ISERROR(VLOOKUP($A379,'NonXtal_SegEnds_BW#'!$A:$Z,6,FALSE)+VLOOKUP($A379,A:AL,7,FALSE)-50),"-",(VLOOKUP($A379,'NonXtal_SegEnds_BW#'!$A:$Z,6,FALSE)+VLOOKUP($A379,A:AL,7,FALSE)-50))</f>
        <v>-</v>
      </c>
      <c r="I379" s="3">
        <f>VLOOKUP($A379,'NonXtal_SegEnds_BW#'!$A:$Z,7,FALSE)+J379-50</f>
        <v>38</v>
      </c>
      <c r="J379" s="3">
        <v>51</v>
      </c>
      <c r="K379" s="3">
        <f>VLOOKUP($A379,'NonXtal_SegEnds_BW#'!$A:$Z,8,FALSE)+VLOOKUP($A379,A:AL,10,FALSE)-50</f>
        <v>64</v>
      </c>
      <c r="L379" s="3" t="str">
        <f>IF(ISERROR(VLOOKUP($A379,'NonXtal_SegEnds_BW#'!$A:$Z,9,FALSE)+VLOOKUP($A379,A:AL,13,FALSE)-50),"-",(VLOOKUP($A379,'NonXtal_SegEnds_BW#'!$A:$Z,9,FALSE)+VLOOKUP($A379,A:AL,13,FALSE)-50))</f>
        <v>-</v>
      </c>
      <c r="M379" s="3" t="s">
        <v>129</v>
      </c>
      <c r="N379" s="3" t="str">
        <f>IF(ISERROR(VLOOKUP($A379,'NonXtal_SegEnds_BW#'!$A:$Z,10,FALSE)+VLOOKUP($A379,A:AL,13,FALSE)-50),"-",(VLOOKUP($A379,'NonXtal_SegEnds_BW#'!$A:$Z,10,FALSE)+VLOOKUP($A379,A:AL,13,FALSE)-50))</f>
        <v>-</v>
      </c>
      <c r="O379" s="3">
        <f>VLOOKUP($A379,'NonXtal_SegEnds_BW#'!$A:$Z,11,FALSE)+VLOOKUP($A379,A:AL,16,FALSE)-50</f>
        <v>71</v>
      </c>
      <c r="P379" s="3">
        <v>103</v>
      </c>
      <c r="Q379" s="3">
        <f>VLOOKUP($A379,'NonXtal_SegEnds_BW#'!$A:$Z,12,FALSE)+VLOOKUP($A379,A:AL,16,FALSE)-50</f>
        <v>109</v>
      </c>
      <c r="R379" s="3">
        <f>IF(ISERROR(VLOOKUP($A379,'NonXtal_SegEnds_BW#'!$A:$Z,13,FALSE)+VLOOKUP($A379,A:AL,19,FALSE)-50),"-",VLOOKUP($A379,'NonXtal_SegEnds_BW#'!$A:$Z,13,FALSE)+VLOOKUP($A379,A:AL,19,FALSE)-50)</f>
        <v>110</v>
      </c>
      <c r="S379" s="3">
        <v>110</v>
      </c>
      <c r="T379" s="3">
        <f>IF(ISERROR(VLOOKUP($A379,'NonXtal_SegEnds_BW#'!$A:$Z,14,FALSE)+VLOOKUP($A379,A:AL,19,FALSE)-50),"-",(VLOOKUP($A379,'NonXtal_SegEnds_BW#'!$A:$Z,14,FALSE)+VLOOKUP($A379,A:AL,19,FALSE)-50))</f>
        <v>117</v>
      </c>
      <c r="U379" s="3">
        <f>IF(ISERROR(VLOOKUP($A379,'NonXtal_SegEnds_BW#'!$A:$Z,15,FALSE)+VLOOKUP($A379,A:AL,22,FALSE)-50),"-",VLOOKUP($A379,'NonXtal_SegEnds_BW#'!$A:$Z,15,FALSE)+VLOOKUP($A379,A:AL,22,FALSE)-50)</f>
        <v>119</v>
      </c>
      <c r="V379" s="3">
        <v>130</v>
      </c>
      <c r="W379" s="3">
        <f>IF(ISERROR(VLOOKUP($A379,'NonXtal_SegEnds_BW#'!$A:$Z,16,FALSE)+VLOOKUP($A379,A:AL,22,FALSE)-50),"-",(VLOOKUP($A379,'NonXtal_SegEnds_BW#'!$A:$Z,16,FALSE)+VLOOKUP($A379,A:AL,22,FALSE)-50))</f>
        <v>143</v>
      </c>
      <c r="X379" s="3">
        <f>Y379</f>
        <v>155</v>
      </c>
      <c r="Y379" s="3">
        <v>155</v>
      </c>
      <c r="Z379" s="3">
        <f>Y379+2</f>
        <v>157</v>
      </c>
      <c r="AA379" s="3">
        <f>IF(ISERROR(VLOOKUP($A379,'NonXtal_SegEnds_BW#'!$A:$Z,19,FALSE)+VLOOKUP($A379,A:AL,28,FALSE)-50),"-",(VLOOKUP($A379,'NonXtal_SegEnds_BW#'!$A:$Z,19,FALSE)+VLOOKUP($A379,A:AL,28,FALSE)-50))</f>
        <v>161</v>
      </c>
      <c r="AB379" s="3">
        <v>176</v>
      </c>
      <c r="AC379" s="3">
        <f>IF(ISERROR((VLOOKUP($A379,'NonXtal_SegEnds_BW#'!$A:$Z,20,FALSE)+VLOOKUP($A379,A:AL,28,FALSE)-50)),"-",(VLOOKUP($A379,'NonXtal_SegEnds_BW#'!$A:$Z,20,FALSE)+VLOOKUP($A379,A:AL,28,FALSE)-50))</f>
        <v>200</v>
      </c>
      <c r="AD379" s="3">
        <f>IF(ISERROR(VLOOKUP($A379,'NonXtal_SegEnds_BW#'!$A:$Z,21,FALSE)+VLOOKUP($A379,A:AL,31,FALSE)-50),"-",(VLOOKUP($A379,'NonXtal_SegEnds_BW#'!$A:$Z,21,FALSE)+VLOOKUP($A379,A:AL,31,FALSE)-50))</f>
        <v>211</v>
      </c>
      <c r="AE379" s="3">
        <v>240</v>
      </c>
      <c r="AF379" s="3">
        <f>IF(ISERROR((VLOOKUP($A379,'NonXtal_SegEnds_BW#'!$A:$Z,22,FALSE)+VLOOKUP($A379,A:AL,31,FALSE)-50)),"-",(VLOOKUP($A379,'NonXtal_SegEnds_BW#'!$A:$Z,22,FALSE)+VLOOKUP($A379,A:AL,31,FALSE)-50))</f>
        <v>251</v>
      </c>
      <c r="AG379" s="3">
        <f>IF(ISERROR(VLOOKUP($A379,'NonXtal_SegEnds_BW#'!$A:$Z,23,FALSE)+VLOOKUP($A379,A:AL,34,FALSE)-50),"-",(VLOOKUP($A379,'NonXtal_SegEnds_BW#'!$A:$Z,23,FALSE)+VLOOKUP($A379,A:AL,34,FALSE)-50))</f>
        <v>257</v>
      </c>
      <c r="AH379" s="3">
        <v>276</v>
      </c>
      <c r="AI379" s="3">
        <v>282</v>
      </c>
      <c r="AJ379" s="3">
        <f>IF(ISERROR(VLOOKUP($A379,'NonXtal_SegEnds_BW#'!$A:$Z,25,FALSE)+VLOOKUP($A379,A:AL,37,FALSE)-50),"-",(VLOOKUP($A379,'NonXtal_SegEnds_BW#'!$A:$Z,25,FALSE)+VLOOKUP($A379,A:AL,37,FALSE)-50))</f>
        <v>283</v>
      </c>
      <c r="AK379" s="3">
        <v>286</v>
      </c>
      <c r="AL379" s="3">
        <f>IF(ISERROR((VLOOKUP($A379,'NonXtal_SegEnds_BW#'!$A:$Z,26,FALSE)+VLOOKUP($A379,A:AL,37,FALSE)-50)),"-",(VLOOKUP($A379,'NonXtal_SegEnds_BW#'!$A:$Z,26,FALSE)+VLOOKUP($A379,A:AL,37,FALSE)-50))</f>
        <v>295</v>
      </c>
      <c r="AM379" s="71" t="str">
        <f>VLOOKUP(A379,Classification!A:B,2,FALSE)</f>
        <v>A</v>
      </c>
      <c r="AN379" s="71" t="b">
        <f t="shared" si="170"/>
        <v>1</v>
      </c>
      <c r="AO379" s="3" t="str">
        <f t="shared" si="171"/>
        <v>-</v>
      </c>
      <c r="AP379" s="3" t="str">
        <f t="shared" si="172"/>
        <v>-</v>
      </c>
      <c r="AQ379" s="3" t="str">
        <f t="shared" si="173"/>
        <v>-</v>
      </c>
      <c r="AR379" s="3" t="str">
        <f t="shared" si="174"/>
        <v>-</v>
      </c>
      <c r="AS379" s="3">
        <f t="shared" si="175"/>
        <v>1</v>
      </c>
      <c r="AT379" s="3">
        <f t="shared" si="176"/>
        <v>2</v>
      </c>
      <c r="AU379" s="3">
        <f t="shared" si="177"/>
        <v>12</v>
      </c>
      <c r="AV379" s="3">
        <f t="shared" si="178"/>
        <v>4</v>
      </c>
      <c r="AW379" s="3">
        <f t="shared" si="179"/>
        <v>11</v>
      </c>
      <c r="AX379" s="3">
        <f t="shared" si="180"/>
        <v>6</v>
      </c>
      <c r="AY379" s="3">
        <f t="shared" si="181"/>
        <v>1</v>
      </c>
      <c r="AZ379" s="3">
        <f>IF(ISERROR(LEN(VLOOKUP(A379,Seqs!A:E,2,FALSE))-AL379),"-",LEN(VLOOKUP(A379,Seqs!A:E,2,FALSE))-AL379)</f>
        <v>40</v>
      </c>
      <c r="BA379" s="35">
        <f t="shared" si="182"/>
        <v>29</v>
      </c>
      <c r="BB379" s="3">
        <f t="shared" si="183"/>
        <v>20</v>
      </c>
      <c r="BC379" s="3">
        <f t="shared" si="184"/>
        <v>29</v>
      </c>
      <c r="BD379" s="3">
        <f t="shared" si="185"/>
        <v>64</v>
      </c>
    </row>
    <row r="380" spans="1:58" s="3" customFormat="1" x14ac:dyDescent="0.2">
      <c r="A380" s="3" t="s">
        <v>432</v>
      </c>
      <c r="B380" s="3" t="str">
        <f>LOWER(VLOOKUP(A380,Xtal_Templ!A:B,2,FALSE))</f>
        <v>s1pr1_human</v>
      </c>
      <c r="C380" s="3">
        <f>VLOOKUP($A380,'NonXtal_SegEnds_BW#'!$A:$Z,3,FALSE)+D380-50</f>
        <v>41</v>
      </c>
      <c r="D380" s="3">
        <v>62</v>
      </c>
      <c r="E380" s="3">
        <f>IF(ISERROR(VLOOKUP($A380,'NonXtal_SegEnds_BW#'!$A:$Z,4,FALSE)+VLOOKUP($A380,A:AL,4,FALSE)-50),"-",(VLOOKUP($A380,'NonXtal_SegEnds_BW#'!$A:$Z,4,FALSE)+VLOOKUP($A380,A:AL,4,FALSE)-50))</f>
        <v>72</v>
      </c>
      <c r="F380" s="3" t="str">
        <f>IF(ISERROR(VLOOKUP($A380,'NonXtal_SegEnds_BW#'!$A:$Z,5,FALSE)+VLOOKUP($A380,A:AL,7,FALSE)-50),"-",(VLOOKUP($A380,'NonXtal_SegEnds_BW#'!$A:$Z,5,FALSE)+VLOOKUP($A380,A:AL,7,FALSE)-50))</f>
        <v>-</v>
      </c>
      <c r="G380" s="3" t="s">
        <v>129</v>
      </c>
      <c r="H380" s="3" t="str">
        <f>IF(ISERROR(VLOOKUP($A380,'NonXtal_SegEnds_BW#'!$A:$Z,6,FALSE)+VLOOKUP($A380,A:AL,7,FALSE)-50),"-",(VLOOKUP($A380,'NonXtal_SegEnds_BW#'!$A:$Z,6,FALSE)+VLOOKUP($A380,A:AL,7,FALSE)-50))</f>
        <v>-</v>
      </c>
      <c r="I380" s="3">
        <f>VLOOKUP($A380,'NonXtal_SegEnds_BW#'!$A:$Z,7,FALSE)+J380-50</f>
        <v>77</v>
      </c>
      <c r="J380" s="3">
        <v>90</v>
      </c>
      <c r="K380" s="3">
        <f>VLOOKUP($A380,'NonXtal_SegEnds_BW#'!$A:$Z,8,FALSE)+VLOOKUP($A380,A:AL,10,FALSE)-50</f>
        <v>102</v>
      </c>
      <c r="L380" s="3">
        <f>M380-1</f>
        <v>104</v>
      </c>
      <c r="M380" s="3">
        <v>105</v>
      </c>
      <c r="N380" s="3">
        <f>M380+2</f>
        <v>107</v>
      </c>
      <c r="O380" s="3">
        <f>N380+1</f>
        <v>108</v>
      </c>
      <c r="P380" s="3">
        <v>138</v>
      </c>
      <c r="Q380" s="3">
        <f>VLOOKUP($A380,'NonXtal_SegEnds_BW#'!$A:$Z,12,FALSE)+VLOOKUP($A380,A:AL,16,FALSE)-50</f>
        <v>144</v>
      </c>
      <c r="R380" s="3">
        <f>S380</f>
        <v>145</v>
      </c>
      <c r="S380" s="3">
        <v>145</v>
      </c>
      <c r="T380" s="3">
        <f>S380+7</f>
        <v>152</v>
      </c>
      <c r="U380" s="3">
        <f>IF(ISERROR(VLOOKUP($A380,'NonXtal_SegEnds_BW#'!$A:$Z,15,FALSE)+VLOOKUP($A380,A:AL,22,FALSE)-50),"-",VLOOKUP($A380,'NonXtal_SegEnds_BW#'!$A:$Z,15,FALSE)+VLOOKUP($A380,A:AL,22,FALSE)-50)</f>
        <v>154</v>
      </c>
      <c r="V380" s="3">
        <v>165</v>
      </c>
      <c r="W380" s="3">
        <f>IF(ISERROR(VLOOKUP($A380,'NonXtal_SegEnds_BW#'!$A:$Z,16,FALSE)+VLOOKUP($A380,A:AL,22,FALSE)-50),"-",(VLOOKUP($A380,'NonXtal_SegEnds_BW#'!$A:$Z,16,FALSE)+VLOOKUP($A380,A:AL,22,FALSE)-50))</f>
        <v>178</v>
      </c>
      <c r="X380" s="3" t="str">
        <f>IF(ISERROR(VLOOKUP($A380,'NonXtal_SegEnds_BW#'!$A:$Z,17,FALSE)+VLOOKUP($A380,A:AL,25,FALSE)-50),"-",(VLOOKUP($A380,'NonXtal_SegEnds_BW#'!$A:$Z,17,FALSE)+VLOOKUP($A380,A:AL,25,FALSE)-50))</f>
        <v>-</v>
      </c>
      <c r="Y380" s="3" t="s">
        <v>129</v>
      </c>
      <c r="Z380" s="3" t="str">
        <f>IF(ISERROR(VLOOKUP($A380,'NonXtal_SegEnds_BW#'!$A:$Z,18,FALSE)+VLOOKUP($A380,A:AL,25,FALSE)-50),"-",(VLOOKUP($A380,'NonXtal_SegEnds_BW#'!$A:$Z,18,FALSE)+VLOOKUP($A380,A:AL,25,FALSE)-50))</f>
        <v>-</v>
      </c>
      <c r="AA380" s="3">
        <f>IF(ISERROR(VLOOKUP($A380,'NonXtal_SegEnds_BW#'!$A:$Z,19,FALSE)+VLOOKUP($A380,A:AL,28,FALSE)-50),"-",(VLOOKUP($A380,'NonXtal_SegEnds_BW#'!$A:$Z,19,FALSE)+VLOOKUP($A380,A:AL,28,FALSE)-50))</f>
        <v>195</v>
      </c>
      <c r="AB380" s="3">
        <v>209</v>
      </c>
      <c r="AC380" s="3">
        <f>IF(ISERROR((VLOOKUP($A380,'NonXtal_SegEnds_BW#'!$A:$Z,20,FALSE)+VLOOKUP($A380,A:AL,28,FALSE)-50)),"-",(VLOOKUP($A380,'NonXtal_SegEnds_BW#'!$A:$Z,20,FALSE)+VLOOKUP($A380,A:AL,28,FALSE)-50))</f>
        <v>232</v>
      </c>
      <c r="AD380" s="3">
        <f>IF(ISERROR(VLOOKUP($A380,'NonXtal_SegEnds_BW#'!$A:$Z,21,FALSE)+VLOOKUP($A380,A:AL,31,FALSE)-50),"-",(VLOOKUP($A380,'NonXtal_SegEnds_BW#'!$A:$Z,21,FALSE)+VLOOKUP($A380,A:AL,31,FALSE)-50))</f>
        <v>238</v>
      </c>
      <c r="AE380" s="3">
        <v>266</v>
      </c>
      <c r="AF380" s="3">
        <f>IF(ISERROR((VLOOKUP($A380,'NonXtal_SegEnds_BW#'!$A:$Z,22,FALSE)+VLOOKUP($A380,A:AL,31,FALSE)-50)),"-",(VLOOKUP($A380,'NonXtal_SegEnds_BW#'!$A:$Z,22,FALSE)+VLOOKUP($A380,A:AL,31,FALSE)-50))</f>
        <v>277</v>
      </c>
      <c r="AG380" s="3">
        <f>IF(ISERROR(VLOOKUP($A380,'NonXtal_SegEnds_BW#'!$A:$Z,23,FALSE)+VLOOKUP($A380,A:AL,34,FALSE)-50),"-",(VLOOKUP($A380,'NonXtal_SegEnds_BW#'!$A:$Z,23,FALSE)+VLOOKUP($A380,A:AL,34,FALSE)-50))</f>
        <v>282</v>
      </c>
      <c r="AH380" s="3">
        <v>298</v>
      </c>
      <c r="AI380" s="3">
        <f>IF(ISERROR((VLOOKUP($A380,'NonXtal_SegEnds_BW#'!$A:$Z,24,FALSE)+VLOOKUP($A380,A:AL,34,FALSE)-50)),"-",(VLOOKUP($A380,'NonXtal_SegEnds_BW#'!$A:$Z,24,FALSE)+VLOOKUP($A380,A:AL,34,FALSE)-50))</f>
        <v>304</v>
      </c>
      <c r="AJ380" s="3">
        <f>IF(ISERROR(VLOOKUP($A380,'NonXtal_SegEnds_BW#'!$A:$Z,25,FALSE)+VLOOKUP($A380,A:AL,37,FALSE)-50),"-",(VLOOKUP($A380,'NonXtal_SegEnds_BW#'!$A:$Z,25,FALSE)+VLOOKUP($A380,A:AL,37,FALSE)-50))</f>
        <v>305</v>
      </c>
      <c r="AK380" s="3">
        <v>308</v>
      </c>
      <c r="AL380" s="3">
        <f>IF(ISERROR((VLOOKUP($A380,'NonXtal_SegEnds_BW#'!$A:$Z,26,FALSE)+VLOOKUP($A380,A:AL,37,FALSE)-50)),"-",(VLOOKUP($A380,'NonXtal_SegEnds_BW#'!$A:$Z,26,FALSE)+VLOOKUP($A380,A:AL,37,FALSE)-50))</f>
        <v>317</v>
      </c>
      <c r="AM380" s="71" t="str">
        <f>VLOOKUP(A380,Classification!A:B,2,FALSE)</f>
        <v>A</v>
      </c>
      <c r="AN380" s="71" t="b">
        <f t="shared" si="170"/>
        <v>1</v>
      </c>
      <c r="AO380" s="3" t="str">
        <f t="shared" si="171"/>
        <v>-</v>
      </c>
      <c r="AP380" s="3" t="str">
        <f t="shared" si="172"/>
        <v>-</v>
      </c>
      <c r="AQ380" s="3">
        <f t="shared" si="173"/>
        <v>2</v>
      </c>
      <c r="AR380" s="3">
        <f t="shared" si="174"/>
        <v>1</v>
      </c>
      <c r="AS380" s="3">
        <f t="shared" si="175"/>
        <v>1</v>
      </c>
      <c r="AT380" s="3">
        <f t="shared" si="176"/>
        <v>2</v>
      </c>
      <c r="AU380" s="3" t="str">
        <f t="shared" si="177"/>
        <v>-</v>
      </c>
      <c r="AV380" s="3" t="str">
        <f t="shared" si="178"/>
        <v>-</v>
      </c>
      <c r="AW380" s="3">
        <f t="shared" si="179"/>
        <v>6</v>
      </c>
      <c r="AX380" s="3">
        <f t="shared" si="180"/>
        <v>5</v>
      </c>
      <c r="AY380" s="3">
        <f t="shared" si="181"/>
        <v>1</v>
      </c>
      <c r="AZ380" s="3">
        <f>IF(ISERROR(LEN(VLOOKUP(A380,Seqs!A:E,2,FALSE))-AL380),"-",LEN(VLOOKUP(A380,Seqs!A:E,2,FALSE))-AL380)</f>
        <v>17</v>
      </c>
      <c r="BA380" s="35">
        <f t="shared" si="182"/>
        <v>28</v>
      </c>
      <c r="BB380" s="3">
        <f t="shared" si="183"/>
        <v>20</v>
      </c>
      <c r="BC380" s="3">
        <f t="shared" si="184"/>
        <v>28</v>
      </c>
      <c r="BD380" s="3">
        <f t="shared" si="185"/>
        <v>57</v>
      </c>
      <c r="BE380" s="3">
        <f t="shared" ref="BE380:BE385" si="195">AH380-AE380</f>
        <v>32</v>
      </c>
    </row>
    <row r="381" spans="1:58" s="3" customFormat="1" x14ac:dyDescent="0.2">
      <c r="A381" s="3" t="s">
        <v>456</v>
      </c>
      <c r="B381" s="3" t="str">
        <f>LOWER(VLOOKUP(A381,Xtal_Templ!A:B,2,FALSE))</f>
        <v>s1pr1_human</v>
      </c>
      <c r="C381" s="3">
        <f>VLOOKUP($A381,'NonXtal_SegEnds_BW#'!$A:$Z,3,FALSE)+D381-50</f>
        <v>69</v>
      </c>
      <c r="D381" s="3">
        <v>90</v>
      </c>
      <c r="E381" s="3">
        <f>IF(ISERROR(VLOOKUP($A381,'NonXtal_SegEnds_BW#'!$A:$Z,4,FALSE)+VLOOKUP($A381,A:AL,4,FALSE)-50),"-",(VLOOKUP($A381,'NonXtal_SegEnds_BW#'!$A:$Z,4,FALSE)+VLOOKUP($A381,A:AL,4,FALSE)-50))</f>
        <v>100</v>
      </c>
      <c r="F381" s="3">
        <f>G381-2</f>
        <v>101</v>
      </c>
      <c r="G381" s="3">
        <v>103</v>
      </c>
      <c r="H381" s="3">
        <f t="shared" ref="H381:I384" si="196">G381+1</f>
        <v>104</v>
      </c>
      <c r="I381" s="3">
        <f t="shared" si="196"/>
        <v>105</v>
      </c>
      <c r="J381" s="3">
        <v>118</v>
      </c>
      <c r="K381" s="3">
        <f>VLOOKUP($A381,'NonXtal_SegEnds_BW#'!$A:$Z,8,FALSE)+VLOOKUP($A381,A:AL,10,FALSE)-50</f>
        <v>130</v>
      </c>
      <c r="L381" s="3">
        <f>M381-1</f>
        <v>132</v>
      </c>
      <c r="M381" s="3">
        <v>133</v>
      </c>
      <c r="N381" s="3">
        <f>M381+2</f>
        <v>135</v>
      </c>
      <c r="O381" s="3">
        <f>N381+1</f>
        <v>136</v>
      </c>
      <c r="P381" s="3">
        <v>166</v>
      </c>
      <c r="Q381" s="3">
        <f>VLOOKUP($A381,'NonXtal_SegEnds_BW#'!$A:$Z,12,FALSE)+VLOOKUP($A381,A:AL,16,FALSE)-50</f>
        <v>172</v>
      </c>
      <c r="R381" s="3">
        <f>S381</f>
        <v>173</v>
      </c>
      <c r="S381" s="3">
        <v>173</v>
      </c>
      <c r="T381" s="3">
        <f>S381+7</f>
        <v>180</v>
      </c>
      <c r="U381" s="3">
        <f>IF(ISERROR(VLOOKUP($A381,'NonXtal_SegEnds_BW#'!$A:$Z,15,FALSE)+VLOOKUP($A381,A:AL,22,FALSE)-50),"-",VLOOKUP($A381,'NonXtal_SegEnds_BW#'!$A:$Z,15,FALSE)+VLOOKUP($A381,A:AL,22,FALSE)-50)</f>
        <v>182</v>
      </c>
      <c r="V381" s="3">
        <v>193</v>
      </c>
      <c r="W381" s="3">
        <f>IF(ISERROR(VLOOKUP($A381,'NonXtal_SegEnds_BW#'!$A:$Z,16,FALSE)+VLOOKUP($A381,A:AL,22,FALSE)-50),"-",(VLOOKUP($A381,'NonXtal_SegEnds_BW#'!$A:$Z,16,FALSE)+VLOOKUP($A381,A:AL,22,FALSE)-50))</f>
        <v>206</v>
      </c>
      <c r="X381" s="3" t="str">
        <f>IF(ISERROR(VLOOKUP($A381,'NonXtal_SegEnds_BW#'!$A:$Z,17,FALSE)+VLOOKUP($A381,A:AL,25,FALSE)-50),"-",(VLOOKUP($A381,'NonXtal_SegEnds_BW#'!$A:$Z,17,FALSE)+VLOOKUP($A381,A:AL,25,FALSE)-50))</f>
        <v>-</v>
      </c>
      <c r="Y381" s="3" t="s">
        <v>129</v>
      </c>
      <c r="Z381" s="3" t="str">
        <f>IF(ISERROR(VLOOKUP($A381,'NonXtal_SegEnds_BW#'!$A:$Z,18,FALSE)+VLOOKUP($A381,A:AL,25,FALSE)-50),"-",(VLOOKUP($A381,'NonXtal_SegEnds_BW#'!$A:$Z,18,FALSE)+VLOOKUP($A381,A:AL,25,FALSE)-50))</f>
        <v>-</v>
      </c>
      <c r="AA381" s="3">
        <f>IF(ISERROR(VLOOKUP($A381,'NonXtal_SegEnds_BW#'!$A:$Z,19,FALSE)+VLOOKUP($A381,A:AL,28,FALSE)-50),"-",(VLOOKUP($A381,'NonXtal_SegEnds_BW#'!$A:$Z,19,FALSE)+VLOOKUP($A381,A:AL,28,FALSE)-50))</f>
        <v>223</v>
      </c>
      <c r="AB381" s="3">
        <v>237</v>
      </c>
      <c r="AC381" s="3">
        <f>IF(ISERROR((VLOOKUP($A381,'NonXtal_SegEnds_BW#'!$A:$Z,20,FALSE)+VLOOKUP($A381,A:AL,28,FALSE)-50)),"-",(VLOOKUP($A381,'NonXtal_SegEnds_BW#'!$A:$Z,20,FALSE)+VLOOKUP($A381,A:AL,28,FALSE)-50))</f>
        <v>260</v>
      </c>
      <c r="AD381" s="3">
        <f>IF(ISERROR(VLOOKUP($A381,'NonXtal_SegEnds_BW#'!$A:$Z,21,FALSE)+VLOOKUP($A381,A:AL,31,FALSE)-50),"-",(VLOOKUP($A381,'NonXtal_SegEnds_BW#'!$A:$Z,21,FALSE)+VLOOKUP($A381,A:AL,31,FALSE)-50))</f>
        <v>266</v>
      </c>
      <c r="AE381" s="3">
        <v>294</v>
      </c>
      <c r="AF381" s="3">
        <f>IF(ISERROR((VLOOKUP($A381,'NonXtal_SegEnds_BW#'!$A:$Z,22,FALSE)+VLOOKUP($A381,A:AL,31,FALSE)-50)),"-",(VLOOKUP($A381,'NonXtal_SegEnds_BW#'!$A:$Z,22,FALSE)+VLOOKUP($A381,A:AL,31,FALSE)-50))</f>
        <v>305</v>
      </c>
      <c r="AG381" s="3">
        <f>IF(ISERROR(VLOOKUP($A381,'NonXtal_SegEnds_BW#'!$A:$Z,23,FALSE)+VLOOKUP($A381,A:AL,34,FALSE)-50),"-",(VLOOKUP($A381,'NonXtal_SegEnds_BW#'!$A:$Z,23,FALSE)+VLOOKUP($A381,A:AL,34,FALSE)-50))</f>
        <v>310</v>
      </c>
      <c r="AH381" s="3">
        <v>326</v>
      </c>
      <c r="AI381" s="3">
        <f>IF(ISERROR((VLOOKUP($A381,'NonXtal_SegEnds_BW#'!$A:$Z,24,FALSE)+VLOOKUP($A381,A:AL,34,FALSE)-50)),"-",(VLOOKUP($A381,'NonXtal_SegEnds_BW#'!$A:$Z,24,FALSE)+VLOOKUP($A381,A:AL,34,FALSE)-50))</f>
        <v>332</v>
      </c>
      <c r="AJ381" s="3">
        <f>IF(ISERROR(VLOOKUP($A381,'NonXtal_SegEnds_BW#'!$A:$Z,25,FALSE)+VLOOKUP($A381,A:AL,37,FALSE)-50),"-",(VLOOKUP($A381,'NonXtal_SegEnds_BW#'!$A:$Z,25,FALSE)+VLOOKUP($A381,A:AL,37,FALSE)-50))</f>
        <v>333</v>
      </c>
      <c r="AK381" s="3">
        <v>336</v>
      </c>
      <c r="AL381" s="3">
        <f>IF(ISERROR((VLOOKUP($A381,'NonXtal_SegEnds_BW#'!$A:$Z,26,FALSE)+VLOOKUP($A381,A:AL,37,FALSE)-50)),"-",(VLOOKUP($A381,'NonXtal_SegEnds_BW#'!$A:$Z,26,FALSE)+VLOOKUP($A381,A:AL,37,FALSE)-50))</f>
        <v>345</v>
      </c>
      <c r="AM381" s="71" t="str">
        <f>VLOOKUP(A381,Classification!A:B,2,FALSE)</f>
        <v>A</v>
      </c>
      <c r="AN381" s="71" t="b">
        <f t="shared" si="170"/>
        <v>1</v>
      </c>
      <c r="AO381" s="3">
        <f t="shared" si="171"/>
        <v>1</v>
      </c>
      <c r="AP381" s="3">
        <f t="shared" si="172"/>
        <v>1</v>
      </c>
      <c r="AQ381" s="3">
        <f t="shared" si="173"/>
        <v>2</v>
      </c>
      <c r="AR381" s="3">
        <f t="shared" si="174"/>
        <v>1</v>
      </c>
      <c r="AS381" s="3">
        <f t="shared" si="175"/>
        <v>1</v>
      </c>
      <c r="AT381" s="3">
        <f t="shared" si="176"/>
        <v>2</v>
      </c>
      <c r="AU381" s="3" t="str">
        <f t="shared" si="177"/>
        <v>-</v>
      </c>
      <c r="AV381" s="3" t="str">
        <f t="shared" si="178"/>
        <v>-</v>
      </c>
      <c r="AW381" s="3">
        <f t="shared" si="179"/>
        <v>6</v>
      </c>
      <c r="AX381" s="3">
        <f t="shared" si="180"/>
        <v>5</v>
      </c>
      <c r="AY381" s="3">
        <f t="shared" si="181"/>
        <v>1</v>
      </c>
      <c r="AZ381" s="3">
        <f>IF(ISERROR(LEN(VLOOKUP(A381,Seqs!A:E,2,FALSE))-AL381),"-",LEN(VLOOKUP(A381,Seqs!A:E,2,FALSE))-AL381)</f>
        <v>17</v>
      </c>
      <c r="BA381" s="35">
        <f t="shared" si="182"/>
        <v>28</v>
      </c>
      <c r="BB381" s="3">
        <f t="shared" si="183"/>
        <v>20</v>
      </c>
      <c r="BC381" s="3">
        <f t="shared" si="184"/>
        <v>28</v>
      </c>
      <c r="BD381" s="3">
        <f t="shared" si="185"/>
        <v>57</v>
      </c>
      <c r="BE381" s="3">
        <f t="shared" si="195"/>
        <v>32</v>
      </c>
    </row>
    <row r="382" spans="1:58" s="3" customFormat="1" x14ac:dyDescent="0.2">
      <c r="A382" s="3" t="s">
        <v>490</v>
      </c>
      <c r="B382" s="3" t="str">
        <f>LOWER(VLOOKUP(A382,Xtal_Templ!A:B,2,FALSE))</f>
        <v>s1pr1_human</v>
      </c>
      <c r="C382" s="3">
        <f>VLOOKUP($A382,'NonXtal_SegEnds_BW#'!$A:$Z,3,FALSE)+D382-50</f>
        <v>35</v>
      </c>
      <c r="D382" s="3">
        <v>56</v>
      </c>
      <c r="E382" s="3">
        <f>IF(ISERROR(VLOOKUP($A382,'NonXtal_SegEnds_BW#'!$A:$Z,4,FALSE)+VLOOKUP($A382,A:AL,4,FALSE)-50),"-",(VLOOKUP($A382,'NonXtal_SegEnds_BW#'!$A:$Z,4,FALSE)+VLOOKUP($A382,A:AL,4,FALSE)-50))</f>
        <v>66</v>
      </c>
      <c r="F382" s="3">
        <f>G382-2</f>
        <v>67</v>
      </c>
      <c r="G382" s="3">
        <v>69</v>
      </c>
      <c r="H382" s="3">
        <f t="shared" si="196"/>
        <v>70</v>
      </c>
      <c r="I382" s="3">
        <f t="shared" si="196"/>
        <v>71</v>
      </c>
      <c r="J382" s="3">
        <v>84</v>
      </c>
      <c r="K382" s="3">
        <f>VLOOKUP($A382,'NonXtal_SegEnds_BW#'!$A:$Z,8,FALSE)+VLOOKUP($A382,A:AL,10,FALSE)-50</f>
        <v>101</v>
      </c>
      <c r="L382" s="3" t="str">
        <f>IF(ISERROR(VLOOKUP($A382,'NonXtal_SegEnds_BW#'!$A:$Z,9,FALSE)+VLOOKUP($A382,A:AL,13,FALSE)-50),"-",(VLOOKUP($A382,'NonXtal_SegEnds_BW#'!$A:$Z,9,FALSE)+VLOOKUP($A382,A:AL,13,FALSE)-50))</f>
        <v>-</v>
      </c>
      <c r="M382" s="3" t="s">
        <v>129</v>
      </c>
      <c r="N382" s="3" t="str">
        <f>IF(ISERROR(VLOOKUP($A382,'NonXtal_SegEnds_BW#'!$A:$Z,10,FALSE)+VLOOKUP($A382,A:AL,13,FALSE)-50),"-",(VLOOKUP($A382,'NonXtal_SegEnds_BW#'!$A:$Z,10,FALSE)+VLOOKUP($A382,A:AL,13,FALSE)-50))</f>
        <v>-</v>
      </c>
      <c r="O382" s="3">
        <f>VLOOKUP($A382,'NonXtal_SegEnds_BW#'!$A:$Z,11,FALSE)+VLOOKUP($A382,A:AL,16,FALSE)-50</f>
        <v>110</v>
      </c>
      <c r="P382" s="3">
        <v>142</v>
      </c>
      <c r="Q382" s="3">
        <f>VLOOKUP($A382,'NonXtal_SegEnds_BW#'!$A:$Z,12,FALSE)+VLOOKUP($A382,A:AL,16,FALSE)-50</f>
        <v>148</v>
      </c>
      <c r="R382" s="3">
        <f>S382</f>
        <v>149</v>
      </c>
      <c r="S382" s="3">
        <v>149</v>
      </c>
      <c r="T382" s="3">
        <f>S382+7</f>
        <v>156</v>
      </c>
      <c r="U382" s="3">
        <f>IF(ISERROR(VLOOKUP($A382,'NonXtal_SegEnds_BW#'!$A:$Z,15,FALSE)+VLOOKUP($A382,A:AL,22,FALSE)-50),"-",VLOOKUP($A382,'NonXtal_SegEnds_BW#'!$A:$Z,15,FALSE)+VLOOKUP($A382,A:AL,22,FALSE)-50)</f>
        <v>158</v>
      </c>
      <c r="V382" s="3">
        <v>169</v>
      </c>
      <c r="W382" s="3">
        <f>IF(ISERROR(VLOOKUP($A382,'NonXtal_SegEnds_BW#'!$A:$Z,16,FALSE)+VLOOKUP($A382,A:AL,22,FALSE)-50),"-",(VLOOKUP($A382,'NonXtal_SegEnds_BW#'!$A:$Z,16,FALSE)+VLOOKUP($A382,A:AL,22,FALSE)-50))</f>
        <v>182</v>
      </c>
      <c r="X382" s="3" t="str">
        <f>IF(ISERROR(VLOOKUP($A382,'NonXtal_SegEnds_BW#'!$A:$Z,17,FALSE)+VLOOKUP($A382,A:AL,25,FALSE)-50),"-",(VLOOKUP($A382,'NonXtal_SegEnds_BW#'!$A:$Z,17,FALSE)+VLOOKUP($A382,A:AL,25,FALSE)-50))</f>
        <v>-</v>
      </c>
      <c r="Y382" s="3" t="s">
        <v>129</v>
      </c>
      <c r="Z382" s="3" t="str">
        <f>IF(ISERROR(VLOOKUP($A382,'NonXtal_SegEnds_BW#'!$A:$Z,18,FALSE)+VLOOKUP($A382,A:AL,25,FALSE)-50),"-",(VLOOKUP($A382,'NonXtal_SegEnds_BW#'!$A:$Z,18,FALSE)+VLOOKUP($A382,A:AL,25,FALSE)-50))</f>
        <v>-</v>
      </c>
      <c r="AA382" s="3">
        <f>IF(ISERROR(VLOOKUP($A382,'NonXtal_SegEnds_BW#'!$A:$Z,19,FALSE)+VLOOKUP($A382,A:AL,28,FALSE)-50),"-",(VLOOKUP($A382,'NonXtal_SegEnds_BW#'!$A:$Z,19,FALSE)+VLOOKUP($A382,A:AL,28,FALSE)-50))</f>
        <v>185</v>
      </c>
      <c r="AB382" s="3">
        <v>199</v>
      </c>
      <c r="AC382" s="3">
        <f>IF(ISERROR((VLOOKUP($A382,'NonXtal_SegEnds_BW#'!$A:$Z,20,FALSE)+VLOOKUP($A382,A:AL,28,FALSE)-50)),"-",(VLOOKUP($A382,'NonXtal_SegEnds_BW#'!$A:$Z,20,FALSE)+VLOOKUP($A382,A:AL,28,FALSE)-50))</f>
        <v>222</v>
      </c>
      <c r="AD382" s="3">
        <f>IF(ISERROR(VLOOKUP($A382,'NonXtal_SegEnds_BW#'!$A:$Z,21,FALSE)+VLOOKUP($A382,A:AL,31,FALSE)-50),"-",(VLOOKUP($A382,'NonXtal_SegEnds_BW#'!$A:$Z,21,FALSE)+VLOOKUP($A382,A:AL,31,FALSE)-50))</f>
        <v>231</v>
      </c>
      <c r="AE382" s="3">
        <v>257</v>
      </c>
      <c r="AF382" s="3">
        <f>IF(ISERROR((VLOOKUP($A382,'NonXtal_SegEnds_BW#'!$A:$Z,22,FALSE)+VLOOKUP($A382,A:AL,31,FALSE)-50)),"-",(VLOOKUP($A382,'NonXtal_SegEnds_BW#'!$A:$Z,22,FALSE)+VLOOKUP($A382,A:AL,31,FALSE)-50))</f>
        <v>268</v>
      </c>
      <c r="AG382" s="3">
        <f>IF(ISERROR(VLOOKUP($A382,'NonXtal_SegEnds_BW#'!$A:$Z,23,FALSE)+VLOOKUP($A382,A:AL,34,FALSE)-50),"-",(VLOOKUP($A382,'NonXtal_SegEnds_BW#'!$A:$Z,23,FALSE)+VLOOKUP($A382,A:AL,34,FALSE)-50))</f>
        <v>274</v>
      </c>
      <c r="AH382" s="3">
        <v>296</v>
      </c>
      <c r="AI382" s="3">
        <f>IF(ISERROR((VLOOKUP($A382,'NonXtal_SegEnds_BW#'!$A:$Z,24,FALSE)+VLOOKUP($A382,A:AL,34,FALSE)-50)),"-",(VLOOKUP($A382,'NonXtal_SegEnds_BW#'!$A:$Z,24,FALSE)+VLOOKUP($A382,A:AL,34,FALSE)-50))</f>
        <v>302</v>
      </c>
      <c r="AJ382" s="3">
        <f>IF(ISERROR(VLOOKUP($A382,'NonXtal_SegEnds_BW#'!$A:$Z,25,FALSE)+VLOOKUP($A382,A:AL,37,FALSE)-50),"-",(VLOOKUP($A382,'NonXtal_SegEnds_BW#'!$A:$Z,25,FALSE)+VLOOKUP($A382,A:AL,37,FALSE)-50))</f>
        <v>303</v>
      </c>
      <c r="AK382" s="3">
        <v>306</v>
      </c>
      <c r="AL382" s="3">
        <f>IF(ISERROR((VLOOKUP($A382,'NonXtal_SegEnds_BW#'!$A:$Z,26,FALSE)+VLOOKUP($A382,A:AL,37,FALSE)-50)),"-",(VLOOKUP($A382,'NonXtal_SegEnds_BW#'!$A:$Z,26,FALSE)+VLOOKUP($A382,A:AL,37,FALSE)-50))</f>
        <v>315</v>
      </c>
      <c r="AM382" s="71" t="str">
        <f>VLOOKUP(A382,Classification!A:B,2,FALSE)</f>
        <v>A</v>
      </c>
      <c r="AN382" s="71" t="b">
        <f t="shared" si="170"/>
        <v>1</v>
      </c>
      <c r="AO382" s="3">
        <f t="shared" si="171"/>
        <v>1</v>
      </c>
      <c r="AP382" s="3">
        <f t="shared" si="172"/>
        <v>1</v>
      </c>
      <c r="AQ382" s="3" t="str">
        <f t="shared" si="173"/>
        <v>-</v>
      </c>
      <c r="AR382" s="3" t="str">
        <f t="shared" si="174"/>
        <v>-</v>
      </c>
      <c r="AS382" s="3">
        <f t="shared" si="175"/>
        <v>1</v>
      </c>
      <c r="AT382" s="3">
        <f t="shared" si="176"/>
        <v>2</v>
      </c>
      <c r="AU382" s="3" t="str">
        <f t="shared" si="177"/>
        <v>-</v>
      </c>
      <c r="AV382" s="3" t="str">
        <f t="shared" si="178"/>
        <v>-</v>
      </c>
      <c r="AW382" s="3">
        <f t="shared" si="179"/>
        <v>9</v>
      </c>
      <c r="AX382" s="3">
        <f t="shared" si="180"/>
        <v>6</v>
      </c>
      <c r="AY382" s="3">
        <f t="shared" si="181"/>
        <v>1</v>
      </c>
      <c r="AZ382" s="3">
        <f>IF(ISERROR(LEN(VLOOKUP(A382,Seqs!A:E,2,FALSE))-AL382),"-",LEN(VLOOKUP(A382,Seqs!A:E,2,FALSE))-AL382)</f>
        <v>8</v>
      </c>
      <c r="BA382" s="35">
        <f t="shared" si="182"/>
        <v>28</v>
      </c>
      <c r="BB382" s="3">
        <f t="shared" si="183"/>
        <v>20</v>
      </c>
      <c r="BC382" s="3">
        <f t="shared" si="184"/>
        <v>28</v>
      </c>
      <c r="BD382" s="3">
        <f t="shared" si="185"/>
        <v>58</v>
      </c>
      <c r="BE382" s="3">
        <f t="shared" si="195"/>
        <v>39</v>
      </c>
    </row>
    <row r="383" spans="1:58" s="3" customFormat="1" x14ac:dyDescent="0.2">
      <c r="A383" s="3" t="s">
        <v>491</v>
      </c>
      <c r="B383" s="3" t="str">
        <f>LOWER(VLOOKUP(A383,Xtal_Templ!A:B,2,FALSE))</f>
        <v>s1pr1_human</v>
      </c>
      <c r="C383" s="3">
        <f>VLOOKUP($A383,'NonXtal_SegEnds_BW#'!$A:$Z,3,FALSE)+D383-50</f>
        <v>41</v>
      </c>
      <c r="D383" s="3">
        <v>62</v>
      </c>
      <c r="E383" s="3">
        <f>IF(ISERROR(VLOOKUP($A383,'NonXtal_SegEnds_BW#'!$A:$Z,4,FALSE)+VLOOKUP($A383,A:AL,4,FALSE)-50),"-",(VLOOKUP($A383,'NonXtal_SegEnds_BW#'!$A:$Z,4,FALSE)+VLOOKUP($A383,A:AL,4,FALSE)-50))</f>
        <v>72</v>
      </c>
      <c r="F383" s="3">
        <f>G383-2</f>
        <v>73</v>
      </c>
      <c r="G383" s="3">
        <v>75</v>
      </c>
      <c r="H383" s="3">
        <f t="shared" si="196"/>
        <v>76</v>
      </c>
      <c r="I383" s="3">
        <f t="shared" si="196"/>
        <v>77</v>
      </c>
      <c r="J383" s="3">
        <v>90</v>
      </c>
      <c r="K383" s="3">
        <f>VLOOKUP($A383,'NonXtal_SegEnds_BW#'!$A:$Z,8,FALSE)+VLOOKUP($A383,A:AL,10,FALSE)-50</f>
        <v>107</v>
      </c>
      <c r="L383" s="3" t="str">
        <f>IF(ISERROR(VLOOKUP($A383,'NonXtal_SegEnds_BW#'!$A:$Z,9,FALSE)+VLOOKUP($A383,A:AL,13,FALSE)-50),"-",(VLOOKUP($A383,'NonXtal_SegEnds_BW#'!$A:$Z,9,FALSE)+VLOOKUP($A383,A:AL,13,FALSE)-50))</f>
        <v>-</v>
      </c>
      <c r="M383" s="3" t="s">
        <v>129</v>
      </c>
      <c r="N383" s="3" t="str">
        <f>IF(ISERROR(VLOOKUP($A383,'NonXtal_SegEnds_BW#'!$A:$Z,10,FALSE)+VLOOKUP($A383,A:AL,13,FALSE)-50),"-",(VLOOKUP($A383,'NonXtal_SegEnds_BW#'!$A:$Z,10,FALSE)+VLOOKUP($A383,A:AL,13,FALSE)-50))</f>
        <v>-</v>
      </c>
      <c r="O383" s="3">
        <f>VLOOKUP($A383,'NonXtal_SegEnds_BW#'!$A:$Z,11,FALSE)+VLOOKUP($A383,A:AL,16,FALSE)-50</f>
        <v>115</v>
      </c>
      <c r="P383" s="3">
        <v>147</v>
      </c>
      <c r="Q383" s="3">
        <f>VLOOKUP($A383,'NonXtal_SegEnds_BW#'!$A:$Z,12,FALSE)+VLOOKUP($A383,A:AL,16,FALSE)-50</f>
        <v>153</v>
      </c>
      <c r="R383" s="3">
        <f>S383</f>
        <v>154</v>
      </c>
      <c r="S383" s="3">
        <v>154</v>
      </c>
      <c r="T383" s="3">
        <f>S383+7</f>
        <v>161</v>
      </c>
      <c r="U383" s="3">
        <f>IF(ISERROR(VLOOKUP($A383,'NonXtal_SegEnds_BW#'!$A:$Z,15,FALSE)+VLOOKUP($A383,A:AL,22,FALSE)-50),"-",VLOOKUP($A383,'NonXtal_SegEnds_BW#'!$A:$Z,15,FALSE)+VLOOKUP($A383,A:AL,22,FALSE)-50)</f>
        <v>163</v>
      </c>
      <c r="V383" s="3">
        <v>174</v>
      </c>
      <c r="W383" s="3">
        <f>IF(ISERROR(VLOOKUP($A383,'NonXtal_SegEnds_BW#'!$A:$Z,16,FALSE)+VLOOKUP($A383,A:AL,22,FALSE)-50),"-",(VLOOKUP($A383,'NonXtal_SegEnds_BW#'!$A:$Z,16,FALSE)+VLOOKUP($A383,A:AL,22,FALSE)-50))</f>
        <v>187</v>
      </c>
      <c r="X383" s="3" t="str">
        <f>IF(ISERROR(VLOOKUP($A383,'NonXtal_SegEnds_BW#'!$A:$Z,17,FALSE)+VLOOKUP($A383,A:AL,25,FALSE)-50),"-",(VLOOKUP($A383,'NonXtal_SegEnds_BW#'!$A:$Z,17,FALSE)+VLOOKUP($A383,A:AL,25,FALSE)-50))</f>
        <v>-</v>
      </c>
      <c r="Y383" s="3" t="s">
        <v>129</v>
      </c>
      <c r="Z383" s="3" t="str">
        <f>IF(ISERROR(VLOOKUP($A383,'NonXtal_SegEnds_BW#'!$A:$Z,18,FALSE)+VLOOKUP($A383,A:AL,25,FALSE)-50),"-",(VLOOKUP($A383,'NonXtal_SegEnds_BW#'!$A:$Z,18,FALSE)+VLOOKUP($A383,A:AL,25,FALSE)-50))</f>
        <v>-</v>
      </c>
      <c r="AA383" s="3">
        <f>IF(ISERROR(VLOOKUP($A383,'NonXtal_SegEnds_BW#'!$A:$Z,19,FALSE)+VLOOKUP($A383,A:AL,28,FALSE)-50),"-",(VLOOKUP($A383,'NonXtal_SegEnds_BW#'!$A:$Z,19,FALSE)+VLOOKUP($A383,A:AL,28,FALSE)-50))</f>
        <v>190</v>
      </c>
      <c r="AB383" s="3">
        <v>204</v>
      </c>
      <c r="AC383" s="3">
        <f>IF(ISERROR((VLOOKUP($A383,'NonXtal_SegEnds_BW#'!$A:$Z,20,FALSE)+VLOOKUP($A383,A:AL,28,FALSE)-50)),"-",(VLOOKUP($A383,'NonXtal_SegEnds_BW#'!$A:$Z,20,FALSE)+VLOOKUP($A383,A:AL,28,FALSE)-50))</f>
        <v>227</v>
      </c>
      <c r="AD383" s="3">
        <f>IF(ISERROR(VLOOKUP($A383,'NonXtal_SegEnds_BW#'!$A:$Z,21,FALSE)+VLOOKUP($A383,A:AL,31,FALSE)-50),"-",(VLOOKUP($A383,'NonXtal_SegEnds_BW#'!$A:$Z,21,FALSE)+VLOOKUP($A383,A:AL,31,FALSE)-50))</f>
        <v>232</v>
      </c>
      <c r="AE383" s="3">
        <v>260</v>
      </c>
      <c r="AF383" s="3">
        <f>IF(ISERROR((VLOOKUP($A383,'NonXtal_SegEnds_BW#'!$A:$Z,22,FALSE)+VLOOKUP($A383,A:AL,31,FALSE)-50)),"-",(VLOOKUP($A383,'NonXtal_SegEnds_BW#'!$A:$Z,22,FALSE)+VLOOKUP($A383,A:AL,31,FALSE)-50))</f>
        <v>271</v>
      </c>
      <c r="AG383" s="3">
        <f>IF(ISERROR(VLOOKUP($A383,'NonXtal_SegEnds_BW#'!$A:$Z,23,FALSE)+VLOOKUP($A383,A:AL,34,FALSE)-50),"-",(VLOOKUP($A383,'NonXtal_SegEnds_BW#'!$A:$Z,23,FALSE)+VLOOKUP($A383,A:AL,34,FALSE)-50))</f>
        <v>277</v>
      </c>
      <c r="AH383" s="3">
        <v>299</v>
      </c>
      <c r="AI383" s="3">
        <f>IF(ISERROR((VLOOKUP($A383,'NonXtal_SegEnds_BW#'!$A:$Z,24,FALSE)+VLOOKUP($A383,A:AL,34,FALSE)-50)),"-",(VLOOKUP($A383,'NonXtal_SegEnds_BW#'!$A:$Z,24,FALSE)+VLOOKUP($A383,A:AL,34,FALSE)-50))</f>
        <v>305</v>
      </c>
      <c r="AJ383" s="3">
        <f>IF(ISERROR(VLOOKUP($A383,'NonXtal_SegEnds_BW#'!$A:$Z,25,FALSE)+VLOOKUP($A383,A:AL,37,FALSE)-50),"-",(VLOOKUP($A383,'NonXtal_SegEnds_BW#'!$A:$Z,25,FALSE)+VLOOKUP($A383,A:AL,37,FALSE)-50))</f>
        <v>306</v>
      </c>
      <c r="AK383" s="3">
        <v>309</v>
      </c>
      <c r="AL383" s="3">
        <f>IF(ISERROR((VLOOKUP($A383,'NonXtal_SegEnds_BW#'!$A:$Z,26,FALSE)+VLOOKUP($A383,A:AL,37,FALSE)-50)),"-",(VLOOKUP($A383,'NonXtal_SegEnds_BW#'!$A:$Z,26,FALSE)+VLOOKUP($A383,A:AL,37,FALSE)-50))</f>
        <v>318</v>
      </c>
      <c r="AM383" s="71" t="str">
        <f>VLOOKUP(A383,Classification!A:B,2,FALSE)</f>
        <v>A</v>
      </c>
      <c r="AN383" s="71" t="b">
        <f t="shared" si="170"/>
        <v>1</v>
      </c>
      <c r="AO383" s="3">
        <f t="shared" si="171"/>
        <v>1</v>
      </c>
      <c r="AP383" s="3">
        <f t="shared" si="172"/>
        <v>1</v>
      </c>
      <c r="AQ383" s="3" t="str">
        <f t="shared" si="173"/>
        <v>-</v>
      </c>
      <c r="AR383" s="3" t="str">
        <f t="shared" si="174"/>
        <v>-</v>
      </c>
      <c r="AS383" s="3">
        <f t="shared" si="175"/>
        <v>1</v>
      </c>
      <c r="AT383" s="3">
        <f t="shared" si="176"/>
        <v>2</v>
      </c>
      <c r="AU383" s="3" t="str">
        <f t="shared" si="177"/>
        <v>-</v>
      </c>
      <c r="AV383" s="3" t="str">
        <f t="shared" si="178"/>
        <v>-</v>
      </c>
      <c r="AW383" s="3">
        <f t="shared" si="179"/>
        <v>5</v>
      </c>
      <c r="AX383" s="3">
        <f t="shared" si="180"/>
        <v>6</v>
      </c>
      <c r="AY383" s="3">
        <f t="shared" si="181"/>
        <v>1</v>
      </c>
      <c r="AZ383" s="3">
        <f>IF(ISERROR(LEN(VLOOKUP(A383,Seqs!A:E,2,FALSE))-AL383),"-",LEN(VLOOKUP(A383,Seqs!A:E,2,FALSE))-AL383)</f>
        <v>14</v>
      </c>
      <c r="BA383" s="35">
        <f t="shared" si="182"/>
        <v>28</v>
      </c>
      <c r="BB383" s="3">
        <f t="shared" si="183"/>
        <v>20</v>
      </c>
      <c r="BC383" s="3">
        <f t="shared" si="184"/>
        <v>28</v>
      </c>
      <c r="BD383" s="3">
        <f t="shared" si="185"/>
        <v>56</v>
      </c>
      <c r="BE383" s="3">
        <f t="shared" si="195"/>
        <v>39</v>
      </c>
    </row>
    <row r="384" spans="1:58" s="3" customFormat="1" x14ac:dyDescent="0.2">
      <c r="A384" s="3" t="s">
        <v>503</v>
      </c>
      <c r="B384" s="3" t="str">
        <f>LOWER(VLOOKUP(A384,Xtal_Templ!A:B,2,FALSE))</f>
        <v>s1pr1_human</v>
      </c>
      <c r="C384" s="3">
        <f>VLOOKUP($A384,'NonXtal_SegEnds_BW#'!$A:$Z,3,FALSE)+D384-50</f>
        <v>35</v>
      </c>
      <c r="D384" s="3">
        <v>56</v>
      </c>
      <c r="E384" s="3">
        <f>IF(ISERROR(VLOOKUP($A384,'NonXtal_SegEnds_BW#'!$A:$Z,4,FALSE)+VLOOKUP($A384,A:AL,4,FALSE)-50),"-",(VLOOKUP($A384,'NonXtal_SegEnds_BW#'!$A:$Z,4,FALSE)+VLOOKUP($A384,A:AL,4,FALSE)-50))</f>
        <v>66</v>
      </c>
      <c r="F384" s="3">
        <f>G384-2</f>
        <v>67</v>
      </c>
      <c r="G384" s="3">
        <v>69</v>
      </c>
      <c r="H384" s="3">
        <f t="shared" si="196"/>
        <v>70</v>
      </c>
      <c r="I384" s="3">
        <f t="shared" si="196"/>
        <v>71</v>
      </c>
      <c r="J384" s="3">
        <v>84</v>
      </c>
      <c r="K384" s="3">
        <f>VLOOKUP($A384,'NonXtal_SegEnds_BW#'!$A:$Z,8,FALSE)+VLOOKUP($A384,A:AL,10,FALSE)-50</f>
        <v>101</v>
      </c>
      <c r="L384" s="3" t="str">
        <f>IF(ISERROR(VLOOKUP($A384,'NonXtal_SegEnds_BW#'!$A:$Z,9,FALSE)+VLOOKUP($A384,A:AL,13,FALSE)-50),"-",(VLOOKUP($A384,'NonXtal_SegEnds_BW#'!$A:$Z,9,FALSE)+VLOOKUP($A384,A:AL,13,FALSE)-50))</f>
        <v>-</v>
      </c>
      <c r="M384" s="3" t="s">
        <v>129</v>
      </c>
      <c r="N384" s="3" t="str">
        <f>IF(ISERROR(VLOOKUP($A384,'NonXtal_SegEnds_BW#'!$A:$Z,10,FALSE)+VLOOKUP($A384,A:AL,13,FALSE)-50),"-",(VLOOKUP($A384,'NonXtal_SegEnds_BW#'!$A:$Z,10,FALSE)+VLOOKUP($A384,A:AL,13,FALSE)-50))</f>
        <v>-</v>
      </c>
      <c r="O384" s="3">
        <f>VLOOKUP($A384,'NonXtal_SegEnds_BW#'!$A:$Z,11,FALSE)+VLOOKUP($A384,A:AL,16,FALSE)-50</f>
        <v>110</v>
      </c>
      <c r="P384" s="3">
        <v>142</v>
      </c>
      <c r="Q384" s="3">
        <f>VLOOKUP($A384,'NonXtal_SegEnds_BW#'!$A:$Z,12,FALSE)+VLOOKUP($A384,A:AL,16,FALSE)-50</f>
        <v>148</v>
      </c>
      <c r="R384" s="3">
        <f>S384</f>
        <v>149</v>
      </c>
      <c r="S384" s="3">
        <v>149</v>
      </c>
      <c r="T384" s="3">
        <f>S384+7</f>
        <v>156</v>
      </c>
      <c r="U384" s="3">
        <f>IF(ISERROR(VLOOKUP($A384,'NonXtal_SegEnds_BW#'!$A:$Z,15,FALSE)+VLOOKUP($A384,A:AL,22,FALSE)-50),"-",VLOOKUP($A384,'NonXtal_SegEnds_BW#'!$A:$Z,15,FALSE)+VLOOKUP($A384,A:AL,22,FALSE)-50)</f>
        <v>158</v>
      </c>
      <c r="V384" s="3">
        <v>169</v>
      </c>
      <c r="W384" s="3">
        <f>IF(ISERROR(VLOOKUP($A384,'NonXtal_SegEnds_BW#'!$A:$Z,16,FALSE)+VLOOKUP($A384,A:AL,22,FALSE)-50),"-",(VLOOKUP($A384,'NonXtal_SegEnds_BW#'!$A:$Z,16,FALSE)+VLOOKUP($A384,A:AL,22,FALSE)-50))</f>
        <v>182</v>
      </c>
      <c r="X384" s="3" t="str">
        <f>IF(ISERROR(VLOOKUP($A384,'NonXtal_SegEnds_BW#'!$A:$Z,17,FALSE)+VLOOKUP($A384,A:AL,25,FALSE)-50),"-",(VLOOKUP($A384,'NonXtal_SegEnds_BW#'!$A:$Z,17,FALSE)+VLOOKUP($A384,A:AL,25,FALSE)-50))</f>
        <v>-</v>
      </c>
      <c r="Y384" s="3" t="s">
        <v>129</v>
      </c>
      <c r="Z384" s="3" t="str">
        <f>IF(ISERROR(VLOOKUP($A384,'NonXtal_SegEnds_BW#'!$A:$Z,18,FALSE)+VLOOKUP($A384,A:AL,25,FALSE)-50),"-",(VLOOKUP($A384,'NonXtal_SegEnds_BW#'!$A:$Z,18,FALSE)+VLOOKUP($A384,A:AL,25,FALSE)-50))</f>
        <v>-</v>
      </c>
      <c r="AA384" s="3">
        <f>IF(ISERROR(VLOOKUP($A384,'NonXtal_SegEnds_BW#'!$A:$Z,19,FALSE)+VLOOKUP($A384,A:AL,28,FALSE)-50),"-",(VLOOKUP($A384,'NonXtal_SegEnds_BW#'!$A:$Z,19,FALSE)+VLOOKUP($A384,A:AL,28,FALSE)-50))</f>
        <v>185</v>
      </c>
      <c r="AB384" s="3">
        <v>199</v>
      </c>
      <c r="AC384" s="3">
        <f>IF(ISERROR((VLOOKUP($A384,'NonXtal_SegEnds_BW#'!$A:$Z,20,FALSE)+VLOOKUP($A384,A:AL,28,FALSE)-50)),"-",(VLOOKUP($A384,'NonXtal_SegEnds_BW#'!$A:$Z,20,FALSE)+VLOOKUP($A384,A:AL,28,FALSE)-50))</f>
        <v>222</v>
      </c>
      <c r="AD384" s="3">
        <f>IF(ISERROR(VLOOKUP($A384,'NonXtal_SegEnds_BW#'!$A:$Z,21,FALSE)+VLOOKUP($A384,A:AL,31,FALSE)-50),"-",(VLOOKUP($A384,'NonXtal_SegEnds_BW#'!$A:$Z,21,FALSE)+VLOOKUP($A384,A:AL,31,FALSE)-50))</f>
        <v>228</v>
      </c>
      <c r="AE384" s="3">
        <v>256</v>
      </c>
      <c r="AF384" s="3">
        <f>IF(ISERROR((VLOOKUP($A384,'NonXtal_SegEnds_BW#'!$A:$Z,22,FALSE)+VLOOKUP($A384,A:AL,31,FALSE)-50)),"-",(VLOOKUP($A384,'NonXtal_SegEnds_BW#'!$A:$Z,22,FALSE)+VLOOKUP($A384,A:AL,31,FALSE)-50))</f>
        <v>267</v>
      </c>
      <c r="AG384" s="3">
        <f>IF(ISERROR(VLOOKUP($A384,'NonXtal_SegEnds_BW#'!$A:$Z,23,FALSE)+VLOOKUP($A384,A:AL,34,FALSE)-50),"-",(VLOOKUP($A384,'NonXtal_SegEnds_BW#'!$A:$Z,23,FALSE)+VLOOKUP($A384,A:AL,34,FALSE)-50))</f>
        <v>273</v>
      </c>
      <c r="AH384" s="3">
        <v>295</v>
      </c>
      <c r="AI384" s="3">
        <f>IF(ISERROR((VLOOKUP($A384,'NonXtal_SegEnds_BW#'!$A:$Z,24,FALSE)+VLOOKUP($A384,A:AL,34,FALSE)-50)),"-",(VLOOKUP($A384,'NonXtal_SegEnds_BW#'!$A:$Z,24,FALSE)+VLOOKUP($A384,A:AL,34,FALSE)-50))</f>
        <v>301</v>
      </c>
      <c r="AJ384" s="3">
        <f>IF(ISERROR(VLOOKUP($A384,'NonXtal_SegEnds_BW#'!$A:$Z,25,FALSE)+VLOOKUP($A384,A:AL,37,FALSE)-50),"-",(VLOOKUP($A384,'NonXtal_SegEnds_BW#'!$A:$Z,25,FALSE)+VLOOKUP($A384,A:AL,37,FALSE)-50))</f>
        <v>302</v>
      </c>
      <c r="AK384" s="3">
        <v>305</v>
      </c>
      <c r="AL384" s="3">
        <f>IF(ISERROR((VLOOKUP($A384,'NonXtal_SegEnds_BW#'!$A:$Z,26,FALSE)+VLOOKUP($A384,A:AL,37,FALSE)-50)),"-",(VLOOKUP($A384,'NonXtal_SegEnds_BW#'!$A:$Z,26,FALSE)+VLOOKUP($A384,A:AL,37,FALSE)-50))</f>
        <v>314</v>
      </c>
      <c r="AM384" s="71" t="str">
        <f>VLOOKUP(A384,Classification!A:B,2,FALSE)</f>
        <v>A</v>
      </c>
      <c r="AN384" s="71" t="b">
        <f t="shared" si="170"/>
        <v>1</v>
      </c>
      <c r="AO384" s="3">
        <f t="shared" si="171"/>
        <v>1</v>
      </c>
      <c r="AP384" s="3">
        <f t="shared" si="172"/>
        <v>1</v>
      </c>
      <c r="AQ384" s="3" t="str">
        <f t="shared" si="173"/>
        <v>-</v>
      </c>
      <c r="AR384" s="3" t="str">
        <f t="shared" si="174"/>
        <v>-</v>
      </c>
      <c r="AS384" s="3">
        <f t="shared" si="175"/>
        <v>1</v>
      </c>
      <c r="AT384" s="3">
        <f t="shared" si="176"/>
        <v>2</v>
      </c>
      <c r="AU384" s="3" t="str">
        <f t="shared" si="177"/>
        <v>-</v>
      </c>
      <c r="AV384" s="3" t="str">
        <f t="shared" si="178"/>
        <v>-</v>
      </c>
      <c r="AW384" s="3">
        <f t="shared" si="179"/>
        <v>6</v>
      </c>
      <c r="AX384" s="3">
        <f t="shared" si="180"/>
        <v>6</v>
      </c>
      <c r="AY384" s="3">
        <f t="shared" si="181"/>
        <v>1</v>
      </c>
      <c r="AZ384" s="3">
        <f>IF(ISERROR(LEN(VLOOKUP(A384,Seqs!A:E,2,FALSE))-AL384),"-",LEN(VLOOKUP(A384,Seqs!A:E,2,FALSE))-AL384)</f>
        <v>3</v>
      </c>
      <c r="BA384" s="35">
        <f t="shared" si="182"/>
        <v>28</v>
      </c>
      <c r="BB384" s="3">
        <f t="shared" si="183"/>
        <v>20</v>
      </c>
      <c r="BC384" s="3">
        <f t="shared" si="184"/>
        <v>28</v>
      </c>
      <c r="BD384" s="3">
        <f t="shared" si="185"/>
        <v>57</v>
      </c>
      <c r="BE384" s="3">
        <f t="shared" si="195"/>
        <v>39</v>
      </c>
    </row>
    <row r="385" spans="1:57" s="3" customFormat="1" x14ac:dyDescent="0.2">
      <c r="A385" s="3" t="s">
        <v>557</v>
      </c>
      <c r="B385" s="3" t="str">
        <f>LOWER(VLOOKUP(A385,Xtal_Templ!A:B,2,FALSE))</f>
        <v>s1pr1_human</v>
      </c>
      <c r="C385" s="3">
        <f>VLOOKUP($A385,'NonXtal_SegEnds_BW#'!$A:$Z,3,FALSE)+D385-50</f>
        <v>45</v>
      </c>
      <c r="D385" s="3">
        <v>66</v>
      </c>
      <c r="E385" s="3">
        <f>IF(ISERROR(VLOOKUP($A385,'NonXtal_SegEnds_BW#'!$A:$Z,4,FALSE)+VLOOKUP($A385,A:AL,4,FALSE)-50),"-",(VLOOKUP($A385,'NonXtal_SegEnds_BW#'!$A:$Z,4,FALSE)+VLOOKUP($A385,A:AL,4,FALSE)-50))</f>
        <v>76</v>
      </c>
      <c r="F385" s="3" t="str">
        <f>IF(ISERROR(VLOOKUP($A385,'NonXtal_SegEnds_BW#'!$A:$Z,5,FALSE)+VLOOKUP($A385,A:AL,7,FALSE)-50),"-",(VLOOKUP($A385,'NonXtal_SegEnds_BW#'!$A:$Z,5,FALSE)+VLOOKUP($A385,A:AL,7,FALSE)-50))</f>
        <v>-</v>
      </c>
      <c r="G385" s="3" t="s">
        <v>129</v>
      </c>
      <c r="H385" s="3" t="str">
        <f>IF(ISERROR(VLOOKUP($A385,'NonXtal_SegEnds_BW#'!$A:$Z,6,FALSE)+VLOOKUP($A385,A:AL,7,FALSE)-50),"-",(VLOOKUP($A385,'NonXtal_SegEnds_BW#'!$A:$Z,6,FALSE)+VLOOKUP($A385,A:AL,7,FALSE)-50))</f>
        <v>-</v>
      </c>
      <c r="I385" s="3">
        <f>VLOOKUP($A385,'NonXtal_SegEnds_BW#'!$A:$Z,7,FALSE)+J385-50</f>
        <v>86</v>
      </c>
      <c r="J385" s="3">
        <v>99</v>
      </c>
      <c r="K385" s="3">
        <f>VLOOKUP($A385,'NonXtal_SegEnds_BW#'!$A:$Z,8,FALSE)+VLOOKUP($A385,A:AL,10,FALSE)-50</f>
        <v>112</v>
      </c>
      <c r="L385" s="3">
        <f>M385-1</f>
        <v>119</v>
      </c>
      <c r="M385" s="3">
        <v>120</v>
      </c>
      <c r="N385" s="3">
        <f>M385+2</f>
        <v>122</v>
      </c>
      <c r="O385" s="3">
        <f t="shared" ref="O385:O391" si="197">N385+1</f>
        <v>123</v>
      </c>
      <c r="P385" s="3">
        <v>155</v>
      </c>
      <c r="Q385" s="3">
        <f>VLOOKUP($A385,'NonXtal_SegEnds_BW#'!$A:$Z,12,FALSE)+VLOOKUP($A385,A:AL,16,FALSE)-50</f>
        <v>161</v>
      </c>
      <c r="R385" s="3">
        <f>IF(ISERROR(VLOOKUP($A385,'NonXtal_SegEnds_BW#'!$A:$Z,13,FALSE)+VLOOKUP($A385,A:AL,19,FALSE)-50),"-",VLOOKUP($A385,'NonXtal_SegEnds_BW#'!$A:$Z,13,FALSE)+VLOOKUP($A385,A:AL,19,FALSE)-50)</f>
        <v>162</v>
      </c>
      <c r="S385" s="3">
        <v>162</v>
      </c>
      <c r="T385" s="3">
        <f>IF(ISERROR(VLOOKUP($A385,'NonXtal_SegEnds_BW#'!$A:$Z,14,FALSE)+VLOOKUP($A385,A:AL,19,FALSE)-50),"-",(VLOOKUP($A385,'NonXtal_SegEnds_BW#'!$A:$Z,14,FALSE)+VLOOKUP($A385,A:AL,19,FALSE)-50))</f>
        <v>169</v>
      </c>
      <c r="U385" s="3">
        <f>IF(ISERROR(VLOOKUP($A385,'NonXtal_SegEnds_BW#'!$A:$Z,15,FALSE)+VLOOKUP($A385,A:AL,22,FALSE)-50),"-",VLOOKUP($A385,'NonXtal_SegEnds_BW#'!$A:$Z,15,FALSE)+VLOOKUP($A385,A:AL,22,FALSE)-50)</f>
        <v>171</v>
      </c>
      <c r="V385" s="3">
        <v>182</v>
      </c>
      <c r="W385" s="3">
        <f>IF(ISERROR(VLOOKUP($A385,'NonXtal_SegEnds_BW#'!$A:$Z,16,FALSE)+VLOOKUP($A385,A:AL,22,FALSE)-50),"-",(VLOOKUP($A385,'NonXtal_SegEnds_BW#'!$A:$Z,16,FALSE)+VLOOKUP($A385,A:AL,22,FALSE)-50))</f>
        <v>195</v>
      </c>
      <c r="X385" s="3">
        <f>Y385</f>
        <v>208</v>
      </c>
      <c r="Y385" s="3">
        <v>208</v>
      </c>
      <c r="Z385" s="3">
        <f>Y385+2</f>
        <v>210</v>
      </c>
      <c r="AA385" s="3">
        <f>IF(ISERROR(VLOOKUP($A385,'NonXtal_SegEnds_BW#'!$A:$Z,19,FALSE)+VLOOKUP($A385,A:AL,28,FALSE)-50),"-",(VLOOKUP($A385,'NonXtal_SegEnds_BW#'!$A:$Z,19,FALSE)+VLOOKUP($A385,A:AL,28,FALSE)-50))</f>
        <v>229</v>
      </c>
      <c r="AB385" s="3">
        <v>243</v>
      </c>
      <c r="AC385" s="3">
        <f>IF(ISERROR((VLOOKUP($A385,'NonXtal_SegEnds_BW#'!$A:$Z,20,FALSE)+VLOOKUP($A385,A:AL,28,FALSE)-50)),"-",(VLOOKUP($A385,'NonXtal_SegEnds_BW#'!$A:$Z,20,FALSE)+VLOOKUP($A385,A:AL,28,FALSE)-50))</f>
        <v>265</v>
      </c>
      <c r="AD385" s="3">
        <f>IF(ISERROR(VLOOKUP($A385,'NonXtal_SegEnds_BW#'!$A:$Z,21,FALSE)+VLOOKUP($A385,A:AL,31,FALSE)-50),"-",(VLOOKUP($A385,'NonXtal_SegEnds_BW#'!$A:$Z,21,FALSE)+VLOOKUP($A385,A:AL,31,FALSE)-50))</f>
        <v>271</v>
      </c>
      <c r="AE385" s="3">
        <v>297</v>
      </c>
      <c r="AF385" s="3">
        <f>IF(ISERROR((VLOOKUP($A385,'NonXtal_SegEnds_BW#'!$A:$Z,22,FALSE)+VLOOKUP($A385,A:AL,31,FALSE)-50)),"-",(VLOOKUP($A385,'NonXtal_SegEnds_BW#'!$A:$Z,22,FALSE)+VLOOKUP($A385,A:AL,31,FALSE)-50))</f>
        <v>311</v>
      </c>
      <c r="AG385" s="3">
        <f>IF(ISERROR(VLOOKUP($A385,'NonXtal_SegEnds_BW#'!$A:$Z,23,FALSE)+VLOOKUP($A385,A:AL,34,FALSE)-50),"-",(VLOOKUP($A385,'NonXtal_SegEnds_BW#'!$A:$Z,23,FALSE)+VLOOKUP($A385,A:AL,34,FALSE)-50))</f>
        <v>317</v>
      </c>
      <c r="AH385" s="3">
        <v>343</v>
      </c>
      <c r="AI385" s="3">
        <f>IF(ISERROR((VLOOKUP($A385,'NonXtal_SegEnds_BW#'!$A:$Z,24,FALSE)+VLOOKUP($A385,A:AL,34,FALSE)-50)),"-",(VLOOKUP($A385,'NonXtal_SegEnds_BW#'!$A:$Z,24,FALSE)+VLOOKUP($A385,A:AL,34,FALSE)-50))</f>
        <v>349</v>
      </c>
      <c r="AJ385" s="3">
        <f>IF(ISERROR(VLOOKUP($A385,'NonXtal_SegEnds_BW#'!$A:$Z,25,FALSE)+VLOOKUP($A385,A:AL,37,FALSE)-50),"-",(VLOOKUP($A385,'NonXtal_SegEnds_BW#'!$A:$Z,25,FALSE)+VLOOKUP($A385,A:AL,37,FALSE)-50))</f>
        <v>350</v>
      </c>
      <c r="AK385" s="3">
        <v>353</v>
      </c>
      <c r="AL385" s="3">
        <f>IF(ISERROR((VLOOKUP($A385,'NonXtal_SegEnds_BW#'!$A:$Z,26,FALSE)+VLOOKUP($A385,A:AL,37,FALSE)-50)),"-",(VLOOKUP($A385,'NonXtal_SegEnds_BW#'!$A:$Z,26,FALSE)+VLOOKUP($A385,A:AL,37,FALSE)-50))</f>
        <v>362</v>
      </c>
      <c r="AM385" s="71" t="str">
        <f>VLOOKUP(A385,Classification!A:B,2,FALSE)</f>
        <v>A</v>
      </c>
      <c r="AN385" s="71" t="b">
        <f t="shared" si="170"/>
        <v>1</v>
      </c>
      <c r="AO385" s="3" t="str">
        <f t="shared" si="171"/>
        <v>-</v>
      </c>
      <c r="AP385" s="3" t="str">
        <f t="shared" si="172"/>
        <v>-</v>
      </c>
      <c r="AQ385" s="3">
        <f t="shared" si="173"/>
        <v>7</v>
      </c>
      <c r="AR385" s="3">
        <f t="shared" si="174"/>
        <v>1</v>
      </c>
      <c r="AS385" s="3">
        <f t="shared" si="175"/>
        <v>1</v>
      </c>
      <c r="AT385" s="3">
        <f t="shared" si="176"/>
        <v>2</v>
      </c>
      <c r="AU385" s="3">
        <f t="shared" si="177"/>
        <v>13</v>
      </c>
      <c r="AV385" s="3">
        <f t="shared" si="178"/>
        <v>19</v>
      </c>
      <c r="AW385" s="3">
        <f t="shared" si="179"/>
        <v>6</v>
      </c>
      <c r="AX385" s="3">
        <f t="shared" si="180"/>
        <v>6</v>
      </c>
      <c r="AY385" s="3">
        <f t="shared" si="181"/>
        <v>1</v>
      </c>
      <c r="AZ385" s="3">
        <f>IF(ISERROR(LEN(VLOOKUP(A385,Seqs!A:E,2,FALSE))-AL385),"-",LEN(VLOOKUP(A385,Seqs!A:E,2,FALSE))-AL385)</f>
        <v>28</v>
      </c>
      <c r="BA385" s="35">
        <f t="shared" si="182"/>
        <v>33</v>
      </c>
      <c r="BB385" s="3">
        <f t="shared" si="183"/>
        <v>20</v>
      </c>
      <c r="BC385" s="3">
        <f t="shared" si="184"/>
        <v>33</v>
      </c>
      <c r="BD385" s="3">
        <f t="shared" si="185"/>
        <v>54</v>
      </c>
      <c r="BE385" s="3">
        <f t="shared" si="195"/>
        <v>46</v>
      </c>
    </row>
    <row r="386" spans="1:57" s="3" customFormat="1" x14ac:dyDescent="0.2">
      <c r="A386" s="3" t="s">
        <v>298</v>
      </c>
      <c r="B386" s="3" t="str">
        <f>LOWER(VLOOKUP(A386,Xtal_Templ!A:B,2,FALSE))</f>
        <v>s1pr1_human</v>
      </c>
      <c r="C386" s="3">
        <f>VLOOKUP($A386,'NonXtal_SegEnds_BW#'!$A:$Z,3,FALSE)+D386-50</f>
        <v>42</v>
      </c>
      <c r="D386" s="3">
        <v>63</v>
      </c>
      <c r="E386" s="3">
        <f>IF(ISERROR(VLOOKUP($A386,'NonXtal_SegEnds_BW#'!$A:$Z,4,FALSE)+VLOOKUP($A386,A:AL,4,FALSE)-50),"-",(VLOOKUP($A386,'NonXtal_SegEnds_BW#'!$A:$Z,4,FALSE)+VLOOKUP($A386,A:AL,4,FALSE)-50))</f>
        <v>73</v>
      </c>
      <c r="F386" s="3">
        <f>G386-2</f>
        <v>74</v>
      </c>
      <c r="G386" s="3">
        <v>76</v>
      </c>
      <c r="H386" s="3">
        <f t="shared" ref="H386:I390" si="198">G386+1</f>
        <v>77</v>
      </c>
      <c r="I386" s="3">
        <f t="shared" si="198"/>
        <v>78</v>
      </c>
      <c r="J386" s="3">
        <v>91</v>
      </c>
      <c r="K386" s="3">
        <f>VLOOKUP($A386,'NonXtal_SegEnds_BW#'!$A:$Z,8,FALSE)+VLOOKUP($A386,A:AL,10,FALSE)-50</f>
        <v>104</v>
      </c>
      <c r="L386" s="3">
        <f>M386-3</f>
        <v>106</v>
      </c>
      <c r="M386" s="3">
        <v>109</v>
      </c>
      <c r="N386" s="3">
        <f>M386+3</f>
        <v>112</v>
      </c>
      <c r="O386" s="3">
        <f t="shared" si="197"/>
        <v>113</v>
      </c>
      <c r="P386" s="3">
        <v>142</v>
      </c>
      <c r="Q386" s="3">
        <f>VLOOKUP($A386,'NonXtal_SegEnds_BW#'!$A:$Z,12,FALSE)+VLOOKUP($A386,A:AL,16,FALSE)-50</f>
        <v>148</v>
      </c>
      <c r="R386" s="3">
        <f>IF(ISERROR(VLOOKUP($A386,'NonXtal_SegEnds_BW#'!$A:$Z,13,FALSE)+VLOOKUP($A386,A:AL,19,FALSE)-50),"-",VLOOKUP($A386,'NonXtal_SegEnds_BW#'!$A:$Z,13,FALSE)+VLOOKUP($A386,A:AL,19,FALSE)-50)</f>
        <v>149</v>
      </c>
      <c r="S386" s="3">
        <v>149</v>
      </c>
      <c r="T386" s="3">
        <f>IF(ISERROR(VLOOKUP($A386,'NonXtal_SegEnds_BW#'!$A:$Z,14,FALSE)+VLOOKUP($A386,A:AL,19,FALSE)-50),"-",(VLOOKUP($A386,'NonXtal_SegEnds_BW#'!$A:$Z,14,FALSE)+VLOOKUP($A386,A:AL,19,FALSE)-50))</f>
        <v>156</v>
      </c>
      <c r="U386" s="3">
        <f>IF(ISERROR(VLOOKUP($A386,'NonXtal_SegEnds_BW#'!$A:$Z,15,FALSE)+VLOOKUP($A386,A:AL,22,FALSE)-50),"-",VLOOKUP($A386,'NonXtal_SegEnds_BW#'!$A:$Z,15,FALSE)+VLOOKUP($A386,A:AL,22,FALSE)-50)</f>
        <v>157</v>
      </c>
      <c r="V386" s="3">
        <v>168</v>
      </c>
      <c r="W386" s="3">
        <f>IF(ISERROR(VLOOKUP($A386,'NonXtal_SegEnds_BW#'!$A:$Z,16,FALSE)+VLOOKUP($A386,A:AL,22,FALSE)-50),"-",(VLOOKUP($A386,'NonXtal_SegEnds_BW#'!$A:$Z,16,FALSE)+VLOOKUP($A386,A:AL,22,FALSE)-50))</f>
        <v>181</v>
      </c>
      <c r="X386" s="3" t="str">
        <f>IF(ISERROR(VLOOKUP($A386,'NonXtal_SegEnds_BW#'!$A:$Z,17,FALSE)+VLOOKUP($A386,A:AL,25,FALSE)-50),"-",(VLOOKUP($A386,'NonXtal_SegEnds_BW#'!$A:$Z,17,FALSE)+VLOOKUP($A386,A:AL,25,FALSE)-50))</f>
        <v>-</v>
      </c>
      <c r="Y386" s="3" t="s">
        <v>129</v>
      </c>
      <c r="Z386" s="3" t="str">
        <f>IF(ISERROR(VLOOKUP($A386,'NonXtal_SegEnds_BW#'!$A:$Z,18,FALSE)+VLOOKUP($A386,A:AL,25,FALSE)-50),"-",(VLOOKUP($A386,'NonXtal_SegEnds_BW#'!$A:$Z,18,FALSE)+VLOOKUP($A386,A:AL,25,FALSE)-50))</f>
        <v>-</v>
      </c>
      <c r="AA386" s="3">
        <f>IF(ISERROR(VLOOKUP($A386,'NonXtal_SegEnds_BW#'!$A:$Z,19,FALSE)+VLOOKUP($A386,A:AL,28,FALSE)-50),"-",(VLOOKUP($A386,'NonXtal_SegEnds_BW#'!$A:$Z,19,FALSE)+VLOOKUP($A386,A:AL,28,FALSE)-50))</f>
        <v>199</v>
      </c>
      <c r="AB386" s="3">
        <v>213</v>
      </c>
      <c r="AC386" s="3">
        <f>IF(ISERROR((VLOOKUP($A386,'NonXtal_SegEnds_BW#'!$A:$Z,20,FALSE)+VLOOKUP($A386,A:AL,28,FALSE)-50)),"-",(VLOOKUP($A386,'NonXtal_SegEnds_BW#'!$A:$Z,20,FALSE)+VLOOKUP($A386,A:AL,28,FALSE)-50))</f>
        <v>236</v>
      </c>
      <c r="AD386" s="3">
        <f>IF(ISERROR(VLOOKUP($A386,'NonXtal_SegEnds_BW#'!$A:$Z,21,FALSE)+VLOOKUP($A386,A:AL,31,FALSE)-50),"-",(VLOOKUP($A386,'NonXtal_SegEnds_BW#'!$A:$Z,21,FALSE)+VLOOKUP($A386,A:AL,31,FALSE)-50))</f>
        <v>245</v>
      </c>
      <c r="AE386" s="3">
        <v>271</v>
      </c>
      <c r="AF386" s="3">
        <f>IF(ISERROR((VLOOKUP($A386,'NonXtal_SegEnds_BW#'!$A:$Z,22,FALSE)+VLOOKUP($A386,A:AL,31,FALSE)-50)),"-",(VLOOKUP($A386,'NonXtal_SegEnds_BW#'!$A:$Z,22,FALSE)+VLOOKUP($A386,A:AL,31,FALSE)-50))</f>
        <v>282</v>
      </c>
      <c r="AG386" s="3">
        <f>IF(ISERROR(VLOOKUP($A386,'NonXtal_SegEnds_BW#'!$A:$Z,23,FALSE)+VLOOKUP($A386,A:AL,34,FALSE)-50),"-",(VLOOKUP($A386,'NonXtal_SegEnds_BW#'!$A:$Z,23,FALSE)+VLOOKUP($A386,A:AL,34,FALSE)-50))</f>
        <v>288</v>
      </c>
      <c r="AH386" s="3">
        <v>308</v>
      </c>
      <c r="AI386" s="3">
        <f>IF(ISERROR((VLOOKUP($A386,'NonXtal_SegEnds_BW#'!$A:$Z,24,FALSE)+VLOOKUP($A386,A:AL,34,FALSE)-50)),"-",(VLOOKUP($A386,'NonXtal_SegEnds_BW#'!$A:$Z,24,FALSE)+VLOOKUP($A386,A:AL,34,FALSE)-50))</f>
        <v>314</v>
      </c>
      <c r="AJ386" s="3">
        <f>IF(ISERROR(VLOOKUP($A386,'NonXtal_SegEnds_BW#'!$A:$Z,25,FALSE)+VLOOKUP($A386,A:AL,37,FALSE)-50),"-",(VLOOKUP($A386,'NonXtal_SegEnds_BW#'!$A:$Z,25,FALSE)+VLOOKUP($A386,A:AL,37,FALSE)-50))</f>
        <v>315</v>
      </c>
      <c r="AK386" s="3">
        <v>318</v>
      </c>
      <c r="AL386" s="3">
        <f>IF(ISERROR((VLOOKUP($A386,'NonXtal_SegEnds_BW#'!$A:$Z,26,FALSE)+VLOOKUP($A386,A:AL,37,FALSE)-50)),"-",(VLOOKUP($A386,'NonXtal_SegEnds_BW#'!$A:$Z,26,FALSE)+VLOOKUP($A386,A:AL,37,FALSE)-50))</f>
        <v>327</v>
      </c>
      <c r="AM386" s="71" t="str">
        <f>VLOOKUP(A386,Classification!A:B,2,FALSE)</f>
        <v>A</v>
      </c>
      <c r="AN386" s="71" t="b">
        <f t="shared" ref="AN386:AN406" si="199">AND(C386&lt;E386,OR(E386&lt;F386,F386="-"),OR(F386&lt;H386,F386="-"),OR(H386&lt;I386,H386="-"),I386&lt;K386,OR(K386&lt;L386,L386="-"),OR(L386&lt;N386,L386="-"),OR(N386&lt;O386,N386="-"),O386&lt;Q386,OR(Q386&lt;R386,R386="-"),OR(R386&lt;T386,R386="-"),OR(T386&lt;U386,T386="-"),U386&lt;W386,OR(W386&lt;X386,X386="-"),OR(X386&lt;Z386,X386="-"),OR(Z386&lt;AA386,Z386="-"),AA386&lt;AC386,AC386&lt;AD386,AD386&lt;AF386,AF386&lt;AG386,AG386&lt;AI386,OR(AI386&lt;AJ386,AJ386="-"),OR(AJ386&lt;AL386,AJ386="-"))</f>
        <v>1</v>
      </c>
      <c r="AO386" s="3">
        <f t="shared" ref="AO386:AO406" si="200">IF(ISERROR(F386-E386),"-",F386-E386)</f>
        <v>1</v>
      </c>
      <c r="AP386" s="3">
        <f t="shared" ref="AP386:AP406" si="201">IF(ISERROR(I386-H386),"-",I386-H386)</f>
        <v>1</v>
      </c>
      <c r="AQ386" s="3">
        <f t="shared" ref="AQ386:AQ406" si="202">IF(ISERROR(L386-K386),"-",L386-K386)</f>
        <v>2</v>
      </c>
      <c r="AR386" s="3">
        <f t="shared" ref="AR386:AR406" si="203">IF(ISERROR(O386-N386),"-",O386-N386)</f>
        <v>1</v>
      </c>
      <c r="AS386" s="3">
        <f t="shared" ref="AS386:AS406" si="204">IF(ISERROR(R386-Q386),"-",R386-Q386)</f>
        <v>1</v>
      </c>
      <c r="AT386" s="3">
        <f t="shared" ref="AT386:AT406" si="205">IF(ISERROR(U386-T386),"-",U386-T386)</f>
        <v>1</v>
      </c>
      <c r="AU386" s="3" t="str">
        <f t="shared" ref="AU386:AU406" si="206">IF(ISERROR(X386-W386),"-",X386-W386)</f>
        <v>-</v>
      </c>
      <c r="AV386" s="3" t="str">
        <f t="shared" ref="AV386:AV406" si="207">IF(ISERROR(AA386-Z386),"-",AA386-Z386)</f>
        <v>-</v>
      </c>
      <c r="AW386" s="3">
        <f t="shared" ref="AW386:AW406" si="208">IF(ISERROR(AD386-AC386),"-",AD386-AC386)</f>
        <v>9</v>
      </c>
      <c r="AX386" s="3">
        <f t="shared" ref="AX386:AX406" si="209">IF(ISERROR(AG386-AF386),"-",AG386-AF386)</f>
        <v>6</v>
      </c>
      <c r="AY386" s="3">
        <f t="shared" ref="AY386:AY406" si="210">IF(ISERROR(AJ386-AI386),"-",AJ386-AI386)</f>
        <v>1</v>
      </c>
      <c r="AZ386" s="3">
        <f>IF(ISERROR(LEN(VLOOKUP(A386,Seqs!A:E,2,FALSE))-AL386),"-",LEN(VLOOKUP(A386,Seqs!A:E,2,FALSE))-AL386)</f>
        <v>55</v>
      </c>
      <c r="BA386" s="35">
        <f t="shared" ref="BA386:BA406" si="211">J386-D386</f>
        <v>28</v>
      </c>
      <c r="BB386" s="3">
        <f t="shared" ref="BB386:BB406" si="212">IF(ISERROR(V386-S386),"-",V386-S386)</f>
        <v>19</v>
      </c>
      <c r="BC386" s="3">
        <f t="shared" ref="BC386:BC406" si="213">J386-D386</f>
        <v>28</v>
      </c>
      <c r="BD386" s="3">
        <f t="shared" ref="BD386:BD406" si="214">AE386-AB386</f>
        <v>58</v>
      </c>
    </row>
    <row r="387" spans="1:57" s="3" customFormat="1" x14ac:dyDescent="0.2">
      <c r="A387" s="3" t="s">
        <v>571</v>
      </c>
      <c r="B387" s="3" t="str">
        <f>LOWER(VLOOKUP(A387,Xtal_Templ!A:B,2,FALSE))</f>
        <v>s1pr1_human</v>
      </c>
      <c r="C387" s="3">
        <f>VLOOKUP($A387,'NonXtal_SegEnds_BW#'!$A:$Z,3,FALSE)+D387-50</f>
        <v>30</v>
      </c>
      <c r="D387" s="3">
        <v>51</v>
      </c>
      <c r="E387" s="3">
        <f>IF(ISERROR(VLOOKUP($A387,'NonXtal_SegEnds_BW#'!$A:$Z,4,FALSE)+VLOOKUP($A387,A:AL,4,FALSE)-50),"-",(VLOOKUP($A387,'NonXtal_SegEnds_BW#'!$A:$Z,4,FALSE)+VLOOKUP($A387,A:AL,4,FALSE)-50))</f>
        <v>61</v>
      </c>
      <c r="F387" s="3">
        <f>G387-2</f>
        <v>62</v>
      </c>
      <c r="G387" s="3">
        <v>64</v>
      </c>
      <c r="H387" s="3">
        <f t="shared" si="198"/>
        <v>65</v>
      </c>
      <c r="I387" s="3">
        <f t="shared" si="198"/>
        <v>66</v>
      </c>
      <c r="J387" s="3">
        <v>79</v>
      </c>
      <c r="K387" s="3">
        <f>VLOOKUP($A387,'NonXtal_SegEnds_BW#'!$A:$Z,8,FALSE)+VLOOKUP($A387,A:AL,10,FALSE)-50</f>
        <v>92</v>
      </c>
      <c r="L387" s="3">
        <f>M387-3</f>
        <v>94</v>
      </c>
      <c r="M387" s="3">
        <v>97</v>
      </c>
      <c r="N387" s="3">
        <f>M387+3</f>
        <v>100</v>
      </c>
      <c r="O387" s="3">
        <f t="shared" si="197"/>
        <v>101</v>
      </c>
      <c r="P387" s="3">
        <v>130</v>
      </c>
      <c r="Q387" s="3">
        <f>VLOOKUP($A387,'NonXtal_SegEnds_BW#'!$A:$Z,12,FALSE)+VLOOKUP($A387,A:AL,16,FALSE)-50</f>
        <v>136</v>
      </c>
      <c r="R387" s="3">
        <f>IF(ISERROR(VLOOKUP($A387,'NonXtal_SegEnds_BW#'!$A:$Z,13,FALSE)+VLOOKUP($A387,A:AL,19,FALSE)-50),"-",VLOOKUP($A387,'NonXtal_SegEnds_BW#'!$A:$Z,13,FALSE)+VLOOKUP($A387,A:AL,19,FALSE)-50)</f>
        <v>137</v>
      </c>
      <c r="S387" s="3">
        <v>137</v>
      </c>
      <c r="T387" s="3">
        <f>IF(ISERROR(VLOOKUP($A387,'NonXtal_SegEnds_BW#'!$A:$Z,14,FALSE)+VLOOKUP($A387,A:AL,19,FALSE)-50),"-",(VLOOKUP($A387,'NonXtal_SegEnds_BW#'!$A:$Z,14,FALSE)+VLOOKUP($A387,A:AL,19,FALSE)-50))</f>
        <v>144</v>
      </c>
      <c r="U387" s="3">
        <f>IF(ISERROR(VLOOKUP($A387,'NonXtal_SegEnds_BW#'!$A:$Z,15,FALSE)+VLOOKUP($A387,A:AL,22,FALSE)-50),"-",VLOOKUP($A387,'NonXtal_SegEnds_BW#'!$A:$Z,15,FALSE)+VLOOKUP($A387,A:AL,22,FALSE)-50)</f>
        <v>145</v>
      </c>
      <c r="V387" s="3">
        <v>156</v>
      </c>
      <c r="W387" s="3">
        <f>IF(ISERROR(VLOOKUP($A387,'NonXtal_SegEnds_BW#'!$A:$Z,16,FALSE)+VLOOKUP($A387,A:AL,22,FALSE)-50),"-",(VLOOKUP($A387,'NonXtal_SegEnds_BW#'!$A:$Z,16,FALSE)+VLOOKUP($A387,A:AL,22,FALSE)-50))</f>
        <v>169</v>
      </c>
      <c r="X387" s="3" t="str">
        <f>IF(ISERROR(VLOOKUP($A387,'NonXtal_SegEnds_BW#'!$A:$Z,17,FALSE)+VLOOKUP($A387,A:AL,25,FALSE)-50),"-",(VLOOKUP($A387,'NonXtal_SegEnds_BW#'!$A:$Z,17,FALSE)+VLOOKUP($A387,A:AL,25,FALSE)-50))</f>
        <v>-</v>
      </c>
      <c r="Y387" s="3" t="s">
        <v>129</v>
      </c>
      <c r="Z387" s="3" t="str">
        <f>IF(ISERROR(VLOOKUP($A387,'NonXtal_SegEnds_BW#'!$A:$Z,18,FALSE)+VLOOKUP($A387,A:AL,25,FALSE)-50),"-",(VLOOKUP($A387,'NonXtal_SegEnds_BW#'!$A:$Z,18,FALSE)+VLOOKUP($A387,A:AL,25,FALSE)-50))</f>
        <v>-</v>
      </c>
      <c r="AA387" s="3">
        <f>IF(ISERROR(VLOOKUP($A387,'NonXtal_SegEnds_BW#'!$A:$Z,19,FALSE)+VLOOKUP($A387,A:AL,28,FALSE)-50),"-",(VLOOKUP($A387,'NonXtal_SegEnds_BW#'!$A:$Z,19,FALSE)+VLOOKUP($A387,A:AL,28,FALSE)-50))</f>
        <v>187</v>
      </c>
      <c r="AB387" s="3">
        <v>201</v>
      </c>
      <c r="AC387" s="3">
        <f>IF(ISERROR((VLOOKUP($A387,'NonXtal_SegEnds_BW#'!$A:$Z,20,FALSE)+VLOOKUP($A387,A:AL,28,FALSE)-50)),"-",(VLOOKUP($A387,'NonXtal_SegEnds_BW#'!$A:$Z,20,FALSE)+VLOOKUP($A387,A:AL,28,FALSE)-50))</f>
        <v>218</v>
      </c>
      <c r="AD387" s="3">
        <f>IF(ISERROR(VLOOKUP($A387,'NonXtal_SegEnds_BW#'!$A:$Z,21,FALSE)+VLOOKUP($A387,A:AL,31,FALSE)-50),"-",(VLOOKUP($A387,'NonXtal_SegEnds_BW#'!$A:$Z,21,FALSE)+VLOOKUP($A387,A:AL,31,FALSE)-50))</f>
        <v>224</v>
      </c>
      <c r="AE387" s="3">
        <v>248</v>
      </c>
      <c r="AF387" s="3">
        <f>IF(ISERROR((VLOOKUP($A387,'NonXtal_SegEnds_BW#'!$A:$Z,22,FALSE)+VLOOKUP($A387,A:AL,31,FALSE)-50)),"-",(VLOOKUP($A387,'NonXtal_SegEnds_BW#'!$A:$Z,22,FALSE)+VLOOKUP($A387,A:AL,31,FALSE)-50))</f>
        <v>259</v>
      </c>
      <c r="AG387" s="3">
        <f>IF(ISERROR(VLOOKUP($A387,'NonXtal_SegEnds_BW#'!$A:$Z,23,FALSE)+VLOOKUP($A387,A:AL,34,FALSE)-50),"-",(VLOOKUP($A387,'NonXtal_SegEnds_BW#'!$A:$Z,23,FALSE)+VLOOKUP($A387,A:AL,34,FALSE)-50))</f>
        <v>265</v>
      </c>
      <c r="AH387" s="3">
        <v>285</v>
      </c>
      <c r="AI387" s="3">
        <f>IF(ISERROR((VLOOKUP($A387,'NonXtal_SegEnds_BW#'!$A:$Z,24,FALSE)+VLOOKUP($A387,A:AL,34,FALSE)-50)),"-",(VLOOKUP($A387,'NonXtal_SegEnds_BW#'!$A:$Z,24,FALSE)+VLOOKUP($A387,A:AL,34,FALSE)-50))</f>
        <v>291</v>
      </c>
      <c r="AJ387" s="3">
        <f>IF(ISERROR(VLOOKUP($A387,'NonXtal_SegEnds_BW#'!$A:$Z,25,FALSE)+VLOOKUP($A387,A:AL,37,FALSE)-50),"-",(VLOOKUP($A387,'NonXtal_SegEnds_BW#'!$A:$Z,25,FALSE)+VLOOKUP($A387,A:AL,37,FALSE)-50))</f>
        <v>292</v>
      </c>
      <c r="AK387" s="3">
        <v>295</v>
      </c>
      <c r="AL387" s="3">
        <f>IF(ISERROR((VLOOKUP($A387,'NonXtal_SegEnds_BW#'!$A:$Z,26,FALSE)+VLOOKUP($A387,A:AL,37,FALSE)-50)),"-",(VLOOKUP($A387,'NonXtal_SegEnds_BW#'!$A:$Z,26,FALSE)+VLOOKUP($A387,A:AL,37,FALSE)-50))</f>
        <v>304</v>
      </c>
      <c r="AM387" s="71" t="str">
        <f>VLOOKUP(A387,Classification!A:B,2,FALSE)</f>
        <v>A</v>
      </c>
      <c r="AN387" s="71" t="b">
        <f t="shared" si="199"/>
        <v>1</v>
      </c>
      <c r="AO387" s="3">
        <f t="shared" si="200"/>
        <v>1</v>
      </c>
      <c r="AP387" s="3">
        <f t="shared" si="201"/>
        <v>1</v>
      </c>
      <c r="AQ387" s="3">
        <f t="shared" si="202"/>
        <v>2</v>
      </c>
      <c r="AR387" s="3">
        <f t="shared" si="203"/>
        <v>1</v>
      </c>
      <c r="AS387" s="3">
        <f t="shared" si="204"/>
        <v>1</v>
      </c>
      <c r="AT387" s="3">
        <f t="shared" si="205"/>
        <v>1</v>
      </c>
      <c r="AU387" s="3" t="str">
        <f t="shared" si="206"/>
        <v>-</v>
      </c>
      <c r="AV387" s="3" t="str">
        <f t="shared" si="207"/>
        <v>-</v>
      </c>
      <c r="AW387" s="3">
        <f t="shared" si="208"/>
        <v>6</v>
      </c>
      <c r="AX387" s="3">
        <f t="shared" si="209"/>
        <v>6</v>
      </c>
      <c r="AY387" s="3">
        <f t="shared" si="210"/>
        <v>1</v>
      </c>
      <c r="AZ387" s="3">
        <f>IF(ISERROR(LEN(VLOOKUP(A387,Seqs!A:E,2,FALSE))-AL387),"-",LEN(VLOOKUP(A387,Seqs!A:E,2,FALSE))-AL387)</f>
        <v>49</v>
      </c>
      <c r="BA387" s="35">
        <f t="shared" si="211"/>
        <v>28</v>
      </c>
      <c r="BB387" s="3">
        <f t="shared" si="212"/>
        <v>19</v>
      </c>
      <c r="BC387" s="3">
        <f t="shared" si="213"/>
        <v>28</v>
      </c>
      <c r="BD387" s="3">
        <f t="shared" si="214"/>
        <v>47</v>
      </c>
    </row>
    <row r="388" spans="1:57" s="3" customFormat="1" x14ac:dyDescent="0.2">
      <c r="A388" s="3" t="s">
        <v>572</v>
      </c>
      <c r="B388" s="3" t="str">
        <f>LOWER(VLOOKUP(A388,Xtal_Templ!A:B,2,FALSE))</f>
        <v>s1pr1_human</v>
      </c>
      <c r="C388" s="3">
        <f>VLOOKUP($A388,'NonXtal_SegEnds_BW#'!$A:$Z,3,FALSE)+D388-50</f>
        <v>36</v>
      </c>
      <c r="D388" s="3">
        <v>57</v>
      </c>
      <c r="E388" s="3">
        <f>IF(ISERROR(VLOOKUP($A388,'NonXtal_SegEnds_BW#'!$A:$Z,4,FALSE)+VLOOKUP($A388,A:AL,4,FALSE)-50),"-",(VLOOKUP($A388,'NonXtal_SegEnds_BW#'!$A:$Z,4,FALSE)+VLOOKUP($A388,A:AL,4,FALSE)-50))</f>
        <v>67</v>
      </c>
      <c r="F388" s="3">
        <f>G388-2</f>
        <v>68</v>
      </c>
      <c r="G388" s="3">
        <v>70</v>
      </c>
      <c r="H388" s="3">
        <f t="shared" si="198"/>
        <v>71</v>
      </c>
      <c r="I388" s="3">
        <f t="shared" si="198"/>
        <v>72</v>
      </c>
      <c r="J388" s="3">
        <v>85</v>
      </c>
      <c r="K388" s="3">
        <f>VLOOKUP($A388,'NonXtal_SegEnds_BW#'!$A:$Z,8,FALSE)+VLOOKUP($A388,A:AL,10,FALSE)-50</f>
        <v>98</v>
      </c>
      <c r="L388" s="3">
        <f>M388-3</f>
        <v>100</v>
      </c>
      <c r="M388" s="3">
        <v>103</v>
      </c>
      <c r="N388" s="3">
        <f>M388+3</f>
        <v>106</v>
      </c>
      <c r="O388" s="3">
        <f t="shared" si="197"/>
        <v>107</v>
      </c>
      <c r="P388" s="3">
        <v>136</v>
      </c>
      <c r="Q388" s="3">
        <f>VLOOKUP($A388,'NonXtal_SegEnds_BW#'!$A:$Z,12,FALSE)+VLOOKUP($A388,A:AL,16,FALSE)-50</f>
        <v>142</v>
      </c>
      <c r="R388" s="3">
        <f>IF(ISERROR(VLOOKUP($A388,'NonXtal_SegEnds_BW#'!$A:$Z,13,FALSE)+VLOOKUP($A388,A:AL,19,FALSE)-50),"-",VLOOKUP($A388,'NonXtal_SegEnds_BW#'!$A:$Z,13,FALSE)+VLOOKUP($A388,A:AL,19,FALSE)-50)</f>
        <v>143</v>
      </c>
      <c r="S388" s="3">
        <v>143</v>
      </c>
      <c r="T388" s="3">
        <f>IF(ISERROR(VLOOKUP($A388,'NonXtal_SegEnds_BW#'!$A:$Z,14,FALSE)+VLOOKUP($A388,A:AL,19,FALSE)-50),"-",(VLOOKUP($A388,'NonXtal_SegEnds_BW#'!$A:$Z,14,FALSE)+VLOOKUP($A388,A:AL,19,FALSE)-50))</f>
        <v>150</v>
      </c>
      <c r="U388" s="3">
        <f>IF(ISERROR(VLOOKUP($A388,'NonXtal_SegEnds_BW#'!$A:$Z,15,FALSE)+VLOOKUP($A388,A:AL,22,FALSE)-50),"-",VLOOKUP($A388,'NonXtal_SegEnds_BW#'!$A:$Z,15,FALSE)+VLOOKUP($A388,A:AL,22,FALSE)-50)</f>
        <v>151</v>
      </c>
      <c r="V388" s="3">
        <v>162</v>
      </c>
      <c r="W388" s="3">
        <f>IF(ISERROR(VLOOKUP($A388,'NonXtal_SegEnds_BW#'!$A:$Z,16,FALSE)+VLOOKUP($A388,A:AL,22,FALSE)-50),"-",(VLOOKUP($A388,'NonXtal_SegEnds_BW#'!$A:$Z,16,FALSE)+VLOOKUP($A388,A:AL,22,FALSE)-50))</f>
        <v>175</v>
      </c>
      <c r="X388" s="3" t="str">
        <f>IF(ISERROR(VLOOKUP($A388,'NonXtal_SegEnds_BW#'!$A:$Z,17,FALSE)+VLOOKUP($A388,A:AL,25,FALSE)-50),"-",(VLOOKUP($A388,'NonXtal_SegEnds_BW#'!$A:$Z,17,FALSE)+VLOOKUP($A388,A:AL,25,FALSE)-50))</f>
        <v>-</v>
      </c>
      <c r="Y388" s="3" t="s">
        <v>129</v>
      </c>
      <c r="Z388" s="3" t="str">
        <f>IF(ISERROR(VLOOKUP($A388,'NonXtal_SegEnds_BW#'!$A:$Z,18,FALSE)+VLOOKUP($A388,A:AL,25,FALSE)-50),"-",(VLOOKUP($A388,'NonXtal_SegEnds_BW#'!$A:$Z,18,FALSE)+VLOOKUP($A388,A:AL,25,FALSE)-50))</f>
        <v>-</v>
      </c>
      <c r="AA388" s="3">
        <f>IF(ISERROR(VLOOKUP($A388,'NonXtal_SegEnds_BW#'!$A:$Z,19,FALSE)+VLOOKUP($A388,A:AL,28,FALSE)-50),"-",(VLOOKUP($A388,'NonXtal_SegEnds_BW#'!$A:$Z,19,FALSE)+VLOOKUP($A388,A:AL,28,FALSE)-50))</f>
        <v>193</v>
      </c>
      <c r="AB388" s="3">
        <v>207</v>
      </c>
      <c r="AC388" s="3">
        <f>IF(ISERROR((VLOOKUP($A388,'NonXtal_SegEnds_BW#'!$A:$Z,20,FALSE)+VLOOKUP($A388,A:AL,28,FALSE)-50)),"-",(VLOOKUP($A388,'NonXtal_SegEnds_BW#'!$A:$Z,20,FALSE)+VLOOKUP($A388,A:AL,28,FALSE)-50))</f>
        <v>225</v>
      </c>
      <c r="AD388" s="3">
        <f>IF(ISERROR(VLOOKUP($A388,'NonXtal_SegEnds_BW#'!$A:$Z,21,FALSE)+VLOOKUP($A388,A:AL,31,FALSE)-50),"-",(VLOOKUP($A388,'NonXtal_SegEnds_BW#'!$A:$Z,21,FALSE)+VLOOKUP($A388,A:AL,31,FALSE)-50))</f>
        <v>231</v>
      </c>
      <c r="AE388" s="3">
        <v>258</v>
      </c>
      <c r="AF388" s="3">
        <f>IF(ISERROR((VLOOKUP($A388,'NonXtal_SegEnds_BW#'!$A:$Z,22,FALSE)+VLOOKUP($A388,A:AL,31,FALSE)-50)),"-",(VLOOKUP($A388,'NonXtal_SegEnds_BW#'!$A:$Z,22,FALSE)+VLOOKUP($A388,A:AL,31,FALSE)-50))</f>
        <v>269</v>
      </c>
      <c r="AG388" s="3">
        <f>IF(ISERROR(VLOOKUP($A388,'NonXtal_SegEnds_BW#'!$A:$Z,23,FALSE)+VLOOKUP($A388,A:AL,34,FALSE)-50),"-",(VLOOKUP($A388,'NonXtal_SegEnds_BW#'!$A:$Z,23,FALSE)+VLOOKUP($A388,A:AL,34,FALSE)-50))</f>
        <v>275</v>
      </c>
      <c r="AH388" s="3">
        <v>295</v>
      </c>
      <c r="AI388" s="3">
        <f>IF(ISERROR((VLOOKUP($A388,'NonXtal_SegEnds_BW#'!$A:$Z,24,FALSE)+VLOOKUP($A388,A:AL,34,FALSE)-50)),"-",(VLOOKUP($A388,'NonXtal_SegEnds_BW#'!$A:$Z,24,FALSE)+VLOOKUP($A388,A:AL,34,FALSE)-50))</f>
        <v>301</v>
      </c>
      <c r="AJ388" s="3">
        <f>IF(ISERROR(VLOOKUP($A388,'NonXtal_SegEnds_BW#'!$A:$Z,25,FALSE)+VLOOKUP($A388,A:AL,37,FALSE)-50),"-",(VLOOKUP($A388,'NonXtal_SegEnds_BW#'!$A:$Z,25,FALSE)+VLOOKUP($A388,A:AL,37,FALSE)-50))</f>
        <v>302</v>
      </c>
      <c r="AK388" s="3">
        <v>305</v>
      </c>
      <c r="AL388" s="3">
        <f>IF(ISERROR((VLOOKUP($A388,'NonXtal_SegEnds_BW#'!$A:$Z,26,FALSE)+VLOOKUP($A388,A:AL,37,FALSE)-50)),"-",(VLOOKUP($A388,'NonXtal_SegEnds_BW#'!$A:$Z,26,FALSE)+VLOOKUP($A388,A:AL,37,FALSE)-50))</f>
        <v>314</v>
      </c>
      <c r="AM388" s="71" t="str">
        <f>VLOOKUP(A388,Classification!A:B,2,FALSE)</f>
        <v>A</v>
      </c>
      <c r="AN388" s="71" t="b">
        <f t="shared" si="199"/>
        <v>1</v>
      </c>
      <c r="AO388" s="3">
        <f t="shared" si="200"/>
        <v>1</v>
      </c>
      <c r="AP388" s="3">
        <f t="shared" si="201"/>
        <v>1</v>
      </c>
      <c r="AQ388" s="3">
        <f t="shared" si="202"/>
        <v>2</v>
      </c>
      <c r="AR388" s="3">
        <f t="shared" si="203"/>
        <v>1</v>
      </c>
      <c r="AS388" s="3">
        <f t="shared" si="204"/>
        <v>1</v>
      </c>
      <c r="AT388" s="3">
        <f t="shared" si="205"/>
        <v>1</v>
      </c>
      <c r="AU388" s="3" t="str">
        <f t="shared" si="206"/>
        <v>-</v>
      </c>
      <c r="AV388" s="3" t="str">
        <f t="shared" si="207"/>
        <v>-</v>
      </c>
      <c r="AW388" s="3">
        <f t="shared" si="208"/>
        <v>6</v>
      </c>
      <c r="AX388" s="3">
        <f t="shared" si="209"/>
        <v>6</v>
      </c>
      <c r="AY388" s="3">
        <f t="shared" si="210"/>
        <v>1</v>
      </c>
      <c r="AZ388" s="3">
        <f>IF(ISERROR(LEN(VLOOKUP(A388,Seqs!A:E,2,FALSE))-AL388),"-",LEN(VLOOKUP(A388,Seqs!A:E,2,FALSE))-AL388)</f>
        <v>64</v>
      </c>
      <c r="BA388" s="35">
        <f t="shared" si="211"/>
        <v>28</v>
      </c>
      <c r="BB388" s="3">
        <f t="shared" si="212"/>
        <v>19</v>
      </c>
      <c r="BC388" s="3">
        <f t="shared" si="213"/>
        <v>28</v>
      </c>
      <c r="BD388" s="3">
        <f t="shared" si="214"/>
        <v>51</v>
      </c>
    </row>
    <row r="389" spans="1:57" s="3" customFormat="1" x14ac:dyDescent="0.2">
      <c r="A389" s="3" t="s">
        <v>573</v>
      </c>
      <c r="B389" s="3" t="str">
        <f>LOWER(VLOOKUP(A389,Xtal_Templ!A:B,2,FALSE))</f>
        <v>s1pr1_human</v>
      </c>
      <c r="C389" s="3">
        <f>VLOOKUP($A389,'NonXtal_SegEnds_BW#'!$A:$Z,3,FALSE)+D389-50</f>
        <v>43</v>
      </c>
      <c r="D389" s="3">
        <v>64</v>
      </c>
      <c r="E389" s="3">
        <f>IF(ISERROR(VLOOKUP($A389,'NonXtal_SegEnds_BW#'!$A:$Z,4,FALSE)+VLOOKUP($A389,A:AL,4,FALSE)-50),"-",(VLOOKUP($A389,'NonXtal_SegEnds_BW#'!$A:$Z,4,FALSE)+VLOOKUP($A389,A:AL,4,FALSE)-50))</f>
        <v>74</v>
      </c>
      <c r="F389" s="3">
        <f>G389-2</f>
        <v>75</v>
      </c>
      <c r="G389" s="3">
        <v>77</v>
      </c>
      <c r="H389" s="3">
        <f t="shared" si="198"/>
        <v>78</v>
      </c>
      <c r="I389" s="3">
        <f t="shared" si="198"/>
        <v>79</v>
      </c>
      <c r="J389" s="3">
        <v>92</v>
      </c>
      <c r="K389" s="3">
        <f>VLOOKUP($A389,'NonXtal_SegEnds_BW#'!$A:$Z,8,FALSE)+VLOOKUP($A389,A:AL,10,FALSE)-50</f>
        <v>105</v>
      </c>
      <c r="L389" s="3">
        <f>M389-3</f>
        <v>107</v>
      </c>
      <c r="M389" s="3">
        <v>110</v>
      </c>
      <c r="N389" s="3">
        <f>M389+3</f>
        <v>113</v>
      </c>
      <c r="O389" s="3">
        <f t="shared" si="197"/>
        <v>114</v>
      </c>
      <c r="P389" s="3">
        <v>143</v>
      </c>
      <c r="Q389" s="3">
        <f>VLOOKUP($A389,'NonXtal_SegEnds_BW#'!$A:$Z,12,FALSE)+VLOOKUP($A389,A:AL,16,FALSE)-50</f>
        <v>149</v>
      </c>
      <c r="R389" s="3">
        <f>IF(ISERROR(VLOOKUP($A389,'NonXtal_SegEnds_BW#'!$A:$Z,13,FALSE)+VLOOKUP($A389,A:AL,19,FALSE)-50),"-",VLOOKUP($A389,'NonXtal_SegEnds_BW#'!$A:$Z,13,FALSE)+VLOOKUP($A389,A:AL,19,FALSE)-50)</f>
        <v>150</v>
      </c>
      <c r="S389" s="3">
        <v>150</v>
      </c>
      <c r="T389" s="3">
        <f>IF(ISERROR(VLOOKUP($A389,'NonXtal_SegEnds_BW#'!$A:$Z,14,FALSE)+VLOOKUP($A389,A:AL,19,FALSE)-50),"-",(VLOOKUP($A389,'NonXtal_SegEnds_BW#'!$A:$Z,14,FALSE)+VLOOKUP($A389,A:AL,19,FALSE)-50))</f>
        <v>157</v>
      </c>
      <c r="U389" s="3">
        <f>IF(ISERROR(VLOOKUP($A389,'NonXtal_SegEnds_BW#'!$A:$Z,15,FALSE)+VLOOKUP($A389,A:AL,22,FALSE)-50),"-",VLOOKUP($A389,'NonXtal_SegEnds_BW#'!$A:$Z,15,FALSE)+VLOOKUP($A389,A:AL,22,FALSE)-50)</f>
        <v>159</v>
      </c>
      <c r="V389" s="3">
        <v>170</v>
      </c>
      <c r="W389" s="3">
        <f>IF(ISERROR(VLOOKUP($A389,'NonXtal_SegEnds_BW#'!$A:$Z,16,FALSE)+VLOOKUP($A389,A:AL,22,FALSE)-50),"-",(VLOOKUP($A389,'NonXtal_SegEnds_BW#'!$A:$Z,16,FALSE)+VLOOKUP($A389,A:AL,22,FALSE)-50))</f>
        <v>183</v>
      </c>
      <c r="X389" s="3" t="str">
        <f>IF(ISERROR(VLOOKUP($A389,'NonXtal_SegEnds_BW#'!$A:$Z,17,FALSE)+VLOOKUP($A389,A:AL,25,FALSE)-50),"-",(VLOOKUP($A389,'NonXtal_SegEnds_BW#'!$A:$Z,17,FALSE)+VLOOKUP($A389,A:AL,25,FALSE)-50))</f>
        <v>-</v>
      </c>
      <c r="Y389" s="3" t="s">
        <v>129</v>
      </c>
      <c r="Z389" s="3" t="str">
        <f>IF(ISERROR(VLOOKUP($A389,'NonXtal_SegEnds_BW#'!$A:$Z,18,FALSE)+VLOOKUP($A389,A:AL,25,FALSE)-50),"-",(VLOOKUP($A389,'NonXtal_SegEnds_BW#'!$A:$Z,18,FALSE)+VLOOKUP($A389,A:AL,25,FALSE)-50))</f>
        <v>-</v>
      </c>
      <c r="AA389" s="3">
        <f>IF(ISERROR(VLOOKUP($A389,'NonXtal_SegEnds_BW#'!$A:$Z,19,FALSE)+VLOOKUP($A389,A:AL,28,FALSE)-50),"-",(VLOOKUP($A389,'NonXtal_SegEnds_BW#'!$A:$Z,19,FALSE)+VLOOKUP($A389,A:AL,28,FALSE)-50))</f>
        <v>201</v>
      </c>
      <c r="AB389" s="3">
        <v>215</v>
      </c>
      <c r="AC389" s="3">
        <f>IF(ISERROR((VLOOKUP($A389,'NonXtal_SegEnds_BW#'!$A:$Z,20,FALSE)+VLOOKUP($A389,A:AL,28,FALSE)-50)),"-",(VLOOKUP($A389,'NonXtal_SegEnds_BW#'!$A:$Z,20,FALSE)+VLOOKUP($A389,A:AL,28,FALSE)-50))</f>
        <v>233</v>
      </c>
      <c r="AD389" s="3">
        <f>IF(ISERROR(VLOOKUP($A389,'NonXtal_SegEnds_BW#'!$A:$Z,21,FALSE)+VLOOKUP($A389,A:AL,31,FALSE)-50),"-",(VLOOKUP($A389,'NonXtal_SegEnds_BW#'!$A:$Z,21,FALSE)+VLOOKUP($A389,A:AL,31,FALSE)-50))</f>
        <v>239</v>
      </c>
      <c r="AE389" s="3">
        <v>266</v>
      </c>
      <c r="AF389" s="3">
        <f>IF(ISERROR((VLOOKUP($A389,'NonXtal_SegEnds_BW#'!$A:$Z,22,FALSE)+VLOOKUP($A389,A:AL,31,FALSE)-50)),"-",(VLOOKUP($A389,'NonXtal_SegEnds_BW#'!$A:$Z,22,FALSE)+VLOOKUP($A389,A:AL,31,FALSE)-50))</f>
        <v>277</v>
      </c>
      <c r="AG389" s="3">
        <f>IF(ISERROR(VLOOKUP($A389,'NonXtal_SegEnds_BW#'!$A:$Z,23,FALSE)+VLOOKUP($A389,A:AL,34,FALSE)-50),"-",(VLOOKUP($A389,'NonXtal_SegEnds_BW#'!$A:$Z,23,FALSE)+VLOOKUP($A389,A:AL,34,FALSE)-50))</f>
        <v>284</v>
      </c>
      <c r="AH389" s="3">
        <v>304</v>
      </c>
      <c r="AI389" s="3">
        <f>IF(ISERROR((VLOOKUP($A389,'NonXtal_SegEnds_BW#'!$A:$Z,24,FALSE)+VLOOKUP($A389,A:AL,34,FALSE)-50)),"-",(VLOOKUP($A389,'NonXtal_SegEnds_BW#'!$A:$Z,24,FALSE)+VLOOKUP($A389,A:AL,34,FALSE)-50))</f>
        <v>310</v>
      </c>
      <c r="AJ389" s="3">
        <f>IF(ISERROR(VLOOKUP($A389,'NonXtal_SegEnds_BW#'!$A:$Z,25,FALSE)+VLOOKUP($A389,A:AL,37,FALSE)-50),"-",(VLOOKUP($A389,'NonXtal_SegEnds_BW#'!$A:$Z,25,FALSE)+VLOOKUP($A389,A:AL,37,FALSE)-50))</f>
        <v>311</v>
      </c>
      <c r="AK389" s="3">
        <v>314</v>
      </c>
      <c r="AL389" s="3">
        <f>IF(ISERROR((VLOOKUP($A389,'NonXtal_SegEnds_BW#'!$A:$Z,26,FALSE)+VLOOKUP($A389,A:AL,37,FALSE)-50)),"-",(VLOOKUP($A389,'NonXtal_SegEnds_BW#'!$A:$Z,26,FALSE)+VLOOKUP($A389,A:AL,37,FALSE)-50))</f>
        <v>323</v>
      </c>
      <c r="AM389" s="71" t="str">
        <f>VLOOKUP(A389,Classification!A:B,2,FALSE)</f>
        <v>A</v>
      </c>
      <c r="AN389" s="71" t="b">
        <f t="shared" si="199"/>
        <v>1</v>
      </c>
      <c r="AO389" s="3">
        <f t="shared" si="200"/>
        <v>1</v>
      </c>
      <c r="AP389" s="3">
        <f t="shared" si="201"/>
        <v>1</v>
      </c>
      <c r="AQ389" s="3">
        <f t="shared" si="202"/>
        <v>2</v>
      </c>
      <c r="AR389" s="3">
        <f t="shared" si="203"/>
        <v>1</v>
      </c>
      <c r="AS389" s="3">
        <f t="shared" si="204"/>
        <v>1</v>
      </c>
      <c r="AT389" s="3">
        <f t="shared" si="205"/>
        <v>2</v>
      </c>
      <c r="AU389" s="3" t="str">
        <f t="shared" si="206"/>
        <v>-</v>
      </c>
      <c r="AV389" s="3" t="str">
        <f t="shared" si="207"/>
        <v>-</v>
      </c>
      <c r="AW389" s="3">
        <f t="shared" si="208"/>
        <v>6</v>
      </c>
      <c r="AX389" s="3">
        <f t="shared" si="209"/>
        <v>7</v>
      </c>
      <c r="AY389" s="3">
        <f t="shared" si="210"/>
        <v>1</v>
      </c>
      <c r="AZ389" s="3">
        <f>IF(ISERROR(LEN(VLOOKUP(A389,Seqs!A:E,2,FALSE))-AL389),"-",LEN(VLOOKUP(A389,Seqs!A:E,2,FALSE))-AL389)</f>
        <v>61</v>
      </c>
      <c r="BA389" s="35">
        <f t="shared" si="211"/>
        <v>28</v>
      </c>
      <c r="BB389" s="3">
        <f t="shared" si="212"/>
        <v>20</v>
      </c>
      <c r="BC389" s="3">
        <f t="shared" si="213"/>
        <v>28</v>
      </c>
      <c r="BD389" s="3">
        <f t="shared" si="214"/>
        <v>51</v>
      </c>
    </row>
    <row r="390" spans="1:57" s="3" customFormat="1" x14ac:dyDescent="0.2">
      <c r="A390" s="3" t="s">
        <v>574</v>
      </c>
      <c r="B390" s="3" t="str">
        <f>LOWER(VLOOKUP(A390,Xtal_Templ!A:B,2,FALSE))</f>
        <v>s1pr1_human</v>
      </c>
      <c r="C390" s="3">
        <f>VLOOKUP($A390,'NonXtal_SegEnds_BW#'!$A:$Z,3,FALSE)+D390-50</f>
        <v>33</v>
      </c>
      <c r="D390" s="3">
        <v>54</v>
      </c>
      <c r="E390" s="3">
        <f>IF(ISERROR(VLOOKUP($A390,'NonXtal_SegEnds_BW#'!$A:$Z,4,FALSE)+VLOOKUP($A390,A:AL,4,FALSE)-50),"-",(VLOOKUP($A390,'NonXtal_SegEnds_BW#'!$A:$Z,4,FALSE)+VLOOKUP($A390,A:AL,4,FALSE)-50))</f>
        <v>64</v>
      </c>
      <c r="F390" s="3">
        <f>G390-2</f>
        <v>65</v>
      </c>
      <c r="G390" s="3">
        <v>67</v>
      </c>
      <c r="H390" s="3">
        <f t="shared" si="198"/>
        <v>68</v>
      </c>
      <c r="I390" s="3">
        <f t="shared" si="198"/>
        <v>69</v>
      </c>
      <c r="J390" s="3">
        <v>82</v>
      </c>
      <c r="K390" s="3">
        <f>VLOOKUP($A390,'NonXtal_SegEnds_BW#'!$A:$Z,8,FALSE)+VLOOKUP($A390,A:AL,10,FALSE)-50</f>
        <v>95</v>
      </c>
      <c r="L390" s="3">
        <f>M390-3</f>
        <v>97</v>
      </c>
      <c r="M390" s="3">
        <v>100</v>
      </c>
      <c r="N390" s="3">
        <f>M390+3</f>
        <v>103</v>
      </c>
      <c r="O390" s="3">
        <f t="shared" si="197"/>
        <v>104</v>
      </c>
      <c r="P390" s="3">
        <v>133</v>
      </c>
      <c r="Q390" s="3">
        <f>VLOOKUP($A390,'NonXtal_SegEnds_BW#'!$A:$Z,12,FALSE)+VLOOKUP($A390,A:AL,16,FALSE)-50</f>
        <v>139</v>
      </c>
      <c r="R390" s="3">
        <f>IF(ISERROR(VLOOKUP($A390,'NonXtal_SegEnds_BW#'!$A:$Z,13,FALSE)+VLOOKUP($A390,A:AL,19,FALSE)-50),"-",VLOOKUP($A390,'NonXtal_SegEnds_BW#'!$A:$Z,13,FALSE)+VLOOKUP($A390,A:AL,19,FALSE)-50)</f>
        <v>142</v>
      </c>
      <c r="S390" s="3">
        <v>142</v>
      </c>
      <c r="T390" s="3">
        <f>IF(ISERROR(VLOOKUP($A390,'NonXtal_SegEnds_BW#'!$A:$Z,14,FALSE)+VLOOKUP($A390,A:AL,19,FALSE)-50),"-",(VLOOKUP($A390,'NonXtal_SegEnds_BW#'!$A:$Z,14,FALSE)+VLOOKUP($A390,A:AL,19,FALSE)-50))</f>
        <v>147</v>
      </c>
      <c r="U390" s="3">
        <f>IF(ISERROR(VLOOKUP($A390,'NonXtal_SegEnds_BW#'!$A:$Z,15,FALSE)+VLOOKUP($A390,A:AL,22,FALSE)-50),"-",VLOOKUP($A390,'NonXtal_SegEnds_BW#'!$A:$Z,15,FALSE)+VLOOKUP($A390,A:AL,22,FALSE)-50)</f>
        <v>148</v>
      </c>
      <c r="V390" s="3">
        <v>159</v>
      </c>
      <c r="W390" s="3">
        <f>IF(ISERROR(VLOOKUP($A390,'NonXtal_SegEnds_BW#'!$A:$Z,16,FALSE)+VLOOKUP($A390,A:AL,22,FALSE)-50),"-",(VLOOKUP($A390,'NonXtal_SegEnds_BW#'!$A:$Z,16,FALSE)+VLOOKUP($A390,A:AL,22,FALSE)-50))</f>
        <v>172</v>
      </c>
      <c r="X390" s="3" t="str">
        <f>IF(ISERROR(VLOOKUP($A390,'NonXtal_SegEnds_BW#'!$A:$Z,17,FALSE)+VLOOKUP($A390,A:AL,25,FALSE)-50),"-",(VLOOKUP($A390,'NonXtal_SegEnds_BW#'!$A:$Z,17,FALSE)+VLOOKUP($A390,A:AL,25,FALSE)-50))</f>
        <v>-</v>
      </c>
      <c r="Y390" s="3" t="s">
        <v>129</v>
      </c>
      <c r="Z390" s="3" t="str">
        <f>IF(ISERROR(VLOOKUP($A390,'NonXtal_SegEnds_BW#'!$A:$Z,18,FALSE)+VLOOKUP($A390,A:AL,25,FALSE)-50),"-",(VLOOKUP($A390,'NonXtal_SegEnds_BW#'!$A:$Z,18,FALSE)+VLOOKUP($A390,A:AL,25,FALSE)-50))</f>
        <v>-</v>
      </c>
      <c r="AA390" s="3">
        <f>IF(ISERROR(VLOOKUP($A390,'NonXtal_SegEnds_BW#'!$A:$Z,19,FALSE)+VLOOKUP($A390,A:AL,28,FALSE)-50),"-",(VLOOKUP($A390,'NonXtal_SegEnds_BW#'!$A:$Z,19,FALSE)+VLOOKUP($A390,A:AL,28,FALSE)-50))</f>
        <v>190</v>
      </c>
      <c r="AB390" s="3">
        <v>204</v>
      </c>
      <c r="AC390" s="3">
        <f>IF(ISERROR((VLOOKUP($A390,'NonXtal_SegEnds_BW#'!$A:$Z,20,FALSE)+VLOOKUP($A390,A:AL,28,FALSE)-50)),"-",(VLOOKUP($A390,'NonXtal_SegEnds_BW#'!$A:$Z,20,FALSE)+VLOOKUP($A390,A:AL,28,FALSE)-50))</f>
        <v>228</v>
      </c>
      <c r="AD390" s="3">
        <f>IF(ISERROR(VLOOKUP($A390,'NonXtal_SegEnds_BW#'!$A:$Z,21,FALSE)+VLOOKUP($A390,A:AL,31,FALSE)-50),"-",(VLOOKUP($A390,'NonXtal_SegEnds_BW#'!$A:$Z,21,FALSE)+VLOOKUP($A390,A:AL,31,FALSE)-50))</f>
        <v>237</v>
      </c>
      <c r="AE390" s="3">
        <v>266</v>
      </c>
      <c r="AF390" s="3">
        <f>IF(ISERROR((VLOOKUP($A390,'NonXtal_SegEnds_BW#'!$A:$Z,22,FALSE)+VLOOKUP($A390,A:AL,31,FALSE)-50)),"-",(VLOOKUP($A390,'NonXtal_SegEnds_BW#'!$A:$Z,22,FALSE)+VLOOKUP($A390,A:AL,31,FALSE)-50))</f>
        <v>277</v>
      </c>
      <c r="AG390" s="3">
        <f>IF(ISERROR(VLOOKUP($A390,'NonXtal_SegEnds_BW#'!$A:$Z,23,FALSE)+VLOOKUP($A390,A:AL,34,FALSE)-50),"-",(VLOOKUP($A390,'NonXtal_SegEnds_BW#'!$A:$Z,23,FALSE)+VLOOKUP($A390,A:AL,34,FALSE)-50))</f>
        <v>283</v>
      </c>
      <c r="AH390" s="3">
        <v>303</v>
      </c>
      <c r="AI390" s="3">
        <f>IF(ISERROR((VLOOKUP($A390,'NonXtal_SegEnds_BW#'!$A:$Z,24,FALSE)+VLOOKUP($A390,A:AL,34,FALSE)-50)),"-",(VLOOKUP($A390,'NonXtal_SegEnds_BW#'!$A:$Z,24,FALSE)+VLOOKUP($A390,A:AL,34,FALSE)-50))</f>
        <v>309</v>
      </c>
      <c r="AJ390" s="3">
        <f>IF(ISERROR(VLOOKUP($A390,'NonXtal_SegEnds_BW#'!$A:$Z,25,FALSE)+VLOOKUP($A390,A:AL,37,FALSE)-50),"-",(VLOOKUP($A390,'NonXtal_SegEnds_BW#'!$A:$Z,25,FALSE)+VLOOKUP($A390,A:AL,37,FALSE)-50))</f>
        <v>310</v>
      </c>
      <c r="AK390" s="3">
        <v>313</v>
      </c>
      <c r="AL390" s="3">
        <f>IF(ISERROR((VLOOKUP($A390,'NonXtal_SegEnds_BW#'!$A:$Z,26,FALSE)+VLOOKUP($A390,A:AL,37,FALSE)-50)),"-",(VLOOKUP($A390,'NonXtal_SegEnds_BW#'!$A:$Z,26,FALSE)+VLOOKUP($A390,A:AL,37,FALSE)-50))</f>
        <v>322</v>
      </c>
      <c r="AM390" s="71" t="str">
        <f>VLOOKUP(A390,Classification!A:B,2,FALSE)</f>
        <v>A</v>
      </c>
      <c r="AN390" s="71" t="b">
        <f t="shared" si="199"/>
        <v>1</v>
      </c>
      <c r="AO390" s="3">
        <f t="shared" si="200"/>
        <v>1</v>
      </c>
      <c r="AP390" s="3">
        <f t="shared" si="201"/>
        <v>1</v>
      </c>
      <c r="AQ390" s="3">
        <f t="shared" si="202"/>
        <v>2</v>
      </c>
      <c r="AR390" s="3">
        <f t="shared" si="203"/>
        <v>1</v>
      </c>
      <c r="AS390" s="3">
        <f t="shared" si="204"/>
        <v>3</v>
      </c>
      <c r="AT390" s="3">
        <f t="shared" si="205"/>
        <v>1</v>
      </c>
      <c r="AU390" s="3" t="str">
        <f t="shared" si="206"/>
        <v>-</v>
      </c>
      <c r="AV390" s="3" t="str">
        <f t="shared" si="207"/>
        <v>-</v>
      </c>
      <c r="AW390" s="3">
        <f t="shared" si="208"/>
        <v>9</v>
      </c>
      <c r="AX390" s="3">
        <f t="shared" si="209"/>
        <v>6</v>
      </c>
      <c r="AY390" s="3">
        <f t="shared" si="210"/>
        <v>1</v>
      </c>
      <c r="AZ390" s="3">
        <f>IF(ISERROR(LEN(VLOOKUP(A390,Seqs!A:E,2,FALSE))-AL390),"-",LEN(VLOOKUP(A390,Seqs!A:E,2,FALSE))-AL390)</f>
        <v>76</v>
      </c>
      <c r="BA390" s="35">
        <f t="shared" si="211"/>
        <v>28</v>
      </c>
      <c r="BB390" s="3">
        <f t="shared" si="212"/>
        <v>17</v>
      </c>
      <c r="BC390" s="3">
        <f t="shared" si="213"/>
        <v>28</v>
      </c>
      <c r="BD390" s="3">
        <f t="shared" si="214"/>
        <v>62</v>
      </c>
    </row>
    <row r="391" spans="1:57" s="3" customFormat="1" x14ac:dyDescent="0.2">
      <c r="A391" s="3" t="s">
        <v>668</v>
      </c>
      <c r="B391" s="3" t="str">
        <f>LOWER(VLOOKUP(A391,Xtal_Templ!A:B,2,FALSE))</f>
        <v>s1pr1_human</v>
      </c>
      <c r="C391" s="3">
        <f>VLOOKUP($A391,'NonXtal_SegEnds_BW#'!$A:$Z,3,FALSE)+D391-50</f>
        <v>21</v>
      </c>
      <c r="D391" s="3">
        <v>42</v>
      </c>
      <c r="E391" s="3">
        <f>IF(ISERROR(VLOOKUP($A391,'NonXtal_SegEnds_BW#'!$A:$Z,4,FALSE)+VLOOKUP($A391,A:AL,4,FALSE)-50),"-",(VLOOKUP($A391,'NonXtal_SegEnds_BW#'!$A:$Z,4,FALSE)+VLOOKUP($A391,A:AL,4,FALSE)-50))</f>
        <v>52</v>
      </c>
      <c r="F391" s="3" t="str">
        <f>IF(ISERROR(VLOOKUP($A391,'NonXtal_SegEnds_BW#'!$A:$Z,5,FALSE)+VLOOKUP($A391,A:AL,7,FALSE)-50),"-",(VLOOKUP($A391,'NonXtal_SegEnds_BW#'!$A:$Z,5,FALSE)+VLOOKUP($A391,A:AL,7,FALSE)-50))</f>
        <v>-</v>
      </c>
      <c r="G391" s="3" t="s">
        <v>129</v>
      </c>
      <c r="H391" s="3" t="str">
        <f>IF(ISERROR(VLOOKUP($A391,'NonXtal_SegEnds_BW#'!$A:$Z,6,FALSE)+VLOOKUP($A391,A:AL,7,FALSE)-50),"-",(VLOOKUP($A391,'NonXtal_SegEnds_BW#'!$A:$Z,6,FALSE)+VLOOKUP($A391,A:AL,7,FALSE)-50))</f>
        <v>-</v>
      </c>
      <c r="I391" s="3">
        <f>VLOOKUP($A391,'NonXtal_SegEnds_BW#'!$A:$Z,7,FALSE)+J391-50</f>
        <v>61</v>
      </c>
      <c r="J391" s="3">
        <v>74</v>
      </c>
      <c r="K391" s="3">
        <f>VLOOKUP($A391,'NonXtal_SegEnds_BW#'!$A:$Z,8,FALSE)+VLOOKUP($A391,A:AL,10,FALSE)-50</f>
        <v>91</v>
      </c>
      <c r="L391" s="3">
        <f>M391-1</f>
        <v>94</v>
      </c>
      <c r="M391" s="3">
        <v>95</v>
      </c>
      <c r="N391" s="3">
        <f>M391+2</f>
        <v>97</v>
      </c>
      <c r="O391" s="3">
        <f t="shared" si="197"/>
        <v>98</v>
      </c>
      <c r="P391" s="3">
        <v>130</v>
      </c>
      <c r="Q391" s="3">
        <f>VLOOKUP($A391,'NonXtal_SegEnds_BW#'!$A:$Z,12,FALSE)+VLOOKUP($A391,A:AL,16,FALSE)-50</f>
        <v>136</v>
      </c>
      <c r="R391" s="3">
        <f>IF(ISERROR(VLOOKUP($A391,'NonXtal_SegEnds_BW#'!$A:$Z,13,FALSE)+VLOOKUP($A391,A:AL,19,FALSE)-50),"-",VLOOKUP($A391,'NonXtal_SegEnds_BW#'!$A:$Z,13,FALSE)+VLOOKUP($A391,A:AL,19,FALSE)-50)</f>
        <v>137</v>
      </c>
      <c r="S391" s="3">
        <v>137</v>
      </c>
      <c r="T391" s="3">
        <f>IF(ISERROR(VLOOKUP($A391,'NonXtal_SegEnds_BW#'!$A:$Z,14,FALSE)+VLOOKUP($A391,A:AL,19,FALSE)-50),"-",(VLOOKUP($A391,'NonXtal_SegEnds_BW#'!$A:$Z,14,FALSE)+VLOOKUP($A391,A:AL,19,FALSE)-50))</f>
        <v>144</v>
      </c>
      <c r="U391" s="3">
        <f>IF(ISERROR(VLOOKUP($A391,'NonXtal_SegEnds_BW#'!$A:$Z,15,FALSE)+VLOOKUP($A391,A:AL,22,FALSE)-50),"-",VLOOKUP($A391,'NonXtal_SegEnds_BW#'!$A:$Z,15,FALSE)+VLOOKUP($A391,A:AL,22,FALSE)-50)</f>
        <v>146</v>
      </c>
      <c r="V391" s="3">
        <v>157</v>
      </c>
      <c r="W391" s="3">
        <f>IF(ISERROR(VLOOKUP($A391,'NonXtal_SegEnds_BW#'!$A:$Z,16,FALSE)+VLOOKUP($A391,A:AL,22,FALSE)-50),"-",(VLOOKUP($A391,'NonXtal_SegEnds_BW#'!$A:$Z,16,FALSE)+VLOOKUP($A391,A:AL,22,FALSE)-50))</f>
        <v>170</v>
      </c>
      <c r="X391" s="3">
        <f>Y391</f>
        <v>183</v>
      </c>
      <c r="Y391" s="3">
        <v>183</v>
      </c>
      <c r="Z391" s="3">
        <f>Y391+2</f>
        <v>185</v>
      </c>
      <c r="AA391" s="3">
        <f>IF(ISERROR(VLOOKUP($A391,'NonXtal_SegEnds_BW#'!$A:$Z,19,FALSE)+VLOOKUP($A391,A:AL,28,FALSE)-50),"-",(VLOOKUP($A391,'NonXtal_SegEnds_BW#'!$A:$Z,19,FALSE)+VLOOKUP($A391,A:AL,28,FALSE)-50))</f>
        <v>204</v>
      </c>
      <c r="AB391" s="3">
        <v>218</v>
      </c>
      <c r="AC391" s="3">
        <f>IF(ISERROR((VLOOKUP($A391,'NonXtal_SegEnds_BW#'!$A:$Z,20,FALSE)+VLOOKUP($A391,A:AL,28,FALSE)-50)),"-",(VLOOKUP($A391,'NonXtal_SegEnds_BW#'!$A:$Z,20,FALSE)+VLOOKUP($A391,A:AL,28,FALSE)-50))</f>
        <v>236</v>
      </c>
      <c r="AD391" s="3">
        <f>IF(ISERROR(VLOOKUP($A391,'NonXtal_SegEnds_BW#'!$A:$Z,21,FALSE)+VLOOKUP($A391,A:AL,31,FALSE)-50),"-",(VLOOKUP($A391,'NonXtal_SegEnds_BW#'!$A:$Z,21,FALSE)+VLOOKUP($A391,A:AL,31,FALSE)-50))</f>
        <v>240</v>
      </c>
      <c r="AE391" s="3">
        <v>260</v>
      </c>
      <c r="AF391" s="3">
        <f>IF(ISERROR((VLOOKUP($A391,'NonXtal_SegEnds_BW#'!$A:$Z,22,FALSE)+VLOOKUP($A391,A:AL,31,FALSE)-50)),"-",(VLOOKUP($A391,'NonXtal_SegEnds_BW#'!$A:$Z,22,FALSE)+VLOOKUP($A391,A:AL,31,FALSE)-50))</f>
        <v>274</v>
      </c>
      <c r="AG391" s="3">
        <f>IF(ISERROR(VLOOKUP($A391,'NonXtal_SegEnds_BW#'!$A:$Z,23,FALSE)+VLOOKUP($A391,A:AL,34,FALSE)-50),"-",(VLOOKUP($A391,'NonXtal_SegEnds_BW#'!$A:$Z,23,FALSE)+VLOOKUP($A391,A:AL,34,FALSE)-50))</f>
        <v>279</v>
      </c>
      <c r="AH391" s="3">
        <v>305</v>
      </c>
      <c r="AI391" s="3">
        <f>IF(ISERROR((VLOOKUP($A391,'NonXtal_SegEnds_BW#'!$A:$Z,24,FALSE)+VLOOKUP($A391,A:AL,34,FALSE)-50)),"-",(VLOOKUP($A391,'NonXtal_SegEnds_BW#'!$A:$Z,24,FALSE)+VLOOKUP($A391,A:AL,34,FALSE)-50))</f>
        <v>311</v>
      </c>
      <c r="AJ391" s="3">
        <f>IF(ISERROR(VLOOKUP($A391,'NonXtal_SegEnds_BW#'!$A:$Z,25,FALSE)+VLOOKUP($A391,A:AL,37,FALSE)-50),"-",(VLOOKUP($A391,'NonXtal_SegEnds_BW#'!$A:$Z,25,FALSE)+VLOOKUP($A391,A:AL,37,FALSE)-50))</f>
        <v>312</v>
      </c>
      <c r="AK391" s="3">
        <v>315</v>
      </c>
      <c r="AL391" s="3">
        <f>IF(ISERROR((VLOOKUP($A391,'NonXtal_SegEnds_BW#'!$A:$Z,26,FALSE)+VLOOKUP($A391,A:AL,37,FALSE)-50)),"-",(VLOOKUP($A391,'NonXtal_SegEnds_BW#'!$A:$Z,26,FALSE)+VLOOKUP($A391,A:AL,37,FALSE)-50))</f>
        <v>324</v>
      </c>
      <c r="AM391" s="71" t="str">
        <f>VLOOKUP(A391,Classification!A:B,2,FALSE)</f>
        <v>A</v>
      </c>
      <c r="AN391" s="71" t="b">
        <f t="shared" si="199"/>
        <v>1</v>
      </c>
      <c r="AO391" s="3" t="str">
        <f t="shared" si="200"/>
        <v>-</v>
      </c>
      <c r="AP391" s="3" t="str">
        <f t="shared" si="201"/>
        <v>-</v>
      </c>
      <c r="AQ391" s="3">
        <f t="shared" si="202"/>
        <v>3</v>
      </c>
      <c r="AR391" s="3">
        <f t="shared" si="203"/>
        <v>1</v>
      </c>
      <c r="AS391" s="3">
        <f t="shared" si="204"/>
        <v>1</v>
      </c>
      <c r="AT391" s="3">
        <f t="shared" si="205"/>
        <v>2</v>
      </c>
      <c r="AU391" s="3">
        <f t="shared" si="206"/>
        <v>13</v>
      </c>
      <c r="AV391" s="3">
        <f t="shared" si="207"/>
        <v>19</v>
      </c>
      <c r="AW391" s="3">
        <f t="shared" si="208"/>
        <v>4</v>
      </c>
      <c r="AX391" s="3">
        <f t="shared" si="209"/>
        <v>5</v>
      </c>
      <c r="AY391" s="3">
        <f t="shared" si="210"/>
        <v>1</v>
      </c>
      <c r="AZ391" s="3">
        <f>IF(ISERROR(LEN(VLOOKUP(A391,Seqs!A:E,2,FALSE))-AL391),"-",LEN(VLOOKUP(A391,Seqs!A:E,2,FALSE))-AL391)</f>
        <v>19</v>
      </c>
      <c r="BA391" s="35">
        <f t="shared" si="211"/>
        <v>32</v>
      </c>
      <c r="BB391" s="3">
        <f t="shared" si="212"/>
        <v>20</v>
      </c>
      <c r="BC391" s="3">
        <f t="shared" si="213"/>
        <v>32</v>
      </c>
      <c r="BD391" s="3">
        <f t="shared" si="214"/>
        <v>42</v>
      </c>
      <c r="BE391" s="3">
        <f>AH391-AE391</f>
        <v>45</v>
      </c>
    </row>
    <row r="392" spans="1:57" s="3" customFormat="1" x14ac:dyDescent="0.2">
      <c r="A392" s="3" t="s">
        <v>651</v>
      </c>
      <c r="B392" s="3" t="str">
        <f>LOWER(VLOOKUP(A392,Xtal_Templ!A:B,2,FALSE))</f>
        <v>s1pr1_human</v>
      </c>
      <c r="C392" s="3">
        <f>VLOOKUP($A392,'NonXtal_SegEnds_BW#'!$A:$Z,3,FALSE)+D392-50</f>
        <v>6</v>
      </c>
      <c r="D392" s="3">
        <v>24</v>
      </c>
      <c r="E392" s="3">
        <f>F392-1</f>
        <v>36</v>
      </c>
      <c r="F392" s="3">
        <f>G392-2</f>
        <v>37</v>
      </c>
      <c r="G392" s="3">
        <v>39</v>
      </c>
      <c r="H392" s="3">
        <f t="shared" ref="H392:I403" si="215">G392+1</f>
        <v>40</v>
      </c>
      <c r="I392" s="3">
        <f t="shared" si="215"/>
        <v>41</v>
      </c>
      <c r="J392" s="3">
        <v>54</v>
      </c>
      <c r="K392" s="3">
        <f>VLOOKUP($A392,'NonXtal_SegEnds_BW#'!$A:$Z,8,FALSE)+VLOOKUP($A392,A:AL,10,FALSE)-50</f>
        <v>71</v>
      </c>
      <c r="L392" s="3" t="str">
        <f>IF(ISERROR(VLOOKUP($A392,'NonXtal_SegEnds_BW#'!$A:$Z,9,FALSE)+VLOOKUP($A392,A:AL,13,FALSE)-50),"-",(VLOOKUP($A392,'NonXtal_SegEnds_BW#'!$A:$Z,9,FALSE)+VLOOKUP($A392,A:AL,13,FALSE)-50))</f>
        <v>-</v>
      </c>
      <c r="M392" s="3" t="s">
        <v>129</v>
      </c>
      <c r="N392" s="3" t="str">
        <f>IF(ISERROR(VLOOKUP($A392,'NonXtal_SegEnds_BW#'!$A:$Z,10,FALSE)+VLOOKUP($A392,A:AL,13,FALSE)-50),"-",(VLOOKUP($A392,'NonXtal_SegEnds_BW#'!$A:$Z,10,FALSE)+VLOOKUP($A392,A:AL,13,FALSE)-50))</f>
        <v>-</v>
      </c>
      <c r="O392" s="3">
        <f>VLOOKUP($A392,'NonXtal_SegEnds_BW#'!$A:$Z,11,FALSE)+VLOOKUP($A392,A:AL,16,FALSE)-50</f>
        <v>74</v>
      </c>
      <c r="P392" s="3">
        <v>106</v>
      </c>
      <c r="Q392" s="3">
        <f>VLOOKUP($A392,'NonXtal_SegEnds_BW#'!$A:$Z,12,FALSE)+VLOOKUP($A392,A:AL,16,FALSE)-50</f>
        <v>112</v>
      </c>
      <c r="R392" s="3">
        <f>S392</f>
        <v>115</v>
      </c>
      <c r="S392" s="3">
        <v>115</v>
      </c>
      <c r="T392" s="3">
        <f>S392+7</f>
        <v>122</v>
      </c>
      <c r="U392" s="3">
        <f>IF(ISERROR(VLOOKUP($A392,'NonXtal_SegEnds_BW#'!$A:$Z,15,FALSE)+VLOOKUP($A392,A:AL,22,FALSE)-50),"-",VLOOKUP($A392,'NonXtal_SegEnds_BW#'!$A:$Z,15,FALSE)+VLOOKUP($A392,A:AL,22,FALSE)-50)</f>
        <v>124</v>
      </c>
      <c r="V392" s="3">
        <v>135</v>
      </c>
      <c r="W392" s="3">
        <f>IF(ISERROR(VLOOKUP($A392,'NonXtal_SegEnds_BW#'!$A:$Z,16,FALSE)+VLOOKUP($A392,A:AL,22,FALSE)-50),"-",(VLOOKUP($A392,'NonXtal_SegEnds_BW#'!$A:$Z,16,FALSE)+VLOOKUP($A392,A:AL,22,FALSE)-50))</f>
        <v>148</v>
      </c>
      <c r="X392" s="3" t="str">
        <f>IF(ISERROR(VLOOKUP($A392,'NonXtal_SegEnds_BW#'!$A:$Z,17,FALSE)+VLOOKUP($A392,A:AL,25,FALSE)-50),"-",(VLOOKUP($A392,'NonXtal_SegEnds_BW#'!$A:$Z,17,FALSE)+VLOOKUP($A392,A:AL,25,FALSE)-50))</f>
        <v>-</v>
      </c>
      <c r="Y392" s="3" t="s">
        <v>129</v>
      </c>
      <c r="Z392" s="3" t="str">
        <f>IF(ISERROR(VLOOKUP($A392,'NonXtal_SegEnds_BW#'!$A:$Z,18,FALSE)+VLOOKUP($A392,A:AL,25,FALSE)-50),"-",(VLOOKUP($A392,'NonXtal_SegEnds_BW#'!$A:$Z,18,FALSE)+VLOOKUP($A392,A:AL,25,FALSE)-50))</f>
        <v>-</v>
      </c>
      <c r="AA392" s="3">
        <f>IF(ISERROR(VLOOKUP($A392,'NonXtal_SegEnds_BW#'!$A:$Z,19,FALSE)+VLOOKUP($A392,A:AL,28,FALSE)-50),"-",(VLOOKUP($A392,'NonXtal_SegEnds_BW#'!$A:$Z,19,FALSE)+VLOOKUP($A392,A:AL,28,FALSE)-50))</f>
        <v>167</v>
      </c>
      <c r="AB392" s="3">
        <v>185</v>
      </c>
      <c r="AC392" s="3">
        <f>IF(ISERROR((VLOOKUP($A392,'NonXtal_SegEnds_BW#'!$A:$Z,20,FALSE)+VLOOKUP($A392,A:AL,28,FALSE)-50)),"-",(VLOOKUP($A392,'NonXtal_SegEnds_BW#'!$A:$Z,20,FALSE)+VLOOKUP($A392,A:AL,28,FALSE)-50))</f>
        <v>207</v>
      </c>
      <c r="AD392" s="3">
        <f>IF(ISERROR(VLOOKUP($A392,'NonXtal_SegEnds_BW#'!$A:$Z,21,FALSE)+VLOOKUP($A392,A:AL,31,FALSE)-50),"-",(VLOOKUP($A392,'NonXtal_SegEnds_BW#'!$A:$Z,21,FALSE)+VLOOKUP($A392,A:AL,31,FALSE)-50))</f>
        <v>217</v>
      </c>
      <c r="AE392" s="3">
        <v>238</v>
      </c>
      <c r="AF392" s="3">
        <f>IF(ISERROR((VLOOKUP($A392,'NonXtal_SegEnds_BW#'!$A:$Z,22,FALSE)+VLOOKUP($A392,A:AL,31,FALSE)-50)),"-",(VLOOKUP($A392,'NonXtal_SegEnds_BW#'!$A:$Z,22,FALSE)+VLOOKUP($A392,A:AL,31,FALSE)-50))</f>
        <v>249</v>
      </c>
      <c r="AG392" s="3">
        <f>IF(ISERROR(VLOOKUP($A392,'NonXtal_SegEnds_BW#'!$A:$Z,23,FALSE)+VLOOKUP($A392,A:AL,34,FALSE)-50),"-",(VLOOKUP($A392,'NonXtal_SegEnds_BW#'!$A:$Z,23,FALSE)+VLOOKUP($A392,A:AL,34,FALSE)-50))</f>
        <v>255</v>
      </c>
      <c r="AH392" s="3">
        <v>274</v>
      </c>
      <c r="AI392" s="3">
        <f>IF(ISERROR((VLOOKUP($A392,'NonXtal_SegEnds_BW#'!$A:$Z,24,FALSE)+VLOOKUP($A392,A:AL,34,FALSE)-50)),"-",(VLOOKUP($A392,'NonXtal_SegEnds_BW#'!$A:$Z,24,FALSE)+VLOOKUP($A392,A:AL,34,FALSE)-50))</f>
        <v>280</v>
      </c>
      <c r="AJ392" s="3">
        <f>IF(ISERROR(VLOOKUP($A392,'NonXtal_SegEnds_BW#'!$A:$Z,25,FALSE)+VLOOKUP($A392,A:AL,37,FALSE)-50),"-",(VLOOKUP($A392,'NonXtal_SegEnds_BW#'!$A:$Z,25,FALSE)+VLOOKUP($A392,A:AL,37,FALSE)-50))</f>
        <v>281</v>
      </c>
      <c r="AK392" s="3">
        <v>284</v>
      </c>
      <c r="AL392" s="3">
        <f>IF(ISERROR((VLOOKUP($A392,'NonXtal_SegEnds_BW#'!$A:$Z,26,FALSE)+VLOOKUP($A392,A:AL,37,FALSE)-50)),"-",(VLOOKUP($A392,'NonXtal_SegEnds_BW#'!$A:$Z,26,FALSE)+VLOOKUP($A392,A:AL,37,FALSE)-50))</f>
        <v>294</v>
      </c>
      <c r="AM392" s="71" t="str">
        <f>VLOOKUP(A392,Classification!A:B,2,FALSE)</f>
        <v>T</v>
      </c>
      <c r="AN392" s="71" t="b">
        <f t="shared" si="199"/>
        <v>1</v>
      </c>
      <c r="AO392" s="3">
        <f t="shared" si="200"/>
        <v>1</v>
      </c>
      <c r="AP392" s="3">
        <f t="shared" si="201"/>
        <v>1</v>
      </c>
      <c r="AQ392" s="3" t="str">
        <f t="shared" si="202"/>
        <v>-</v>
      </c>
      <c r="AR392" s="3" t="str">
        <f t="shared" si="203"/>
        <v>-</v>
      </c>
      <c r="AS392" s="3">
        <f t="shared" si="204"/>
        <v>3</v>
      </c>
      <c r="AT392" s="3">
        <f t="shared" si="205"/>
        <v>2</v>
      </c>
      <c r="AU392" s="3" t="str">
        <f t="shared" si="206"/>
        <v>-</v>
      </c>
      <c r="AV392" s="3" t="str">
        <f t="shared" si="207"/>
        <v>-</v>
      </c>
      <c r="AW392" s="3">
        <f t="shared" si="208"/>
        <v>10</v>
      </c>
      <c r="AX392" s="3">
        <f t="shared" si="209"/>
        <v>6</v>
      </c>
      <c r="AY392" s="3">
        <f t="shared" si="210"/>
        <v>1</v>
      </c>
      <c r="AZ392" s="3">
        <f>IF(ISERROR(LEN(VLOOKUP(A392,Seqs!A:E,2,FALSE))-AL392),"-",LEN(VLOOKUP(A392,Seqs!A:E,2,FALSE))-AL392)</f>
        <v>13</v>
      </c>
      <c r="BA392" s="35">
        <f t="shared" si="211"/>
        <v>30</v>
      </c>
      <c r="BB392" s="3">
        <f t="shared" si="212"/>
        <v>20</v>
      </c>
      <c r="BC392" s="3">
        <f t="shared" si="213"/>
        <v>30</v>
      </c>
      <c r="BD392" s="3">
        <f t="shared" si="214"/>
        <v>53</v>
      </c>
      <c r="BE392" s="3">
        <f>AH392-AE392</f>
        <v>36</v>
      </c>
    </row>
    <row r="393" spans="1:57" s="3" customFormat="1" x14ac:dyDescent="0.2">
      <c r="A393" s="3" t="s">
        <v>641</v>
      </c>
      <c r="B393" s="3" t="str">
        <f>LOWER(VLOOKUP(A393,Xtal_Templ!A:B,2,FALSE))</f>
        <v>smo_human</v>
      </c>
      <c r="C393" s="3">
        <f>VLOOKUP($A393,'NonXtal_SegEnds_BW#'!$A:$Z,3,FALSE)+D393-50</f>
        <v>313</v>
      </c>
      <c r="D393" s="3">
        <v>334</v>
      </c>
      <c r="E393" s="3">
        <f>IF(ISERROR(VLOOKUP($A393,'NonXtal_SegEnds_BW#'!$A:$Z,4,FALSE)+VLOOKUP($A393,A:AL,4,FALSE)-50),"-",(VLOOKUP($A393,'NonXtal_SegEnds_BW#'!$A:$Z,4,FALSE)+VLOOKUP($A393,A:AL,4,FALSE)-50))</f>
        <v>344</v>
      </c>
      <c r="F393" s="3">
        <f t="shared" ref="F393:F403" si="216">G393-3</f>
        <v>345</v>
      </c>
      <c r="G393" s="3">
        <v>348</v>
      </c>
      <c r="H393" s="3">
        <f t="shared" si="215"/>
        <v>349</v>
      </c>
      <c r="I393" s="3">
        <f t="shared" si="215"/>
        <v>350</v>
      </c>
      <c r="J393" s="3">
        <v>360</v>
      </c>
      <c r="K393" s="3">
        <f>VLOOKUP($A393,'NonXtal_SegEnds_BW#'!$A:$Z,8,FALSE)+VLOOKUP($A393,A:AL,10,FALSE)-50</f>
        <v>373</v>
      </c>
      <c r="L393" s="3" t="str">
        <f>IF(ISERROR(VLOOKUP($A393,'NonXtal_SegEnds_BW#'!$A:$Z,9,FALSE)+VLOOKUP($A393,A:AL,13,FALSE)-50),"-",(VLOOKUP($A393,'NonXtal_SegEnds_BW#'!$A:$Z,9,FALSE)+VLOOKUP($A393,A:AL,13,FALSE)-50))</f>
        <v>-</v>
      </c>
      <c r="M393" s="3" t="s">
        <v>129</v>
      </c>
      <c r="N393" s="3" t="str">
        <f>IF(ISERROR(VLOOKUP($A393,'NonXtal_SegEnds_BW#'!$A:$Z,10,FALSE)+VLOOKUP($A393,A:AL,13,FALSE)-50),"-",(VLOOKUP($A393,'NonXtal_SegEnds_BW#'!$A:$Z,10,FALSE)+VLOOKUP($A393,A:AL,13,FALSE)-50))</f>
        <v>-</v>
      </c>
      <c r="O393" s="3">
        <f>VLOOKUP($A393,'NonXtal_SegEnds_BW#'!$A:$Z,11,FALSE)+VLOOKUP($A393,A:AL,16,FALSE)-50</f>
        <v>400</v>
      </c>
      <c r="P393" s="3">
        <v>427</v>
      </c>
      <c r="Q393" s="3">
        <f>VLOOKUP($A393,'NonXtal_SegEnds_BW#'!$A:$Z,12,FALSE)+VLOOKUP($A393,A:AL,16,FALSE)-50</f>
        <v>436</v>
      </c>
      <c r="R393" s="3" t="str">
        <f>IF(ISERROR(VLOOKUP($A393,'NonXtal_SegEnds_BW#'!$A:$Z,13,FALSE)+VLOOKUP($A393,A:AL,19,FALSE)-50),"-",VLOOKUP($A393,'NonXtal_SegEnds_BW#'!$A:$Z,13,FALSE)+VLOOKUP($A393,A:AL,19,FALSE)-50)</f>
        <v>-</v>
      </c>
      <c r="S393" s="3" t="s">
        <v>129</v>
      </c>
      <c r="T393" s="3" t="str">
        <f>IF(ISERROR(VLOOKUP($A393,'NonXtal_SegEnds_BW#'!$A:$Z,14,FALSE)+VLOOKUP($A393,A:AL,19,FALSE)-50),"-",(VLOOKUP($A393,'NonXtal_SegEnds_BW#'!$A:$Z,14,FALSE)+VLOOKUP($A393,A:AL,19,FALSE)-50))</f>
        <v>-</v>
      </c>
      <c r="U393" s="3">
        <f>IF(ISERROR(VLOOKUP($A393,'NonXtal_SegEnds_BW#'!$A:$Z,15,FALSE)+VLOOKUP($A393,A:AL,22,FALSE)-50),"-",VLOOKUP($A393,'NonXtal_SegEnds_BW#'!$A:$Z,15,FALSE)+VLOOKUP($A393,A:AL,22,FALSE)-50)</f>
        <v>440</v>
      </c>
      <c r="V393" s="3">
        <v>452</v>
      </c>
      <c r="W393" s="3">
        <f>IF(ISERROR(VLOOKUP($A393,'NonXtal_SegEnds_BW#'!$A:$Z,16,FALSE)+VLOOKUP($A393,A:AL,22,FALSE)-50),"-",(VLOOKUP($A393,'NonXtal_SegEnds_BW#'!$A:$Z,16,FALSE)+VLOOKUP($A393,A:AL,22,FALSE)-50))</f>
        <v>465</v>
      </c>
      <c r="X393" s="3">
        <f>IF(ISERROR(VLOOKUP($A393,'NonXtal_SegEnds_BW#'!$A:$Z,17,FALSE)+VLOOKUP($A393,A:AL,25,FALSE)-50),"-",(VLOOKUP($A393,'NonXtal_SegEnds_BW#'!$A:$Z,17,FALSE)+VLOOKUP($A393,A:AL,25,FALSE)-50))</f>
        <v>477</v>
      </c>
      <c r="Y393" s="3">
        <v>477</v>
      </c>
      <c r="Z393" s="3">
        <f t="shared" ref="Z393:Z403" si="217">Y393+2</f>
        <v>479</v>
      </c>
      <c r="AA393" s="3">
        <f>IF(ISERROR(VLOOKUP($A393,'NonXtal_SegEnds_BW#'!$A:$Z,19,FALSE)+VLOOKUP($A393,A:AL,28,FALSE)-50),"-",(VLOOKUP($A393,'NonXtal_SegEnds_BW#'!$A:$Z,19,FALSE)+VLOOKUP($A393,A:AL,28,FALSE)-50))</f>
        <v>484</v>
      </c>
      <c r="AB393" s="3">
        <v>498</v>
      </c>
      <c r="AC393" s="3">
        <f>IF(ISERROR((VLOOKUP($A393,'NonXtal_SegEnds_BW#'!$A:$Z,20,FALSE)+VLOOKUP($A393,A:AL,28,FALSE)-50)),"-",(VLOOKUP($A393,'NonXtal_SegEnds_BW#'!$A:$Z,20,FALSE)+VLOOKUP($A393,A:AL,28,FALSE)-50))</f>
        <v>520</v>
      </c>
      <c r="AD393" s="3">
        <f>IF(ISERROR(VLOOKUP($A393,'NonXtal_SegEnds_BW#'!$A:$Z,21,FALSE)+VLOOKUP($A393,A:AL,31,FALSE)-50),"-",(VLOOKUP($A393,'NonXtal_SegEnds_BW#'!$A:$Z,21,FALSE)+VLOOKUP($A393,A:AL,31,FALSE)-50))</f>
        <v>528</v>
      </c>
      <c r="AE393" s="3">
        <v>553</v>
      </c>
      <c r="AF393" s="3">
        <f>IF(ISERROR((VLOOKUP($A393,'NonXtal_SegEnds_BW#'!$A:$Z,22,FALSE)+VLOOKUP($A393,A:AL,31,FALSE)-50)),"-",(VLOOKUP($A393,'NonXtal_SegEnds_BW#'!$A:$Z,22,FALSE)+VLOOKUP($A393,A:AL,31,FALSE)-50))</f>
        <v>578</v>
      </c>
      <c r="AG393" s="3">
        <f>IF(ISERROR(VLOOKUP($A393,'NonXtal_SegEnds_BW#'!$A:$Z,23,FALSE)+VLOOKUP($A393,A:AL,34,FALSE)-50),"-",(VLOOKUP($A393,'NonXtal_SegEnds_BW#'!$A:$Z,23,FALSE)+VLOOKUP($A393,A:AL,34,FALSE)-50))</f>
        <v>600</v>
      </c>
      <c r="AH393" s="3">
        <v>615</v>
      </c>
      <c r="AI393" s="3">
        <f>IF(ISERROR((VLOOKUP($A393,'NonXtal_SegEnds_BW#'!$A:$Z,24,FALSE)+VLOOKUP($A393,A:AL,34,FALSE)-50)),"-",(VLOOKUP($A393,'NonXtal_SegEnds_BW#'!$A:$Z,24,FALSE)+VLOOKUP($A393,A:AL,34,FALSE)-50))</f>
        <v>622</v>
      </c>
      <c r="AJ393" s="3">
        <f>IF(ISERROR(VLOOKUP($A393,'NonXtal_SegEnds_BW#'!$A:$Z,25,FALSE)+VLOOKUP($A393,A:AL,37,FALSE)-50),"-",(VLOOKUP($A393,'NonXtal_SegEnds_BW#'!$A:$Z,25,FALSE)+VLOOKUP($A393,A:AL,37,FALSE)-50))</f>
        <v>623</v>
      </c>
      <c r="AK393" s="3">
        <v>626</v>
      </c>
      <c r="AL393" s="3">
        <f>IF(ISERROR((VLOOKUP($A393,'NonXtal_SegEnds_BW#'!$A:$Z,26,FALSE)+VLOOKUP($A393,A:AL,37,FALSE)-50)),"-",(VLOOKUP($A393,'NonXtal_SegEnds_BW#'!$A:$Z,26,FALSE)+VLOOKUP($A393,A:AL,37,FALSE)-50))</f>
        <v>638</v>
      </c>
      <c r="AM393" s="71" t="str">
        <f>VLOOKUP(A393,Classification!A:B,2,FALSE)</f>
        <v>F</v>
      </c>
      <c r="AN393" s="71" t="b">
        <f t="shared" si="199"/>
        <v>1</v>
      </c>
      <c r="AO393" s="3">
        <f t="shared" si="200"/>
        <v>1</v>
      </c>
      <c r="AP393" s="3">
        <f t="shared" si="201"/>
        <v>1</v>
      </c>
      <c r="AQ393" s="3" t="str">
        <f t="shared" si="202"/>
        <v>-</v>
      </c>
      <c r="AR393" s="3" t="str">
        <f t="shared" si="203"/>
        <v>-</v>
      </c>
      <c r="AS393" s="3" t="str">
        <f t="shared" si="204"/>
        <v>-</v>
      </c>
      <c r="AT393" s="3" t="str">
        <f t="shared" si="205"/>
        <v>-</v>
      </c>
      <c r="AU393" s="3">
        <f t="shared" si="206"/>
        <v>12</v>
      </c>
      <c r="AV393" s="3">
        <f t="shared" si="207"/>
        <v>5</v>
      </c>
      <c r="AW393" s="3">
        <f t="shared" si="208"/>
        <v>8</v>
      </c>
      <c r="AX393" s="3">
        <f t="shared" si="209"/>
        <v>22</v>
      </c>
      <c r="AY393" s="3">
        <f t="shared" si="210"/>
        <v>1</v>
      </c>
      <c r="AZ393" s="3">
        <f>IF(ISERROR(LEN(VLOOKUP(A393,Seqs!A:E,2,FALSE))-AL393),"-",LEN(VLOOKUP(A393,Seqs!A:E,2,FALSE))-AL393)</f>
        <v>9</v>
      </c>
      <c r="BA393" s="35">
        <f t="shared" si="211"/>
        <v>26</v>
      </c>
      <c r="BB393" s="3" t="str">
        <f t="shared" si="212"/>
        <v>-</v>
      </c>
      <c r="BC393" s="3">
        <f t="shared" si="213"/>
        <v>26</v>
      </c>
      <c r="BD393" s="3">
        <f t="shared" si="214"/>
        <v>55</v>
      </c>
      <c r="BE393" s="3">
        <f>AH393-AE393</f>
        <v>62</v>
      </c>
    </row>
    <row r="394" spans="1:57" s="3" customFormat="1" x14ac:dyDescent="0.2">
      <c r="A394" s="3" t="s">
        <v>649</v>
      </c>
      <c r="B394" s="3" t="str">
        <f>LOWER(VLOOKUP(A394,Xtal_Templ!A:B,2,FALSE))</f>
        <v>smo_human</v>
      </c>
      <c r="C394" s="3">
        <f>VLOOKUP($A394,'NonXtal_SegEnds_BW#'!$A:$Z,3,FALSE)+D394-50</f>
        <v>271</v>
      </c>
      <c r="D394" s="3">
        <v>292</v>
      </c>
      <c r="E394" s="3">
        <f>IF(ISERROR(VLOOKUP($A394,'NonXtal_SegEnds_BW#'!$A:$Z,4,FALSE)+VLOOKUP($A394,A:AL,4,FALSE)-50),"-",(VLOOKUP($A394,'NonXtal_SegEnds_BW#'!$A:$Z,4,FALSE)+VLOOKUP($A394,A:AL,4,FALSE)-50))</f>
        <v>302</v>
      </c>
      <c r="F394" s="3">
        <f t="shared" si="216"/>
        <v>303</v>
      </c>
      <c r="G394" s="3">
        <v>306</v>
      </c>
      <c r="H394" s="3">
        <f t="shared" si="215"/>
        <v>307</v>
      </c>
      <c r="I394" s="3">
        <f t="shared" si="215"/>
        <v>308</v>
      </c>
      <c r="J394" s="3">
        <v>318</v>
      </c>
      <c r="K394" s="3">
        <f>VLOOKUP($A394,'NonXtal_SegEnds_BW#'!$A:$Z,8,FALSE)+VLOOKUP($A394,A:AL,10,FALSE)-50</f>
        <v>331</v>
      </c>
      <c r="L394" s="3" t="str">
        <f>IF(ISERROR(VLOOKUP($A394,'NonXtal_SegEnds_BW#'!$A:$Z,9,FALSE)+VLOOKUP($A394,A:AL,13,FALSE)-50),"-",(VLOOKUP($A394,'NonXtal_SegEnds_BW#'!$A:$Z,9,FALSE)+VLOOKUP($A394,A:AL,13,FALSE)-50))</f>
        <v>-</v>
      </c>
      <c r="M394" s="3" t="s">
        <v>129</v>
      </c>
      <c r="N394" s="3" t="str">
        <f>IF(ISERROR(VLOOKUP($A394,'NonXtal_SegEnds_BW#'!$A:$Z,10,FALSE)+VLOOKUP($A394,A:AL,13,FALSE)-50),"-",(VLOOKUP($A394,'NonXtal_SegEnds_BW#'!$A:$Z,10,FALSE)+VLOOKUP($A394,A:AL,13,FALSE)-50))</f>
        <v>-</v>
      </c>
      <c r="O394" s="3">
        <f>VLOOKUP($A394,'NonXtal_SegEnds_BW#'!$A:$Z,11,FALSE)+VLOOKUP($A394,A:AL,16,FALSE)-50</f>
        <v>394</v>
      </c>
      <c r="P394" s="3">
        <v>421</v>
      </c>
      <c r="Q394" s="3">
        <f>VLOOKUP($A394,'NonXtal_SegEnds_BW#'!$A:$Z,12,FALSE)+VLOOKUP($A394,A:AL,16,FALSE)-50</f>
        <v>430</v>
      </c>
      <c r="R394" s="3" t="str">
        <f>IF(ISERROR(VLOOKUP($A394,'NonXtal_SegEnds_BW#'!$A:$Z,13,FALSE)+VLOOKUP($A394,A:AL,19,FALSE)-50),"-",VLOOKUP($A394,'NonXtal_SegEnds_BW#'!$A:$Z,13,FALSE)+VLOOKUP($A394,A:AL,19,FALSE)-50)</f>
        <v>-</v>
      </c>
      <c r="S394" s="3" t="s">
        <v>129</v>
      </c>
      <c r="T394" s="3" t="str">
        <f>IF(ISERROR(VLOOKUP($A394,'NonXtal_SegEnds_BW#'!$A:$Z,14,FALSE)+VLOOKUP($A394,A:AL,19,FALSE)-50),"-",(VLOOKUP($A394,'NonXtal_SegEnds_BW#'!$A:$Z,14,FALSE)+VLOOKUP($A394,A:AL,19,FALSE)-50))</f>
        <v>-</v>
      </c>
      <c r="U394" s="3">
        <f>IF(ISERROR(VLOOKUP($A394,'NonXtal_SegEnds_BW#'!$A:$Z,15,FALSE)+VLOOKUP($A394,A:AL,22,FALSE)-50),"-",VLOOKUP($A394,'NonXtal_SegEnds_BW#'!$A:$Z,15,FALSE)+VLOOKUP($A394,A:AL,22,FALSE)-50)</f>
        <v>434</v>
      </c>
      <c r="V394" s="3">
        <v>446</v>
      </c>
      <c r="W394" s="3">
        <f>IF(ISERROR(VLOOKUP($A394,'NonXtal_SegEnds_BW#'!$A:$Z,16,FALSE)+VLOOKUP($A394,A:AL,22,FALSE)-50),"-",(VLOOKUP($A394,'NonXtal_SegEnds_BW#'!$A:$Z,16,FALSE)+VLOOKUP($A394,A:AL,22,FALSE)-50))</f>
        <v>459</v>
      </c>
      <c r="X394" s="3">
        <f>IF(ISERROR(VLOOKUP($A394,'NonXtal_SegEnds_BW#'!$A:$Z,17,FALSE)+VLOOKUP($A394,A:AL,25,FALSE)-50),"-",(VLOOKUP($A394,'NonXtal_SegEnds_BW#'!$A:$Z,17,FALSE)+VLOOKUP($A394,A:AL,25,FALSE)-50))</f>
        <v>471</v>
      </c>
      <c r="Y394" s="3">
        <v>471</v>
      </c>
      <c r="Z394" s="3">
        <f t="shared" si="217"/>
        <v>473</v>
      </c>
      <c r="AA394" s="3">
        <f>IF(ISERROR(VLOOKUP($A394,'NonXtal_SegEnds_BW#'!$A:$Z,19,FALSE)+VLOOKUP($A394,A:AL,28,FALSE)-50),"-",(VLOOKUP($A394,'NonXtal_SegEnds_BW#'!$A:$Z,19,FALSE)+VLOOKUP($A394,A:AL,28,FALSE)-50))</f>
        <v>478</v>
      </c>
      <c r="AB394" s="3">
        <v>492</v>
      </c>
      <c r="AC394" s="3">
        <f>IF(ISERROR((VLOOKUP($A394,'NonXtal_SegEnds_BW#'!$A:$Z,20,FALSE)+VLOOKUP($A394,A:AL,28,FALSE)-50)),"-",(VLOOKUP($A394,'NonXtal_SegEnds_BW#'!$A:$Z,20,FALSE)+VLOOKUP($A394,A:AL,28,FALSE)-50))</f>
        <v>514</v>
      </c>
      <c r="AD394" s="3">
        <f>IF(ISERROR(VLOOKUP($A394,'NonXtal_SegEnds_BW#'!$A:$Z,21,FALSE)+VLOOKUP($A394,A:AL,31,FALSE)-50),"-",(VLOOKUP($A394,'NonXtal_SegEnds_BW#'!$A:$Z,21,FALSE)+VLOOKUP($A394,A:AL,31,FALSE)-50))</f>
        <v>524</v>
      </c>
      <c r="AE394" s="3">
        <v>549</v>
      </c>
      <c r="AF394" s="3">
        <f>IF(ISERROR((VLOOKUP($A394,'NonXtal_SegEnds_BW#'!$A:$Z,22,FALSE)+VLOOKUP($A394,A:AL,31,FALSE)-50)),"-",(VLOOKUP($A394,'NonXtal_SegEnds_BW#'!$A:$Z,22,FALSE)+VLOOKUP($A394,A:AL,31,FALSE)-50))</f>
        <v>574</v>
      </c>
      <c r="AG394" s="3">
        <f>IF(ISERROR(VLOOKUP($A394,'NonXtal_SegEnds_BW#'!$A:$Z,23,FALSE)+VLOOKUP($A394,A:AL,34,FALSE)-50),"-",(VLOOKUP($A394,'NonXtal_SegEnds_BW#'!$A:$Z,23,FALSE)+VLOOKUP($A394,A:AL,34,FALSE)-50))</f>
        <v>583</v>
      </c>
      <c r="AH394" s="3">
        <v>598</v>
      </c>
      <c r="AI394" s="3">
        <f>IF(ISERROR((VLOOKUP($A394,'NonXtal_SegEnds_BW#'!$A:$Z,24,FALSE)+VLOOKUP($A394,A:AL,34,FALSE)-50)),"-",(VLOOKUP($A394,'NonXtal_SegEnds_BW#'!$A:$Z,24,FALSE)+VLOOKUP($A394,A:AL,34,FALSE)-50))</f>
        <v>605</v>
      </c>
      <c r="AJ394" s="3">
        <f>IF(ISERROR(VLOOKUP($A394,'NonXtal_SegEnds_BW#'!$A:$Z,25,FALSE)+VLOOKUP($A394,A:AL,37,FALSE)-50),"-",(VLOOKUP($A394,'NonXtal_SegEnds_BW#'!$A:$Z,25,FALSE)+VLOOKUP($A394,A:AL,37,FALSE)-50))</f>
        <v>606</v>
      </c>
      <c r="AK394" s="3">
        <v>609</v>
      </c>
      <c r="AL394" s="3">
        <f>IF(ISERROR((VLOOKUP($A394,'NonXtal_SegEnds_BW#'!$A:$Z,26,FALSE)+VLOOKUP($A394,A:AL,37,FALSE)-50)),"-",(VLOOKUP($A394,'NonXtal_SegEnds_BW#'!$A:$Z,26,FALSE)+VLOOKUP($A394,A:AL,37,FALSE)-50))</f>
        <v>621</v>
      </c>
      <c r="AM394" s="71" t="str">
        <f>VLOOKUP(A394,Classification!A:B,2,FALSE)</f>
        <v>F</v>
      </c>
      <c r="AN394" s="71" t="b">
        <f t="shared" si="199"/>
        <v>1</v>
      </c>
      <c r="AO394" s="3">
        <f t="shared" si="200"/>
        <v>1</v>
      </c>
      <c r="AP394" s="3">
        <f t="shared" si="201"/>
        <v>1</v>
      </c>
      <c r="AQ394" s="3" t="str">
        <f t="shared" si="202"/>
        <v>-</v>
      </c>
      <c r="AR394" s="3" t="str">
        <f t="shared" si="203"/>
        <v>-</v>
      </c>
      <c r="AS394" s="3" t="str">
        <f t="shared" si="204"/>
        <v>-</v>
      </c>
      <c r="AT394" s="3" t="str">
        <f t="shared" si="205"/>
        <v>-</v>
      </c>
      <c r="AU394" s="3">
        <f t="shared" si="206"/>
        <v>12</v>
      </c>
      <c r="AV394" s="3">
        <f t="shared" si="207"/>
        <v>5</v>
      </c>
      <c r="AW394" s="3">
        <f t="shared" si="208"/>
        <v>10</v>
      </c>
      <c r="AX394" s="3">
        <f t="shared" si="209"/>
        <v>9</v>
      </c>
      <c r="AY394" s="3">
        <f t="shared" si="210"/>
        <v>1</v>
      </c>
      <c r="AZ394" s="3">
        <f>IF(ISERROR(LEN(VLOOKUP(A394,Seqs!A:E,2,FALSE))-AL394),"-",LEN(VLOOKUP(A394,Seqs!A:E,2,FALSE))-AL394)</f>
        <v>73</v>
      </c>
      <c r="BA394" s="35">
        <f t="shared" si="211"/>
        <v>26</v>
      </c>
      <c r="BB394" s="3" t="str">
        <f t="shared" si="212"/>
        <v>-</v>
      </c>
      <c r="BC394" s="3">
        <f t="shared" si="213"/>
        <v>26</v>
      </c>
      <c r="BD394" s="3">
        <f t="shared" si="214"/>
        <v>57</v>
      </c>
    </row>
    <row r="395" spans="1:57" s="3" customFormat="1" x14ac:dyDescent="0.2">
      <c r="A395" s="3" t="s">
        <v>648</v>
      </c>
      <c r="B395" s="3" t="str">
        <f>LOWER(VLOOKUP(A395,Xtal_Templ!A:B,2,FALSE))</f>
        <v>smo_human</v>
      </c>
      <c r="C395" s="3">
        <f>VLOOKUP($A395,'NonXtal_SegEnds_BW#'!$A:$Z,3,FALSE)+D395-50</f>
        <v>247</v>
      </c>
      <c r="D395" s="3">
        <v>268</v>
      </c>
      <c r="E395" s="3">
        <f>IF(ISERROR(VLOOKUP($A395,'NonXtal_SegEnds_BW#'!$A:$Z,4,FALSE)+VLOOKUP($A395,A:AL,4,FALSE)-50),"-",(VLOOKUP($A395,'NonXtal_SegEnds_BW#'!$A:$Z,4,FALSE)+VLOOKUP($A395,A:AL,4,FALSE)-50))</f>
        <v>278</v>
      </c>
      <c r="F395" s="3">
        <f t="shared" si="216"/>
        <v>279</v>
      </c>
      <c r="G395" s="3">
        <v>282</v>
      </c>
      <c r="H395" s="3">
        <f t="shared" si="215"/>
        <v>283</v>
      </c>
      <c r="I395" s="3">
        <f t="shared" si="215"/>
        <v>284</v>
      </c>
      <c r="J395" s="3">
        <v>294</v>
      </c>
      <c r="K395" s="3">
        <f>VLOOKUP($A395,'NonXtal_SegEnds_BW#'!$A:$Z,8,FALSE)+VLOOKUP($A395,A:AL,10,FALSE)-50</f>
        <v>307</v>
      </c>
      <c r="L395" s="3" t="str">
        <f>IF(ISERROR(VLOOKUP($A395,'NonXtal_SegEnds_BW#'!$A:$Z,9,FALSE)+VLOOKUP($A395,A:AL,13,FALSE)-50),"-",(VLOOKUP($A395,'NonXtal_SegEnds_BW#'!$A:$Z,9,FALSE)+VLOOKUP($A395,A:AL,13,FALSE)-50))</f>
        <v>-</v>
      </c>
      <c r="M395" s="3" t="s">
        <v>129</v>
      </c>
      <c r="N395" s="3" t="str">
        <f>IF(ISERROR(VLOOKUP($A395,'NonXtal_SegEnds_BW#'!$A:$Z,10,FALSE)+VLOOKUP($A395,A:AL,13,FALSE)-50),"-",(VLOOKUP($A395,'NonXtal_SegEnds_BW#'!$A:$Z,10,FALSE)+VLOOKUP($A395,A:AL,13,FALSE)-50))</f>
        <v>-</v>
      </c>
      <c r="O395" s="3">
        <f>VLOOKUP($A395,'NonXtal_SegEnds_BW#'!$A:$Z,11,FALSE)+VLOOKUP($A395,A:AL,16,FALSE)-50</f>
        <v>334</v>
      </c>
      <c r="P395" s="3">
        <v>361</v>
      </c>
      <c r="Q395" s="3">
        <f>VLOOKUP($A395,'NonXtal_SegEnds_BW#'!$A:$Z,12,FALSE)+VLOOKUP($A395,A:AL,16,FALSE)-50</f>
        <v>370</v>
      </c>
      <c r="R395" s="3" t="str">
        <f>IF(ISERROR(VLOOKUP($A395,'NonXtal_SegEnds_BW#'!$A:$Z,13,FALSE)+VLOOKUP($A395,A:AL,19,FALSE)-50),"-",VLOOKUP($A395,'NonXtal_SegEnds_BW#'!$A:$Z,13,FALSE)+VLOOKUP($A395,A:AL,19,FALSE)-50)</f>
        <v>-</v>
      </c>
      <c r="S395" s="3" t="s">
        <v>129</v>
      </c>
      <c r="T395" s="3" t="str">
        <f>IF(ISERROR(VLOOKUP($A395,'NonXtal_SegEnds_BW#'!$A:$Z,14,FALSE)+VLOOKUP($A395,A:AL,19,FALSE)-50),"-",(VLOOKUP($A395,'NonXtal_SegEnds_BW#'!$A:$Z,14,FALSE)+VLOOKUP($A395,A:AL,19,FALSE)-50))</f>
        <v>-</v>
      </c>
      <c r="U395" s="3">
        <f>IF(ISERROR(VLOOKUP($A395,'NonXtal_SegEnds_BW#'!$A:$Z,15,FALSE)+VLOOKUP($A395,A:AL,22,FALSE)-50),"-",VLOOKUP($A395,'NonXtal_SegEnds_BW#'!$A:$Z,15,FALSE)+VLOOKUP($A395,A:AL,22,FALSE)-50)</f>
        <v>374</v>
      </c>
      <c r="V395" s="3">
        <v>386</v>
      </c>
      <c r="W395" s="3">
        <f>IF(ISERROR(VLOOKUP($A395,'NonXtal_SegEnds_BW#'!$A:$Z,16,FALSE)+VLOOKUP($A395,A:AL,22,FALSE)-50),"-",(VLOOKUP($A395,'NonXtal_SegEnds_BW#'!$A:$Z,16,FALSE)+VLOOKUP($A395,A:AL,22,FALSE)-50))</f>
        <v>399</v>
      </c>
      <c r="X395" s="3">
        <f>IF(ISERROR(VLOOKUP($A395,'NonXtal_SegEnds_BW#'!$A:$Z,17,FALSE)+VLOOKUP($A395,A:AL,25,FALSE)-50),"-",(VLOOKUP($A395,'NonXtal_SegEnds_BW#'!$A:$Z,17,FALSE)+VLOOKUP($A395,A:AL,25,FALSE)-50))</f>
        <v>411</v>
      </c>
      <c r="Y395" s="3">
        <v>411</v>
      </c>
      <c r="Z395" s="3">
        <f t="shared" si="217"/>
        <v>413</v>
      </c>
      <c r="AA395" s="3">
        <f>IF(ISERROR(VLOOKUP($A395,'NonXtal_SegEnds_BW#'!$A:$Z,19,FALSE)+VLOOKUP($A395,A:AL,28,FALSE)-50),"-",(VLOOKUP($A395,'NonXtal_SegEnds_BW#'!$A:$Z,19,FALSE)+VLOOKUP($A395,A:AL,28,FALSE)-50))</f>
        <v>418</v>
      </c>
      <c r="AB395" s="3">
        <v>432</v>
      </c>
      <c r="AC395" s="3">
        <f>IF(ISERROR((VLOOKUP($A395,'NonXtal_SegEnds_BW#'!$A:$Z,20,FALSE)+VLOOKUP($A395,A:AL,28,FALSE)-50)),"-",(VLOOKUP($A395,'NonXtal_SegEnds_BW#'!$A:$Z,20,FALSE)+VLOOKUP($A395,A:AL,28,FALSE)-50))</f>
        <v>454</v>
      </c>
      <c r="AD395" s="3">
        <f>IF(ISERROR(VLOOKUP($A395,'NonXtal_SegEnds_BW#'!$A:$Z,21,FALSE)+VLOOKUP($A395,A:AL,31,FALSE)-50),"-",(VLOOKUP($A395,'NonXtal_SegEnds_BW#'!$A:$Z,21,FALSE)+VLOOKUP($A395,A:AL,31,FALSE)-50))</f>
        <v>462</v>
      </c>
      <c r="AE395" s="3">
        <v>487</v>
      </c>
      <c r="AF395" s="3">
        <f>IF(ISERROR((VLOOKUP($A395,'NonXtal_SegEnds_BW#'!$A:$Z,22,FALSE)+VLOOKUP($A395,A:AL,31,FALSE)-50)),"-",(VLOOKUP($A395,'NonXtal_SegEnds_BW#'!$A:$Z,22,FALSE)+VLOOKUP($A395,A:AL,31,FALSE)-50))</f>
        <v>512</v>
      </c>
      <c r="AG395" s="3">
        <f>IF(ISERROR(VLOOKUP($A395,'NonXtal_SegEnds_BW#'!$A:$Z,23,FALSE)+VLOOKUP($A395,A:AL,34,FALSE)-50),"-",(VLOOKUP($A395,'NonXtal_SegEnds_BW#'!$A:$Z,23,FALSE)+VLOOKUP($A395,A:AL,34,FALSE)-50))</f>
        <v>527</v>
      </c>
      <c r="AH395" s="3">
        <v>542</v>
      </c>
      <c r="AI395" s="3">
        <f>IF(ISERROR((VLOOKUP($A395,'NonXtal_SegEnds_BW#'!$A:$Z,24,FALSE)+VLOOKUP($A395,A:AL,34,FALSE)-50)),"-",(VLOOKUP($A395,'NonXtal_SegEnds_BW#'!$A:$Z,24,FALSE)+VLOOKUP($A395,A:AL,34,FALSE)-50))</f>
        <v>549</v>
      </c>
      <c r="AJ395" s="3">
        <f>IF(ISERROR(VLOOKUP($A395,'NonXtal_SegEnds_BW#'!$A:$Z,25,FALSE)+VLOOKUP($A395,A:AL,37,FALSE)-50),"-",(VLOOKUP($A395,'NonXtal_SegEnds_BW#'!$A:$Z,25,FALSE)+VLOOKUP($A395,A:AL,37,FALSE)-50))</f>
        <v>550</v>
      </c>
      <c r="AK395" s="3">
        <v>553</v>
      </c>
      <c r="AL395" s="3">
        <f>IF(ISERROR((VLOOKUP($A395,'NonXtal_SegEnds_BW#'!$A:$Z,26,FALSE)+VLOOKUP($A395,A:AL,37,FALSE)-50)),"-",(VLOOKUP($A395,'NonXtal_SegEnds_BW#'!$A:$Z,26,FALSE)+VLOOKUP($A395,A:AL,37,FALSE)-50))</f>
        <v>565</v>
      </c>
      <c r="AM395" s="71" t="str">
        <f>VLOOKUP(A395,Classification!A:B,2,FALSE)</f>
        <v>F</v>
      </c>
      <c r="AN395" s="71" t="b">
        <f t="shared" si="199"/>
        <v>1</v>
      </c>
      <c r="AO395" s="3">
        <f t="shared" si="200"/>
        <v>1</v>
      </c>
      <c r="AP395" s="3">
        <f t="shared" si="201"/>
        <v>1</v>
      </c>
      <c r="AQ395" s="3" t="str">
        <f t="shared" si="202"/>
        <v>-</v>
      </c>
      <c r="AR395" s="3" t="str">
        <f t="shared" si="203"/>
        <v>-</v>
      </c>
      <c r="AS395" s="3" t="str">
        <f t="shared" si="204"/>
        <v>-</v>
      </c>
      <c r="AT395" s="3" t="str">
        <f t="shared" si="205"/>
        <v>-</v>
      </c>
      <c r="AU395" s="3">
        <f t="shared" si="206"/>
        <v>12</v>
      </c>
      <c r="AV395" s="3">
        <f t="shared" si="207"/>
        <v>5</v>
      </c>
      <c r="AW395" s="3">
        <f t="shared" si="208"/>
        <v>8</v>
      </c>
      <c r="AX395" s="3">
        <f t="shared" si="209"/>
        <v>15</v>
      </c>
      <c r="AY395" s="3">
        <f t="shared" si="210"/>
        <v>1</v>
      </c>
      <c r="AZ395" s="3">
        <f>IF(ISERROR(LEN(VLOOKUP(A395,Seqs!A:E,2,FALSE))-AL395),"-",LEN(VLOOKUP(A395,Seqs!A:E,2,FALSE))-AL395)</f>
        <v>9</v>
      </c>
      <c r="BA395" s="35">
        <f t="shared" si="211"/>
        <v>26</v>
      </c>
      <c r="BB395" s="3" t="str">
        <f t="shared" si="212"/>
        <v>-</v>
      </c>
      <c r="BC395" s="3">
        <f t="shared" si="213"/>
        <v>26</v>
      </c>
      <c r="BD395" s="3">
        <f t="shared" si="214"/>
        <v>55</v>
      </c>
      <c r="BE395" s="3">
        <f>AH395-AE395</f>
        <v>55</v>
      </c>
    </row>
    <row r="396" spans="1:57" s="3" customFormat="1" x14ac:dyDescent="0.2">
      <c r="A396" s="3" t="s">
        <v>643</v>
      </c>
      <c r="B396" s="3" t="str">
        <f>LOWER(VLOOKUP(A396,Xtal_Templ!A:B,2,FALSE))</f>
        <v>smo_human</v>
      </c>
      <c r="C396" s="3">
        <f>VLOOKUP($A396,'NonXtal_SegEnds_BW#'!$A:$Z,3,FALSE)+D396-50</f>
        <v>238</v>
      </c>
      <c r="D396" s="3">
        <v>259</v>
      </c>
      <c r="E396" s="3">
        <f>IF(ISERROR(VLOOKUP($A396,'NonXtal_SegEnds_BW#'!$A:$Z,4,FALSE)+VLOOKUP($A396,A:AL,4,FALSE)-50),"-",(VLOOKUP($A396,'NonXtal_SegEnds_BW#'!$A:$Z,4,FALSE)+VLOOKUP($A396,A:AL,4,FALSE)-50))</f>
        <v>269</v>
      </c>
      <c r="F396" s="3">
        <f t="shared" si="216"/>
        <v>270</v>
      </c>
      <c r="G396" s="3">
        <v>273</v>
      </c>
      <c r="H396" s="3">
        <f t="shared" si="215"/>
        <v>274</v>
      </c>
      <c r="I396" s="3">
        <f t="shared" si="215"/>
        <v>275</v>
      </c>
      <c r="J396" s="3">
        <v>285</v>
      </c>
      <c r="K396" s="3">
        <f>VLOOKUP($A396,'NonXtal_SegEnds_BW#'!$A:$Z,8,FALSE)+VLOOKUP($A396,A:AL,10,FALSE)-50</f>
        <v>298</v>
      </c>
      <c r="L396" s="3" t="str">
        <f>IF(ISERROR(VLOOKUP($A396,'NonXtal_SegEnds_BW#'!$A:$Z,9,FALSE)+VLOOKUP($A396,A:AL,13,FALSE)-50),"-",(VLOOKUP($A396,'NonXtal_SegEnds_BW#'!$A:$Z,9,FALSE)+VLOOKUP($A396,A:AL,13,FALSE)-50))</f>
        <v>-</v>
      </c>
      <c r="M396" s="3" t="s">
        <v>129</v>
      </c>
      <c r="N396" s="3" t="str">
        <f>IF(ISERROR(VLOOKUP($A396,'NonXtal_SegEnds_BW#'!$A:$Z,10,FALSE)+VLOOKUP($A396,A:AL,13,FALSE)-50),"-",(VLOOKUP($A396,'NonXtal_SegEnds_BW#'!$A:$Z,10,FALSE)+VLOOKUP($A396,A:AL,13,FALSE)-50))</f>
        <v>-</v>
      </c>
      <c r="O396" s="3">
        <f>VLOOKUP($A396,'NonXtal_SegEnds_BW#'!$A:$Z,11,FALSE)+VLOOKUP($A396,A:AL,16,FALSE)-50</f>
        <v>325</v>
      </c>
      <c r="P396" s="3">
        <v>352</v>
      </c>
      <c r="Q396" s="3">
        <f>VLOOKUP($A396,'NonXtal_SegEnds_BW#'!$A:$Z,12,FALSE)+VLOOKUP($A396,A:AL,16,FALSE)-50</f>
        <v>361</v>
      </c>
      <c r="R396" s="3" t="str">
        <f>IF(ISERROR(VLOOKUP($A396,'NonXtal_SegEnds_BW#'!$A:$Z,13,FALSE)+VLOOKUP($A396,A:AL,19,FALSE)-50),"-",VLOOKUP($A396,'NonXtal_SegEnds_BW#'!$A:$Z,13,FALSE)+VLOOKUP($A396,A:AL,19,FALSE)-50)</f>
        <v>-</v>
      </c>
      <c r="S396" s="3" t="s">
        <v>129</v>
      </c>
      <c r="T396" s="3" t="str">
        <f>IF(ISERROR(VLOOKUP($A396,'NonXtal_SegEnds_BW#'!$A:$Z,14,FALSE)+VLOOKUP($A396,A:AL,19,FALSE)-50),"-",(VLOOKUP($A396,'NonXtal_SegEnds_BW#'!$A:$Z,14,FALSE)+VLOOKUP($A396,A:AL,19,FALSE)-50))</f>
        <v>-</v>
      </c>
      <c r="U396" s="3">
        <f>IF(ISERROR(VLOOKUP($A396,'NonXtal_SegEnds_BW#'!$A:$Z,15,FALSE)+VLOOKUP($A396,A:AL,22,FALSE)-50),"-",VLOOKUP($A396,'NonXtal_SegEnds_BW#'!$A:$Z,15,FALSE)+VLOOKUP($A396,A:AL,22,FALSE)-50)</f>
        <v>365</v>
      </c>
      <c r="V396" s="3">
        <v>377</v>
      </c>
      <c r="W396" s="3">
        <f>IF(ISERROR(VLOOKUP($A396,'NonXtal_SegEnds_BW#'!$A:$Z,16,FALSE)+VLOOKUP($A396,A:AL,22,FALSE)-50),"-",(VLOOKUP($A396,'NonXtal_SegEnds_BW#'!$A:$Z,16,FALSE)+VLOOKUP($A396,A:AL,22,FALSE)-50))</f>
        <v>390</v>
      </c>
      <c r="X396" s="3">
        <f>IF(ISERROR(VLOOKUP($A396,'NonXtal_SegEnds_BW#'!$A:$Z,17,FALSE)+VLOOKUP($A396,A:AL,25,FALSE)-50),"-",(VLOOKUP($A396,'NonXtal_SegEnds_BW#'!$A:$Z,17,FALSE)+VLOOKUP($A396,A:AL,25,FALSE)-50))</f>
        <v>402</v>
      </c>
      <c r="Y396" s="3">
        <v>402</v>
      </c>
      <c r="Z396" s="3">
        <f t="shared" si="217"/>
        <v>404</v>
      </c>
      <c r="AA396" s="3">
        <f>IF(ISERROR(VLOOKUP($A396,'NonXtal_SegEnds_BW#'!$A:$Z,19,FALSE)+VLOOKUP($A396,A:AL,28,FALSE)-50),"-",(VLOOKUP($A396,'NonXtal_SegEnds_BW#'!$A:$Z,19,FALSE)+VLOOKUP($A396,A:AL,28,FALSE)-50))</f>
        <v>409</v>
      </c>
      <c r="AB396" s="3">
        <v>423</v>
      </c>
      <c r="AC396" s="3">
        <f>IF(ISERROR((VLOOKUP($A396,'NonXtal_SegEnds_BW#'!$A:$Z,20,FALSE)+VLOOKUP($A396,A:AL,28,FALSE)-50)),"-",(VLOOKUP($A396,'NonXtal_SegEnds_BW#'!$A:$Z,20,FALSE)+VLOOKUP($A396,A:AL,28,FALSE)-50))</f>
        <v>445</v>
      </c>
      <c r="AD396" s="3">
        <f>IF(ISERROR(VLOOKUP($A396,'NonXtal_SegEnds_BW#'!$A:$Z,21,FALSE)+VLOOKUP($A396,A:AL,31,FALSE)-50),"-",(VLOOKUP($A396,'NonXtal_SegEnds_BW#'!$A:$Z,21,FALSE)+VLOOKUP($A396,A:AL,31,FALSE)-50))</f>
        <v>453</v>
      </c>
      <c r="AE396" s="3">
        <v>478</v>
      </c>
      <c r="AF396" s="3">
        <f>IF(ISERROR((VLOOKUP($A396,'NonXtal_SegEnds_BW#'!$A:$Z,22,FALSE)+VLOOKUP($A396,A:AL,31,FALSE)-50)),"-",(VLOOKUP($A396,'NonXtal_SegEnds_BW#'!$A:$Z,22,FALSE)+VLOOKUP($A396,A:AL,31,FALSE)-50))</f>
        <v>503</v>
      </c>
      <c r="AG396" s="3">
        <f>IF(ISERROR(VLOOKUP($A396,'NonXtal_SegEnds_BW#'!$A:$Z,23,FALSE)+VLOOKUP($A396,A:AL,34,FALSE)-50),"-",(VLOOKUP($A396,'NonXtal_SegEnds_BW#'!$A:$Z,23,FALSE)+VLOOKUP($A396,A:AL,34,FALSE)-50))</f>
        <v>518</v>
      </c>
      <c r="AH396" s="3">
        <v>533</v>
      </c>
      <c r="AI396" s="3">
        <f>IF(ISERROR((VLOOKUP($A396,'NonXtal_SegEnds_BW#'!$A:$Z,24,FALSE)+VLOOKUP($A396,A:AL,34,FALSE)-50)),"-",(VLOOKUP($A396,'NonXtal_SegEnds_BW#'!$A:$Z,24,FALSE)+VLOOKUP($A396,A:AL,34,FALSE)-50))</f>
        <v>540</v>
      </c>
      <c r="AJ396" s="3">
        <f>IF(ISERROR(VLOOKUP($A396,'NonXtal_SegEnds_BW#'!$A:$Z,25,FALSE)+VLOOKUP($A396,A:AL,37,FALSE)-50),"-",(VLOOKUP($A396,'NonXtal_SegEnds_BW#'!$A:$Z,25,FALSE)+VLOOKUP($A396,A:AL,37,FALSE)-50))</f>
        <v>541</v>
      </c>
      <c r="AK396" s="3">
        <v>544</v>
      </c>
      <c r="AL396" s="3">
        <f>IF(ISERROR((VLOOKUP($A396,'NonXtal_SegEnds_BW#'!$A:$Z,26,FALSE)+VLOOKUP($A396,A:AL,37,FALSE)-50)),"-",(VLOOKUP($A396,'NonXtal_SegEnds_BW#'!$A:$Z,26,FALSE)+VLOOKUP($A396,A:AL,37,FALSE)-50))</f>
        <v>556</v>
      </c>
      <c r="AM396" s="71" t="str">
        <f>VLOOKUP(A396,Classification!A:B,2,FALSE)</f>
        <v>F</v>
      </c>
      <c r="AN396" s="71" t="b">
        <f t="shared" si="199"/>
        <v>1</v>
      </c>
      <c r="AO396" s="3">
        <f t="shared" si="200"/>
        <v>1</v>
      </c>
      <c r="AP396" s="3">
        <f t="shared" si="201"/>
        <v>1</v>
      </c>
      <c r="AQ396" s="3" t="str">
        <f t="shared" si="202"/>
        <v>-</v>
      </c>
      <c r="AR396" s="3" t="str">
        <f t="shared" si="203"/>
        <v>-</v>
      </c>
      <c r="AS396" s="3" t="str">
        <f t="shared" si="204"/>
        <v>-</v>
      </c>
      <c r="AT396" s="3" t="str">
        <f t="shared" si="205"/>
        <v>-</v>
      </c>
      <c r="AU396" s="3">
        <f t="shared" si="206"/>
        <v>12</v>
      </c>
      <c r="AV396" s="3">
        <f t="shared" si="207"/>
        <v>5</v>
      </c>
      <c r="AW396" s="3">
        <f t="shared" si="208"/>
        <v>8</v>
      </c>
      <c r="AX396" s="3">
        <f t="shared" si="209"/>
        <v>15</v>
      </c>
      <c r="AY396" s="3">
        <f t="shared" si="210"/>
        <v>1</v>
      </c>
      <c r="AZ396" s="3">
        <f>IF(ISERROR(LEN(VLOOKUP(A396,Seqs!A:E,2,FALSE))-AL396),"-",LEN(VLOOKUP(A396,Seqs!A:E,2,FALSE))-AL396)</f>
        <v>9</v>
      </c>
      <c r="BA396" s="35">
        <f t="shared" si="211"/>
        <v>26</v>
      </c>
      <c r="BB396" s="3" t="str">
        <f t="shared" si="212"/>
        <v>-</v>
      </c>
      <c r="BC396" s="3">
        <f t="shared" si="213"/>
        <v>26</v>
      </c>
      <c r="BD396" s="3">
        <f t="shared" si="214"/>
        <v>55</v>
      </c>
      <c r="BE396" s="3">
        <f>AH396-AE396</f>
        <v>55</v>
      </c>
    </row>
    <row r="397" spans="1:57" s="3" customFormat="1" x14ac:dyDescent="0.2">
      <c r="A397" s="3" t="s">
        <v>646</v>
      </c>
      <c r="B397" s="3" t="str">
        <f>LOWER(VLOOKUP(A397,Xtal_Templ!A:B,2,FALSE))</f>
        <v>smo_human</v>
      </c>
      <c r="C397" s="3">
        <f>VLOOKUP($A397,'NonXtal_SegEnds_BW#'!$A:$Z,3,FALSE)+D397-50</f>
        <v>229</v>
      </c>
      <c r="D397" s="3">
        <v>250</v>
      </c>
      <c r="E397" s="3">
        <f>IF(ISERROR(VLOOKUP($A397,'NonXtal_SegEnds_BW#'!$A:$Z,4,FALSE)+VLOOKUP($A397,A:AL,4,FALSE)-50),"-",(VLOOKUP($A397,'NonXtal_SegEnds_BW#'!$A:$Z,4,FALSE)+VLOOKUP($A397,A:AL,4,FALSE)-50))</f>
        <v>260</v>
      </c>
      <c r="F397" s="3">
        <f t="shared" si="216"/>
        <v>261</v>
      </c>
      <c r="G397" s="3">
        <v>264</v>
      </c>
      <c r="H397" s="3">
        <f t="shared" si="215"/>
        <v>265</v>
      </c>
      <c r="I397" s="3">
        <f t="shared" si="215"/>
        <v>266</v>
      </c>
      <c r="J397" s="3">
        <v>276</v>
      </c>
      <c r="K397" s="3">
        <f>VLOOKUP($A397,'NonXtal_SegEnds_BW#'!$A:$Z,8,FALSE)+VLOOKUP($A397,A:AL,10,FALSE)-50</f>
        <v>289</v>
      </c>
      <c r="L397" s="3" t="str">
        <f>IF(ISERROR(VLOOKUP($A397,'NonXtal_SegEnds_BW#'!$A:$Z,9,FALSE)+VLOOKUP($A397,A:AL,13,FALSE)-50),"-",(VLOOKUP($A397,'NonXtal_SegEnds_BW#'!$A:$Z,9,FALSE)+VLOOKUP($A397,A:AL,13,FALSE)-50))</f>
        <v>-</v>
      </c>
      <c r="M397" s="3" t="s">
        <v>129</v>
      </c>
      <c r="N397" s="3" t="str">
        <f>IF(ISERROR(VLOOKUP($A397,'NonXtal_SegEnds_BW#'!$A:$Z,10,FALSE)+VLOOKUP($A397,A:AL,13,FALSE)-50),"-",(VLOOKUP($A397,'NonXtal_SegEnds_BW#'!$A:$Z,10,FALSE)+VLOOKUP($A397,A:AL,13,FALSE)-50))</f>
        <v>-</v>
      </c>
      <c r="O397" s="3">
        <f>VLOOKUP($A397,'NonXtal_SegEnds_BW#'!$A:$Z,11,FALSE)+VLOOKUP($A397,A:AL,16,FALSE)-50</f>
        <v>313</v>
      </c>
      <c r="P397" s="3">
        <v>340</v>
      </c>
      <c r="Q397" s="3">
        <f>VLOOKUP($A397,'NonXtal_SegEnds_BW#'!$A:$Z,12,FALSE)+VLOOKUP($A397,A:AL,16,FALSE)-50</f>
        <v>349</v>
      </c>
      <c r="R397" s="3" t="str">
        <f>IF(ISERROR(VLOOKUP($A397,'NonXtal_SegEnds_BW#'!$A:$Z,13,FALSE)+VLOOKUP($A397,A:AL,19,FALSE)-50),"-",VLOOKUP($A397,'NonXtal_SegEnds_BW#'!$A:$Z,13,FALSE)+VLOOKUP($A397,A:AL,19,FALSE)-50)</f>
        <v>-</v>
      </c>
      <c r="S397" s="3" t="s">
        <v>129</v>
      </c>
      <c r="T397" s="3" t="str">
        <f>IF(ISERROR(VLOOKUP($A397,'NonXtal_SegEnds_BW#'!$A:$Z,14,FALSE)+VLOOKUP($A397,A:AL,19,FALSE)-50),"-",(VLOOKUP($A397,'NonXtal_SegEnds_BW#'!$A:$Z,14,FALSE)+VLOOKUP($A397,A:AL,19,FALSE)-50))</f>
        <v>-</v>
      </c>
      <c r="U397" s="3">
        <f>IF(ISERROR(VLOOKUP($A397,'NonXtal_SegEnds_BW#'!$A:$Z,15,FALSE)+VLOOKUP($A397,A:AL,22,FALSE)-50),"-",VLOOKUP($A397,'NonXtal_SegEnds_BW#'!$A:$Z,15,FALSE)+VLOOKUP($A397,A:AL,22,FALSE)-50)</f>
        <v>353</v>
      </c>
      <c r="V397" s="3">
        <v>365</v>
      </c>
      <c r="W397" s="3">
        <f>IF(ISERROR(VLOOKUP($A397,'NonXtal_SegEnds_BW#'!$A:$Z,16,FALSE)+VLOOKUP($A397,A:AL,22,FALSE)-50),"-",(VLOOKUP($A397,'NonXtal_SegEnds_BW#'!$A:$Z,16,FALSE)+VLOOKUP($A397,A:AL,22,FALSE)-50))</f>
        <v>378</v>
      </c>
      <c r="X397" s="3">
        <f>IF(ISERROR(VLOOKUP($A397,'NonXtal_SegEnds_BW#'!$A:$Z,17,FALSE)+VLOOKUP($A397,A:AL,25,FALSE)-50),"-",(VLOOKUP($A397,'NonXtal_SegEnds_BW#'!$A:$Z,17,FALSE)+VLOOKUP($A397,A:AL,25,FALSE)-50))</f>
        <v>390</v>
      </c>
      <c r="Y397" s="3">
        <v>390</v>
      </c>
      <c r="Z397" s="3">
        <f t="shared" si="217"/>
        <v>392</v>
      </c>
      <c r="AA397" s="3">
        <f>IF(ISERROR(VLOOKUP($A397,'NonXtal_SegEnds_BW#'!$A:$Z,19,FALSE)+VLOOKUP($A397,A:AL,28,FALSE)-50),"-",(VLOOKUP($A397,'NonXtal_SegEnds_BW#'!$A:$Z,19,FALSE)+VLOOKUP($A397,A:AL,28,FALSE)-50))</f>
        <v>397</v>
      </c>
      <c r="AB397" s="3">
        <v>411</v>
      </c>
      <c r="AC397" s="3">
        <f>IF(ISERROR((VLOOKUP($A397,'NonXtal_SegEnds_BW#'!$A:$Z,20,FALSE)+VLOOKUP($A397,A:AL,28,FALSE)-50)),"-",(VLOOKUP($A397,'NonXtal_SegEnds_BW#'!$A:$Z,20,FALSE)+VLOOKUP($A397,A:AL,28,FALSE)-50))</f>
        <v>433</v>
      </c>
      <c r="AD397" s="3">
        <f>IF(ISERROR(VLOOKUP($A397,'NonXtal_SegEnds_BW#'!$A:$Z,21,FALSE)+VLOOKUP($A397,A:AL,31,FALSE)-50),"-",(VLOOKUP($A397,'NonXtal_SegEnds_BW#'!$A:$Z,21,FALSE)+VLOOKUP($A397,A:AL,31,FALSE)-50))</f>
        <v>441</v>
      </c>
      <c r="AE397" s="3">
        <v>466</v>
      </c>
      <c r="AF397" s="3">
        <f>IF(ISERROR((VLOOKUP($A397,'NonXtal_SegEnds_BW#'!$A:$Z,22,FALSE)+VLOOKUP($A397,A:AL,31,FALSE)-50)),"-",(VLOOKUP($A397,'NonXtal_SegEnds_BW#'!$A:$Z,22,FALSE)+VLOOKUP($A397,A:AL,31,FALSE)-50))</f>
        <v>491</v>
      </c>
      <c r="AG397" s="3">
        <f>IF(ISERROR(VLOOKUP($A397,'NonXtal_SegEnds_BW#'!$A:$Z,23,FALSE)+VLOOKUP($A397,A:AL,34,FALSE)-50),"-",(VLOOKUP($A397,'NonXtal_SegEnds_BW#'!$A:$Z,23,FALSE)+VLOOKUP($A397,A:AL,34,FALSE)-50))</f>
        <v>500</v>
      </c>
      <c r="AH397" s="3">
        <v>515</v>
      </c>
      <c r="AI397" s="3">
        <f>IF(ISERROR((VLOOKUP($A397,'NonXtal_SegEnds_BW#'!$A:$Z,24,FALSE)+VLOOKUP($A397,A:AL,34,FALSE)-50)),"-",(VLOOKUP($A397,'NonXtal_SegEnds_BW#'!$A:$Z,24,FALSE)+VLOOKUP($A397,A:AL,34,FALSE)-50))</f>
        <v>522</v>
      </c>
      <c r="AJ397" s="3">
        <f>IF(ISERROR(VLOOKUP($A397,'NonXtal_SegEnds_BW#'!$A:$Z,25,FALSE)+VLOOKUP($A397,A:AL,37,FALSE)-50),"-",(VLOOKUP($A397,'NonXtal_SegEnds_BW#'!$A:$Z,25,FALSE)+VLOOKUP($A397,A:AL,37,FALSE)-50))</f>
        <v>523</v>
      </c>
      <c r="AK397" s="3">
        <v>526</v>
      </c>
      <c r="AL397" s="3">
        <f>IF(ISERROR((VLOOKUP($A397,'NonXtal_SegEnds_BW#'!$A:$Z,26,FALSE)+VLOOKUP($A397,A:AL,37,FALSE)-50)),"-",(VLOOKUP($A397,'NonXtal_SegEnds_BW#'!$A:$Z,26,FALSE)+VLOOKUP($A397,A:AL,37,FALSE)-50))</f>
        <v>538</v>
      </c>
      <c r="AM397" s="71" t="str">
        <f>VLOOKUP(A397,Classification!A:B,2,FALSE)</f>
        <v>F</v>
      </c>
      <c r="AN397" s="71" t="b">
        <f t="shared" si="199"/>
        <v>1</v>
      </c>
      <c r="AO397" s="3">
        <f t="shared" si="200"/>
        <v>1</v>
      </c>
      <c r="AP397" s="3">
        <f t="shared" si="201"/>
        <v>1</v>
      </c>
      <c r="AQ397" s="3" t="str">
        <f t="shared" si="202"/>
        <v>-</v>
      </c>
      <c r="AR397" s="3" t="str">
        <f t="shared" si="203"/>
        <v>-</v>
      </c>
      <c r="AS397" s="3" t="str">
        <f t="shared" si="204"/>
        <v>-</v>
      </c>
      <c r="AT397" s="3" t="str">
        <f t="shared" si="205"/>
        <v>-</v>
      </c>
      <c r="AU397" s="3">
        <f t="shared" si="206"/>
        <v>12</v>
      </c>
      <c r="AV397" s="3">
        <f t="shared" si="207"/>
        <v>5</v>
      </c>
      <c r="AW397" s="3">
        <f t="shared" si="208"/>
        <v>8</v>
      </c>
      <c r="AX397" s="3">
        <f t="shared" si="209"/>
        <v>9</v>
      </c>
      <c r="AY397" s="3">
        <f t="shared" si="210"/>
        <v>1</v>
      </c>
      <c r="AZ397" s="3">
        <f>IF(ISERROR(LEN(VLOOKUP(A397,Seqs!A:E,2,FALSE))-AL397),"-",LEN(VLOOKUP(A397,Seqs!A:E,2,FALSE))-AL397)</f>
        <v>47</v>
      </c>
      <c r="BA397" s="35">
        <f t="shared" si="211"/>
        <v>26</v>
      </c>
      <c r="BB397" s="3" t="str">
        <f t="shared" si="212"/>
        <v>-</v>
      </c>
      <c r="BC397" s="3">
        <f t="shared" si="213"/>
        <v>26</v>
      </c>
      <c r="BD397" s="3">
        <f t="shared" si="214"/>
        <v>55</v>
      </c>
    </row>
    <row r="398" spans="1:57" s="3" customFormat="1" x14ac:dyDescent="0.2">
      <c r="A398" s="3" t="s">
        <v>207</v>
      </c>
      <c r="B398" s="3" t="str">
        <f>LOWER(VLOOKUP(A398,Xtal_Templ!A:B,2,FALSE))</f>
        <v>smo_human</v>
      </c>
      <c r="C398" s="3">
        <f>VLOOKUP($A398,'NonXtal_SegEnds_BW#'!$A:$Z,3,FALSE)+D398-50</f>
        <v>224</v>
      </c>
      <c r="D398" s="3">
        <v>245</v>
      </c>
      <c r="E398" s="3">
        <f>IF(ISERROR(VLOOKUP($A398,'NonXtal_SegEnds_BW#'!$A:$Z,4,FALSE)+VLOOKUP($A398,A:AL,4,FALSE)-50),"-",(VLOOKUP($A398,'NonXtal_SegEnds_BW#'!$A:$Z,4,FALSE)+VLOOKUP($A398,A:AL,4,FALSE)-50))</f>
        <v>255</v>
      </c>
      <c r="F398" s="3">
        <f t="shared" si="216"/>
        <v>256</v>
      </c>
      <c r="G398" s="3">
        <v>259</v>
      </c>
      <c r="H398" s="3">
        <f t="shared" si="215"/>
        <v>260</v>
      </c>
      <c r="I398" s="3">
        <f t="shared" si="215"/>
        <v>261</v>
      </c>
      <c r="J398" s="3">
        <v>272</v>
      </c>
      <c r="K398" s="3">
        <f>VLOOKUP($A398,'NonXtal_SegEnds_BW#'!$A:$Z,8,FALSE)+VLOOKUP($A398,A:AL,10,FALSE)-50</f>
        <v>285</v>
      </c>
      <c r="L398" s="3" t="str">
        <f>IF(ISERROR(VLOOKUP($A398,'NonXtal_SegEnds_BW#'!$A:$Z,9,FALSE)+VLOOKUP($A398,A:AL,13,FALSE)-50),"-",(VLOOKUP($A398,'NonXtal_SegEnds_BW#'!$A:$Z,9,FALSE)+VLOOKUP($A398,A:AL,13,FALSE)-50))</f>
        <v>-</v>
      </c>
      <c r="M398" s="3" t="s">
        <v>129</v>
      </c>
      <c r="N398" s="3" t="str">
        <f>IF(ISERROR(VLOOKUP($A398,'NonXtal_SegEnds_BW#'!$A:$Z,10,FALSE)+VLOOKUP($A398,A:AL,13,FALSE)-50),"-",(VLOOKUP($A398,'NonXtal_SegEnds_BW#'!$A:$Z,10,FALSE)+VLOOKUP($A398,A:AL,13,FALSE)-50))</f>
        <v>-</v>
      </c>
      <c r="O398" s="3">
        <f>VLOOKUP($A398,'NonXtal_SegEnds_BW#'!$A:$Z,11,FALSE)+VLOOKUP($A398,A:AL,16,FALSE)-50</f>
        <v>312</v>
      </c>
      <c r="P398" s="3">
        <v>339</v>
      </c>
      <c r="Q398" s="3">
        <f>VLOOKUP($A398,'NonXtal_SegEnds_BW#'!$A:$Z,12,FALSE)+VLOOKUP($A398,A:AL,16,FALSE)-50</f>
        <v>348</v>
      </c>
      <c r="R398" s="3" t="str">
        <f>IF(ISERROR(VLOOKUP($A398,'NonXtal_SegEnds_BW#'!$A:$Z,13,FALSE)+VLOOKUP($A398,A:AL,19,FALSE)-50),"-",VLOOKUP($A398,'NonXtal_SegEnds_BW#'!$A:$Z,13,FALSE)+VLOOKUP($A398,A:AL,19,FALSE)-50)</f>
        <v>-</v>
      </c>
      <c r="S398" s="3" t="s">
        <v>129</v>
      </c>
      <c r="T398" s="3" t="str">
        <f>IF(ISERROR(VLOOKUP($A398,'NonXtal_SegEnds_BW#'!$A:$Z,14,FALSE)+VLOOKUP($A398,A:AL,19,FALSE)-50),"-",(VLOOKUP($A398,'NonXtal_SegEnds_BW#'!$A:$Z,14,FALSE)+VLOOKUP($A398,A:AL,19,FALSE)-50))</f>
        <v>-</v>
      </c>
      <c r="U398" s="3">
        <f>IF(ISERROR(VLOOKUP($A398,'NonXtal_SegEnds_BW#'!$A:$Z,15,FALSE)+VLOOKUP($A398,A:AL,22,FALSE)-50),"-",VLOOKUP($A398,'NonXtal_SegEnds_BW#'!$A:$Z,15,FALSE)+VLOOKUP($A398,A:AL,22,FALSE)-50)</f>
        <v>353</v>
      </c>
      <c r="V398" s="3">
        <v>365</v>
      </c>
      <c r="W398" s="3">
        <f>IF(ISERROR(VLOOKUP($A398,'NonXtal_SegEnds_BW#'!$A:$Z,16,FALSE)+VLOOKUP($A398,A:AL,22,FALSE)-50),"-",(VLOOKUP($A398,'NonXtal_SegEnds_BW#'!$A:$Z,16,FALSE)+VLOOKUP($A398,A:AL,22,FALSE)-50))</f>
        <v>378</v>
      </c>
      <c r="X398" s="3">
        <f>IF(ISERROR(VLOOKUP($A398,'NonXtal_SegEnds_BW#'!$A:$Z,17,FALSE)+VLOOKUP($A398,A:AL,25,FALSE)-50),"-",(VLOOKUP($A398,'NonXtal_SegEnds_BW#'!$A:$Z,17,FALSE)+VLOOKUP($A398,A:AL,25,FALSE)-50))</f>
        <v>390</v>
      </c>
      <c r="Y398" s="3">
        <v>390</v>
      </c>
      <c r="Z398" s="3">
        <f t="shared" si="217"/>
        <v>392</v>
      </c>
      <c r="AA398" s="3">
        <f>IF(ISERROR(VLOOKUP($A398,'NonXtal_SegEnds_BW#'!$A:$Z,19,FALSE)+VLOOKUP($A398,A:AL,28,FALSE)-50),"-",(VLOOKUP($A398,'NonXtal_SegEnds_BW#'!$A:$Z,19,FALSE)+VLOOKUP($A398,A:AL,28,FALSE)-50))</f>
        <v>397</v>
      </c>
      <c r="AB398" s="3">
        <v>411</v>
      </c>
      <c r="AC398" s="3">
        <f>IF(ISERROR((VLOOKUP($A398,'NonXtal_SegEnds_BW#'!$A:$Z,20,FALSE)+VLOOKUP($A398,A:AL,28,FALSE)-50)),"-",(VLOOKUP($A398,'NonXtal_SegEnds_BW#'!$A:$Z,20,FALSE)+VLOOKUP($A398,A:AL,28,FALSE)-50))</f>
        <v>433</v>
      </c>
      <c r="AD398" s="3">
        <f>IF(ISERROR(VLOOKUP($A398,'NonXtal_SegEnds_BW#'!$A:$Z,21,FALSE)+VLOOKUP($A398,A:AL,31,FALSE)-50),"-",(VLOOKUP($A398,'NonXtal_SegEnds_BW#'!$A:$Z,21,FALSE)+VLOOKUP($A398,A:AL,31,FALSE)-50))</f>
        <v>443</v>
      </c>
      <c r="AE398" s="3">
        <v>468</v>
      </c>
      <c r="AF398" s="3">
        <f>IF(ISERROR((VLOOKUP($A398,'NonXtal_SegEnds_BW#'!$A:$Z,22,FALSE)+VLOOKUP($A398,A:AL,31,FALSE)-50)),"-",(VLOOKUP($A398,'NonXtal_SegEnds_BW#'!$A:$Z,22,FALSE)+VLOOKUP($A398,A:AL,31,FALSE)-50))</f>
        <v>493</v>
      </c>
      <c r="AG398" s="3">
        <f>IF(ISERROR(VLOOKUP($A398,'NonXtal_SegEnds_BW#'!$A:$Z,23,FALSE)+VLOOKUP($A398,A:AL,34,FALSE)-50),"-",(VLOOKUP($A398,'NonXtal_SegEnds_BW#'!$A:$Z,23,FALSE)+VLOOKUP($A398,A:AL,34,FALSE)-50))</f>
        <v>515</v>
      </c>
      <c r="AH398" s="3">
        <v>530</v>
      </c>
      <c r="AI398" s="3">
        <f>IF(ISERROR((VLOOKUP($A398,'NonXtal_SegEnds_BW#'!$A:$Z,24,FALSE)+VLOOKUP($A398,A:AL,34,FALSE)-50)),"-",(VLOOKUP($A398,'NonXtal_SegEnds_BW#'!$A:$Z,24,FALSE)+VLOOKUP($A398,A:AL,34,FALSE)-50))</f>
        <v>537</v>
      </c>
      <c r="AJ398" s="3">
        <f>IF(ISERROR(VLOOKUP($A398,'NonXtal_SegEnds_BW#'!$A:$Z,25,FALSE)+VLOOKUP($A398,A:AL,37,FALSE)-50),"-",(VLOOKUP($A398,'NonXtal_SegEnds_BW#'!$A:$Z,25,FALSE)+VLOOKUP($A398,A:AL,37,FALSE)-50))</f>
        <v>538</v>
      </c>
      <c r="AK398" s="3">
        <v>541</v>
      </c>
      <c r="AL398" s="3">
        <f>IF(ISERROR((VLOOKUP($A398,'NonXtal_SegEnds_BW#'!$A:$Z,26,FALSE)+VLOOKUP($A398,A:AL,37,FALSE)-50)),"-",(VLOOKUP($A398,'NonXtal_SegEnds_BW#'!$A:$Z,26,FALSE)+VLOOKUP($A398,A:AL,37,FALSE)-50))</f>
        <v>553</v>
      </c>
      <c r="AM398" s="71" t="str">
        <f>VLOOKUP(A398,Classification!A:B,2,FALSE)</f>
        <v>F</v>
      </c>
      <c r="AN398" s="71" t="b">
        <f t="shared" si="199"/>
        <v>1</v>
      </c>
      <c r="AO398" s="3">
        <f t="shared" si="200"/>
        <v>1</v>
      </c>
      <c r="AP398" s="3">
        <f t="shared" si="201"/>
        <v>1</v>
      </c>
      <c r="AQ398" s="3" t="str">
        <f t="shared" si="202"/>
        <v>-</v>
      </c>
      <c r="AR398" s="3" t="str">
        <f t="shared" si="203"/>
        <v>-</v>
      </c>
      <c r="AS398" s="3" t="str">
        <f t="shared" si="204"/>
        <v>-</v>
      </c>
      <c r="AT398" s="3" t="str">
        <f t="shared" si="205"/>
        <v>-</v>
      </c>
      <c r="AU398" s="3">
        <f t="shared" si="206"/>
        <v>12</v>
      </c>
      <c r="AV398" s="3">
        <f t="shared" si="207"/>
        <v>5</v>
      </c>
      <c r="AW398" s="3">
        <f t="shared" si="208"/>
        <v>10</v>
      </c>
      <c r="AX398" s="3">
        <f t="shared" si="209"/>
        <v>22</v>
      </c>
      <c r="AY398" s="3">
        <f t="shared" si="210"/>
        <v>1</v>
      </c>
      <c r="AZ398" s="3">
        <f>IF(ISERROR(LEN(VLOOKUP(A398,Seqs!A:E,2,FALSE))-AL398),"-",LEN(VLOOKUP(A398,Seqs!A:E,2,FALSE))-AL398)</f>
        <v>234</v>
      </c>
      <c r="BA398" s="35">
        <f t="shared" si="211"/>
        <v>27</v>
      </c>
      <c r="BB398" s="3" t="str">
        <f t="shared" si="212"/>
        <v>-</v>
      </c>
      <c r="BC398" s="3">
        <f t="shared" si="213"/>
        <v>27</v>
      </c>
      <c r="BD398" s="3">
        <f t="shared" si="214"/>
        <v>57</v>
      </c>
    </row>
    <row r="399" spans="1:57" s="3" customFormat="1" x14ac:dyDescent="0.2">
      <c r="A399" s="3" t="s">
        <v>650</v>
      </c>
      <c r="B399" s="3" t="str">
        <f>LOWER(VLOOKUP(A399,Xtal_Templ!A:B,2,FALSE))</f>
        <v>smo_human</v>
      </c>
      <c r="C399" s="3">
        <f>VLOOKUP($A399,'NonXtal_SegEnds_BW#'!$A:$Z,3,FALSE)+D399-50</f>
        <v>225</v>
      </c>
      <c r="D399" s="3">
        <v>246</v>
      </c>
      <c r="E399" s="3">
        <f>IF(ISERROR(VLOOKUP($A399,'NonXtal_SegEnds_BW#'!$A:$Z,4,FALSE)+VLOOKUP($A399,A:AL,4,FALSE)-50),"-",(VLOOKUP($A399,'NonXtal_SegEnds_BW#'!$A:$Z,4,FALSE)+VLOOKUP($A399,A:AL,4,FALSE)-50))</f>
        <v>256</v>
      </c>
      <c r="F399" s="3">
        <f t="shared" si="216"/>
        <v>257</v>
      </c>
      <c r="G399" s="3">
        <v>260</v>
      </c>
      <c r="H399" s="3">
        <f t="shared" si="215"/>
        <v>261</v>
      </c>
      <c r="I399" s="3">
        <f t="shared" si="215"/>
        <v>262</v>
      </c>
      <c r="J399" s="3">
        <v>272</v>
      </c>
      <c r="K399" s="3">
        <f>VLOOKUP($A399,'NonXtal_SegEnds_BW#'!$A:$Z,8,FALSE)+VLOOKUP($A399,A:AL,10,FALSE)-50</f>
        <v>285</v>
      </c>
      <c r="L399" s="3" t="str">
        <f>IF(ISERROR(VLOOKUP($A399,'NonXtal_SegEnds_BW#'!$A:$Z,9,FALSE)+VLOOKUP($A399,A:AL,13,FALSE)-50),"-",(VLOOKUP($A399,'NonXtal_SegEnds_BW#'!$A:$Z,9,FALSE)+VLOOKUP($A399,A:AL,13,FALSE)-50))</f>
        <v>-</v>
      </c>
      <c r="M399" s="3" t="s">
        <v>129</v>
      </c>
      <c r="N399" s="3" t="str">
        <f>IF(ISERROR(VLOOKUP($A399,'NonXtal_SegEnds_BW#'!$A:$Z,10,FALSE)+VLOOKUP($A399,A:AL,13,FALSE)-50),"-",(VLOOKUP($A399,'NonXtal_SegEnds_BW#'!$A:$Z,10,FALSE)+VLOOKUP($A399,A:AL,13,FALSE)-50))</f>
        <v>-</v>
      </c>
      <c r="O399" s="3">
        <f>VLOOKUP($A399,'NonXtal_SegEnds_BW#'!$A:$Z,11,FALSE)+VLOOKUP($A399,A:AL,16,FALSE)-50</f>
        <v>311</v>
      </c>
      <c r="P399" s="3">
        <v>338</v>
      </c>
      <c r="Q399" s="3">
        <f>VLOOKUP($A399,'NonXtal_SegEnds_BW#'!$A:$Z,12,FALSE)+VLOOKUP($A399,A:AL,16,FALSE)-50</f>
        <v>347</v>
      </c>
      <c r="R399" s="3" t="str">
        <f>IF(ISERROR(VLOOKUP($A399,'NonXtal_SegEnds_BW#'!$A:$Z,13,FALSE)+VLOOKUP($A399,A:AL,19,FALSE)-50),"-",VLOOKUP($A399,'NonXtal_SegEnds_BW#'!$A:$Z,13,FALSE)+VLOOKUP($A399,A:AL,19,FALSE)-50)</f>
        <v>-</v>
      </c>
      <c r="S399" s="3" t="s">
        <v>129</v>
      </c>
      <c r="T399" s="3" t="str">
        <f>IF(ISERROR(VLOOKUP($A399,'NonXtal_SegEnds_BW#'!$A:$Z,14,FALSE)+VLOOKUP($A399,A:AL,19,FALSE)-50),"-",(VLOOKUP($A399,'NonXtal_SegEnds_BW#'!$A:$Z,14,FALSE)+VLOOKUP($A399,A:AL,19,FALSE)-50))</f>
        <v>-</v>
      </c>
      <c r="U399" s="3">
        <f>IF(ISERROR(VLOOKUP($A399,'NonXtal_SegEnds_BW#'!$A:$Z,15,FALSE)+VLOOKUP($A399,A:AL,22,FALSE)-50),"-",VLOOKUP($A399,'NonXtal_SegEnds_BW#'!$A:$Z,15,FALSE)+VLOOKUP($A399,A:AL,22,FALSE)-50)</f>
        <v>351</v>
      </c>
      <c r="V399" s="3">
        <v>363</v>
      </c>
      <c r="W399" s="3">
        <f>IF(ISERROR(VLOOKUP($A399,'NonXtal_SegEnds_BW#'!$A:$Z,16,FALSE)+VLOOKUP($A399,A:AL,22,FALSE)-50),"-",(VLOOKUP($A399,'NonXtal_SegEnds_BW#'!$A:$Z,16,FALSE)+VLOOKUP($A399,A:AL,22,FALSE)-50))</f>
        <v>376</v>
      </c>
      <c r="X399" s="3">
        <f>IF(ISERROR(VLOOKUP($A399,'NonXtal_SegEnds_BW#'!$A:$Z,17,FALSE)+VLOOKUP($A399,A:AL,25,FALSE)-50),"-",(VLOOKUP($A399,'NonXtal_SegEnds_BW#'!$A:$Z,17,FALSE)+VLOOKUP($A399,A:AL,25,FALSE)-50))</f>
        <v>388</v>
      </c>
      <c r="Y399" s="3">
        <v>388</v>
      </c>
      <c r="Z399" s="3">
        <f t="shared" si="217"/>
        <v>390</v>
      </c>
      <c r="AA399" s="3">
        <f>IF(ISERROR(VLOOKUP($A399,'NonXtal_SegEnds_BW#'!$A:$Z,19,FALSE)+VLOOKUP($A399,A:AL,28,FALSE)-50),"-",(VLOOKUP($A399,'NonXtal_SegEnds_BW#'!$A:$Z,19,FALSE)+VLOOKUP($A399,A:AL,28,FALSE)-50))</f>
        <v>395</v>
      </c>
      <c r="AB399" s="3">
        <v>409</v>
      </c>
      <c r="AC399" s="3">
        <f>IF(ISERROR((VLOOKUP($A399,'NonXtal_SegEnds_BW#'!$A:$Z,20,FALSE)+VLOOKUP($A399,A:AL,28,FALSE)-50)),"-",(VLOOKUP($A399,'NonXtal_SegEnds_BW#'!$A:$Z,20,FALSE)+VLOOKUP($A399,A:AL,28,FALSE)-50))</f>
        <v>431</v>
      </c>
      <c r="AD399" s="3">
        <f>IF(ISERROR(VLOOKUP($A399,'NonXtal_SegEnds_BW#'!$A:$Z,21,FALSE)+VLOOKUP($A399,A:AL,31,FALSE)-50),"-",(VLOOKUP($A399,'NonXtal_SegEnds_BW#'!$A:$Z,21,FALSE)+VLOOKUP($A399,A:AL,31,FALSE)-50))</f>
        <v>439</v>
      </c>
      <c r="AE399" s="3">
        <v>464</v>
      </c>
      <c r="AF399" s="3">
        <f>IF(ISERROR((VLOOKUP($A399,'NonXtal_SegEnds_BW#'!$A:$Z,22,FALSE)+VLOOKUP($A399,A:AL,31,FALSE)-50)),"-",(VLOOKUP($A399,'NonXtal_SegEnds_BW#'!$A:$Z,22,FALSE)+VLOOKUP($A399,A:AL,31,FALSE)-50))</f>
        <v>489</v>
      </c>
      <c r="AG399" s="3">
        <f>IF(ISERROR(VLOOKUP($A399,'NonXtal_SegEnds_BW#'!$A:$Z,23,FALSE)+VLOOKUP($A399,A:AL,34,FALSE)-50),"-",(VLOOKUP($A399,'NonXtal_SegEnds_BW#'!$A:$Z,23,FALSE)+VLOOKUP($A399,A:AL,34,FALSE)-50))</f>
        <v>507</v>
      </c>
      <c r="AH399" s="3">
        <v>522</v>
      </c>
      <c r="AI399" s="3">
        <f>IF(ISERROR((VLOOKUP($A399,'NonXtal_SegEnds_BW#'!$A:$Z,24,FALSE)+VLOOKUP($A399,A:AL,34,FALSE)-50)),"-",(VLOOKUP($A399,'NonXtal_SegEnds_BW#'!$A:$Z,24,FALSE)+VLOOKUP($A399,A:AL,34,FALSE)-50))</f>
        <v>529</v>
      </c>
      <c r="AJ399" s="3">
        <f>IF(ISERROR(VLOOKUP($A399,'NonXtal_SegEnds_BW#'!$A:$Z,25,FALSE)+VLOOKUP($A399,A:AL,37,FALSE)-50),"-",(VLOOKUP($A399,'NonXtal_SegEnds_BW#'!$A:$Z,25,FALSE)+VLOOKUP($A399,A:AL,37,FALSE)-50))</f>
        <v>530</v>
      </c>
      <c r="AK399" s="3">
        <v>533</v>
      </c>
      <c r="AL399" s="3">
        <f>IF(ISERROR((VLOOKUP($A399,'NonXtal_SegEnds_BW#'!$A:$Z,26,FALSE)+VLOOKUP($A399,A:AL,37,FALSE)-50)),"-",(VLOOKUP($A399,'NonXtal_SegEnds_BW#'!$A:$Z,26,FALSE)+VLOOKUP($A399,A:AL,37,FALSE)-50))</f>
        <v>545</v>
      </c>
      <c r="AM399" s="71" t="str">
        <f>VLOOKUP(A399,Classification!A:B,2,FALSE)</f>
        <v>F</v>
      </c>
      <c r="AN399" s="71" t="b">
        <f t="shared" si="199"/>
        <v>1</v>
      </c>
      <c r="AO399" s="3">
        <f t="shared" si="200"/>
        <v>1</v>
      </c>
      <c r="AP399" s="3">
        <f t="shared" si="201"/>
        <v>1</v>
      </c>
      <c r="AQ399" s="3" t="str">
        <f t="shared" si="202"/>
        <v>-</v>
      </c>
      <c r="AR399" s="3" t="str">
        <f t="shared" si="203"/>
        <v>-</v>
      </c>
      <c r="AS399" s="3" t="str">
        <f t="shared" si="204"/>
        <v>-</v>
      </c>
      <c r="AT399" s="3" t="str">
        <f t="shared" si="205"/>
        <v>-</v>
      </c>
      <c r="AU399" s="3">
        <f t="shared" si="206"/>
        <v>12</v>
      </c>
      <c r="AV399" s="3">
        <f t="shared" si="207"/>
        <v>5</v>
      </c>
      <c r="AW399" s="3">
        <f t="shared" si="208"/>
        <v>8</v>
      </c>
      <c r="AX399" s="3">
        <f t="shared" si="209"/>
        <v>18</v>
      </c>
      <c r="AY399" s="3">
        <f t="shared" si="210"/>
        <v>1</v>
      </c>
      <c r="AZ399" s="3">
        <f>IF(ISERROR(LEN(VLOOKUP(A399,Seqs!A:E,2,FALSE))-AL399),"-",LEN(VLOOKUP(A399,Seqs!A:E,2,FALSE))-AL399)</f>
        <v>46</v>
      </c>
      <c r="BA399" s="35">
        <f t="shared" si="211"/>
        <v>26</v>
      </c>
      <c r="BB399" s="3" t="str">
        <f t="shared" si="212"/>
        <v>-</v>
      </c>
      <c r="BC399" s="3">
        <f t="shared" si="213"/>
        <v>26</v>
      </c>
      <c r="BD399" s="3">
        <f t="shared" si="214"/>
        <v>55</v>
      </c>
    </row>
    <row r="400" spans="1:57" s="3" customFormat="1" x14ac:dyDescent="0.2">
      <c r="A400" s="3" t="s">
        <v>642</v>
      </c>
      <c r="B400" s="3" t="str">
        <f>LOWER(VLOOKUP(A400,Xtal_Templ!A:B,2,FALSE))</f>
        <v>smo_human</v>
      </c>
      <c r="C400" s="3">
        <f>VLOOKUP($A400,'NonXtal_SegEnds_BW#'!$A:$Z,3,FALSE)+D400-50</f>
        <v>221</v>
      </c>
      <c r="D400" s="3">
        <v>242</v>
      </c>
      <c r="E400" s="3">
        <f>IF(ISERROR(VLOOKUP($A400,'NonXtal_SegEnds_BW#'!$A:$Z,4,FALSE)+VLOOKUP($A400,A:AL,4,FALSE)-50),"-",(VLOOKUP($A400,'NonXtal_SegEnds_BW#'!$A:$Z,4,FALSE)+VLOOKUP($A400,A:AL,4,FALSE)-50))</f>
        <v>252</v>
      </c>
      <c r="F400" s="3">
        <f t="shared" si="216"/>
        <v>253</v>
      </c>
      <c r="G400" s="3">
        <v>256</v>
      </c>
      <c r="H400" s="3">
        <f t="shared" si="215"/>
        <v>257</v>
      </c>
      <c r="I400" s="3">
        <f t="shared" si="215"/>
        <v>258</v>
      </c>
      <c r="J400" s="3">
        <v>268</v>
      </c>
      <c r="K400" s="3">
        <f>VLOOKUP($A400,'NonXtal_SegEnds_BW#'!$A:$Z,8,FALSE)+VLOOKUP($A400,A:AL,10,FALSE)-50</f>
        <v>281</v>
      </c>
      <c r="L400" s="3" t="str">
        <f>IF(ISERROR(VLOOKUP($A400,'NonXtal_SegEnds_BW#'!$A:$Z,9,FALSE)+VLOOKUP($A400,A:AL,13,FALSE)-50),"-",(VLOOKUP($A400,'NonXtal_SegEnds_BW#'!$A:$Z,9,FALSE)+VLOOKUP($A400,A:AL,13,FALSE)-50))</f>
        <v>-</v>
      </c>
      <c r="M400" s="3" t="s">
        <v>129</v>
      </c>
      <c r="N400" s="3" t="str">
        <f>IF(ISERROR(VLOOKUP($A400,'NonXtal_SegEnds_BW#'!$A:$Z,10,FALSE)+VLOOKUP($A400,A:AL,13,FALSE)-50),"-",(VLOOKUP($A400,'NonXtal_SegEnds_BW#'!$A:$Z,10,FALSE)+VLOOKUP($A400,A:AL,13,FALSE)-50))</f>
        <v>-</v>
      </c>
      <c r="O400" s="3">
        <f>VLOOKUP($A400,'NonXtal_SegEnds_BW#'!$A:$Z,11,FALSE)+VLOOKUP($A400,A:AL,16,FALSE)-50</f>
        <v>307</v>
      </c>
      <c r="P400" s="3">
        <v>334</v>
      </c>
      <c r="Q400" s="3">
        <f>VLOOKUP($A400,'NonXtal_SegEnds_BW#'!$A:$Z,12,FALSE)+VLOOKUP($A400,A:AL,16,FALSE)-50</f>
        <v>343</v>
      </c>
      <c r="R400" s="3" t="str">
        <f>IF(ISERROR(VLOOKUP($A400,'NonXtal_SegEnds_BW#'!$A:$Z,13,FALSE)+VLOOKUP($A400,A:AL,19,FALSE)-50),"-",VLOOKUP($A400,'NonXtal_SegEnds_BW#'!$A:$Z,13,FALSE)+VLOOKUP($A400,A:AL,19,FALSE)-50)</f>
        <v>-</v>
      </c>
      <c r="S400" s="3" t="s">
        <v>129</v>
      </c>
      <c r="T400" s="3" t="str">
        <f>IF(ISERROR(VLOOKUP($A400,'NonXtal_SegEnds_BW#'!$A:$Z,14,FALSE)+VLOOKUP($A400,A:AL,19,FALSE)-50),"-",(VLOOKUP($A400,'NonXtal_SegEnds_BW#'!$A:$Z,14,FALSE)+VLOOKUP($A400,A:AL,19,FALSE)-50))</f>
        <v>-</v>
      </c>
      <c r="U400" s="3">
        <f>IF(ISERROR(VLOOKUP($A400,'NonXtal_SegEnds_BW#'!$A:$Z,15,FALSE)+VLOOKUP($A400,A:AL,22,FALSE)-50),"-",VLOOKUP($A400,'NonXtal_SegEnds_BW#'!$A:$Z,15,FALSE)+VLOOKUP($A400,A:AL,22,FALSE)-50)</f>
        <v>347</v>
      </c>
      <c r="V400" s="3">
        <v>359</v>
      </c>
      <c r="W400" s="3">
        <f>IF(ISERROR(VLOOKUP($A400,'NonXtal_SegEnds_BW#'!$A:$Z,16,FALSE)+VLOOKUP($A400,A:AL,22,FALSE)-50),"-",(VLOOKUP($A400,'NonXtal_SegEnds_BW#'!$A:$Z,16,FALSE)+VLOOKUP($A400,A:AL,22,FALSE)-50))</f>
        <v>372</v>
      </c>
      <c r="X400" s="3">
        <f>IF(ISERROR(VLOOKUP($A400,'NonXtal_SegEnds_BW#'!$A:$Z,17,FALSE)+VLOOKUP($A400,A:AL,25,FALSE)-50),"-",(VLOOKUP($A400,'NonXtal_SegEnds_BW#'!$A:$Z,17,FALSE)+VLOOKUP($A400,A:AL,25,FALSE)-50))</f>
        <v>384</v>
      </c>
      <c r="Y400" s="3">
        <v>384</v>
      </c>
      <c r="Z400" s="3">
        <f t="shared" si="217"/>
        <v>386</v>
      </c>
      <c r="AA400" s="3">
        <f>IF(ISERROR(VLOOKUP($A400,'NonXtal_SegEnds_BW#'!$A:$Z,19,FALSE)+VLOOKUP($A400,A:AL,28,FALSE)-50),"-",(VLOOKUP($A400,'NonXtal_SegEnds_BW#'!$A:$Z,19,FALSE)+VLOOKUP($A400,A:AL,28,FALSE)-50))</f>
        <v>391</v>
      </c>
      <c r="AB400" s="3">
        <v>405</v>
      </c>
      <c r="AC400" s="3">
        <f>IF(ISERROR((VLOOKUP($A400,'NonXtal_SegEnds_BW#'!$A:$Z,20,FALSE)+VLOOKUP($A400,A:AL,28,FALSE)-50)),"-",(VLOOKUP($A400,'NonXtal_SegEnds_BW#'!$A:$Z,20,FALSE)+VLOOKUP($A400,A:AL,28,FALSE)-50))</f>
        <v>427</v>
      </c>
      <c r="AD400" s="3">
        <f>IF(ISERROR(VLOOKUP($A400,'NonXtal_SegEnds_BW#'!$A:$Z,21,FALSE)+VLOOKUP($A400,A:AL,31,FALSE)-50),"-",(VLOOKUP($A400,'NonXtal_SegEnds_BW#'!$A:$Z,21,FALSE)+VLOOKUP($A400,A:AL,31,FALSE)-50))</f>
        <v>435</v>
      </c>
      <c r="AE400" s="3">
        <v>460</v>
      </c>
      <c r="AF400" s="3">
        <f>IF(ISERROR((VLOOKUP($A400,'NonXtal_SegEnds_BW#'!$A:$Z,22,FALSE)+VLOOKUP($A400,A:AL,31,FALSE)-50)),"-",(VLOOKUP($A400,'NonXtal_SegEnds_BW#'!$A:$Z,22,FALSE)+VLOOKUP($A400,A:AL,31,FALSE)-50))</f>
        <v>485</v>
      </c>
      <c r="AG400" s="3">
        <f>IF(ISERROR(VLOOKUP($A400,'NonXtal_SegEnds_BW#'!$A:$Z,23,FALSE)+VLOOKUP($A400,A:AL,34,FALSE)-50),"-",(VLOOKUP($A400,'NonXtal_SegEnds_BW#'!$A:$Z,23,FALSE)+VLOOKUP($A400,A:AL,34,FALSE)-50))</f>
        <v>501</v>
      </c>
      <c r="AH400" s="3">
        <v>516</v>
      </c>
      <c r="AI400" s="3">
        <f>IF(ISERROR((VLOOKUP($A400,'NonXtal_SegEnds_BW#'!$A:$Z,24,FALSE)+VLOOKUP($A400,A:AL,34,FALSE)-50)),"-",(VLOOKUP($A400,'NonXtal_SegEnds_BW#'!$A:$Z,24,FALSE)+VLOOKUP($A400,A:AL,34,FALSE)-50))</f>
        <v>523</v>
      </c>
      <c r="AJ400" s="3">
        <f>IF(ISERROR(VLOOKUP($A400,'NonXtal_SegEnds_BW#'!$A:$Z,25,FALSE)+VLOOKUP($A400,A:AL,37,FALSE)-50),"-",(VLOOKUP($A400,'NonXtal_SegEnds_BW#'!$A:$Z,25,FALSE)+VLOOKUP($A400,A:AL,37,FALSE)-50))</f>
        <v>524</v>
      </c>
      <c r="AK400" s="3">
        <v>527</v>
      </c>
      <c r="AL400" s="3">
        <f>IF(ISERROR((VLOOKUP($A400,'NonXtal_SegEnds_BW#'!$A:$Z,26,FALSE)+VLOOKUP($A400,A:AL,37,FALSE)-50)),"-",(VLOOKUP($A400,'NonXtal_SegEnds_BW#'!$A:$Z,26,FALSE)+VLOOKUP($A400,A:AL,37,FALSE)-50))</f>
        <v>539</v>
      </c>
      <c r="AM400" s="71" t="str">
        <f>VLOOKUP(A400,Classification!A:B,2,FALSE)</f>
        <v>F</v>
      </c>
      <c r="AN400" s="71" t="b">
        <f t="shared" si="199"/>
        <v>1</v>
      </c>
      <c r="AO400" s="3">
        <f t="shared" si="200"/>
        <v>1</v>
      </c>
      <c r="AP400" s="3">
        <f t="shared" si="201"/>
        <v>1</v>
      </c>
      <c r="AQ400" s="3" t="str">
        <f t="shared" si="202"/>
        <v>-</v>
      </c>
      <c r="AR400" s="3" t="str">
        <f t="shared" si="203"/>
        <v>-</v>
      </c>
      <c r="AS400" s="3" t="str">
        <f t="shared" si="204"/>
        <v>-</v>
      </c>
      <c r="AT400" s="3" t="str">
        <f t="shared" si="205"/>
        <v>-</v>
      </c>
      <c r="AU400" s="3">
        <f t="shared" si="206"/>
        <v>12</v>
      </c>
      <c r="AV400" s="3">
        <f t="shared" si="207"/>
        <v>5</v>
      </c>
      <c r="AW400" s="3">
        <f t="shared" si="208"/>
        <v>8</v>
      </c>
      <c r="AX400" s="3">
        <f t="shared" si="209"/>
        <v>16</v>
      </c>
      <c r="AY400" s="3">
        <f t="shared" si="210"/>
        <v>1</v>
      </c>
      <c r="AZ400" s="3">
        <f>IF(ISERROR(LEN(VLOOKUP(A400,Seqs!A:E,2,FALSE))-AL400),"-",LEN(VLOOKUP(A400,Seqs!A:E,2,FALSE))-AL400)</f>
        <v>42</v>
      </c>
      <c r="BA400" s="35">
        <f t="shared" si="211"/>
        <v>26</v>
      </c>
      <c r="BB400" s="3" t="str">
        <f t="shared" si="212"/>
        <v>-</v>
      </c>
      <c r="BC400" s="3">
        <f t="shared" si="213"/>
        <v>26</v>
      </c>
      <c r="BD400" s="3">
        <f t="shared" si="214"/>
        <v>55</v>
      </c>
    </row>
    <row r="401" spans="1:57" s="3" customFormat="1" x14ac:dyDescent="0.2">
      <c r="A401" s="3" t="s">
        <v>645</v>
      </c>
      <c r="B401" s="3" t="str">
        <f>LOWER(VLOOKUP(A401,Xtal_Templ!A:B,2,FALSE))</f>
        <v>smo_human</v>
      </c>
      <c r="C401" s="3">
        <f>VLOOKUP($A401,'NonXtal_SegEnds_BW#'!$A:$Z,3,FALSE)+D401-50</f>
        <v>213</v>
      </c>
      <c r="D401" s="3">
        <v>234</v>
      </c>
      <c r="E401" s="3">
        <f>IF(ISERROR(VLOOKUP($A401,'NonXtal_SegEnds_BW#'!$A:$Z,4,FALSE)+VLOOKUP($A401,A:AL,4,FALSE)-50),"-",(VLOOKUP($A401,'NonXtal_SegEnds_BW#'!$A:$Z,4,FALSE)+VLOOKUP($A401,A:AL,4,FALSE)-50))</f>
        <v>244</v>
      </c>
      <c r="F401" s="3">
        <f t="shared" si="216"/>
        <v>245</v>
      </c>
      <c r="G401" s="3">
        <v>248</v>
      </c>
      <c r="H401" s="3">
        <f t="shared" si="215"/>
        <v>249</v>
      </c>
      <c r="I401" s="3">
        <f t="shared" si="215"/>
        <v>250</v>
      </c>
      <c r="J401" s="3">
        <v>260</v>
      </c>
      <c r="K401" s="3">
        <f>VLOOKUP($A401,'NonXtal_SegEnds_BW#'!$A:$Z,8,FALSE)+VLOOKUP($A401,A:AL,10,FALSE)-50</f>
        <v>273</v>
      </c>
      <c r="L401" s="3" t="str">
        <f>IF(ISERROR(VLOOKUP($A401,'NonXtal_SegEnds_BW#'!$A:$Z,9,FALSE)+VLOOKUP($A401,A:AL,13,FALSE)-50),"-",(VLOOKUP($A401,'NonXtal_SegEnds_BW#'!$A:$Z,9,FALSE)+VLOOKUP($A401,A:AL,13,FALSE)-50))</f>
        <v>-</v>
      </c>
      <c r="M401" s="3" t="s">
        <v>129</v>
      </c>
      <c r="N401" s="3" t="str">
        <f>IF(ISERROR(VLOOKUP($A401,'NonXtal_SegEnds_BW#'!$A:$Z,10,FALSE)+VLOOKUP($A401,A:AL,13,FALSE)-50),"-",(VLOOKUP($A401,'NonXtal_SegEnds_BW#'!$A:$Z,10,FALSE)+VLOOKUP($A401,A:AL,13,FALSE)-50))</f>
        <v>-</v>
      </c>
      <c r="O401" s="3">
        <f>VLOOKUP($A401,'NonXtal_SegEnds_BW#'!$A:$Z,11,FALSE)+VLOOKUP($A401,A:AL,16,FALSE)-50</f>
        <v>300</v>
      </c>
      <c r="P401" s="3">
        <v>327</v>
      </c>
      <c r="Q401" s="3">
        <f>VLOOKUP($A401,'NonXtal_SegEnds_BW#'!$A:$Z,12,FALSE)+VLOOKUP($A401,A:AL,16,FALSE)-50</f>
        <v>336</v>
      </c>
      <c r="R401" s="3" t="str">
        <f>IF(ISERROR(VLOOKUP($A401,'NonXtal_SegEnds_BW#'!$A:$Z,13,FALSE)+VLOOKUP($A401,A:AL,19,FALSE)-50),"-",VLOOKUP($A401,'NonXtal_SegEnds_BW#'!$A:$Z,13,FALSE)+VLOOKUP($A401,A:AL,19,FALSE)-50)</f>
        <v>-</v>
      </c>
      <c r="S401" s="3" t="s">
        <v>129</v>
      </c>
      <c r="T401" s="3" t="str">
        <f>IF(ISERROR(VLOOKUP($A401,'NonXtal_SegEnds_BW#'!$A:$Z,14,FALSE)+VLOOKUP($A401,A:AL,19,FALSE)-50),"-",(VLOOKUP($A401,'NonXtal_SegEnds_BW#'!$A:$Z,14,FALSE)+VLOOKUP($A401,A:AL,19,FALSE)-50))</f>
        <v>-</v>
      </c>
      <c r="U401" s="3">
        <f>IF(ISERROR(VLOOKUP($A401,'NonXtal_SegEnds_BW#'!$A:$Z,15,FALSE)+VLOOKUP($A401,A:AL,22,FALSE)-50),"-",VLOOKUP($A401,'NonXtal_SegEnds_BW#'!$A:$Z,15,FALSE)+VLOOKUP($A401,A:AL,22,FALSE)-50)</f>
        <v>340</v>
      </c>
      <c r="V401" s="3">
        <v>352</v>
      </c>
      <c r="W401" s="3">
        <f>IF(ISERROR(VLOOKUP($A401,'NonXtal_SegEnds_BW#'!$A:$Z,16,FALSE)+VLOOKUP($A401,A:AL,22,FALSE)-50),"-",(VLOOKUP($A401,'NonXtal_SegEnds_BW#'!$A:$Z,16,FALSE)+VLOOKUP($A401,A:AL,22,FALSE)-50))</f>
        <v>365</v>
      </c>
      <c r="X401" s="3">
        <f>IF(ISERROR(VLOOKUP($A401,'NonXtal_SegEnds_BW#'!$A:$Z,17,FALSE)+VLOOKUP($A401,A:AL,25,FALSE)-50),"-",(VLOOKUP($A401,'NonXtal_SegEnds_BW#'!$A:$Z,17,FALSE)+VLOOKUP($A401,A:AL,25,FALSE)-50))</f>
        <v>377</v>
      </c>
      <c r="Y401" s="3">
        <v>377</v>
      </c>
      <c r="Z401" s="3">
        <f t="shared" si="217"/>
        <v>379</v>
      </c>
      <c r="AA401" s="3">
        <f>IF(ISERROR(VLOOKUP($A401,'NonXtal_SegEnds_BW#'!$A:$Z,19,FALSE)+VLOOKUP($A401,A:AL,28,FALSE)-50),"-",(VLOOKUP($A401,'NonXtal_SegEnds_BW#'!$A:$Z,19,FALSE)+VLOOKUP($A401,A:AL,28,FALSE)-50))</f>
        <v>384</v>
      </c>
      <c r="AB401" s="3">
        <v>398</v>
      </c>
      <c r="AC401" s="3">
        <f>IF(ISERROR((VLOOKUP($A401,'NonXtal_SegEnds_BW#'!$A:$Z,20,FALSE)+VLOOKUP($A401,A:AL,28,FALSE)-50)),"-",(VLOOKUP($A401,'NonXtal_SegEnds_BW#'!$A:$Z,20,FALSE)+VLOOKUP($A401,A:AL,28,FALSE)-50))</f>
        <v>420</v>
      </c>
      <c r="AD401" s="3">
        <f>IF(ISERROR(VLOOKUP($A401,'NonXtal_SegEnds_BW#'!$A:$Z,21,FALSE)+VLOOKUP($A401,A:AL,31,FALSE)-50),"-",(VLOOKUP($A401,'NonXtal_SegEnds_BW#'!$A:$Z,21,FALSE)+VLOOKUP($A401,A:AL,31,FALSE)-50))</f>
        <v>428</v>
      </c>
      <c r="AE401" s="3">
        <v>453</v>
      </c>
      <c r="AF401" s="3">
        <f>IF(ISERROR((VLOOKUP($A401,'NonXtal_SegEnds_BW#'!$A:$Z,22,FALSE)+VLOOKUP($A401,A:AL,31,FALSE)-50)),"-",(VLOOKUP($A401,'NonXtal_SegEnds_BW#'!$A:$Z,22,FALSE)+VLOOKUP($A401,A:AL,31,FALSE)-50))</f>
        <v>469</v>
      </c>
      <c r="AG401" s="3">
        <f>IF(ISERROR(VLOOKUP($A401,'NonXtal_SegEnds_BW#'!$A:$Z,23,FALSE)+VLOOKUP($A401,A:AL,34,FALSE)-50),"-",(VLOOKUP($A401,'NonXtal_SegEnds_BW#'!$A:$Z,23,FALSE)+VLOOKUP($A401,A:AL,34,FALSE)-50))</f>
        <v>474</v>
      </c>
      <c r="AH401" s="3">
        <v>489</v>
      </c>
      <c r="AI401" s="3">
        <f>IF(ISERROR((VLOOKUP($A401,'NonXtal_SegEnds_BW#'!$A:$Z,24,FALSE)+VLOOKUP($A401,A:AL,34,FALSE)-50)),"-",(VLOOKUP($A401,'NonXtal_SegEnds_BW#'!$A:$Z,24,FALSE)+VLOOKUP($A401,A:AL,34,FALSE)-50))</f>
        <v>496</v>
      </c>
      <c r="AJ401" s="3">
        <f>IF(ISERROR(VLOOKUP($A401,'NonXtal_SegEnds_BW#'!$A:$Z,25,FALSE)+VLOOKUP($A401,A:AL,37,FALSE)-50),"-",(VLOOKUP($A401,'NonXtal_SegEnds_BW#'!$A:$Z,25,FALSE)+VLOOKUP($A401,A:AL,37,FALSE)-50))</f>
        <v>497</v>
      </c>
      <c r="AK401" s="3">
        <v>500</v>
      </c>
      <c r="AL401" s="3">
        <f>IF(ISERROR((VLOOKUP($A401,'NonXtal_SegEnds_BW#'!$A:$Z,26,FALSE)+VLOOKUP($A401,A:AL,37,FALSE)-50)),"-",(VLOOKUP($A401,'NonXtal_SegEnds_BW#'!$A:$Z,26,FALSE)+VLOOKUP($A401,A:AL,37,FALSE)-50))</f>
        <v>512</v>
      </c>
      <c r="AM401" s="71" t="str">
        <f>VLOOKUP(A401,Classification!A:B,2,FALSE)</f>
        <v>F</v>
      </c>
      <c r="AN401" s="71" t="b">
        <f t="shared" si="199"/>
        <v>1</v>
      </c>
      <c r="AO401" s="3">
        <f t="shared" si="200"/>
        <v>1</v>
      </c>
      <c r="AP401" s="3">
        <f t="shared" si="201"/>
        <v>1</v>
      </c>
      <c r="AQ401" s="3" t="str">
        <f t="shared" si="202"/>
        <v>-</v>
      </c>
      <c r="AR401" s="3" t="str">
        <f t="shared" si="203"/>
        <v>-</v>
      </c>
      <c r="AS401" s="3" t="str">
        <f t="shared" si="204"/>
        <v>-</v>
      </c>
      <c r="AT401" s="3" t="str">
        <f t="shared" si="205"/>
        <v>-</v>
      </c>
      <c r="AU401" s="3">
        <f t="shared" si="206"/>
        <v>12</v>
      </c>
      <c r="AV401" s="3">
        <f t="shared" si="207"/>
        <v>5</v>
      </c>
      <c r="AW401" s="3">
        <f t="shared" si="208"/>
        <v>8</v>
      </c>
      <c r="AX401" s="3">
        <f t="shared" si="209"/>
        <v>5</v>
      </c>
      <c r="AY401" s="3">
        <f t="shared" si="210"/>
        <v>1</v>
      </c>
      <c r="AZ401" s="3">
        <f>IF(ISERROR(LEN(VLOOKUP(A401,Seqs!A:E,2,FALSE))-AL401),"-",LEN(VLOOKUP(A401,Seqs!A:E,2,FALSE))-AL401)</f>
        <v>25</v>
      </c>
      <c r="BA401" s="35">
        <f t="shared" si="211"/>
        <v>26</v>
      </c>
      <c r="BB401" s="3" t="str">
        <f t="shared" si="212"/>
        <v>-</v>
      </c>
      <c r="BC401" s="3">
        <f t="shared" si="213"/>
        <v>26</v>
      </c>
      <c r="BD401" s="3">
        <f t="shared" si="214"/>
        <v>55</v>
      </c>
      <c r="BE401" s="3">
        <f>AH401-AE401</f>
        <v>36</v>
      </c>
    </row>
    <row r="402" spans="1:57" s="3" customFormat="1" x14ac:dyDescent="0.2">
      <c r="A402" s="3" t="s">
        <v>644</v>
      </c>
      <c r="B402" s="3" t="str">
        <f>LOWER(VLOOKUP(A402,Xtal_Templ!A:B,2,FALSE))</f>
        <v>smo_human</v>
      </c>
      <c r="C402" s="3">
        <f>VLOOKUP($A402,'NonXtal_SegEnds_BW#'!$A:$Z,3,FALSE)+D402-50</f>
        <v>196</v>
      </c>
      <c r="D402" s="3">
        <v>217</v>
      </c>
      <c r="E402" s="3">
        <f>IF(ISERROR(VLOOKUP($A402,'NonXtal_SegEnds_BW#'!$A:$Z,4,FALSE)+VLOOKUP($A402,A:AL,4,FALSE)-50),"-",(VLOOKUP($A402,'NonXtal_SegEnds_BW#'!$A:$Z,4,FALSE)+VLOOKUP($A402,A:AL,4,FALSE)-50))</f>
        <v>227</v>
      </c>
      <c r="F402" s="3">
        <f t="shared" si="216"/>
        <v>228</v>
      </c>
      <c r="G402" s="3">
        <v>231</v>
      </c>
      <c r="H402" s="3">
        <f t="shared" si="215"/>
        <v>232</v>
      </c>
      <c r="I402" s="3">
        <f t="shared" si="215"/>
        <v>233</v>
      </c>
      <c r="J402" s="3">
        <v>243</v>
      </c>
      <c r="K402" s="3">
        <f>VLOOKUP($A402,'NonXtal_SegEnds_BW#'!$A:$Z,8,FALSE)+VLOOKUP($A402,A:AL,10,FALSE)-50</f>
        <v>256</v>
      </c>
      <c r="L402" s="3" t="str">
        <f>IF(ISERROR(VLOOKUP($A402,'NonXtal_SegEnds_BW#'!$A:$Z,9,FALSE)+VLOOKUP($A402,A:AL,13,FALSE)-50),"-",(VLOOKUP($A402,'NonXtal_SegEnds_BW#'!$A:$Z,9,FALSE)+VLOOKUP($A402,A:AL,13,FALSE)-50))</f>
        <v>-</v>
      </c>
      <c r="M402" s="3" t="s">
        <v>129</v>
      </c>
      <c r="N402" s="3" t="str">
        <f>IF(ISERROR(VLOOKUP($A402,'NonXtal_SegEnds_BW#'!$A:$Z,10,FALSE)+VLOOKUP($A402,A:AL,13,FALSE)-50),"-",(VLOOKUP($A402,'NonXtal_SegEnds_BW#'!$A:$Z,10,FALSE)+VLOOKUP($A402,A:AL,13,FALSE)-50))</f>
        <v>-</v>
      </c>
      <c r="O402" s="3">
        <f>VLOOKUP($A402,'NonXtal_SegEnds_BW#'!$A:$Z,11,FALSE)+VLOOKUP($A402,A:AL,16,FALSE)-50</f>
        <v>284</v>
      </c>
      <c r="P402" s="3">
        <v>311</v>
      </c>
      <c r="Q402" s="3">
        <f>VLOOKUP($A402,'NonXtal_SegEnds_BW#'!$A:$Z,12,FALSE)+VLOOKUP($A402,A:AL,16,FALSE)-50</f>
        <v>320</v>
      </c>
      <c r="R402" s="3" t="str">
        <f>IF(ISERROR(VLOOKUP($A402,'NonXtal_SegEnds_BW#'!$A:$Z,13,FALSE)+VLOOKUP($A402,A:AL,19,FALSE)-50),"-",VLOOKUP($A402,'NonXtal_SegEnds_BW#'!$A:$Z,13,FALSE)+VLOOKUP($A402,A:AL,19,FALSE)-50)</f>
        <v>-</v>
      </c>
      <c r="S402" s="3" t="s">
        <v>129</v>
      </c>
      <c r="T402" s="3" t="str">
        <f>IF(ISERROR(VLOOKUP($A402,'NonXtal_SegEnds_BW#'!$A:$Z,14,FALSE)+VLOOKUP($A402,A:AL,19,FALSE)-50),"-",(VLOOKUP($A402,'NonXtal_SegEnds_BW#'!$A:$Z,14,FALSE)+VLOOKUP($A402,A:AL,19,FALSE)-50))</f>
        <v>-</v>
      </c>
      <c r="U402" s="3">
        <f>IF(ISERROR(VLOOKUP($A402,'NonXtal_SegEnds_BW#'!$A:$Z,15,FALSE)+VLOOKUP($A402,A:AL,22,FALSE)-50),"-",VLOOKUP($A402,'NonXtal_SegEnds_BW#'!$A:$Z,15,FALSE)+VLOOKUP($A402,A:AL,22,FALSE)-50)</f>
        <v>324</v>
      </c>
      <c r="V402" s="3">
        <v>336</v>
      </c>
      <c r="W402" s="3">
        <f>IF(ISERROR(VLOOKUP($A402,'NonXtal_SegEnds_BW#'!$A:$Z,16,FALSE)+VLOOKUP($A402,A:AL,22,FALSE)-50),"-",(VLOOKUP($A402,'NonXtal_SegEnds_BW#'!$A:$Z,16,FALSE)+VLOOKUP($A402,A:AL,22,FALSE)-50))</f>
        <v>349</v>
      </c>
      <c r="X402" s="3">
        <f>IF(ISERROR(VLOOKUP($A402,'NonXtal_SegEnds_BW#'!$A:$Z,17,FALSE)+VLOOKUP($A402,A:AL,25,FALSE)-50),"-",(VLOOKUP($A402,'NonXtal_SegEnds_BW#'!$A:$Z,17,FALSE)+VLOOKUP($A402,A:AL,25,FALSE)-50))</f>
        <v>361</v>
      </c>
      <c r="Y402" s="3">
        <v>361</v>
      </c>
      <c r="Z402" s="3">
        <f t="shared" si="217"/>
        <v>363</v>
      </c>
      <c r="AA402" s="3">
        <f>IF(ISERROR(VLOOKUP($A402,'NonXtal_SegEnds_BW#'!$A:$Z,19,FALSE)+VLOOKUP($A402,A:AL,28,FALSE)-50),"-",(VLOOKUP($A402,'NonXtal_SegEnds_BW#'!$A:$Z,19,FALSE)+VLOOKUP($A402,A:AL,28,FALSE)-50))</f>
        <v>368</v>
      </c>
      <c r="AB402" s="3">
        <v>382</v>
      </c>
      <c r="AC402" s="3">
        <f>IF(ISERROR((VLOOKUP($A402,'NonXtal_SegEnds_BW#'!$A:$Z,20,FALSE)+VLOOKUP($A402,A:AL,28,FALSE)-50)),"-",(VLOOKUP($A402,'NonXtal_SegEnds_BW#'!$A:$Z,20,FALSE)+VLOOKUP($A402,A:AL,28,FALSE)-50))</f>
        <v>404</v>
      </c>
      <c r="AD402" s="3">
        <f>IF(ISERROR(VLOOKUP($A402,'NonXtal_SegEnds_BW#'!$A:$Z,21,FALSE)+VLOOKUP($A402,A:AL,31,FALSE)-50),"-",(VLOOKUP($A402,'NonXtal_SegEnds_BW#'!$A:$Z,21,FALSE)+VLOOKUP($A402,A:AL,31,FALSE)-50))</f>
        <v>412</v>
      </c>
      <c r="AE402" s="3">
        <v>437</v>
      </c>
      <c r="AF402" s="3">
        <f>IF(ISERROR((VLOOKUP($A402,'NonXtal_SegEnds_BW#'!$A:$Z,22,FALSE)+VLOOKUP($A402,A:AL,31,FALSE)-50)),"-",(VLOOKUP($A402,'NonXtal_SegEnds_BW#'!$A:$Z,22,FALSE)+VLOOKUP($A402,A:AL,31,FALSE)-50))</f>
        <v>462</v>
      </c>
      <c r="AG402" s="3">
        <f>IF(ISERROR(VLOOKUP($A402,'NonXtal_SegEnds_BW#'!$A:$Z,23,FALSE)+VLOOKUP($A402,A:AL,34,FALSE)-50),"-",(VLOOKUP($A402,'NonXtal_SegEnds_BW#'!$A:$Z,23,FALSE)+VLOOKUP($A402,A:AL,34,FALSE)-50))</f>
        <v>477</v>
      </c>
      <c r="AH402" s="3">
        <v>492</v>
      </c>
      <c r="AI402" s="3">
        <f>IF(ISERROR((VLOOKUP($A402,'NonXtal_SegEnds_BW#'!$A:$Z,24,FALSE)+VLOOKUP($A402,A:AL,34,FALSE)-50)),"-",(VLOOKUP($A402,'NonXtal_SegEnds_BW#'!$A:$Z,24,FALSE)+VLOOKUP($A402,A:AL,34,FALSE)-50))</f>
        <v>499</v>
      </c>
      <c r="AJ402" s="3">
        <f>IF(ISERROR(VLOOKUP($A402,'NonXtal_SegEnds_BW#'!$A:$Z,25,FALSE)+VLOOKUP($A402,A:AL,37,FALSE)-50),"-",(VLOOKUP($A402,'NonXtal_SegEnds_BW#'!$A:$Z,25,FALSE)+VLOOKUP($A402,A:AL,37,FALSE)-50))</f>
        <v>500</v>
      </c>
      <c r="AK402" s="3">
        <v>503</v>
      </c>
      <c r="AL402" s="3">
        <f>IF(ISERROR((VLOOKUP($A402,'NonXtal_SegEnds_BW#'!$A:$Z,26,FALSE)+VLOOKUP($A402,A:AL,37,FALSE)-50)),"-",(VLOOKUP($A402,'NonXtal_SegEnds_BW#'!$A:$Z,26,FALSE)+VLOOKUP($A402,A:AL,37,FALSE)-50))</f>
        <v>515</v>
      </c>
      <c r="AM402" s="71" t="str">
        <f>VLOOKUP(A402,Classification!A:B,2,FALSE)</f>
        <v>F</v>
      </c>
      <c r="AN402" s="71" t="b">
        <f t="shared" si="199"/>
        <v>1</v>
      </c>
      <c r="AO402" s="3">
        <f t="shared" si="200"/>
        <v>1</v>
      </c>
      <c r="AP402" s="3">
        <f t="shared" si="201"/>
        <v>1</v>
      </c>
      <c r="AQ402" s="3" t="str">
        <f t="shared" si="202"/>
        <v>-</v>
      </c>
      <c r="AR402" s="3" t="str">
        <f t="shared" si="203"/>
        <v>-</v>
      </c>
      <c r="AS402" s="3" t="str">
        <f t="shared" si="204"/>
        <v>-</v>
      </c>
      <c r="AT402" s="3" t="str">
        <f t="shared" si="205"/>
        <v>-</v>
      </c>
      <c r="AU402" s="3">
        <f t="shared" si="206"/>
        <v>12</v>
      </c>
      <c r="AV402" s="3">
        <f t="shared" si="207"/>
        <v>5</v>
      </c>
      <c r="AW402" s="3">
        <f t="shared" si="208"/>
        <v>8</v>
      </c>
      <c r="AX402" s="3">
        <f t="shared" si="209"/>
        <v>15</v>
      </c>
      <c r="AY402" s="3">
        <f t="shared" si="210"/>
        <v>1</v>
      </c>
      <c r="AZ402" s="3">
        <f>IF(ISERROR(LEN(VLOOKUP(A402,Seqs!A:E,2,FALSE))-AL402),"-",LEN(VLOOKUP(A402,Seqs!A:E,2,FALSE))-AL402)</f>
        <v>151</v>
      </c>
      <c r="BA402" s="35">
        <f t="shared" si="211"/>
        <v>26</v>
      </c>
      <c r="BB402" s="3" t="str">
        <f t="shared" si="212"/>
        <v>-</v>
      </c>
      <c r="BC402" s="3">
        <f t="shared" si="213"/>
        <v>26</v>
      </c>
      <c r="BD402" s="3">
        <f t="shared" si="214"/>
        <v>55</v>
      </c>
    </row>
    <row r="403" spans="1:57" s="3" customFormat="1" x14ac:dyDescent="0.2">
      <c r="A403" s="3" t="s">
        <v>647</v>
      </c>
      <c r="B403" s="3" t="str">
        <f>LOWER(VLOOKUP(A403,Xtal_Templ!A:B,2,FALSE))</f>
        <v>smo_human</v>
      </c>
      <c r="C403" s="3">
        <f>VLOOKUP($A403,'NonXtal_SegEnds_BW#'!$A:$Z,3,FALSE)+D403-50</f>
        <v>192</v>
      </c>
      <c r="D403" s="3">
        <v>213</v>
      </c>
      <c r="E403" s="3">
        <f>IF(ISERROR(VLOOKUP($A403,'NonXtal_SegEnds_BW#'!$A:$Z,4,FALSE)+VLOOKUP($A403,A:AL,4,FALSE)-50),"-",(VLOOKUP($A403,'NonXtal_SegEnds_BW#'!$A:$Z,4,FALSE)+VLOOKUP($A403,A:AL,4,FALSE)-50))</f>
        <v>223</v>
      </c>
      <c r="F403" s="3">
        <f t="shared" si="216"/>
        <v>224</v>
      </c>
      <c r="G403" s="3">
        <v>227</v>
      </c>
      <c r="H403" s="3">
        <f t="shared" si="215"/>
        <v>228</v>
      </c>
      <c r="I403" s="3">
        <f t="shared" si="215"/>
        <v>229</v>
      </c>
      <c r="J403" s="3">
        <v>239</v>
      </c>
      <c r="K403" s="3">
        <f>VLOOKUP($A403,'NonXtal_SegEnds_BW#'!$A:$Z,8,FALSE)+VLOOKUP($A403,A:AL,10,FALSE)-50</f>
        <v>252</v>
      </c>
      <c r="L403" s="3" t="str">
        <f>IF(ISERROR(VLOOKUP($A403,'NonXtal_SegEnds_BW#'!$A:$Z,9,FALSE)+VLOOKUP($A403,A:AL,13,FALSE)-50),"-",(VLOOKUP($A403,'NonXtal_SegEnds_BW#'!$A:$Z,9,FALSE)+VLOOKUP($A403,A:AL,13,FALSE)-50))</f>
        <v>-</v>
      </c>
      <c r="M403" s="3" t="s">
        <v>129</v>
      </c>
      <c r="N403" s="3" t="str">
        <f>IF(ISERROR(VLOOKUP($A403,'NonXtal_SegEnds_BW#'!$A:$Z,10,FALSE)+VLOOKUP($A403,A:AL,13,FALSE)-50),"-",(VLOOKUP($A403,'NonXtal_SegEnds_BW#'!$A:$Z,10,FALSE)+VLOOKUP($A403,A:AL,13,FALSE)-50))</f>
        <v>-</v>
      </c>
      <c r="O403" s="3">
        <f>VLOOKUP($A403,'NonXtal_SegEnds_BW#'!$A:$Z,11,FALSE)+VLOOKUP($A403,A:AL,16,FALSE)-50</f>
        <v>280</v>
      </c>
      <c r="P403" s="3">
        <v>307</v>
      </c>
      <c r="Q403" s="3">
        <f>VLOOKUP($A403,'NonXtal_SegEnds_BW#'!$A:$Z,12,FALSE)+VLOOKUP($A403,A:AL,16,FALSE)-50</f>
        <v>316</v>
      </c>
      <c r="R403" s="3" t="str">
        <f>IF(ISERROR(VLOOKUP($A403,'NonXtal_SegEnds_BW#'!$A:$Z,13,FALSE)+VLOOKUP($A403,A:AL,19,FALSE)-50),"-",VLOOKUP($A403,'NonXtal_SegEnds_BW#'!$A:$Z,13,FALSE)+VLOOKUP($A403,A:AL,19,FALSE)-50)</f>
        <v>-</v>
      </c>
      <c r="S403" s="3" t="s">
        <v>129</v>
      </c>
      <c r="T403" s="3" t="str">
        <f>IF(ISERROR(VLOOKUP($A403,'NonXtal_SegEnds_BW#'!$A:$Z,14,FALSE)+VLOOKUP($A403,A:AL,19,FALSE)-50),"-",(VLOOKUP($A403,'NonXtal_SegEnds_BW#'!$A:$Z,14,FALSE)+VLOOKUP($A403,A:AL,19,FALSE)-50))</f>
        <v>-</v>
      </c>
      <c r="U403" s="3">
        <f>IF(ISERROR(VLOOKUP($A403,'NonXtal_SegEnds_BW#'!$A:$Z,15,FALSE)+VLOOKUP($A403,A:AL,22,FALSE)-50),"-",VLOOKUP($A403,'NonXtal_SegEnds_BW#'!$A:$Z,15,FALSE)+VLOOKUP($A403,A:AL,22,FALSE)-50)</f>
        <v>320</v>
      </c>
      <c r="V403" s="3">
        <v>332</v>
      </c>
      <c r="W403" s="3">
        <f>IF(ISERROR(VLOOKUP($A403,'NonXtal_SegEnds_BW#'!$A:$Z,16,FALSE)+VLOOKUP($A403,A:AL,22,FALSE)-50),"-",(VLOOKUP($A403,'NonXtal_SegEnds_BW#'!$A:$Z,16,FALSE)+VLOOKUP($A403,A:AL,22,FALSE)-50))</f>
        <v>345</v>
      </c>
      <c r="X403" s="3">
        <f>IF(ISERROR(VLOOKUP($A403,'NonXtal_SegEnds_BW#'!$A:$Z,17,FALSE)+VLOOKUP($A403,A:AL,25,FALSE)-50),"-",(VLOOKUP($A403,'NonXtal_SegEnds_BW#'!$A:$Z,17,FALSE)+VLOOKUP($A403,A:AL,25,FALSE)-50))</f>
        <v>357</v>
      </c>
      <c r="Y403" s="3">
        <v>357</v>
      </c>
      <c r="Z403" s="3">
        <f t="shared" si="217"/>
        <v>359</v>
      </c>
      <c r="AA403" s="3">
        <f>IF(ISERROR(VLOOKUP($A403,'NonXtal_SegEnds_BW#'!$A:$Z,19,FALSE)+VLOOKUP($A403,A:AL,28,FALSE)-50),"-",(VLOOKUP($A403,'NonXtal_SegEnds_BW#'!$A:$Z,19,FALSE)+VLOOKUP($A403,A:AL,28,FALSE)-50))</f>
        <v>364</v>
      </c>
      <c r="AB403" s="3">
        <v>378</v>
      </c>
      <c r="AC403" s="3">
        <f>IF(ISERROR((VLOOKUP($A403,'NonXtal_SegEnds_BW#'!$A:$Z,20,FALSE)+VLOOKUP($A403,A:AL,28,FALSE)-50)),"-",(VLOOKUP($A403,'NonXtal_SegEnds_BW#'!$A:$Z,20,FALSE)+VLOOKUP($A403,A:AL,28,FALSE)-50))</f>
        <v>400</v>
      </c>
      <c r="AD403" s="3">
        <f>IF(ISERROR(VLOOKUP($A403,'NonXtal_SegEnds_BW#'!$A:$Z,21,FALSE)+VLOOKUP($A403,A:AL,31,FALSE)-50),"-",(VLOOKUP($A403,'NonXtal_SegEnds_BW#'!$A:$Z,21,FALSE)+VLOOKUP($A403,A:AL,31,FALSE)-50))</f>
        <v>408</v>
      </c>
      <c r="AE403" s="3">
        <v>433</v>
      </c>
      <c r="AF403" s="3">
        <f>IF(ISERROR((VLOOKUP($A403,'NonXtal_SegEnds_BW#'!$A:$Z,22,FALSE)+VLOOKUP($A403,A:AL,31,FALSE)-50)),"-",(VLOOKUP($A403,'NonXtal_SegEnds_BW#'!$A:$Z,22,FALSE)+VLOOKUP($A403,A:AL,31,FALSE)-50))</f>
        <v>458</v>
      </c>
      <c r="AG403" s="3">
        <f>IF(ISERROR(VLOOKUP($A403,'NonXtal_SegEnds_BW#'!$A:$Z,23,FALSE)+VLOOKUP($A403,A:AL,34,FALSE)-50),"-",(VLOOKUP($A403,'NonXtal_SegEnds_BW#'!$A:$Z,23,FALSE)+VLOOKUP($A403,A:AL,34,FALSE)-50))</f>
        <v>473</v>
      </c>
      <c r="AH403" s="3">
        <v>488</v>
      </c>
      <c r="AI403" s="3">
        <f>IF(ISERROR((VLOOKUP($A403,'NonXtal_SegEnds_BW#'!$A:$Z,24,FALSE)+VLOOKUP($A403,A:AL,34,FALSE)-50)),"-",(VLOOKUP($A403,'NonXtal_SegEnds_BW#'!$A:$Z,24,FALSE)+VLOOKUP($A403,A:AL,34,FALSE)-50))</f>
        <v>495</v>
      </c>
      <c r="AJ403" s="3">
        <f>IF(ISERROR(VLOOKUP($A403,'NonXtal_SegEnds_BW#'!$A:$Z,25,FALSE)+VLOOKUP($A403,A:AL,37,FALSE)-50),"-",(VLOOKUP($A403,'NonXtal_SegEnds_BW#'!$A:$Z,25,FALSE)+VLOOKUP($A403,A:AL,37,FALSE)-50))</f>
        <v>496</v>
      </c>
      <c r="AK403" s="3">
        <v>499</v>
      </c>
      <c r="AL403" s="3">
        <f>IF(ISERROR((VLOOKUP($A403,'NonXtal_SegEnds_BW#'!$A:$Z,26,FALSE)+VLOOKUP($A403,A:AL,37,FALSE)-50)),"-",(VLOOKUP($A403,'NonXtal_SegEnds_BW#'!$A:$Z,26,FALSE)+VLOOKUP($A403,A:AL,37,FALSE)-50))</f>
        <v>511</v>
      </c>
      <c r="AM403" s="71" t="str">
        <f>VLOOKUP(A403,Classification!A:B,2,FALSE)</f>
        <v>F</v>
      </c>
      <c r="AN403" s="71" t="b">
        <f t="shared" si="199"/>
        <v>1</v>
      </c>
      <c r="AO403" s="3">
        <f t="shared" si="200"/>
        <v>1</v>
      </c>
      <c r="AP403" s="3">
        <f t="shared" si="201"/>
        <v>1</v>
      </c>
      <c r="AQ403" s="3" t="str">
        <f t="shared" si="202"/>
        <v>-</v>
      </c>
      <c r="AR403" s="3" t="str">
        <f t="shared" si="203"/>
        <v>-</v>
      </c>
      <c r="AS403" s="3" t="str">
        <f t="shared" si="204"/>
        <v>-</v>
      </c>
      <c r="AT403" s="3" t="str">
        <f t="shared" si="205"/>
        <v>-</v>
      </c>
      <c r="AU403" s="3">
        <f t="shared" si="206"/>
        <v>12</v>
      </c>
      <c r="AV403" s="3">
        <f t="shared" si="207"/>
        <v>5</v>
      </c>
      <c r="AW403" s="3">
        <f t="shared" si="208"/>
        <v>8</v>
      </c>
      <c r="AX403" s="3">
        <f t="shared" si="209"/>
        <v>15</v>
      </c>
      <c r="AY403" s="3">
        <f t="shared" si="210"/>
        <v>1</v>
      </c>
      <c r="AZ403" s="3">
        <f>IF(ISERROR(LEN(VLOOKUP(A403,Seqs!A:E,2,FALSE))-AL403),"-",LEN(VLOOKUP(A403,Seqs!A:E,2,FALSE))-AL403)</f>
        <v>195</v>
      </c>
      <c r="BA403" s="35">
        <f t="shared" si="211"/>
        <v>26</v>
      </c>
      <c r="BB403" s="3" t="str">
        <f t="shared" si="212"/>
        <v>-</v>
      </c>
      <c r="BC403" s="3">
        <f t="shared" si="213"/>
        <v>26</v>
      </c>
      <c r="BD403" s="3">
        <f t="shared" si="214"/>
        <v>55</v>
      </c>
    </row>
    <row r="404" spans="1:57" s="3" customFormat="1" x14ac:dyDescent="0.2">
      <c r="A404" s="3" t="s">
        <v>415</v>
      </c>
      <c r="B404" s="3" t="str">
        <f>LOWER(VLOOKUP(A404,Xtal_Templ!A:B,2,FALSE))</f>
        <v>us28_hcmva</v>
      </c>
      <c r="C404" s="3">
        <f>VLOOKUP($A404,'NonXtal_SegEnds_BW#'!$A:$Z,3,FALSE)+D404-50</f>
        <v>8</v>
      </c>
      <c r="D404" s="3">
        <v>33</v>
      </c>
      <c r="E404" s="3">
        <f>IF(ISERROR(VLOOKUP($A404,'NonXtal_SegEnds_BW#'!$A:$Z,4,FALSE)+VLOOKUP($A404,A:AL,4,FALSE)-50),"-",(VLOOKUP($A404,'NonXtal_SegEnds_BW#'!$A:$Z,4,FALSE)+VLOOKUP($A404,A:AL,4,FALSE)-50))</f>
        <v>43</v>
      </c>
      <c r="F404" s="3" t="str">
        <f>IF(ISERROR(VLOOKUP($A404,'NonXtal_SegEnds_BW#'!$A:$Z,5,FALSE)+VLOOKUP($A404,A:AL,7,FALSE)-50),"-",(VLOOKUP($A404,'NonXtal_SegEnds_BW#'!$A:$Z,5,FALSE)+VLOOKUP($A404,A:AL,7,FALSE)-50))</f>
        <v>-</v>
      </c>
      <c r="G404" s="3" t="s">
        <v>129</v>
      </c>
      <c r="H404" s="3" t="str">
        <f>IF(ISERROR(VLOOKUP($A404,'NonXtal_SegEnds_BW#'!$A:$Z,6,FALSE)+VLOOKUP($A404,A:AL,7,FALSE)-50),"-",(VLOOKUP($A404,'NonXtal_SegEnds_BW#'!$A:$Z,6,FALSE)+VLOOKUP($A404,A:AL,7,FALSE)-50))</f>
        <v>-</v>
      </c>
      <c r="I404" s="3">
        <f>VLOOKUP($A404,'NonXtal_SegEnds_BW#'!$A:$Z,7,FALSE)+J404-50</f>
        <v>49</v>
      </c>
      <c r="J404" s="3">
        <v>62</v>
      </c>
      <c r="K404" s="3">
        <f>VLOOKUP($A404,'NonXtal_SegEnds_BW#'!$A:$Z,8,FALSE)+VLOOKUP($A404,A:AL,10,FALSE)-50</f>
        <v>79</v>
      </c>
      <c r="L404" s="3">
        <f>M404-1</f>
        <v>87</v>
      </c>
      <c r="M404" s="3">
        <v>88</v>
      </c>
      <c r="N404" s="3">
        <f>M404+2</f>
        <v>90</v>
      </c>
      <c r="O404" s="3">
        <f>N404+1</f>
        <v>91</v>
      </c>
      <c r="P404" s="3">
        <v>131</v>
      </c>
      <c r="Q404" s="3">
        <f>VLOOKUP($A404,'NonXtal_SegEnds_BW#'!$A:$Z,12,FALSE)+VLOOKUP($A404,A:AL,16,FALSE)-50</f>
        <v>137</v>
      </c>
      <c r="R404" s="3" t="str">
        <f>S404</f>
        <v>-</v>
      </c>
      <c r="S404" s="3" t="s">
        <v>129</v>
      </c>
      <c r="T404" s="3" t="s">
        <v>129</v>
      </c>
      <c r="U404" s="3">
        <f>IF(ISERROR(VLOOKUP($A404,'NonXtal_SegEnds_BW#'!$A:$Z,15,FALSE)+VLOOKUP($A404,A:AL,22,FALSE)-50),"-",VLOOKUP($A404,'NonXtal_SegEnds_BW#'!$A:$Z,15,FALSE)+VLOOKUP($A404,A:AL,22,FALSE)-50)</f>
        <v>147</v>
      </c>
      <c r="V404" s="3">
        <v>158</v>
      </c>
      <c r="W404" s="3">
        <f>IF(ISERROR(VLOOKUP($A404,'NonXtal_SegEnds_BW#'!$A:$Z,16,FALSE)+VLOOKUP($A404,A:AL,22,FALSE)-50),"-",(VLOOKUP($A404,'NonXtal_SegEnds_BW#'!$A:$Z,16,FALSE)+VLOOKUP($A404,A:AL,22,FALSE)-50))</f>
        <v>171</v>
      </c>
      <c r="X404" s="3" t="str">
        <f>IF(ISERROR(VLOOKUP($A404,'NonXtal_SegEnds_BW#'!$A:$Z,17,FALSE)+VLOOKUP($A404,A:AL,25,FALSE)-50),"-",(VLOOKUP($A404,'NonXtal_SegEnds_BW#'!$A:$Z,17,FALSE)+VLOOKUP($A404,A:AL,25,FALSE)-50))</f>
        <v>-</v>
      </c>
      <c r="Y404" s="3" t="s">
        <v>129</v>
      </c>
      <c r="Z404" s="3" t="str">
        <f>IF(ISERROR(VLOOKUP($A404,'NonXtal_SegEnds_BW#'!$A:$Z,18,FALSE)+VLOOKUP($A404,A:AL,25,FALSE)-50),"-",(VLOOKUP($A404,'NonXtal_SegEnds_BW#'!$A:$Z,18,FALSE)+VLOOKUP($A404,A:AL,25,FALSE)-50))</f>
        <v>-</v>
      </c>
      <c r="AA404" s="3">
        <f>IF(ISERROR(VLOOKUP($A404,'NonXtal_SegEnds_BW#'!$A:$Z,19,FALSE)+VLOOKUP($A404,A:AL,28,FALSE)-50),"-",(VLOOKUP($A404,'NonXtal_SegEnds_BW#'!$A:$Z,19,FALSE)+VLOOKUP($A404,A:AL,28,FALSE)-50))</f>
        <v>193</v>
      </c>
      <c r="AB404" s="3">
        <v>211</v>
      </c>
      <c r="AC404" s="3">
        <f>IF(ISERROR((VLOOKUP($A404,'NonXtal_SegEnds_BW#'!$A:$Z,20,FALSE)+VLOOKUP($A404,A:AL,28,FALSE)-50)),"-",(VLOOKUP($A404,'NonXtal_SegEnds_BW#'!$A:$Z,20,FALSE)+VLOOKUP($A404,A:AL,28,FALSE)-50))</f>
        <v>237</v>
      </c>
      <c r="AD404" s="3">
        <f>IF(ISERROR(VLOOKUP($A404,'NonXtal_SegEnds_BW#'!$A:$Z,21,FALSE)+VLOOKUP($A404,A:AL,31,FALSE)-50),"-",(VLOOKUP($A404,'NonXtal_SegEnds_BW#'!$A:$Z,21,FALSE)+VLOOKUP($A404,A:AL,31,FALSE)-50))</f>
        <v>299</v>
      </c>
      <c r="AE404" s="3">
        <v>325</v>
      </c>
      <c r="AF404" s="3">
        <f>IF(ISERROR((VLOOKUP($A404,'NonXtal_SegEnds_BW#'!$A:$Z,22,FALSE)+VLOOKUP($A404,A:AL,31,FALSE)-50)),"-",(VLOOKUP($A404,'NonXtal_SegEnds_BW#'!$A:$Z,22,FALSE)+VLOOKUP($A404,A:AL,31,FALSE)-50))</f>
        <v>336</v>
      </c>
      <c r="AG404" s="3">
        <f>IF(ISERROR(VLOOKUP($A404,'NonXtal_SegEnds_BW#'!$A:$Z,23,FALSE)+VLOOKUP($A404,A:AL,34,FALSE)-50),"-",(VLOOKUP($A404,'NonXtal_SegEnds_BW#'!$A:$Z,23,FALSE)+VLOOKUP($A404,A:AL,34,FALSE)-50))</f>
        <v>341</v>
      </c>
      <c r="AH404" s="3">
        <v>359</v>
      </c>
      <c r="AI404" s="3">
        <f>IF(ISERROR((VLOOKUP($A404,'NonXtal_SegEnds_BW#'!$A:$Z,24,FALSE)+VLOOKUP($A404,A:AL,34,FALSE)-50)),"-",(VLOOKUP($A404,'NonXtal_SegEnds_BW#'!$A:$Z,24,FALSE)+VLOOKUP($A404,A:AL,34,FALSE)-50))</f>
        <v>365</v>
      </c>
      <c r="AJ404" s="3">
        <f>IF(ISERROR(VLOOKUP($A404,'NonXtal_SegEnds_BW#'!$A:$Z,25,FALSE)+VLOOKUP($A404,A:AL,37,FALSE)-50),"-",(VLOOKUP($A404,'NonXtal_SegEnds_BW#'!$A:$Z,25,FALSE)+VLOOKUP($A404,A:AL,37,FALSE)-50))</f>
        <v>366</v>
      </c>
      <c r="AK404" s="3">
        <v>369</v>
      </c>
      <c r="AL404" s="3">
        <f>IF(ISERROR((VLOOKUP($A404,'NonXtal_SegEnds_BW#'!$A:$Z,26,FALSE)+VLOOKUP($A404,A:AL,37,FALSE)-50)),"-",(VLOOKUP($A404,'NonXtal_SegEnds_BW#'!$A:$Z,26,FALSE)+VLOOKUP($A404,A:AL,37,FALSE)-50))</f>
        <v>381</v>
      </c>
      <c r="AM404" s="71" t="str">
        <f>VLOOKUP(A404,Classification!A:B,2,FALSE)</f>
        <v>A</v>
      </c>
      <c r="AN404" s="71" t="b">
        <f t="shared" si="199"/>
        <v>1</v>
      </c>
      <c r="AO404" s="3" t="str">
        <f t="shared" si="200"/>
        <v>-</v>
      </c>
      <c r="AP404" s="3" t="str">
        <f t="shared" si="201"/>
        <v>-</v>
      </c>
      <c r="AQ404" s="3">
        <f t="shared" si="202"/>
        <v>8</v>
      </c>
      <c r="AR404" s="3">
        <f t="shared" si="203"/>
        <v>1</v>
      </c>
      <c r="AS404" s="3" t="str">
        <f t="shared" si="204"/>
        <v>-</v>
      </c>
      <c r="AT404" s="3" t="str">
        <f t="shared" si="205"/>
        <v>-</v>
      </c>
      <c r="AU404" s="3" t="str">
        <f t="shared" si="206"/>
        <v>-</v>
      </c>
      <c r="AV404" s="3" t="str">
        <f t="shared" si="207"/>
        <v>-</v>
      </c>
      <c r="AW404" s="3">
        <f t="shared" si="208"/>
        <v>62</v>
      </c>
      <c r="AX404" s="3">
        <f t="shared" si="209"/>
        <v>5</v>
      </c>
      <c r="AY404" s="3">
        <f t="shared" si="210"/>
        <v>1</v>
      </c>
      <c r="AZ404" s="3">
        <f>IF(ISERROR(LEN(VLOOKUP(A404,Seqs!A:E,2,FALSE))-AL404),"-",LEN(VLOOKUP(A404,Seqs!A:E,2,FALSE))-AL404)</f>
        <v>350</v>
      </c>
      <c r="BA404" s="35">
        <f t="shared" si="211"/>
        <v>29</v>
      </c>
      <c r="BB404" s="3" t="str">
        <f t="shared" si="212"/>
        <v>-</v>
      </c>
      <c r="BC404" s="3">
        <f t="shared" si="213"/>
        <v>29</v>
      </c>
      <c r="BD404" s="3">
        <f t="shared" si="214"/>
        <v>114</v>
      </c>
    </row>
    <row r="405" spans="1:57" s="3" customFormat="1" x14ac:dyDescent="0.2">
      <c r="A405" s="3" t="s">
        <v>672</v>
      </c>
      <c r="B405" s="3" t="str">
        <f>LOWER(VLOOKUP(A405,Xtal_Templ!A:B,2,FALSE))</f>
        <v>us28_hcmva</v>
      </c>
      <c r="C405" s="3">
        <f>VLOOKUP($A405,'NonXtal_SegEnds_BW#'!$A:$Z,3,FALSE)+D405-50</f>
        <v>6</v>
      </c>
      <c r="D405" s="3">
        <v>24</v>
      </c>
      <c r="E405" s="3">
        <f>F405-1</f>
        <v>36</v>
      </c>
      <c r="F405" s="3">
        <f>G405-2</f>
        <v>37</v>
      </c>
      <c r="G405" s="3">
        <v>39</v>
      </c>
      <c r="H405" s="3">
        <f>G405+1</f>
        <v>40</v>
      </c>
      <c r="I405" s="3">
        <f>H405+1</f>
        <v>41</v>
      </c>
      <c r="J405" s="3">
        <v>55</v>
      </c>
      <c r="K405" s="3">
        <f>VLOOKUP($A405,'NonXtal_SegEnds_BW#'!$A:$Z,8,FALSE)+VLOOKUP($A405,A:AL,10,FALSE)-50</f>
        <v>71</v>
      </c>
      <c r="L405" s="3" t="str">
        <f>IF(ISERROR(VLOOKUP($A405,'NonXtal_SegEnds_BW#'!$A:$Z,9,FALSE)+VLOOKUP($A405,A:AL,13,FALSE)-50),"-",(VLOOKUP($A405,'NonXtal_SegEnds_BW#'!$A:$Z,9,FALSE)+VLOOKUP($A405,A:AL,13,FALSE)-50))</f>
        <v>-</v>
      </c>
      <c r="M405" s="3" t="s">
        <v>129</v>
      </c>
      <c r="N405" s="3" t="str">
        <f>IF(ISERROR(VLOOKUP($A405,'NonXtal_SegEnds_BW#'!$A:$Z,10,FALSE)+VLOOKUP($A405,A:AL,13,FALSE)-50),"-",(VLOOKUP($A405,'NonXtal_SegEnds_BW#'!$A:$Z,10,FALSE)+VLOOKUP($A405,A:AL,13,FALSE)-50))</f>
        <v>-</v>
      </c>
      <c r="O405" s="3">
        <f>VLOOKUP($A405,'NonXtal_SegEnds_BW#'!$A:$Z,11,FALSE)+VLOOKUP($A405,A:AL,16,FALSE)-50</f>
        <v>77</v>
      </c>
      <c r="P405" s="3">
        <v>103</v>
      </c>
      <c r="Q405" s="3">
        <f>VLOOKUP($A405,'NonXtal_SegEnds_BW#'!$A:$Z,12,FALSE)+VLOOKUP($A405,A:AL,16,FALSE)-50</f>
        <v>109</v>
      </c>
      <c r="R405" s="3">
        <f>S405</f>
        <v>112</v>
      </c>
      <c r="S405" s="3">
        <v>112</v>
      </c>
      <c r="T405" s="3">
        <f>S405+7</f>
        <v>119</v>
      </c>
      <c r="U405" s="3">
        <f>IF(ISERROR(VLOOKUP($A405,'NonXtal_SegEnds_BW#'!$A:$Z,15,FALSE)+VLOOKUP($A405,A:AL,22,FALSE)-50),"-",VLOOKUP($A405,'NonXtal_SegEnds_BW#'!$A:$Z,15,FALSE)+VLOOKUP($A405,A:AL,22,FALSE)-50)</f>
        <v>121</v>
      </c>
      <c r="V405" s="3">
        <v>132</v>
      </c>
      <c r="W405" s="3">
        <f>IF(ISERROR(VLOOKUP($A405,'NonXtal_SegEnds_BW#'!$A:$Z,16,FALSE)+VLOOKUP($A405,A:AL,22,FALSE)-50),"-",(VLOOKUP($A405,'NonXtal_SegEnds_BW#'!$A:$Z,16,FALSE)+VLOOKUP($A405,A:AL,22,FALSE)-50))</f>
        <v>145</v>
      </c>
      <c r="X405" s="3" t="str">
        <f>IF(ISERROR(VLOOKUP($A405,'NonXtal_SegEnds_BW#'!$A:$Z,17,FALSE)+VLOOKUP($A405,A:AL,25,FALSE)-50),"-",(VLOOKUP($A405,'NonXtal_SegEnds_BW#'!$A:$Z,17,FALSE)+VLOOKUP($A405,A:AL,25,FALSE)-50))</f>
        <v>-</v>
      </c>
      <c r="Y405" s="3" t="s">
        <v>129</v>
      </c>
      <c r="Z405" s="3" t="str">
        <f>IF(ISERROR(VLOOKUP($A405,'NonXtal_SegEnds_BW#'!$A:$Z,18,FALSE)+VLOOKUP($A405,A:AL,25,FALSE)-50),"-",(VLOOKUP($A405,'NonXtal_SegEnds_BW#'!$A:$Z,18,FALSE)+VLOOKUP($A405,A:AL,25,FALSE)-50))</f>
        <v>-</v>
      </c>
      <c r="AA405" s="3">
        <f>IF(ISERROR(VLOOKUP($A405,'NonXtal_SegEnds_BW#'!$A:$Z,19,FALSE)+VLOOKUP($A405,A:AL,28,FALSE)-50),"-",(VLOOKUP($A405,'NonXtal_SegEnds_BW#'!$A:$Z,19,FALSE)+VLOOKUP($A405,A:AL,28,FALSE)-50))</f>
        <v>162</v>
      </c>
      <c r="AB405" s="3">
        <v>180</v>
      </c>
      <c r="AC405" s="3">
        <f>IF(ISERROR((VLOOKUP($A405,'NonXtal_SegEnds_BW#'!$A:$Z,20,FALSE)+VLOOKUP($A405,A:AL,28,FALSE)-50)),"-",(VLOOKUP($A405,'NonXtal_SegEnds_BW#'!$A:$Z,20,FALSE)+VLOOKUP($A405,A:AL,28,FALSE)-50))</f>
        <v>202</v>
      </c>
      <c r="AD405" s="3">
        <f>IF(ISERROR(VLOOKUP($A405,'NonXtal_SegEnds_BW#'!$A:$Z,21,FALSE)+VLOOKUP($A405,A:AL,31,FALSE)-50),"-",(VLOOKUP($A405,'NonXtal_SegEnds_BW#'!$A:$Z,21,FALSE)+VLOOKUP($A405,A:AL,31,FALSE)-50))</f>
        <v>212</v>
      </c>
      <c r="AE405" s="3">
        <v>233</v>
      </c>
      <c r="AF405" s="3">
        <f>IF(ISERROR((VLOOKUP($A405,'NonXtal_SegEnds_BW#'!$A:$Z,22,FALSE)+VLOOKUP($A405,A:AL,31,FALSE)-50)),"-",(VLOOKUP($A405,'NonXtal_SegEnds_BW#'!$A:$Z,22,FALSE)+VLOOKUP($A405,A:AL,31,FALSE)-50))</f>
        <v>244</v>
      </c>
      <c r="AG405" s="3">
        <f>IF(ISERROR(VLOOKUP($A405,'NonXtal_SegEnds_BW#'!$A:$Z,23,FALSE)+VLOOKUP($A405,A:AL,34,FALSE)-50),"-",(VLOOKUP($A405,'NonXtal_SegEnds_BW#'!$A:$Z,23,FALSE)+VLOOKUP($A405,A:AL,34,FALSE)-50))</f>
        <v>250</v>
      </c>
      <c r="AH405" s="3">
        <v>269</v>
      </c>
      <c r="AI405" s="3">
        <f>IF(ISERROR((VLOOKUP($A405,'NonXtal_SegEnds_BW#'!$A:$Z,24,FALSE)+VLOOKUP($A405,A:AL,34,FALSE)-50)),"-",(VLOOKUP($A405,'NonXtal_SegEnds_BW#'!$A:$Z,24,FALSE)+VLOOKUP($A405,A:AL,34,FALSE)-50))</f>
        <v>275</v>
      </c>
      <c r="AJ405" s="3">
        <f>IF(ISERROR(VLOOKUP($A405,'NonXtal_SegEnds_BW#'!$A:$Z,25,FALSE)+VLOOKUP($A405,A:AL,37,FALSE)-50),"-",(VLOOKUP($A405,'NonXtal_SegEnds_BW#'!$A:$Z,25,FALSE)+VLOOKUP($A405,A:AL,37,FALSE)-50))</f>
        <v>276</v>
      </c>
      <c r="AK405" s="3">
        <v>279</v>
      </c>
      <c r="AL405" s="3">
        <f>IF(ISERROR((VLOOKUP($A405,'NonXtal_SegEnds_BW#'!$A:$Z,26,FALSE)+VLOOKUP($A405,A:AL,37,FALSE)-50)),"-",(VLOOKUP($A405,'NonXtal_SegEnds_BW#'!$A:$Z,26,FALSE)+VLOOKUP($A405,A:AL,37,FALSE)-50))</f>
        <v>289</v>
      </c>
      <c r="AM405" s="71" t="str">
        <f>VLOOKUP(A405,Classification!A:B,2,FALSE)</f>
        <v>T</v>
      </c>
      <c r="AN405" s="71" t="b">
        <f t="shared" si="199"/>
        <v>1</v>
      </c>
      <c r="AO405" s="3">
        <f t="shared" si="200"/>
        <v>1</v>
      </c>
      <c r="AP405" s="3">
        <f t="shared" si="201"/>
        <v>1</v>
      </c>
      <c r="AQ405" s="3" t="str">
        <f t="shared" si="202"/>
        <v>-</v>
      </c>
      <c r="AR405" s="3" t="str">
        <f t="shared" si="203"/>
        <v>-</v>
      </c>
      <c r="AS405" s="3">
        <f t="shared" si="204"/>
        <v>3</v>
      </c>
      <c r="AT405" s="3">
        <f t="shared" si="205"/>
        <v>2</v>
      </c>
      <c r="AU405" s="3" t="str">
        <f t="shared" si="206"/>
        <v>-</v>
      </c>
      <c r="AV405" s="3" t="str">
        <f t="shared" si="207"/>
        <v>-</v>
      </c>
      <c r="AW405" s="3">
        <f t="shared" si="208"/>
        <v>10</v>
      </c>
      <c r="AX405" s="3">
        <f t="shared" si="209"/>
        <v>6</v>
      </c>
      <c r="AY405" s="3">
        <f t="shared" si="210"/>
        <v>1</v>
      </c>
      <c r="AZ405" s="3">
        <f>IF(ISERROR(LEN(VLOOKUP(A405,Seqs!A:E,2,FALSE))-AL405),"-",LEN(VLOOKUP(A405,Seqs!A:E,2,FALSE))-AL405)</f>
        <v>10</v>
      </c>
      <c r="BA405" s="35">
        <f t="shared" si="211"/>
        <v>31</v>
      </c>
      <c r="BB405" s="3">
        <f t="shared" si="212"/>
        <v>20</v>
      </c>
      <c r="BC405" s="3">
        <f t="shared" si="213"/>
        <v>31</v>
      </c>
      <c r="BD405" s="3">
        <f t="shared" si="214"/>
        <v>53</v>
      </c>
      <c r="BE405" s="3">
        <f>AH405-AE405</f>
        <v>36</v>
      </c>
    </row>
    <row r="406" spans="1:57" s="3" customFormat="1" x14ac:dyDescent="0.2">
      <c r="A406" s="3" t="s">
        <v>1120</v>
      </c>
      <c r="B406" s="3" t="str">
        <f>LOWER(VLOOKUP(A406,Xtal_Templ!A:B,2,FALSE))</f>
        <v>us28_hcmva</v>
      </c>
      <c r="C406" s="3">
        <f>VLOOKUP($A406,'NonXtal_SegEnds_BW#'!$A:$Z,3,FALSE)+D406-50</f>
        <v>26</v>
      </c>
      <c r="D406" s="3">
        <v>51</v>
      </c>
      <c r="E406" s="3">
        <f>IF(ISERROR(VLOOKUP($A406,'NonXtal_SegEnds_BW#'!$A:$Z,4,FALSE)+VLOOKUP($A406,A:AL,4,FALSE)-50),"-",(VLOOKUP($A406,'NonXtal_SegEnds_BW#'!$A:$Z,4,FALSE)+VLOOKUP($A406,A:AL,4,FALSE)-50))</f>
        <v>61</v>
      </c>
      <c r="F406" s="3">
        <f>G406-2</f>
        <v>62</v>
      </c>
      <c r="G406" s="3">
        <v>64</v>
      </c>
      <c r="H406" s="3">
        <f>G406+1</f>
        <v>65</v>
      </c>
      <c r="I406" s="3">
        <f>H406+1</f>
        <v>66</v>
      </c>
      <c r="J406" s="3">
        <v>79</v>
      </c>
      <c r="K406" s="3">
        <f>VLOOKUP($A406,'NonXtal_SegEnds_BW#'!$A:$Z,8,FALSE)+VLOOKUP($A406,A:AL,10,FALSE)-50</f>
        <v>95</v>
      </c>
      <c r="L406" s="3" t="str">
        <f>IF(ISERROR(VLOOKUP($A406,'NonXtal_SegEnds_BW#'!$A:$Z,9,FALSE)+VLOOKUP($A406,A:AL,13,FALSE)-50),"-",(VLOOKUP($A406,'NonXtal_SegEnds_BW#'!$A:$Z,9,FALSE)+VLOOKUP($A406,A:AL,13,FALSE)-50))</f>
        <v>-</v>
      </c>
      <c r="M406" s="3" t="s">
        <v>129</v>
      </c>
      <c r="N406" s="3" t="str">
        <f>IF(ISERROR(VLOOKUP($A406,'NonXtal_SegEnds_BW#'!$A:$Z,10,FALSE)+VLOOKUP($A406,A:AL,13,FALSE)-50),"-",(VLOOKUP($A406,'NonXtal_SegEnds_BW#'!$A:$Z,10,FALSE)+VLOOKUP($A406,A:AL,13,FALSE)-50))</f>
        <v>-</v>
      </c>
      <c r="O406" s="3">
        <f>VLOOKUP($A406,'NonXtal_SegEnds_BW#'!$A:$Z,11,FALSE)+VLOOKUP($A406,A:AL,16,FALSE)-50</f>
        <v>103</v>
      </c>
      <c r="P406" s="3">
        <v>129</v>
      </c>
      <c r="Q406" s="3">
        <f>VLOOKUP($A406,'NonXtal_SegEnds_BW#'!$A:$Z,12,FALSE)+VLOOKUP($A406,A:AL,16,FALSE)-50</f>
        <v>135</v>
      </c>
      <c r="R406" s="3" t="str">
        <f>IF(ISERROR(VLOOKUP($A406,'NonXtal_SegEnds_BW#'!$A:$Z,13,FALSE)+VLOOKUP($A406,A:AL,19,FALSE)-50),"-",VLOOKUP($A406,'NonXtal_SegEnds_BW#'!$A:$Z,13,FALSE)+VLOOKUP($A406,A:AL,19,FALSE)-50)</f>
        <v>-</v>
      </c>
      <c r="S406" s="3" t="s">
        <v>129</v>
      </c>
      <c r="T406" s="3" t="str">
        <f>IF(ISERROR(VLOOKUP($A406,'NonXtal_SegEnds_BW#'!$A:$Z,14,FALSE)+VLOOKUP($A406,A:AL,19,FALSE)-50),"-",(VLOOKUP($A406,'NonXtal_SegEnds_BW#'!$A:$Z,14,FALSE)+VLOOKUP($A406,A:AL,19,FALSE)-50))</f>
        <v>-</v>
      </c>
      <c r="U406" s="3">
        <f>IF(ISERROR(VLOOKUP($A406,'NonXtal_SegEnds_BW#'!$A:$Z,15,FALSE)+VLOOKUP($A406,A:AL,22,FALSE)-50),"-",VLOOKUP($A406,'NonXtal_SegEnds_BW#'!$A:$Z,15,FALSE)+VLOOKUP($A406,A:AL,22,FALSE)-50)</f>
        <v>141</v>
      </c>
      <c r="V406" s="3">
        <v>152</v>
      </c>
      <c r="W406" s="3">
        <f>IF(ISERROR(VLOOKUP($A406,'NonXtal_SegEnds_BW#'!$A:$Z,16,FALSE)+VLOOKUP($A406,A:AL,22,FALSE)-50),"-",(VLOOKUP($A406,'NonXtal_SegEnds_BW#'!$A:$Z,16,FALSE)+VLOOKUP($A406,A:AL,22,FALSE)-50))</f>
        <v>165</v>
      </c>
      <c r="X406" s="3">
        <f>IF(ISERROR(VLOOKUP($A406,'NonXtal_SegEnds_BW#'!$A:$Z,17,FALSE)+VLOOKUP($A406,A:AL,25,FALSE)-50),"-",(VLOOKUP($A406,'NonXtal_SegEnds_BW#'!$A:$Z,17,FALSE)+VLOOKUP($A406,A:AL,25,FALSE)-50))</f>
        <v>173</v>
      </c>
      <c r="Y406" s="3">
        <v>173</v>
      </c>
      <c r="Z406" s="3">
        <f>Y406+2</f>
        <v>175</v>
      </c>
      <c r="AA406" s="3">
        <f>IF(ISERROR(VLOOKUP($A406,'NonXtal_SegEnds_BW#'!$A:$Z,19,FALSE)+VLOOKUP($A406,A:AL,28,FALSE)-50),"-",(VLOOKUP($A406,'NonXtal_SegEnds_BW#'!$A:$Z,19,FALSE)+VLOOKUP($A406,A:AL,28,FALSE)-50))</f>
        <v>182</v>
      </c>
      <c r="AB406" s="3">
        <v>200</v>
      </c>
      <c r="AC406" s="3">
        <f>IF(ISERROR((VLOOKUP($A406,'NonXtal_SegEnds_BW#'!$A:$Z,20,FALSE)+VLOOKUP($A406,A:AL,28,FALSE)-50)),"-",(VLOOKUP($A406,'NonXtal_SegEnds_BW#'!$A:$Z,20,FALSE)+VLOOKUP($A406,A:AL,28,FALSE)-50))</f>
        <v>218</v>
      </c>
      <c r="AD406" s="3">
        <f>IF(ISERROR(VLOOKUP($A406,'NonXtal_SegEnds_BW#'!$A:$Z,21,FALSE)+VLOOKUP($A406,A:AL,31,FALSE)-50),"-",(VLOOKUP($A406,'NonXtal_SegEnds_BW#'!$A:$Z,21,FALSE)+VLOOKUP($A406,A:AL,31,FALSE)-50))</f>
        <v>222</v>
      </c>
      <c r="AE406" s="3">
        <v>243</v>
      </c>
      <c r="AF406" s="3">
        <f>IF(ISERROR((VLOOKUP($A406,'NonXtal_SegEnds_BW#'!$A:$Z,22,FALSE)+VLOOKUP($A406,A:AL,31,FALSE)-50)),"-",(VLOOKUP($A406,'NonXtal_SegEnds_BW#'!$A:$Z,22,FALSE)+VLOOKUP($A406,A:AL,31,FALSE)-50))</f>
        <v>257</v>
      </c>
      <c r="AG406" s="3">
        <f>IF(ISERROR(VLOOKUP($A406,'NonXtal_SegEnds_BW#'!$A:$Z,23,FALSE)+VLOOKUP($A406,A:AL,34,FALSE)-50),"-",(VLOOKUP($A406,'NonXtal_SegEnds_BW#'!$A:$Z,23,FALSE)+VLOOKUP($A406,A:AL,34,FALSE)-50))</f>
        <v>262</v>
      </c>
      <c r="AH406" s="3">
        <v>288</v>
      </c>
      <c r="AI406" s="3">
        <f>IF(ISERROR((VLOOKUP($A406,'NonXtal_SegEnds_BW#'!$A:$Z,24,FALSE)+VLOOKUP($A406,A:AL,34,FALSE)-50)),"-",(VLOOKUP($A406,'NonXtal_SegEnds_BW#'!$A:$Z,24,FALSE)+VLOOKUP($A406,A:AL,34,FALSE)-50))</f>
        <v>294</v>
      </c>
      <c r="AJ406" s="3">
        <f>IF(ISERROR(VLOOKUP($A406,'NonXtal_SegEnds_BW#'!$A:$Z,25,FALSE)+VLOOKUP($A406,A:AL,37,FALSE)-50),"-",(VLOOKUP($A406,'NonXtal_SegEnds_BW#'!$A:$Z,25,FALSE)+VLOOKUP($A406,A:AL,37,FALSE)-50))</f>
        <v>295</v>
      </c>
      <c r="AK406" s="3">
        <v>298</v>
      </c>
      <c r="AL406" s="3">
        <f>IF(ISERROR((VLOOKUP($A406,'NonXtal_SegEnds_BW#'!$A:$Z,26,FALSE)+VLOOKUP($A406,A:AL,37,FALSE)-50)),"-",(VLOOKUP($A406,'NonXtal_SegEnds_BW#'!$A:$Z,26,FALSE)+VLOOKUP($A406,A:AL,37,FALSE)-50))</f>
        <v>310</v>
      </c>
      <c r="AM406" s="71" t="str">
        <f>VLOOKUP(A406,Classification!A:B,2,FALSE)</f>
        <v>A</v>
      </c>
      <c r="AN406" s="71" t="b">
        <f t="shared" si="199"/>
        <v>1</v>
      </c>
      <c r="AO406" s="3">
        <f t="shared" si="200"/>
        <v>1</v>
      </c>
      <c r="AP406" s="3">
        <f t="shared" si="201"/>
        <v>1</v>
      </c>
      <c r="AQ406" s="3" t="str">
        <f t="shared" si="202"/>
        <v>-</v>
      </c>
      <c r="AR406" s="3" t="str">
        <f t="shared" si="203"/>
        <v>-</v>
      </c>
      <c r="AS406" s="3" t="str">
        <f t="shared" si="204"/>
        <v>-</v>
      </c>
      <c r="AT406" s="3" t="str">
        <f t="shared" si="205"/>
        <v>-</v>
      </c>
      <c r="AU406" s="3">
        <f t="shared" si="206"/>
        <v>8</v>
      </c>
      <c r="AV406" s="3">
        <f t="shared" si="207"/>
        <v>7</v>
      </c>
      <c r="AW406" s="3">
        <f t="shared" si="208"/>
        <v>4</v>
      </c>
      <c r="AX406" s="3">
        <f t="shared" si="209"/>
        <v>5</v>
      </c>
      <c r="AY406" s="3">
        <f t="shared" si="210"/>
        <v>1</v>
      </c>
      <c r="AZ406" s="3">
        <f>IF(ISERROR(LEN(VLOOKUP(A406,Seqs!A:E,2,FALSE))-AL406),"-",LEN(VLOOKUP(A406,Seqs!A:E,2,FALSE))-AL406)</f>
        <v>44</v>
      </c>
      <c r="BA406" s="35">
        <f t="shared" si="211"/>
        <v>28</v>
      </c>
      <c r="BB406" s="3" t="str">
        <f t="shared" si="212"/>
        <v>-</v>
      </c>
      <c r="BC406" s="3">
        <f t="shared" si="213"/>
        <v>28</v>
      </c>
      <c r="BD406" s="3">
        <f t="shared" si="214"/>
        <v>43</v>
      </c>
    </row>
    <row r="407" spans="1:57" s="3" customFormat="1" x14ac:dyDescent="0.2">
      <c r="AM407" s="71"/>
      <c r="AN407" s="35"/>
      <c r="BA407" s="35"/>
    </row>
    <row r="408" spans="1:57" s="3" customFormat="1" x14ac:dyDescent="0.2">
      <c r="AM408" s="71"/>
      <c r="AN408" s="35"/>
      <c r="BA408" s="35"/>
    </row>
    <row r="409" spans="1:57" s="3" customFormat="1" x14ac:dyDescent="0.2">
      <c r="AM409" s="71"/>
      <c r="AN409" s="35"/>
      <c r="BA409" s="35"/>
    </row>
  </sheetData>
  <sortState ref="A2:BF409">
    <sortCondition ref="B2:B409"/>
  </sortState>
  <customSheetViews>
    <customSheetView guid="{3E3401AF-8459-8641-BD70-AD04F80E86ED}" scale="120">
      <pane ySplit="1" topLeftCell="A2" activePane="bottomLeft" state="frozenSplit"/>
      <selection pane="bottomLeft" activeCell="M41" sqref="M41"/>
      <pageMargins left="0.7" right="0.7" top="0.75" bottom="0.75" header="0.3" footer="0.3"/>
      <pageSetup paperSize="9" orientation="portrait" horizontalDpi="0" verticalDpi="0"/>
    </customSheetView>
  </customSheetViews>
  <conditionalFormatting sqref="AN2:AN406">
    <cfRule type="containsText" dxfId="26" priority="6" operator="containsText" text="FALSE">
      <formula>NOT(ISERROR(SEARCH("FALSE",AN2)))</formula>
    </cfRule>
  </conditionalFormatting>
  <conditionalFormatting sqref="AO1:AZ1048576">
    <cfRule type="cellIs" dxfId="25" priority="4" operator="lessThan">
      <formula>1</formula>
    </cfRule>
  </conditionalFormatting>
  <conditionalFormatting sqref="E2:F406">
    <cfRule type="expression" dxfId="24" priority="24">
      <formula>NOT(OR(C2&lt;E2,C2="-",E2="-"))</formula>
    </cfRule>
  </conditionalFormatting>
  <conditionalFormatting sqref="K2:L2 K3 K4:L406">
    <cfRule type="expression" dxfId="23" priority="28">
      <formula>NOT(OR(G2&lt;K2,G2="-",K2="-"))</formula>
    </cfRule>
  </conditionalFormatting>
  <conditionalFormatting sqref="N2:O2 N4:N237 O3:O237 N238:O406">
    <cfRule type="expression" dxfId="22" priority="30">
      <formula>NOT(OR(I2&lt;N2,I2="-",N2="-"))</formula>
    </cfRule>
  </conditionalFormatting>
  <conditionalFormatting sqref="Q2:R406">
    <cfRule type="expression" dxfId="21" priority="32">
      <formula>NOT(OR(K2&lt;Q2,K2="-",Q2="-"))</formula>
    </cfRule>
  </conditionalFormatting>
  <conditionalFormatting sqref="T2:U406">
    <cfRule type="expression" dxfId="20" priority="34">
      <formula>NOT(OR(M2&lt;T2,M2="-",T2="-"))</formula>
    </cfRule>
  </conditionalFormatting>
  <conditionalFormatting sqref="W2:X406">
    <cfRule type="expression" dxfId="19" priority="36">
      <formula>NOT(OR(O2&lt;W2,O2="-",W2="-"))</formula>
    </cfRule>
  </conditionalFormatting>
  <conditionalFormatting sqref="Z2:AA406">
    <cfRule type="expression" dxfId="18" priority="38">
      <formula>NOT(OR(Q2&lt;Z2,Q2="-",Z2="-"))</formula>
    </cfRule>
  </conditionalFormatting>
  <conditionalFormatting sqref="AC2:AD406">
    <cfRule type="expression" dxfId="17" priority="40">
      <formula>NOT(OR(S2&lt;AC2,S2="-",AC2="-"))</formula>
    </cfRule>
  </conditionalFormatting>
  <conditionalFormatting sqref="AF2:AG406">
    <cfRule type="expression" dxfId="16" priority="42">
      <formula>NOT(OR(U2&lt;AF2,U2="-",AF2="-"))</formula>
    </cfRule>
  </conditionalFormatting>
  <conditionalFormatting sqref="AI2:AJ406">
    <cfRule type="expression" dxfId="15" priority="44">
      <formula>NOT(OR(W2&lt;AI2,W2="-",AI2="-"))</formula>
    </cfRule>
  </conditionalFormatting>
  <conditionalFormatting sqref="AL2:AL406">
    <cfRule type="expression" dxfId="14" priority="46">
      <formula>NOT(OR(Y2&lt;AL2,Y2="-",AL2="-"))</formula>
    </cfRule>
  </conditionalFormatting>
  <conditionalFormatting sqref="L3">
    <cfRule type="expression" dxfId="13" priority="2">
      <formula>NOT(OR(H3&lt;L3,H3="-",L3="-"))</formula>
    </cfRule>
  </conditionalFormatting>
  <conditionalFormatting sqref="N3">
    <cfRule type="expression" dxfId="12" priority="3">
      <formula>NOT(OR(I3&lt;N3,I3="-",N3="-"))</formula>
    </cfRule>
  </conditionalFormatting>
  <conditionalFormatting sqref="F2">
    <cfRule type="cellIs" dxfId="11" priority="1" operator="lessThan">
      <formula>$E$2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9"/>
  <sheetViews>
    <sheetView zoomScale="151" zoomScaleNormal="151" zoomScalePageLayoutView="151" workbookViewId="0">
      <pane ySplit="1" topLeftCell="A2" activePane="bottomLeft" state="frozenSplit"/>
      <selection pane="bottomLeft" activeCell="F5" sqref="F5"/>
    </sheetView>
  </sheetViews>
  <sheetFormatPr baseColWidth="10" defaultColWidth="11" defaultRowHeight="16" x14ac:dyDescent="0.2"/>
  <cols>
    <col min="1" max="1" width="12" style="4" customWidth="1"/>
    <col min="2" max="2" width="2.6640625" style="103" customWidth="1"/>
    <col min="3" max="4" width="6" style="4" customWidth="1"/>
    <col min="5" max="5" width="7" style="4" bestFit="1" customWidth="1"/>
    <col min="6" max="6" width="6" style="4" customWidth="1"/>
    <col min="7" max="7" width="5" style="4" customWidth="1"/>
    <col min="8" max="10" width="5" style="4" bestFit="1" customWidth="1"/>
    <col min="11" max="11" width="6" style="4" bestFit="1" customWidth="1"/>
    <col min="12" max="12" width="6" style="4" customWidth="1"/>
    <col min="13" max="14" width="6" style="4" bestFit="1" customWidth="1"/>
    <col min="15" max="15" width="5" style="4" bestFit="1" customWidth="1"/>
    <col min="16" max="16" width="6" style="4" bestFit="1" customWidth="1"/>
    <col min="17" max="17" width="5" style="5" bestFit="1" customWidth="1"/>
    <col min="18" max="21" width="5" style="4" bestFit="1" customWidth="1"/>
    <col min="22" max="16384" width="11" style="4"/>
  </cols>
  <sheetData>
    <row r="1" spans="1:22" s="73" customFormat="1" x14ac:dyDescent="0.2">
      <c r="A1" s="73" t="s">
        <v>205</v>
      </c>
      <c r="B1" s="73" t="s">
        <v>292</v>
      </c>
      <c r="C1" s="109" t="s">
        <v>56</v>
      </c>
      <c r="D1" s="45" t="s">
        <v>20</v>
      </c>
      <c r="E1" s="45" t="s">
        <v>125</v>
      </c>
      <c r="F1" s="107" t="s">
        <v>169</v>
      </c>
      <c r="G1" s="107" t="s">
        <v>170</v>
      </c>
      <c r="H1" s="45" t="s">
        <v>122</v>
      </c>
      <c r="I1" s="45" t="s">
        <v>98</v>
      </c>
      <c r="J1" s="45" t="s">
        <v>59</v>
      </c>
      <c r="K1" s="107" t="s">
        <v>1551</v>
      </c>
      <c r="L1" s="107" t="s">
        <v>1555</v>
      </c>
      <c r="M1" s="45" t="s">
        <v>43</v>
      </c>
      <c r="N1" s="45" t="s">
        <v>1554</v>
      </c>
      <c r="O1" s="45" t="s">
        <v>51</v>
      </c>
      <c r="P1" s="45" t="s">
        <v>1556</v>
      </c>
      <c r="Q1" s="62" t="s">
        <v>1536</v>
      </c>
      <c r="R1" s="73" t="s">
        <v>1540</v>
      </c>
      <c r="S1" s="73" t="s">
        <v>1537</v>
      </c>
      <c r="T1" s="73" t="s">
        <v>1538</v>
      </c>
      <c r="U1" s="73" t="s">
        <v>1539</v>
      </c>
      <c r="V1" s="73" t="s">
        <v>1323</v>
      </c>
    </row>
    <row r="2" spans="1:22" s="110" customFormat="1" x14ac:dyDescent="0.2">
      <c r="A2" s="4" t="s">
        <v>1112</v>
      </c>
      <c r="B2" s="103" t="str">
        <f>VLOOKUP(A2,Classification!A:D,2,FALSE)</f>
        <v>A</v>
      </c>
      <c r="C2" s="4"/>
      <c r="D2" s="4"/>
      <c r="E2" s="4"/>
      <c r="F2" s="4"/>
      <c r="G2" s="4"/>
      <c r="H2" s="4"/>
      <c r="I2" s="4"/>
      <c r="J2" s="4"/>
      <c r="K2" s="4"/>
      <c r="L2" s="4" t="s">
        <v>129</v>
      </c>
      <c r="M2" s="4" t="s">
        <v>43</v>
      </c>
      <c r="N2" s="4"/>
      <c r="O2" s="4" t="s">
        <v>51</v>
      </c>
      <c r="P2" s="4"/>
      <c r="Q2" s="35" t="str">
        <f>MID(VLOOKUP($A2,Seqs!$A:$B,2,FALSE),VLOOKUP($A2,'NonXtal_SegEnds_Prot#'!$A:$AL,10,FALSE),1)</f>
        <v>D</v>
      </c>
      <c r="R2" s="2" t="str">
        <f>MID(VLOOKUP($A2,Seqs!$A:$B,2,FALSE),VLOOKUP($A2,'NonXtal_SegEnds_Prot#'!$A:$AL,10,FALSE)+6,1)</f>
        <v>T</v>
      </c>
      <c r="S2" s="2" t="str">
        <f>MID(VLOOKUP($A2,Seqs!$A:$B,2,FALSE),VLOOKUP($A2,'NonXtal_SegEnds_Prot#'!$A:$AL,10,FALSE)+7,1)</f>
        <v>L</v>
      </c>
      <c r="T2" s="2" t="str">
        <f>MID(VLOOKUP($A2,Seqs!$A:$B,2,FALSE),VLOOKUP($A2,'NonXtal_SegEnds_Prot#'!$A:$AL,10,FALSE)+8,1)</f>
        <v>P</v>
      </c>
      <c r="U2" s="2" t="str">
        <f>MID(VLOOKUP($A2,Seqs!$A:$B,2,FALSE),VLOOKUP($A2,'NonXtal_SegEnds_Prot#'!$A:$AL,10,FALSE)+9,1)</f>
        <v>F</v>
      </c>
    </row>
    <row r="3" spans="1:22" x14ac:dyDescent="0.2">
      <c r="A3" s="4" t="s">
        <v>352</v>
      </c>
      <c r="B3" s="103" t="str">
        <f>VLOOKUP(A3,Classification!A:D,2,FALSE)</f>
        <v>A</v>
      </c>
      <c r="D3" s="103" t="s">
        <v>129</v>
      </c>
      <c r="I3" s="4" t="s">
        <v>98</v>
      </c>
      <c r="L3" s="4" t="s">
        <v>129</v>
      </c>
      <c r="M3" s="4" t="s">
        <v>43</v>
      </c>
      <c r="N3" s="4" t="s">
        <v>129</v>
      </c>
      <c r="O3" s="4" t="s">
        <v>51</v>
      </c>
      <c r="Q3" s="35" t="str">
        <f>MID(VLOOKUP($A3,Seqs!$A:$B,2,FALSE),VLOOKUP($A3,'NonXtal_SegEnds_Prot#'!$A:$AL,10,FALSE),1)</f>
        <v>D</v>
      </c>
      <c r="R3" s="2" t="str">
        <f>MID(VLOOKUP($A3,Seqs!$A:$B,2,FALSE),VLOOKUP($A3,'NonXtal_SegEnds_Prot#'!$A:$AL,10,FALSE)+6,1)</f>
        <v>T</v>
      </c>
      <c r="S3" s="2" t="str">
        <f>MID(VLOOKUP($A3,Seqs!$A:$B,2,FALSE),VLOOKUP($A3,'NonXtal_SegEnds_Prot#'!$A:$AL,10,FALSE)+7,1)</f>
        <v>L</v>
      </c>
      <c r="T3" s="2" t="str">
        <f>MID(VLOOKUP($A3,Seqs!$A:$B,2,FALSE),VLOOKUP($A3,'NonXtal_SegEnds_Prot#'!$A:$AL,10,FALSE)+8,1)</f>
        <v>P</v>
      </c>
      <c r="U3" s="2" t="str">
        <f>MID(VLOOKUP($A3,Seqs!$A:$B,2,FALSE),VLOOKUP($A3,'NonXtal_SegEnds_Prot#'!$A:$AL,10,FALSE)+9,1)</f>
        <v>L</v>
      </c>
    </row>
    <row r="4" spans="1:22" x14ac:dyDescent="0.2">
      <c r="A4" s="4" t="s">
        <v>367</v>
      </c>
      <c r="B4" s="103" t="str">
        <f>VLOOKUP(A4,Classification!A:D,2,FALSE)</f>
        <v>A</v>
      </c>
      <c r="J4" s="4" t="s">
        <v>59</v>
      </c>
      <c r="L4" s="4" t="s">
        <v>129</v>
      </c>
      <c r="M4" s="4" t="s">
        <v>43</v>
      </c>
      <c r="N4" s="4" t="s">
        <v>129</v>
      </c>
      <c r="O4" s="4" t="s">
        <v>51</v>
      </c>
      <c r="Q4" s="35" t="str">
        <f>MID(VLOOKUP($A4,Seqs!$A:$B,2,FALSE),VLOOKUP($A4,'NonXtal_SegEnds_Prot#'!$A:$AL,10,FALSE),1)</f>
        <v>D</v>
      </c>
      <c r="R4" s="2" t="str">
        <f>MID(VLOOKUP($A4,Seqs!$A:$B,2,FALSE),VLOOKUP($A4,'NonXtal_SegEnds_Prot#'!$A:$AL,10,FALSE)+6,1)</f>
        <v>T</v>
      </c>
      <c r="S4" s="2" t="str">
        <f>MID(VLOOKUP($A4,Seqs!$A:$B,2,FALSE),VLOOKUP($A4,'NonXtal_SegEnds_Prot#'!$A:$AL,10,FALSE)+7,1)</f>
        <v>V</v>
      </c>
      <c r="T4" s="2" t="str">
        <f>MID(VLOOKUP($A4,Seqs!$A:$B,2,FALSE),VLOOKUP($A4,'NonXtal_SegEnds_Prot#'!$A:$AL,10,FALSE)+8,1)</f>
        <v>P</v>
      </c>
      <c r="U4" s="2" t="str">
        <f>MID(VLOOKUP($A4,Seqs!$A:$B,2,FALSE),VLOOKUP($A4,'NonXtal_SegEnds_Prot#'!$A:$AL,10,FALSE)+9,1)</f>
        <v>F</v>
      </c>
    </row>
    <row r="5" spans="1:22" x14ac:dyDescent="0.2">
      <c r="A5" s="4" t="s">
        <v>1391</v>
      </c>
      <c r="B5" s="103" t="str">
        <f>VLOOKUP(A5,Classification!A:D,2,FALSE)</f>
        <v>A</v>
      </c>
      <c r="J5" s="4" t="s">
        <v>59</v>
      </c>
      <c r="L5" s="4" t="s">
        <v>129</v>
      </c>
      <c r="M5" s="4" t="s">
        <v>43</v>
      </c>
      <c r="N5" s="4" t="s">
        <v>129</v>
      </c>
      <c r="O5" s="4" t="s">
        <v>51</v>
      </c>
      <c r="Q5" s="35" t="str">
        <f>MID(VLOOKUP($A5,Seqs!$A:$B,2,FALSE),VLOOKUP($A5,'NonXtal_SegEnds_Prot#'!$A:$AL,10,FALSE),1)</f>
        <v>D</v>
      </c>
      <c r="R5" s="2" t="str">
        <f>MID(VLOOKUP($A5,Seqs!$A:$B,2,FALSE),VLOOKUP($A5,'NonXtal_SegEnds_Prot#'!$A:$AL,10,FALSE)+6,1)</f>
        <v>T</v>
      </c>
      <c r="S5" s="2" t="str">
        <f>MID(VLOOKUP($A5,Seqs!$A:$B,2,FALSE),VLOOKUP($A5,'NonXtal_SegEnds_Prot#'!$A:$AL,10,FALSE)+7,1)</f>
        <v>L</v>
      </c>
      <c r="T5" s="2" t="str">
        <f>MID(VLOOKUP($A5,Seqs!$A:$B,2,FALSE),VLOOKUP($A5,'NonXtal_SegEnds_Prot#'!$A:$AL,10,FALSE)+8,1)</f>
        <v>P</v>
      </c>
      <c r="U5" s="2" t="str">
        <f>MID(VLOOKUP($A5,Seqs!$A:$B,2,FALSE),VLOOKUP($A5,'NonXtal_SegEnds_Prot#'!$A:$AL,10,FALSE)+9,1)</f>
        <v>F</v>
      </c>
    </row>
    <row r="6" spans="1:22" x14ac:dyDescent="0.2">
      <c r="A6" s="4" t="s">
        <v>1392</v>
      </c>
      <c r="B6" s="103" t="str">
        <f>VLOOKUP(A6,Classification!A:D,2,FALSE)</f>
        <v>A</v>
      </c>
      <c r="L6" s="4" t="s">
        <v>129</v>
      </c>
      <c r="M6" s="4" t="s">
        <v>43</v>
      </c>
      <c r="N6" s="4" t="s">
        <v>1554</v>
      </c>
      <c r="O6" s="4" t="s">
        <v>51</v>
      </c>
      <c r="Q6" s="35" t="str">
        <f>MID(VLOOKUP($A6,Seqs!$A:$B,2,FALSE),VLOOKUP($A6,'NonXtal_SegEnds_Prot#'!$A:$AL,10,FALSE),1)</f>
        <v>D</v>
      </c>
      <c r="R6" s="2" t="str">
        <f>MID(VLOOKUP($A6,Seqs!$A:$B,2,FALSE),VLOOKUP($A6,'NonXtal_SegEnds_Prot#'!$A:$AL,10,FALSE)+6,1)</f>
        <v>S</v>
      </c>
      <c r="S6" s="2" t="str">
        <f>MID(VLOOKUP($A6,Seqs!$A:$B,2,FALSE),VLOOKUP($A6,'NonXtal_SegEnds_Prot#'!$A:$AL,10,FALSE)+7,1)</f>
        <v>L</v>
      </c>
      <c r="T6" s="2" t="str">
        <f>MID(VLOOKUP($A6,Seqs!$A:$B,2,FALSE),VLOOKUP($A6,'NonXtal_SegEnds_Prot#'!$A:$AL,10,FALSE)+8,1)</f>
        <v>P</v>
      </c>
      <c r="U6" s="2" t="str">
        <f>MID(VLOOKUP($A6,Seqs!$A:$B,2,FALSE),VLOOKUP($A6,'NonXtal_SegEnds_Prot#'!$A:$AL,10,FALSE)+9,1)</f>
        <v>L</v>
      </c>
    </row>
    <row r="7" spans="1:22" x14ac:dyDescent="0.2">
      <c r="A7" s="4" t="s">
        <v>529</v>
      </c>
      <c r="B7" s="103" t="str">
        <f>VLOOKUP(A7,Classification!A:D,2,FALSE)</f>
        <v>A</v>
      </c>
      <c r="L7" s="4" t="s">
        <v>129</v>
      </c>
      <c r="M7" s="4" t="s">
        <v>43</v>
      </c>
      <c r="O7" s="4" t="s">
        <v>51</v>
      </c>
      <c r="Q7" s="35" t="str">
        <f>MID(VLOOKUP($A7,Seqs!$A:$B,2,FALSE),VLOOKUP($A7,'NonXtal_SegEnds_Prot#'!$A:$AL,10,FALSE),1)</f>
        <v>D</v>
      </c>
      <c r="R7" s="2" t="str">
        <f>MID(VLOOKUP($A7,Seqs!$A:$B,2,FALSE),VLOOKUP($A7,'NonXtal_SegEnds_Prot#'!$A:$AL,10,FALSE)+6,1)</f>
        <v>T</v>
      </c>
      <c r="S7" s="2" t="str">
        <f>MID(VLOOKUP($A7,Seqs!$A:$B,2,FALSE),VLOOKUP($A7,'NonXtal_SegEnds_Prot#'!$A:$AL,10,FALSE)+7,1)</f>
        <v>L</v>
      </c>
      <c r="T7" s="2" t="str">
        <f>MID(VLOOKUP($A7,Seqs!$A:$B,2,FALSE),VLOOKUP($A7,'NonXtal_SegEnds_Prot#'!$A:$AL,10,FALSE)+8,1)</f>
        <v>P</v>
      </c>
      <c r="U7" s="2" t="str">
        <f>MID(VLOOKUP($A7,Seqs!$A:$B,2,FALSE),VLOOKUP($A7,'NonXtal_SegEnds_Prot#'!$A:$AL,10,FALSE)+9,1)</f>
        <v>F</v>
      </c>
    </row>
    <row r="8" spans="1:22" x14ac:dyDescent="0.2">
      <c r="A8" s="4" t="s">
        <v>530</v>
      </c>
      <c r="B8" s="103" t="str">
        <f>VLOOKUP(A8,Classification!A:D,2,FALSE)</f>
        <v>A</v>
      </c>
      <c r="L8" s="4" t="s">
        <v>129</v>
      </c>
      <c r="M8" s="4" t="s">
        <v>43</v>
      </c>
      <c r="O8" s="4" t="s">
        <v>51</v>
      </c>
      <c r="Q8" s="35" t="str">
        <f>MID(VLOOKUP($A8,Seqs!$A:$B,2,FALSE),VLOOKUP($A8,'NonXtal_SegEnds_Prot#'!$A:$AL,10,FALSE),1)</f>
        <v>D</v>
      </c>
      <c r="R8" s="2" t="str">
        <f>MID(VLOOKUP($A8,Seqs!$A:$B,2,FALSE),VLOOKUP($A8,'NonXtal_SegEnds_Prot#'!$A:$AL,10,FALSE)+6,1)</f>
        <v>T</v>
      </c>
      <c r="S8" s="2" t="str">
        <f>MID(VLOOKUP($A8,Seqs!$A:$B,2,FALSE),VLOOKUP($A8,'NonXtal_SegEnds_Prot#'!$A:$AL,10,FALSE)+7,1)</f>
        <v>M</v>
      </c>
      <c r="T8" s="2" t="str">
        <f>MID(VLOOKUP($A8,Seqs!$A:$B,2,FALSE),VLOOKUP($A8,'NonXtal_SegEnds_Prot#'!$A:$AL,10,FALSE)+8,1)</f>
        <v>P</v>
      </c>
      <c r="U8" s="2" t="str">
        <f>MID(VLOOKUP($A8,Seqs!$A:$B,2,FALSE),VLOOKUP($A8,'NonXtal_SegEnds_Prot#'!$A:$AL,10,FALSE)+9,1)</f>
        <v>F</v>
      </c>
    </row>
    <row r="9" spans="1:22" x14ac:dyDescent="0.2">
      <c r="A9" s="4" t="s">
        <v>1114</v>
      </c>
      <c r="B9" s="103" t="str">
        <f>VLOOKUP(A9,Classification!A:D,2,FALSE)</f>
        <v>A</v>
      </c>
      <c r="L9" s="4" t="s">
        <v>129</v>
      </c>
      <c r="M9" s="4" t="s">
        <v>43</v>
      </c>
      <c r="O9" s="4" t="s">
        <v>51</v>
      </c>
      <c r="Q9" s="35" t="str">
        <f>MID(VLOOKUP($A9,Seqs!$A:$B,2,FALSE),VLOOKUP($A9,'NonXtal_SegEnds_Prot#'!$A:$AL,10,FALSE),1)</f>
        <v>D</v>
      </c>
      <c r="R9" s="2" t="str">
        <f>MID(VLOOKUP($A9,Seqs!$A:$B,2,FALSE),VLOOKUP($A9,'NonXtal_SegEnds_Prot#'!$A:$AL,10,FALSE)+6,1)</f>
        <v>T</v>
      </c>
      <c r="S9" s="2" t="str">
        <f>MID(VLOOKUP($A9,Seqs!$A:$B,2,FALSE),VLOOKUP($A9,'NonXtal_SegEnds_Prot#'!$A:$AL,10,FALSE)+7,1)</f>
        <v>L</v>
      </c>
      <c r="T9" s="2" t="str">
        <f>MID(VLOOKUP($A9,Seqs!$A:$B,2,FALSE),VLOOKUP($A9,'NonXtal_SegEnds_Prot#'!$A:$AL,10,FALSE)+8,1)</f>
        <v>P</v>
      </c>
      <c r="U9" s="2" t="str">
        <f>MID(VLOOKUP($A9,Seqs!$A:$B,2,FALSE),VLOOKUP($A9,'NonXtal_SegEnds_Prot#'!$A:$AL,10,FALSE)+9,1)</f>
        <v>F</v>
      </c>
    </row>
    <row r="10" spans="1:22" x14ac:dyDescent="0.2">
      <c r="A10" s="4" t="s">
        <v>1393</v>
      </c>
      <c r="B10" s="103" t="str">
        <f>VLOOKUP(A10,Classification!A:D,2,FALSE)</f>
        <v>A</v>
      </c>
      <c r="L10" s="4" t="s">
        <v>129</v>
      </c>
      <c r="M10" s="4" t="s">
        <v>43</v>
      </c>
      <c r="O10" s="4" t="s">
        <v>51</v>
      </c>
      <c r="Q10" s="35" t="str">
        <f>MID(VLOOKUP($A10,Seqs!$A:$B,2,FALSE),VLOOKUP($A10,'NonXtal_SegEnds_Prot#'!$A:$AL,10,FALSE),1)</f>
        <v>D</v>
      </c>
      <c r="R10" s="2" t="str">
        <f>MID(VLOOKUP($A10,Seqs!$A:$B,2,FALSE),VLOOKUP($A10,'NonXtal_SegEnds_Prot#'!$A:$AL,10,FALSE)+6,1)</f>
        <v>T</v>
      </c>
      <c r="S10" s="2" t="str">
        <f>MID(VLOOKUP($A10,Seqs!$A:$B,2,FALSE),VLOOKUP($A10,'NonXtal_SegEnds_Prot#'!$A:$AL,10,FALSE)+7,1)</f>
        <v>L</v>
      </c>
      <c r="T10" s="2" t="str">
        <f>MID(VLOOKUP($A10,Seqs!$A:$B,2,FALSE),VLOOKUP($A10,'NonXtal_SegEnds_Prot#'!$A:$AL,10,FALSE)+8,1)</f>
        <v>P</v>
      </c>
      <c r="U10" s="2" t="str">
        <f>MID(VLOOKUP($A10,Seqs!$A:$B,2,FALSE),VLOOKUP($A10,'NonXtal_SegEnds_Prot#'!$A:$AL,10,FALSE)+9,1)</f>
        <v>F</v>
      </c>
    </row>
    <row r="11" spans="1:22" x14ac:dyDescent="0.2">
      <c r="A11" s="4" t="s">
        <v>539</v>
      </c>
      <c r="B11" s="103" t="str">
        <f>VLOOKUP(A11,Classification!A:D,2,FALSE)</f>
        <v>A</v>
      </c>
      <c r="J11" s="103" t="s">
        <v>129</v>
      </c>
      <c r="L11" s="4" t="s">
        <v>129</v>
      </c>
      <c r="M11" s="4" t="s">
        <v>43</v>
      </c>
      <c r="N11" s="4" t="s">
        <v>1554</v>
      </c>
      <c r="O11" s="4" t="s">
        <v>51</v>
      </c>
      <c r="Q11" s="35" t="str">
        <f>MID(VLOOKUP($A11,Seqs!$A:$B,2,FALSE),VLOOKUP($A11,'NonXtal_SegEnds_Prot#'!$A:$AL,10,FALSE),1)</f>
        <v>D</v>
      </c>
      <c r="R11" s="2" t="str">
        <f>MID(VLOOKUP($A11,Seqs!$A:$B,2,FALSE),VLOOKUP($A11,'NonXtal_SegEnds_Prot#'!$A:$AL,10,FALSE)+6,1)</f>
        <v>T</v>
      </c>
      <c r="S11" s="2" t="str">
        <f>MID(VLOOKUP($A11,Seqs!$A:$B,2,FALSE),VLOOKUP($A11,'NonXtal_SegEnds_Prot#'!$A:$AL,10,FALSE)+7,1)</f>
        <v>L</v>
      </c>
      <c r="T11" s="2" t="str">
        <f>MID(VLOOKUP($A11,Seqs!$A:$B,2,FALSE),VLOOKUP($A11,'NonXtal_SegEnds_Prot#'!$A:$AL,10,FALSE)+8,1)</f>
        <v>P</v>
      </c>
      <c r="U11" s="2" t="str">
        <f>MID(VLOOKUP($A11,Seqs!$A:$B,2,FALSE),VLOOKUP($A11,'NonXtal_SegEnds_Prot#'!$A:$AL,10,FALSE)+9,1)</f>
        <v>A</v>
      </c>
      <c r="V11" s="4" t="s">
        <v>1564</v>
      </c>
    </row>
    <row r="12" spans="1:22" x14ac:dyDescent="0.2">
      <c r="A12" s="4" t="s">
        <v>546</v>
      </c>
      <c r="B12" s="103" t="str">
        <f>VLOOKUP(A12,Classification!A:D,2,FALSE)</f>
        <v>A</v>
      </c>
      <c r="J12" s="103" t="s">
        <v>129</v>
      </c>
      <c r="L12" s="4" t="s">
        <v>129</v>
      </c>
      <c r="M12" s="4" t="s">
        <v>129</v>
      </c>
      <c r="N12" s="4" t="s">
        <v>1554</v>
      </c>
      <c r="O12" s="4" t="s">
        <v>51</v>
      </c>
      <c r="Q12" s="35" t="str">
        <f>MID(VLOOKUP($A12,Seqs!$A:$B,2,FALSE),VLOOKUP($A12,'NonXtal_SegEnds_Prot#'!$A:$AL,10,FALSE),1)</f>
        <v>D</v>
      </c>
      <c r="R12" s="2" t="str">
        <f>MID(VLOOKUP($A12,Seqs!$A:$B,2,FALSE),VLOOKUP($A12,'NonXtal_SegEnds_Prot#'!$A:$AL,10,FALSE)+6,1)</f>
        <v>T</v>
      </c>
      <c r="S12" s="2" t="str">
        <f>MID(VLOOKUP($A12,Seqs!$A:$B,2,FALSE),VLOOKUP($A12,'NonXtal_SegEnds_Prot#'!$A:$AL,10,FALSE)+7,1)</f>
        <v>F</v>
      </c>
      <c r="T12" s="2" t="str">
        <f>MID(VLOOKUP($A12,Seqs!$A:$B,2,FALSE),VLOOKUP($A12,'NonXtal_SegEnds_Prot#'!$A:$AL,10,FALSE)+8,1)</f>
        <v>P</v>
      </c>
      <c r="U12" s="2" t="str">
        <f>MID(VLOOKUP($A12,Seqs!$A:$B,2,FALSE),VLOOKUP($A12,'NonXtal_SegEnds_Prot#'!$A:$AL,10,FALSE)+9,1)</f>
        <v>F</v>
      </c>
    </row>
    <row r="13" spans="1:22" x14ac:dyDescent="0.2">
      <c r="A13" s="4" t="s">
        <v>549</v>
      </c>
      <c r="B13" s="103" t="str">
        <f>VLOOKUP(A13,Classification!A:D,2,FALSE)</f>
        <v>A</v>
      </c>
      <c r="J13" s="4" t="s">
        <v>59</v>
      </c>
      <c r="L13" s="4" t="s">
        <v>129</v>
      </c>
      <c r="M13" s="4" t="s">
        <v>129</v>
      </c>
      <c r="N13" s="4" t="s">
        <v>1554</v>
      </c>
      <c r="O13" s="4" t="s">
        <v>51</v>
      </c>
      <c r="Q13" s="35" t="str">
        <f>MID(VLOOKUP($A13,Seqs!$A:$B,2,FALSE),VLOOKUP($A13,'NonXtal_SegEnds_Prot#'!$A:$AL,10,FALSE),1)</f>
        <v>D</v>
      </c>
      <c r="R13" s="2" t="str">
        <f>MID(VLOOKUP($A13,Seqs!$A:$B,2,FALSE),VLOOKUP($A13,'NonXtal_SegEnds_Prot#'!$A:$AL,10,FALSE)+6,1)</f>
        <v>V</v>
      </c>
      <c r="S13" s="2" t="str">
        <f>MID(VLOOKUP($A13,Seqs!$A:$B,2,FALSE),VLOOKUP($A13,'NonXtal_SegEnds_Prot#'!$A:$AL,10,FALSE)+7,1)</f>
        <v>L</v>
      </c>
      <c r="T13" s="2" t="str">
        <f>MID(VLOOKUP($A13,Seqs!$A:$B,2,FALSE),VLOOKUP($A13,'NonXtal_SegEnds_Prot#'!$A:$AL,10,FALSE)+8,1)</f>
        <v>P</v>
      </c>
      <c r="U13" s="2" t="str">
        <f>MID(VLOOKUP($A13,Seqs!$A:$B,2,FALSE),VLOOKUP($A13,'NonXtal_SegEnds_Prot#'!$A:$AL,10,FALSE)+9,1)</f>
        <v>F</v>
      </c>
    </row>
    <row r="14" spans="1:22" x14ac:dyDescent="0.2">
      <c r="A14" s="4" t="s">
        <v>1120</v>
      </c>
      <c r="B14" s="103" t="str">
        <f>VLOOKUP(A14,Classification!A:D,2,FALSE)</f>
        <v>A</v>
      </c>
      <c r="J14" s="4" t="s">
        <v>59</v>
      </c>
      <c r="L14" s="4" t="s">
        <v>129</v>
      </c>
      <c r="M14" s="4" t="s">
        <v>43</v>
      </c>
      <c r="N14" s="4" t="s">
        <v>129</v>
      </c>
      <c r="O14" s="4" t="s">
        <v>51</v>
      </c>
      <c r="Q14" s="35" t="str">
        <f>MID(VLOOKUP($A14,Seqs!$A:$B,2,FALSE),VLOOKUP($A14,'NonXtal_SegEnds_Prot#'!$A:$AL,10,FALSE),1)</f>
        <v>D</v>
      </c>
      <c r="R14" s="2" t="str">
        <f>MID(VLOOKUP($A14,Seqs!$A:$B,2,FALSE),VLOOKUP($A14,'NonXtal_SegEnds_Prot#'!$A:$AL,10,FALSE)+6,1)</f>
        <v>T</v>
      </c>
      <c r="S14" s="2" t="str">
        <f>MID(VLOOKUP($A14,Seqs!$A:$B,2,FALSE),VLOOKUP($A14,'NonXtal_SegEnds_Prot#'!$A:$AL,10,FALSE)+7,1)</f>
        <v>L</v>
      </c>
      <c r="T14" s="2" t="str">
        <f>MID(VLOOKUP($A14,Seqs!$A:$B,2,FALSE),VLOOKUP($A14,'NonXtal_SegEnds_Prot#'!$A:$AL,10,FALSE)+8,1)</f>
        <v>P</v>
      </c>
      <c r="U14" s="2" t="str">
        <f>MID(VLOOKUP($A14,Seqs!$A:$B,2,FALSE),VLOOKUP($A14,'NonXtal_SegEnds_Prot#'!$A:$AL,10,FALSE)+9,1)</f>
        <v>L</v>
      </c>
    </row>
    <row r="15" spans="1:22" x14ac:dyDescent="0.2">
      <c r="A15" s="4" t="s">
        <v>297</v>
      </c>
      <c r="B15" s="103" t="str">
        <f>VLOOKUP(A15,Classification!A:D,2,FALSE)</f>
        <v>A</v>
      </c>
      <c r="E15" s="106" t="s">
        <v>125</v>
      </c>
      <c r="L15" s="4" t="s">
        <v>129</v>
      </c>
      <c r="M15" s="4" t="s">
        <v>129</v>
      </c>
      <c r="N15" s="4" t="s">
        <v>129</v>
      </c>
      <c r="O15" s="4" t="s">
        <v>51</v>
      </c>
      <c r="Q15" s="35" t="str">
        <f>MID(VLOOKUP($A15,Seqs!$A:$B,2,FALSE),VLOOKUP($A15,'NonXtal_SegEnds_Prot#'!$A:$AL,10,FALSE),1)</f>
        <v>D</v>
      </c>
      <c r="R15" s="2" t="str">
        <f>MID(VLOOKUP($A15,Seqs!$A:$B,2,FALSE),VLOOKUP($A15,'NonXtal_SegEnds_Prot#'!$A:$AL,10,FALSE)+6,1)</f>
        <v>A</v>
      </c>
      <c r="S15" s="2" t="str">
        <f>MID(VLOOKUP($A15,Seqs!$A:$B,2,FALSE),VLOOKUP($A15,'NonXtal_SegEnds_Prot#'!$A:$AL,10,FALSE)+7,1)</f>
        <v>Y</v>
      </c>
      <c r="T15" s="2" t="str">
        <f>MID(VLOOKUP($A15,Seqs!$A:$B,2,FALSE),VLOOKUP($A15,'NonXtal_SegEnds_Prot#'!$A:$AL,10,FALSE)+8,1)</f>
        <v>F</v>
      </c>
      <c r="U15" s="2" t="str">
        <f>MID(VLOOKUP($A15,Seqs!$A:$B,2,FALSE),VLOOKUP($A15,'NonXtal_SegEnds_Prot#'!$A:$AL,10,FALSE)+9,1)</f>
        <v>Y</v>
      </c>
    </row>
    <row r="16" spans="1:22" x14ac:dyDescent="0.2">
      <c r="A16" s="4" t="s">
        <v>1116</v>
      </c>
      <c r="B16" s="103" t="str">
        <f>VLOOKUP(A16,Classification!A:D,2,FALSE)</f>
        <v>A</v>
      </c>
      <c r="D16" s="4" t="s">
        <v>20</v>
      </c>
      <c r="L16" s="4" t="s">
        <v>129</v>
      </c>
      <c r="M16" s="4" t="s">
        <v>43</v>
      </c>
      <c r="O16" s="4" t="s">
        <v>51</v>
      </c>
      <c r="Q16" s="35" t="str">
        <f>MID(VLOOKUP($A16,Seqs!$A:$B,2,FALSE),VLOOKUP($A16,'NonXtal_SegEnds_Prot#'!$A:$AL,10,FALSE),1)</f>
        <v>D</v>
      </c>
      <c r="R16" s="2" t="str">
        <f>MID(VLOOKUP($A16,Seqs!$A:$B,2,FALSE),VLOOKUP($A16,'NonXtal_SegEnds_Prot#'!$A:$AL,10,FALSE)+6,1)</f>
        <v>G</v>
      </c>
      <c r="S16" s="2" t="str">
        <f>MID(VLOOKUP($A16,Seqs!$A:$B,2,FALSE),VLOOKUP($A16,'NonXtal_SegEnds_Prot#'!$A:$AL,10,FALSE)+7,1)</f>
        <v>G</v>
      </c>
      <c r="T16" s="2" t="str">
        <f>MID(VLOOKUP($A16,Seqs!$A:$B,2,FALSE),VLOOKUP($A16,'NonXtal_SegEnds_Prot#'!$A:$AL,10,FALSE)+8,1)</f>
        <v>F</v>
      </c>
      <c r="U16" s="2" t="str">
        <f>MID(VLOOKUP($A16,Seqs!$A:$B,2,FALSE),VLOOKUP($A16,'NonXtal_SegEnds_Prot#'!$A:$AL,10,FALSE)+9,1)</f>
        <v>T</v>
      </c>
    </row>
    <row r="17" spans="1:30" x14ac:dyDescent="0.2">
      <c r="A17" s="4" t="s">
        <v>533</v>
      </c>
      <c r="B17" s="103" t="str">
        <f>VLOOKUP(A17,Classification!A:D,2,FALSE)</f>
        <v>A</v>
      </c>
      <c r="D17" s="4" t="s">
        <v>20</v>
      </c>
      <c r="L17" s="4" t="s">
        <v>129</v>
      </c>
      <c r="M17" s="4" t="s">
        <v>43</v>
      </c>
      <c r="O17" s="4" t="s">
        <v>51</v>
      </c>
      <c r="Q17" s="35" t="str">
        <f>MID(VLOOKUP($A17,Seqs!$A:$B,2,FALSE),VLOOKUP($A17,'NonXtal_SegEnds_Prot#'!$A:$AL,10,FALSE),1)</f>
        <v>D</v>
      </c>
      <c r="R17" s="2" t="str">
        <f>MID(VLOOKUP($A17,Seqs!$A:$B,2,FALSE),VLOOKUP($A17,'NonXtal_SegEnds_Prot#'!$A:$AL,10,FALSE)+6,1)</f>
        <v>G</v>
      </c>
      <c r="S17" s="2" t="str">
        <f>MID(VLOOKUP($A17,Seqs!$A:$B,2,FALSE),VLOOKUP($A17,'NonXtal_SegEnds_Prot#'!$A:$AL,10,FALSE)+7,1)</f>
        <v>G</v>
      </c>
      <c r="T17" s="2" t="str">
        <f>MID(VLOOKUP($A17,Seqs!$A:$B,2,FALSE),VLOOKUP($A17,'NonXtal_SegEnds_Prot#'!$A:$AL,10,FALSE)+8,1)</f>
        <v>F</v>
      </c>
      <c r="U17" s="2" t="str">
        <f>MID(VLOOKUP($A17,Seqs!$A:$B,2,FALSE),VLOOKUP($A17,'NonXtal_SegEnds_Prot#'!$A:$AL,10,FALSE)+9,1)</f>
        <v>T</v>
      </c>
    </row>
    <row r="18" spans="1:30" x14ac:dyDescent="0.2">
      <c r="A18" s="4" t="s">
        <v>1118</v>
      </c>
      <c r="B18" s="103" t="str">
        <f>VLOOKUP(A18,Classification!A:D,2,FALSE)</f>
        <v>A</v>
      </c>
      <c r="D18" s="4" t="s">
        <v>129</v>
      </c>
      <c r="L18" s="4" t="s">
        <v>129</v>
      </c>
      <c r="M18" s="4" t="s">
        <v>43</v>
      </c>
      <c r="O18" s="4" t="s">
        <v>51</v>
      </c>
      <c r="Q18" s="35" t="str">
        <f>MID(VLOOKUP($A18,Seqs!$A:$B,2,FALSE),VLOOKUP($A18,'NonXtal_SegEnds_Prot#'!$A:$AL,10,FALSE),1)</f>
        <v>D</v>
      </c>
      <c r="R18" s="2" t="str">
        <f>MID(VLOOKUP($A18,Seqs!$A:$B,2,FALSE),VLOOKUP($A18,'NonXtal_SegEnds_Prot#'!$A:$AL,10,FALSE)+6,1)</f>
        <v>V</v>
      </c>
      <c r="S18" s="2" t="str">
        <f>MID(VLOOKUP($A18,Seqs!$A:$B,2,FALSE),VLOOKUP($A18,'NonXtal_SegEnds_Prot#'!$A:$AL,10,FALSE)+7,1)</f>
        <v>N</v>
      </c>
      <c r="T18" s="2" t="str">
        <f>MID(VLOOKUP($A18,Seqs!$A:$B,2,FALSE),VLOOKUP($A18,'NonXtal_SegEnds_Prot#'!$A:$AL,10,FALSE)+8,1)</f>
        <v>G</v>
      </c>
      <c r="U18" s="2" t="str">
        <f>MID(VLOOKUP($A18,Seqs!$A:$B,2,FALSE),VLOOKUP($A18,'NonXtal_SegEnds_Prot#'!$A:$AL,10,FALSE)+9,1)</f>
        <v>F</v>
      </c>
    </row>
    <row r="19" spans="1:30" x14ac:dyDescent="0.2">
      <c r="A19" s="4" t="s">
        <v>333</v>
      </c>
      <c r="B19" s="103" t="str">
        <f>VLOOKUP(A19,Classification!A:D,2,FALSE)</f>
        <v>A</v>
      </c>
      <c r="D19" s="4" t="s">
        <v>20</v>
      </c>
      <c r="K19" s="106" t="s">
        <v>1551</v>
      </c>
      <c r="L19" s="4" t="s">
        <v>129</v>
      </c>
      <c r="M19" s="2" t="s">
        <v>43</v>
      </c>
      <c r="O19" s="4" t="s">
        <v>51</v>
      </c>
      <c r="Q19" s="35" t="str">
        <f>MID(VLOOKUP($A19,Seqs!$A:$B,2,FALSE),VLOOKUP($A19,'NonXtal_SegEnds_Prot#'!$A:$AL,10,FALSE),1)</f>
        <v>D</v>
      </c>
      <c r="R19" s="2" t="str">
        <f>MID(VLOOKUP($A19,Seqs!$A:$B,2,FALSE),VLOOKUP($A19,'NonXtal_SegEnds_Prot#'!$A:$AL,10,FALSE)+6,1)</f>
        <v>L</v>
      </c>
      <c r="S19" s="2" t="str">
        <f>MID(VLOOKUP($A19,Seqs!$A:$B,2,FALSE),VLOOKUP($A19,'NonXtal_SegEnds_Prot#'!$A:$AL,10,FALSE)+7,1)</f>
        <v>A</v>
      </c>
      <c r="T19" s="2" t="str">
        <f>MID(VLOOKUP($A19,Seqs!$A:$B,2,FALSE),VLOOKUP($A19,'NonXtal_SegEnds_Prot#'!$A:$AL,10,FALSE)+8,1)</f>
        <v>I</v>
      </c>
      <c r="U19" s="2" t="str">
        <f>MID(VLOOKUP($A19,Seqs!$A:$B,2,FALSE),VLOOKUP($A19,'NonXtal_SegEnds_Prot#'!$A:$AL,10,FALSE)+9,1)</f>
        <v>P</v>
      </c>
    </row>
    <row r="20" spans="1:30" x14ac:dyDescent="0.2">
      <c r="A20" s="4" t="s">
        <v>1394</v>
      </c>
      <c r="B20" s="103" t="str">
        <f>VLOOKUP(A20,Classification!A:D,2,FALSE)</f>
        <v>A</v>
      </c>
      <c r="D20" s="4" t="s">
        <v>20</v>
      </c>
      <c r="J20" s="4" t="s">
        <v>59</v>
      </c>
      <c r="L20" s="4" t="s">
        <v>129</v>
      </c>
      <c r="M20" s="4" t="s">
        <v>43</v>
      </c>
      <c r="N20" s="4" t="s">
        <v>129</v>
      </c>
      <c r="O20" s="4" t="s">
        <v>51</v>
      </c>
      <c r="Q20" s="35" t="str">
        <f>MID(VLOOKUP($A20,Seqs!$A:$B,2,FALSE),VLOOKUP($A20,'NonXtal_SegEnds_Prot#'!$A:$AL,10,FALSE),1)</f>
        <v>D</v>
      </c>
      <c r="R20" s="2" t="str">
        <f>MID(VLOOKUP($A20,Seqs!$A:$B,2,FALSE),VLOOKUP($A20,'NonXtal_SegEnds_Prot#'!$A:$AL,10,FALSE)+6,1)</f>
        <v>I</v>
      </c>
      <c r="S20" s="2" t="str">
        <f>MID(VLOOKUP($A20,Seqs!$A:$B,2,FALSE),VLOOKUP($A20,'NonXtal_SegEnds_Prot#'!$A:$AL,10,FALSE)+7,1)</f>
        <v>C</v>
      </c>
      <c r="T20" s="2" t="str">
        <f>MID(VLOOKUP($A20,Seqs!$A:$B,2,FALSE),VLOOKUP($A20,'NonXtal_SegEnds_Prot#'!$A:$AL,10,FALSE)+8,1)</f>
        <v>L</v>
      </c>
      <c r="U20" s="2" t="str">
        <f>MID(VLOOKUP($A20,Seqs!$A:$B,2,FALSE),VLOOKUP($A20,'NonXtal_SegEnds_Prot#'!$A:$AL,10,FALSE)+9,1)</f>
        <v>P</v>
      </c>
    </row>
    <row r="21" spans="1:30" x14ac:dyDescent="0.2">
      <c r="A21" s="4" t="s">
        <v>1395</v>
      </c>
      <c r="B21" s="103" t="str">
        <f>VLOOKUP(A21,Classification!A:D,2,FALSE)</f>
        <v>A</v>
      </c>
      <c r="D21" s="4" t="s">
        <v>20</v>
      </c>
      <c r="J21" s="4" t="s">
        <v>59</v>
      </c>
      <c r="L21" s="4" t="s">
        <v>129</v>
      </c>
      <c r="M21" s="4" t="s">
        <v>43</v>
      </c>
      <c r="N21" s="4" t="s">
        <v>129</v>
      </c>
      <c r="O21" s="4" t="s">
        <v>51</v>
      </c>
      <c r="Q21" s="35" t="str">
        <f>MID(VLOOKUP($A21,Seqs!$A:$B,2,FALSE),VLOOKUP($A21,'NonXtal_SegEnds_Prot#'!$A:$AL,10,FALSE),1)</f>
        <v>D</v>
      </c>
      <c r="R21" s="2" t="str">
        <f>MID(VLOOKUP($A21,Seqs!$A:$B,2,FALSE),VLOOKUP($A21,'NonXtal_SegEnds_Prot#'!$A:$AL,10,FALSE)+6,1)</f>
        <v>T</v>
      </c>
      <c r="S21" s="2" t="str">
        <f>MID(VLOOKUP($A21,Seqs!$A:$B,2,FALSE),VLOOKUP($A21,'NonXtal_SegEnds_Prot#'!$A:$AL,10,FALSE)+7,1)</f>
        <v>C</v>
      </c>
      <c r="T21" s="2" t="str">
        <f>MID(VLOOKUP($A21,Seqs!$A:$B,2,FALSE),VLOOKUP($A21,'NonXtal_SegEnds_Prot#'!$A:$AL,10,FALSE)+8,1)</f>
        <v>L</v>
      </c>
      <c r="U21" s="2" t="str">
        <f>MID(VLOOKUP($A21,Seqs!$A:$B,2,FALSE),VLOOKUP($A21,'NonXtal_SegEnds_Prot#'!$A:$AL,10,FALSE)+9,1)</f>
        <v>P</v>
      </c>
    </row>
    <row r="22" spans="1:30" x14ac:dyDescent="0.2">
      <c r="A22" s="4" t="s">
        <v>208</v>
      </c>
      <c r="B22" s="103" t="str">
        <f>VLOOKUP(A22,Classification!A:D,2,FALSE)</f>
        <v>A</v>
      </c>
      <c r="D22" s="4" t="s">
        <v>20</v>
      </c>
      <c r="L22" s="4" t="s">
        <v>129</v>
      </c>
      <c r="M22" s="4" t="s">
        <v>43</v>
      </c>
      <c r="O22" s="4" t="s">
        <v>51</v>
      </c>
      <c r="Q22" s="35" t="str">
        <f>MID(VLOOKUP($A22,Seqs!$A:$B,2,FALSE),VLOOKUP($A22,'NonXtal_SegEnds_Prot#'!$A:$AL,10,FALSE),1)</f>
        <v>D</v>
      </c>
      <c r="R22" s="2" t="str">
        <f>MID(VLOOKUP($A22,Seqs!$A:$B,2,FALSE),VLOOKUP($A22,'NonXtal_SegEnds_Prot#'!$A:$AL,10,FALSE)+6,1)</f>
        <v>L</v>
      </c>
      <c r="S22" s="2" t="str">
        <f>MID(VLOOKUP($A22,Seqs!$A:$B,2,FALSE),VLOOKUP($A22,'NonXtal_SegEnds_Prot#'!$A:$AL,10,FALSE)+7,1)</f>
        <v>V</v>
      </c>
      <c r="T22" s="2" t="str">
        <f>MID(VLOOKUP($A22,Seqs!$A:$B,2,FALSE),VLOOKUP($A22,'NonXtal_SegEnds_Prot#'!$A:$AL,10,FALSE)+8,1)</f>
        <v>M</v>
      </c>
      <c r="U22" s="2" t="str">
        <f>MID(VLOOKUP($A22,Seqs!$A:$B,2,FALSE),VLOOKUP($A22,'NonXtal_SegEnds_Prot#'!$A:$AL,10,FALSE)+9,1)</f>
        <v>P</v>
      </c>
    </row>
    <row r="23" spans="1:30" x14ac:dyDescent="0.2">
      <c r="A23" s="4" t="s">
        <v>209</v>
      </c>
      <c r="B23" s="103" t="str">
        <f>VLOOKUP(A23,Classification!A:D,2,FALSE)</f>
        <v>A</v>
      </c>
      <c r="C23" s="106" t="s">
        <v>56</v>
      </c>
      <c r="D23" s="4" t="s">
        <v>20</v>
      </c>
      <c r="J23" s="4" t="s">
        <v>59</v>
      </c>
      <c r="L23" s="4" t="s">
        <v>129</v>
      </c>
      <c r="M23" s="4" t="s">
        <v>43</v>
      </c>
      <c r="O23" s="4" t="s">
        <v>51</v>
      </c>
      <c r="Q23" s="35" t="str">
        <f>MID(VLOOKUP($A23,Seqs!$A:$B,2,FALSE),VLOOKUP($A23,'NonXtal_SegEnds_Prot#'!$A:$AL,10,FALSE),1)</f>
        <v>D</v>
      </c>
      <c r="R23" s="2" t="str">
        <f>MID(VLOOKUP($A23,Seqs!$A:$B,2,FALSE),VLOOKUP($A23,'NonXtal_SegEnds_Prot#'!$A:$AL,10,FALSE)+6,1)</f>
        <v>F</v>
      </c>
      <c r="S23" s="2" t="str">
        <f>MID(VLOOKUP($A23,Seqs!$A:$B,2,FALSE),VLOOKUP($A23,'NonXtal_SegEnds_Prot#'!$A:$AL,10,FALSE)+7,1)</f>
        <v>V</v>
      </c>
      <c r="T23" s="2" t="str">
        <f>MID(VLOOKUP($A23,Seqs!$A:$B,2,FALSE),VLOOKUP($A23,'NonXtal_SegEnds_Prot#'!$A:$AL,10,FALSE)+8,1)</f>
        <v>M</v>
      </c>
      <c r="U23" s="2" t="str">
        <f>MID(VLOOKUP($A23,Seqs!$A:$B,2,FALSE),VLOOKUP($A23,'NonXtal_SegEnds_Prot#'!$A:$AL,10,FALSE)+9,1)</f>
        <v>P</v>
      </c>
    </row>
    <row r="24" spans="1:30" x14ac:dyDescent="0.2">
      <c r="A24" s="4" t="s">
        <v>340</v>
      </c>
      <c r="B24" s="103" t="str">
        <f>VLOOKUP(A24,Classification!A:D,2,FALSE)</f>
        <v>A</v>
      </c>
      <c r="D24" s="4" t="s">
        <v>20</v>
      </c>
      <c r="L24" s="4" t="s">
        <v>129</v>
      </c>
      <c r="M24" s="4" t="s">
        <v>43</v>
      </c>
      <c r="O24" s="4" t="s">
        <v>51</v>
      </c>
      <c r="Q24" s="35" t="str">
        <f>MID(VLOOKUP($A24,Seqs!$A:$B,2,FALSE),VLOOKUP($A24,'NonXtal_SegEnds_Prot#'!$A:$AL,10,FALSE),1)</f>
        <v>D</v>
      </c>
      <c r="R24" s="2" t="str">
        <f>MID(VLOOKUP($A24,Seqs!$A:$B,2,FALSE),VLOOKUP($A24,'NonXtal_SegEnds_Prot#'!$A:$AL,10,FALSE)+6,1)</f>
        <v>F</v>
      </c>
      <c r="S24" s="2" t="str">
        <f>MID(VLOOKUP($A24,Seqs!$A:$B,2,FALSE),VLOOKUP($A24,'NonXtal_SegEnds_Prot#'!$A:$AL,10,FALSE)+7,1)</f>
        <v>S</v>
      </c>
      <c r="T24" s="2" t="str">
        <f>MID(VLOOKUP($A24,Seqs!$A:$B,2,FALSE),VLOOKUP($A24,'NonXtal_SegEnds_Prot#'!$A:$AL,10,FALSE)+8,1)</f>
        <v>M</v>
      </c>
      <c r="U24" s="2" t="str">
        <f>MID(VLOOKUP($A24,Seqs!$A:$B,2,FALSE),VLOOKUP($A24,'NonXtal_SegEnds_Prot#'!$A:$AL,10,FALSE)+9,1)</f>
        <v>N</v>
      </c>
    </row>
    <row r="25" spans="1:30" x14ac:dyDescent="0.2">
      <c r="A25" s="4" t="s">
        <v>341</v>
      </c>
      <c r="B25" s="103" t="str">
        <f>VLOOKUP(A25,Classification!A:D,2,FALSE)</f>
        <v>A</v>
      </c>
      <c r="D25" s="4" t="s">
        <v>20</v>
      </c>
      <c r="L25" s="4" t="s">
        <v>129</v>
      </c>
      <c r="M25" s="4" t="s">
        <v>43</v>
      </c>
      <c r="O25" s="4" t="s">
        <v>51</v>
      </c>
      <c r="Q25" s="35" t="str">
        <f>MID(VLOOKUP($A25,Seqs!$A:$B,2,FALSE),VLOOKUP($A25,'NonXtal_SegEnds_Prot#'!$A:$AL,10,FALSE),1)</f>
        <v>D</v>
      </c>
      <c r="R25" s="2" t="str">
        <f>MID(VLOOKUP($A25,Seqs!$A:$B,2,FALSE),VLOOKUP($A25,'NonXtal_SegEnds_Prot#'!$A:$AL,10,FALSE)+6,1)</f>
        <v>F</v>
      </c>
      <c r="S25" s="2" t="str">
        <f>MID(VLOOKUP($A25,Seqs!$A:$B,2,FALSE),VLOOKUP($A25,'NonXtal_SegEnds_Prot#'!$A:$AL,10,FALSE)+7,1)</f>
        <v>S</v>
      </c>
      <c r="T25" s="2" t="str">
        <f>MID(VLOOKUP($A25,Seqs!$A:$B,2,FALSE),VLOOKUP($A25,'NonXtal_SegEnds_Prot#'!$A:$AL,10,FALSE)+8,1)</f>
        <v>M</v>
      </c>
      <c r="U25" s="2" t="str">
        <f>MID(VLOOKUP($A25,Seqs!$A:$B,2,FALSE),VLOOKUP($A25,'NonXtal_SegEnds_Prot#'!$A:$AL,10,FALSE)+9,1)</f>
        <v>N</v>
      </c>
    </row>
    <row r="26" spans="1:30" x14ac:dyDescent="0.2">
      <c r="A26" s="4" t="s">
        <v>1106</v>
      </c>
      <c r="B26" s="103" t="str">
        <f>VLOOKUP(A26,Classification!A:D,2,FALSE)</f>
        <v>A</v>
      </c>
      <c r="D26" s="4" t="s">
        <v>20</v>
      </c>
      <c r="L26" s="4" t="s">
        <v>129</v>
      </c>
      <c r="M26" s="4" t="s">
        <v>43</v>
      </c>
      <c r="O26" s="4" t="s">
        <v>51</v>
      </c>
      <c r="Q26" s="35" t="str">
        <f>MID(VLOOKUP($A26,Seqs!$A:$B,2,FALSE),VLOOKUP($A26,'NonXtal_SegEnds_Prot#'!$A:$AL,10,FALSE),1)</f>
        <v>D</v>
      </c>
      <c r="R26" s="2" t="str">
        <f>MID(VLOOKUP($A26,Seqs!$A:$B,2,FALSE),VLOOKUP($A26,'NonXtal_SegEnds_Prot#'!$A:$AL,10,FALSE)+6,1)</f>
        <v>I</v>
      </c>
      <c r="S26" s="2" t="str">
        <f>MID(VLOOKUP($A26,Seqs!$A:$B,2,FALSE),VLOOKUP($A26,'NonXtal_SegEnds_Prot#'!$A:$AL,10,FALSE)+7,1)</f>
        <v>S</v>
      </c>
      <c r="T26" s="2" t="str">
        <f>MID(VLOOKUP($A26,Seqs!$A:$B,2,FALSE),VLOOKUP($A26,'NonXtal_SegEnds_Prot#'!$A:$AL,10,FALSE)+8,1)</f>
        <v>M</v>
      </c>
      <c r="U26" s="2" t="str">
        <f>MID(VLOOKUP($A26,Seqs!$A:$B,2,FALSE),VLOOKUP($A26,'NonXtal_SegEnds_Prot#'!$A:$AL,10,FALSE)+9,1)</f>
        <v>N</v>
      </c>
    </row>
    <row r="27" spans="1:30" x14ac:dyDescent="0.2">
      <c r="A27" s="4" t="s">
        <v>343</v>
      </c>
      <c r="B27" s="103" t="str">
        <f>VLOOKUP(A27,Classification!A:D,2,FALSE)</f>
        <v>A</v>
      </c>
      <c r="D27" s="4" t="s">
        <v>20</v>
      </c>
      <c r="L27" s="4" t="s">
        <v>129</v>
      </c>
      <c r="M27" s="4" t="s">
        <v>43</v>
      </c>
      <c r="O27" s="4" t="s">
        <v>51</v>
      </c>
      <c r="Q27" s="35" t="str">
        <f>MID(VLOOKUP($A27,Seqs!$A:$B,2,FALSE),VLOOKUP($A27,'NonXtal_SegEnds_Prot#'!$A:$AL,10,FALSE),1)</f>
        <v>D</v>
      </c>
      <c r="R27" s="2" t="str">
        <f>MID(VLOOKUP($A27,Seqs!$A:$B,2,FALSE),VLOOKUP($A27,'NonXtal_SegEnds_Prot#'!$A:$AL,10,FALSE)+6,1)</f>
        <v>F</v>
      </c>
      <c r="S27" s="2" t="str">
        <f>MID(VLOOKUP($A27,Seqs!$A:$B,2,FALSE),VLOOKUP($A27,'NonXtal_SegEnds_Prot#'!$A:$AL,10,FALSE)+7,1)</f>
        <v>S</v>
      </c>
      <c r="T27" s="2" t="str">
        <f>MID(VLOOKUP($A27,Seqs!$A:$B,2,FALSE),VLOOKUP($A27,'NonXtal_SegEnds_Prot#'!$A:$AL,10,FALSE)+8,1)</f>
        <v>M</v>
      </c>
      <c r="U27" s="2" t="str">
        <f>MID(VLOOKUP($A27,Seqs!$A:$B,2,FALSE),VLOOKUP($A27,'NonXtal_SegEnds_Prot#'!$A:$AL,10,FALSE)+9,1)</f>
        <v>N</v>
      </c>
    </row>
    <row r="28" spans="1:30" x14ac:dyDescent="0.2">
      <c r="A28" s="4" t="s">
        <v>386</v>
      </c>
      <c r="B28" s="103" t="str">
        <f>VLOOKUP(A28,Classification!A:D,2,FALSE)</f>
        <v>A</v>
      </c>
      <c r="D28" s="4" t="s">
        <v>20</v>
      </c>
      <c r="J28" s="4" t="s">
        <v>59</v>
      </c>
      <c r="L28" s="4" t="s">
        <v>129</v>
      </c>
      <c r="M28" s="4" t="s">
        <v>43</v>
      </c>
      <c r="O28" s="4" t="s">
        <v>51</v>
      </c>
      <c r="Q28" s="35" t="str">
        <f>MID(VLOOKUP($A28,Seqs!$A:$B,2,FALSE),VLOOKUP($A28,'NonXtal_SegEnds_Prot#'!$A:$AL,10,FALSE),1)</f>
        <v>D</v>
      </c>
      <c r="R28" s="2" t="str">
        <f>MID(VLOOKUP($A28,Seqs!$A:$B,2,FALSE),VLOOKUP($A28,'NonXtal_SegEnds_Prot#'!$A:$AL,10,FALSE)+6,1)</f>
        <v>L</v>
      </c>
      <c r="S28" s="2" t="str">
        <f>MID(VLOOKUP($A28,Seqs!$A:$B,2,FALSE),VLOOKUP($A28,'NonXtal_SegEnds_Prot#'!$A:$AL,10,FALSE)+7,1)</f>
        <v>V</v>
      </c>
      <c r="T28" s="2" t="str">
        <f>MID(VLOOKUP($A28,Seqs!$A:$B,2,FALSE),VLOOKUP($A28,'NonXtal_SegEnds_Prot#'!$A:$AL,10,FALSE)+8,1)</f>
        <v>M</v>
      </c>
      <c r="U28" s="2" t="str">
        <f>MID(VLOOKUP($A28,Seqs!$A:$B,2,FALSE),VLOOKUP($A28,'NonXtal_SegEnds_Prot#'!$A:$AL,10,FALSE)+9,1)</f>
        <v>P</v>
      </c>
    </row>
    <row r="29" spans="1:30" s="2" customFormat="1" x14ac:dyDescent="0.2">
      <c r="A29" s="2" t="s">
        <v>390</v>
      </c>
      <c r="B29" s="103" t="str">
        <f>VLOOKUP(A29,Classification!A:D,2,FALSE)</f>
        <v>A</v>
      </c>
      <c r="D29" s="2" t="s">
        <v>20</v>
      </c>
      <c r="J29" s="2" t="s">
        <v>59</v>
      </c>
      <c r="M29" s="2" t="s">
        <v>43</v>
      </c>
      <c r="O29" s="2" t="s">
        <v>51</v>
      </c>
      <c r="Q29" s="35" t="str">
        <f>MID(VLOOKUP($A29,Seqs!$A:$B,2,FALSE),VLOOKUP($A29,'NonXtal_SegEnds_Prot#'!$A:$AL,10,FALSE),1)</f>
        <v>D</v>
      </c>
      <c r="R29" s="2" t="str">
        <f>MID(VLOOKUP($A29,Seqs!$A:$B,2,FALSE),VLOOKUP($A29,'NonXtal_SegEnds_Prot#'!$A:$AL,10,FALSE)+6,1)</f>
        <v>I</v>
      </c>
      <c r="S29" s="2" t="str">
        <f>MID(VLOOKUP($A29,Seqs!$A:$B,2,FALSE),VLOOKUP($A29,'NonXtal_SegEnds_Prot#'!$A:$AL,10,FALSE)+7,1)</f>
        <v>D</v>
      </c>
      <c r="T29" s="2" t="str">
        <f>MID(VLOOKUP($A29,Seqs!$A:$B,2,FALSE),VLOOKUP($A29,'NonXtal_SegEnds_Prot#'!$A:$AL,10,FALSE)+8,1)</f>
        <v>I</v>
      </c>
      <c r="U29" s="2" t="str">
        <f>MID(VLOOKUP($A29,Seqs!$A:$B,2,FALSE),VLOOKUP($A29,'NonXtal_SegEnds_Prot#'!$A:$AL,10,FALSE)+9,1)</f>
        <v>P</v>
      </c>
      <c r="V29" s="102"/>
      <c r="W29" s="102"/>
      <c r="X29" s="71"/>
      <c r="Y29" s="102"/>
      <c r="Z29" s="102"/>
      <c r="AA29" s="102"/>
      <c r="AB29" s="102"/>
      <c r="AC29" s="71"/>
      <c r="AD29" s="102"/>
    </row>
    <row r="30" spans="1:30" x14ac:dyDescent="0.2">
      <c r="A30" s="4" t="s">
        <v>472</v>
      </c>
      <c r="B30" s="103" t="str">
        <f>VLOOKUP(A30,Classification!A:D,2,FALSE)</f>
        <v>A</v>
      </c>
      <c r="D30" s="4" t="s">
        <v>20</v>
      </c>
      <c r="H30" s="4" t="s">
        <v>122</v>
      </c>
      <c r="L30" s="4" t="s">
        <v>129</v>
      </c>
      <c r="M30" s="4" t="s">
        <v>43</v>
      </c>
      <c r="O30" s="4" t="s">
        <v>51</v>
      </c>
      <c r="Q30" s="35" t="str">
        <f>MID(VLOOKUP($A30,Seqs!$A:$B,2,FALSE),VLOOKUP($A30,'NonXtal_SegEnds_Prot#'!$A:$AL,10,FALSE),1)</f>
        <v>D</v>
      </c>
      <c r="R30" s="2" t="str">
        <f>MID(VLOOKUP($A30,Seqs!$A:$B,2,FALSE),VLOOKUP($A30,'NonXtal_SegEnds_Prot#'!$A:$AL,10,FALSE)+6,1)</f>
        <v>V</v>
      </c>
      <c r="S30" s="2" t="str">
        <f>MID(VLOOKUP($A30,Seqs!$A:$B,2,FALSE),VLOOKUP($A30,'NonXtal_SegEnds_Prot#'!$A:$AL,10,FALSE)+7,1)</f>
        <v>V</v>
      </c>
      <c r="T30" s="2" t="str">
        <f>MID(VLOOKUP($A30,Seqs!$A:$B,2,FALSE),VLOOKUP($A30,'NonXtal_SegEnds_Prot#'!$A:$AL,10,FALSE)+8,1)</f>
        <v>M</v>
      </c>
      <c r="U30" s="2" t="str">
        <f>MID(VLOOKUP($A30,Seqs!$A:$B,2,FALSE),VLOOKUP($A30,'NonXtal_SegEnds_Prot#'!$A:$AL,10,FALSE)+9,1)</f>
        <v>P</v>
      </c>
    </row>
    <row r="31" spans="1:30" x14ac:dyDescent="0.2">
      <c r="A31" s="4" t="s">
        <v>1110</v>
      </c>
      <c r="B31" s="103" t="str">
        <f>VLOOKUP(A31,Classification!A:D,2,FALSE)</f>
        <v>A</v>
      </c>
      <c r="D31" s="4" t="s">
        <v>20</v>
      </c>
      <c r="J31" s="4" t="s">
        <v>59</v>
      </c>
      <c r="L31" s="4" t="s">
        <v>129</v>
      </c>
      <c r="M31" s="4" t="s">
        <v>43</v>
      </c>
      <c r="N31" s="4" t="s">
        <v>129</v>
      </c>
      <c r="O31" s="105" t="s">
        <v>51</v>
      </c>
      <c r="Q31" s="35" t="str">
        <f>MID(VLOOKUP($A31,Seqs!$A:$B,2,FALSE),VLOOKUP($A31,'NonXtal_SegEnds_Prot#'!$A:$AL,10,FALSE),1)</f>
        <v>D</v>
      </c>
      <c r="R31" s="2" t="str">
        <f>MID(VLOOKUP($A31,Seqs!$A:$B,2,FALSE),VLOOKUP($A31,'NonXtal_SegEnds_Prot#'!$A:$AL,10,FALSE)+6,1)</f>
        <v>L</v>
      </c>
      <c r="S31" s="2" t="str">
        <f>MID(VLOOKUP($A31,Seqs!$A:$B,2,FALSE),VLOOKUP($A31,'NonXtal_SegEnds_Prot#'!$A:$AL,10,FALSE)+7,1)</f>
        <v>A</v>
      </c>
      <c r="T31" s="2" t="str">
        <f>MID(VLOOKUP($A31,Seqs!$A:$B,2,FALSE),VLOOKUP($A31,'NonXtal_SegEnds_Prot#'!$A:$AL,10,FALSE)+8,1)</f>
        <v>M</v>
      </c>
      <c r="U31" s="2" t="str">
        <f>MID(VLOOKUP($A31,Seqs!$A:$B,2,FALSE),VLOOKUP($A31,'NonXtal_SegEnds_Prot#'!$A:$AL,10,FALSE)+9,1)</f>
        <v>P</v>
      </c>
    </row>
    <row r="32" spans="1:30" x14ac:dyDescent="0.2">
      <c r="A32" s="4" t="s">
        <v>298</v>
      </c>
      <c r="B32" s="103" t="str">
        <f>VLOOKUP(A32,Classification!A:D,2,FALSE)</f>
        <v>A</v>
      </c>
      <c r="E32" s="106" t="s">
        <v>125</v>
      </c>
      <c r="L32" s="4" t="s">
        <v>129</v>
      </c>
      <c r="M32" s="4" t="s">
        <v>129</v>
      </c>
      <c r="N32" s="4" t="s">
        <v>129</v>
      </c>
      <c r="O32" s="4" t="s">
        <v>51</v>
      </c>
      <c r="Q32" s="35" t="str">
        <f>MID(VLOOKUP($A32,Seqs!$A:$B,2,FALSE),VLOOKUP($A32,'NonXtal_SegEnds_Prot#'!$A:$AL,10,FALSE),1)</f>
        <v>D</v>
      </c>
      <c r="R32" s="2" t="str">
        <f>MID(VLOOKUP($A32,Seqs!$A:$B,2,FALSE),VLOOKUP($A32,'NonXtal_SegEnds_Prot#'!$A:$AL,10,FALSE)+6,1)</f>
        <v>A</v>
      </c>
      <c r="S32" s="2" t="str">
        <f>MID(VLOOKUP($A32,Seqs!$A:$B,2,FALSE),VLOOKUP($A32,'NonXtal_SegEnds_Prot#'!$A:$AL,10,FALSE)+7,1)</f>
        <v>Y</v>
      </c>
      <c r="T32" s="2" t="str">
        <f>MID(VLOOKUP($A32,Seqs!$A:$B,2,FALSE),VLOOKUP($A32,'NonXtal_SegEnds_Prot#'!$A:$AL,10,FALSE)+8,1)</f>
        <v>T</v>
      </c>
      <c r="U32" s="2" t="str">
        <f>MID(VLOOKUP($A32,Seqs!$A:$B,2,FALSE),VLOOKUP($A32,'NonXtal_SegEnds_Prot#'!$A:$AL,10,FALSE)+9,1)</f>
        <v>A</v>
      </c>
    </row>
    <row r="33" spans="1:21" x14ac:dyDescent="0.2">
      <c r="A33" s="4" t="s">
        <v>1108</v>
      </c>
      <c r="B33" s="103" t="str">
        <f>VLOOKUP(A33,Classification!A:D,2,FALSE)</f>
        <v>A</v>
      </c>
      <c r="D33" s="4" t="s">
        <v>20</v>
      </c>
      <c r="L33" s="4" t="s">
        <v>129</v>
      </c>
      <c r="M33" s="4" t="s">
        <v>43</v>
      </c>
      <c r="O33" s="4" t="s">
        <v>51</v>
      </c>
      <c r="Q33" s="35" t="str">
        <f>MID(VLOOKUP($A33,Seqs!$A:$B,2,FALSE),VLOOKUP($A33,'NonXtal_SegEnds_Prot#'!$A:$AL,10,FALSE),1)</f>
        <v>D</v>
      </c>
      <c r="R33" s="2" t="str">
        <f>MID(VLOOKUP($A33,Seqs!$A:$B,2,FALSE),VLOOKUP($A33,'NonXtal_SegEnds_Prot#'!$A:$AL,10,FALSE)+6,1)</f>
        <v>L</v>
      </c>
      <c r="S33" s="2" t="str">
        <f>MID(VLOOKUP($A33,Seqs!$A:$B,2,FALSE),VLOOKUP($A33,'NonXtal_SegEnds_Prot#'!$A:$AL,10,FALSE)+7,1)</f>
        <v>V</v>
      </c>
      <c r="T33" s="2" t="str">
        <f>MID(VLOOKUP($A33,Seqs!$A:$B,2,FALSE),VLOOKUP($A33,'NonXtal_SegEnds_Prot#'!$A:$AL,10,FALSE)+8,1)</f>
        <v>V</v>
      </c>
      <c r="U33" s="2" t="str">
        <f>MID(VLOOKUP($A33,Seqs!$A:$B,2,FALSE),VLOOKUP($A33,'NonXtal_SegEnds_Prot#'!$A:$AL,10,FALSE)+9,1)</f>
        <v>P</v>
      </c>
    </row>
    <row r="34" spans="1:21" x14ac:dyDescent="0.2">
      <c r="A34" s="4" t="s">
        <v>320</v>
      </c>
      <c r="B34" s="103" t="str">
        <f>VLOOKUP(A34,Classification!A:D,2,FALSE)</f>
        <v>A</v>
      </c>
      <c r="D34" s="4" t="s">
        <v>20</v>
      </c>
      <c r="L34" s="4" t="s">
        <v>129</v>
      </c>
      <c r="M34" s="4" t="s">
        <v>43</v>
      </c>
      <c r="O34" s="4" t="s">
        <v>51</v>
      </c>
      <c r="Q34" s="35" t="str">
        <f>MID(VLOOKUP($A34,Seqs!$A:$B,2,FALSE),VLOOKUP($A34,'NonXtal_SegEnds_Prot#'!$A:$AL,10,FALSE),1)</f>
        <v>D</v>
      </c>
      <c r="R34" s="2" t="str">
        <f>MID(VLOOKUP($A34,Seqs!$A:$B,2,FALSE),VLOOKUP($A34,'NonXtal_SegEnds_Prot#'!$A:$AL,10,FALSE)+6,1)</f>
        <v>A</v>
      </c>
      <c r="S34" s="2" t="str">
        <f>MID(VLOOKUP($A34,Seqs!$A:$B,2,FALSE),VLOOKUP($A34,'NonXtal_SegEnds_Prot#'!$A:$AL,10,FALSE)+7,1)</f>
        <v>V</v>
      </c>
      <c r="T34" s="2" t="str">
        <f>MID(VLOOKUP($A34,Seqs!$A:$B,2,FALSE),VLOOKUP($A34,'NonXtal_SegEnds_Prot#'!$A:$AL,10,FALSE)+8,1)</f>
        <v>V</v>
      </c>
      <c r="U34" s="2" t="str">
        <f>MID(VLOOKUP($A34,Seqs!$A:$B,2,FALSE),VLOOKUP($A34,'NonXtal_SegEnds_Prot#'!$A:$AL,10,FALSE)+9,1)</f>
        <v>P</v>
      </c>
    </row>
    <row r="35" spans="1:21" x14ac:dyDescent="0.2">
      <c r="A35" s="4" t="s">
        <v>213</v>
      </c>
      <c r="B35" s="103" t="str">
        <f>VLOOKUP(A35,Classification!A:D,2,FALSE)</f>
        <v>B1</v>
      </c>
      <c r="F35" s="106" t="s">
        <v>169</v>
      </c>
      <c r="G35" s="106" t="s">
        <v>170</v>
      </c>
      <c r="L35" s="4" t="s">
        <v>129</v>
      </c>
      <c r="M35" s="4" t="s">
        <v>129</v>
      </c>
      <c r="O35" s="4" t="s">
        <v>51</v>
      </c>
      <c r="P35" s="4" t="s">
        <v>129</v>
      </c>
      <c r="Q35" s="35" t="str">
        <f>MID(VLOOKUP($A35,Seqs!$A:$B,2,FALSE),VLOOKUP($A35,'NonXtal_SegEnds_Prot#'!$A:$AL,10,FALSE),1)</f>
        <v>F</v>
      </c>
      <c r="R35" s="2" t="str">
        <f>MID(VLOOKUP($A35,Seqs!$A:$B,2,FALSE),VLOOKUP($A35,'NonXtal_SegEnds_Prot#'!$A:$AL,10,FALSE)+6,1)</f>
        <v>T</v>
      </c>
      <c r="S35" s="2" t="str">
        <f>MID(VLOOKUP($A35,Seqs!$A:$B,2,FALSE),VLOOKUP($A35,'NonXtal_SegEnds_Prot#'!$A:$AL,10,FALSE)+7,1)</f>
        <v>W</v>
      </c>
      <c r="T35" s="2" t="str">
        <f>MID(VLOOKUP($A35,Seqs!$A:$B,2,FALSE),VLOOKUP($A35,'NonXtal_SegEnds_Prot#'!$A:$AL,10,FALSE)+8,1)</f>
        <v>F</v>
      </c>
      <c r="U35" s="2" t="str">
        <f>MID(VLOOKUP($A35,Seqs!$A:$B,2,FALSE),VLOOKUP($A35,'NonXtal_SegEnds_Prot#'!$A:$AL,10,FALSE)+9,1)</f>
        <v>V</v>
      </c>
    </row>
    <row r="36" spans="1:21" x14ac:dyDescent="0.2">
      <c r="A36" s="4" t="s">
        <v>206</v>
      </c>
      <c r="B36" s="103" t="str">
        <f>VLOOKUP(A36,Classification!A:D,2,FALSE)</f>
        <v>B1</v>
      </c>
      <c r="L36" s="4" t="s">
        <v>1555</v>
      </c>
      <c r="M36" s="4" t="s">
        <v>129</v>
      </c>
      <c r="O36" s="4" t="s">
        <v>51</v>
      </c>
      <c r="P36" s="4" t="s">
        <v>129</v>
      </c>
      <c r="Q36" s="35" t="str">
        <f>MID(VLOOKUP($A36,Seqs!$A:$B,2,FALSE),VLOOKUP($A36,'NonXtal_SegEnds_Prot#'!$A:$AL,10,FALSE),1)</f>
        <v>F</v>
      </c>
      <c r="R36" s="2" t="str">
        <f>MID(VLOOKUP($A36,Seqs!$A:$B,2,FALSE),VLOOKUP($A36,'NonXtal_SegEnds_Prot#'!$A:$AL,10,FALSE)+6,1)</f>
        <v>S</v>
      </c>
      <c r="S36" s="2" t="str">
        <f>MID(VLOOKUP($A36,Seqs!$A:$B,2,FALSE),VLOOKUP($A36,'NonXtal_SegEnds_Prot#'!$A:$AL,10,FALSE)+7,1)</f>
        <v>V</v>
      </c>
      <c r="T36" s="2" t="str">
        <f>MID(VLOOKUP($A36,Seqs!$A:$B,2,FALSE),VLOOKUP($A36,'NonXtal_SegEnds_Prot#'!$A:$AL,10,FALSE)+8,1)</f>
        <v>L</v>
      </c>
      <c r="U36" s="2" t="str">
        <f>MID(VLOOKUP($A36,Seqs!$A:$B,2,FALSE),VLOOKUP($A36,'NonXtal_SegEnds_Prot#'!$A:$AL,10,FALSE)+9,1)</f>
        <v>V</v>
      </c>
    </row>
    <row r="37" spans="1:21" x14ac:dyDescent="0.2">
      <c r="A37" s="4" t="s">
        <v>223</v>
      </c>
      <c r="B37" s="103" t="str">
        <f>VLOOKUP(A37,Classification!A:D,2,FALSE)</f>
        <v>C</v>
      </c>
      <c r="L37" s="4" t="s">
        <v>129</v>
      </c>
      <c r="M37" s="4" t="s">
        <v>129</v>
      </c>
      <c r="P37" s="4" t="s">
        <v>1556</v>
      </c>
      <c r="Q37" s="35" t="str">
        <f>MID(VLOOKUP($A37,Seqs!$A:$B,2,FALSE),VLOOKUP($A37,'NonXtal_SegEnds_Prot#'!$A:$AL,10,FALSE),1)</f>
        <v>I</v>
      </c>
      <c r="R37" s="2" t="str">
        <f>MID(VLOOKUP($A37,Seqs!$A:$B,2,FALSE),VLOOKUP($A37,'NonXtal_SegEnds_Prot#'!$A:$AL,10,FALSE)+6,1)</f>
        <v>C</v>
      </c>
      <c r="S37" s="2" t="str">
        <f>MID(VLOOKUP($A37,Seqs!$A:$B,2,FALSE),VLOOKUP($A37,'NonXtal_SegEnds_Prot#'!$A:$AL,10,FALSE)+7,1)</f>
        <v>P</v>
      </c>
      <c r="T37" s="2" t="str">
        <f>MID(VLOOKUP($A37,Seqs!$A:$B,2,FALSE),VLOOKUP($A37,'NonXtal_SegEnds_Prot#'!$A:$AL,10,FALSE)+8,1)</f>
        <v>F</v>
      </c>
      <c r="U37" s="2" t="str">
        <f>MID(VLOOKUP($A37,Seqs!$A:$B,2,FALSE),VLOOKUP($A37,'NonXtal_SegEnds_Prot#'!$A:$AL,10,FALSE)+9,1)</f>
        <v>T</v>
      </c>
    </row>
    <row r="38" spans="1:21" x14ac:dyDescent="0.2">
      <c r="A38" s="4" t="s">
        <v>224</v>
      </c>
      <c r="B38" s="103" t="str">
        <f>VLOOKUP(A38,Classification!A:D,2,FALSE)</f>
        <v>C</v>
      </c>
      <c r="L38" s="4" t="s">
        <v>129</v>
      </c>
      <c r="M38" s="4" t="s">
        <v>129</v>
      </c>
      <c r="P38" s="4" t="s">
        <v>1556</v>
      </c>
      <c r="Q38" s="35" t="str">
        <f>MID(VLOOKUP($A38,Seqs!$A:$B,2,FALSE),VLOOKUP($A38,'NonXtal_SegEnds_Prot#'!$A:$AL,10,FALSE),1)</f>
        <v>I</v>
      </c>
      <c r="R38" s="2" t="str">
        <f>MID(VLOOKUP($A38,Seqs!$A:$B,2,FALSE),VLOOKUP($A38,'NonXtal_SegEnds_Prot#'!$A:$AL,10,FALSE)+6,1)</f>
        <v>C</v>
      </c>
      <c r="S38" s="2" t="str">
        <f>MID(VLOOKUP($A38,Seqs!$A:$B,2,FALSE),VLOOKUP($A38,'NonXtal_SegEnds_Prot#'!$A:$AL,10,FALSE)+7,1)</f>
        <v>T</v>
      </c>
      <c r="T38" s="2" t="str">
        <f>MID(VLOOKUP($A38,Seqs!$A:$B,2,FALSE),VLOOKUP($A38,'NonXtal_SegEnds_Prot#'!$A:$AL,10,FALSE)+8,1)</f>
        <v>F</v>
      </c>
      <c r="U38" s="2" t="str">
        <f>MID(VLOOKUP($A38,Seqs!$A:$B,2,FALSE),VLOOKUP($A38,'NonXtal_SegEnds_Prot#'!$A:$AL,10,FALSE)+9,1)</f>
        <v>C</v>
      </c>
    </row>
    <row r="39" spans="1:21" x14ac:dyDescent="0.2">
      <c r="A39" s="4" t="s">
        <v>207</v>
      </c>
      <c r="B39" s="103" t="str">
        <f>VLOOKUP(A39,Classification!A:D,2,FALSE)</f>
        <v>F</v>
      </c>
      <c r="L39" s="4" t="s">
        <v>1555</v>
      </c>
      <c r="M39" s="4" t="s">
        <v>129</v>
      </c>
      <c r="P39" s="4" t="s">
        <v>129</v>
      </c>
      <c r="Q39" s="35" t="str">
        <f>MID(VLOOKUP($A39,Seqs!$A:$B,2,FALSE),VLOOKUP($A39,'NonXtal_SegEnds_Prot#'!$A:$AL,10,FALSE),1)</f>
        <v>A</v>
      </c>
      <c r="R39" s="2" t="str">
        <f>MID(VLOOKUP($A39,Seqs!$A:$B,2,FALSE),VLOOKUP($A39,'NonXtal_SegEnds_Prot#'!$A:$AL,10,FALSE)+6,1)</f>
        <v>S</v>
      </c>
      <c r="S39" s="2" t="str">
        <f>MID(VLOOKUP($A39,Seqs!$A:$B,2,FALSE),VLOOKUP($A39,'NonXtal_SegEnds_Prot#'!$A:$AL,10,FALSE)+7,1)</f>
        <v>I</v>
      </c>
      <c r="T39" s="2" t="str">
        <f>MID(VLOOKUP($A39,Seqs!$A:$B,2,FALSE),VLOOKUP($A39,'NonXtal_SegEnds_Prot#'!$A:$AL,10,FALSE)+8,1)</f>
        <v>G</v>
      </c>
      <c r="U39" s="2" t="str">
        <f>MID(VLOOKUP($A39,Seqs!$A:$B,2,FALSE),VLOOKUP($A39,'NonXtal_SegEnds_Prot#'!$A:$AL,10,FALSE)+9,1)</f>
        <v>W</v>
      </c>
    </row>
  </sheetData>
  <sortState ref="A2:V38">
    <sortCondition ref="B2:B38"/>
    <sortCondition ref="T2:T38"/>
  </sortState>
  <dataConsolidate/>
  <customSheetViews>
    <customSheetView guid="{3E3401AF-8459-8641-BD70-AD04F80E86ED}" scale="151">
      <pane ySplit="1" topLeftCell="A2" activePane="bottomLeft" state="frozenSplit"/>
      <selection pane="bottomLeft" activeCell="E9" sqref="E9"/>
      <pageMargins left="0.75" right="0.75" top="1" bottom="1" header="0.5" footer="0.5"/>
      <pageSetup paperSize="9" orientation="portrait" horizontalDpi="4294967292" verticalDpi="4294967292"/>
    </customSheetView>
  </customSheetViews>
  <conditionalFormatting sqref="S1:U1048576">
    <cfRule type="cellIs" dxfId="10" priority="7" operator="equal">
      <formula>"P"</formula>
    </cfRule>
  </conditionalFormatting>
  <conditionalFormatting sqref="R1:S1048576">
    <cfRule type="cellIs" dxfId="9" priority="5" operator="equal">
      <formula>"G"</formula>
    </cfRule>
  </conditionalFormatting>
  <conditionalFormatting sqref="AA29:AB29">
    <cfRule type="cellIs" dxfId="8" priority="4" operator="equal">
      <formula>"P"</formula>
    </cfRule>
  </conditionalFormatting>
  <conditionalFormatting sqref="Y29">
    <cfRule type="cellIs" dxfId="7" priority="2" operator="equal">
      <formula>"W"</formula>
    </cfRule>
    <cfRule type="cellIs" dxfId="6" priority="3" operator="equal">
      <formula>"G"</formula>
    </cfRule>
  </conditionalFormatting>
  <conditionalFormatting sqref="AC29:AD29">
    <cfRule type="cellIs" dxfId="5" priority="1" operator="equal">
      <formula>"P"</formula>
    </cfRule>
  </conditionalFormatting>
  <pageMargins left="0.75" right="0.75" top="1" bottom="1" header="0.5" footer="0.5"/>
  <pageSetup paperSize="9"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C409"/>
  <sheetViews>
    <sheetView zoomScale="120" zoomScaleNormal="120" zoomScalePageLayoutView="120" workbookViewId="0">
      <pane ySplit="1" topLeftCell="A224" activePane="bottomLeft" state="frozenSplit"/>
      <selection pane="bottomLeft" activeCell="H243" sqref="H243"/>
    </sheetView>
  </sheetViews>
  <sheetFormatPr baseColWidth="10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5" width="6" style="4" bestFit="1" customWidth="1"/>
    <col min="6" max="6" width="7" style="4" bestFit="1" customWidth="1"/>
    <col min="7" max="7" width="6" style="4" bestFit="1" customWidth="1"/>
    <col min="8" max="11" width="5" style="4" bestFit="1" customWidth="1"/>
    <col min="12" max="12" width="6" style="4" bestFit="1" customWidth="1"/>
    <col min="13" max="13" width="6" style="4" customWidth="1"/>
    <col min="14" max="15" width="6" style="4" bestFit="1" customWidth="1"/>
    <col min="16" max="16" width="5" style="4" bestFit="1" customWidth="1"/>
    <col min="17" max="17" width="6" style="4" bestFit="1" customWidth="1"/>
    <col min="18" max="18" width="5" style="63" bestFit="1" customWidth="1"/>
    <col min="19" max="19" width="5" style="103" customWidth="1"/>
    <col min="20" max="22" width="5" style="103" bestFit="1" customWidth="1"/>
    <col min="23" max="23" width="4.6640625" style="63" bestFit="1" customWidth="1"/>
    <col min="24" max="26" width="4.6640625" style="103" bestFit="1" customWidth="1"/>
    <col min="27" max="27" width="5" style="4" customWidth="1"/>
    <col min="28" max="28" width="4.6640625" style="5" customWidth="1"/>
    <col min="29" max="29" width="4.6640625" style="4" customWidth="1"/>
    <col min="30" max="16384" width="10.83203125" style="4"/>
  </cols>
  <sheetData>
    <row r="1" spans="1:29" s="73" customFormat="1" x14ac:dyDescent="0.2">
      <c r="A1" s="73" t="s">
        <v>205</v>
      </c>
      <c r="B1" s="108" t="s">
        <v>1423</v>
      </c>
      <c r="C1" s="73" t="s">
        <v>292</v>
      </c>
      <c r="D1" s="109" t="s">
        <v>56</v>
      </c>
      <c r="E1" s="45" t="s">
        <v>20</v>
      </c>
      <c r="F1" s="45" t="s">
        <v>125</v>
      </c>
      <c r="G1" s="107" t="s">
        <v>169</v>
      </c>
      <c r="H1" s="107" t="s">
        <v>170</v>
      </c>
      <c r="I1" s="45" t="s">
        <v>122</v>
      </c>
      <c r="J1" s="45" t="s">
        <v>98</v>
      </c>
      <c r="K1" s="45" t="s">
        <v>59</v>
      </c>
      <c r="L1" s="107" t="s">
        <v>1551</v>
      </c>
      <c r="M1" s="107" t="s">
        <v>1555</v>
      </c>
      <c r="N1" s="45" t="s">
        <v>43</v>
      </c>
      <c r="O1" s="45" t="s">
        <v>1554</v>
      </c>
      <c r="P1" s="45" t="s">
        <v>51</v>
      </c>
      <c r="Q1" s="45" t="s">
        <v>1556</v>
      </c>
      <c r="R1" s="62" t="s">
        <v>1541</v>
      </c>
      <c r="S1" s="73" t="s">
        <v>1542</v>
      </c>
      <c r="T1" s="73" t="s">
        <v>1543</v>
      </c>
      <c r="U1" s="73" t="s">
        <v>1544</v>
      </c>
      <c r="V1" s="73" t="s">
        <v>1545</v>
      </c>
      <c r="W1" s="62" t="s">
        <v>1546</v>
      </c>
      <c r="X1" s="62" t="s">
        <v>1547</v>
      </c>
      <c r="Y1" s="62" t="s">
        <v>1548</v>
      </c>
      <c r="Z1" s="62" t="s">
        <v>1549</v>
      </c>
      <c r="AA1" s="73" t="s">
        <v>1550</v>
      </c>
      <c r="AB1" s="62" t="s">
        <v>1552</v>
      </c>
      <c r="AC1" s="73" t="s">
        <v>1553</v>
      </c>
    </row>
    <row r="2" spans="1:29" s="2" customFormat="1" x14ac:dyDescent="0.2">
      <c r="A2" s="2" t="s">
        <v>322</v>
      </c>
      <c r="B2" s="2" t="str">
        <f>LOWER(VLOOKUP(A2,Xtal_Templ!A:B,2,FALSE))</f>
        <v>5ht1b_human</v>
      </c>
      <c r="C2" s="2" t="str">
        <f>VLOOKUP(A2,Classification!A:D,2,FALSE)</f>
        <v>A</v>
      </c>
      <c r="E2" s="2" t="s">
        <v>20</v>
      </c>
      <c r="N2" s="2" t="s">
        <v>43</v>
      </c>
      <c r="P2" s="4" t="s">
        <v>51</v>
      </c>
      <c r="R2" s="71" t="str">
        <f>MID(VLOOKUP($A2,Seqs!$A:$B,2,FALSE),VLOOKUP($A2,'NonXtal_SegEnds_Prot#'!$A:$AL,10,FALSE),1)</f>
        <v>D</v>
      </c>
      <c r="S2" s="102" t="str">
        <f>MID(VLOOKUP($A2,Seqs!$A:$B,2,FALSE),VLOOKUP($A2,'NonXtal_SegEnds_Prot#'!$A:$AL,10,FALSE)+6,1)</f>
        <v>L</v>
      </c>
      <c r="T2" s="102" t="str">
        <f>MID(VLOOKUP($A2,Seqs!$A:$B,2,FALSE),VLOOKUP($A2,'NonXtal_SegEnds_Prot#'!$A:$AL,10,FALSE)+7,1)</f>
        <v>V</v>
      </c>
      <c r="U2" s="102" t="str">
        <f>MID(VLOOKUP($A2,Seqs!$A:$B,2,FALSE),VLOOKUP($A2,'NonXtal_SegEnds_Prot#'!$A:$AL,10,FALSE)+8,1)</f>
        <v>L</v>
      </c>
      <c r="V2" s="102" t="str">
        <f>MID(VLOOKUP($A2,Seqs!$A:$B,2,FALSE),VLOOKUP($A2,'NonXtal_SegEnds_Prot#'!$A:$AL,10,FALSE)+9,1)</f>
        <v>P</v>
      </c>
      <c r="W2" s="71" t="str">
        <f>MID(VLOOKUP($A2,Seqs!$A:$B,2,FALSE),VLOOKUP($A2,'NonXtal_SegEnds_Prot#'!$A:$AL,22,FALSE)+6,1)</f>
        <v>I</v>
      </c>
      <c r="X2" s="102" t="str">
        <f>MID(VLOOKUP($A2,Seqs!$A:$B,2,FALSE),VLOOKUP($A2,'NonXtal_SegEnds_Prot#'!$A:$AL,22,FALSE)+7,1)</f>
        <v>S</v>
      </c>
      <c r="Y2" s="102" t="str">
        <f>MID(VLOOKUP($A2,Seqs!$A:$B,2,FALSE),VLOOKUP($A2,'NonXtal_SegEnds_Prot#'!$A:$AL,22,FALSE)+8,1)</f>
        <v>I</v>
      </c>
      <c r="Z2" s="102" t="str">
        <f>MID(VLOOKUP($A2,Seqs!$A:$B,2,FALSE),VLOOKUP($A2,'NonXtal_SegEnds_Prot#'!$A:$AL,22,FALSE)+9,1)</f>
        <v>P</v>
      </c>
      <c r="AA2" s="102" t="str">
        <f>MID(VLOOKUP($A2,Seqs!$A:$B,2,FALSE),VLOOKUP($A2,'NonXtal_SegEnds_Prot#'!$A:$AL,22,FALSE)+10,1)</f>
        <v>P</v>
      </c>
      <c r="AB2" s="71" t="str">
        <f>MID(VLOOKUP($A2,Seqs!$A:$B,2,FALSE),VLOOKUP($A2,'NonXtal_SegEnds_Prot#'!$A:$AL,28,FALSE)-4,1)</f>
        <v>A</v>
      </c>
      <c r="AC2" s="102" t="str">
        <f>MID(VLOOKUP($A2,Seqs!$A:$B,2,FALSE),VLOOKUP($A2,'NonXtal_SegEnds_Prot#'!$A:$AL,28,FALSE),1)</f>
        <v>P</v>
      </c>
    </row>
    <row r="3" spans="1:29" s="2" customFormat="1" x14ac:dyDescent="0.2">
      <c r="A3" s="2" t="s">
        <v>208</v>
      </c>
      <c r="B3" s="2" t="str">
        <f>LOWER(VLOOKUP(A3,Xtal_Templ!A:B,2,FALSE))</f>
        <v>5ht1b_human</v>
      </c>
      <c r="C3" s="2" t="str">
        <f>VLOOKUP(A3,Classification!A:D,2,FALSE)</f>
        <v>A</v>
      </c>
      <c r="E3" s="2" t="s">
        <v>20</v>
      </c>
      <c r="N3" s="2" t="s">
        <v>43</v>
      </c>
      <c r="P3" s="4" t="s">
        <v>51</v>
      </c>
      <c r="R3" s="71" t="str">
        <f>MID(VLOOKUP($A3,Seqs!$A:$B,2,FALSE),VLOOKUP($A3,'NonXtal_SegEnds_Prot#'!A:AL,10,FALSE),1)</f>
        <v>D</v>
      </c>
      <c r="S3" s="102" t="str">
        <f>MID(VLOOKUP($A3,Seqs!$A:$B,2,FALSE),VLOOKUP($A3,'NonXtal_SegEnds_Prot#'!A:AL,10,FALSE)+6,1)</f>
        <v>L</v>
      </c>
      <c r="T3" s="102" t="str">
        <f>MID(VLOOKUP($A3,Seqs!$A:$B,2,FALSE),VLOOKUP($A3,'NonXtal_SegEnds_Prot#'!A:AL,10,FALSE)+7,1)</f>
        <v>V</v>
      </c>
      <c r="U3" s="102" t="str">
        <f>MID(VLOOKUP($A3,Seqs!$A:$B,2,FALSE),VLOOKUP($A3,'NonXtal_SegEnds_Prot#'!A:AL,10,FALSE)+8,1)</f>
        <v>M</v>
      </c>
      <c r="V3" s="102" t="str">
        <f>MID(VLOOKUP($A3,Seqs!$A:$B,2,FALSE),VLOOKUP($A3,'NonXtal_SegEnds_Prot#'!A:AL,10,FALSE)+9,1)</f>
        <v>P</v>
      </c>
      <c r="W3" s="71" t="str">
        <f>MID(VLOOKUP($A3,Seqs!$A:$B,2,FALSE),VLOOKUP($A3,'NonXtal_SegEnds_Prot#'!$A:$AL,22,FALSE)+6,1)</f>
        <v>I</v>
      </c>
      <c r="X3" s="102" t="str">
        <f>MID(VLOOKUP($A3,Seqs!$A:$B,2,FALSE),VLOOKUP($A3,'NonXtal_SegEnds_Prot#'!$A:$AL,22,FALSE)+7,1)</f>
        <v>S</v>
      </c>
      <c r="Y3" s="102" t="str">
        <f>MID(VLOOKUP($A3,Seqs!$A:$B,2,FALSE),VLOOKUP($A3,'NonXtal_SegEnds_Prot#'!$A:$AL,22,FALSE)+8,1)</f>
        <v>L</v>
      </c>
      <c r="Z3" s="102" t="str">
        <f>MID(VLOOKUP($A3,Seqs!$A:$B,2,FALSE),VLOOKUP($A3,'NonXtal_SegEnds_Prot#'!$A:$AL,22,FALSE)+9,1)</f>
        <v>P</v>
      </c>
      <c r="AA3" s="102" t="str">
        <f>MID(VLOOKUP($A3,Seqs!$A:$B,2,FALSE),VLOOKUP($A3,'NonXtal_SegEnds_Prot#'!$A:$AL,22,FALSE)+10,1)</f>
        <v>P</v>
      </c>
      <c r="AB3" s="71" t="str">
        <f>MID(VLOOKUP($A3,Seqs!$A:$B,2,FALSE),VLOOKUP($A3,'NonXtal_SegEnds_Prot#'!$A:$AL,28,FALSE)-4,1)</f>
        <v>A</v>
      </c>
      <c r="AC3" s="102" t="str">
        <f>MID(VLOOKUP($A3,Seqs!$A:$B,2,FALSE),VLOOKUP($A3,'NonXtal_SegEnds_Prot#'!$A:$AL,28,FALSE),1)</f>
        <v>P</v>
      </c>
    </row>
    <row r="4" spans="1:29" s="2" customFormat="1" x14ac:dyDescent="0.2">
      <c r="A4" s="2" t="s">
        <v>323</v>
      </c>
      <c r="B4" s="2" t="str">
        <f>LOWER(VLOOKUP(A4,Xtal_Templ!A:B,2,FALSE))</f>
        <v>5ht1b_human</v>
      </c>
      <c r="C4" s="2" t="str">
        <f>VLOOKUP(A4,Classification!A:D,2,FALSE)</f>
        <v>A</v>
      </c>
      <c r="E4" s="2" t="s">
        <v>20</v>
      </c>
      <c r="N4" s="2" t="s">
        <v>43</v>
      </c>
      <c r="P4" s="4" t="s">
        <v>51</v>
      </c>
      <c r="R4" s="71" t="str">
        <f>MID(VLOOKUP($A4,Seqs!$A:$B,2,FALSE),VLOOKUP($A4,'NonXtal_SegEnds_Prot#'!A:AL,10,FALSE),1)</f>
        <v>D</v>
      </c>
      <c r="S4" s="102" t="str">
        <f>MID(VLOOKUP($A4,Seqs!$A:$B,2,FALSE),VLOOKUP($A4,'NonXtal_SegEnds_Prot#'!A:AL,10,FALSE)+6,1)</f>
        <v>L</v>
      </c>
      <c r="T4" s="102" t="str">
        <f>MID(VLOOKUP($A4,Seqs!$A:$B,2,FALSE),VLOOKUP($A4,'NonXtal_SegEnds_Prot#'!A:AL,10,FALSE)+7,1)</f>
        <v>V</v>
      </c>
      <c r="U4" s="102" t="str">
        <f>MID(VLOOKUP($A4,Seqs!$A:$B,2,FALSE),VLOOKUP($A4,'NonXtal_SegEnds_Prot#'!A:AL,10,FALSE)+8,1)</f>
        <v>M</v>
      </c>
      <c r="V4" s="102" t="str">
        <f>MID(VLOOKUP($A4,Seqs!$A:$B,2,FALSE),VLOOKUP($A4,'NonXtal_SegEnds_Prot#'!A:AL,10,FALSE)+9,1)</f>
        <v>P</v>
      </c>
      <c r="W4" s="71" t="str">
        <f>MID(VLOOKUP($A4,Seqs!$A:$B,2,FALSE),VLOOKUP($A4,'NonXtal_SegEnds_Prot#'!$A:$AL,22,FALSE)+6,1)</f>
        <v>I</v>
      </c>
      <c r="X4" s="102" t="str">
        <f>MID(VLOOKUP($A4,Seqs!$A:$B,2,FALSE),VLOOKUP($A4,'NonXtal_SegEnds_Prot#'!$A:$AL,22,FALSE)+7,1)</f>
        <v>S</v>
      </c>
      <c r="Y4" s="102" t="str">
        <f>MID(VLOOKUP($A4,Seqs!$A:$B,2,FALSE),VLOOKUP($A4,'NonXtal_SegEnds_Prot#'!$A:$AL,22,FALSE)+8,1)</f>
        <v>I</v>
      </c>
      <c r="Z4" s="102" t="str">
        <f>MID(VLOOKUP($A4,Seqs!$A:$B,2,FALSE),VLOOKUP($A4,'NonXtal_SegEnds_Prot#'!$A:$AL,22,FALSE)+9,1)</f>
        <v>P</v>
      </c>
      <c r="AA4" s="102" t="str">
        <f>MID(VLOOKUP($A4,Seqs!$A:$B,2,FALSE),VLOOKUP($A4,'NonXtal_SegEnds_Prot#'!$A:$AL,22,FALSE)+10,1)</f>
        <v>P</v>
      </c>
      <c r="AB4" s="71" t="str">
        <f>MID(VLOOKUP($A4,Seqs!$A:$B,2,FALSE),VLOOKUP($A4,'NonXtal_SegEnds_Prot#'!$A:$AL,28,FALSE)-4,1)</f>
        <v>A</v>
      </c>
      <c r="AC4" s="102" t="str">
        <f>MID(VLOOKUP($A4,Seqs!$A:$B,2,FALSE),VLOOKUP($A4,'NonXtal_SegEnds_Prot#'!$A:$AL,28,FALSE),1)</f>
        <v>P</v>
      </c>
    </row>
    <row r="5" spans="1:29" s="2" customFormat="1" x14ac:dyDescent="0.2">
      <c r="A5" s="2" t="s">
        <v>324</v>
      </c>
      <c r="B5" s="2" t="str">
        <f>LOWER(VLOOKUP(A5,Xtal_Templ!A:B,2,FALSE))</f>
        <v>5ht1b_human</v>
      </c>
      <c r="C5" s="2" t="str">
        <f>VLOOKUP(A5,Classification!A:D,2,FALSE)</f>
        <v>A</v>
      </c>
      <c r="E5" s="2" t="s">
        <v>20</v>
      </c>
      <c r="N5" s="2" t="s">
        <v>43</v>
      </c>
      <c r="P5" s="4" t="s">
        <v>51</v>
      </c>
      <c r="R5" s="71" t="str">
        <f>MID(VLOOKUP($A5,Seqs!$A:$B,2,FALSE),VLOOKUP($A5,'NonXtal_SegEnds_Prot#'!A:AL,10,FALSE),1)</f>
        <v>D</v>
      </c>
      <c r="S5" s="102" t="str">
        <f>MID(VLOOKUP($A5,Seqs!$A:$B,2,FALSE),VLOOKUP($A5,'NonXtal_SegEnds_Prot#'!A:AL,10,FALSE)+6,1)</f>
        <v>L</v>
      </c>
      <c r="T5" s="102" t="str">
        <f>MID(VLOOKUP($A5,Seqs!$A:$B,2,FALSE),VLOOKUP($A5,'NonXtal_SegEnds_Prot#'!A:AL,10,FALSE)+7,1)</f>
        <v>V</v>
      </c>
      <c r="U5" s="102" t="str">
        <f>MID(VLOOKUP($A5,Seqs!$A:$B,2,FALSE),VLOOKUP($A5,'NonXtal_SegEnds_Prot#'!A:AL,10,FALSE)+8,1)</f>
        <v>M</v>
      </c>
      <c r="V5" s="102" t="str">
        <f>MID(VLOOKUP($A5,Seqs!$A:$B,2,FALSE),VLOOKUP($A5,'NonXtal_SegEnds_Prot#'!A:AL,10,FALSE)+9,1)</f>
        <v>P</v>
      </c>
      <c r="W5" s="71" t="str">
        <f>MID(VLOOKUP($A5,Seqs!$A:$B,2,FALSE),VLOOKUP($A5,'NonXtal_SegEnds_Prot#'!$A:$AL,22,FALSE)+6,1)</f>
        <v>I</v>
      </c>
      <c r="X5" s="102" t="str">
        <f>MID(VLOOKUP($A5,Seqs!$A:$B,2,FALSE),VLOOKUP($A5,'NonXtal_SegEnds_Prot#'!$A:$AL,22,FALSE)+7,1)</f>
        <v>S</v>
      </c>
      <c r="Y5" s="102" t="str">
        <f>MID(VLOOKUP($A5,Seqs!$A:$B,2,FALSE),VLOOKUP($A5,'NonXtal_SegEnds_Prot#'!$A:$AL,22,FALSE)+8,1)</f>
        <v>M</v>
      </c>
      <c r="Z5" s="102" t="str">
        <f>MID(VLOOKUP($A5,Seqs!$A:$B,2,FALSE),VLOOKUP($A5,'NonXtal_SegEnds_Prot#'!$A:$AL,22,FALSE)+9,1)</f>
        <v>P</v>
      </c>
      <c r="AA5" s="102" t="str">
        <f>MID(VLOOKUP($A5,Seqs!$A:$B,2,FALSE),VLOOKUP($A5,'NonXtal_SegEnds_Prot#'!$A:$AL,22,FALSE)+10,1)</f>
        <v>P</v>
      </c>
      <c r="AB5" s="71" t="str">
        <f>MID(VLOOKUP($A5,Seqs!$A:$B,2,FALSE),VLOOKUP($A5,'NonXtal_SegEnds_Prot#'!$A:$AL,28,FALSE)-4,1)</f>
        <v>A</v>
      </c>
      <c r="AC5" s="102" t="str">
        <f>MID(VLOOKUP($A5,Seqs!$A:$B,2,FALSE),VLOOKUP($A5,'NonXtal_SegEnds_Prot#'!$A:$AL,28,FALSE),1)</f>
        <v>P</v>
      </c>
    </row>
    <row r="6" spans="1:29" s="2" customFormat="1" x14ac:dyDescent="0.2">
      <c r="A6" s="2" t="s">
        <v>325</v>
      </c>
      <c r="B6" s="2" t="str">
        <f>LOWER(VLOOKUP(A6,Xtal_Templ!A:B,2,FALSE))</f>
        <v>5ht1b_human</v>
      </c>
      <c r="C6" s="2" t="str">
        <f>VLOOKUP(A6,Classification!A:D,2,FALSE)</f>
        <v>A</v>
      </c>
      <c r="E6" s="2" t="s">
        <v>20</v>
      </c>
      <c r="N6" s="2" t="s">
        <v>43</v>
      </c>
      <c r="P6" s="4" t="s">
        <v>51</v>
      </c>
      <c r="R6" s="71" t="str">
        <f>MID(VLOOKUP($A6,Seqs!$A:$B,2,FALSE),VLOOKUP($A6,'NonXtal_SegEnds_Prot#'!A:AL,10,FALSE),1)</f>
        <v>D</v>
      </c>
      <c r="S6" s="102" t="str">
        <f>MID(VLOOKUP($A6,Seqs!$A:$B,2,FALSE),VLOOKUP($A6,'NonXtal_SegEnds_Prot#'!A:AL,10,FALSE)+6,1)</f>
        <v>L</v>
      </c>
      <c r="T6" s="102" t="str">
        <f>MID(VLOOKUP($A6,Seqs!$A:$B,2,FALSE),VLOOKUP($A6,'NonXtal_SegEnds_Prot#'!A:AL,10,FALSE)+7,1)</f>
        <v>V</v>
      </c>
      <c r="U6" s="102" t="str">
        <f>MID(VLOOKUP($A6,Seqs!$A:$B,2,FALSE),VLOOKUP($A6,'NonXtal_SegEnds_Prot#'!A:AL,10,FALSE)+8,1)</f>
        <v>M</v>
      </c>
      <c r="V6" s="102" t="str">
        <f>MID(VLOOKUP($A6,Seqs!$A:$B,2,FALSE),VLOOKUP($A6,'NonXtal_SegEnds_Prot#'!A:AL,10,FALSE)+9,1)</f>
        <v>P</v>
      </c>
      <c r="W6" s="71" t="str">
        <f>MID(VLOOKUP($A6,Seqs!$A:$B,2,FALSE),VLOOKUP($A6,'NonXtal_SegEnds_Prot#'!$A:$AL,22,FALSE)+6,1)</f>
        <v>I</v>
      </c>
      <c r="X6" s="102" t="str">
        <f>MID(VLOOKUP($A6,Seqs!$A:$B,2,FALSE),VLOOKUP($A6,'NonXtal_SegEnds_Prot#'!$A:$AL,22,FALSE)+7,1)</f>
        <v>S</v>
      </c>
      <c r="Y6" s="102" t="str">
        <f>MID(VLOOKUP($A6,Seqs!$A:$B,2,FALSE),VLOOKUP($A6,'NonXtal_SegEnds_Prot#'!$A:$AL,22,FALSE)+8,1)</f>
        <v>M</v>
      </c>
      <c r="Z6" s="102" t="str">
        <f>MID(VLOOKUP($A6,Seqs!$A:$B,2,FALSE),VLOOKUP($A6,'NonXtal_SegEnds_Prot#'!$A:$AL,22,FALSE)+9,1)</f>
        <v>P</v>
      </c>
      <c r="AA6" s="102" t="str">
        <f>MID(VLOOKUP($A6,Seqs!$A:$B,2,FALSE),VLOOKUP($A6,'NonXtal_SegEnds_Prot#'!$A:$AL,22,FALSE)+10,1)</f>
        <v>P</v>
      </c>
      <c r="AB6" s="71" t="str">
        <f>MID(VLOOKUP($A6,Seqs!$A:$B,2,FALSE),VLOOKUP($A6,'NonXtal_SegEnds_Prot#'!$A:$AL,28,FALSE)-4,1)</f>
        <v>A</v>
      </c>
      <c r="AC6" s="102" t="str">
        <f>MID(VLOOKUP($A6,Seqs!$A:$B,2,FALSE),VLOOKUP($A6,'NonXtal_SegEnds_Prot#'!$A:$AL,28,FALSE),1)</f>
        <v>P</v>
      </c>
    </row>
    <row r="7" spans="1:29" s="2" customFormat="1" x14ac:dyDescent="0.2">
      <c r="A7" s="2" t="s">
        <v>326</v>
      </c>
      <c r="B7" s="2" t="str">
        <f>LOWER(VLOOKUP(A7,Xtal_Templ!A:B,2,FALSE))</f>
        <v>5ht2b_human</v>
      </c>
      <c r="C7" s="2" t="str">
        <f>VLOOKUP(A7,Classification!A:D,2,FALSE)</f>
        <v>A</v>
      </c>
      <c r="E7" s="2" t="s">
        <v>20</v>
      </c>
      <c r="K7" s="2" t="s">
        <v>59</v>
      </c>
      <c r="N7" s="2" t="s">
        <v>43</v>
      </c>
      <c r="P7" s="4" t="s">
        <v>51</v>
      </c>
      <c r="R7" s="71" t="str">
        <f>MID(VLOOKUP($A7,Seqs!$A:$B,2,FALSE),VLOOKUP($A7,'NonXtal_SegEnds_Prot#'!A:AL,10,FALSE),1)</f>
        <v>D</v>
      </c>
      <c r="S7" s="102" t="str">
        <f>MID(VLOOKUP($A7,Seqs!$A:$B,2,FALSE),VLOOKUP($A7,'NonXtal_SegEnds_Prot#'!A:AL,10,FALSE)+6,1)</f>
        <v>L</v>
      </c>
      <c r="T7" s="102" t="str">
        <f>MID(VLOOKUP($A7,Seqs!$A:$B,2,FALSE),VLOOKUP($A7,'NonXtal_SegEnds_Prot#'!A:AL,10,FALSE)+7,1)</f>
        <v>V</v>
      </c>
      <c r="U7" s="102" t="str">
        <f>MID(VLOOKUP($A7,Seqs!$A:$B,2,FALSE),VLOOKUP($A7,'NonXtal_SegEnds_Prot#'!A:AL,10,FALSE)+8,1)</f>
        <v>M</v>
      </c>
      <c r="V7" s="102" t="str">
        <f>MID(VLOOKUP($A7,Seqs!$A:$B,2,FALSE),VLOOKUP($A7,'NonXtal_SegEnds_Prot#'!A:AL,10,FALSE)+9,1)</f>
        <v>P</v>
      </c>
      <c r="W7" s="71" t="str">
        <f>MID(VLOOKUP($A7,Seqs!$A:$B,2,FALSE),VLOOKUP($A7,'NonXtal_SegEnds_Prot#'!$A:$AL,22,FALSE)+6,1)</f>
        <v>I</v>
      </c>
      <c r="X7" s="102" t="str">
        <f>MID(VLOOKUP($A7,Seqs!$A:$B,2,FALSE),VLOOKUP($A7,'NonXtal_SegEnds_Prot#'!$A:$AL,22,FALSE)+7,1)</f>
        <v>S</v>
      </c>
      <c r="Y7" s="102" t="str">
        <f>MID(VLOOKUP($A7,Seqs!$A:$B,2,FALSE),VLOOKUP($A7,'NonXtal_SegEnds_Prot#'!$A:$AL,22,FALSE)+8,1)</f>
        <v>M</v>
      </c>
      <c r="Z7" s="102" t="str">
        <f>MID(VLOOKUP($A7,Seqs!$A:$B,2,FALSE),VLOOKUP($A7,'NonXtal_SegEnds_Prot#'!$A:$AL,22,FALSE)+9,1)</f>
        <v>P</v>
      </c>
      <c r="AA7" s="102" t="str">
        <f>MID(VLOOKUP($A7,Seqs!$A:$B,2,FALSE),VLOOKUP($A7,'NonXtal_SegEnds_Prot#'!$A:$AL,22,FALSE)+10,1)</f>
        <v>I</v>
      </c>
      <c r="AB7" s="71" t="str">
        <f>MID(VLOOKUP($A7,Seqs!$A:$B,2,FALSE),VLOOKUP($A7,'NonXtal_SegEnds_Prot#'!$A:$AL,28,FALSE)-4,1)</f>
        <v>S</v>
      </c>
      <c r="AC7" s="102" t="str">
        <f>MID(VLOOKUP($A7,Seqs!$A:$B,2,FALSE),VLOOKUP($A7,'NonXtal_SegEnds_Prot#'!$A:$AL,28,FALSE),1)</f>
        <v>P</v>
      </c>
    </row>
    <row r="8" spans="1:29" s="2" customFormat="1" x14ac:dyDescent="0.2">
      <c r="A8" s="2" t="s">
        <v>209</v>
      </c>
      <c r="B8" s="2" t="str">
        <f>LOWER(VLOOKUP(A8,Xtal_Templ!A:B,2,FALSE))</f>
        <v>5ht2b_human</v>
      </c>
      <c r="C8" s="2" t="str">
        <f>VLOOKUP(A8,Classification!A:D,2,FALSE)</f>
        <v>A</v>
      </c>
      <c r="D8" s="2" t="s">
        <v>56</v>
      </c>
      <c r="E8" s="2" t="s">
        <v>20</v>
      </c>
      <c r="K8" s="2" t="s">
        <v>59</v>
      </c>
      <c r="N8" s="2" t="s">
        <v>43</v>
      </c>
      <c r="P8" s="4" t="s">
        <v>51</v>
      </c>
      <c r="R8" s="71" t="str">
        <f>MID(VLOOKUP($A8,Seqs!$A:$B,2,FALSE),VLOOKUP($A8,'NonXtal_SegEnds_Prot#'!A:AL,10,FALSE),1)</f>
        <v>D</v>
      </c>
      <c r="S8" s="102" t="str">
        <f>MID(VLOOKUP($A8,Seqs!$A:$B,2,FALSE),VLOOKUP($A8,'NonXtal_SegEnds_Prot#'!A:AL,10,FALSE)+6,1)</f>
        <v>F</v>
      </c>
      <c r="T8" s="102" t="str">
        <f>MID(VLOOKUP($A8,Seqs!$A:$B,2,FALSE),VLOOKUP($A8,'NonXtal_SegEnds_Prot#'!A:AL,10,FALSE)+7,1)</f>
        <v>V</v>
      </c>
      <c r="U8" s="102" t="str">
        <f>MID(VLOOKUP($A8,Seqs!$A:$B,2,FALSE),VLOOKUP($A8,'NonXtal_SegEnds_Prot#'!A:AL,10,FALSE)+8,1)</f>
        <v>M</v>
      </c>
      <c r="V8" s="102" t="str">
        <f>MID(VLOOKUP($A8,Seqs!$A:$B,2,FALSE),VLOOKUP($A8,'NonXtal_SegEnds_Prot#'!A:AL,10,FALSE)+9,1)</f>
        <v>P</v>
      </c>
      <c r="W8" s="71" t="str">
        <f>MID(VLOOKUP($A8,Seqs!$A:$B,2,FALSE),VLOOKUP($A8,'NonXtal_SegEnds_Prot#'!$A:$AL,22,FALSE)+6,1)</f>
        <v>I</v>
      </c>
      <c r="X8" s="102" t="str">
        <f>MID(VLOOKUP($A8,Seqs!$A:$B,2,FALSE),VLOOKUP($A8,'NonXtal_SegEnds_Prot#'!$A:$AL,22,FALSE)+7,1)</f>
        <v>A</v>
      </c>
      <c r="Y8" s="102" t="str">
        <f>MID(VLOOKUP($A8,Seqs!$A:$B,2,FALSE),VLOOKUP($A8,'NonXtal_SegEnds_Prot#'!$A:$AL,22,FALSE)+8,1)</f>
        <v>I</v>
      </c>
      <c r="Z8" s="102" t="str">
        <f>MID(VLOOKUP($A8,Seqs!$A:$B,2,FALSE),VLOOKUP($A8,'NonXtal_SegEnds_Prot#'!$A:$AL,22,FALSE)+9,1)</f>
        <v>P</v>
      </c>
      <c r="AA8" s="102" t="str">
        <f>MID(VLOOKUP($A8,Seqs!$A:$B,2,FALSE),VLOOKUP($A8,'NonXtal_SegEnds_Prot#'!$A:$AL,22,FALSE)+10,1)</f>
        <v>V</v>
      </c>
      <c r="AB8" s="71" t="str">
        <f>MID(VLOOKUP($A8,Seqs!$A:$B,2,FALSE),VLOOKUP($A8,'NonXtal_SegEnds_Prot#'!$A:$AL,28,FALSE)-4,1)</f>
        <v>A</v>
      </c>
      <c r="AC8" s="102" t="str">
        <f>MID(VLOOKUP($A8,Seqs!$A:$B,2,FALSE),VLOOKUP($A8,'NonXtal_SegEnds_Prot#'!$A:$AL,28,FALSE),1)</f>
        <v>P</v>
      </c>
    </row>
    <row r="9" spans="1:29" s="2" customFormat="1" x14ac:dyDescent="0.2">
      <c r="A9" s="2" t="s">
        <v>327</v>
      </c>
      <c r="B9" s="2" t="str">
        <f>LOWER(VLOOKUP(A9,Xtal_Templ!A:B,2,FALSE))</f>
        <v>5ht2b_human</v>
      </c>
      <c r="C9" s="2" t="str">
        <f>VLOOKUP(A9,Classification!A:D,2,FALSE)</f>
        <v>A</v>
      </c>
      <c r="E9" s="2" t="s">
        <v>20</v>
      </c>
      <c r="K9" s="2" t="s">
        <v>59</v>
      </c>
      <c r="N9" s="2" t="s">
        <v>43</v>
      </c>
      <c r="P9" s="4" t="s">
        <v>51</v>
      </c>
      <c r="R9" s="71" t="str">
        <f>MID(VLOOKUP($A9,Seqs!$A:$B,2,FALSE),VLOOKUP($A9,'NonXtal_SegEnds_Prot#'!A:AL,10,FALSE),1)</f>
        <v>D</v>
      </c>
      <c r="S9" s="102" t="str">
        <f>MID(VLOOKUP($A9,Seqs!$A:$B,2,FALSE),VLOOKUP($A9,'NonXtal_SegEnds_Prot#'!A:AL,10,FALSE)+6,1)</f>
        <v>L</v>
      </c>
      <c r="T9" s="102" t="str">
        <f>MID(VLOOKUP($A9,Seqs!$A:$B,2,FALSE),VLOOKUP($A9,'NonXtal_SegEnds_Prot#'!A:AL,10,FALSE)+7,1)</f>
        <v>V</v>
      </c>
      <c r="U9" s="102" t="str">
        <f>MID(VLOOKUP($A9,Seqs!$A:$B,2,FALSE),VLOOKUP($A9,'NonXtal_SegEnds_Prot#'!A:AL,10,FALSE)+8,1)</f>
        <v>M</v>
      </c>
      <c r="V9" s="102" t="str">
        <f>MID(VLOOKUP($A9,Seqs!$A:$B,2,FALSE),VLOOKUP($A9,'NonXtal_SegEnds_Prot#'!A:AL,10,FALSE)+9,1)</f>
        <v>P</v>
      </c>
      <c r="W9" s="71" t="str">
        <f>MID(VLOOKUP($A9,Seqs!$A:$B,2,FALSE),VLOOKUP($A9,'NonXtal_SegEnds_Prot#'!$A:$AL,22,FALSE)+6,1)</f>
        <v>V</v>
      </c>
      <c r="X9" s="102" t="str">
        <f>MID(VLOOKUP($A9,Seqs!$A:$B,2,FALSE),VLOOKUP($A9,'NonXtal_SegEnds_Prot#'!$A:$AL,22,FALSE)+7,1)</f>
        <v>S</v>
      </c>
      <c r="Y9" s="102" t="str">
        <f>MID(VLOOKUP($A9,Seqs!$A:$B,2,FALSE),VLOOKUP($A9,'NonXtal_SegEnds_Prot#'!$A:$AL,22,FALSE)+8,1)</f>
        <v>V</v>
      </c>
      <c r="Z9" s="102" t="str">
        <f>MID(VLOOKUP($A9,Seqs!$A:$B,2,FALSE),VLOOKUP($A9,'NonXtal_SegEnds_Prot#'!$A:$AL,22,FALSE)+9,1)</f>
        <v>P</v>
      </c>
      <c r="AA9" s="102" t="str">
        <f>MID(VLOOKUP($A9,Seqs!$A:$B,2,FALSE),VLOOKUP($A9,'NonXtal_SegEnds_Prot#'!$A:$AL,22,FALSE)+10,1)</f>
        <v>I</v>
      </c>
      <c r="AB9" s="71" t="str">
        <f>MID(VLOOKUP($A9,Seqs!$A:$B,2,FALSE),VLOOKUP($A9,'NonXtal_SegEnds_Prot#'!$A:$AL,28,FALSE)-4,1)</f>
        <v>A</v>
      </c>
      <c r="AC9" s="102" t="str">
        <f>MID(VLOOKUP($A9,Seqs!$A:$B,2,FALSE),VLOOKUP($A9,'NonXtal_SegEnds_Prot#'!$A:$AL,28,FALSE),1)</f>
        <v>P</v>
      </c>
    </row>
    <row r="10" spans="1:29" s="2" customFormat="1" x14ac:dyDescent="0.2">
      <c r="A10" s="2" t="s">
        <v>328</v>
      </c>
      <c r="B10" s="2" t="str">
        <f>LOWER(VLOOKUP(A10,Xtal_Templ!A:B,2,FALSE))</f>
        <v>adrb1_melga</v>
      </c>
      <c r="C10" s="2" t="str">
        <f>VLOOKUP(A10,Classification!A:D,2,FALSE)</f>
        <v>A</v>
      </c>
      <c r="E10" s="2" t="s">
        <v>20</v>
      </c>
      <c r="N10" s="2" t="s">
        <v>43</v>
      </c>
      <c r="P10" s="4" t="s">
        <v>51</v>
      </c>
      <c r="R10" s="71" t="str">
        <f>MID(VLOOKUP($A10,Seqs!$A:$B,2,FALSE),VLOOKUP($A10,'NonXtal_SegEnds_Prot#'!A:AL,10,FALSE),1)</f>
        <v>D</v>
      </c>
      <c r="S10" s="102" t="str">
        <f>MID(VLOOKUP($A10,Seqs!$A:$B,2,FALSE),VLOOKUP($A10,'NonXtal_SegEnds_Prot#'!A:AL,10,FALSE)+6,1)</f>
        <v>L</v>
      </c>
      <c r="T10" s="102" t="str">
        <f>MID(VLOOKUP($A10,Seqs!$A:$B,2,FALSE),VLOOKUP($A10,'NonXtal_SegEnds_Prot#'!A:AL,10,FALSE)+7,1)</f>
        <v>V</v>
      </c>
      <c r="U10" s="102" t="str">
        <f>MID(VLOOKUP($A10,Seqs!$A:$B,2,FALSE),VLOOKUP($A10,'NonXtal_SegEnds_Prot#'!A:AL,10,FALSE)+8,1)</f>
        <v>M</v>
      </c>
      <c r="V10" s="102" t="str">
        <f>MID(VLOOKUP($A10,Seqs!$A:$B,2,FALSE),VLOOKUP($A10,'NonXtal_SegEnds_Prot#'!A:AL,10,FALSE)+9,1)</f>
        <v>P</v>
      </c>
      <c r="W10" s="71" t="str">
        <f>MID(VLOOKUP($A10,Seqs!$A:$B,2,FALSE),VLOOKUP($A10,'NonXtal_SegEnds_Prot#'!$A:$AL,22,FALSE)+6,1)</f>
        <v>I</v>
      </c>
      <c r="X10" s="102" t="str">
        <f>MID(VLOOKUP($A10,Seqs!$A:$B,2,FALSE),VLOOKUP($A10,'NonXtal_SegEnds_Prot#'!$A:$AL,22,FALSE)+7,1)</f>
        <v>S</v>
      </c>
      <c r="Y10" s="102" t="str">
        <f>MID(VLOOKUP($A10,Seqs!$A:$B,2,FALSE),VLOOKUP($A10,'NonXtal_SegEnds_Prot#'!$A:$AL,22,FALSE)+8,1)</f>
        <v>F</v>
      </c>
      <c r="Z10" s="102" t="str">
        <f>MID(VLOOKUP($A10,Seqs!$A:$B,2,FALSE),VLOOKUP($A10,'NonXtal_SegEnds_Prot#'!$A:$AL,22,FALSE)+9,1)</f>
        <v>L</v>
      </c>
      <c r="AA10" s="102" t="str">
        <f>MID(VLOOKUP($A10,Seqs!$A:$B,2,FALSE),VLOOKUP($A10,'NonXtal_SegEnds_Prot#'!$A:$AL,22,FALSE)+10,1)</f>
        <v>P</v>
      </c>
      <c r="AB10" s="71" t="str">
        <f>MID(VLOOKUP($A10,Seqs!$A:$B,2,FALSE),VLOOKUP($A10,'NonXtal_SegEnds_Prot#'!$A:$AL,28,FALSE)-4,1)</f>
        <v>A</v>
      </c>
      <c r="AC10" s="102" t="str">
        <f>MID(VLOOKUP($A10,Seqs!$A:$B,2,FALSE),VLOOKUP($A10,'NonXtal_SegEnds_Prot#'!$A:$AL,28,FALSE),1)</f>
        <v>P</v>
      </c>
    </row>
    <row r="11" spans="1:29" s="2" customFormat="1" x14ac:dyDescent="0.2">
      <c r="A11" s="2" t="s">
        <v>329</v>
      </c>
      <c r="B11" s="2" t="str">
        <f>LOWER(VLOOKUP(A11,Xtal_Templ!A:B,2,FALSE))</f>
        <v>5ht1b_human</v>
      </c>
      <c r="C11" s="2" t="str">
        <f>VLOOKUP(A11,Classification!A:D,2,FALSE)</f>
        <v>A</v>
      </c>
      <c r="E11" s="2" t="s">
        <v>20</v>
      </c>
      <c r="N11" s="2" t="s">
        <v>43</v>
      </c>
      <c r="P11" s="4" t="s">
        <v>51</v>
      </c>
      <c r="R11" s="71" t="str">
        <f>MID(VLOOKUP($A11,Seqs!$A:$B,2,FALSE),VLOOKUP($A11,'NonXtal_SegEnds_Prot#'!A:AL,10,FALSE),1)</f>
        <v>D</v>
      </c>
      <c r="S11" s="102" t="str">
        <f>MID(VLOOKUP($A11,Seqs!$A:$B,2,FALSE),VLOOKUP($A11,'NonXtal_SegEnds_Prot#'!A:AL,10,FALSE)+6,1)</f>
        <v>L</v>
      </c>
      <c r="T11" s="102" t="str">
        <f>MID(VLOOKUP($A11,Seqs!$A:$B,2,FALSE),VLOOKUP($A11,'NonXtal_SegEnds_Prot#'!A:AL,10,FALSE)+7,1)</f>
        <v>V</v>
      </c>
      <c r="U11" s="102" t="str">
        <f>MID(VLOOKUP($A11,Seqs!$A:$B,2,FALSE),VLOOKUP($A11,'NonXtal_SegEnds_Prot#'!A:AL,10,FALSE)+8,1)</f>
        <v>M</v>
      </c>
      <c r="V11" s="102" t="str">
        <f>MID(VLOOKUP($A11,Seqs!$A:$B,2,FALSE),VLOOKUP($A11,'NonXtal_SegEnds_Prot#'!A:AL,10,FALSE)+9,1)</f>
        <v>P</v>
      </c>
      <c r="W11" s="71" t="str">
        <f>MID(VLOOKUP($A11,Seqs!$A:$B,2,FALSE),VLOOKUP($A11,'NonXtal_SegEnds_Prot#'!$A:$AL,22,FALSE)+6,1)</f>
        <v>I</v>
      </c>
      <c r="X11" s="102" t="str">
        <f>MID(VLOOKUP($A11,Seqs!$A:$B,2,FALSE),VLOOKUP($A11,'NonXtal_SegEnds_Prot#'!$A:$AL,22,FALSE)+7,1)</f>
        <v>S</v>
      </c>
      <c r="Y11" s="102" t="str">
        <f>MID(VLOOKUP($A11,Seqs!$A:$B,2,FALSE),VLOOKUP($A11,'NonXtal_SegEnds_Prot#'!$A:$AL,22,FALSE)+8,1)</f>
        <v>L</v>
      </c>
      <c r="Z11" s="102" t="str">
        <f>MID(VLOOKUP($A11,Seqs!$A:$B,2,FALSE),VLOOKUP($A11,'NonXtal_SegEnds_Prot#'!$A:$AL,22,FALSE)+9,1)</f>
        <v>A</v>
      </c>
      <c r="AA11" s="102" t="str">
        <f>MID(VLOOKUP($A11,Seqs!$A:$B,2,FALSE),VLOOKUP($A11,'NonXtal_SegEnds_Prot#'!$A:$AL,22,FALSE)+10,1)</f>
        <v>P</v>
      </c>
      <c r="AB11" s="71" t="str">
        <f>MID(VLOOKUP($A11,Seqs!$A:$B,2,FALSE),VLOOKUP($A11,'NonXtal_SegEnds_Prot#'!$A:$AL,28,FALSE)-4,1)</f>
        <v>A</v>
      </c>
      <c r="AC11" s="102" t="str">
        <f>MID(VLOOKUP($A11,Seqs!$A:$B,2,FALSE),VLOOKUP($A11,'NonXtal_SegEnds_Prot#'!$A:$AL,28,FALSE),1)</f>
        <v>P</v>
      </c>
    </row>
    <row r="12" spans="1:29" s="2" customFormat="1" x14ac:dyDescent="0.2">
      <c r="A12" s="2" t="s">
        <v>330</v>
      </c>
      <c r="B12" s="2" t="str">
        <f>LOWER(VLOOKUP(A12,Xtal_Templ!A:B,2,FALSE))</f>
        <v>adrb1_melga</v>
      </c>
      <c r="C12" s="2" t="str">
        <f>VLOOKUP(A12,Classification!A:D,2,FALSE)</f>
        <v>A</v>
      </c>
      <c r="E12" s="2" t="s">
        <v>20</v>
      </c>
      <c r="N12" s="2" t="s">
        <v>43</v>
      </c>
      <c r="P12" s="4" t="s">
        <v>51</v>
      </c>
      <c r="R12" s="71" t="str">
        <f>MID(VLOOKUP($A12,Seqs!$A:$B,2,FALSE),VLOOKUP($A12,'NonXtal_SegEnds_Prot#'!A:AL,10,FALSE),1)</f>
        <v>D</v>
      </c>
      <c r="S12" s="102" t="str">
        <f>MID(VLOOKUP($A12,Seqs!$A:$B,2,FALSE),VLOOKUP($A12,'NonXtal_SegEnds_Prot#'!A:AL,10,FALSE)+6,1)</f>
        <v>V</v>
      </c>
      <c r="T12" s="102" t="str">
        <f>MID(VLOOKUP($A12,Seqs!$A:$B,2,FALSE),VLOOKUP($A12,'NonXtal_SegEnds_Prot#'!A:AL,10,FALSE)+7,1)</f>
        <v>V</v>
      </c>
      <c r="U12" s="102" t="str">
        <f>MID(VLOOKUP($A12,Seqs!$A:$B,2,FALSE),VLOOKUP($A12,'NonXtal_SegEnds_Prot#'!A:AL,10,FALSE)+8,1)</f>
        <v>M</v>
      </c>
      <c r="V12" s="102" t="str">
        <f>MID(VLOOKUP($A12,Seqs!$A:$B,2,FALSE),VLOOKUP($A12,'NonXtal_SegEnds_Prot#'!A:AL,10,FALSE)+9,1)</f>
        <v>P</v>
      </c>
      <c r="W12" s="71" t="str">
        <f>MID(VLOOKUP($A12,Seqs!$A:$B,2,FALSE),VLOOKUP($A12,'NonXtal_SegEnds_Prot#'!$A:$AL,22,FALSE)+6,1)</f>
        <v>A</v>
      </c>
      <c r="X12" s="102" t="str">
        <f>MID(VLOOKUP($A12,Seqs!$A:$B,2,FALSE),VLOOKUP($A12,'NonXtal_SegEnds_Prot#'!$A:$AL,22,FALSE)+7,1)</f>
        <v>S</v>
      </c>
      <c r="Y12" s="102" t="str">
        <f>MID(VLOOKUP($A12,Seqs!$A:$B,2,FALSE),VLOOKUP($A12,'NonXtal_SegEnds_Prot#'!$A:$AL,22,FALSE)+8,1)</f>
        <v>F</v>
      </c>
      <c r="Z12" s="102" t="str">
        <f>MID(VLOOKUP($A12,Seqs!$A:$B,2,FALSE),VLOOKUP($A12,'NonXtal_SegEnds_Prot#'!$A:$AL,22,FALSE)+9,1)</f>
        <v>L</v>
      </c>
      <c r="AA12" s="102" t="str">
        <f>MID(VLOOKUP($A12,Seqs!$A:$B,2,FALSE),VLOOKUP($A12,'NonXtal_SegEnds_Prot#'!$A:$AL,22,FALSE)+10,1)</f>
        <v>P</v>
      </c>
      <c r="AB12" s="71" t="str">
        <f>MID(VLOOKUP($A12,Seqs!$A:$B,2,FALSE),VLOOKUP($A12,'NonXtal_SegEnds_Prot#'!$A:$AL,28,FALSE)-4,1)</f>
        <v>T</v>
      </c>
      <c r="AC12" s="102" t="str">
        <f>MID(VLOOKUP($A12,Seqs!$A:$B,2,FALSE),VLOOKUP($A12,'NonXtal_SegEnds_Prot#'!$A:$AL,28,FALSE),1)</f>
        <v>P</v>
      </c>
    </row>
    <row r="13" spans="1:29" s="2" customFormat="1" x14ac:dyDescent="0.2">
      <c r="A13" s="2" t="s">
        <v>331</v>
      </c>
      <c r="B13" s="2" t="str">
        <f>LOWER(VLOOKUP(A13,Xtal_Templ!A:B,2,FALSE))</f>
        <v>5ht1b_human</v>
      </c>
      <c r="C13" s="2" t="str">
        <f>VLOOKUP(A13,Classification!A:D,2,FALSE)</f>
        <v>A</v>
      </c>
      <c r="E13" s="2" t="s">
        <v>20</v>
      </c>
      <c r="N13" s="2" t="s">
        <v>43</v>
      </c>
      <c r="P13" s="4" t="s">
        <v>51</v>
      </c>
      <c r="R13" s="71" t="str">
        <f>MID(VLOOKUP($A13,Seqs!$A:$B,2,FALSE),VLOOKUP($A13,'NonXtal_SegEnds_Prot#'!A:AL,10,FALSE),1)</f>
        <v>D</v>
      </c>
      <c r="S13" s="102" t="str">
        <f>MID(VLOOKUP($A13,Seqs!$A:$B,2,FALSE),VLOOKUP($A13,'NonXtal_SegEnds_Prot#'!A:AL,10,FALSE)+6,1)</f>
        <v>A</v>
      </c>
      <c r="T13" s="102" t="str">
        <f>MID(VLOOKUP($A13,Seqs!$A:$B,2,FALSE),VLOOKUP($A13,'NonXtal_SegEnds_Prot#'!A:AL,10,FALSE)+7,1)</f>
        <v>V</v>
      </c>
      <c r="U13" s="102" t="str">
        <f>MID(VLOOKUP($A13,Seqs!$A:$B,2,FALSE),VLOOKUP($A13,'NonXtal_SegEnds_Prot#'!A:AL,10,FALSE)+8,1)</f>
        <v>M</v>
      </c>
      <c r="V13" s="102" t="str">
        <f>MID(VLOOKUP($A13,Seqs!$A:$B,2,FALSE),VLOOKUP($A13,'NonXtal_SegEnds_Prot#'!A:AL,10,FALSE)+9,1)</f>
        <v>P</v>
      </c>
      <c r="W13" s="71" t="str">
        <f>MID(VLOOKUP($A13,Seqs!$A:$B,2,FALSE),VLOOKUP($A13,'NonXtal_SegEnds_Prot#'!$A:$AL,22,FALSE)+6,1)</f>
        <v>I</v>
      </c>
      <c r="X13" s="102" t="str">
        <f>MID(VLOOKUP($A13,Seqs!$A:$B,2,FALSE),VLOOKUP($A13,'NonXtal_SegEnds_Prot#'!$A:$AL,22,FALSE)+7,1)</f>
        <v>T</v>
      </c>
      <c r="Y13" s="102" t="str">
        <f>MID(VLOOKUP($A13,Seqs!$A:$B,2,FALSE),VLOOKUP($A13,'NonXtal_SegEnds_Prot#'!$A:$AL,22,FALSE)+8,1)</f>
        <v>L</v>
      </c>
      <c r="Z13" s="102" t="str">
        <f>MID(VLOOKUP($A13,Seqs!$A:$B,2,FALSE),VLOOKUP($A13,'NonXtal_SegEnds_Prot#'!$A:$AL,22,FALSE)+9,1)</f>
        <v>P</v>
      </c>
      <c r="AA13" s="102" t="str">
        <f>MID(VLOOKUP($A13,Seqs!$A:$B,2,FALSE),VLOOKUP($A13,'NonXtal_SegEnds_Prot#'!$A:$AL,22,FALSE)+10,1)</f>
        <v>P</v>
      </c>
      <c r="AB13" s="71" t="str">
        <f>MID(VLOOKUP($A13,Seqs!$A:$B,2,FALSE),VLOOKUP($A13,'NonXtal_SegEnds_Prot#'!$A:$AL,28,FALSE)-4,1)</f>
        <v>A</v>
      </c>
      <c r="AC13" s="102" t="str">
        <f>MID(VLOOKUP($A13,Seqs!$A:$B,2,FALSE),VLOOKUP($A13,'NonXtal_SegEnds_Prot#'!$A:$AL,28,FALSE),1)</f>
        <v>P</v>
      </c>
    </row>
    <row r="14" spans="1:29" s="2" customFormat="1" x14ac:dyDescent="0.2">
      <c r="A14" s="2" t="s">
        <v>332</v>
      </c>
      <c r="B14" s="2" t="str">
        <f>LOWER(VLOOKUP(A14,Xtal_Templ!A:B,2,FALSE))</f>
        <v>aa2ar_human</v>
      </c>
      <c r="C14" s="2" t="str">
        <f>VLOOKUP(A14,Classification!A:D,2,FALSE)</f>
        <v>A</v>
      </c>
      <c r="E14" s="2" t="s">
        <v>20</v>
      </c>
      <c r="L14" s="2" t="s">
        <v>1551</v>
      </c>
      <c r="N14" s="2" t="s">
        <v>43</v>
      </c>
      <c r="P14" s="4" t="s">
        <v>51</v>
      </c>
      <c r="R14" s="71" t="str">
        <f>MID(VLOOKUP($A14,Seqs!$A:$B,2,FALSE),VLOOKUP($A14,'NonXtal_SegEnds_Prot#'!A:AL,10,FALSE),1)</f>
        <v>D</v>
      </c>
      <c r="S14" s="102" t="str">
        <f>MID(VLOOKUP($A14,Seqs!$A:$B,2,FALSE),VLOOKUP($A14,'NonXtal_SegEnds_Prot#'!A:AL,10,FALSE)+6,1)</f>
        <v>L</v>
      </c>
      <c r="T14" s="102" t="str">
        <f>MID(VLOOKUP($A14,Seqs!$A:$B,2,FALSE),VLOOKUP($A14,'NonXtal_SegEnds_Prot#'!A:AL,10,FALSE)+7,1)</f>
        <v>V</v>
      </c>
      <c r="U14" s="102" t="str">
        <f>MID(VLOOKUP($A14,Seqs!$A:$B,2,FALSE),VLOOKUP($A14,'NonXtal_SegEnds_Prot#'!A:AL,10,FALSE)+8,1)</f>
        <v>I</v>
      </c>
      <c r="V14" s="102" t="str">
        <f>MID(VLOOKUP($A14,Seqs!$A:$B,2,FALSE),VLOOKUP($A14,'NonXtal_SegEnds_Prot#'!A:AL,10,FALSE)+9,1)</f>
        <v>P</v>
      </c>
      <c r="W14" s="71" t="str">
        <f>MID(VLOOKUP($A14,Seqs!$A:$B,2,FALSE),VLOOKUP($A14,'NonXtal_SegEnds_Prot#'!$A:$AL,22,FALSE)+6,1)</f>
        <v>V</v>
      </c>
      <c r="X14" s="102" t="str">
        <f>MID(VLOOKUP($A14,Seqs!$A:$B,2,FALSE),VLOOKUP($A14,'NonXtal_SegEnds_Prot#'!$A:$AL,22,FALSE)+7,1)</f>
        <v>G</v>
      </c>
      <c r="Y14" s="102" t="str">
        <f>MID(VLOOKUP($A14,Seqs!$A:$B,2,FALSE),VLOOKUP($A14,'NonXtal_SegEnds_Prot#'!$A:$AL,22,FALSE)+8,1)</f>
        <v>L</v>
      </c>
      <c r="Z14" s="102" t="str">
        <f>MID(VLOOKUP($A14,Seqs!$A:$B,2,FALSE),VLOOKUP($A14,'NonXtal_SegEnds_Prot#'!$A:$AL,22,FALSE)+9,1)</f>
        <v>T</v>
      </c>
      <c r="AA14" s="102" t="str">
        <f>MID(VLOOKUP($A14,Seqs!$A:$B,2,FALSE),VLOOKUP($A14,'NonXtal_SegEnds_Prot#'!$A:$AL,22,FALSE)+10,1)</f>
        <v>P</v>
      </c>
      <c r="AB14" s="71" t="str">
        <f>MID(VLOOKUP($A14,Seqs!$A:$B,2,FALSE),VLOOKUP($A14,'NonXtal_SegEnds_Prot#'!$A:$AL,28,FALSE)-4,1)</f>
        <v>W</v>
      </c>
      <c r="AC14" s="102" t="str">
        <f>MID(VLOOKUP($A14,Seqs!$A:$B,2,FALSE),VLOOKUP($A14,'NonXtal_SegEnds_Prot#'!$A:$AL,28,FALSE),1)</f>
        <v>P</v>
      </c>
    </row>
    <row r="15" spans="1:29" s="2" customFormat="1" x14ac:dyDescent="0.2">
      <c r="A15" s="2" t="s">
        <v>333</v>
      </c>
      <c r="B15" s="2" t="str">
        <f>LOWER(VLOOKUP(A15,Xtal_Templ!A:B,2,FALSE))</f>
        <v>aa2ar_human</v>
      </c>
      <c r="C15" s="2" t="str">
        <f>VLOOKUP(A15,Classification!A:D,2,FALSE)</f>
        <v>A</v>
      </c>
      <c r="E15" s="2" t="s">
        <v>20</v>
      </c>
      <c r="L15" s="2" t="s">
        <v>1551</v>
      </c>
      <c r="N15" s="2" t="s">
        <v>43</v>
      </c>
      <c r="P15" s="4" t="s">
        <v>51</v>
      </c>
      <c r="R15" s="71" t="str">
        <f>MID(VLOOKUP($A15,Seqs!$A:$B,2,FALSE),VLOOKUP($A15,'NonXtal_SegEnds_Prot#'!A:AL,10,FALSE),1)</f>
        <v>D</v>
      </c>
      <c r="S15" s="102" t="str">
        <f>MID(VLOOKUP($A15,Seqs!$A:$B,2,FALSE),VLOOKUP($A15,'NonXtal_SegEnds_Prot#'!A:AL,10,FALSE)+6,1)</f>
        <v>L</v>
      </c>
      <c r="T15" s="102" t="str">
        <f>MID(VLOOKUP($A15,Seqs!$A:$B,2,FALSE),VLOOKUP($A15,'NonXtal_SegEnds_Prot#'!A:AL,10,FALSE)+7,1)</f>
        <v>A</v>
      </c>
      <c r="U15" s="102" t="str">
        <f>MID(VLOOKUP($A15,Seqs!$A:$B,2,FALSE),VLOOKUP($A15,'NonXtal_SegEnds_Prot#'!A:AL,10,FALSE)+8,1)</f>
        <v>I</v>
      </c>
      <c r="V15" s="102" t="str">
        <f>MID(VLOOKUP($A15,Seqs!$A:$B,2,FALSE),VLOOKUP($A15,'NonXtal_SegEnds_Prot#'!A:AL,10,FALSE)+9,1)</f>
        <v>P</v>
      </c>
      <c r="W15" s="71" t="str">
        <f>MID(VLOOKUP($A15,Seqs!$A:$B,2,FALSE),VLOOKUP($A15,'NonXtal_SegEnds_Prot#'!$A:$AL,22,FALSE)+6,1)</f>
        <v>I</v>
      </c>
      <c r="X15" s="102" t="str">
        <f>MID(VLOOKUP($A15,Seqs!$A:$B,2,FALSE),VLOOKUP($A15,'NonXtal_SegEnds_Prot#'!$A:$AL,22,FALSE)+7,1)</f>
        <v>G</v>
      </c>
      <c r="Y15" s="102" t="str">
        <f>MID(VLOOKUP($A15,Seqs!$A:$B,2,FALSE),VLOOKUP($A15,'NonXtal_SegEnds_Prot#'!$A:$AL,22,FALSE)+8,1)</f>
        <v>L</v>
      </c>
      <c r="Z15" s="102" t="str">
        <f>MID(VLOOKUP($A15,Seqs!$A:$B,2,FALSE),VLOOKUP($A15,'NonXtal_SegEnds_Prot#'!$A:$AL,22,FALSE)+9,1)</f>
        <v>T</v>
      </c>
      <c r="AA15" s="102" t="str">
        <f>MID(VLOOKUP($A15,Seqs!$A:$B,2,FALSE),VLOOKUP($A15,'NonXtal_SegEnds_Prot#'!$A:$AL,22,FALSE)+10,1)</f>
        <v>P</v>
      </c>
      <c r="AB15" s="71" t="str">
        <f>MID(VLOOKUP($A15,Seqs!$A:$B,2,FALSE),VLOOKUP($A15,'NonXtal_SegEnds_Prot#'!$A:$AL,28,FALSE)-4,1)</f>
        <v>C</v>
      </c>
      <c r="AC15" s="102" t="str">
        <f>MID(VLOOKUP($A15,Seqs!$A:$B,2,FALSE),VLOOKUP($A15,'NonXtal_SegEnds_Prot#'!$A:$AL,28,FALSE),1)</f>
        <v>P</v>
      </c>
    </row>
    <row r="16" spans="1:29" s="2" customFormat="1" x14ac:dyDescent="0.2">
      <c r="A16" s="2" t="s">
        <v>334</v>
      </c>
      <c r="B16" s="2" t="str">
        <f>LOWER(VLOOKUP(A16,Xtal_Templ!A:B,2,FALSE))</f>
        <v>aa2ar_human</v>
      </c>
      <c r="C16" s="2" t="str">
        <f>VLOOKUP(A16,Classification!A:D,2,FALSE)</f>
        <v>A</v>
      </c>
      <c r="E16" s="2" t="s">
        <v>20</v>
      </c>
      <c r="L16" s="2" t="s">
        <v>1551</v>
      </c>
      <c r="N16" s="2" t="s">
        <v>43</v>
      </c>
      <c r="P16" s="4" t="s">
        <v>51</v>
      </c>
      <c r="R16" s="71" t="str">
        <f>MID(VLOOKUP($A16,Seqs!$A:$B,2,FALSE),VLOOKUP($A16,'NonXtal_SegEnds_Prot#'!A:AL,10,FALSE),1)</f>
        <v>D</v>
      </c>
      <c r="S16" s="102" t="str">
        <f>MID(VLOOKUP($A16,Seqs!$A:$B,2,FALSE),VLOOKUP($A16,'NonXtal_SegEnds_Prot#'!A:AL,10,FALSE)+6,1)</f>
        <v>F</v>
      </c>
      <c r="T16" s="102" t="str">
        <f>MID(VLOOKUP($A16,Seqs!$A:$B,2,FALSE),VLOOKUP($A16,'NonXtal_SegEnds_Prot#'!A:AL,10,FALSE)+7,1)</f>
        <v>A</v>
      </c>
      <c r="U16" s="102" t="str">
        <f>MID(VLOOKUP($A16,Seqs!$A:$B,2,FALSE),VLOOKUP($A16,'NonXtal_SegEnds_Prot#'!A:AL,10,FALSE)+8,1)</f>
        <v>I</v>
      </c>
      <c r="V16" s="102" t="str">
        <f>MID(VLOOKUP($A16,Seqs!$A:$B,2,FALSE),VLOOKUP($A16,'NonXtal_SegEnds_Prot#'!A:AL,10,FALSE)+9,1)</f>
        <v>P</v>
      </c>
      <c r="W16" s="71" t="str">
        <f>MID(VLOOKUP($A16,Seqs!$A:$B,2,FALSE),VLOOKUP($A16,'NonXtal_SegEnds_Prot#'!$A:$AL,22,FALSE)+6,1)</f>
        <v>I</v>
      </c>
      <c r="X16" s="102" t="str">
        <f>MID(VLOOKUP($A16,Seqs!$A:$B,2,FALSE),VLOOKUP($A16,'NonXtal_SegEnds_Prot#'!$A:$AL,22,FALSE)+7,1)</f>
        <v>G</v>
      </c>
      <c r="Y16" s="102" t="str">
        <f>MID(VLOOKUP($A16,Seqs!$A:$B,2,FALSE),VLOOKUP($A16,'NonXtal_SegEnds_Prot#'!$A:$AL,22,FALSE)+8,1)</f>
        <v>L</v>
      </c>
      <c r="Z16" s="102" t="str">
        <f>MID(VLOOKUP($A16,Seqs!$A:$B,2,FALSE),VLOOKUP($A16,'NonXtal_SegEnds_Prot#'!$A:$AL,22,FALSE)+9,1)</f>
        <v>T</v>
      </c>
      <c r="AA16" s="102" t="str">
        <f>MID(VLOOKUP($A16,Seqs!$A:$B,2,FALSE),VLOOKUP($A16,'NonXtal_SegEnds_Prot#'!$A:$AL,22,FALSE)+10,1)</f>
        <v>P</v>
      </c>
      <c r="AB16" s="71" t="str">
        <f>MID(VLOOKUP($A16,Seqs!$A:$B,2,FALSE),VLOOKUP($A16,'NonXtal_SegEnds_Prot#'!$A:$AL,28,FALSE)-4,1)</f>
        <v>C</v>
      </c>
      <c r="AC16" s="102" t="str">
        <f>MID(VLOOKUP($A16,Seqs!$A:$B,2,FALSE),VLOOKUP($A16,'NonXtal_SegEnds_Prot#'!$A:$AL,28,FALSE),1)</f>
        <v>P</v>
      </c>
    </row>
    <row r="17" spans="1:29" s="2" customFormat="1" x14ac:dyDescent="0.2">
      <c r="A17" s="2" t="s">
        <v>335</v>
      </c>
      <c r="B17" s="2" t="str">
        <f>LOWER(VLOOKUP(A17,Xtal_Templ!A:B,2,FALSE))</f>
        <v>aa2ar_human</v>
      </c>
      <c r="C17" s="2" t="str">
        <f>VLOOKUP(A17,Classification!A:D,2,FALSE)</f>
        <v>A</v>
      </c>
      <c r="E17" s="2" t="s">
        <v>20</v>
      </c>
      <c r="L17" s="2" t="s">
        <v>1551</v>
      </c>
      <c r="N17" s="2" t="s">
        <v>43</v>
      </c>
      <c r="P17" s="4" t="s">
        <v>51</v>
      </c>
      <c r="R17" s="71" t="str">
        <f>MID(VLOOKUP($A17,Seqs!$A:$B,2,FALSE),VLOOKUP($A17,'NonXtal_SegEnds_Prot#'!A:AL,10,FALSE),1)</f>
        <v>D</v>
      </c>
      <c r="S17" s="102" t="str">
        <f>MID(VLOOKUP($A17,Seqs!$A:$B,2,FALSE),VLOOKUP($A17,'NonXtal_SegEnds_Prot#'!A:AL,10,FALSE)+6,1)</f>
        <v>L</v>
      </c>
      <c r="T17" s="102" t="str">
        <f>MID(VLOOKUP($A17,Seqs!$A:$B,2,FALSE),VLOOKUP($A17,'NonXtal_SegEnds_Prot#'!A:AL,10,FALSE)+7,1)</f>
        <v>V</v>
      </c>
      <c r="U17" s="102" t="str">
        <f>MID(VLOOKUP($A17,Seqs!$A:$B,2,FALSE),VLOOKUP($A17,'NonXtal_SegEnds_Prot#'!A:AL,10,FALSE)+8,1)</f>
        <v>M</v>
      </c>
      <c r="V17" s="102" t="str">
        <f>MID(VLOOKUP($A17,Seqs!$A:$B,2,FALSE),VLOOKUP($A17,'NonXtal_SegEnds_Prot#'!A:AL,10,FALSE)+9,1)</f>
        <v>P</v>
      </c>
      <c r="W17" s="71" t="str">
        <f>MID(VLOOKUP($A17,Seqs!$A:$B,2,FALSE),VLOOKUP($A17,'NonXtal_SegEnds_Prot#'!$A:$AL,22,FALSE)+6,1)</f>
        <v>V</v>
      </c>
      <c r="X17" s="102" t="str">
        <f>MID(VLOOKUP($A17,Seqs!$A:$B,2,FALSE),VLOOKUP($A17,'NonXtal_SegEnds_Prot#'!$A:$AL,22,FALSE)+7,1)</f>
        <v>G</v>
      </c>
      <c r="Y17" s="102" t="str">
        <f>MID(VLOOKUP($A17,Seqs!$A:$B,2,FALSE),VLOOKUP($A17,'NonXtal_SegEnds_Prot#'!$A:$AL,22,FALSE)+8,1)</f>
        <v>L</v>
      </c>
      <c r="Z17" s="102" t="str">
        <f>MID(VLOOKUP($A17,Seqs!$A:$B,2,FALSE),VLOOKUP($A17,'NonXtal_SegEnds_Prot#'!$A:$AL,22,FALSE)+9,1)</f>
        <v>T</v>
      </c>
      <c r="AA17" s="102" t="str">
        <f>MID(VLOOKUP($A17,Seqs!$A:$B,2,FALSE),VLOOKUP($A17,'NonXtal_SegEnds_Prot#'!$A:$AL,22,FALSE)+10,1)</f>
        <v>P</v>
      </c>
      <c r="AB17" s="71" t="str">
        <f>MID(VLOOKUP($A17,Seqs!$A:$B,2,FALSE),VLOOKUP($A17,'NonXtal_SegEnds_Prot#'!$A:$AL,28,FALSE)-4,1)</f>
        <v>W</v>
      </c>
      <c r="AC17" s="102" t="str">
        <f>MID(VLOOKUP($A17,Seqs!$A:$B,2,FALSE),VLOOKUP($A17,'NonXtal_SegEnds_Prot#'!$A:$AL,28,FALSE),1)</f>
        <v>P</v>
      </c>
    </row>
    <row r="18" spans="1:29" s="2" customFormat="1" x14ac:dyDescent="0.2">
      <c r="A18" s="2" t="s">
        <v>336</v>
      </c>
      <c r="B18" s="2" t="str">
        <f>LOWER(VLOOKUP(A18,Xtal_Templ!A:B,2,FALSE))</f>
        <v>ccr5_human</v>
      </c>
      <c r="C18" s="2" t="str">
        <f>VLOOKUP(A18,Classification!A:D,2,FALSE)</f>
        <v>A</v>
      </c>
      <c r="K18" s="2" t="s">
        <v>59</v>
      </c>
      <c r="P18" s="4" t="s">
        <v>51</v>
      </c>
      <c r="R18" s="71" t="str">
        <f>MID(VLOOKUP($A18,Seqs!$A:$B,2,FALSE),VLOOKUP($A18,'NonXtal_SegEnds_Prot#'!A:AL,10,FALSE),1)</f>
        <v>S</v>
      </c>
      <c r="S18" s="102" t="str">
        <f>MID(VLOOKUP($A18,Seqs!$A:$B,2,FALSE),VLOOKUP($A18,'NonXtal_SegEnds_Prot#'!A:AL,10,FALSE)+6,1)</f>
        <v>V</v>
      </c>
      <c r="T18" s="102" t="str">
        <f>MID(VLOOKUP($A18,Seqs!$A:$B,2,FALSE),VLOOKUP($A18,'NonXtal_SegEnds_Prot#'!A:AL,10,FALSE)+7,1)</f>
        <v>V</v>
      </c>
      <c r="U18" s="102" t="str">
        <f>MID(VLOOKUP($A18,Seqs!$A:$B,2,FALSE),VLOOKUP($A18,'NonXtal_SegEnds_Prot#'!A:AL,10,FALSE)+8,1)</f>
        <v>P</v>
      </c>
      <c r="V18" s="102" t="str">
        <f>MID(VLOOKUP($A18,Seqs!$A:$B,2,FALSE),VLOOKUP($A18,'NonXtal_SegEnds_Prot#'!A:AL,10,FALSE)+9,1)</f>
        <v>V</v>
      </c>
      <c r="W18" s="71" t="str">
        <f>MID(VLOOKUP($A18,Seqs!$A:$B,2,FALSE),VLOOKUP($A18,'NonXtal_SegEnds_Prot#'!$A:$AL,22,FALSE)+6,1)</f>
        <v>L</v>
      </c>
      <c r="X18" s="102" t="str">
        <f>MID(VLOOKUP($A18,Seqs!$A:$B,2,FALSE),VLOOKUP($A18,'NonXtal_SegEnds_Prot#'!$A:$AL,22,FALSE)+7,1)</f>
        <v>T</v>
      </c>
      <c r="Y18" s="102" t="str">
        <f>MID(VLOOKUP($A18,Seqs!$A:$B,2,FALSE),VLOOKUP($A18,'NonXtal_SegEnds_Prot#'!$A:$AL,22,FALSE)+8,1)</f>
        <v>L</v>
      </c>
      <c r="Z18" s="102" t="str">
        <f>MID(VLOOKUP($A18,Seqs!$A:$B,2,FALSE),VLOOKUP($A18,'NonXtal_SegEnds_Prot#'!$A:$AL,22,FALSE)+9,1)</f>
        <v>P</v>
      </c>
      <c r="AA18" s="102" t="str">
        <f>MID(VLOOKUP($A18,Seqs!$A:$B,2,FALSE),VLOOKUP($A18,'NonXtal_SegEnds_Prot#'!$A:$AL,22,FALSE)+10,1)</f>
        <v>V</v>
      </c>
      <c r="AB18" s="71" t="str">
        <f>MID(VLOOKUP($A18,Seqs!$A:$B,2,FALSE),VLOOKUP($A18,'NonXtal_SegEnds_Prot#'!$A:$AL,28,FALSE)-4,1)</f>
        <v>C</v>
      </c>
      <c r="AC18" s="102" t="str">
        <f>MID(VLOOKUP($A18,Seqs!$A:$B,2,FALSE),VLOOKUP($A18,'NonXtal_SegEnds_Prot#'!$A:$AL,28,FALSE),1)</f>
        <v>F</v>
      </c>
    </row>
    <row r="19" spans="1:29" s="2" customFormat="1" x14ac:dyDescent="0.2">
      <c r="A19" s="2" t="s">
        <v>337</v>
      </c>
      <c r="B19" s="2" t="str">
        <f>LOWER(VLOOKUP(A19,Xtal_Templ!A:B,2,FALSE))</f>
        <v>ccr5_human</v>
      </c>
      <c r="C19" s="2" t="str">
        <f>VLOOKUP(A19,Classification!A:D,2,FALSE)</f>
        <v>A</v>
      </c>
      <c r="K19" s="2" t="s">
        <v>59</v>
      </c>
      <c r="N19" s="2" t="s">
        <v>43</v>
      </c>
      <c r="P19" s="4" t="s">
        <v>51</v>
      </c>
      <c r="R19" s="71" t="str">
        <f>MID(VLOOKUP($A19,Seqs!$A:$B,2,FALSE),VLOOKUP($A19,'NonXtal_SegEnds_Prot#'!A:AL,10,FALSE),1)</f>
        <v>N</v>
      </c>
      <c r="S19" s="102" t="str">
        <f>MID(VLOOKUP($A19,Seqs!$A:$B,2,FALSE),VLOOKUP($A19,'NonXtal_SegEnds_Prot#'!A:AL,10,FALSE)+6,1)</f>
        <v>T</v>
      </c>
      <c r="T19" s="102" t="str">
        <f>MID(VLOOKUP($A19,Seqs!$A:$B,2,FALSE),VLOOKUP($A19,'NonXtal_SegEnds_Prot#'!A:AL,10,FALSE)+7,1)</f>
        <v>L</v>
      </c>
      <c r="U19" s="102" t="str">
        <f>MID(VLOOKUP($A19,Seqs!$A:$B,2,FALSE),VLOOKUP($A19,'NonXtal_SegEnds_Prot#'!A:AL,10,FALSE)+8,1)</f>
        <v>P</v>
      </c>
      <c r="V19" s="102" t="str">
        <f>MID(VLOOKUP($A19,Seqs!$A:$B,2,FALSE),VLOOKUP($A19,'NonXtal_SegEnds_Prot#'!A:AL,10,FALSE)+9,1)</f>
        <v>F</v>
      </c>
      <c r="W19" s="71" t="str">
        <f>MID(VLOOKUP($A19,Seqs!$A:$B,2,FALSE),VLOOKUP($A19,'NonXtal_SegEnds_Prot#'!$A:$AL,22,FALSE)+6,1)</f>
        <v>V</v>
      </c>
      <c r="X19" s="102" t="str">
        <f>MID(VLOOKUP($A19,Seqs!$A:$B,2,FALSE),VLOOKUP($A19,'NonXtal_SegEnds_Prot#'!$A:$AL,22,FALSE)+7,1)</f>
        <v>S</v>
      </c>
      <c r="Y19" s="102" t="str">
        <f>MID(VLOOKUP($A19,Seqs!$A:$B,2,FALSE),VLOOKUP($A19,'NonXtal_SegEnds_Prot#'!$A:$AL,22,FALSE)+8,1)</f>
        <v>I</v>
      </c>
      <c r="Z19" s="102" t="str">
        <f>MID(VLOOKUP($A19,Seqs!$A:$B,2,FALSE),VLOOKUP($A19,'NonXtal_SegEnds_Prot#'!$A:$AL,22,FALSE)+9,1)</f>
        <v>P</v>
      </c>
      <c r="AA19" s="102" t="str">
        <f>MID(VLOOKUP($A19,Seqs!$A:$B,2,FALSE),VLOOKUP($A19,'NonXtal_SegEnds_Prot#'!$A:$AL,22,FALSE)+10,1)</f>
        <v>D</v>
      </c>
      <c r="AB19" s="71" t="str">
        <f>MID(VLOOKUP($A19,Seqs!$A:$B,2,FALSE),VLOOKUP($A19,'NonXtal_SegEnds_Prot#'!$A:$AL,28,FALSE)-4,1)</f>
        <v>G</v>
      </c>
      <c r="AC19" s="102" t="str">
        <f>MID(VLOOKUP($A19,Seqs!$A:$B,2,FALSE),VLOOKUP($A19,'NonXtal_SegEnds_Prot#'!$A:$AL,28,FALSE),1)</f>
        <v>P</v>
      </c>
    </row>
    <row r="20" spans="1:29" s="2" customFormat="1" x14ac:dyDescent="0.2">
      <c r="A20" s="2" t="s">
        <v>338</v>
      </c>
      <c r="B20" s="2" t="str">
        <f>LOWER(VLOOKUP(A20,Xtal_Templ!A:B,2,FALSE))</f>
        <v>agtr1_human</v>
      </c>
      <c r="C20" s="2" t="str">
        <f>VLOOKUP(A20,Classification!A:D,2,FALSE)</f>
        <v>A</v>
      </c>
      <c r="K20" s="2" t="s">
        <v>59</v>
      </c>
      <c r="N20" s="2" t="s">
        <v>43</v>
      </c>
      <c r="P20" s="4" t="s">
        <v>51</v>
      </c>
      <c r="R20" s="71" t="str">
        <f>MID(VLOOKUP($A20,Seqs!$A:$B,2,FALSE),VLOOKUP($A20,'NonXtal_SegEnds_Prot#'!A:AL,10,FALSE),1)</f>
        <v>D</v>
      </c>
      <c r="S20" s="102" t="str">
        <f>MID(VLOOKUP($A20,Seqs!$A:$B,2,FALSE),VLOOKUP($A20,'NonXtal_SegEnds_Prot#'!A:AL,10,FALSE)+6,1)</f>
        <v>T</v>
      </c>
      <c r="T20" s="102" t="str">
        <f>MID(VLOOKUP($A20,Seqs!$A:$B,2,FALSE),VLOOKUP($A20,'NonXtal_SegEnds_Prot#'!A:AL,10,FALSE)+7,1)</f>
        <v>I</v>
      </c>
      <c r="U20" s="102" t="str">
        <f>MID(VLOOKUP($A20,Seqs!$A:$B,2,FALSE),VLOOKUP($A20,'NonXtal_SegEnds_Prot#'!A:AL,10,FALSE)+8,1)</f>
        <v>P</v>
      </c>
      <c r="V20" s="102" t="str">
        <f>MID(VLOOKUP($A20,Seqs!$A:$B,2,FALSE),VLOOKUP($A20,'NonXtal_SegEnds_Prot#'!A:AL,10,FALSE)+9,1)</f>
        <v>V</v>
      </c>
      <c r="W20" s="71" t="str">
        <f>MID(VLOOKUP($A20,Seqs!$A:$B,2,FALSE),VLOOKUP($A20,'NonXtal_SegEnds_Prot#'!$A:$AL,22,FALSE)+6,1)</f>
        <v>V</v>
      </c>
      <c r="X20" s="102" t="str">
        <f>MID(VLOOKUP($A20,Seqs!$A:$B,2,FALSE),VLOOKUP($A20,'NonXtal_SegEnds_Prot#'!$A:$AL,22,FALSE)+7,1)</f>
        <v>S</v>
      </c>
      <c r="Y20" s="102" t="str">
        <f>MID(VLOOKUP($A20,Seqs!$A:$B,2,FALSE),VLOOKUP($A20,'NonXtal_SegEnds_Prot#'!$A:$AL,22,FALSE)+8,1)</f>
        <v>L</v>
      </c>
      <c r="Z20" s="102" t="str">
        <f>MID(VLOOKUP($A20,Seqs!$A:$B,2,FALSE),VLOOKUP($A20,'NonXtal_SegEnds_Prot#'!$A:$AL,22,FALSE)+9,1)</f>
        <v>P</v>
      </c>
      <c r="AA20" s="102" t="str">
        <f>MID(VLOOKUP($A20,Seqs!$A:$B,2,FALSE),VLOOKUP($A20,'NonXtal_SegEnds_Prot#'!$A:$AL,22,FALSE)+10,1)</f>
        <v>D</v>
      </c>
      <c r="AB20" s="71" t="str">
        <f>MID(VLOOKUP($A20,Seqs!$A:$B,2,FALSE),VLOOKUP($A20,'NonXtal_SegEnds_Prot#'!$A:$AL,28,FALSE)-4,1)</f>
        <v>G</v>
      </c>
      <c r="AC20" s="102" t="str">
        <f>MID(VLOOKUP($A20,Seqs!$A:$B,2,FALSE),VLOOKUP($A20,'NonXtal_SegEnds_Prot#'!$A:$AL,28,FALSE),1)</f>
        <v>P</v>
      </c>
    </row>
    <row r="21" spans="1:29" s="2" customFormat="1" x14ac:dyDescent="0.2">
      <c r="A21" s="2" t="s">
        <v>339</v>
      </c>
      <c r="B21" s="2" t="str">
        <f>LOWER(VLOOKUP(A21,Xtal_Templ!A:B,2,FALSE))</f>
        <v>ccr5_human</v>
      </c>
      <c r="C21" s="2" t="str">
        <f>VLOOKUP(A21,Classification!A:D,2,FALSE)</f>
        <v>A</v>
      </c>
      <c r="K21" s="2" t="s">
        <v>59</v>
      </c>
      <c r="N21" s="2" t="s">
        <v>43</v>
      </c>
      <c r="P21" s="4" t="s">
        <v>51</v>
      </c>
      <c r="R21" s="71" t="str">
        <f>MID(VLOOKUP($A21,Seqs!$A:$B,2,FALSE),VLOOKUP($A21,'NonXtal_SegEnds_Prot#'!A:AL,10,FALSE),1)</f>
        <v>D</v>
      </c>
      <c r="S21" s="102" t="str">
        <f>MID(VLOOKUP($A21,Seqs!$A:$B,2,FALSE),VLOOKUP($A21,'NonXtal_SegEnds_Prot#'!A:AL,10,FALSE)+6,1)</f>
        <v>T</v>
      </c>
      <c r="T21" s="102" t="str">
        <f>MID(VLOOKUP($A21,Seqs!$A:$B,2,FALSE),VLOOKUP($A21,'NonXtal_SegEnds_Prot#'!A:AL,10,FALSE)+7,1)</f>
        <v>L</v>
      </c>
      <c r="U21" s="102" t="str">
        <f>MID(VLOOKUP($A21,Seqs!$A:$B,2,FALSE),VLOOKUP($A21,'NonXtal_SegEnds_Prot#'!A:AL,10,FALSE)+8,1)</f>
        <v>P</v>
      </c>
      <c r="V21" s="102" t="str">
        <f>MID(VLOOKUP($A21,Seqs!$A:$B,2,FALSE),VLOOKUP($A21,'NonXtal_SegEnds_Prot#'!A:AL,10,FALSE)+9,1)</f>
        <v>F</v>
      </c>
      <c r="W21" s="71" t="str">
        <f>MID(VLOOKUP($A21,Seqs!$A:$B,2,FALSE),VLOOKUP($A21,'NonXtal_SegEnds_Prot#'!$A:$AL,22,FALSE)+6,1)</f>
        <v>L</v>
      </c>
      <c r="X21" s="102" t="str">
        <f>MID(VLOOKUP($A21,Seqs!$A:$B,2,FALSE),VLOOKUP($A21,'NonXtal_SegEnds_Prot#'!$A:$AL,22,FALSE)+7,1)</f>
        <v>S</v>
      </c>
      <c r="Y21" s="102" t="str">
        <f>MID(VLOOKUP($A21,Seqs!$A:$B,2,FALSE),VLOOKUP($A21,'NonXtal_SegEnds_Prot#'!$A:$AL,22,FALSE)+8,1)</f>
        <v>I</v>
      </c>
      <c r="Z21" s="102" t="str">
        <f>MID(VLOOKUP($A21,Seqs!$A:$B,2,FALSE),VLOOKUP($A21,'NonXtal_SegEnds_Prot#'!$A:$AL,22,FALSE)+9,1)</f>
        <v>P</v>
      </c>
      <c r="AA21" s="102" t="str">
        <f>MID(VLOOKUP($A21,Seqs!$A:$B,2,FALSE),VLOOKUP($A21,'NonXtal_SegEnds_Prot#'!$A:$AL,22,FALSE)+10,1)</f>
        <v>Q</v>
      </c>
      <c r="AB21" s="71" t="str">
        <f>MID(VLOOKUP($A21,Seqs!$A:$B,2,FALSE),VLOOKUP($A21,'NonXtal_SegEnds_Prot#'!$A:$AL,28,FALSE)-4,1)</f>
        <v>G</v>
      </c>
      <c r="AC21" s="102" t="str">
        <f>MID(VLOOKUP($A21,Seqs!$A:$B,2,FALSE),VLOOKUP($A21,'NonXtal_SegEnds_Prot#'!$A:$AL,28,FALSE),1)</f>
        <v>P</v>
      </c>
    </row>
    <row r="22" spans="1:29" s="2" customFormat="1" x14ac:dyDescent="0.2">
      <c r="A22" s="2" t="s">
        <v>340</v>
      </c>
      <c r="B22" s="2" t="str">
        <f>LOWER(VLOOKUP(A22,Xtal_Templ!A:B,2,FALSE))</f>
        <v>acm1_human</v>
      </c>
      <c r="C22" s="2" t="str">
        <f>VLOOKUP(A22,Classification!A:D,2,FALSE)</f>
        <v>A</v>
      </c>
      <c r="E22" s="2" t="s">
        <v>20</v>
      </c>
      <c r="N22" s="2" t="s">
        <v>43</v>
      </c>
      <c r="P22" s="4" t="s">
        <v>51</v>
      </c>
      <c r="R22" s="71" t="str">
        <f>MID(VLOOKUP($A22,Seqs!$A:$B,2,FALSE),VLOOKUP($A22,'NonXtal_SegEnds_Prot#'!A:AL,10,FALSE),1)</f>
        <v>D</v>
      </c>
      <c r="S22" s="102" t="str">
        <f>MID(VLOOKUP($A22,Seqs!$A:$B,2,FALSE),VLOOKUP($A22,'NonXtal_SegEnds_Prot#'!A:AL,10,FALSE)+6,1)</f>
        <v>F</v>
      </c>
      <c r="T22" s="102" t="str">
        <f>MID(VLOOKUP($A22,Seqs!$A:$B,2,FALSE),VLOOKUP($A22,'NonXtal_SegEnds_Prot#'!A:AL,10,FALSE)+7,1)</f>
        <v>S</v>
      </c>
      <c r="U22" s="102" t="str">
        <f>MID(VLOOKUP($A22,Seqs!$A:$B,2,FALSE),VLOOKUP($A22,'NonXtal_SegEnds_Prot#'!A:AL,10,FALSE)+8,1)</f>
        <v>M</v>
      </c>
      <c r="V22" s="102" t="str">
        <f>MID(VLOOKUP($A22,Seqs!$A:$B,2,FALSE),VLOOKUP($A22,'NonXtal_SegEnds_Prot#'!A:AL,10,FALSE)+9,1)</f>
        <v>N</v>
      </c>
      <c r="W22" s="71" t="str">
        <f>MID(VLOOKUP($A22,Seqs!$A:$B,2,FALSE),VLOOKUP($A22,'NonXtal_SegEnds_Prot#'!$A:$AL,22,FALSE)+6,1)</f>
        <v>L</v>
      </c>
      <c r="X22" s="102" t="str">
        <f>MID(VLOOKUP($A22,Seqs!$A:$B,2,FALSE),VLOOKUP($A22,'NonXtal_SegEnds_Prot#'!$A:$AL,22,FALSE)+7,1)</f>
        <v>W</v>
      </c>
      <c r="Y22" s="102" t="str">
        <f>MID(VLOOKUP($A22,Seqs!$A:$B,2,FALSE),VLOOKUP($A22,'NonXtal_SegEnds_Prot#'!$A:$AL,22,FALSE)+8,1)</f>
        <v>A</v>
      </c>
      <c r="Z22" s="102" t="str">
        <f>MID(VLOOKUP($A22,Seqs!$A:$B,2,FALSE),VLOOKUP($A22,'NonXtal_SegEnds_Prot#'!$A:$AL,22,FALSE)+9,1)</f>
        <v>P</v>
      </c>
      <c r="AA22" s="102" t="str">
        <f>MID(VLOOKUP($A22,Seqs!$A:$B,2,FALSE),VLOOKUP($A22,'NonXtal_SegEnds_Prot#'!$A:$AL,22,FALSE)+10,1)</f>
        <v>A</v>
      </c>
      <c r="AB22" s="71" t="str">
        <f>MID(VLOOKUP($A22,Seqs!$A:$B,2,FALSE),VLOOKUP($A22,'NonXtal_SegEnds_Prot#'!$A:$AL,28,FALSE)-4,1)</f>
        <v>A</v>
      </c>
      <c r="AC22" s="102" t="str">
        <f>MID(VLOOKUP($A22,Seqs!$A:$B,2,FALSE),VLOOKUP($A22,'NonXtal_SegEnds_Prot#'!$A:$AL,28,FALSE),1)</f>
        <v>P</v>
      </c>
    </row>
    <row r="23" spans="1:29" s="2" customFormat="1" x14ac:dyDescent="0.2">
      <c r="A23" s="2" t="s">
        <v>341</v>
      </c>
      <c r="B23" s="2" t="str">
        <f>LOWER(VLOOKUP(A23,Xtal_Templ!A:B,2,FALSE))</f>
        <v>acm2_human</v>
      </c>
      <c r="C23" s="2" t="str">
        <f>VLOOKUP(A23,Classification!A:D,2,FALSE)</f>
        <v>A</v>
      </c>
      <c r="E23" s="2" t="s">
        <v>20</v>
      </c>
      <c r="N23" s="2" t="s">
        <v>43</v>
      </c>
      <c r="P23" s="4" t="s">
        <v>51</v>
      </c>
      <c r="R23" s="71" t="str">
        <f>MID(VLOOKUP($A23,Seqs!$A:$B,2,FALSE),VLOOKUP($A23,'NonXtal_SegEnds_Prot#'!A:AL,10,FALSE),1)</f>
        <v>D</v>
      </c>
      <c r="S23" s="102" t="str">
        <f>MID(VLOOKUP($A23,Seqs!$A:$B,2,FALSE),VLOOKUP($A23,'NonXtal_SegEnds_Prot#'!A:AL,10,FALSE)+6,1)</f>
        <v>F</v>
      </c>
      <c r="T23" s="102" t="str">
        <f>MID(VLOOKUP($A23,Seqs!$A:$B,2,FALSE),VLOOKUP($A23,'NonXtal_SegEnds_Prot#'!A:AL,10,FALSE)+7,1)</f>
        <v>S</v>
      </c>
      <c r="U23" s="102" t="str">
        <f>MID(VLOOKUP($A23,Seqs!$A:$B,2,FALSE),VLOOKUP($A23,'NonXtal_SegEnds_Prot#'!A:AL,10,FALSE)+8,1)</f>
        <v>M</v>
      </c>
      <c r="V23" s="102" t="str">
        <f>MID(VLOOKUP($A23,Seqs!$A:$B,2,FALSE),VLOOKUP($A23,'NonXtal_SegEnds_Prot#'!A:AL,10,FALSE)+9,1)</f>
        <v>N</v>
      </c>
      <c r="W23" s="71" t="str">
        <f>MID(VLOOKUP($A23,Seqs!$A:$B,2,FALSE),VLOOKUP($A23,'NonXtal_SegEnds_Prot#'!$A:$AL,22,FALSE)+6,1)</f>
        <v>L</v>
      </c>
      <c r="X23" s="102" t="str">
        <f>MID(VLOOKUP($A23,Seqs!$A:$B,2,FALSE),VLOOKUP($A23,'NonXtal_SegEnds_Prot#'!$A:$AL,22,FALSE)+7,1)</f>
        <v>W</v>
      </c>
      <c r="Y23" s="102" t="str">
        <f>MID(VLOOKUP($A23,Seqs!$A:$B,2,FALSE),VLOOKUP($A23,'NonXtal_SegEnds_Prot#'!$A:$AL,22,FALSE)+8,1)</f>
        <v>A</v>
      </c>
      <c r="Z23" s="102" t="str">
        <f>MID(VLOOKUP($A23,Seqs!$A:$B,2,FALSE),VLOOKUP($A23,'NonXtal_SegEnds_Prot#'!$A:$AL,22,FALSE)+9,1)</f>
        <v>P</v>
      </c>
      <c r="AA23" s="102" t="str">
        <f>MID(VLOOKUP($A23,Seqs!$A:$B,2,FALSE),VLOOKUP($A23,'NonXtal_SegEnds_Prot#'!$A:$AL,22,FALSE)+10,1)</f>
        <v>A</v>
      </c>
      <c r="AB23" s="71" t="str">
        <f>MID(VLOOKUP($A23,Seqs!$A:$B,2,FALSE),VLOOKUP($A23,'NonXtal_SegEnds_Prot#'!$A:$AL,28,FALSE)-4,1)</f>
        <v>A</v>
      </c>
      <c r="AC23" s="102" t="str">
        <f>MID(VLOOKUP($A23,Seqs!$A:$B,2,FALSE),VLOOKUP($A23,'NonXtal_SegEnds_Prot#'!$A:$AL,28,FALSE),1)</f>
        <v>P</v>
      </c>
    </row>
    <row r="24" spans="1:29" s="2" customFormat="1" x14ac:dyDescent="0.2">
      <c r="A24" s="2" t="s">
        <v>342</v>
      </c>
      <c r="B24" s="2" t="str">
        <f>LOWER(VLOOKUP(A24,Xtal_Templ!A:B,2,FALSE))</f>
        <v>acm3_rat</v>
      </c>
      <c r="C24" s="2" t="str">
        <f>VLOOKUP(A24,Classification!A:D,2,FALSE)</f>
        <v>A</v>
      </c>
      <c r="E24" s="2" t="s">
        <v>20</v>
      </c>
      <c r="N24" s="2" t="s">
        <v>43</v>
      </c>
      <c r="P24" s="4" t="s">
        <v>51</v>
      </c>
      <c r="R24" s="71" t="str">
        <f>MID(VLOOKUP($A24,Seqs!$A:$B,2,FALSE),VLOOKUP($A24,'NonXtal_SegEnds_Prot#'!A:AL,10,FALSE),1)</f>
        <v>D</v>
      </c>
      <c r="S24" s="102" t="str">
        <f>MID(VLOOKUP($A24,Seqs!$A:$B,2,FALSE),VLOOKUP($A24,'NonXtal_SegEnds_Prot#'!A:AL,10,FALSE)+6,1)</f>
        <v>I</v>
      </c>
      <c r="T24" s="102" t="str">
        <f>MID(VLOOKUP($A24,Seqs!$A:$B,2,FALSE),VLOOKUP($A24,'NonXtal_SegEnds_Prot#'!A:AL,10,FALSE)+7,1)</f>
        <v>S</v>
      </c>
      <c r="U24" s="102" t="str">
        <f>MID(VLOOKUP($A24,Seqs!$A:$B,2,FALSE),VLOOKUP($A24,'NonXtal_SegEnds_Prot#'!A:AL,10,FALSE)+8,1)</f>
        <v>M</v>
      </c>
      <c r="V24" s="102" t="str">
        <f>MID(VLOOKUP($A24,Seqs!$A:$B,2,FALSE),VLOOKUP($A24,'NonXtal_SegEnds_Prot#'!A:AL,10,FALSE)+9,1)</f>
        <v>N</v>
      </c>
      <c r="W24" s="71" t="str">
        <f>MID(VLOOKUP($A24,Seqs!$A:$B,2,FALSE),VLOOKUP($A24,'NonXtal_SegEnds_Prot#'!$A:$AL,22,FALSE)+6,1)</f>
        <v>L</v>
      </c>
      <c r="X24" s="102" t="str">
        <f>MID(VLOOKUP($A24,Seqs!$A:$B,2,FALSE),VLOOKUP($A24,'NonXtal_SegEnds_Prot#'!$A:$AL,22,FALSE)+7,1)</f>
        <v>W</v>
      </c>
      <c r="Y24" s="102" t="str">
        <f>MID(VLOOKUP($A24,Seqs!$A:$B,2,FALSE),VLOOKUP($A24,'NonXtal_SegEnds_Prot#'!$A:$AL,22,FALSE)+8,1)</f>
        <v>A</v>
      </c>
      <c r="Z24" s="102" t="str">
        <f>MID(VLOOKUP($A24,Seqs!$A:$B,2,FALSE),VLOOKUP($A24,'NonXtal_SegEnds_Prot#'!$A:$AL,22,FALSE)+9,1)</f>
        <v>P</v>
      </c>
      <c r="AA24" s="102" t="str">
        <f>MID(VLOOKUP($A24,Seqs!$A:$B,2,FALSE),VLOOKUP($A24,'NonXtal_SegEnds_Prot#'!$A:$AL,22,FALSE)+10,1)</f>
        <v>A</v>
      </c>
      <c r="AB24" s="71" t="str">
        <f>MID(VLOOKUP($A24,Seqs!$A:$B,2,FALSE),VLOOKUP($A24,'NonXtal_SegEnds_Prot#'!$A:$AL,28,FALSE)-4,1)</f>
        <v>A</v>
      </c>
      <c r="AC24" s="102" t="str">
        <f>MID(VLOOKUP($A24,Seqs!$A:$B,2,FALSE),VLOOKUP($A24,'NonXtal_SegEnds_Prot#'!$A:$AL,28,FALSE),1)</f>
        <v>P</v>
      </c>
    </row>
    <row r="25" spans="1:29" s="2" customFormat="1" x14ac:dyDescent="0.2">
      <c r="A25" s="2" t="s">
        <v>1106</v>
      </c>
      <c r="B25" s="2" t="str">
        <f>LOWER(VLOOKUP(A25,Xtal_Templ!A:B,2,FALSE))</f>
        <v>acm3_rat</v>
      </c>
      <c r="C25" s="2" t="str">
        <f>VLOOKUP(A25,Classification!A:D,2,FALSE)</f>
        <v>A</v>
      </c>
      <c r="E25" s="2" t="s">
        <v>20</v>
      </c>
      <c r="N25" s="2" t="s">
        <v>43</v>
      </c>
      <c r="P25" s="4" t="s">
        <v>51</v>
      </c>
      <c r="R25" s="71" t="str">
        <f>MID(VLOOKUP($A25,Seqs!$A:$B,2,FALSE),VLOOKUP($A25,'NonXtal_SegEnds_Prot#'!A:AL,10,FALSE),1)</f>
        <v>D</v>
      </c>
      <c r="S25" s="102" t="str">
        <f>MID(VLOOKUP($A25,Seqs!$A:$B,2,FALSE),VLOOKUP($A25,'NonXtal_SegEnds_Prot#'!A:AL,10,FALSE)+6,1)</f>
        <v>I</v>
      </c>
      <c r="T25" s="102" t="str">
        <f>MID(VLOOKUP($A25,Seqs!$A:$B,2,FALSE),VLOOKUP($A25,'NonXtal_SegEnds_Prot#'!A:AL,10,FALSE)+7,1)</f>
        <v>S</v>
      </c>
      <c r="U25" s="102" t="str">
        <f>MID(VLOOKUP($A25,Seqs!$A:$B,2,FALSE),VLOOKUP($A25,'NonXtal_SegEnds_Prot#'!A:AL,10,FALSE)+8,1)</f>
        <v>M</v>
      </c>
      <c r="V25" s="102" t="str">
        <f>MID(VLOOKUP($A25,Seqs!$A:$B,2,FALSE),VLOOKUP($A25,'NonXtal_SegEnds_Prot#'!A:AL,10,FALSE)+9,1)</f>
        <v>N</v>
      </c>
      <c r="W25" s="71" t="str">
        <f>MID(VLOOKUP($A25,Seqs!$A:$B,2,FALSE),VLOOKUP($A25,'NonXtal_SegEnds_Prot#'!$A:$AL,22,FALSE)+6,1)</f>
        <v>L</v>
      </c>
      <c r="X25" s="102" t="str">
        <f>MID(VLOOKUP($A25,Seqs!$A:$B,2,FALSE),VLOOKUP($A25,'NonXtal_SegEnds_Prot#'!$A:$AL,22,FALSE)+7,1)</f>
        <v>W</v>
      </c>
      <c r="Y25" s="102" t="str">
        <f>MID(VLOOKUP($A25,Seqs!$A:$B,2,FALSE),VLOOKUP($A25,'NonXtal_SegEnds_Prot#'!$A:$AL,22,FALSE)+8,1)</f>
        <v>A</v>
      </c>
      <c r="Z25" s="102" t="str">
        <f>MID(VLOOKUP($A25,Seqs!$A:$B,2,FALSE),VLOOKUP($A25,'NonXtal_SegEnds_Prot#'!$A:$AL,22,FALSE)+9,1)</f>
        <v>P</v>
      </c>
      <c r="AA25" s="102" t="str">
        <f>MID(VLOOKUP($A25,Seqs!$A:$B,2,FALSE),VLOOKUP($A25,'NonXtal_SegEnds_Prot#'!$A:$AL,22,FALSE)+10,1)</f>
        <v>A</v>
      </c>
      <c r="AB25" s="71" t="str">
        <f>MID(VLOOKUP($A25,Seqs!$A:$B,2,FALSE),VLOOKUP($A25,'NonXtal_SegEnds_Prot#'!$A:$AL,28,FALSE)-4,1)</f>
        <v>A</v>
      </c>
      <c r="AC25" s="102" t="str">
        <f>MID(VLOOKUP($A25,Seqs!$A:$B,2,FALSE),VLOOKUP($A25,'NonXtal_SegEnds_Prot#'!$A:$AL,28,FALSE),1)</f>
        <v>P</v>
      </c>
    </row>
    <row r="26" spans="1:29" s="2" customFormat="1" x14ac:dyDescent="0.2">
      <c r="A26" s="2" t="s">
        <v>343</v>
      </c>
      <c r="B26" s="2" t="str">
        <f>LOWER(VLOOKUP(A26,Xtal_Templ!A:B,2,FALSE))</f>
        <v>acm4_human</v>
      </c>
      <c r="C26" s="2" t="str">
        <f>VLOOKUP(A26,Classification!A:D,2,FALSE)</f>
        <v>A</v>
      </c>
      <c r="E26" s="2" t="s">
        <v>20</v>
      </c>
      <c r="N26" s="2" t="s">
        <v>43</v>
      </c>
      <c r="P26" s="4" t="s">
        <v>51</v>
      </c>
      <c r="R26" s="71" t="str">
        <f>MID(VLOOKUP($A26,Seqs!$A:$B,2,FALSE),VLOOKUP($A26,'NonXtal_SegEnds_Prot#'!A:AL,10,FALSE),1)</f>
        <v>D</v>
      </c>
      <c r="S26" s="102" t="str">
        <f>MID(VLOOKUP($A26,Seqs!$A:$B,2,FALSE),VLOOKUP($A26,'NonXtal_SegEnds_Prot#'!A:AL,10,FALSE)+6,1)</f>
        <v>F</v>
      </c>
      <c r="T26" s="102" t="str">
        <f>MID(VLOOKUP($A26,Seqs!$A:$B,2,FALSE),VLOOKUP($A26,'NonXtal_SegEnds_Prot#'!A:AL,10,FALSE)+7,1)</f>
        <v>S</v>
      </c>
      <c r="U26" s="102" t="str">
        <f>MID(VLOOKUP($A26,Seqs!$A:$B,2,FALSE),VLOOKUP($A26,'NonXtal_SegEnds_Prot#'!A:AL,10,FALSE)+8,1)</f>
        <v>M</v>
      </c>
      <c r="V26" s="102" t="str">
        <f>MID(VLOOKUP($A26,Seqs!$A:$B,2,FALSE),VLOOKUP($A26,'NonXtal_SegEnds_Prot#'!A:AL,10,FALSE)+9,1)</f>
        <v>N</v>
      </c>
      <c r="W26" s="71" t="str">
        <f>MID(VLOOKUP($A26,Seqs!$A:$B,2,FALSE),VLOOKUP($A26,'NonXtal_SegEnds_Prot#'!$A:$AL,22,FALSE)+6,1)</f>
        <v>L</v>
      </c>
      <c r="X26" s="102" t="str">
        <f>MID(VLOOKUP($A26,Seqs!$A:$B,2,FALSE),VLOOKUP($A26,'NonXtal_SegEnds_Prot#'!$A:$AL,22,FALSE)+7,1)</f>
        <v>W</v>
      </c>
      <c r="Y26" s="102" t="str">
        <f>MID(VLOOKUP($A26,Seqs!$A:$B,2,FALSE),VLOOKUP($A26,'NonXtal_SegEnds_Prot#'!$A:$AL,22,FALSE)+8,1)</f>
        <v>A</v>
      </c>
      <c r="Z26" s="102" t="str">
        <f>MID(VLOOKUP($A26,Seqs!$A:$B,2,FALSE),VLOOKUP($A26,'NonXtal_SegEnds_Prot#'!$A:$AL,22,FALSE)+9,1)</f>
        <v>P</v>
      </c>
      <c r="AA26" s="102" t="str">
        <f>MID(VLOOKUP($A26,Seqs!$A:$B,2,FALSE),VLOOKUP($A26,'NonXtal_SegEnds_Prot#'!$A:$AL,22,FALSE)+10,1)</f>
        <v>A</v>
      </c>
      <c r="AB26" s="71" t="str">
        <f>MID(VLOOKUP($A26,Seqs!$A:$B,2,FALSE),VLOOKUP($A26,'NonXtal_SegEnds_Prot#'!$A:$AL,28,FALSE)-4,1)</f>
        <v>A</v>
      </c>
      <c r="AC26" s="102" t="str">
        <f>MID(VLOOKUP($A26,Seqs!$A:$B,2,FALSE),VLOOKUP($A26,'NonXtal_SegEnds_Prot#'!$A:$AL,28,FALSE),1)</f>
        <v>P</v>
      </c>
    </row>
    <row r="27" spans="1:29" s="2" customFormat="1" x14ac:dyDescent="0.2">
      <c r="A27" s="2" t="s">
        <v>344</v>
      </c>
      <c r="B27" s="2" t="str">
        <f>LOWER(VLOOKUP(A27,Xtal_Templ!A:B,2,FALSE))</f>
        <v>acm3_rat</v>
      </c>
      <c r="C27" s="2" t="str">
        <f>VLOOKUP(A27,Classification!A:D,2,FALSE)</f>
        <v>A</v>
      </c>
      <c r="E27" s="2" t="s">
        <v>20</v>
      </c>
      <c r="N27" s="2" t="s">
        <v>43</v>
      </c>
      <c r="P27" s="4" t="s">
        <v>51</v>
      </c>
      <c r="R27" s="71" t="str">
        <f>MID(VLOOKUP($A27,Seqs!$A:$B,2,FALSE),VLOOKUP($A27,'NonXtal_SegEnds_Prot#'!A:AL,10,FALSE),1)</f>
        <v>D</v>
      </c>
      <c r="S27" s="102" t="str">
        <f>MID(VLOOKUP($A27,Seqs!$A:$B,2,FALSE),VLOOKUP($A27,'NonXtal_SegEnds_Prot#'!A:AL,10,FALSE)+6,1)</f>
        <v>F</v>
      </c>
      <c r="T27" s="102" t="str">
        <f>MID(VLOOKUP($A27,Seqs!$A:$B,2,FALSE),VLOOKUP($A27,'NonXtal_SegEnds_Prot#'!A:AL,10,FALSE)+7,1)</f>
        <v>S</v>
      </c>
      <c r="U27" s="102" t="str">
        <f>MID(VLOOKUP($A27,Seqs!$A:$B,2,FALSE),VLOOKUP($A27,'NonXtal_SegEnds_Prot#'!A:AL,10,FALSE)+8,1)</f>
        <v>M</v>
      </c>
      <c r="V27" s="102" t="str">
        <f>MID(VLOOKUP($A27,Seqs!$A:$B,2,FALSE),VLOOKUP($A27,'NonXtal_SegEnds_Prot#'!A:AL,10,FALSE)+9,1)</f>
        <v>N</v>
      </c>
      <c r="W27" s="71" t="str">
        <f>MID(VLOOKUP($A27,Seqs!$A:$B,2,FALSE),VLOOKUP($A27,'NonXtal_SegEnds_Prot#'!$A:$AL,22,FALSE)+6,1)</f>
        <v>L</v>
      </c>
      <c r="X27" s="102" t="str">
        <f>MID(VLOOKUP($A27,Seqs!$A:$B,2,FALSE),VLOOKUP($A27,'NonXtal_SegEnds_Prot#'!$A:$AL,22,FALSE)+7,1)</f>
        <v>W</v>
      </c>
      <c r="Y27" s="102" t="str">
        <f>MID(VLOOKUP($A27,Seqs!$A:$B,2,FALSE),VLOOKUP($A27,'NonXtal_SegEnds_Prot#'!$A:$AL,22,FALSE)+8,1)</f>
        <v>A</v>
      </c>
      <c r="Z27" s="102" t="str">
        <f>MID(VLOOKUP($A27,Seqs!$A:$B,2,FALSE),VLOOKUP($A27,'NonXtal_SegEnds_Prot#'!$A:$AL,22,FALSE)+9,1)</f>
        <v>P</v>
      </c>
      <c r="AA27" s="102" t="str">
        <f>MID(VLOOKUP($A27,Seqs!$A:$B,2,FALSE),VLOOKUP($A27,'NonXtal_SegEnds_Prot#'!$A:$AL,22,FALSE)+10,1)</f>
        <v>A</v>
      </c>
      <c r="AB27" s="71" t="str">
        <f>MID(VLOOKUP($A27,Seqs!$A:$B,2,FALSE),VLOOKUP($A27,'NonXtal_SegEnds_Prot#'!$A:$AL,28,FALSE)-4,1)</f>
        <v>A</v>
      </c>
      <c r="AC27" s="102" t="str">
        <f>MID(VLOOKUP($A27,Seqs!$A:$B,2,FALSE),VLOOKUP($A27,'NonXtal_SegEnds_Prot#'!$A:$AL,28,FALSE),1)</f>
        <v>P</v>
      </c>
    </row>
    <row r="28" spans="1:29" s="2" customFormat="1" x14ac:dyDescent="0.2">
      <c r="A28" s="2" t="s">
        <v>345</v>
      </c>
      <c r="B28" s="2" t="str">
        <f>LOWER(VLOOKUP(A28,Xtal_Templ!A:B,2,FALSE))</f>
        <v>s1pr1_human</v>
      </c>
      <c r="C28" s="2" t="str">
        <f>VLOOKUP(A28,Classification!A:D,2,FALSE)</f>
        <v>A</v>
      </c>
      <c r="P28" s="4" t="s">
        <v>51</v>
      </c>
      <c r="R28" s="71" t="str">
        <f>MID(VLOOKUP($A28,Seqs!$A:$B,2,FALSE),VLOOKUP($A28,'NonXtal_SegEnds_Prot#'!A:AL,10,FALSE),1)</f>
        <v>D</v>
      </c>
      <c r="S28" s="102" t="str">
        <f>MID(VLOOKUP($A28,Seqs!$A:$B,2,FALSE),VLOOKUP($A28,'NonXtal_SegEnds_Prot#'!A:AL,10,FALSE)+6,1)</f>
        <v>Y</v>
      </c>
      <c r="T28" s="102" t="str">
        <f>MID(VLOOKUP($A28,Seqs!$A:$B,2,FALSE),VLOOKUP($A28,'NonXtal_SegEnds_Prot#'!A:AL,10,FALSE)+7,1)</f>
        <v>K</v>
      </c>
      <c r="U28" s="102" t="str">
        <f>MID(VLOOKUP($A28,Seqs!$A:$B,2,FALSE),VLOOKUP($A28,'NonXtal_SegEnds_Prot#'!A:AL,10,FALSE)+8,1)</f>
        <v>I</v>
      </c>
      <c r="V28" s="102" t="str">
        <f>MID(VLOOKUP($A28,Seqs!$A:$B,2,FALSE),VLOOKUP($A28,'NonXtal_SegEnds_Prot#'!A:AL,10,FALSE)+9,1)</f>
        <v>L</v>
      </c>
      <c r="W28" s="71" t="str">
        <f>MID(VLOOKUP($A28,Seqs!$A:$B,2,FALSE),VLOOKUP($A28,'NonXtal_SegEnds_Prot#'!$A:$AL,22,FALSE)+6,1)</f>
        <v>T</v>
      </c>
      <c r="X28" s="102" t="str">
        <f>MID(VLOOKUP($A28,Seqs!$A:$B,2,FALSE),VLOOKUP($A28,'NonXtal_SegEnds_Prot#'!$A:$AL,22,FALSE)+7,1)</f>
        <v>G</v>
      </c>
      <c r="Y28" s="102" t="str">
        <f>MID(VLOOKUP($A28,Seqs!$A:$B,2,FALSE),VLOOKUP($A28,'NonXtal_SegEnds_Prot#'!$A:$AL,22,FALSE)+8,1)</f>
        <v>I</v>
      </c>
      <c r="Z28" s="102" t="str">
        <f>MID(VLOOKUP($A28,Seqs!$A:$B,2,FALSE),VLOOKUP($A28,'NonXtal_SegEnds_Prot#'!$A:$AL,22,FALSE)+9,1)</f>
        <v>T</v>
      </c>
      <c r="AA28" s="102" t="str">
        <f>MID(VLOOKUP($A28,Seqs!$A:$B,2,FALSE),VLOOKUP($A28,'NonXtal_SegEnds_Prot#'!$A:$AL,22,FALSE)+10,1)</f>
        <v>M</v>
      </c>
      <c r="AB28" s="71" t="str">
        <f>MID(VLOOKUP($A28,Seqs!$A:$B,2,FALSE),VLOOKUP($A28,'NonXtal_SegEnds_Prot#'!$A:$AL,28,FALSE)-4,1)</f>
        <v>L</v>
      </c>
      <c r="AC28" s="102" t="str">
        <f>MID(VLOOKUP($A28,Seqs!$A:$B,2,FALSE),VLOOKUP($A28,'NonXtal_SegEnds_Prot#'!$A:$AL,28,FALSE),1)</f>
        <v>M</v>
      </c>
    </row>
    <row r="29" spans="1:29" s="2" customFormat="1" x14ac:dyDescent="0.2">
      <c r="A29" s="2" t="s">
        <v>346</v>
      </c>
      <c r="B29" s="2" t="str">
        <f>LOWER(VLOOKUP(A29,Xtal_Templ!A:B,2,FALSE))</f>
        <v>5ht1b_human</v>
      </c>
      <c r="C29" s="2" t="str">
        <f>VLOOKUP(A29,Classification!A:D,2,FALSE)</f>
        <v>A</v>
      </c>
      <c r="E29" s="2" t="s">
        <v>20</v>
      </c>
      <c r="N29" s="2" t="s">
        <v>43</v>
      </c>
      <c r="P29" s="4" t="s">
        <v>51</v>
      </c>
      <c r="R29" s="71" t="str">
        <f>MID(VLOOKUP($A29,Seqs!$A:$B,2,FALSE),VLOOKUP($A29,'NonXtal_SegEnds_Prot#'!A:AL,10,FALSE),1)</f>
        <v>D</v>
      </c>
      <c r="S29" s="102" t="str">
        <f>MID(VLOOKUP($A29,Seqs!$A:$B,2,FALSE),VLOOKUP($A29,'NonXtal_SegEnds_Prot#'!A:AL,10,FALSE)+6,1)</f>
        <v>T</v>
      </c>
      <c r="T29" s="102" t="str">
        <f>MID(VLOOKUP($A29,Seqs!$A:$B,2,FALSE),VLOOKUP($A29,'NonXtal_SegEnds_Prot#'!A:AL,10,FALSE)+7,1)</f>
        <v>V</v>
      </c>
      <c r="U29" s="102" t="str">
        <f>MID(VLOOKUP($A29,Seqs!$A:$B,2,FALSE),VLOOKUP($A29,'NonXtal_SegEnds_Prot#'!A:AL,10,FALSE)+8,1)</f>
        <v>L</v>
      </c>
      <c r="V29" s="102" t="str">
        <f>MID(VLOOKUP($A29,Seqs!$A:$B,2,FALSE),VLOOKUP($A29,'NonXtal_SegEnds_Prot#'!A:AL,10,FALSE)+9,1)</f>
        <v>P</v>
      </c>
      <c r="W29" s="71" t="str">
        <f>MID(VLOOKUP($A29,Seqs!$A:$B,2,FALSE),VLOOKUP($A29,'NonXtal_SegEnds_Prot#'!$A:$AL,22,FALSE)+6,1)</f>
        <v>I</v>
      </c>
      <c r="X29" s="102" t="str">
        <f>MID(VLOOKUP($A29,Seqs!$A:$B,2,FALSE),VLOOKUP($A29,'NonXtal_SegEnds_Prot#'!$A:$AL,22,FALSE)+7,1)</f>
        <v>S</v>
      </c>
      <c r="Y29" s="102" t="str">
        <f>MID(VLOOKUP($A29,Seqs!$A:$B,2,FALSE),VLOOKUP($A29,'NonXtal_SegEnds_Prot#'!$A:$AL,22,FALSE)+8,1)</f>
        <v>I</v>
      </c>
      <c r="Z29" s="102" t="str">
        <f>MID(VLOOKUP($A29,Seqs!$A:$B,2,FALSE),VLOOKUP($A29,'NonXtal_SegEnds_Prot#'!$A:$AL,22,FALSE)+9,1)</f>
        <v>G</v>
      </c>
      <c r="AA29" s="102" t="str">
        <f>MID(VLOOKUP($A29,Seqs!$A:$B,2,FALSE),VLOOKUP($A29,'NonXtal_SegEnds_Prot#'!$A:$AL,22,FALSE)+10,1)</f>
        <v>P</v>
      </c>
      <c r="AB29" s="71" t="str">
        <f>MID(VLOOKUP($A29,Seqs!$A:$B,2,FALSE),VLOOKUP($A29,'NonXtal_SegEnds_Prot#'!$A:$AL,28,FALSE)-4,1)</f>
        <v>S</v>
      </c>
      <c r="AC29" s="102" t="str">
        <f>MID(VLOOKUP($A29,Seqs!$A:$B,2,FALSE),VLOOKUP($A29,'NonXtal_SegEnds_Prot#'!$A:$AL,28,FALSE),1)</f>
        <v>P</v>
      </c>
    </row>
    <row r="30" spans="1:29" s="2" customFormat="1" x14ac:dyDescent="0.2">
      <c r="A30" s="2" t="s">
        <v>347</v>
      </c>
      <c r="B30" s="2" t="str">
        <f>LOWER(VLOOKUP(A30,Xtal_Templ!A:B,2,FALSE))</f>
        <v>adrb1_melga</v>
      </c>
      <c r="C30" s="2" t="str">
        <f>VLOOKUP(A30,Classification!A:D,2,FALSE)</f>
        <v>A</v>
      </c>
      <c r="E30" s="2" t="s">
        <v>20</v>
      </c>
      <c r="N30" s="2" t="s">
        <v>43</v>
      </c>
      <c r="P30" s="4" t="s">
        <v>51</v>
      </c>
      <c r="R30" s="71" t="str">
        <f>MID(VLOOKUP($A30,Seqs!$A:$B,2,FALSE),VLOOKUP($A30,'NonXtal_SegEnds_Prot#'!A:AL,10,FALSE),1)</f>
        <v>D</v>
      </c>
      <c r="S30" s="102" t="str">
        <f>MID(VLOOKUP($A30,Seqs!$A:$B,2,FALSE),VLOOKUP($A30,'NonXtal_SegEnds_Prot#'!A:AL,10,FALSE)+6,1)</f>
        <v>T</v>
      </c>
      <c r="T30" s="102" t="str">
        <f>MID(VLOOKUP($A30,Seqs!$A:$B,2,FALSE),VLOOKUP($A30,'NonXtal_SegEnds_Prot#'!A:AL,10,FALSE)+7,1)</f>
        <v>V</v>
      </c>
      <c r="U30" s="102" t="str">
        <f>MID(VLOOKUP($A30,Seqs!$A:$B,2,FALSE),VLOOKUP($A30,'NonXtal_SegEnds_Prot#'!A:AL,10,FALSE)+8,1)</f>
        <v>L</v>
      </c>
      <c r="V30" s="102" t="str">
        <f>MID(VLOOKUP($A30,Seqs!$A:$B,2,FALSE),VLOOKUP($A30,'NonXtal_SegEnds_Prot#'!A:AL,10,FALSE)+9,1)</f>
        <v>P</v>
      </c>
      <c r="W30" s="71" t="str">
        <f>MID(VLOOKUP($A30,Seqs!$A:$B,2,FALSE),VLOOKUP($A30,'NonXtal_SegEnds_Prot#'!$A:$AL,22,FALSE)+6,1)</f>
        <v>I</v>
      </c>
      <c r="X30" s="102" t="str">
        <f>MID(VLOOKUP($A30,Seqs!$A:$B,2,FALSE),VLOOKUP($A30,'NonXtal_SegEnds_Prot#'!$A:$AL,22,FALSE)+7,1)</f>
        <v>S</v>
      </c>
      <c r="Y30" s="102" t="str">
        <f>MID(VLOOKUP($A30,Seqs!$A:$B,2,FALSE),VLOOKUP($A30,'NonXtal_SegEnds_Prot#'!$A:$AL,22,FALSE)+8,1)</f>
        <v>I</v>
      </c>
      <c r="Z30" s="102" t="str">
        <f>MID(VLOOKUP($A30,Seqs!$A:$B,2,FALSE),VLOOKUP($A30,'NonXtal_SegEnds_Prot#'!$A:$AL,22,FALSE)+9,1)</f>
        <v>G</v>
      </c>
      <c r="AA30" s="102" t="str">
        <f>MID(VLOOKUP($A30,Seqs!$A:$B,2,FALSE),VLOOKUP($A30,'NonXtal_SegEnds_Prot#'!$A:$AL,22,FALSE)+10,1)</f>
        <v>P</v>
      </c>
      <c r="AB30" s="71" t="str">
        <f>MID(VLOOKUP($A30,Seqs!$A:$B,2,FALSE),VLOOKUP($A30,'NonXtal_SegEnds_Prot#'!$A:$AL,28,FALSE)-4,1)</f>
        <v>S</v>
      </c>
      <c r="AC30" s="102" t="str">
        <f>MID(VLOOKUP($A30,Seqs!$A:$B,2,FALSE),VLOOKUP($A30,'NonXtal_SegEnds_Prot#'!$A:$AL,28,FALSE),1)</f>
        <v>P</v>
      </c>
    </row>
    <row r="31" spans="1:29" s="2" customFormat="1" x14ac:dyDescent="0.2">
      <c r="A31" s="2" t="s">
        <v>348</v>
      </c>
      <c r="B31" s="2" t="str">
        <f>LOWER(VLOOKUP(A31,Xtal_Templ!A:B,2,FALSE))</f>
        <v>adrb1_melga</v>
      </c>
      <c r="C31" s="2" t="str">
        <f>VLOOKUP(A31,Classification!A:D,2,FALSE)</f>
        <v>A</v>
      </c>
      <c r="E31" s="2" t="s">
        <v>20</v>
      </c>
      <c r="N31" s="2" t="s">
        <v>43</v>
      </c>
      <c r="P31" s="4" t="s">
        <v>51</v>
      </c>
      <c r="R31" s="71" t="str">
        <f>MID(VLOOKUP($A31,Seqs!$A:$B,2,FALSE),VLOOKUP($A31,'NonXtal_SegEnds_Prot#'!A:AL,10,FALSE),1)</f>
        <v>D</v>
      </c>
      <c r="S31" s="102" t="str">
        <f>MID(VLOOKUP($A31,Seqs!$A:$B,2,FALSE),VLOOKUP($A31,'NonXtal_SegEnds_Prot#'!A:AL,10,FALSE)+6,1)</f>
        <v>T</v>
      </c>
      <c r="T31" s="102" t="str">
        <f>MID(VLOOKUP($A31,Seqs!$A:$B,2,FALSE),VLOOKUP($A31,'NonXtal_SegEnds_Prot#'!A:AL,10,FALSE)+7,1)</f>
        <v>V</v>
      </c>
      <c r="U31" s="102" t="str">
        <f>MID(VLOOKUP($A31,Seqs!$A:$B,2,FALSE),VLOOKUP($A31,'NonXtal_SegEnds_Prot#'!A:AL,10,FALSE)+8,1)</f>
        <v>L</v>
      </c>
      <c r="V31" s="102" t="str">
        <f>MID(VLOOKUP($A31,Seqs!$A:$B,2,FALSE),VLOOKUP($A31,'NonXtal_SegEnds_Prot#'!A:AL,10,FALSE)+9,1)</f>
        <v>P</v>
      </c>
      <c r="W31" s="71" t="str">
        <f>MID(VLOOKUP($A31,Seqs!$A:$B,2,FALSE),VLOOKUP($A31,'NonXtal_SegEnds_Prot#'!$A:$AL,22,FALSE)+6,1)</f>
        <v>V</v>
      </c>
      <c r="X31" s="102" t="str">
        <f>MID(VLOOKUP($A31,Seqs!$A:$B,2,FALSE),VLOOKUP($A31,'NonXtal_SegEnds_Prot#'!$A:$AL,22,FALSE)+7,1)</f>
        <v>S</v>
      </c>
      <c r="Y31" s="102" t="str">
        <f>MID(VLOOKUP($A31,Seqs!$A:$B,2,FALSE),VLOOKUP($A31,'NonXtal_SegEnds_Prot#'!$A:$AL,22,FALSE)+8,1)</f>
        <v>V</v>
      </c>
      <c r="Z31" s="102" t="str">
        <f>MID(VLOOKUP($A31,Seqs!$A:$B,2,FALSE),VLOOKUP($A31,'NonXtal_SegEnds_Prot#'!$A:$AL,22,FALSE)+9,1)</f>
        <v>G</v>
      </c>
      <c r="AA31" s="102" t="str">
        <f>MID(VLOOKUP($A31,Seqs!$A:$B,2,FALSE),VLOOKUP($A31,'NonXtal_SegEnds_Prot#'!$A:$AL,22,FALSE)+10,1)</f>
        <v>P</v>
      </c>
      <c r="AB31" s="71" t="str">
        <f>MID(VLOOKUP($A31,Seqs!$A:$B,2,FALSE),VLOOKUP($A31,'NonXtal_SegEnds_Prot#'!$A:$AL,28,FALSE)-4,1)</f>
        <v>S</v>
      </c>
      <c r="AC31" s="102" t="str">
        <f>MID(VLOOKUP($A31,Seqs!$A:$B,2,FALSE),VLOOKUP($A31,'NonXtal_SegEnds_Prot#'!$A:$AL,28,FALSE),1)</f>
        <v>P</v>
      </c>
    </row>
    <row r="32" spans="1:29" s="2" customFormat="1" x14ac:dyDescent="0.2">
      <c r="A32" s="2" t="s">
        <v>349</v>
      </c>
      <c r="B32" s="2" t="str">
        <f>LOWER(VLOOKUP(A32,Xtal_Templ!A:B,2,FALSE))</f>
        <v>5ht1b_human</v>
      </c>
      <c r="C32" s="2" t="str">
        <f>VLOOKUP(A32,Classification!A:D,2,FALSE)</f>
        <v>A</v>
      </c>
      <c r="E32" s="2" t="s">
        <v>20</v>
      </c>
      <c r="N32" s="2" t="s">
        <v>43</v>
      </c>
      <c r="P32" s="4" t="s">
        <v>51</v>
      </c>
      <c r="R32" s="71" t="str">
        <f>MID(VLOOKUP($A32,Seqs!$A:$B,2,FALSE),VLOOKUP($A32,'NonXtal_SegEnds_Prot#'!A:AL,10,FALSE),1)</f>
        <v>D</v>
      </c>
      <c r="S32" s="102" t="str">
        <f>MID(VLOOKUP($A32,Seqs!$A:$B,2,FALSE),VLOOKUP($A32,'NonXtal_SegEnds_Prot#'!A:AL,10,FALSE)+6,1)</f>
        <v>L</v>
      </c>
      <c r="T32" s="102" t="str">
        <f>MID(VLOOKUP($A32,Seqs!$A:$B,2,FALSE),VLOOKUP($A32,'NonXtal_SegEnds_Prot#'!A:AL,10,FALSE)+7,1)</f>
        <v>V</v>
      </c>
      <c r="U32" s="102" t="str">
        <f>MID(VLOOKUP($A32,Seqs!$A:$B,2,FALSE),VLOOKUP($A32,'NonXtal_SegEnds_Prot#'!A:AL,10,FALSE)+8,1)</f>
        <v>I</v>
      </c>
      <c r="V32" s="102" t="str">
        <f>MID(VLOOKUP($A32,Seqs!$A:$B,2,FALSE),VLOOKUP($A32,'NonXtal_SegEnds_Prot#'!A:AL,10,FALSE)+9,1)</f>
        <v>P</v>
      </c>
      <c r="W32" s="71" t="str">
        <f>MID(VLOOKUP($A32,Seqs!$A:$B,2,FALSE),VLOOKUP($A32,'NonXtal_SegEnds_Prot#'!$A:$AL,22,FALSE)+6,1)</f>
        <v>I</v>
      </c>
      <c r="X32" s="102" t="str">
        <f>MID(VLOOKUP($A32,Seqs!$A:$B,2,FALSE),VLOOKUP($A32,'NonXtal_SegEnds_Prot#'!$A:$AL,22,FALSE)+7,1)</f>
        <v>S</v>
      </c>
      <c r="Y32" s="102" t="str">
        <f>MID(VLOOKUP($A32,Seqs!$A:$B,2,FALSE),VLOOKUP($A32,'NonXtal_SegEnds_Prot#'!$A:$AL,22,FALSE)+8,1)</f>
        <v>F</v>
      </c>
      <c r="Z32" s="102" t="str">
        <f>MID(VLOOKUP($A32,Seqs!$A:$B,2,FALSE),VLOOKUP($A32,'NonXtal_SegEnds_Prot#'!$A:$AL,22,FALSE)+9,1)</f>
        <v>P</v>
      </c>
      <c r="AA32" s="102" t="str">
        <f>MID(VLOOKUP($A32,Seqs!$A:$B,2,FALSE),VLOOKUP($A32,'NonXtal_SegEnds_Prot#'!$A:$AL,22,FALSE)+10,1)</f>
        <v>P</v>
      </c>
      <c r="AB32" s="71" t="str">
        <f>MID(VLOOKUP($A32,Seqs!$A:$B,2,FALSE),VLOOKUP($A32,'NonXtal_SegEnds_Prot#'!$A:$AL,28,FALSE)-4,1)</f>
        <v>S</v>
      </c>
      <c r="AC32" s="102" t="str">
        <f>MID(VLOOKUP($A32,Seqs!$A:$B,2,FALSE),VLOOKUP($A32,'NonXtal_SegEnds_Prot#'!$A:$AL,28,FALSE),1)</f>
        <v>P</v>
      </c>
    </row>
    <row r="33" spans="1:29" s="2" customFormat="1" x14ac:dyDescent="0.2">
      <c r="A33" s="2" t="s">
        <v>350</v>
      </c>
      <c r="B33" s="2" t="str">
        <f>LOWER(VLOOKUP(A33,Xtal_Templ!A:B,2,FALSE))</f>
        <v>drd3_human</v>
      </c>
      <c r="C33" s="2" t="str">
        <f>VLOOKUP(A33,Classification!A:D,2,FALSE)</f>
        <v>A</v>
      </c>
      <c r="E33" s="2" t="s">
        <v>20</v>
      </c>
      <c r="N33" s="2" t="s">
        <v>43</v>
      </c>
      <c r="P33" s="4" t="s">
        <v>51</v>
      </c>
      <c r="R33" s="71" t="str">
        <f>MID(VLOOKUP($A33,Seqs!$A:$B,2,FALSE),VLOOKUP($A33,'NonXtal_SegEnds_Prot#'!A:AL,10,FALSE),1)</f>
        <v>D</v>
      </c>
      <c r="S33" s="102" t="str">
        <f>MID(VLOOKUP($A33,Seqs!$A:$B,2,FALSE),VLOOKUP($A33,'NonXtal_SegEnds_Prot#'!A:AL,10,FALSE)+6,1)</f>
        <v>L</v>
      </c>
      <c r="T33" s="102" t="str">
        <f>MID(VLOOKUP($A33,Seqs!$A:$B,2,FALSE),VLOOKUP($A33,'NonXtal_SegEnds_Prot#'!A:AL,10,FALSE)+7,1)</f>
        <v>I</v>
      </c>
      <c r="U33" s="102" t="str">
        <f>MID(VLOOKUP($A33,Seqs!$A:$B,2,FALSE),VLOOKUP($A33,'NonXtal_SegEnds_Prot#'!A:AL,10,FALSE)+8,1)</f>
        <v>I</v>
      </c>
      <c r="V33" s="102" t="str">
        <f>MID(VLOOKUP($A33,Seqs!$A:$B,2,FALSE),VLOOKUP($A33,'NonXtal_SegEnds_Prot#'!A:AL,10,FALSE)+9,1)</f>
        <v>P</v>
      </c>
      <c r="W33" s="71" t="str">
        <f>MID(VLOOKUP($A33,Seqs!$A:$B,2,FALSE),VLOOKUP($A33,'NonXtal_SegEnds_Prot#'!$A:$AL,22,FALSE)+6,1)</f>
        <v>I</v>
      </c>
      <c r="X33" s="102" t="str">
        <f>MID(VLOOKUP($A33,Seqs!$A:$B,2,FALSE),VLOOKUP($A33,'NonXtal_SegEnds_Prot#'!$A:$AL,22,FALSE)+7,1)</f>
        <v>S</v>
      </c>
      <c r="Y33" s="102" t="str">
        <f>MID(VLOOKUP($A33,Seqs!$A:$B,2,FALSE),VLOOKUP($A33,'NonXtal_SegEnds_Prot#'!$A:$AL,22,FALSE)+8,1)</f>
        <v>L</v>
      </c>
      <c r="Z33" s="102" t="str">
        <f>MID(VLOOKUP($A33,Seqs!$A:$B,2,FALSE),VLOOKUP($A33,'NonXtal_SegEnds_Prot#'!$A:$AL,22,FALSE)+9,1)</f>
        <v>P</v>
      </c>
      <c r="AA33" s="102" t="str">
        <f>MID(VLOOKUP($A33,Seqs!$A:$B,2,FALSE),VLOOKUP($A33,'NonXtal_SegEnds_Prot#'!$A:$AL,22,FALSE)+10,1)</f>
        <v>P</v>
      </c>
      <c r="AB33" s="71" t="str">
        <f>MID(VLOOKUP($A33,Seqs!$A:$B,2,FALSE),VLOOKUP($A33,'NonXtal_SegEnds_Prot#'!$A:$AL,28,FALSE)-4,1)</f>
        <v>S</v>
      </c>
      <c r="AC33" s="102" t="str">
        <f>MID(VLOOKUP($A33,Seqs!$A:$B,2,FALSE),VLOOKUP($A33,'NonXtal_SegEnds_Prot#'!$A:$AL,28,FALSE),1)</f>
        <v>P</v>
      </c>
    </row>
    <row r="34" spans="1:29" s="2" customFormat="1" x14ac:dyDescent="0.2">
      <c r="A34" s="2" t="s">
        <v>351</v>
      </c>
      <c r="B34" s="2" t="str">
        <f>LOWER(VLOOKUP(A34,Xtal_Templ!A:B,2,FALSE))</f>
        <v>5ht1b_human</v>
      </c>
      <c r="C34" s="2" t="str">
        <f>VLOOKUP(A34,Classification!A:D,2,FALSE)</f>
        <v>A</v>
      </c>
      <c r="E34" s="2" t="s">
        <v>20</v>
      </c>
      <c r="N34" s="2" t="s">
        <v>43</v>
      </c>
      <c r="P34" s="4" t="s">
        <v>51</v>
      </c>
      <c r="R34" s="71" t="str">
        <f>MID(VLOOKUP($A34,Seqs!$A:$B,2,FALSE),VLOOKUP($A34,'NonXtal_SegEnds_Prot#'!A:AL,10,FALSE),1)</f>
        <v>D</v>
      </c>
      <c r="S34" s="102" t="str">
        <f>MID(VLOOKUP($A34,Seqs!$A:$B,2,FALSE),VLOOKUP($A34,'NonXtal_SegEnds_Prot#'!A:AL,10,FALSE)+6,1)</f>
        <v>L</v>
      </c>
      <c r="T34" s="102" t="str">
        <f>MID(VLOOKUP($A34,Seqs!$A:$B,2,FALSE),VLOOKUP($A34,'NonXtal_SegEnds_Prot#'!A:AL,10,FALSE)+7,1)</f>
        <v>V</v>
      </c>
      <c r="U34" s="102" t="str">
        <f>MID(VLOOKUP($A34,Seqs!$A:$B,2,FALSE),VLOOKUP($A34,'NonXtal_SegEnds_Prot#'!A:AL,10,FALSE)+8,1)</f>
        <v>M</v>
      </c>
      <c r="V34" s="102" t="str">
        <f>MID(VLOOKUP($A34,Seqs!$A:$B,2,FALSE),VLOOKUP($A34,'NonXtal_SegEnds_Prot#'!A:AL,10,FALSE)+9,1)</f>
        <v>P</v>
      </c>
      <c r="W34" s="71" t="str">
        <f>MID(VLOOKUP($A34,Seqs!$A:$B,2,FALSE),VLOOKUP($A34,'NonXtal_SegEnds_Prot#'!$A:$AL,22,FALSE)+6,1)</f>
        <v>I</v>
      </c>
      <c r="X34" s="102" t="str">
        <f>MID(VLOOKUP($A34,Seqs!$A:$B,2,FALSE),VLOOKUP($A34,'NonXtal_SegEnds_Prot#'!$A:$AL,22,FALSE)+7,1)</f>
        <v>S</v>
      </c>
      <c r="Y34" s="102" t="str">
        <f>MID(VLOOKUP($A34,Seqs!$A:$B,2,FALSE),VLOOKUP($A34,'NonXtal_SegEnds_Prot#'!$A:$AL,22,FALSE)+8,1)</f>
        <v>F</v>
      </c>
      <c r="Z34" s="102" t="str">
        <f>MID(VLOOKUP($A34,Seqs!$A:$B,2,FALSE),VLOOKUP($A34,'NonXtal_SegEnds_Prot#'!$A:$AL,22,FALSE)+9,1)</f>
        <v>P</v>
      </c>
      <c r="AA34" s="102" t="str">
        <f>MID(VLOOKUP($A34,Seqs!$A:$B,2,FALSE),VLOOKUP($A34,'NonXtal_SegEnds_Prot#'!$A:$AL,22,FALSE)+10,1)</f>
        <v>P</v>
      </c>
      <c r="AB34" s="71" t="str">
        <f>MID(VLOOKUP($A34,Seqs!$A:$B,2,FALSE),VLOOKUP($A34,'NonXtal_SegEnds_Prot#'!$A:$AL,28,FALSE)-4,1)</f>
        <v>S</v>
      </c>
      <c r="AC34" s="102" t="str">
        <f>MID(VLOOKUP($A34,Seqs!$A:$B,2,FALSE),VLOOKUP($A34,'NonXtal_SegEnds_Prot#'!$A:$AL,28,FALSE),1)</f>
        <v>P</v>
      </c>
    </row>
    <row r="35" spans="1:29" s="2" customFormat="1" x14ac:dyDescent="0.2">
      <c r="A35" s="2" t="s">
        <v>319</v>
      </c>
      <c r="B35" s="2" t="str">
        <f>LOWER(VLOOKUP(A35,Xtal_Templ!A:B,2,FALSE))</f>
        <v>adrb1_melga</v>
      </c>
      <c r="C35" s="2" t="str">
        <f>VLOOKUP(A35,Classification!A:D,2,FALSE)</f>
        <v>A</v>
      </c>
      <c r="E35" s="2" t="s">
        <v>20</v>
      </c>
      <c r="N35" s="2" t="s">
        <v>43</v>
      </c>
      <c r="P35" s="4" t="s">
        <v>51</v>
      </c>
      <c r="R35" s="71" t="str">
        <f>MID(VLOOKUP($A35,Seqs!$A:$B,2,FALSE),VLOOKUP($A35,'NonXtal_SegEnds_Prot#'!A:AL,10,FALSE),1)</f>
        <v>D</v>
      </c>
      <c r="S35" s="102" t="str">
        <f>MID(VLOOKUP($A35,Seqs!$A:$B,2,FALSE),VLOOKUP($A35,'NonXtal_SegEnds_Prot#'!A:AL,10,FALSE)+6,1)</f>
        <v>L</v>
      </c>
      <c r="T35" s="102" t="str">
        <f>MID(VLOOKUP($A35,Seqs!$A:$B,2,FALSE),VLOOKUP($A35,'NonXtal_SegEnds_Prot#'!A:AL,10,FALSE)+7,1)</f>
        <v>V</v>
      </c>
      <c r="U35" s="102" t="str">
        <f>MID(VLOOKUP($A35,Seqs!$A:$B,2,FALSE),VLOOKUP($A35,'NonXtal_SegEnds_Prot#'!A:AL,10,FALSE)+8,1)</f>
        <v>V</v>
      </c>
      <c r="V35" s="102" t="str">
        <f>MID(VLOOKUP($A35,Seqs!$A:$B,2,FALSE),VLOOKUP($A35,'NonXtal_SegEnds_Prot#'!A:AL,10,FALSE)+9,1)</f>
        <v>P</v>
      </c>
      <c r="W35" s="71" t="str">
        <f>MID(VLOOKUP($A35,Seqs!$A:$B,2,FALSE),VLOOKUP($A35,'NonXtal_SegEnds_Prot#'!$A:$AL,22,FALSE)+6,1)</f>
        <v>V</v>
      </c>
      <c r="X35" s="102" t="str">
        <f>MID(VLOOKUP($A35,Seqs!$A:$B,2,FALSE),VLOOKUP($A35,'NonXtal_SegEnds_Prot#'!$A:$AL,22,FALSE)+7,1)</f>
        <v>S</v>
      </c>
      <c r="Y35" s="102" t="str">
        <f>MID(VLOOKUP($A35,Seqs!$A:$B,2,FALSE),VLOOKUP($A35,'NonXtal_SegEnds_Prot#'!$A:$AL,22,FALSE)+8,1)</f>
        <v>F</v>
      </c>
      <c r="Z35" s="102" t="str">
        <f>MID(VLOOKUP($A35,Seqs!$A:$B,2,FALSE),VLOOKUP($A35,'NonXtal_SegEnds_Prot#'!$A:$AL,22,FALSE)+9,1)</f>
        <v>L</v>
      </c>
      <c r="AA35" s="102" t="str">
        <f>MID(VLOOKUP($A35,Seqs!$A:$B,2,FALSE),VLOOKUP($A35,'NonXtal_SegEnds_Prot#'!$A:$AL,22,FALSE)+10,1)</f>
        <v>P</v>
      </c>
      <c r="AB35" s="71" t="str">
        <f>MID(VLOOKUP($A35,Seqs!$A:$B,2,FALSE),VLOOKUP($A35,'NonXtal_SegEnds_Prot#'!$A:$AL,28,FALSE)-4,1)</f>
        <v>S</v>
      </c>
      <c r="AC35" s="102" t="str">
        <f>MID(VLOOKUP($A35,Seqs!$A:$B,2,FALSE),VLOOKUP($A35,'NonXtal_SegEnds_Prot#'!$A:$AL,28,FALSE),1)</f>
        <v>P</v>
      </c>
    </row>
    <row r="36" spans="1:29" s="2" customFormat="1" x14ac:dyDescent="0.2">
      <c r="A36" s="2" t="s">
        <v>1108</v>
      </c>
      <c r="B36" s="2" t="str">
        <f>LOWER(VLOOKUP(A36,Xtal_Templ!A:B,2,FALSE))</f>
        <v>adrb1_melga</v>
      </c>
      <c r="C36" s="2" t="str">
        <f>VLOOKUP(A36,Classification!A:D,2,FALSE)</f>
        <v>A</v>
      </c>
      <c r="E36" s="2" t="s">
        <v>20</v>
      </c>
      <c r="N36" s="2" t="s">
        <v>43</v>
      </c>
      <c r="P36" s="4" t="s">
        <v>51</v>
      </c>
      <c r="R36" s="71" t="str">
        <f>MID(VLOOKUP($A36,Seqs!$A:$B,2,FALSE),VLOOKUP($A36,'NonXtal_SegEnds_Prot#'!A:AL,10,FALSE),1)</f>
        <v>D</v>
      </c>
      <c r="S36" s="102" t="str">
        <f>MID(VLOOKUP($A36,Seqs!$A:$B,2,FALSE),VLOOKUP($A36,'NonXtal_SegEnds_Prot#'!A:AL,10,FALSE)+6,1)</f>
        <v>L</v>
      </c>
      <c r="T36" s="102" t="str">
        <f>MID(VLOOKUP($A36,Seqs!$A:$B,2,FALSE),VLOOKUP($A36,'NonXtal_SegEnds_Prot#'!A:AL,10,FALSE)+7,1)</f>
        <v>V</v>
      </c>
      <c r="U36" s="102" t="str">
        <f>MID(VLOOKUP($A36,Seqs!$A:$B,2,FALSE),VLOOKUP($A36,'NonXtal_SegEnds_Prot#'!A:AL,10,FALSE)+8,1)</f>
        <v>V</v>
      </c>
      <c r="V36" s="102" t="str">
        <f>MID(VLOOKUP($A36,Seqs!$A:$B,2,FALSE),VLOOKUP($A36,'NonXtal_SegEnds_Prot#'!A:AL,10,FALSE)+9,1)</f>
        <v>P</v>
      </c>
      <c r="W36" s="71" t="str">
        <f>MID(VLOOKUP($A36,Seqs!$A:$B,2,FALSE),VLOOKUP($A36,'NonXtal_SegEnds_Prot#'!$A:$AL,22,FALSE)+6,1)</f>
        <v>V</v>
      </c>
      <c r="X36" s="102" t="str">
        <f>MID(VLOOKUP($A36,Seqs!$A:$B,2,FALSE),VLOOKUP($A36,'NonXtal_SegEnds_Prot#'!$A:$AL,22,FALSE)+7,1)</f>
        <v>S</v>
      </c>
      <c r="Y36" s="102" t="str">
        <f>MID(VLOOKUP($A36,Seqs!$A:$B,2,FALSE),VLOOKUP($A36,'NonXtal_SegEnds_Prot#'!$A:$AL,22,FALSE)+8,1)</f>
        <v>F</v>
      </c>
      <c r="Z36" s="102" t="str">
        <f>MID(VLOOKUP($A36,Seqs!$A:$B,2,FALSE),VLOOKUP($A36,'NonXtal_SegEnds_Prot#'!$A:$AL,22,FALSE)+9,1)</f>
        <v>L</v>
      </c>
      <c r="AA36" s="102" t="str">
        <f>MID(VLOOKUP($A36,Seqs!$A:$B,2,FALSE),VLOOKUP($A36,'NonXtal_SegEnds_Prot#'!$A:$AL,22,FALSE)+10,1)</f>
        <v>P</v>
      </c>
      <c r="AB36" s="71" t="str">
        <f>MID(VLOOKUP($A36,Seqs!$A:$B,2,FALSE),VLOOKUP($A36,'NonXtal_SegEnds_Prot#'!$A:$AL,28,FALSE)-4,1)</f>
        <v>S</v>
      </c>
      <c r="AC36" s="102" t="str">
        <f>MID(VLOOKUP($A36,Seqs!$A:$B,2,FALSE),VLOOKUP($A36,'NonXtal_SegEnds_Prot#'!$A:$AL,28,FALSE),1)</f>
        <v>P</v>
      </c>
    </row>
    <row r="37" spans="1:29" s="2" customFormat="1" x14ac:dyDescent="0.2">
      <c r="A37" s="2" t="s">
        <v>320</v>
      </c>
      <c r="B37" s="2" t="str">
        <f>LOWER(VLOOKUP(A37,Xtal_Templ!A:B,2,FALSE))</f>
        <v>adrb2_human</v>
      </c>
      <c r="C37" s="2" t="str">
        <f>VLOOKUP(A37,Classification!A:D,2,FALSE)</f>
        <v>A</v>
      </c>
      <c r="E37" s="2" t="s">
        <v>20</v>
      </c>
      <c r="N37" s="2" t="s">
        <v>43</v>
      </c>
      <c r="P37" s="4" t="s">
        <v>51</v>
      </c>
      <c r="R37" s="71" t="str">
        <f>MID(VLOOKUP($A37,Seqs!$A:$B,2,FALSE),VLOOKUP($A37,'NonXtal_SegEnds_Prot#'!A:AL,10,FALSE),1)</f>
        <v>D</v>
      </c>
      <c r="S37" s="102" t="str">
        <f>MID(VLOOKUP($A37,Seqs!$A:$B,2,FALSE),VLOOKUP($A37,'NonXtal_SegEnds_Prot#'!A:AL,10,FALSE)+6,1)</f>
        <v>A</v>
      </c>
      <c r="T37" s="102" t="str">
        <f>MID(VLOOKUP($A37,Seqs!$A:$B,2,FALSE),VLOOKUP($A37,'NonXtal_SegEnds_Prot#'!A:AL,10,FALSE)+7,1)</f>
        <v>V</v>
      </c>
      <c r="U37" s="102" t="str">
        <f>MID(VLOOKUP($A37,Seqs!$A:$B,2,FALSE),VLOOKUP($A37,'NonXtal_SegEnds_Prot#'!A:AL,10,FALSE)+8,1)</f>
        <v>V</v>
      </c>
      <c r="V37" s="102" t="str">
        <f>MID(VLOOKUP($A37,Seqs!$A:$B,2,FALSE),VLOOKUP($A37,'NonXtal_SegEnds_Prot#'!A:AL,10,FALSE)+9,1)</f>
        <v>P</v>
      </c>
      <c r="W37" s="71" t="str">
        <f>MID(VLOOKUP($A37,Seqs!$A:$B,2,FALSE),VLOOKUP($A37,'NonXtal_SegEnds_Prot#'!$A:$AL,22,FALSE)+6,1)</f>
        <v>T</v>
      </c>
      <c r="X37" s="102" t="str">
        <f>MID(VLOOKUP($A37,Seqs!$A:$B,2,FALSE),VLOOKUP($A37,'NonXtal_SegEnds_Prot#'!$A:$AL,22,FALSE)+7,1)</f>
        <v>S</v>
      </c>
      <c r="Y37" s="102" t="str">
        <f>MID(VLOOKUP($A37,Seqs!$A:$B,2,FALSE),VLOOKUP($A37,'NonXtal_SegEnds_Prot#'!$A:$AL,22,FALSE)+8,1)</f>
        <v>F</v>
      </c>
      <c r="Z37" s="102" t="str">
        <f>MID(VLOOKUP($A37,Seqs!$A:$B,2,FALSE),VLOOKUP($A37,'NonXtal_SegEnds_Prot#'!$A:$AL,22,FALSE)+9,1)</f>
        <v>L</v>
      </c>
      <c r="AA37" s="102" t="str">
        <f>MID(VLOOKUP($A37,Seqs!$A:$B,2,FALSE),VLOOKUP($A37,'NonXtal_SegEnds_Prot#'!$A:$AL,22,FALSE)+10,1)</f>
        <v>P</v>
      </c>
      <c r="AB37" s="71" t="str">
        <f>MID(VLOOKUP($A37,Seqs!$A:$B,2,FALSE),VLOOKUP($A37,'NonXtal_SegEnds_Prot#'!$A:$AL,28,FALSE)-4,1)</f>
        <v>S</v>
      </c>
      <c r="AC37" s="102" t="str">
        <f>MID(VLOOKUP($A37,Seqs!$A:$B,2,FALSE),VLOOKUP($A37,'NonXtal_SegEnds_Prot#'!$A:$AL,28,FALSE),1)</f>
        <v>P</v>
      </c>
    </row>
    <row r="38" spans="1:29" s="2" customFormat="1" x14ac:dyDescent="0.2">
      <c r="A38" s="2" t="s">
        <v>296</v>
      </c>
      <c r="B38" s="2" t="str">
        <f>LOWER(VLOOKUP(A38,Xtal_Templ!A:B,2,FALSE))</f>
        <v>adrb1_melga</v>
      </c>
      <c r="C38" s="2" t="str">
        <f>VLOOKUP(A38,Classification!A:D,2,FALSE)</f>
        <v>A</v>
      </c>
      <c r="E38" s="2" t="s">
        <v>20</v>
      </c>
      <c r="N38" s="2" t="s">
        <v>43</v>
      </c>
      <c r="P38" s="4" t="s">
        <v>51</v>
      </c>
      <c r="R38" s="71" t="str">
        <f>MID(VLOOKUP($A38,Seqs!$A:$B,2,FALSE),VLOOKUP($A38,'NonXtal_SegEnds_Prot#'!A:AL,10,FALSE),1)</f>
        <v>D</v>
      </c>
      <c r="S38" s="102" t="str">
        <f>MID(VLOOKUP($A38,Seqs!$A:$B,2,FALSE),VLOOKUP($A38,'NonXtal_SegEnds_Prot#'!A:AL,10,FALSE)+6,1)</f>
        <v>L</v>
      </c>
      <c r="T38" s="102" t="str">
        <f>MID(VLOOKUP($A38,Seqs!$A:$B,2,FALSE),VLOOKUP($A38,'NonXtal_SegEnds_Prot#'!A:AL,10,FALSE)+7,1)</f>
        <v>V</v>
      </c>
      <c r="U38" s="102" t="str">
        <f>MID(VLOOKUP($A38,Seqs!$A:$B,2,FALSE),VLOOKUP($A38,'NonXtal_SegEnds_Prot#'!A:AL,10,FALSE)+8,1)</f>
        <v>V</v>
      </c>
      <c r="V38" s="102" t="str">
        <f>MID(VLOOKUP($A38,Seqs!$A:$B,2,FALSE),VLOOKUP($A38,'NonXtal_SegEnds_Prot#'!A:AL,10,FALSE)+9,1)</f>
        <v>P</v>
      </c>
      <c r="W38" s="71" t="str">
        <f>MID(VLOOKUP($A38,Seqs!$A:$B,2,FALSE),VLOOKUP($A38,'NonXtal_SegEnds_Prot#'!$A:$AL,22,FALSE)+6,1)</f>
        <v>V</v>
      </c>
      <c r="X38" s="102" t="str">
        <f>MID(VLOOKUP($A38,Seqs!$A:$B,2,FALSE),VLOOKUP($A38,'NonXtal_SegEnds_Prot#'!$A:$AL,22,FALSE)+7,1)</f>
        <v>S</v>
      </c>
      <c r="Y38" s="102" t="str">
        <f>MID(VLOOKUP($A38,Seqs!$A:$B,2,FALSE),VLOOKUP($A38,'NonXtal_SegEnds_Prot#'!$A:$AL,22,FALSE)+8,1)</f>
        <v>F</v>
      </c>
      <c r="Z38" s="102" t="str">
        <f>MID(VLOOKUP($A38,Seqs!$A:$B,2,FALSE),VLOOKUP($A38,'NonXtal_SegEnds_Prot#'!$A:$AL,22,FALSE)+9,1)</f>
        <v>A</v>
      </c>
      <c r="AA38" s="102" t="str">
        <f>MID(VLOOKUP($A38,Seqs!$A:$B,2,FALSE),VLOOKUP($A38,'NonXtal_SegEnds_Prot#'!$A:$AL,22,FALSE)+10,1)</f>
        <v>P</v>
      </c>
      <c r="AB38" s="71" t="str">
        <f>MID(VLOOKUP($A38,Seqs!$A:$B,2,FALSE),VLOOKUP($A38,'NonXtal_SegEnds_Prot#'!$A:$AL,28,FALSE)-4,1)</f>
        <v>S</v>
      </c>
      <c r="AC38" s="102" t="str">
        <f>MID(VLOOKUP($A38,Seqs!$A:$B,2,FALSE),VLOOKUP($A38,'NonXtal_SegEnds_Prot#'!$A:$AL,28,FALSE),1)</f>
        <v>P</v>
      </c>
    </row>
    <row r="39" spans="1:29" s="2" customFormat="1" x14ac:dyDescent="0.2">
      <c r="A39" s="2" t="s">
        <v>352</v>
      </c>
      <c r="B39" s="2" t="str">
        <f>LOWER(VLOOKUP(A39,Xtal_Templ!A:B,2,FALSE))</f>
        <v>agtr1_human</v>
      </c>
      <c r="C39" s="2" t="str">
        <f>VLOOKUP(A39,Classification!A:D,2,FALSE)</f>
        <v>A</v>
      </c>
      <c r="J39" s="2" t="s">
        <v>98</v>
      </c>
      <c r="N39" s="2" t="s">
        <v>43</v>
      </c>
      <c r="P39" s="4" t="s">
        <v>51</v>
      </c>
      <c r="R39" s="71" t="str">
        <f>MID(VLOOKUP($A39,Seqs!$A:$B,2,FALSE),VLOOKUP($A39,'NonXtal_SegEnds_Prot#'!A:AL,10,FALSE),1)</f>
        <v>D</v>
      </c>
      <c r="S39" s="102" t="str">
        <f>MID(VLOOKUP($A39,Seqs!$A:$B,2,FALSE),VLOOKUP($A39,'NonXtal_SegEnds_Prot#'!A:AL,10,FALSE)+6,1)</f>
        <v>T</v>
      </c>
      <c r="T39" s="102" t="str">
        <f>MID(VLOOKUP($A39,Seqs!$A:$B,2,FALSE),VLOOKUP($A39,'NonXtal_SegEnds_Prot#'!A:AL,10,FALSE)+7,1)</f>
        <v>L</v>
      </c>
      <c r="U39" s="102" t="str">
        <f>MID(VLOOKUP($A39,Seqs!$A:$B,2,FALSE),VLOOKUP($A39,'NonXtal_SegEnds_Prot#'!A:AL,10,FALSE)+8,1)</f>
        <v>P</v>
      </c>
      <c r="V39" s="102" t="str">
        <f>MID(VLOOKUP($A39,Seqs!$A:$B,2,FALSE),VLOOKUP($A39,'NonXtal_SegEnds_Prot#'!A:AL,10,FALSE)+9,1)</f>
        <v>L</v>
      </c>
      <c r="W39" s="71" t="str">
        <f>MID(VLOOKUP($A39,Seqs!$A:$B,2,FALSE),VLOOKUP($A39,'NonXtal_SegEnds_Prot#'!$A:$AL,22,FALSE)+6,1)</f>
        <v>A</v>
      </c>
      <c r="X39" s="102" t="str">
        <f>MID(VLOOKUP($A39,Seqs!$A:$B,2,FALSE),VLOOKUP($A39,'NonXtal_SegEnds_Prot#'!$A:$AL,22,FALSE)+7,1)</f>
        <v>S</v>
      </c>
      <c r="Y39" s="102" t="str">
        <f>MID(VLOOKUP($A39,Seqs!$A:$B,2,FALSE),VLOOKUP($A39,'NonXtal_SegEnds_Prot#'!$A:$AL,22,FALSE)+8,1)</f>
        <v>L</v>
      </c>
      <c r="Z39" s="102" t="str">
        <f>MID(VLOOKUP($A39,Seqs!$A:$B,2,FALSE),VLOOKUP($A39,'NonXtal_SegEnds_Prot#'!$A:$AL,22,FALSE)+9,1)</f>
        <v>P</v>
      </c>
      <c r="AA39" s="102" t="str">
        <f>MID(VLOOKUP($A39,Seqs!$A:$B,2,FALSE),VLOOKUP($A39,'NonXtal_SegEnds_Prot#'!$A:$AL,22,FALSE)+10,1)</f>
        <v>A</v>
      </c>
      <c r="AB39" s="71" t="str">
        <f>MID(VLOOKUP($A39,Seqs!$A:$B,2,FALSE),VLOOKUP($A39,'NonXtal_SegEnds_Prot#'!$A:$AL,28,FALSE)-4,1)</f>
        <v>G</v>
      </c>
      <c r="AC39" s="102" t="str">
        <f>MID(VLOOKUP($A39,Seqs!$A:$B,2,FALSE),VLOOKUP($A39,'NonXtal_SegEnds_Prot#'!$A:$AL,28,FALSE),1)</f>
        <v>P</v>
      </c>
    </row>
    <row r="40" spans="1:29" s="2" customFormat="1" x14ac:dyDescent="0.2">
      <c r="A40" s="2" t="s">
        <v>353</v>
      </c>
      <c r="B40" s="2" t="str">
        <f>LOWER(VLOOKUP(A40,Xtal_Templ!A:B,2,FALSE))</f>
        <v>agtr1_human</v>
      </c>
      <c r="C40" s="2" t="str">
        <f>VLOOKUP(A40,Classification!A:D,2,FALSE)</f>
        <v>A</v>
      </c>
      <c r="K40" s="2" t="s">
        <v>59</v>
      </c>
      <c r="N40" s="2" t="s">
        <v>43</v>
      </c>
      <c r="P40" s="4" t="s">
        <v>51</v>
      </c>
      <c r="R40" s="71" t="str">
        <f>MID(VLOOKUP($A40,Seqs!$A:$B,2,FALSE),VLOOKUP($A40,'NonXtal_SegEnds_Prot#'!A:AL,10,FALSE),1)</f>
        <v>D</v>
      </c>
      <c r="S40" s="102" t="str">
        <f>MID(VLOOKUP($A40,Seqs!$A:$B,2,FALSE),VLOOKUP($A40,'NonXtal_SegEnds_Prot#'!A:AL,10,FALSE)+6,1)</f>
        <v>T</v>
      </c>
      <c r="T40" s="102" t="str">
        <f>MID(VLOOKUP($A40,Seqs!$A:$B,2,FALSE),VLOOKUP($A40,'NonXtal_SegEnds_Prot#'!A:AL,10,FALSE)+7,1)</f>
        <v>L</v>
      </c>
      <c r="U40" s="102" t="str">
        <f>MID(VLOOKUP($A40,Seqs!$A:$B,2,FALSE),VLOOKUP($A40,'NonXtal_SegEnds_Prot#'!A:AL,10,FALSE)+8,1)</f>
        <v>P</v>
      </c>
      <c r="V40" s="102" t="str">
        <f>MID(VLOOKUP($A40,Seqs!$A:$B,2,FALSE),VLOOKUP($A40,'NonXtal_SegEnds_Prot#'!A:AL,10,FALSE)+9,1)</f>
        <v>L</v>
      </c>
      <c r="W40" s="71" t="str">
        <f>MID(VLOOKUP($A40,Seqs!$A:$B,2,FALSE),VLOOKUP($A40,'NonXtal_SegEnds_Prot#'!$A:$AL,22,FALSE)+6,1)</f>
        <v>S</v>
      </c>
      <c r="X40" s="102" t="str">
        <f>MID(VLOOKUP($A40,Seqs!$A:$B,2,FALSE),VLOOKUP($A40,'NonXtal_SegEnds_Prot#'!$A:$AL,22,FALSE)+7,1)</f>
        <v>S</v>
      </c>
      <c r="Y40" s="102" t="str">
        <f>MID(VLOOKUP($A40,Seqs!$A:$B,2,FALSE),VLOOKUP($A40,'NonXtal_SegEnds_Prot#'!$A:$AL,22,FALSE)+8,1)</f>
        <v>L</v>
      </c>
      <c r="Z40" s="102" t="str">
        <f>MID(VLOOKUP($A40,Seqs!$A:$B,2,FALSE),VLOOKUP($A40,'NonXtal_SegEnds_Prot#'!$A:$AL,22,FALSE)+9,1)</f>
        <v>P</v>
      </c>
      <c r="AA40" s="102" t="str">
        <f>MID(VLOOKUP($A40,Seqs!$A:$B,2,FALSE),VLOOKUP($A40,'NonXtal_SegEnds_Prot#'!$A:$AL,22,FALSE)+10,1)</f>
        <v>T</v>
      </c>
      <c r="AB40" s="71" t="str">
        <f>MID(VLOOKUP($A40,Seqs!$A:$B,2,FALSE),VLOOKUP($A40,'NonXtal_SegEnds_Prot#'!$A:$AL,28,FALSE)-4,1)</f>
        <v>G</v>
      </c>
      <c r="AC40" s="102" t="str">
        <f>MID(VLOOKUP($A40,Seqs!$A:$B,2,FALSE),VLOOKUP($A40,'NonXtal_SegEnds_Prot#'!$A:$AL,28,FALSE),1)</f>
        <v>P</v>
      </c>
    </row>
    <row r="41" spans="1:29" s="2" customFormat="1" x14ac:dyDescent="0.2">
      <c r="A41" s="2" t="s">
        <v>354</v>
      </c>
      <c r="B41" s="2" t="str">
        <f>LOWER(VLOOKUP(A41,Xtal_Templ!A:B,2,FALSE))</f>
        <v>agtr1_human</v>
      </c>
      <c r="C41" s="2" t="str">
        <f>VLOOKUP(A41,Classification!A:D,2,FALSE)</f>
        <v>A</v>
      </c>
      <c r="K41" s="2" t="s">
        <v>59</v>
      </c>
      <c r="N41" s="2" t="s">
        <v>43</v>
      </c>
      <c r="P41" s="4" t="s">
        <v>51</v>
      </c>
      <c r="R41" s="71" t="str">
        <f>MID(VLOOKUP($A41,Seqs!$A:$B,2,FALSE),VLOOKUP($A41,'NonXtal_SegEnds_Prot#'!A:AL,10,FALSE),1)</f>
        <v>D</v>
      </c>
      <c r="S41" s="102" t="str">
        <f>MID(VLOOKUP($A41,Seqs!$A:$B,2,FALSE),VLOOKUP($A41,'NonXtal_SegEnds_Prot#'!A:AL,10,FALSE)+6,1)</f>
        <v>T</v>
      </c>
      <c r="T41" s="102" t="str">
        <f>MID(VLOOKUP($A41,Seqs!$A:$B,2,FALSE),VLOOKUP($A41,'NonXtal_SegEnds_Prot#'!A:AL,10,FALSE)+7,1)</f>
        <v>L</v>
      </c>
      <c r="U41" s="102" t="str">
        <f>MID(VLOOKUP($A41,Seqs!$A:$B,2,FALSE),VLOOKUP($A41,'NonXtal_SegEnds_Prot#'!A:AL,10,FALSE)+8,1)</f>
        <v>P</v>
      </c>
      <c r="V41" s="102" t="str">
        <f>MID(VLOOKUP($A41,Seqs!$A:$B,2,FALSE),VLOOKUP($A41,'NonXtal_SegEnds_Prot#'!A:AL,10,FALSE)+9,1)</f>
        <v>L</v>
      </c>
      <c r="W41" s="71" t="str">
        <f>MID(VLOOKUP($A41,Seqs!$A:$B,2,FALSE),VLOOKUP($A41,'NonXtal_SegEnds_Prot#'!$A:$AL,22,FALSE)+6,1)</f>
        <v>L</v>
      </c>
      <c r="X41" s="102" t="str">
        <f>MID(VLOOKUP($A41,Seqs!$A:$B,2,FALSE),VLOOKUP($A41,'NonXtal_SegEnds_Prot#'!$A:$AL,22,FALSE)+7,1)</f>
        <v>A</v>
      </c>
      <c r="Y41" s="102" t="str">
        <f>MID(VLOOKUP($A41,Seqs!$A:$B,2,FALSE),VLOOKUP($A41,'NonXtal_SegEnds_Prot#'!$A:$AL,22,FALSE)+8,1)</f>
        <v>M</v>
      </c>
      <c r="Z41" s="102" t="str">
        <f>MID(VLOOKUP($A41,Seqs!$A:$B,2,FALSE),VLOOKUP($A41,'NonXtal_SegEnds_Prot#'!$A:$AL,22,FALSE)+9,1)</f>
        <v>P</v>
      </c>
      <c r="AA41" s="102" t="str">
        <f>MID(VLOOKUP($A41,Seqs!$A:$B,2,FALSE),VLOOKUP($A41,'NonXtal_SegEnds_Prot#'!$A:$AL,22,FALSE)+10,1)</f>
        <v>V</v>
      </c>
      <c r="AB41" s="71" t="str">
        <f>MID(VLOOKUP($A41,Seqs!$A:$B,2,FALSE),VLOOKUP($A41,'NonXtal_SegEnds_Prot#'!$A:$AL,28,FALSE)-4,1)</f>
        <v>G</v>
      </c>
      <c r="AC41" s="102" t="str">
        <f>MID(VLOOKUP($A41,Seqs!$A:$B,2,FALSE),VLOOKUP($A41,'NonXtal_SegEnds_Prot#'!$A:$AL,28,FALSE),1)</f>
        <v>P</v>
      </c>
    </row>
    <row r="42" spans="1:29" s="2" customFormat="1" x14ac:dyDescent="0.2">
      <c r="A42" s="2" t="s">
        <v>355</v>
      </c>
      <c r="B42" s="2" t="str">
        <f>LOWER(VLOOKUP(A42,Xtal_Templ!A:B,2,FALSE))</f>
        <v>agtr1_human</v>
      </c>
      <c r="C42" s="2" t="str">
        <f>VLOOKUP(A42,Classification!A:D,2,FALSE)</f>
        <v>A</v>
      </c>
      <c r="K42" s="2" t="s">
        <v>59</v>
      </c>
      <c r="N42" s="2" t="s">
        <v>43</v>
      </c>
      <c r="P42" s="4" t="s">
        <v>51</v>
      </c>
      <c r="R42" s="71" t="str">
        <f>MID(VLOOKUP($A42,Seqs!$A:$B,2,FALSE),VLOOKUP($A42,'NonXtal_SegEnds_Prot#'!A:AL,10,FALSE),1)</f>
        <v>D</v>
      </c>
      <c r="S42" s="102" t="str">
        <f>MID(VLOOKUP($A42,Seqs!$A:$B,2,FALSE),VLOOKUP($A42,'NonXtal_SegEnds_Prot#'!A:AL,10,FALSE)+6,1)</f>
        <v>G</v>
      </c>
      <c r="T42" s="102" t="str">
        <f>MID(VLOOKUP($A42,Seqs!$A:$B,2,FALSE),VLOOKUP($A42,'NonXtal_SegEnds_Prot#'!A:AL,10,FALSE)+7,1)</f>
        <v>L</v>
      </c>
      <c r="U42" s="102" t="str">
        <f>MID(VLOOKUP($A42,Seqs!$A:$B,2,FALSE),VLOOKUP($A42,'NonXtal_SegEnds_Prot#'!A:AL,10,FALSE)+8,1)</f>
        <v>P</v>
      </c>
      <c r="V42" s="102" t="str">
        <f>MID(VLOOKUP($A42,Seqs!$A:$B,2,FALSE),VLOOKUP($A42,'NonXtal_SegEnds_Prot#'!A:AL,10,FALSE)+9,1)</f>
        <v>F</v>
      </c>
      <c r="W42" s="71" t="str">
        <f>MID(VLOOKUP($A42,Seqs!$A:$B,2,FALSE),VLOOKUP($A42,'NonXtal_SegEnds_Prot#'!$A:$AL,22,FALSE)+6,1)</f>
        <v>L</v>
      </c>
      <c r="X42" s="102" t="str">
        <f>MID(VLOOKUP($A42,Seqs!$A:$B,2,FALSE),VLOOKUP($A42,'NonXtal_SegEnds_Prot#'!$A:$AL,22,FALSE)+7,1)</f>
        <v>S</v>
      </c>
      <c r="Y42" s="102" t="str">
        <f>MID(VLOOKUP($A42,Seqs!$A:$B,2,FALSE),VLOOKUP($A42,'NonXtal_SegEnds_Prot#'!$A:$AL,22,FALSE)+8,1)</f>
        <v>I</v>
      </c>
      <c r="Z42" s="102" t="str">
        <f>MID(VLOOKUP($A42,Seqs!$A:$B,2,FALSE),VLOOKUP($A42,'NonXtal_SegEnds_Prot#'!$A:$AL,22,FALSE)+9,1)</f>
        <v>P</v>
      </c>
      <c r="AA42" s="102" t="str">
        <f>MID(VLOOKUP($A42,Seqs!$A:$B,2,FALSE),VLOOKUP($A42,'NonXtal_SegEnds_Prot#'!$A:$AL,22,FALSE)+10,1)</f>
        <v>T</v>
      </c>
      <c r="AB42" s="71" t="str">
        <f>MID(VLOOKUP($A42,Seqs!$A:$B,2,FALSE),VLOOKUP($A42,'NonXtal_SegEnds_Prot#'!$A:$AL,28,FALSE)-4,1)</f>
        <v>G</v>
      </c>
      <c r="AC42" s="102" t="str">
        <f>MID(VLOOKUP($A42,Seqs!$A:$B,2,FALSE),VLOOKUP($A42,'NonXtal_SegEnds_Prot#'!$A:$AL,28,FALSE),1)</f>
        <v>P</v>
      </c>
    </row>
    <row r="43" spans="1:29" s="2" customFormat="1" x14ac:dyDescent="0.2">
      <c r="A43" s="2" t="s">
        <v>356</v>
      </c>
      <c r="B43" s="2" t="str">
        <f>LOWER(VLOOKUP(A43,Xtal_Templ!A:B,2,FALSE))</f>
        <v>agtr1_human</v>
      </c>
      <c r="C43" s="2" t="str">
        <f>VLOOKUP(A43,Classification!A:D,2,FALSE)</f>
        <v>A</v>
      </c>
      <c r="N43" s="2" t="s">
        <v>43</v>
      </c>
      <c r="P43" s="4" t="s">
        <v>51</v>
      </c>
      <c r="R43" s="71" t="str">
        <f>MID(VLOOKUP($A43,Seqs!$A:$B,2,FALSE),VLOOKUP($A43,'NonXtal_SegEnds_Prot#'!A:AL,10,FALSE),1)</f>
        <v>D</v>
      </c>
      <c r="S43" s="102" t="str">
        <f>MID(VLOOKUP($A43,Seqs!$A:$B,2,FALSE),VLOOKUP($A43,'NonXtal_SegEnds_Prot#'!A:AL,10,FALSE)+6,1)</f>
        <v>G</v>
      </c>
      <c r="T43" s="102" t="str">
        <f>MID(VLOOKUP($A43,Seqs!$A:$B,2,FALSE),VLOOKUP($A43,'NonXtal_SegEnds_Prot#'!A:AL,10,FALSE)+7,1)</f>
        <v>L</v>
      </c>
      <c r="U43" s="102" t="str">
        <f>MID(VLOOKUP($A43,Seqs!$A:$B,2,FALSE),VLOOKUP($A43,'NonXtal_SegEnds_Prot#'!A:AL,10,FALSE)+8,1)</f>
        <v>P</v>
      </c>
      <c r="V43" s="102" t="str">
        <f>MID(VLOOKUP($A43,Seqs!$A:$B,2,FALSE),VLOOKUP($A43,'NonXtal_SegEnds_Prot#'!A:AL,10,FALSE)+9,1)</f>
        <v>F</v>
      </c>
      <c r="W43" s="71" t="str">
        <f>MID(VLOOKUP($A43,Seqs!$A:$B,2,FALSE),VLOOKUP($A43,'NonXtal_SegEnds_Prot#'!$A:$AL,22,FALSE)+6,1)</f>
        <v>L</v>
      </c>
      <c r="X43" s="102" t="str">
        <f>MID(VLOOKUP($A43,Seqs!$A:$B,2,FALSE),VLOOKUP($A43,'NonXtal_SegEnds_Prot#'!$A:$AL,22,FALSE)+7,1)</f>
        <v>S</v>
      </c>
      <c r="Y43" s="102" t="str">
        <f>MID(VLOOKUP($A43,Seqs!$A:$B,2,FALSE),VLOOKUP($A43,'NonXtal_SegEnds_Prot#'!$A:$AL,22,FALSE)+8,1)</f>
        <v>S</v>
      </c>
      <c r="Z43" s="102" t="str">
        <f>MID(VLOOKUP($A43,Seqs!$A:$B,2,FALSE),VLOOKUP($A43,'NonXtal_SegEnds_Prot#'!$A:$AL,22,FALSE)+9,1)</f>
        <v>P</v>
      </c>
      <c r="AA43" s="102" t="str">
        <f>MID(VLOOKUP($A43,Seqs!$A:$B,2,FALSE),VLOOKUP($A43,'NonXtal_SegEnds_Prot#'!$A:$AL,22,FALSE)+10,1)</f>
        <v>M</v>
      </c>
      <c r="AB43" s="71" t="str">
        <f>MID(VLOOKUP($A43,Seqs!$A:$B,2,FALSE),VLOOKUP($A43,'NonXtal_SegEnds_Prot#'!$A:$AL,28,FALSE)-4,1)</f>
        <v>G</v>
      </c>
      <c r="AC43" s="102" t="str">
        <f>MID(VLOOKUP($A43,Seqs!$A:$B,2,FALSE),VLOOKUP($A43,'NonXtal_SegEnds_Prot#'!$A:$AL,28,FALSE),1)</f>
        <v>P</v>
      </c>
    </row>
    <row r="44" spans="1:29" s="2" customFormat="1" ht="17" customHeight="1" x14ac:dyDescent="0.2">
      <c r="A44" s="2" t="s">
        <v>357</v>
      </c>
      <c r="B44" s="2" t="str">
        <f>LOWER(VLOOKUP(A44,Xtal_Templ!A:B,2,FALSE))</f>
        <v>ox2r_human</v>
      </c>
      <c r="C44" s="2" t="str">
        <f>VLOOKUP(A44,Classification!A:D,2,FALSE)</f>
        <v>A</v>
      </c>
      <c r="E44" s="2" t="s">
        <v>20</v>
      </c>
      <c r="K44" s="2" t="s">
        <v>59</v>
      </c>
      <c r="P44" s="4" t="s">
        <v>51</v>
      </c>
      <c r="R44" s="71" t="str">
        <f>MID(VLOOKUP($A44,Seqs!$A:$B,2,FALSE),VLOOKUP($A44,'NonXtal_SegEnds_Prot#'!A:AL,10,FALSE),1)</f>
        <v>D</v>
      </c>
      <c r="S44" s="102" t="str">
        <f>MID(VLOOKUP($A44,Seqs!$A:$B,2,FALSE),VLOOKUP($A44,'NonXtal_SegEnds_Prot#'!A:AL,10,FALSE)+6,1)</f>
        <v>T</v>
      </c>
      <c r="T44" s="102" t="str">
        <f>MID(VLOOKUP($A44,Seqs!$A:$B,2,FALSE),VLOOKUP($A44,'NonXtal_SegEnds_Prot#'!A:AL,10,FALSE)+7,1)</f>
        <v>C</v>
      </c>
      <c r="U44" s="102" t="str">
        <f>MID(VLOOKUP($A44,Seqs!$A:$B,2,FALSE),VLOOKUP($A44,'NonXtal_SegEnds_Prot#'!A:AL,10,FALSE)+8,1)</f>
        <v>V</v>
      </c>
      <c r="V44" s="102" t="str">
        <f>MID(VLOOKUP($A44,Seqs!$A:$B,2,FALSE),VLOOKUP($A44,'NonXtal_SegEnds_Prot#'!A:AL,10,FALSE)+9,1)</f>
        <v>P</v>
      </c>
      <c r="W44" s="71" t="str">
        <f>MID(VLOOKUP($A44,Seqs!$A:$B,2,FALSE),VLOOKUP($A44,'NonXtal_SegEnds_Prot#'!$A:$AL,22,FALSE)+6,1)</f>
        <v>F</v>
      </c>
      <c r="X44" s="102" t="str">
        <f>MID(VLOOKUP($A44,Seqs!$A:$B,2,FALSE),VLOOKUP($A44,'NonXtal_SegEnds_Prot#'!$A:$AL,22,FALSE)+7,1)</f>
        <v>A</v>
      </c>
      <c r="Y44" s="102" t="str">
        <f>MID(VLOOKUP($A44,Seqs!$A:$B,2,FALSE),VLOOKUP($A44,'NonXtal_SegEnds_Prot#'!$A:$AL,22,FALSE)+8,1)</f>
        <v>L</v>
      </c>
      <c r="Z44" s="102" t="str">
        <f>MID(VLOOKUP($A44,Seqs!$A:$B,2,FALSE),VLOOKUP($A44,'NonXtal_SegEnds_Prot#'!$A:$AL,22,FALSE)+9,1)</f>
        <v>P</v>
      </c>
      <c r="AA44" s="102" t="str">
        <f>MID(VLOOKUP($A44,Seqs!$A:$B,2,FALSE),VLOOKUP($A44,'NonXtal_SegEnds_Prot#'!$A:$AL,22,FALSE)+10,1)</f>
        <v>E</v>
      </c>
      <c r="AB44" s="71" t="str">
        <f>MID(VLOOKUP($A44,Seqs!$A:$B,2,FALSE),VLOOKUP($A44,'NonXtal_SegEnds_Prot#'!$A:$AL,28,FALSE)-4,1)</f>
        <v>F</v>
      </c>
      <c r="AC44" s="102" t="str">
        <f>MID(VLOOKUP($A44,Seqs!$A:$B,2,FALSE),VLOOKUP($A44,'NonXtal_SegEnds_Prot#'!$A:$AL,28,FALSE),1)</f>
        <v>P</v>
      </c>
    </row>
    <row r="45" spans="1:29" s="2" customFormat="1" x14ac:dyDescent="0.2">
      <c r="A45" s="2" t="s">
        <v>358</v>
      </c>
      <c r="B45" s="2" t="str">
        <f>LOWER(VLOOKUP(A45,Xtal_Templ!A:B,2,FALSE))</f>
        <v>oprk_human</v>
      </c>
      <c r="C45" s="2" t="str">
        <f>VLOOKUP(A45,Classification!A:D,2,FALSE)</f>
        <v>A</v>
      </c>
      <c r="K45" s="2" t="s">
        <v>59</v>
      </c>
      <c r="N45" s="2" t="s">
        <v>43</v>
      </c>
      <c r="P45" s="4" t="s">
        <v>51</v>
      </c>
      <c r="R45" s="71" t="str">
        <f>MID(VLOOKUP($A45,Seqs!$A:$B,2,FALSE),VLOOKUP($A45,'NonXtal_SegEnds_Prot#'!A:AL,10,FALSE),1)</f>
        <v>D</v>
      </c>
      <c r="S45" s="102" t="str">
        <f>MID(VLOOKUP($A45,Seqs!$A:$B,2,FALSE),VLOOKUP($A45,'NonXtal_SegEnds_Prot#'!A:AL,10,FALSE)+6,1)</f>
        <v>S</v>
      </c>
      <c r="T45" s="102" t="str">
        <f>MID(VLOOKUP($A45,Seqs!$A:$B,2,FALSE),VLOOKUP($A45,'NonXtal_SegEnds_Prot#'!A:AL,10,FALSE)+7,1)</f>
        <v>L</v>
      </c>
      <c r="U45" s="102" t="str">
        <f>MID(VLOOKUP($A45,Seqs!$A:$B,2,FALSE),VLOOKUP($A45,'NonXtal_SegEnds_Prot#'!A:AL,10,FALSE)+8,1)</f>
        <v>P</v>
      </c>
      <c r="V45" s="102" t="str">
        <f>MID(VLOOKUP($A45,Seqs!$A:$B,2,FALSE),VLOOKUP($A45,'NonXtal_SegEnds_Prot#'!A:AL,10,FALSE)+9,1)</f>
        <v>F</v>
      </c>
      <c r="W45" s="71" t="str">
        <f>MID(VLOOKUP($A45,Seqs!$A:$B,2,FALSE),VLOOKUP($A45,'NonXtal_SegEnds_Prot#'!$A:$AL,22,FALSE)+6,1)</f>
        <v>M</v>
      </c>
      <c r="X45" s="102" t="str">
        <f>MID(VLOOKUP($A45,Seqs!$A:$B,2,FALSE),VLOOKUP($A45,'NonXtal_SegEnds_Prot#'!$A:$AL,22,FALSE)+7,1)</f>
        <v>C</v>
      </c>
      <c r="Y45" s="102" t="str">
        <f>MID(VLOOKUP($A45,Seqs!$A:$B,2,FALSE),VLOOKUP($A45,'NonXtal_SegEnds_Prot#'!$A:$AL,22,FALSE)+8,1)</f>
        <v>I</v>
      </c>
      <c r="Z45" s="102" t="str">
        <f>MID(VLOOKUP($A45,Seqs!$A:$B,2,FALSE),VLOOKUP($A45,'NonXtal_SegEnds_Prot#'!$A:$AL,22,FALSE)+9,1)</f>
        <v>P</v>
      </c>
      <c r="AA45" s="102" t="str">
        <f>MID(VLOOKUP($A45,Seqs!$A:$B,2,FALSE),VLOOKUP($A45,'NonXtal_SegEnds_Prot#'!$A:$AL,22,FALSE)+10,1)</f>
        <v>V</v>
      </c>
      <c r="AB45" s="71" t="str">
        <f>MID(VLOOKUP($A45,Seqs!$A:$B,2,FALSE),VLOOKUP($A45,'NonXtal_SegEnds_Prot#'!$A:$AL,28,FALSE)-4,1)</f>
        <v>G</v>
      </c>
      <c r="AC45" s="102" t="str">
        <f>MID(VLOOKUP($A45,Seqs!$A:$B,2,FALSE),VLOOKUP($A45,'NonXtal_SegEnds_Prot#'!$A:$AL,28,FALSE),1)</f>
        <v>P</v>
      </c>
    </row>
    <row r="46" spans="1:29" s="2" customFormat="1" x14ac:dyDescent="0.2">
      <c r="A46" s="2" t="s">
        <v>359</v>
      </c>
      <c r="B46" s="2" t="str">
        <f>LOWER(VLOOKUP(A46,Xtal_Templ!A:B,2,FALSE))</f>
        <v>agtr1_human</v>
      </c>
      <c r="C46" s="2" t="str">
        <f>VLOOKUP(A46,Classification!A:D,2,FALSE)</f>
        <v>A</v>
      </c>
      <c r="K46" s="2" t="s">
        <v>59</v>
      </c>
      <c r="N46" s="2" t="s">
        <v>43</v>
      </c>
      <c r="P46" s="4" t="s">
        <v>51</v>
      </c>
      <c r="R46" s="71" t="str">
        <f>MID(VLOOKUP($A46,Seqs!$A:$B,2,FALSE),VLOOKUP($A46,'NonXtal_SegEnds_Prot#'!A:AL,10,FALSE),1)</f>
        <v>D</v>
      </c>
      <c r="S46" s="102" t="str">
        <f>MID(VLOOKUP($A46,Seqs!$A:$B,2,FALSE),VLOOKUP($A46,'NonXtal_SegEnds_Prot#'!A:AL,10,FALSE)+6,1)</f>
        <v>A</v>
      </c>
      <c r="T46" s="102" t="str">
        <f>MID(VLOOKUP($A46,Seqs!$A:$B,2,FALSE),VLOOKUP($A46,'NonXtal_SegEnds_Prot#'!A:AL,10,FALSE)+7,1)</f>
        <v>L</v>
      </c>
      <c r="U46" s="102" t="str">
        <f>MID(VLOOKUP($A46,Seqs!$A:$B,2,FALSE),VLOOKUP($A46,'NonXtal_SegEnds_Prot#'!A:AL,10,FALSE)+8,1)</f>
        <v>P</v>
      </c>
      <c r="V46" s="102" t="str">
        <f>MID(VLOOKUP($A46,Seqs!$A:$B,2,FALSE),VLOOKUP($A46,'NonXtal_SegEnds_Prot#'!A:AL,10,FALSE)+9,1)</f>
        <v>I</v>
      </c>
      <c r="W46" s="71" t="str">
        <f>MID(VLOOKUP($A46,Seqs!$A:$B,2,FALSE),VLOOKUP($A46,'NonXtal_SegEnds_Prot#'!$A:$AL,22,FALSE)+6,1)</f>
        <v>L</v>
      </c>
      <c r="X46" s="102" t="str">
        <f>MID(VLOOKUP($A46,Seqs!$A:$B,2,FALSE),VLOOKUP($A46,'NonXtal_SegEnds_Prot#'!$A:$AL,22,FALSE)+7,1)</f>
        <v>T</v>
      </c>
      <c r="Y46" s="102" t="str">
        <f>MID(VLOOKUP($A46,Seqs!$A:$B,2,FALSE),VLOOKUP($A46,'NonXtal_SegEnds_Prot#'!$A:$AL,22,FALSE)+8,1)</f>
        <v>I</v>
      </c>
      <c r="Z46" s="102" t="str">
        <f>MID(VLOOKUP($A46,Seqs!$A:$B,2,FALSE),VLOOKUP($A46,'NonXtal_SegEnds_Prot#'!$A:$AL,22,FALSE)+9,1)</f>
        <v>P</v>
      </c>
      <c r="AA46" s="102" t="str">
        <f>MID(VLOOKUP($A46,Seqs!$A:$B,2,FALSE),VLOOKUP($A46,'NonXtal_SegEnds_Prot#'!$A:$AL,22,FALSE)+10,1)</f>
        <v>S</v>
      </c>
      <c r="AB46" s="71" t="str">
        <f>MID(VLOOKUP($A46,Seqs!$A:$B,2,FALSE),VLOOKUP($A46,'NonXtal_SegEnds_Prot#'!$A:$AL,28,FALSE)-4,1)</f>
        <v>G</v>
      </c>
      <c r="AC46" s="102" t="str">
        <f>MID(VLOOKUP($A46,Seqs!$A:$B,2,FALSE),VLOOKUP($A46,'NonXtal_SegEnds_Prot#'!$A:$AL,28,FALSE),1)</f>
        <v>P</v>
      </c>
    </row>
    <row r="47" spans="1:29" s="2" customFormat="1" x14ac:dyDescent="0.2">
      <c r="A47" s="2" t="s">
        <v>360</v>
      </c>
      <c r="B47" s="2" t="str">
        <f>LOWER(VLOOKUP(A47,Xtal_Templ!A:B,2,FALSE))</f>
        <v>cxcr4_human</v>
      </c>
      <c r="C47" s="2" t="str">
        <f>VLOOKUP(A47,Classification!A:D,2,FALSE)</f>
        <v>A</v>
      </c>
      <c r="K47" s="2" t="s">
        <v>59</v>
      </c>
      <c r="N47" s="2" t="s">
        <v>43</v>
      </c>
      <c r="P47" s="4" t="s">
        <v>51</v>
      </c>
      <c r="R47" s="71" t="str">
        <f>MID(VLOOKUP($A47,Seqs!$A:$B,2,FALSE),VLOOKUP($A47,'NonXtal_SegEnds_Prot#'!A:AL,10,FALSE),1)</f>
        <v>D</v>
      </c>
      <c r="S47" s="102" t="str">
        <f>MID(VLOOKUP($A47,Seqs!$A:$B,2,FALSE),VLOOKUP($A47,'NonXtal_SegEnds_Prot#'!A:AL,10,FALSE)+6,1)</f>
        <v>S</v>
      </c>
      <c r="T47" s="102" t="str">
        <f>MID(VLOOKUP($A47,Seqs!$A:$B,2,FALSE),VLOOKUP($A47,'NonXtal_SegEnds_Prot#'!A:AL,10,FALSE)+7,1)</f>
        <v>L</v>
      </c>
      <c r="U47" s="102" t="str">
        <f>MID(VLOOKUP($A47,Seqs!$A:$B,2,FALSE),VLOOKUP($A47,'NonXtal_SegEnds_Prot#'!A:AL,10,FALSE)+8,1)</f>
        <v>P</v>
      </c>
      <c r="V47" s="102" t="str">
        <f>MID(VLOOKUP($A47,Seqs!$A:$B,2,FALSE),VLOOKUP($A47,'NonXtal_SegEnds_Prot#'!A:AL,10,FALSE)+9,1)</f>
        <v>I</v>
      </c>
      <c r="W47" s="71" t="str">
        <f>MID(VLOOKUP($A47,Seqs!$A:$B,2,FALSE),VLOOKUP($A47,'NonXtal_SegEnds_Prot#'!$A:$AL,22,FALSE)+6,1)</f>
        <v>L</v>
      </c>
      <c r="X47" s="102" t="str">
        <f>MID(VLOOKUP($A47,Seqs!$A:$B,2,FALSE),VLOOKUP($A47,'NonXtal_SegEnds_Prot#'!$A:$AL,22,FALSE)+7,1)</f>
        <v>T</v>
      </c>
      <c r="Y47" s="102" t="str">
        <f>MID(VLOOKUP($A47,Seqs!$A:$B,2,FALSE),VLOOKUP($A47,'NonXtal_SegEnds_Prot#'!$A:$AL,22,FALSE)+8,1)</f>
        <v>V</v>
      </c>
      <c r="Z47" s="102" t="str">
        <f>MID(VLOOKUP($A47,Seqs!$A:$B,2,FALSE),VLOOKUP($A47,'NonXtal_SegEnds_Prot#'!$A:$AL,22,FALSE)+9,1)</f>
        <v>P</v>
      </c>
      <c r="AA47" s="102" t="str">
        <f>MID(VLOOKUP($A47,Seqs!$A:$B,2,FALSE),VLOOKUP($A47,'NonXtal_SegEnds_Prot#'!$A:$AL,22,FALSE)+10,1)</f>
        <v>S</v>
      </c>
      <c r="AB47" s="71" t="str">
        <f>MID(VLOOKUP($A47,Seqs!$A:$B,2,FALSE),VLOOKUP($A47,'NonXtal_SegEnds_Prot#'!$A:$AL,28,FALSE)-4,1)</f>
        <v>G</v>
      </c>
      <c r="AC47" s="102" t="str">
        <f>MID(VLOOKUP($A47,Seqs!$A:$B,2,FALSE),VLOOKUP($A47,'NonXtal_SegEnds_Prot#'!$A:$AL,28,FALSE),1)</f>
        <v>P</v>
      </c>
    </row>
    <row r="48" spans="1:29" s="2" customFormat="1" x14ac:dyDescent="0.2">
      <c r="A48" s="2" t="s">
        <v>361</v>
      </c>
      <c r="B48" s="2" t="str">
        <f>LOWER(VLOOKUP(A48,Xtal_Templ!A:B,2,FALSE))</f>
        <v>ox2r_human</v>
      </c>
      <c r="C48" s="2" t="str">
        <f>VLOOKUP(A48,Classification!A:D,2,FALSE)</f>
        <v>A</v>
      </c>
      <c r="E48" s="2" t="s">
        <v>20</v>
      </c>
      <c r="N48" s="2" t="s">
        <v>43</v>
      </c>
      <c r="P48" s="4" t="s">
        <v>51</v>
      </c>
      <c r="R48" s="71" t="str">
        <f>MID(VLOOKUP($A48,Seqs!$A:$B,2,FALSE),VLOOKUP($A48,'NonXtal_SegEnds_Prot#'!A:AL,10,FALSE),1)</f>
        <v>D</v>
      </c>
      <c r="S48" s="102" t="str">
        <f>MID(VLOOKUP($A48,Seqs!$A:$B,2,FALSE),VLOOKUP($A48,'NonXtal_SegEnds_Prot#'!A:AL,10,FALSE)+6,1)</f>
        <v>F</v>
      </c>
      <c r="T48" s="102" t="str">
        <f>MID(VLOOKUP($A48,Seqs!$A:$B,2,FALSE),VLOOKUP($A48,'NonXtal_SegEnds_Prot#'!A:AL,10,FALSE)+7,1)</f>
        <v>C</v>
      </c>
      <c r="U48" s="102" t="str">
        <f>MID(VLOOKUP($A48,Seqs!$A:$B,2,FALSE),VLOOKUP($A48,'NonXtal_SegEnds_Prot#'!A:AL,10,FALSE)+8,1)</f>
        <v>M</v>
      </c>
      <c r="V48" s="102" t="str">
        <f>MID(VLOOKUP($A48,Seqs!$A:$B,2,FALSE),VLOOKUP($A48,'NonXtal_SegEnds_Prot#'!A:AL,10,FALSE)+9,1)</f>
        <v>P</v>
      </c>
      <c r="W48" s="71" t="str">
        <f>MID(VLOOKUP($A48,Seqs!$A:$B,2,FALSE),VLOOKUP($A48,'NonXtal_SegEnds_Prot#'!$A:$AL,22,FALSE)+6,1)</f>
        <v>I</v>
      </c>
      <c r="X48" s="102" t="str">
        <f>MID(VLOOKUP($A48,Seqs!$A:$B,2,FALSE),VLOOKUP($A48,'NonXtal_SegEnds_Prot#'!$A:$AL,22,FALSE)+7,1)</f>
        <v>M</v>
      </c>
      <c r="Y48" s="102" t="str">
        <f>MID(VLOOKUP($A48,Seqs!$A:$B,2,FALSE),VLOOKUP($A48,'NonXtal_SegEnds_Prot#'!$A:$AL,22,FALSE)+8,1)</f>
        <v>T</v>
      </c>
      <c r="Z48" s="102" t="str">
        <f>MID(VLOOKUP($A48,Seqs!$A:$B,2,FALSE),VLOOKUP($A48,'NonXtal_SegEnds_Prot#'!$A:$AL,22,FALSE)+9,1)</f>
        <v>P</v>
      </c>
      <c r="AA48" s="102" t="str">
        <f>MID(VLOOKUP($A48,Seqs!$A:$B,2,FALSE),VLOOKUP($A48,'NonXtal_SegEnds_Prot#'!$A:$AL,22,FALSE)+10,1)</f>
        <v>Y</v>
      </c>
      <c r="AB48" s="71" t="str">
        <f>MID(VLOOKUP($A48,Seqs!$A:$B,2,FALSE),VLOOKUP($A48,'NonXtal_SegEnds_Prot#'!$A:$AL,28,FALSE)-4,1)</f>
        <v>L</v>
      </c>
      <c r="AC48" s="102" t="str">
        <f>MID(VLOOKUP($A48,Seqs!$A:$B,2,FALSE),VLOOKUP($A48,'NonXtal_SegEnds_Prot#'!$A:$AL,28,FALSE),1)</f>
        <v>P</v>
      </c>
    </row>
    <row r="49" spans="1:29" s="2" customFormat="1" x14ac:dyDescent="0.2">
      <c r="A49" s="2" t="s">
        <v>362</v>
      </c>
      <c r="B49" s="2" t="str">
        <f>LOWER(VLOOKUP(A49,Xtal_Templ!A:B,2,FALSE))</f>
        <v>ccr5_human</v>
      </c>
      <c r="C49" s="2" t="str">
        <f>VLOOKUP(A49,Classification!A:D,2,FALSE)</f>
        <v>A</v>
      </c>
      <c r="K49" s="2" t="s">
        <v>59</v>
      </c>
      <c r="N49" s="2" t="s">
        <v>43</v>
      </c>
      <c r="P49" s="4" t="s">
        <v>51</v>
      </c>
      <c r="R49" s="71" t="str">
        <f>MID(VLOOKUP($A49,Seqs!$A:$B,2,FALSE),VLOOKUP($A49,'NonXtal_SegEnds_Prot#'!A:AL,10,FALSE),1)</f>
        <v>D</v>
      </c>
      <c r="S49" s="102" t="str">
        <f>MID(VLOOKUP($A49,Seqs!$A:$B,2,FALSE),VLOOKUP($A49,'NonXtal_SegEnds_Prot#'!A:AL,10,FALSE)+6,1)</f>
        <v>T</v>
      </c>
      <c r="T49" s="102" t="str">
        <f>MID(VLOOKUP($A49,Seqs!$A:$B,2,FALSE),VLOOKUP($A49,'NonXtal_SegEnds_Prot#'!A:AL,10,FALSE)+7,1)</f>
        <v>L</v>
      </c>
      <c r="U49" s="102" t="str">
        <f>MID(VLOOKUP($A49,Seqs!$A:$B,2,FALSE),VLOOKUP($A49,'NonXtal_SegEnds_Prot#'!A:AL,10,FALSE)+8,1)</f>
        <v>P</v>
      </c>
      <c r="V49" s="102" t="str">
        <f>MID(VLOOKUP($A49,Seqs!$A:$B,2,FALSE),VLOOKUP($A49,'NonXtal_SegEnds_Prot#'!A:AL,10,FALSE)+9,1)</f>
        <v>F</v>
      </c>
      <c r="W49" s="71" t="str">
        <f>MID(VLOOKUP($A49,Seqs!$A:$B,2,FALSE),VLOOKUP($A49,'NonXtal_SegEnds_Prot#'!$A:$AL,22,FALSE)+6,1)</f>
        <v>A</v>
      </c>
      <c r="X49" s="102" t="str">
        <f>MID(VLOOKUP($A49,Seqs!$A:$B,2,FALSE),VLOOKUP($A49,'NonXtal_SegEnds_Prot#'!$A:$AL,22,FALSE)+7,1)</f>
        <v>S</v>
      </c>
      <c r="Y49" s="102" t="str">
        <f>MID(VLOOKUP($A49,Seqs!$A:$B,2,FALSE),VLOOKUP($A49,'NonXtal_SegEnds_Prot#'!$A:$AL,22,FALSE)+8,1)</f>
        <v>M</v>
      </c>
      <c r="Z49" s="102" t="str">
        <f>MID(VLOOKUP($A49,Seqs!$A:$B,2,FALSE),VLOOKUP($A49,'NonXtal_SegEnds_Prot#'!$A:$AL,22,FALSE)+9,1)</f>
        <v>P</v>
      </c>
      <c r="AA49" s="102" t="str">
        <f>MID(VLOOKUP($A49,Seqs!$A:$B,2,FALSE),VLOOKUP($A49,'NonXtal_SegEnds_Prot#'!$A:$AL,22,FALSE)+10,1)</f>
        <v>G</v>
      </c>
      <c r="AB49" s="71" t="str">
        <f>MID(VLOOKUP($A49,Seqs!$A:$B,2,FALSE),VLOOKUP($A49,'NonXtal_SegEnds_Prot#'!$A:$AL,28,FALSE)-4,1)</f>
        <v>G</v>
      </c>
      <c r="AC49" s="102" t="str">
        <f>MID(VLOOKUP($A49,Seqs!$A:$B,2,FALSE),VLOOKUP($A49,'NonXtal_SegEnds_Prot#'!$A:$AL,28,FALSE),1)</f>
        <v>P</v>
      </c>
    </row>
    <row r="50" spans="1:29" s="2" customFormat="1" x14ac:dyDescent="0.2">
      <c r="A50" s="2" t="s">
        <v>363</v>
      </c>
      <c r="B50" s="2" t="str">
        <f>LOWER(VLOOKUP(A50,Xtal_Templ!A:B,2,FALSE))</f>
        <v>ccr5_human</v>
      </c>
      <c r="C50" s="2" t="str">
        <f>VLOOKUP(A50,Classification!A:D,2,FALSE)</f>
        <v>A</v>
      </c>
      <c r="K50" s="2" t="s">
        <v>59</v>
      </c>
      <c r="N50" s="2" t="s">
        <v>43</v>
      </c>
      <c r="P50" s="4" t="s">
        <v>51</v>
      </c>
      <c r="R50" s="71" t="str">
        <f>MID(VLOOKUP($A50,Seqs!$A:$B,2,FALSE),VLOOKUP($A50,'NonXtal_SegEnds_Prot#'!A:AL,10,FALSE),1)</f>
        <v>D</v>
      </c>
      <c r="S50" s="102" t="str">
        <f>MID(VLOOKUP($A50,Seqs!$A:$B,2,FALSE),VLOOKUP($A50,'NonXtal_SegEnds_Prot#'!A:AL,10,FALSE)+6,1)</f>
        <v>T</v>
      </c>
      <c r="T50" s="102" t="str">
        <f>MID(VLOOKUP($A50,Seqs!$A:$B,2,FALSE),VLOOKUP($A50,'NonXtal_SegEnds_Prot#'!A:AL,10,FALSE)+7,1)</f>
        <v>L</v>
      </c>
      <c r="U50" s="102" t="str">
        <f>MID(VLOOKUP($A50,Seqs!$A:$B,2,FALSE),VLOOKUP($A50,'NonXtal_SegEnds_Prot#'!A:AL,10,FALSE)+8,1)</f>
        <v>P</v>
      </c>
      <c r="V50" s="102" t="str">
        <f>MID(VLOOKUP($A50,Seqs!$A:$B,2,FALSE),VLOOKUP($A50,'NonXtal_SegEnds_Prot#'!A:AL,10,FALSE)+9,1)</f>
        <v>F</v>
      </c>
      <c r="W50" s="71" t="str">
        <f>MID(VLOOKUP($A50,Seqs!$A:$B,2,FALSE),VLOOKUP($A50,'NonXtal_SegEnds_Prot#'!$A:$AL,22,FALSE)+6,1)</f>
        <v>L</v>
      </c>
      <c r="X50" s="102" t="str">
        <f>MID(VLOOKUP($A50,Seqs!$A:$B,2,FALSE),VLOOKUP($A50,'NonXtal_SegEnds_Prot#'!$A:$AL,22,FALSE)+7,1)</f>
        <v>A</v>
      </c>
      <c r="Y50" s="102" t="str">
        <f>MID(VLOOKUP($A50,Seqs!$A:$B,2,FALSE),VLOOKUP($A50,'NonXtal_SegEnds_Prot#'!$A:$AL,22,FALSE)+8,1)</f>
        <v>L</v>
      </c>
      <c r="Z50" s="102" t="str">
        <f>MID(VLOOKUP($A50,Seqs!$A:$B,2,FALSE),VLOOKUP($A50,'NonXtal_SegEnds_Prot#'!$A:$AL,22,FALSE)+9,1)</f>
        <v>P</v>
      </c>
      <c r="AA50" s="102" t="str">
        <f>MID(VLOOKUP($A50,Seqs!$A:$B,2,FALSE),VLOOKUP($A50,'NonXtal_SegEnds_Prot#'!$A:$AL,22,FALSE)+10,1)</f>
        <v>A</v>
      </c>
      <c r="AB50" s="71" t="str">
        <f>MID(VLOOKUP($A50,Seqs!$A:$B,2,FALSE),VLOOKUP($A50,'NonXtal_SegEnds_Prot#'!$A:$AL,28,FALSE)-4,1)</f>
        <v>G</v>
      </c>
      <c r="AC50" s="102" t="str">
        <f>MID(VLOOKUP($A50,Seqs!$A:$B,2,FALSE),VLOOKUP($A50,'NonXtal_SegEnds_Prot#'!$A:$AL,28,FALSE),1)</f>
        <v>P</v>
      </c>
    </row>
    <row r="51" spans="1:29" s="2" customFormat="1" x14ac:dyDescent="0.2">
      <c r="A51" s="2" t="s">
        <v>364</v>
      </c>
      <c r="B51" s="2" t="str">
        <f>LOWER(VLOOKUP(A51,Xtal_Templ!A:B,2,FALSE))</f>
        <v>ccr5_human</v>
      </c>
      <c r="C51" s="2" t="str">
        <f>VLOOKUP(A51,Classification!A:D,2,FALSE)</f>
        <v>A</v>
      </c>
      <c r="K51" s="2" t="s">
        <v>59</v>
      </c>
      <c r="N51" s="2" t="s">
        <v>43</v>
      </c>
      <c r="P51" s="4" t="s">
        <v>51</v>
      </c>
      <c r="R51" s="71" t="str">
        <f>MID(VLOOKUP($A51,Seqs!$A:$B,2,FALSE),VLOOKUP($A51,'NonXtal_SegEnds_Prot#'!A:AL,10,FALSE),1)</f>
        <v>D</v>
      </c>
      <c r="S51" s="102" t="str">
        <f>MID(VLOOKUP($A51,Seqs!$A:$B,2,FALSE),VLOOKUP($A51,'NonXtal_SegEnds_Prot#'!A:AL,10,FALSE)+6,1)</f>
        <v>T</v>
      </c>
      <c r="T51" s="102" t="str">
        <f>MID(VLOOKUP($A51,Seqs!$A:$B,2,FALSE),VLOOKUP($A51,'NonXtal_SegEnds_Prot#'!A:AL,10,FALSE)+7,1)</f>
        <v>L</v>
      </c>
      <c r="U51" s="102" t="str">
        <f>MID(VLOOKUP($A51,Seqs!$A:$B,2,FALSE),VLOOKUP($A51,'NonXtal_SegEnds_Prot#'!A:AL,10,FALSE)+8,1)</f>
        <v>P</v>
      </c>
      <c r="V51" s="102" t="str">
        <f>MID(VLOOKUP($A51,Seqs!$A:$B,2,FALSE),VLOOKUP($A51,'NonXtal_SegEnds_Prot#'!A:AL,10,FALSE)+9,1)</f>
        <v>L</v>
      </c>
      <c r="W51" s="71" t="str">
        <f>MID(VLOOKUP($A51,Seqs!$A:$B,2,FALSE),VLOOKUP($A51,'NonXtal_SegEnds_Prot#'!$A:$AL,22,FALSE)+6,1)</f>
        <v>A</v>
      </c>
      <c r="X51" s="102" t="str">
        <f>MID(VLOOKUP($A51,Seqs!$A:$B,2,FALSE),VLOOKUP($A51,'NonXtal_SegEnds_Prot#'!$A:$AL,22,FALSE)+7,1)</f>
        <v>S</v>
      </c>
      <c r="Y51" s="102" t="str">
        <f>MID(VLOOKUP($A51,Seqs!$A:$B,2,FALSE),VLOOKUP($A51,'NonXtal_SegEnds_Prot#'!$A:$AL,22,FALSE)+8,1)</f>
        <v>V</v>
      </c>
      <c r="Z51" s="102" t="str">
        <f>MID(VLOOKUP($A51,Seqs!$A:$B,2,FALSE),VLOOKUP($A51,'NonXtal_SegEnds_Prot#'!$A:$AL,22,FALSE)+9,1)</f>
        <v>P</v>
      </c>
      <c r="AA51" s="102" t="str">
        <f>MID(VLOOKUP($A51,Seqs!$A:$B,2,FALSE),VLOOKUP($A51,'NonXtal_SegEnds_Prot#'!$A:$AL,22,FALSE)+10,1)</f>
        <v>G</v>
      </c>
      <c r="AB51" s="71" t="str">
        <f>MID(VLOOKUP($A51,Seqs!$A:$B,2,FALSE),VLOOKUP($A51,'NonXtal_SegEnds_Prot#'!$A:$AL,28,FALSE)-4,1)</f>
        <v>G</v>
      </c>
      <c r="AC51" s="102" t="str">
        <f>MID(VLOOKUP($A51,Seqs!$A:$B,2,FALSE),VLOOKUP($A51,'NonXtal_SegEnds_Prot#'!$A:$AL,28,FALSE),1)</f>
        <v>P</v>
      </c>
    </row>
    <row r="52" spans="1:29" s="2" customFormat="1" x14ac:dyDescent="0.2">
      <c r="A52" s="2" t="s">
        <v>365</v>
      </c>
      <c r="B52" s="2" t="str">
        <f>LOWER(VLOOKUP(A52,Xtal_Templ!A:B,2,FALSE))</f>
        <v>ccr5_human</v>
      </c>
      <c r="C52" s="2" t="str">
        <f>VLOOKUP(A52,Classification!A:D,2,FALSE)</f>
        <v>A</v>
      </c>
      <c r="K52" s="2" t="s">
        <v>59</v>
      </c>
      <c r="N52" s="2" t="s">
        <v>43</v>
      </c>
      <c r="P52" s="4" t="s">
        <v>51</v>
      </c>
      <c r="R52" s="71" t="str">
        <f>MID(VLOOKUP($A52,Seqs!$A:$B,2,FALSE),VLOOKUP($A52,'NonXtal_SegEnds_Prot#'!A:AL,10,FALSE),1)</f>
        <v>D</v>
      </c>
      <c r="S52" s="102" t="str">
        <f>MID(VLOOKUP($A52,Seqs!$A:$B,2,FALSE),VLOOKUP($A52,'NonXtal_SegEnds_Prot#'!A:AL,10,FALSE)+6,1)</f>
        <v>T</v>
      </c>
      <c r="T52" s="102" t="str">
        <f>MID(VLOOKUP($A52,Seqs!$A:$B,2,FALSE),VLOOKUP($A52,'NonXtal_SegEnds_Prot#'!A:AL,10,FALSE)+7,1)</f>
        <v>L</v>
      </c>
      <c r="U52" s="102" t="str">
        <f>MID(VLOOKUP($A52,Seqs!$A:$B,2,FALSE),VLOOKUP($A52,'NonXtal_SegEnds_Prot#'!A:AL,10,FALSE)+8,1)</f>
        <v>P</v>
      </c>
      <c r="V52" s="102" t="str">
        <f>MID(VLOOKUP($A52,Seqs!$A:$B,2,FALSE),VLOOKUP($A52,'NonXtal_SegEnds_Prot#'!A:AL,10,FALSE)+9,1)</f>
        <v>F</v>
      </c>
      <c r="W52" s="71" t="str">
        <f>MID(VLOOKUP($A52,Seqs!$A:$B,2,FALSE),VLOOKUP($A52,'NonXtal_SegEnds_Prot#'!$A:$AL,22,FALSE)+6,1)</f>
        <v>A</v>
      </c>
      <c r="X52" s="102" t="str">
        <f>MID(VLOOKUP($A52,Seqs!$A:$B,2,FALSE),VLOOKUP($A52,'NonXtal_SegEnds_Prot#'!$A:$AL,22,FALSE)+7,1)</f>
        <v>A</v>
      </c>
      <c r="Y52" s="102" t="str">
        <f>MID(VLOOKUP($A52,Seqs!$A:$B,2,FALSE),VLOOKUP($A52,'NonXtal_SegEnds_Prot#'!$A:$AL,22,FALSE)+8,1)</f>
        <v>L</v>
      </c>
      <c r="Z52" s="102" t="str">
        <f>MID(VLOOKUP($A52,Seqs!$A:$B,2,FALSE),VLOOKUP($A52,'NonXtal_SegEnds_Prot#'!$A:$AL,22,FALSE)+9,1)</f>
        <v>P</v>
      </c>
      <c r="AA52" s="102" t="str">
        <f>MID(VLOOKUP($A52,Seqs!$A:$B,2,FALSE),VLOOKUP($A52,'NonXtal_SegEnds_Prot#'!$A:$AL,22,FALSE)+10,1)</f>
        <v>E</v>
      </c>
      <c r="AB52" s="71" t="str">
        <f>MID(VLOOKUP($A52,Seqs!$A:$B,2,FALSE),VLOOKUP($A52,'NonXtal_SegEnds_Prot#'!$A:$AL,28,FALSE)-4,1)</f>
        <v>C</v>
      </c>
      <c r="AC52" s="102" t="str">
        <f>MID(VLOOKUP($A52,Seqs!$A:$B,2,FALSE),VLOOKUP($A52,'NonXtal_SegEnds_Prot#'!$A:$AL,28,FALSE),1)</f>
        <v>P</v>
      </c>
    </row>
    <row r="53" spans="1:29" s="2" customFormat="1" x14ac:dyDescent="0.2">
      <c r="A53" s="2" t="s">
        <v>366</v>
      </c>
      <c r="B53" s="2" t="str">
        <f>LOWER(VLOOKUP(A53,Xtal_Templ!A:B,2,FALSE))</f>
        <v>ccr5_human</v>
      </c>
      <c r="C53" s="2" t="str">
        <f>VLOOKUP(A53,Classification!A:D,2,FALSE)</f>
        <v>A</v>
      </c>
      <c r="K53" s="2" t="s">
        <v>59</v>
      </c>
      <c r="N53" s="2" t="s">
        <v>43</v>
      </c>
      <c r="P53" s="4" t="s">
        <v>51</v>
      </c>
      <c r="R53" s="71" t="str">
        <f>MID(VLOOKUP($A53,Seqs!$A:$B,2,FALSE),VLOOKUP($A53,'NonXtal_SegEnds_Prot#'!A:AL,10,FALSE),1)</f>
        <v>D</v>
      </c>
      <c r="S53" s="102" t="str">
        <f>MID(VLOOKUP($A53,Seqs!$A:$B,2,FALSE),VLOOKUP($A53,'NonXtal_SegEnds_Prot#'!A:AL,10,FALSE)+6,1)</f>
        <v>S</v>
      </c>
      <c r="T53" s="102" t="str">
        <f>MID(VLOOKUP($A53,Seqs!$A:$B,2,FALSE),VLOOKUP($A53,'NonXtal_SegEnds_Prot#'!A:AL,10,FALSE)+7,1)</f>
        <v>L</v>
      </c>
      <c r="U53" s="102" t="str">
        <f>MID(VLOOKUP($A53,Seqs!$A:$B,2,FALSE),VLOOKUP($A53,'NonXtal_SegEnds_Prot#'!A:AL,10,FALSE)+8,1)</f>
        <v>P</v>
      </c>
      <c r="V53" s="102" t="str">
        <f>MID(VLOOKUP($A53,Seqs!$A:$B,2,FALSE),VLOOKUP($A53,'NonXtal_SegEnds_Prot#'!A:AL,10,FALSE)+9,1)</f>
        <v>F</v>
      </c>
      <c r="W53" s="71" t="str">
        <f>MID(VLOOKUP($A53,Seqs!$A:$B,2,FALSE),VLOOKUP($A53,'NonXtal_SegEnds_Prot#'!$A:$AL,22,FALSE)+6,1)</f>
        <v>A</v>
      </c>
      <c r="X53" s="102" t="str">
        <f>MID(VLOOKUP($A53,Seqs!$A:$B,2,FALSE),VLOOKUP($A53,'NonXtal_SegEnds_Prot#'!$A:$AL,22,FALSE)+7,1)</f>
        <v>S</v>
      </c>
      <c r="Y53" s="102" t="str">
        <f>MID(VLOOKUP($A53,Seqs!$A:$B,2,FALSE),VLOOKUP($A53,'NonXtal_SegEnds_Prot#'!$A:$AL,22,FALSE)+8,1)</f>
        <v>L</v>
      </c>
      <c r="Z53" s="102" t="str">
        <f>MID(VLOOKUP($A53,Seqs!$A:$B,2,FALSE),VLOOKUP($A53,'NonXtal_SegEnds_Prot#'!$A:$AL,22,FALSE)+9,1)</f>
        <v>P</v>
      </c>
      <c r="AA53" s="102" t="str">
        <f>MID(VLOOKUP($A53,Seqs!$A:$B,2,FALSE),VLOOKUP($A53,'NonXtal_SegEnds_Prot#'!$A:$AL,22,FALSE)+10,1)</f>
        <v>G</v>
      </c>
      <c r="AB53" s="71" t="str">
        <f>MID(VLOOKUP($A53,Seqs!$A:$B,2,FALSE),VLOOKUP($A53,'NonXtal_SegEnds_Prot#'!$A:$AL,28,FALSE)-4,1)</f>
        <v>G</v>
      </c>
      <c r="AC53" s="102" t="str">
        <f>MID(VLOOKUP($A53,Seqs!$A:$B,2,FALSE),VLOOKUP($A53,'NonXtal_SegEnds_Prot#'!$A:$AL,28,FALSE),1)</f>
        <v>P</v>
      </c>
    </row>
    <row r="54" spans="1:29" s="2" customFormat="1" x14ac:dyDescent="0.2">
      <c r="A54" s="2" t="s">
        <v>367</v>
      </c>
      <c r="B54" s="2" t="str">
        <f>LOWER(VLOOKUP(A54,Xtal_Templ!A:B,2,FALSE))</f>
        <v>ccr5_human</v>
      </c>
      <c r="C54" s="2" t="str">
        <f>VLOOKUP(A54,Classification!A:D,2,FALSE)</f>
        <v>A</v>
      </c>
      <c r="K54" s="2" t="s">
        <v>59</v>
      </c>
      <c r="N54" s="2" t="s">
        <v>43</v>
      </c>
      <c r="P54" s="4" t="s">
        <v>51</v>
      </c>
      <c r="R54" s="71" t="str">
        <f>MID(VLOOKUP($A54,Seqs!$A:$B,2,FALSE),VLOOKUP($A54,'NonXtal_SegEnds_Prot#'!A:AL,10,FALSE),1)</f>
        <v>D</v>
      </c>
      <c r="S54" s="102" t="str">
        <f>MID(VLOOKUP($A54,Seqs!$A:$B,2,FALSE),VLOOKUP($A54,'NonXtal_SegEnds_Prot#'!A:AL,10,FALSE)+6,1)</f>
        <v>T</v>
      </c>
      <c r="T54" s="102" t="str">
        <f>MID(VLOOKUP($A54,Seqs!$A:$B,2,FALSE),VLOOKUP($A54,'NonXtal_SegEnds_Prot#'!A:AL,10,FALSE)+7,1)</f>
        <v>V</v>
      </c>
      <c r="U54" s="102" t="str">
        <f>MID(VLOOKUP($A54,Seqs!$A:$B,2,FALSE),VLOOKUP($A54,'NonXtal_SegEnds_Prot#'!A:AL,10,FALSE)+8,1)</f>
        <v>P</v>
      </c>
      <c r="V54" s="102" t="str">
        <f>MID(VLOOKUP($A54,Seqs!$A:$B,2,FALSE),VLOOKUP($A54,'NonXtal_SegEnds_Prot#'!A:AL,10,FALSE)+9,1)</f>
        <v>F</v>
      </c>
      <c r="W54" s="71" t="str">
        <f>MID(VLOOKUP($A54,Seqs!$A:$B,2,FALSE),VLOOKUP($A54,'NonXtal_SegEnds_Prot#'!$A:$AL,22,FALSE)+6,1)</f>
        <v>A</v>
      </c>
      <c r="X54" s="102" t="str">
        <f>MID(VLOOKUP($A54,Seqs!$A:$B,2,FALSE),VLOOKUP($A54,'NonXtal_SegEnds_Prot#'!$A:$AL,22,FALSE)+7,1)</f>
        <v>S</v>
      </c>
      <c r="Y54" s="102" t="str">
        <f>MID(VLOOKUP($A54,Seqs!$A:$B,2,FALSE),VLOOKUP($A54,'NonXtal_SegEnds_Prot#'!$A:$AL,22,FALSE)+8,1)</f>
        <v>L</v>
      </c>
      <c r="Z54" s="102" t="str">
        <f>MID(VLOOKUP($A54,Seqs!$A:$B,2,FALSE),VLOOKUP($A54,'NonXtal_SegEnds_Prot#'!$A:$AL,22,FALSE)+9,1)</f>
        <v>P</v>
      </c>
      <c r="AA54" s="102" t="str">
        <f>MID(VLOOKUP($A54,Seqs!$A:$B,2,FALSE),VLOOKUP($A54,'NonXtal_SegEnds_Prot#'!$A:$AL,22,FALSE)+10,1)</f>
        <v>G</v>
      </c>
      <c r="AB54" s="71" t="str">
        <f>MID(VLOOKUP($A54,Seqs!$A:$B,2,FALSE),VLOOKUP($A54,'NonXtal_SegEnds_Prot#'!$A:$AL,28,FALSE)-4,1)</f>
        <v>G</v>
      </c>
      <c r="AC54" s="102" t="str">
        <f>MID(VLOOKUP($A54,Seqs!$A:$B,2,FALSE),VLOOKUP($A54,'NonXtal_SegEnds_Prot#'!$A:$AL,28,FALSE),1)</f>
        <v>P</v>
      </c>
    </row>
    <row r="55" spans="1:29" s="2" customFormat="1" x14ac:dyDescent="0.2">
      <c r="A55" s="2" t="s">
        <v>368</v>
      </c>
      <c r="B55" s="2" t="str">
        <f>LOWER(VLOOKUP(A55,Xtal_Templ!A:B,2,FALSE))</f>
        <v>ccr5_human</v>
      </c>
      <c r="C55" s="2" t="str">
        <f>VLOOKUP(A55,Classification!A:D,2,FALSE)</f>
        <v>A</v>
      </c>
      <c r="N55" s="2" t="s">
        <v>43</v>
      </c>
      <c r="P55" s="4" t="s">
        <v>51</v>
      </c>
      <c r="R55" s="71" t="str">
        <f>MID(VLOOKUP($A55,Seqs!$A:$B,2,FALSE),VLOOKUP($A55,'NonXtal_SegEnds_Prot#'!A:AL,10,FALSE),1)</f>
        <v>D</v>
      </c>
      <c r="S55" s="102" t="str">
        <f>MID(VLOOKUP($A55,Seqs!$A:$B,2,FALSE),VLOOKUP($A55,'NonXtal_SegEnds_Prot#'!A:AL,10,FALSE)+6,1)</f>
        <v>T</v>
      </c>
      <c r="T55" s="102" t="str">
        <f>MID(VLOOKUP($A55,Seqs!$A:$B,2,FALSE),VLOOKUP($A55,'NonXtal_SegEnds_Prot#'!A:AL,10,FALSE)+7,1)</f>
        <v>L</v>
      </c>
      <c r="U55" s="102" t="str">
        <f>MID(VLOOKUP($A55,Seqs!$A:$B,2,FALSE),VLOOKUP($A55,'NonXtal_SegEnds_Prot#'!A:AL,10,FALSE)+8,1)</f>
        <v>P</v>
      </c>
      <c r="V55" s="102" t="str">
        <f>MID(VLOOKUP($A55,Seqs!$A:$B,2,FALSE),VLOOKUP($A55,'NonXtal_SegEnds_Prot#'!A:AL,10,FALSE)+9,1)</f>
        <v>F</v>
      </c>
      <c r="W55" s="71" t="str">
        <f>MID(VLOOKUP($A55,Seqs!$A:$B,2,FALSE),VLOOKUP($A55,'NonXtal_SegEnds_Prot#'!$A:$AL,22,FALSE)+6,1)</f>
        <v>I</v>
      </c>
      <c r="X55" s="102" t="str">
        <f>MID(VLOOKUP($A55,Seqs!$A:$B,2,FALSE),VLOOKUP($A55,'NonXtal_SegEnds_Prot#'!$A:$AL,22,FALSE)+7,1)</f>
        <v>S</v>
      </c>
      <c r="Y55" s="102" t="str">
        <f>MID(VLOOKUP($A55,Seqs!$A:$B,2,FALSE),VLOOKUP($A55,'NonXtal_SegEnds_Prot#'!$A:$AL,22,FALSE)+8,1)</f>
        <v>S</v>
      </c>
      <c r="Z55" s="102" t="str">
        <f>MID(VLOOKUP($A55,Seqs!$A:$B,2,FALSE),VLOOKUP($A55,'NonXtal_SegEnds_Prot#'!$A:$AL,22,FALSE)+9,1)</f>
        <v>S</v>
      </c>
      <c r="AA55" s="102" t="str">
        <f>MID(VLOOKUP($A55,Seqs!$A:$B,2,FALSE),VLOOKUP($A55,'NonXtal_SegEnds_Prot#'!$A:$AL,22,FALSE)+10,1)</f>
        <v>T</v>
      </c>
      <c r="AB55" s="71" t="str">
        <f>MID(VLOOKUP($A55,Seqs!$A:$B,2,FALSE),VLOOKUP($A55,'NonXtal_SegEnds_Prot#'!$A:$AL,28,FALSE)-4,1)</f>
        <v>G</v>
      </c>
      <c r="AC55" s="102" t="str">
        <f>MID(VLOOKUP($A55,Seqs!$A:$B,2,FALSE),VLOOKUP($A55,'NonXtal_SegEnds_Prot#'!$A:$AL,28,FALSE),1)</f>
        <v>P</v>
      </c>
    </row>
    <row r="56" spans="1:29" s="2" customFormat="1" x14ac:dyDescent="0.2">
      <c r="A56" s="2" t="s">
        <v>369</v>
      </c>
      <c r="B56" s="2" t="str">
        <f>LOWER(VLOOKUP(A56,Xtal_Templ!A:B,2,FALSE))</f>
        <v>ccr5_human</v>
      </c>
      <c r="C56" s="2" t="str">
        <f>VLOOKUP(A56,Classification!A:D,2,FALSE)</f>
        <v>A</v>
      </c>
      <c r="K56" s="2" t="s">
        <v>59</v>
      </c>
      <c r="N56" s="2" t="s">
        <v>43</v>
      </c>
      <c r="P56" s="4" t="s">
        <v>51</v>
      </c>
      <c r="R56" s="71" t="str">
        <f>MID(VLOOKUP($A56,Seqs!$A:$B,2,FALSE),VLOOKUP($A56,'NonXtal_SegEnds_Prot#'!A:AL,10,FALSE),1)</f>
        <v>D</v>
      </c>
      <c r="S56" s="102" t="str">
        <f>MID(VLOOKUP($A56,Seqs!$A:$B,2,FALSE),VLOOKUP($A56,'NonXtal_SegEnds_Prot#'!A:AL,10,FALSE)+6,1)</f>
        <v>T</v>
      </c>
      <c r="T56" s="102" t="str">
        <f>MID(VLOOKUP($A56,Seqs!$A:$B,2,FALSE),VLOOKUP($A56,'NonXtal_SegEnds_Prot#'!A:AL,10,FALSE)+7,1)</f>
        <v>L</v>
      </c>
      <c r="U56" s="102" t="str">
        <f>MID(VLOOKUP($A56,Seqs!$A:$B,2,FALSE),VLOOKUP($A56,'NonXtal_SegEnds_Prot#'!A:AL,10,FALSE)+8,1)</f>
        <v>P</v>
      </c>
      <c r="V56" s="102" t="str">
        <f>MID(VLOOKUP($A56,Seqs!$A:$B,2,FALSE),VLOOKUP($A56,'NonXtal_SegEnds_Prot#'!A:AL,10,FALSE)+9,1)</f>
        <v>F</v>
      </c>
      <c r="W56" s="71" t="str">
        <f>MID(VLOOKUP($A56,Seqs!$A:$B,2,FALSE),VLOOKUP($A56,'NonXtal_SegEnds_Prot#'!$A:$AL,22,FALSE)+6,1)</f>
        <v>L</v>
      </c>
      <c r="X56" s="102" t="str">
        <f>MID(VLOOKUP($A56,Seqs!$A:$B,2,FALSE),VLOOKUP($A56,'NonXtal_SegEnds_Prot#'!$A:$AL,22,FALSE)+7,1)</f>
        <v>S</v>
      </c>
      <c r="Y56" s="102" t="str">
        <f>MID(VLOOKUP($A56,Seqs!$A:$B,2,FALSE),VLOOKUP($A56,'NonXtal_SegEnds_Prot#'!$A:$AL,22,FALSE)+8,1)</f>
        <v>I</v>
      </c>
      <c r="Z56" s="102" t="str">
        <f>MID(VLOOKUP($A56,Seqs!$A:$B,2,FALSE),VLOOKUP($A56,'NonXtal_SegEnds_Prot#'!$A:$AL,22,FALSE)+9,1)</f>
        <v>P</v>
      </c>
      <c r="AA56" s="102" t="str">
        <f>MID(VLOOKUP($A56,Seqs!$A:$B,2,FALSE),VLOOKUP($A56,'NonXtal_SegEnds_Prot#'!$A:$AL,22,FALSE)+10,1)</f>
        <v>E</v>
      </c>
      <c r="AB56" s="71" t="str">
        <f>MID(VLOOKUP($A56,Seqs!$A:$B,2,FALSE),VLOOKUP($A56,'NonXtal_SegEnds_Prot#'!$A:$AL,28,FALSE)-4,1)</f>
        <v>G</v>
      </c>
      <c r="AC56" s="102" t="str">
        <f>MID(VLOOKUP($A56,Seqs!$A:$B,2,FALSE),VLOOKUP($A56,'NonXtal_SegEnds_Prot#'!$A:$AL,28,FALSE),1)</f>
        <v>P</v>
      </c>
    </row>
    <row r="57" spans="1:29" s="2" customFormat="1" x14ac:dyDescent="0.2">
      <c r="A57" s="2" t="s">
        <v>370</v>
      </c>
      <c r="B57" s="2" t="str">
        <f>LOWER(VLOOKUP(A57,Xtal_Templ!A:B,2,FALSE))</f>
        <v>ccr5_human</v>
      </c>
      <c r="C57" s="2" t="str">
        <f>VLOOKUP(A57,Classification!A:D,2,FALSE)</f>
        <v>A</v>
      </c>
      <c r="K57" s="2" t="s">
        <v>59</v>
      </c>
      <c r="N57" s="2" t="s">
        <v>43</v>
      </c>
      <c r="P57" s="4" t="s">
        <v>51</v>
      </c>
      <c r="R57" s="71" t="str">
        <f>MID(VLOOKUP($A57,Seqs!$A:$B,2,FALSE),VLOOKUP($A57,'NonXtal_SegEnds_Prot#'!A:AL,10,FALSE),1)</f>
        <v>D</v>
      </c>
      <c r="S57" s="102" t="str">
        <f>MID(VLOOKUP($A57,Seqs!$A:$B,2,FALSE),VLOOKUP($A57,'NonXtal_SegEnds_Prot#'!A:AL,10,FALSE)+6,1)</f>
        <v>S</v>
      </c>
      <c r="T57" s="102" t="str">
        <f>MID(VLOOKUP($A57,Seqs!$A:$B,2,FALSE),VLOOKUP($A57,'NonXtal_SegEnds_Prot#'!A:AL,10,FALSE)+7,1)</f>
        <v>F</v>
      </c>
      <c r="U57" s="102" t="str">
        <f>MID(VLOOKUP($A57,Seqs!$A:$B,2,FALSE),VLOOKUP($A57,'NonXtal_SegEnds_Prot#'!A:AL,10,FALSE)+8,1)</f>
        <v>P</v>
      </c>
      <c r="V57" s="102" t="str">
        <f>MID(VLOOKUP($A57,Seqs!$A:$B,2,FALSE),VLOOKUP($A57,'NonXtal_SegEnds_Prot#'!A:AL,10,FALSE)+9,1)</f>
        <v>F</v>
      </c>
      <c r="W57" s="71" t="str">
        <f>MID(VLOOKUP($A57,Seqs!$A:$B,2,FALSE),VLOOKUP($A57,'NonXtal_SegEnds_Prot#'!$A:$AL,22,FALSE)+6,1)</f>
        <v>A</v>
      </c>
      <c r="X57" s="102" t="str">
        <f>MID(VLOOKUP($A57,Seqs!$A:$B,2,FALSE),VLOOKUP($A57,'NonXtal_SegEnds_Prot#'!$A:$AL,22,FALSE)+7,1)</f>
        <v>T</v>
      </c>
      <c r="Y57" s="102" t="str">
        <f>MID(VLOOKUP($A57,Seqs!$A:$B,2,FALSE),VLOOKUP($A57,'NonXtal_SegEnds_Prot#'!$A:$AL,22,FALSE)+8,1)</f>
        <v>I</v>
      </c>
      <c r="Z57" s="102" t="str">
        <f>MID(VLOOKUP($A57,Seqs!$A:$B,2,FALSE),VLOOKUP($A57,'NonXtal_SegEnds_Prot#'!$A:$AL,22,FALSE)+9,1)</f>
        <v>P</v>
      </c>
      <c r="AA57" s="102" t="str">
        <f>MID(VLOOKUP($A57,Seqs!$A:$B,2,FALSE),VLOOKUP($A57,'NonXtal_SegEnds_Prot#'!$A:$AL,22,FALSE)+10,1)</f>
        <v>L</v>
      </c>
      <c r="AB57" s="71" t="str">
        <f>MID(VLOOKUP($A57,Seqs!$A:$B,2,FALSE),VLOOKUP($A57,'NonXtal_SegEnds_Prot#'!$A:$AL,28,FALSE)-4,1)</f>
        <v>G</v>
      </c>
      <c r="AC57" s="102" t="str">
        <f>MID(VLOOKUP($A57,Seqs!$A:$B,2,FALSE),VLOOKUP($A57,'NonXtal_SegEnds_Prot#'!$A:$AL,28,FALSE),1)</f>
        <v>P</v>
      </c>
    </row>
    <row r="58" spans="1:29" s="2" customFormat="1" x14ac:dyDescent="0.2">
      <c r="A58" s="2" t="s">
        <v>371</v>
      </c>
      <c r="B58" s="2" t="str">
        <f>LOWER(VLOOKUP(A58,Xtal_Templ!A:B,2,FALSE))</f>
        <v>ccr5_human</v>
      </c>
      <c r="C58" s="2" t="str">
        <f>VLOOKUP(A58,Classification!A:D,2,FALSE)</f>
        <v>A</v>
      </c>
      <c r="K58" s="2" t="s">
        <v>59</v>
      </c>
      <c r="N58" s="2" t="s">
        <v>43</v>
      </c>
      <c r="P58" s="4" t="s">
        <v>51</v>
      </c>
      <c r="R58" s="71" t="str">
        <f>MID(VLOOKUP($A58,Seqs!$A:$B,2,FALSE),VLOOKUP($A58,'NonXtal_SegEnds_Prot#'!A:AL,10,FALSE),1)</f>
        <v>D</v>
      </c>
      <c r="S58" s="102" t="str">
        <f>MID(VLOOKUP($A58,Seqs!$A:$B,2,FALSE),VLOOKUP($A58,'NonXtal_SegEnds_Prot#'!A:AL,10,FALSE)+6,1)</f>
        <v>T</v>
      </c>
      <c r="T58" s="102" t="str">
        <f>MID(VLOOKUP($A58,Seqs!$A:$B,2,FALSE),VLOOKUP($A58,'NonXtal_SegEnds_Prot#'!A:AL,10,FALSE)+7,1)</f>
        <v>L</v>
      </c>
      <c r="U58" s="102" t="str">
        <f>MID(VLOOKUP($A58,Seqs!$A:$B,2,FALSE),VLOOKUP($A58,'NonXtal_SegEnds_Prot#'!A:AL,10,FALSE)+8,1)</f>
        <v>P</v>
      </c>
      <c r="V58" s="102" t="str">
        <f>MID(VLOOKUP($A58,Seqs!$A:$B,2,FALSE),VLOOKUP($A58,'NonXtal_SegEnds_Prot#'!A:AL,10,FALSE)+9,1)</f>
        <v>F</v>
      </c>
      <c r="W58" s="71" t="str">
        <f>MID(VLOOKUP($A58,Seqs!$A:$B,2,FALSE),VLOOKUP($A58,'NonXtal_SegEnds_Prot#'!$A:$AL,22,FALSE)+6,1)</f>
        <v>L</v>
      </c>
      <c r="X58" s="102" t="str">
        <f>MID(VLOOKUP($A58,Seqs!$A:$B,2,FALSE),VLOOKUP($A58,'NonXtal_SegEnds_Prot#'!$A:$AL,22,FALSE)+7,1)</f>
        <v>C</v>
      </c>
      <c r="Y58" s="102" t="str">
        <f>MID(VLOOKUP($A58,Seqs!$A:$B,2,FALSE),VLOOKUP($A58,'NonXtal_SegEnds_Prot#'!$A:$AL,22,FALSE)+8,1)</f>
        <v>I</v>
      </c>
      <c r="Z58" s="102" t="str">
        <f>MID(VLOOKUP($A58,Seqs!$A:$B,2,FALSE),VLOOKUP($A58,'NonXtal_SegEnds_Prot#'!$A:$AL,22,FALSE)+9,1)</f>
        <v>P</v>
      </c>
      <c r="AA58" s="102" t="str">
        <f>MID(VLOOKUP($A58,Seqs!$A:$B,2,FALSE),VLOOKUP($A58,'NonXtal_SegEnds_Prot#'!$A:$AL,22,FALSE)+10,1)</f>
        <v>E</v>
      </c>
      <c r="AB58" s="71" t="str">
        <f>MID(VLOOKUP($A58,Seqs!$A:$B,2,FALSE),VLOOKUP($A58,'NonXtal_SegEnds_Prot#'!$A:$AL,28,FALSE)-4,1)</f>
        <v>G</v>
      </c>
      <c r="AC58" s="102" t="str">
        <f>MID(VLOOKUP($A58,Seqs!$A:$B,2,FALSE),VLOOKUP($A58,'NonXtal_SegEnds_Prot#'!$A:$AL,28,FALSE),1)</f>
        <v>P</v>
      </c>
    </row>
    <row r="59" spans="1:29" s="2" customFormat="1" x14ac:dyDescent="0.2">
      <c r="A59" s="2" t="s">
        <v>372</v>
      </c>
      <c r="B59" s="2" t="str">
        <f>LOWER(VLOOKUP(A59,Xtal_Templ!A:B,2,FALSE))</f>
        <v>ccr5_human</v>
      </c>
      <c r="C59" s="2" t="str">
        <f>VLOOKUP(A59,Classification!A:D,2,FALSE)</f>
        <v>A</v>
      </c>
      <c r="K59" s="2" t="s">
        <v>59</v>
      </c>
      <c r="N59" s="2" t="s">
        <v>43</v>
      </c>
      <c r="P59" s="4" t="s">
        <v>51</v>
      </c>
      <c r="R59" s="71" t="str">
        <f>MID(VLOOKUP($A59,Seqs!$A:$B,2,FALSE),VLOOKUP($A59,'NonXtal_SegEnds_Prot#'!A:AL,10,FALSE),1)</f>
        <v>N</v>
      </c>
      <c r="S59" s="102" t="str">
        <f>MID(VLOOKUP($A59,Seqs!$A:$B,2,FALSE),VLOOKUP($A59,'NonXtal_SegEnds_Prot#'!A:AL,10,FALSE)+6,1)</f>
        <v>T</v>
      </c>
      <c r="T59" s="102" t="str">
        <f>MID(VLOOKUP($A59,Seqs!$A:$B,2,FALSE),VLOOKUP($A59,'NonXtal_SegEnds_Prot#'!A:AL,10,FALSE)+7,1)</f>
        <v>L</v>
      </c>
      <c r="U59" s="102" t="str">
        <f>MID(VLOOKUP($A59,Seqs!$A:$B,2,FALSE),VLOOKUP($A59,'NonXtal_SegEnds_Prot#'!A:AL,10,FALSE)+8,1)</f>
        <v>P</v>
      </c>
      <c r="V59" s="102" t="str">
        <f>MID(VLOOKUP($A59,Seqs!$A:$B,2,FALSE),VLOOKUP($A59,'NonXtal_SegEnds_Prot#'!A:AL,10,FALSE)+9,1)</f>
        <v>F</v>
      </c>
      <c r="W59" s="71" t="str">
        <f>MID(VLOOKUP($A59,Seqs!$A:$B,2,FALSE),VLOOKUP($A59,'NonXtal_SegEnds_Prot#'!$A:$AL,22,FALSE)+6,1)</f>
        <v>A</v>
      </c>
      <c r="X59" s="102" t="str">
        <f>MID(VLOOKUP($A59,Seqs!$A:$B,2,FALSE),VLOOKUP($A59,'NonXtal_SegEnds_Prot#'!$A:$AL,22,FALSE)+7,1)</f>
        <v>T</v>
      </c>
      <c r="Y59" s="102" t="str">
        <f>MID(VLOOKUP($A59,Seqs!$A:$B,2,FALSE),VLOOKUP($A59,'NonXtal_SegEnds_Prot#'!$A:$AL,22,FALSE)+8,1)</f>
        <v>L</v>
      </c>
      <c r="Z59" s="102" t="str">
        <f>MID(VLOOKUP($A59,Seqs!$A:$B,2,FALSE),VLOOKUP($A59,'NonXtal_SegEnds_Prot#'!$A:$AL,22,FALSE)+9,1)</f>
        <v>P</v>
      </c>
      <c r="AA59" s="102" t="str">
        <f>MID(VLOOKUP($A59,Seqs!$A:$B,2,FALSE),VLOOKUP($A59,'NonXtal_SegEnds_Prot#'!$A:$AL,22,FALSE)+10,1)</f>
        <v>E</v>
      </c>
      <c r="AB59" s="71" t="str">
        <f>MID(VLOOKUP($A59,Seqs!$A:$B,2,FALSE),VLOOKUP($A59,'NonXtal_SegEnds_Prot#'!$A:$AL,28,FALSE)-4,1)</f>
        <v>V</v>
      </c>
      <c r="AC59" s="102" t="str">
        <f>MID(VLOOKUP($A59,Seqs!$A:$B,2,FALSE),VLOOKUP($A59,'NonXtal_SegEnds_Prot#'!$A:$AL,28,FALSE),1)</f>
        <v>P</v>
      </c>
    </row>
    <row r="60" spans="1:29" s="2" customFormat="1" x14ac:dyDescent="0.2">
      <c r="A60" s="2" t="s">
        <v>373</v>
      </c>
      <c r="B60" s="2" t="str">
        <f>LOWER(VLOOKUP(A60,Xtal_Templ!A:B,2,FALSE))</f>
        <v>p2ry1_human</v>
      </c>
      <c r="C60" s="2" t="str">
        <f>VLOOKUP(A60,Classification!A:D,2,FALSE)</f>
        <v>A</v>
      </c>
      <c r="N60" s="2" t="s">
        <v>43</v>
      </c>
      <c r="P60" s="4" t="s">
        <v>51</v>
      </c>
      <c r="R60" s="71" t="str">
        <f>MID(VLOOKUP($A60,Seqs!$A:$B,2,FALSE),VLOOKUP($A60,'NonXtal_SegEnds_Prot#'!A:AL,10,FALSE),1)</f>
        <v>D</v>
      </c>
      <c r="S60" s="102" t="str">
        <f>MID(VLOOKUP($A60,Seqs!$A:$B,2,FALSE),VLOOKUP($A60,'NonXtal_SegEnds_Prot#'!A:AL,10,FALSE)+6,1)</f>
        <v>T</v>
      </c>
      <c r="T60" s="102" t="str">
        <f>MID(VLOOKUP($A60,Seqs!$A:$B,2,FALSE),VLOOKUP($A60,'NonXtal_SegEnds_Prot#'!A:AL,10,FALSE)+7,1)</f>
        <v>L</v>
      </c>
      <c r="U60" s="102" t="str">
        <f>MID(VLOOKUP($A60,Seqs!$A:$B,2,FALSE),VLOOKUP($A60,'NonXtal_SegEnds_Prot#'!A:AL,10,FALSE)+8,1)</f>
        <v>P</v>
      </c>
      <c r="V60" s="102" t="str">
        <f>MID(VLOOKUP($A60,Seqs!$A:$B,2,FALSE),VLOOKUP($A60,'NonXtal_SegEnds_Prot#'!A:AL,10,FALSE)+9,1)</f>
        <v>L</v>
      </c>
      <c r="W60" s="71" t="str">
        <f>MID(VLOOKUP($A60,Seqs!$A:$B,2,FALSE),VLOOKUP($A60,'NonXtal_SegEnds_Prot#'!$A:$AL,22,FALSE)+6,1)</f>
        <v>T</v>
      </c>
      <c r="X60" s="102" t="str">
        <f>MID(VLOOKUP($A60,Seqs!$A:$B,2,FALSE),VLOOKUP($A60,'NonXtal_SegEnds_Prot#'!$A:$AL,22,FALSE)+7,1)</f>
        <v>S</v>
      </c>
      <c r="Y60" s="102" t="str">
        <f>MID(VLOOKUP($A60,Seqs!$A:$B,2,FALSE),VLOOKUP($A60,'NonXtal_SegEnds_Prot#'!$A:$AL,22,FALSE)+8,1)</f>
        <v>S</v>
      </c>
      <c r="Z60" s="102" t="str">
        <f>MID(VLOOKUP($A60,Seqs!$A:$B,2,FALSE),VLOOKUP($A60,'NonXtal_SegEnds_Prot#'!$A:$AL,22,FALSE)+9,1)</f>
        <v>P</v>
      </c>
      <c r="AA60" s="102" t="str">
        <f>MID(VLOOKUP($A60,Seqs!$A:$B,2,FALSE),VLOOKUP($A60,'NonXtal_SegEnds_Prot#'!$A:$AL,22,FALSE)+10,1)</f>
        <v>F</v>
      </c>
      <c r="AB60" s="71" t="str">
        <f>MID(VLOOKUP($A60,Seqs!$A:$B,2,FALSE),VLOOKUP($A60,'NonXtal_SegEnds_Prot#'!$A:$AL,28,FALSE)-4,1)</f>
        <v>G</v>
      </c>
      <c r="AC60" s="102" t="str">
        <f>MID(VLOOKUP($A60,Seqs!$A:$B,2,FALSE),VLOOKUP($A60,'NonXtal_SegEnds_Prot#'!$A:$AL,28,FALSE),1)</f>
        <v>P</v>
      </c>
    </row>
    <row r="61" spans="1:29" s="2" customFormat="1" x14ac:dyDescent="0.2">
      <c r="A61" s="2" t="s">
        <v>374</v>
      </c>
      <c r="B61" s="2" t="str">
        <f>LOWER(VLOOKUP(A61,Xtal_Templ!A:B,2,FALSE))</f>
        <v>p2ry1_human</v>
      </c>
      <c r="C61" s="2" t="str">
        <f>VLOOKUP(A61,Classification!A:D,2,FALSE)</f>
        <v>A</v>
      </c>
      <c r="N61" s="2" t="s">
        <v>43</v>
      </c>
      <c r="P61" s="4" t="s">
        <v>51</v>
      </c>
      <c r="R61" s="71" t="str">
        <f>MID(VLOOKUP($A61,Seqs!$A:$B,2,FALSE),VLOOKUP($A61,'NonXtal_SegEnds_Prot#'!A:AL,10,FALSE),1)</f>
        <v>D</v>
      </c>
      <c r="S61" s="102" t="str">
        <f>MID(VLOOKUP($A61,Seqs!$A:$B,2,FALSE),VLOOKUP($A61,'NonXtal_SegEnds_Prot#'!A:AL,10,FALSE)+6,1)</f>
        <v>T</v>
      </c>
      <c r="T61" s="102" t="str">
        <f>MID(VLOOKUP($A61,Seqs!$A:$B,2,FALSE),VLOOKUP($A61,'NonXtal_SegEnds_Prot#'!A:AL,10,FALSE)+7,1)</f>
        <v>L</v>
      </c>
      <c r="U61" s="102" t="str">
        <f>MID(VLOOKUP($A61,Seqs!$A:$B,2,FALSE),VLOOKUP($A61,'NonXtal_SegEnds_Prot#'!A:AL,10,FALSE)+8,1)</f>
        <v>P</v>
      </c>
      <c r="V61" s="102" t="str">
        <f>MID(VLOOKUP($A61,Seqs!$A:$B,2,FALSE),VLOOKUP($A61,'NonXtal_SegEnds_Prot#'!A:AL,10,FALSE)+9,1)</f>
        <v>F</v>
      </c>
      <c r="W61" s="71" t="str">
        <f>MID(VLOOKUP($A61,Seqs!$A:$B,2,FALSE),VLOOKUP($A61,'NonXtal_SegEnds_Prot#'!$A:$AL,22,FALSE)+6,1)</f>
        <v>S</v>
      </c>
      <c r="X61" s="102" t="str">
        <f>MID(VLOOKUP($A61,Seqs!$A:$B,2,FALSE),VLOOKUP($A61,'NonXtal_SegEnds_Prot#'!$A:$AL,22,FALSE)+7,1)</f>
        <v>S</v>
      </c>
      <c r="Y61" s="102" t="str">
        <f>MID(VLOOKUP($A61,Seqs!$A:$B,2,FALSE),VLOOKUP($A61,'NonXtal_SegEnds_Prot#'!$A:$AL,22,FALSE)+8,1)</f>
        <v>I</v>
      </c>
      <c r="Z61" s="102" t="str">
        <f>MID(VLOOKUP($A61,Seqs!$A:$B,2,FALSE),VLOOKUP($A61,'NonXtal_SegEnds_Prot#'!$A:$AL,22,FALSE)+9,1)</f>
        <v>M</v>
      </c>
      <c r="AA61" s="102" t="str">
        <f>MID(VLOOKUP($A61,Seqs!$A:$B,2,FALSE),VLOOKUP($A61,'NonXtal_SegEnds_Prot#'!$A:$AL,22,FALSE)+10,1)</f>
        <v>L</v>
      </c>
      <c r="AB61" s="71" t="str">
        <f>MID(VLOOKUP($A61,Seqs!$A:$B,2,FALSE),VLOOKUP($A61,'NonXtal_SegEnds_Prot#'!$A:$AL,28,FALSE)-4,1)</f>
        <v>G</v>
      </c>
      <c r="AC61" s="102" t="str">
        <f>MID(VLOOKUP($A61,Seqs!$A:$B,2,FALSE),VLOOKUP($A61,'NonXtal_SegEnds_Prot#'!$A:$AL,28,FALSE),1)</f>
        <v>P</v>
      </c>
    </row>
    <row r="62" spans="1:29" s="2" customFormat="1" x14ac:dyDescent="0.2">
      <c r="A62" s="2" t="s">
        <v>375</v>
      </c>
      <c r="B62" s="2" t="str">
        <f>LOWER(VLOOKUP(A62,Xtal_Templ!A:B,2,FALSE))</f>
        <v>agtr1_human</v>
      </c>
      <c r="C62" s="2" t="str">
        <f>VLOOKUP(A62,Classification!A:D,2,FALSE)</f>
        <v>A</v>
      </c>
      <c r="N62" s="2" t="s">
        <v>43</v>
      </c>
      <c r="P62" s="4" t="s">
        <v>51</v>
      </c>
      <c r="R62" s="71" t="str">
        <f>MID(VLOOKUP($A62,Seqs!$A:$B,2,FALSE),VLOOKUP($A62,'NonXtal_SegEnds_Prot#'!A:AL,10,FALSE),1)</f>
        <v>D</v>
      </c>
      <c r="S62" s="102" t="str">
        <f>MID(VLOOKUP($A62,Seqs!$A:$B,2,FALSE),VLOOKUP($A62,'NonXtal_SegEnds_Prot#'!A:AL,10,FALSE)+6,1)</f>
        <v>F</v>
      </c>
      <c r="T62" s="102" t="str">
        <f>MID(VLOOKUP($A62,Seqs!$A:$B,2,FALSE),VLOOKUP($A62,'NonXtal_SegEnds_Prot#'!A:AL,10,FALSE)+7,1)</f>
        <v>L</v>
      </c>
      <c r="U62" s="102" t="str">
        <f>MID(VLOOKUP($A62,Seqs!$A:$B,2,FALSE),VLOOKUP($A62,'NonXtal_SegEnds_Prot#'!A:AL,10,FALSE)+8,1)</f>
        <v>P</v>
      </c>
      <c r="V62" s="102" t="str">
        <f>MID(VLOOKUP($A62,Seqs!$A:$B,2,FALSE),VLOOKUP($A62,'NonXtal_SegEnds_Prot#'!A:AL,10,FALSE)+9,1)</f>
        <v>I</v>
      </c>
      <c r="W62" s="71" t="str">
        <f>MID(VLOOKUP($A62,Seqs!$A:$B,2,FALSE),VLOOKUP($A62,'NonXtal_SegEnds_Prot#'!$A:$AL,22,FALSE)+6,1)</f>
        <v>L</v>
      </c>
      <c r="X62" s="102" t="str">
        <f>MID(VLOOKUP($A62,Seqs!$A:$B,2,FALSE),VLOOKUP($A62,'NonXtal_SegEnds_Prot#'!$A:$AL,22,FALSE)+7,1)</f>
        <v>S</v>
      </c>
      <c r="Y62" s="102" t="str">
        <f>MID(VLOOKUP($A62,Seqs!$A:$B,2,FALSE),VLOOKUP($A62,'NonXtal_SegEnds_Prot#'!$A:$AL,22,FALSE)+8,1)</f>
        <v>S</v>
      </c>
      <c r="Z62" s="102" t="str">
        <f>MID(VLOOKUP($A62,Seqs!$A:$B,2,FALSE),VLOOKUP($A62,'NonXtal_SegEnds_Prot#'!$A:$AL,22,FALSE)+9,1)</f>
        <v>P</v>
      </c>
      <c r="AA62" s="102" t="str">
        <f>MID(VLOOKUP($A62,Seqs!$A:$B,2,FALSE),VLOOKUP($A62,'NonXtal_SegEnds_Prot#'!$A:$AL,22,FALSE)+10,1)</f>
        <v>S</v>
      </c>
      <c r="AB62" s="71" t="str">
        <f>MID(VLOOKUP($A62,Seqs!$A:$B,2,FALSE),VLOOKUP($A62,'NonXtal_SegEnds_Prot#'!$A:$AL,28,FALSE)-4,1)</f>
        <v>G</v>
      </c>
      <c r="AC62" s="102" t="str">
        <f>MID(VLOOKUP($A62,Seqs!$A:$B,2,FALSE),VLOOKUP($A62,'NonXtal_SegEnds_Prot#'!$A:$AL,28,FALSE),1)</f>
        <v>P</v>
      </c>
    </row>
    <row r="63" spans="1:29" s="2" customFormat="1" x14ac:dyDescent="0.2">
      <c r="A63" s="2" t="s">
        <v>376</v>
      </c>
      <c r="B63" s="2" t="str">
        <f>LOWER(VLOOKUP(A63,Xtal_Templ!A:B,2,FALSE))</f>
        <v>lpar1_human</v>
      </c>
      <c r="C63" s="2" t="str">
        <f>VLOOKUP(A63,Classification!A:D,2,FALSE)</f>
        <v>A</v>
      </c>
      <c r="P63" s="4" t="s">
        <v>51</v>
      </c>
      <c r="R63" s="71" t="str">
        <f>MID(VLOOKUP($A63,Seqs!$A:$B,2,FALSE),VLOOKUP($A63,'NonXtal_SegEnds_Prot#'!A:AL,10,FALSE),1)</f>
        <v>D</v>
      </c>
      <c r="S63" s="102" t="str">
        <f>MID(VLOOKUP($A63,Seqs!$A:$B,2,FALSE),VLOOKUP($A63,'NonXtal_SegEnds_Prot#'!A:AL,10,FALSE)+6,1)</f>
        <v>I</v>
      </c>
      <c r="T63" s="102" t="str">
        <f>MID(VLOOKUP($A63,Seqs!$A:$B,2,FALSE),VLOOKUP($A63,'NonXtal_SegEnds_Prot#'!A:AL,10,FALSE)+7,1)</f>
        <v>F</v>
      </c>
      <c r="U63" s="102" t="str">
        <f>MID(VLOOKUP($A63,Seqs!$A:$B,2,FALSE),VLOOKUP($A63,'NonXtal_SegEnds_Prot#'!A:AL,10,FALSE)+8,1)</f>
        <v>V</v>
      </c>
      <c r="V63" s="102" t="str">
        <f>MID(VLOOKUP($A63,Seqs!$A:$B,2,FALSE),VLOOKUP($A63,'NonXtal_SegEnds_Prot#'!A:AL,10,FALSE)+9,1)</f>
        <v>Y</v>
      </c>
      <c r="W63" s="71" t="str">
        <f>MID(VLOOKUP($A63,Seqs!$A:$B,2,FALSE),VLOOKUP($A63,'NonXtal_SegEnds_Prot#'!$A:$AL,22,FALSE)+6,1)</f>
        <v>I</v>
      </c>
      <c r="X63" s="102" t="str">
        <f>MID(VLOOKUP($A63,Seqs!$A:$B,2,FALSE),VLOOKUP($A63,'NonXtal_SegEnds_Prot#'!$A:$AL,22,FALSE)+7,1)</f>
        <v>A</v>
      </c>
      <c r="Y63" s="102" t="str">
        <f>MID(VLOOKUP($A63,Seqs!$A:$B,2,FALSE),VLOOKUP($A63,'NonXtal_SegEnds_Prot#'!$A:$AL,22,FALSE)+8,1)</f>
        <v>V</v>
      </c>
      <c r="Z63" s="102" t="str">
        <f>MID(VLOOKUP($A63,Seqs!$A:$B,2,FALSE),VLOOKUP($A63,'NonXtal_SegEnds_Prot#'!$A:$AL,22,FALSE)+9,1)</f>
        <v>L</v>
      </c>
      <c r="AA63" s="102" t="str">
        <f>MID(VLOOKUP($A63,Seqs!$A:$B,2,FALSE),VLOOKUP($A63,'NonXtal_SegEnds_Prot#'!$A:$AL,22,FALSE)+10,1)</f>
        <v>P</v>
      </c>
      <c r="AB63" s="71" t="str">
        <f>MID(VLOOKUP($A63,Seqs!$A:$B,2,FALSE),VLOOKUP($A63,'NonXtal_SegEnds_Prot#'!$A:$AL,28,FALSE)-4,1)</f>
        <v>V</v>
      </c>
      <c r="AC63" s="102" t="str">
        <f>MID(VLOOKUP($A63,Seqs!$A:$B,2,FALSE),VLOOKUP($A63,'NonXtal_SegEnds_Prot#'!$A:$AL,28,FALSE),1)</f>
        <v>L</v>
      </c>
    </row>
    <row r="64" spans="1:29" s="2" customFormat="1" x14ac:dyDescent="0.2">
      <c r="A64" s="2" t="s">
        <v>377</v>
      </c>
      <c r="B64" s="2" t="str">
        <f>LOWER(VLOOKUP(A64,Xtal_Templ!A:B,2,FALSE))</f>
        <v>lpar1_human</v>
      </c>
      <c r="C64" s="2" t="str">
        <f>VLOOKUP(A64,Classification!A:D,2,FALSE)</f>
        <v>A</v>
      </c>
      <c r="P64" s="4" t="s">
        <v>51</v>
      </c>
      <c r="R64" s="71" t="str">
        <f>MID(VLOOKUP($A64,Seqs!$A:$B,2,FALSE),VLOOKUP($A64,'NonXtal_SegEnds_Prot#'!A:AL,10,FALSE),1)</f>
        <v>D</v>
      </c>
      <c r="S64" s="102" t="str">
        <f>MID(VLOOKUP($A64,Seqs!$A:$B,2,FALSE),VLOOKUP($A64,'NonXtal_SegEnds_Prot#'!A:AL,10,FALSE)+6,1)</f>
        <v>V</v>
      </c>
      <c r="T64" s="102" t="str">
        <f>MID(VLOOKUP($A64,Seqs!$A:$B,2,FALSE),VLOOKUP($A64,'NonXtal_SegEnds_Prot#'!A:AL,10,FALSE)+7,1)</f>
        <v>F</v>
      </c>
      <c r="U64" s="102" t="str">
        <f>MID(VLOOKUP($A64,Seqs!$A:$B,2,FALSE),VLOOKUP($A64,'NonXtal_SegEnds_Prot#'!A:AL,10,FALSE)+8,1)</f>
        <v>A</v>
      </c>
      <c r="V64" s="102" t="str">
        <f>MID(VLOOKUP($A64,Seqs!$A:$B,2,FALSE),VLOOKUP($A64,'NonXtal_SegEnds_Prot#'!A:AL,10,FALSE)+9,1)</f>
        <v>C</v>
      </c>
      <c r="W64" s="71" t="str">
        <f>MID(VLOOKUP($A64,Seqs!$A:$B,2,FALSE),VLOOKUP($A64,'NonXtal_SegEnds_Prot#'!$A:$AL,22,FALSE)+6,1)</f>
        <v>V</v>
      </c>
      <c r="X64" s="102" t="str">
        <f>MID(VLOOKUP($A64,Seqs!$A:$B,2,FALSE),VLOOKUP($A64,'NonXtal_SegEnds_Prot#'!$A:$AL,22,FALSE)+7,1)</f>
        <v>S</v>
      </c>
      <c r="Y64" s="102" t="str">
        <f>MID(VLOOKUP($A64,Seqs!$A:$B,2,FALSE),VLOOKUP($A64,'NonXtal_SegEnds_Prot#'!$A:$AL,22,FALSE)+8,1)</f>
        <v>Y</v>
      </c>
      <c r="Z64" s="102" t="str">
        <f>MID(VLOOKUP($A64,Seqs!$A:$B,2,FALSE),VLOOKUP($A64,'NonXtal_SegEnds_Prot#'!$A:$AL,22,FALSE)+9,1)</f>
        <v>L</v>
      </c>
      <c r="AA64" s="102" t="str">
        <f>MID(VLOOKUP($A64,Seqs!$A:$B,2,FALSE),VLOOKUP($A64,'NonXtal_SegEnds_Prot#'!$A:$AL,22,FALSE)+10,1)</f>
        <v>P</v>
      </c>
      <c r="AB64" s="71" t="str">
        <f>MID(VLOOKUP($A64,Seqs!$A:$B,2,FALSE),VLOOKUP($A64,'NonXtal_SegEnds_Prot#'!$A:$AL,28,FALSE)-4,1)</f>
        <v>F</v>
      </c>
      <c r="AC64" s="102" t="str">
        <f>MID(VLOOKUP($A64,Seqs!$A:$B,2,FALSE),VLOOKUP($A64,'NonXtal_SegEnds_Prot#'!$A:$AL,28,FALSE),1)</f>
        <v>L</v>
      </c>
    </row>
    <row r="65" spans="1:29" s="2" customFormat="1" x14ac:dyDescent="0.2">
      <c r="A65" s="2" t="s">
        <v>378</v>
      </c>
      <c r="B65" s="2" t="str">
        <f>LOWER(VLOOKUP(A65,Xtal_Templ!A:B,2,FALSE))</f>
        <v>ccr5_human</v>
      </c>
      <c r="C65" s="2" t="str">
        <f>VLOOKUP(A65,Classification!A:D,2,FALSE)</f>
        <v>A</v>
      </c>
      <c r="K65" s="2" t="s">
        <v>59</v>
      </c>
      <c r="N65" s="2" t="s">
        <v>43</v>
      </c>
      <c r="P65" s="4" t="s">
        <v>51</v>
      </c>
      <c r="R65" s="71" t="str">
        <f>MID(VLOOKUP($A65,Seqs!$A:$B,2,FALSE),VLOOKUP($A65,'NonXtal_SegEnds_Prot#'!A:AL,10,FALSE),1)</f>
        <v>D</v>
      </c>
      <c r="S65" s="102" t="str">
        <f>MID(VLOOKUP($A65,Seqs!$A:$B,2,FALSE),VLOOKUP($A65,'NonXtal_SegEnds_Prot#'!A:AL,10,FALSE)+6,1)</f>
        <v>T</v>
      </c>
      <c r="T65" s="102" t="str">
        <f>MID(VLOOKUP($A65,Seqs!$A:$B,2,FALSE),VLOOKUP($A65,'NonXtal_SegEnds_Prot#'!A:AL,10,FALSE)+7,1)</f>
        <v>L</v>
      </c>
      <c r="U65" s="102" t="str">
        <f>MID(VLOOKUP($A65,Seqs!$A:$B,2,FALSE),VLOOKUP($A65,'NonXtal_SegEnds_Prot#'!A:AL,10,FALSE)+8,1)</f>
        <v>P</v>
      </c>
      <c r="V65" s="102" t="str">
        <f>MID(VLOOKUP($A65,Seqs!$A:$B,2,FALSE),VLOOKUP($A65,'NonXtal_SegEnds_Prot#'!A:AL,10,FALSE)+9,1)</f>
        <v>F</v>
      </c>
      <c r="W65" s="71" t="str">
        <f>MID(VLOOKUP($A65,Seqs!$A:$B,2,FALSE),VLOOKUP($A65,'NonXtal_SegEnds_Prot#'!$A:$AL,22,FALSE)+6,1)</f>
        <v>V</v>
      </c>
      <c r="X65" s="102" t="str">
        <f>MID(VLOOKUP($A65,Seqs!$A:$B,2,FALSE),VLOOKUP($A65,'NonXtal_SegEnds_Prot#'!$A:$AL,22,FALSE)+7,1)</f>
        <v>A</v>
      </c>
      <c r="Y65" s="102" t="str">
        <f>MID(VLOOKUP($A65,Seqs!$A:$B,2,FALSE),VLOOKUP($A65,'NonXtal_SegEnds_Prot#'!$A:$AL,22,FALSE)+8,1)</f>
        <v>A</v>
      </c>
      <c r="Z65" s="102" t="str">
        <f>MID(VLOOKUP($A65,Seqs!$A:$B,2,FALSE),VLOOKUP($A65,'NonXtal_SegEnds_Prot#'!$A:$AL,22,FALSE)+9,1)</f>
        <v>P</v>
      </c>
      <c r="AA65" s="102" t="str">
        <f>MID(VLOOKUP($A65,Seqs!$A:$B,2,FALSE),VLOOKUP($A65,'NonXtal_SegEnds_Prot#'!$A:$AL,22,FALSE)+10,1)</f>
        <v>Q</v>
      </c>
      <c r="AB65" s="71" t="str">
        <f>MID(VLOOKUP($A65,Seqs!$A:$B,2,FALSE),VLOOKUP($A65,'NonXtal_SegEnds_Prot#'!$A:$AL,28,FALSE)-4,1)</f>
        <v>G</v>
      </c>
      <c r="AC65" s="102" t="str">
        <f>MID(VLOOKUP($A65,Seqs!$A:$B,2,FALSE),VLOOKUP($A65,'NonXtal_SegEnds_Prot#'!$A:$AL,28,FALSE),1)</f>
        <v>P</v>
      </c>
    </row>
    <row r="66" spans="1:29" s="2" customFormat="1" x14ac:dyDescent="0.2">
      <c r="A66" s="2" t="s">
        <v>379</v>
      </c>
      <c r="B66" s="2" t="str">
        <f>LOWER(VLOOKUP(A66,Xtal_Templ!A:B,2,FALSE))</f>
        <v>ccr5_human</v>
      </c>
      <c r="C66" s="2" t="str">
        <f>VLOOKUP(A66,Classification!A:D,2,FALSE)</f>
        <v>A</v>
      </c>
      <c r="K66" s="2" t="s">
        <v>59</v>
      </c>
      <c r="N66" s="2" t="s">
        <v>43</v>
      </c>
      <c r="P66" s="4" t="s">
        <v>51</v>
      </c>
      <c r="R66" s="71" t="str">
        <f>MID(VLOOKUP($A66,Seqs!$A:$B,2,FALSE),VLOOKUP($A66,'NonXtal_SegEnds_Prot#'!A:AL,10,FALSE),1)</f>
        <v>D</v>
      </c>
      <c r="S66" s="102" t="str">
        <f>MID(VLOOKUP($A66,Seqs!$A:$B,2,FALSE),VLOOKUP($A66,'NonXtal_SegEnds_Prot#'!A:AL,10,FALSE)+6,1)</f>
        <v>T</v>
      </c>
      <c r="T66" s="102" t="str">
        <f>MID(VLOOKUP($A66,Seqs!$A:$B,2,FALSE),VLOOKUP($A66,'NonXtal_SegEnds_Prot#'!A:AL,10,FALSE)+7,1)</f>
        <v>L</v>
      </c>
      <c r="U66" s="102" t="str">
        <f>MID(VLOOKUP($A66,Seqs!$A:$B,2,FALSE),VLOOKUP($A66,'NonXtal_SegEnds_Prot#'!A:AL,10,FALSE)+8,1)</f>
        <v>P</v>
      </c>
      <c r="V66" s="102" t="str">
        <f>MID(VLOOKUP($A66,Seqs!$A:$B,2,FALSE),VLOOKUP($A66,'NonXtal_SegEnds_Prot#'!A:AL,10,FALSE)+9,1)</f>
        <v>I</v>
      </c>
      <c r="W66" s="71" t="str">
        <f>MID(VLOOKUP($A66,Seqs!$A:$B,2,FALSE),VLOOKUP($A66,'NonXtal_SegEnds_Prot#'!$A:$AL,22,FALSE)+6,1)</f>
        <v>L</v>
      </c>
      <c r="X66" s="102" t="str">
        <f>MID(VLOOKUP($A66,Seqs!$A:$B,2,FALSE),VLOOKUP($A66,'NonXtal_SegEnds_Prot#'!$A:$AL,22,FALSE)+7,1)</f>
        <v>S</v>
      </c>
      <c r="Y66" s="102" t="str">
        <f>MID(VLOOKUP($A66,Seqs!$A:$B,2,FALSE),VLOOKUP($A66,'NonXtal_SegEnds_Prot#'!$A:$AL,22,FALSE)+8,1)</f>
        <v>L</v>
      </c>
      <c r="Z66" s="102" t="str">
        <f>MID(VLOOKUP($A66,Seqs!$A:$B,2,FALSE),VLOOKUP($A66,'NonXtal_SegEnds_Prot#'!$A:$AL,22,FALSE)+9,1)</f>
        <v>P</v>
      </c>
      <c r="AA66" s="102" t="str">
        <f>MID(VLOOKUP($A66,Seqs!$A:$B,2,FALSE),VLOOKUP($A66,'NonXtal_SegEnds_Prot#'!$A:$AL,22,FALSE)+10,1)</f>
        <v>F</v>
      </c>
      <c r="AB66" s="71" t="str">
        <f>MID(VLOOKUP($A66,Seqs!$A:$B,2,FALSE),VLOOKUP($A66,'NonXtal_SegEnds_Prot#'!$A:$AL,28,FALSE)-4,1)</f>
        <v>G</v>
      </c>
      <c r="AC66" s="102" t="str">
        <f>MID(VLOOKUP($A66,Seqs!$A:$B,2,FALSE),VLOOKUP($A66,'NonXtal_SegEnds_Prot#'!$A:$AL,28,FALSE),1)</f>
        <v>P</v>
      </c>
    </row>
    <row r="67" spans="1:29" s="2" customFormat="1" ht="17" customHeight="1" x14ac:dyDescent="0.2">
      <c r="A67" s="2" t="s">
        <v>380</v>
      </c>
      <c r="B67" s="2" t="str">
        <f>LOWER(VLOOKUP(A67,Xtal_Templ!A:B,2,FALSE))</f>
        <v>ccr5_human</v>
      </c>
      <c r="C67" s="2" t="str">
        <f>VLOOKUP(A67,Classification!A:D,2,FALSE)</f>
        <v>A</v>
      </c>
      <c r="K67" s="2" t="s">
        <v>59</v>
      </c>
      <c r="N67" s="2" t="s">
        <v>43</v>
      </c>
      <c r="P67" s="4" t="s">
        <v>51</v>
      </c>
      <c r="R67" s="71" t="str">
        <f>MID(VLOOKUP($A67,Seqs!$A:$B,2,FALSE),VLOOKUP($A67,'NonXtal_SegEnds_Prot#'!A:AL,10,FALSE),1)</f>
        <v>D</v>
      </c>
      <c r="S67" s="102" t="str">
        <f>MID(VLOOKUP($A67,Seqs!$A:$B,2,FALSE),VLOOKUP($A67,'NonXtal_SegEnds_Prot#'!A:AL,10,FALSE)+6,1)</f>
        <v>T</v>
      </c>
      <c r="T67" s="102" t="str">
        <f>MID(VLOOKUP($A67,Seqs!$A:$B,2,FALSE),VLOOKUP($A67,'NonXtal_SegEnds_Prot#'!A:AL,10,FALSE)+7,1)</f>
        <v>L</v>
      </c>
      <c r="U67" s="102" t="str">
        <f>MID(VLOOKUP($A67,Seqs!$A:$B,2,FALSE),VLOOKUP($A67,'NonXtal_SegEnds_Prot#'!A:AL,10,FALSE)+8,1)</f>
        <v>P</v>
      </c>
      <c r="V67" s="102" t="str">
        <f>MID(VLOOKUP($A67,Seqs!$A:$B,2,FALSE),VLOOKUP($A67,'NonXtal_SegEnds_Prot#'!A:AL,10,FALSE)+9,1)</f>
        <v>I</v>
      </c>
      <c r="W67" s="71" t="str">
        <f>MID(VLOOKUP($A67,Seqs!$A:$B,2,FALSE),VLOOKUP($A67,'NonXtal_SegEnds_Prot#'!$A:$AL,22,FALSE)+6,1)</f>
        <v>L</v>
      </c>
      <c r="X67" s="102" t="str">
        <f>MID(VLOOKUP($A67,Seqs!$A:$B,2,FALSE),VLOOKUP($A67,'NonXtal_SegEnds_Prot#'!$A:$AL,22,FALSE)+7,1)</f>
        <v>A</v>
      </c>
      <c r="Y67" s="102" t="str">
        <f>MID(VLOOKUP($A67,Seqs!$A:$B,2,FALSE),VLOOKUP($A67,'NonXtal_SegEnds_Prot#'!$A:$AL,22,FALSE)+8,1)</f>
        <v>L</v>
      </c>
      <c r="Z67" s="102" t="str">
        <f>MID(VLOOKUP($A67,Seqs!$A:$B,2,FALSE),VLOOKUP($A67,'NonXtal_SegEnds_Prot#'!$A:$AL,22,FALSE)+9,1)</f>
        <v>P</v>
      </c>
      <c r="AA67" s="102" t="str">
        <f>MID(VLOOKUP($A67,Seqs!$A:$B,2,FALSE),VLOOKUP($A67,'NonXtal_SegEnds_Prot#'!$A:$AL,22,FALSE)+10,1)</f>
        <v>V</v>
      </c>
      <c r="AB67" s="71" t="str">
        <f>MID(VLOOKUP($A67,Seqs!$A:$B,2,FALSE),VLOOKUP($A67,'NonXtal_SegEnds_Prot#'!$A:$AL,28,FALSE)-4,1)</f>
        <v>G</v>
      </c>
      <c r="AC67" s="102" t="str">
        <f>MID(VLOOKUP($A67,Seqs!$A:$B,2,FALSE),VLOOKUP($A67,'NonXtal_SegEnds_Prot#'!$A:$AL,28,FALSE),1)</f>
        <v>P</v>
      </c>
    </row>
    <row r="68" spans="1:29" s="2" customFormat="1" x14ac:dyDescent="0.2">
      <c r="A68" s="2" t="s">
        <v>381</v>
      </c>
      <c r="B68" s="2" t="str">
        <f>LOWER(VLOOKUP(A68,Xtal_Templ!A:B,2,FALSE))</f>
        <v>cxcr4_human</v>
      </c>
      <c r="C68" s="2" t="str">
        <f>VLOOKUP(A68,Classification!A:D,2,FALSE)</f>
        <v>A</v>
      </c>
      <c r="K68" s="2" t="s">
        <v>59</v>
      </c>
      <c r="N68" s="2" t="s">
        <v>43</v>
      </c>
      <c r="P68" s="4" t="s">
        <v>51</v>
      </c>
      <c r="R68" s="71" t="str">
        <f>MID(VLOOKUP($A68,Seqs!$A:$B,2,FALSE),VLOOKUP($A68,'NonXtal_SegEnds_Prot#'!A:AL,10,FALSE),1)</f>
        <v>D</v>
      </c>
      <c r="S68" s="102" t="str">
        <f>MID(VLOOKUP($A68,Seqs!$A:$B,2,FALSE),VLOOKUP($A68,'NonXtal_SegEnds_Prot#'!A:AL,10,FALSE)+6,1)</f>
        <v>T</v>
      </c>
      <c r="T68" s="102" t="str">
        <f>MID(VLOOKUP($A68,Seqs!$A:$B,2,FALSE),VLOOKUP($A68,'NonXtal_SegEnds_Prot#'!A:AL,10,FALSE)+7,1)</f>
        <v>L</v>
      </c>
      <c r="U68" s="102" t="str">
        <f>MID(VLOOKUP($A68,Seqs!$A:$B,2,FALSE),VLOOKUP($A68,'NonXtal_SegEnds_Prot#'!A:AL,10,FALSE)+8,1)</f>
        <v>P</v>
      </c>
      <c r="V68" s="102" t="str">
        <f>MID(VLOOKUP($A68,Seqs!$A:$B,2,FALSE),VLOOKUP($A68,'NonXtal_SegEnds_Prot#'!A:AL,10,FALSE)+9,1)</f>
        <v>L</v>
      </c>
      <c r="W68" s="71" t="str">
        <f>MID(VLOOKUP($A68,Seqs!$A:$B,2,FALSE),VLOOKUP($A68,'NonXtal_SegEnds_Prot#'!$A:$AL,22,FALSE)+6,1)</f>
        <v>F</v>
      </c>
      <c r="X68" s="102" t="str">
        <f>MID(VLOOKUP($A68,Seqs!$A:$B,2,FALSE),VLOOKUP($A68,'NonXtal_SegEnds_Prot#'!$A:$AL,22,FALSE)+7,1)</f>
        <v>A</v>
      </c>
      <c r="Y68" s="102" t="str">
        <f>MID(VLOOKUP($A68,Seqs!$A:$B,2,FALSE),VLOOKUP($A68,'NonXtal_SegEnds_Prot#'!$A:$AL,22,FALSE)+8,1)</f>
        <v>L</v>
      </c>
      <c r="Z68" s="102" t="str">
        <f>MID(VLOOKUP($A68,Seqs!$A:$B,2,FALSE),VLOOKUP($A68,'NonXtal_SegEnds_Prot#'!$A:$AL,22,FALSE)+9,1)</f>
        <v>P</v>
      </c>
      <c r="AA68" s="102" t="str">
        <f>MID(VLOOKUP($A68,Seqs!$A:$B,2,FALSE),VLOOKUP($A68,'NonXtal_SegEnds_Prot#'!$A:$AL,22,FALSE)+10,1)</f>
        <v>D</v>
      </c>
      <c r="AB68" s="71" t="str">
        <f>MID(VLOOKUP($A68,Seqs!$A:$B,2,FALSE),VLOOKUP($A68,'NonXtal_SegEnds_Prot#'!$A:$AL,28,FALSE)-4,1)</f>
        <v>G</v>
      </c>
      <c r="AC68" s="102" t="str">
        <f>MID(VLOOKUP($A68,Seqs!$A:$B,2,FALSE),VLOOKUP($A68,'NonXtal_SegEnds_Prot#'!$A:$AL,28,FALSE),1)</f>
        <v>P</v>
      </c>
    </row>
    <row r="69" spans="1:29" s="2" customFormat="1" x14ac:dyDescent="0.2">
      <c r="A69" s="2" t="s">
        <v>1391</v>
      </c>
      <c r="B69" s="2" t="str">
        <f>LOWER(VLOOKUP(A69,Xtal_Templ!A:B,2,FALSE))</f>
        <v>cxcr4_human</v>
      </c>
      <c r="C69" s="2" t="str">
        <f>VLOOKUP(A69,Classification!A:D,2,FALSE)</f>
        <v>A</v>
      </c>
      <c r="K69" s="2" t="s">
        <v>59</v>
      </c>
      <c r="N69" s="2" t="s">
        <v>43</v>
      </c>
      <c r="P69" s="4" t="s">
        <v>51</v>
      </c>
      <c r="R69" s="71" t="str">
        <f>MID(VLOOKUP($A69,Seqs!$A:$B,2,FALSE),VLOOKUP($A69,'NonXtal_SegEnds_Prot#'!A:AL,10,FALSE),1)</f>
        <v>D</v>
      </c>
      <c r="S69" s="102" t="str">
        <f>MID(VLOOKUP($A69,Seqs!$A:$B,2,FALSE),VLOOKUP($A69,'NonXtal_SegEnds_Prot#'!A:AL,10,FALSE)+6,1)</f>
        <v>T</v>
      </c>
      <c r="T69" s="102" t="str">
        <f>MID(VLOOKUP($A69,Seqs!$A:$B,2,FALSE),VLOOKUP($A69,'NonXtal_SegEnds_Prot#'!A:AL,10,FALSE)+7,1)</f>
        <v>L</v>
      </c>
      <c r="U69" s="102" t="str">
        <f>MID(VLOOKUP($A69,Seqs!$A:$B,2,FALSE),VLOOKUP($A69,'NonXtal_SegEnds_Prot#'!A:AL,10,FALSE)+8,1)</f>
        <v>P</v>
      </c>
      <c r="V69" s="102" t="str">
        <f>MID(VLOOKUP($A69,Seqs!$A:$B,2,FALSE),VLOOKUP($A69,'NonXtal_SegEnds_Prot#'!A:AL,10,FALSE)+9,1)</f>
        <v>F</v>
      </c>
      <c r="W69" s="71" t="str">
        <f>MID(VLOOKUP($A69,Seqs!$A:$B,2,FALSE),VLOOKUP($A69,'NonXtal_SegEnds_Prot#'!$A:$AL,22,FALSE)+6,1)</f>
        <v>L</v>
      </c>
      <c r="X69" s="102" t="str">
        <f>MID(VLOOKUP($A69,Seqs!$A:$B,2,FALSE),VLOOKUP($A69,'NonXtal_SegEnds_Prot#'!$A:$AL,22,FALSE)+7,1)</f>
        <v>T</v>
      </c>
      <c r="Y69" s="102" t="str">
        <f>MID(VLOOKUP($A69,Seqs!$A:$B,2,FALSE),VLOOKUP($A69,'NonXtal_SegEnds_Prot#'!$A:$AL,22,FALSE)+8,1)</f>
        <v>I</v>
      </c>
      <c r="Z69" s="102" t="str">
        <f>MID(VLOOKUP($A69,Seqs!$A:$B,2,FALSE),VLOOKUP($A69,'NonXtal_SegEnds_Prot#'!$A:$AL,22,FALSE)+9,1)</f>
        <v>P</v>
      </c>
      <c r="AA69" s="102" t="str">
        <f>MID(VLOOKUP($A69,Seqs!$A:$B,2,FALSE),VLOOKUP($A69,'NonXtal_SegEnds_Prot#'!$A:$AL,22,FALSE)+10,1)</f>
        <v>D</v>
      </c>
      <c r="AB69" s="71" t="str">
        <f>MID(VLOOKUP($A69,Seqs!$A:$B,2,FALSE),VLOOKUP($A69,'NonXtal_SegEnds_Prot#'!$A:$AL,28,FALSE)-4,1)</f>
        <v>G</v>
      </c>
      <c r="AC69" s="102" t="str">
        <f>MID(VLOOKUP($A69,Seqs!$A:$B,2,FALSE),VLOOKUP($A69,'NonXtal_SegEnds_Prot#'!$A:$AL,28,FALSE),1)</f>
        <v>P</v>
      </c>
    </row>
    <row r="70" spans="1:29" s="2" customFormat="1" x14ac:dyDescent="0.2">
      <c r="A70" s="2" t="s">
        <v>382</v>
      </c>
      <c r="B70" s="2" t="str">
        <f>LOWER(VLOOKUP(A70,Xtal_Templ!A:B,2,FALSE))</f>
        <v>cxcr4_human</v>
      </c>
      <c r="C70" s="2" t="str">
        <f>VLOOKUP(A70,Classification!A:D,2,FALSE)</f>
        <v>A</v>
      </c>
      <c r="K70" s="2" t="s">
        <v>59</v>
      </c>
      <c r="N70" s="2" t="s">
        <v>43</v>
      </c>
      <c r="P70" s="4" t="s">
        <v>51</v>
      </c>
      <c r="R70" s="71" t="str">
        <f>MID(VLOOKUP($A70,Seqs!$A:$B,2,FALSE),VLOOKUP($A70,'NonXtal_SegEnds_Prot#'!A:AL,10,FALSE),1)</f>
        <v>D</v>
      </c>
      <c r="S70" s="102" t="str">
        <f>MID(VLOOKUP($A70,Seqs!$A:$B,2,FALSE),VLOOKUP($A70,'NonXtal_SegEnds_Prot#'!A:AL,10,FALSE)+6,1)</f>
        <v>I</v>
      </c>
      <c r="T70" s="102" t="str">
        <f>MID(VLOOKUP($A70,Seqs!$A:$B,2,FALSE),VLOOKUP($A70,'NonXtal_SegEnds_Prot#'!A:AL,10,FALSE)+7,1)</f>
        <v>L</v>
      </c>
      <c r="U70" s="102" t="str">
        <f>MID(VLOOKUP($A70,Seqs!$A:$B,2,FALSE),VLOOKUP($A70,'NonXtal_SegEnds_Prot#'!A:AL,10,FALSE)+8,1)</f>
        <v>P</v>
      </c>
      <c r="V70" s="102" t="str">
        <f>MID(VLOOKUP($A70,Seqs!$A:$B,2,FALSE),VLOOKUP($A70,'NonXtal_SegEnds_Prot#'!A:AL,10,FALSE)+9,1)</f>
        <v>F</v>
      </c>
      <c r="W70" s="71" t="str">
        <f>MID(VLOOKUP($A70,Seqs!$A:$B,2,FALSE),VLOOKUP($A70,'NonXtal_SegEnds_Prot#'!$A:$AL,22,FALSE)+6,1)</f>
        <v>L</v>
      </c>
      <c r="X70" s="102" t="str">
        <f>MID(VLOOKUP($A70,Seqs!$A:$B,2,FALSE),VLOOKUP($A70,'NonXtal_SegEnds_Prot#'!$A:$AL,22,FALSE)+7,1)</f>
        <v>A</v>
      </c>
      <c r="Y70" s="102" t="str">
        <f>MID(VLOOKUP($A70,Seqs!$A:$B,2,FALSE),VLOOKUP($A70,'NonXtal_SegEnds_Prot#'!$A:$AL,22,FALSE)+8,1)</f>
        <v>L</v>
      </c>
      <c r="Z70" s="102" t="str">
        <f>MID(VLOOKUP($A70,Seqs!$A:$B,2,FALSE),VLOOKUP($A70,'NonXtal_SegEnds_Prot#'!$A:$AL,22,FALSE)+9,1)</f>
        <v>P</v>
      </c>
      <c r="AA70" s="102" t="str">
        <f>MID(VLOOKUP($A70,Seqs!$A:$B,2,FALSE),VLOOKUP($A70,'NonXtal_SegEnds_Prot#'!$A:$AL,22,FALSE)+10,1)</f>
        <v>E</v>
      </c>
      <c r="AB70" s="71" t="str">
        <f>MID(VLOOKUP($A70,Seqs!$A:$B,2,FALSE),VLOOKUP($A70,'NonXtal_SegEnds_Prot#'!$A:$AL,28,FALSE)-4,1)</f>
        <v>G</v>
      </c>
      <c r="AC70" s="102" t="str">
        <f>MID(VLOOKUP($A70,Seqs!$A:$B,2,FALSE),VLOOKUP($A70,'NonXtal_SegEnds_Prot#'!$A:$AL,28,FALSE),1)</f>
        <v>P</v>
      </c>
    </row>
    <row r="71" spans="1:29" s="2" customFormat="1" x14ac:dyDescent="0.2">
      <c r="A71" s="2" t="s">
        <v>383</v>
      </c>
      <c r="B71" s="2" t="str">
        <f>LOWER(VLOOKUP(A71,Xtal_Templ!A:B,2,FALSE))</f>
        <v>ccr5_human</v>
      </c>
      <c r="C71" s="2" t="str">
        <f>VLOOKUP(A71,Classification!A:D,2,FALSE)</f>
        <v>A</v>
      </c>
      <c r="K71" s="2" t="s">
        <v>59</v>
      </c>
      <c r="N71" s="2" t="s">
        <v>43</v>
      </c>
      <c r="P71" s="4" t="s">
        <v>51</v>
      </c>
      <c r="R71" s="71" t="str">
        <f>MID(VLOOKUP($A71,Seqs!$A:$B,2,FALSE),VLOOKUP($A71,'NonXtal_SegEnds_Prot#'!A:AL,10,FALSE),1)</f>
        <v>D</v>
      </c>
      <c r="S71" s="102" t="str">
        <f>MID(VLOOKUP($A71,Seqs!$A:$B,2,FALSE),VLOOKUP($A71,'NonXtal_SegEnds_Prot#'!A:AL,10,FALSE)+6,1)</f>
        <v>T</v>
      </c>
      <c r="T71" s="102" t="str">
        <f>MID(VLOOKUP($A71,Seqs!$A:$B,2,FALSE),VLOOKUP($A71,'NonXtal_SegEnds_Prot#'!A:AL,10,FALSE)+7,1)</f>
        <v>L</v>
      </c>
      <c r="U71" s="102" t="str">
        <f>MID(VLOOKUP($A71,Seqs!$A:$B,2,FALSE),VLOOKUP($A71,'NonXtal_SegEnds_Prot#'!A:AL,10,FALSE)+8,1)</f>
        <v>P</v>
      </c>
      <c r="V71" s="102" t="str">
        <f>MID(VLOOKUP($A71,Seqs!$A:$B,2,FALSE),VLOOKUP($A71,'NonXtal_SegEnds_Prot#'!A:AL,10,FALSE)+9,1)</f>
        <v>F</v>
      </c>
      <c r="W71" s="71" t="str">
        <f>MID(VLOOKUP($A71,Seqs!$A:$B,2,FALSE),VLOOKUP($A71,'NonXtal_SegEnds_Prot#'!$A:$AL,22,FALSE)+6,1)</f>
        <v>V</v>
      </c>
      <c r="X71" s="102" t="str">
        <f>MID(VLOOKUP($A71,Seqs!$A:$B,2,FALSE),VLOOKUP($A71,'NonXtal_SegEnds_Prot#'!$A:$AL,22,FALSE)+7,1)</f>
        <v>S</v>
      </c>
      <c r="Y71" s="102" t="str">
        <f>MID(VLOOKUP($A71,Seqs!$A:$B,2,FALSE),VLOOKUP($A71,'NonXtal_SegEnds_Prot#'!$A:$AL,22,FALSE)+8,1)</f>
        <v>L</v>
      </c>
      <c r="Z71" s="102" t="str">
        <f>MID(VLOOKUP($A71,Seqs!$A:$B,2,FALSE),VLOOKUP($A71,'NonXtal_SegEnds_Prot#'!$A:$AL,22,FALSE)+9,1)</f>
        <v>P</v>
      </c>
      <c r="AA71" s="102" t="str">
        <f>MID(VLOOKUP($A71,Seqs!$A:$B,2,FALSE),VLOOKUP($A71,'NonXtal_SegEnds_Prot#'!$A:$AL,22,FALSE)+10,1)</f>
        <v>Q</v>
      </c>
      <c r="AB71" s="71" t="str">
        <f>MID(VLOOKUP($A71,Seqs!$A:$B,2,FALSE),VLOOKUP($A71,'NonXtal_SegEnds_Prot#'!$A:$AL,28,FALSE)-4,1)</f>
        <v>G</v>
      </c>
      <c r="AC71" s="102" t="str">
        <f>MID(VLOOKUP($A71,Seqs!$A:$B,2,FALSE),VLOOKUP($A71,'NonXtal_SegEnds_Prot#'!$A:$AL,28,FALSE),1)</f>
        <v>P</v>
      </c>
    </row>
    <row r="72" spans="1:29" s="2" customFormat="1" x14ac:dyDescent="0.2">
      <c r="A72" s="2" t="s">
        <v>384</v>
      </c>
      <c r="B72" s="2" t="str">
        <f>LOWER(VLOOKUP(A72,Xtal_Templ!A:B,2,FALSE))</f>
        <v>adrb1_melga</v>
      </c>
      <c r="C72" s="2" t="str">
        <f>VLOOKUP(A72,Classification!A:D,2,FALSE)</f>
        <v>A</v>
      </c>
      <c r="E72" s="2" t="s">
        <v>20</v>
      </c>
      <c r="N72" s="2" t="s">
        <v>43</v>
      </c>
      <c r="P72" s="4" t="s">
        <v>51</v>
      </c>
      <c r="R72" s="71" t="str">
        <f>MID(VLOOKUP($A72,Seqs!$A:$B,2,FALSE),VLOOKUP($A72,'NonXtal_SegEnds_Prot#'!A:AL,10,FALSE),1)</f>
        <v>D</v>
      </c>
      <c r="S72" s="102" t="str">
        <f>MID(VLOOKUP($A72,Seqs!$A:$B,2,FALSE),VLOOKUP($A72,'NonXtal_SegEnds_Prot#'!A:AL,10,FALSE)+6,1)</f>
        <v>L</v>
      </c>
      <c r="T72" s="102" t="str">
        <f>MID(VLOOKUP($A72,Seqs!$A:$B,2,FALSE),VLOOKUP($A72,'NonXtal_SegEnds_Prot#'!A:AL,10,FALSE)+7,1)</f>
        <v>V</v>
      </c>
      <c r="U72" s="102" t="str">
        <f>MID(VLOOKUP($A72,Seqs!$A:$B,2,FALSE),VLOOKUP($A72,'NonXtal_SegEnds_Prot#'!A:AL,10,FALSE)+8,1)</f>
        <v>M</v>
      </c>
      <c r="V72" s="102" t="str">
        <f>MID(VLOOKUP($A72,Seqs!$A:$B,2,FALSE),VLOOKUP($A72,'NonXtal_SegEnds_Prot#'!A:AL,10,FALSE)+9,1)</f>
        <v>P</v>
      </c>
      <c r="W72" s="71" t="str">
        <f>MID(VLOOKUP($A72,Seqs!$A:$B,2,FALSE),VLOOKUP($A72,'NonXtal_SegEnds_Prot#'!$A:$AL,22,FALSE)+6,1)</f>
        <v>I</v>
      </c>
      <c r="X72" s="102" t="str">
        <f>MID(VLOOKUP($A72,Seqs!$A:$B,2,FALSE),VLOOKUP($A72,'NonXtal_SegEnds_Prot#'!$A:$AL,22,FALSE)+7,1)</f>
        <v>S</v>
      </c>
      <c r="Y72" s="102" t="str">
        <f>MID(VLOOKUP($A72,Seqs!$A:$B,2,FALSE),VLOOKUP($A72,'NonXtal_SegEnds_Prot#'!$A:$AL,22,FALSE)+8,1)</f>
        <v>F</v>
      </c>
      <c r="Z72" s="102" t="str">
        <f>MID(VLOOKUP($A72,Seqs!$A:$B,2,FALSE),VLOOKUP($A72,'NonXtal_SegEnds_Prot#'!$A:$AL,22,FALSE)+9,1)</f>
        <v>I</v>
      </c>
      <c r="AA72" s="102" t="str">
        <f>MID(VLOOKUP($A72,Seqs!$A:$B,2,FALSE),VLOOKUP($A72,'NonXtal_SegEnds_Prot#'!$A:$AL,22,FALSE)+10,1)</f>
        <v>P</v>
      </c>
      <c r="AB72" s="71" t="str">
        <f>MID(VLOOKUP($A72,Seqs!$A:$B,2,FALSE),VLOOKUP($A72,'NonXtal_SegEnds_Prot#'!$A:$AL,28,FALSE)-4,1)</f>
        <v>S</v>
      </c>
      <c r="AC72" s="102" t="str">
        <f>MID(VLOOKUP($A72,Seqs!$A:$B,2,FALSE),VLOOKUP($A72,'NonXtal_SegEnds_Prot#'!$A:$AL,28,FALSE),1)</f>
        <v>P</v>
      </c>
    </row>
    <row r="73" spans="1:29" s="2" customFormat="1" x14ac:dyDescent="0.2">
      <c r="A73" s="2" t="s">
        <v>385</v>
      </c>
      <c r="B73" s="2" t="str">
        <f>LOWER(VLOOKUP(A73,Xtal_Templ!A:B,2,FALSE))</f>
        <v>drd3_human</v>
      </c>
      <c r="C73" s="2" t="str">
        <f>VLOOKUP(A73,Classification!A:D,2,FALSE)</f>
        <v>A</v>
      </c>
      <c r="E73" s="2" t="s">
        <v>20</v>
      </c>
      <c r="K73" s="2" t="s">
        <v>59</v>
      </c>
      <c r="N73" s="2" t="s">
        <v>43</v>
      </c>
      <c r="P73" s="4" t="s">
        <v>51</v>
      </c>
      <c r="R73" s="71" t="str">
        <f>MID(VLOOKUP($A73,Seqs!$A:$B,2,FALSE),VLOOKUP($A73,'NonXtal_SegEnds_Prot#'!A:AL,10,FALSE),1)</f>
        <v>D</v>
      </c>
      <c r="S73" s="102" t="str">
        <f>MID(VLOOKUP($A73,Seqs!$A:$B,2,FALSE),VLOOKUP($A73,'NonXtal_SegEnds_Prot#'!A:AL,10,FALSE)+6,1)</f>
        <v>L</v>
      </c>
      <c r="T73" s="102" t="str">
        <f>MID(VLOOKUP($A73,Seqs!$A:$B,2,FALSE),VLOOKUP($A73,'NonXtal_SegEnds_Prot#'!A:AL,10,FALSE)+7,1)</f>
        <v>V</v>
      </c>
      <c r="U73" s="102" t="str">
        <f>MID(VLOOKUP($A73,Seqs!$A:$B,2,FALSE),VLOOKUP($A73,'NonXtal_SegEnds_Prot#'!A:AL,10,FALSE)+8,1)</f>
        <v>M</v>
      </c>
      <c r="V73" s="102" t="str">
        <f>MID(VLOOKUP($A73,Seqs!$A:$B,2,FALSE),VLOOKUP($A73,'NonXtal_SegEnds_Prot#'!A:AL,10,FALSE)+9,1)</f>
        <v>P</v>
      </c>
      <c r="W73" s="71" t="str">
        <f>MID(VLOOKUP($A73,Seqs!$A:$B,2,FALSE),VLOOKUP($A73,'NonXtal_SegEnds_Prot#'!$A:$AL,22,FALSE)+6,1)</f>
        <v>I</v>
      </c>
      <c r="X73" s="102" t="str">
        <f>MID(VLOOKUP($A73,Seqs!$A:$B,2,FALSE),VLOOKUP($A73,'NonXtal_SegEnds_Prot#'!$A:$AL,22,FALSE)+7,1)</f>
        <v>S</v>
      </c>
      <c r="Y73" s="102" t="str">
        <f>MID(VLOOKUP($A73,Seqs!$A:$B,2,FALSE),VLOOKUP($A73,'NonXtal_SegEnds_Prot#'!$A:$AL,22,FALSE)+8,1)</f>
        <v>C</v>
      </c>
      <c r="Z73" s="102" t="str">
        <f>MID(VLOOKUP($A73,Seqs!$A:$B,2,FALSE),VLOOKUP($A73,'NonXtal_SegEnds_Prot#'!$A:$AL,22,FALSE)+9,1)</f>
        <v>P</v>
      </c>
      <c r="AA73" s="102" t="str">
        <f>MID(VLOOKUP($A73,Seqs!$A:$B,2,FALSE),VLOOKUP($A73,'NonXtal_SegEnds_Prot#'!$A:$AL,22,FALSE)+10,1)</f>
        <v>L</v>
      </c>
      <c r="AB73" s="71" t="str">
        <f>MID(VLOOKUP($A73,Seqs!$A:$B,2,FALSE),VLOOKUP($A73,'NonXtal_SegEnds_Prot#'!$A:$AL,28,FALSE)-4,1)</f>
        <v>S</v>
      </c>
      <c r="AC73" s="102" t="str">
        <f>MID(VLOOKUP($A73,Seqs!$A:$B,2,FALSE),VLOOKUP($A73,'NonXtal_SegEnds_Prot#'!$A:$AL,28,FALSE),1)</f>
        <v>P</v>
      </c>
    </row>
    <row r="74" spans="1:29" s="2" customFormat="1" x14ac:dyDescent="0.2">
      <c r="A74" s="2" t="s">
        <v>386</v>
      </c>
      <c r="B74" s="2" t="str">
        <f>LOWER(VLOOKUP(A74,Xtal_Templ!A:B,2,FALSE))</f>
        <v>drd3_human</v>
      </c>
      <c r="C74" s="2" t="str">
        <f>VLOOKUP(A74,Classification!A:D,2,FALSE)</f>
        <v>A</v>
      </c>
      <c r="E74" s="2" t="s">
        <v>20</v>
      </c>
      <c r="K74" s="2" t="s">
        <v>59</v>
      </c>
      <c r="N74" s="2" t="s">
        <v>43</v>
      </c>
      <c r="P74" s="4" t="s">
        <v>51</v>
      </c>
      <c r="R74" s="71" t="str">
        <f>MID(VLOOKUP($A74,Seqs!$A:$B,2,FALSE),VLOOKUP($A74,'NonXtal_SegEnds_Prot#'!A:AL,10,FALSE),1)</f>
        <v>D</v>
      </c>
      <c r="S74" s="102" t="str">
        <f>MID(VLOOKUP($A74,Seqs!$A:$B,2,FALSE),VLOOKUP($A74,'NonXtal_SegEnds_Prot#'!A:AL,10,FALSE)+6,1)</f>
        <v>L</v>
      </c>
      <c r="T74" s="102" t="str">
        <f>MID(VLOOKUP($A74,Seqs!$A:$B,2,FALSE),VLOOKUP($A74,'NonXtal_SegEnds_Prot#'!A:AL,10,FALSE)+7,1)</f>
        <v>V</v>
      </c>
      <c r="U74" s="102" t="str">
        <f>MID(VLOOKUP($A74,Seqs!$A:$B,2,FALSE),VLOOKUP($A74,'NonXtal_SegEnds_Prot#'!A:AL,10,FALSE)+8,1)</f>
        <v>M</v>
      </c>
      <c r="V74" s="102" t="str">
        <f>MID(VLOOKUP($A74,Seqs!$A:$B,2,FALSE),VLOOKUP($A74,'NonXtal_SegEnds_Prot#'!A:AL,10,FALSE)+9,1)</f>
        <v>P</v>
      </c>
      <c r="W74" s="71" t="str">
        <f>MID(VLOOKUP($A74,Seqs!$A:$B,2,FALSE),VLOOKUP($A74,'NonXtal_SegEnds_Prot#'!$A:$AL,22,FALSE)+6,1)</f>
        <v>V</v>
      </c>
      <c r="X74" s="102" t="str">
        <f>MID(VLOOKUP($A74,Seqs!$A:$B,2,FALSE),VLOOKUP($A74,'NonXtal_SegEnds_Prot#'!$A:$AL,22,FALSE)+7,1)</f>
        <v>S</v>
      </c>
      <c r="Y74" s="102" t="str">
        <f>MID(VLOOKUP($A74,Seqs!$A:$B,2,FALSE),VLOOKUP($A74,'NonXtal_SegEnds_Prot#'!$A:$AL,22,FALSE)+8,1)</f>
        <v>C</v>
      </c>
      <c r="Z74" s="102" t="str">
        <f>MID(VLOOKUP($A74,Seqs!$A:$B,2,FALSE),VLOOKUP($A74,'NonXtal_SegEnds_Prot#'!$A:$AL,22,FALSE)+9,1)</f>
        <v>P</v>
      </c>
      <c r="AA74" s="102" t="str">
        <f>MID(VLOOKUP($A74,Seqs!$A:$B,2,FALSE),VLOOKUP($A74,'NonXtal_SegEnds_Prot#'!$A:$AL,22,FALSE)+10,1)</f>
        <v>L</v>
      </c>
      <c r="AB74" s="71" t="str">
        <f>MID(VLOOKUP($A74,Seqs!$A:$B,2,FALSE),VLOOKUP($A74,'NonXtal_SegEnds_Prot#'!$A:$AL,28,FALSE)-4,1)</f>
        <v>S</v>
      </c>
      <c r="AC74" s="102" t="str">
        <f>MID(VLOOKUP($A74,Seqs!$A:$B,2,FALSE),VLOOKUP($A74,'NonXtal_SegEnds_Prot#'!$A:$AL,28,FALSE),1)</f>
        <v>P</v>
      </c>
    </row>
    <row r="75" spans="1:29" s="2" customFormat="1" x14ac:dyDescent="0.2">
      <c r="A75" s="2" t="s">
        <v>387</v>
      </c>
      <c r="B75" s="2" t="str">
        <f>LOWER(VLOOKUP(A75,Xtal_Templ!A:B,2,FALSE))</f>
        <v>drd3_human</v>
      </c>
      <c r="C75" s="2" t="str">
        <f>VLOOKUP(A75,Classification!A:D,2,FALSE)</f>
        <v>A</v>
      </c>
      <c r="E75" s="2" t="s">
        <v>20</v>
      </c>
      <c r="K75" s="2" t="s">
        <v>59</v>
      </c>
      <c r="N75" s="2" t="s">
        <v>43</v>
      </c>
      <c r="P75" s="4" t="s">
        <v>51</v>
      </c>
      <c r="R75" s="71" t="str">
        <f>MID(VLOOKUP($A75,Seqs!$A:$B,2,FALSE),VLOOKUP($A75,'NonXtal_SegEnds_Prot#'!A:AL,10,FALSE),1)</f>
        <v>D</v>
      </c>
      <c r="S75" s="102" t="str">
        <f>MID(VLOOKUP($A75,Seqs!$A:$B,2,FALSE),VLOOKUP($A75,'NonXtal_SegEnds_Prot#'!A:AL,10,FALSE)+6,1)</f>
        <v>L</v>
      </c>
      <c r="T75" s="102" t="str">
        <f>MID(VLOOKUP($A75,Seqs!$A:$B,2,FALSE),VLOOKUP($A75,'NonXtal_SegEnds_Prot#'!A:AL,10,FALSE)+7,1)</f>
        <v>V</v>
      </c>
      <c r="U75" s="102" t="str">
        <f>MID(VLOOKUP($A75,Seqs!$A:$B,2,FALSE),VLOOKUP($A75,'NonXtal_SegEnds_Prot#'!A:AL,10,FALSE)+8,1)</f>
        <v>L</v>
      </c>
      <c r="V75" s="102" t="str">
        <f>MID(VLOOKUP($A75,Seqs!$A:$B,2,FALSE),VLOOKUP($A75,'NonXtal_SegEnds_Prot#'!A:AL,10,FALSE)+9,1)</f>
        <v>P</v>
      </c>
      <c r="W75" s="71" t="str">
        <f>MID(VLOOKUP($A75,Seqs!$A:$B,2,FALSE),VLOOKUP($A75,'NonXtal_SegEnds_Prot#'!$A:$AL,22,FALSE)+6,1)</f>
        <v>V</v>
      </c>
      <c r="X75" s="102" t="str">
        <f>MID(VLOOKUP($A75,Seqs!$A:$B,2,FALSE),VLOOKUP($A75,'NonXtal_SegEnds_Prot#'!$A:$AL,22,FALSE)+7,1)</f>
        <v>A</v>
      </c>
      <c r="Y75" s="102" t="str">
        <f>MID(VLOOKUP($A75,Seqs!$A:$B,2,FALSE),VLOOKUP($A75,'NonXtal_SegEnds_Prot#'!$A:$AL,22,FALSE)+8,1)</f>
        <v>A</v>
      </c>
      <c r="Z75" s="102" t="str">
        <f>MID(VLOOKUP($A75,Seqs!$A:$B,2,FALSE),VLOOKUP($A75,'NonXtal_SegEnds_Prot#'!$A:$AL,22,FALSE)+9,1)</f>
        <v>P</v>
      </c>
      <c r="AA75" s="102" t="str">
        <f>MID(VLOOKUP($A75,Seqs!$A:$B,2,FALSE),VLOOKUP($A75,'NonXtal_SegEnds_Prot#'!$A:$AL,22,FALSE)+10,1)</f>
        <v>V</v>
      </c>
      <c r="AB75" s="71" t="str">
        <f>MID(VLOOKUP($A75,Seqs!$A:$B,2,FALSE),VLOOKUP($A75,'NonXtal_SegEnds_Prot#'!$A:$AL,28,FALSE)-4,1)</f>
        <v>S</v>
      </c>
      <c r="AC75" s="102" t="str">
        <f>MID(VLOOKUP($A75,Seqs!$A:$B,2,FALSE),VLOOKUP($A75,'NonXtal_SegEnds_Prot#'!$A:$AL,28,FALSE),1)</f>
        <v>P</v>
      </c>
    </row>
    <row r="76" spans="1:29" s="2" customFormat="1" x14ac:dyDescent="0.2">
      <c r="A76" s="2" t="s">
        <v>388</v>
      </c>
      <c r="B76" s="2" t="str">
        <f>LOWER(VLOOKUP(A76,Xtal_Templ!A:B,2,FALSE))</f>
        <v>adrb1_melga</v>
      </c>
      <c r="C76" s="2" t="str">
        <f>VLOOKUP(A76,Classification!A:D,2,FALSE)</f>
        <v>A</v>
      </c>
      <c r="E76" s="2" t="s">
        <v>20</v>
      </c>
      <c r="N76" s="2" t="s">
        <v>43</v>
      </c>
      <c r="P76" s="4" t="s">
        <v>51</v>
      </c>
      <c r="R76" s="71" t="str">
        <f>MID(VLOOKUP($A76,Seqs!$A:$B,2,FALSE),VLOOKUP($A76,'NonXtal_SegEnds_Prot#'!A:AL,10,FALSE),1)</f>
        <v>D</v>
      </c>
      <c r="S76" s="102" t="str">
        <f>MID(VLOOKUP($A76,Seqs!$A:$B,2,FALSE),VLOOKUP($A76,'NonXtal_SegEnds_Prot#'!A:AL,10,FALSE)+6,1)</f>
        <v>L</v>
      </c>
      <c r="T76" s="102" t="str">
        <f>MID(VLOOKUP($A76,Seqs!$A:$B,2,FALSE),VLOOKUP($A76,'NonXtal_SegEnds_Prot#'!A:AL,10,FALSE)+7,1)</f>
        <v>V</v>
      </c>
      <c r="U76" s="102" t="str">
        <f>MID(VLOOKUP($A76,Seqs!$A:$B,2,FALSE),VLOOKUP($A76,'NonXtal_SegEnds_Prot#'!A:AL,10,FALSE)+8,1)</f>
        <v>M</v>
      </c>
      <c r="V76" s="102" t="str">
        <f>MID(VLOOKUP($A76,Seqs!$A:$B,2,FALSE),VLOOKUP($A76,'NonXtal_SegEnds_Prot#'!A:AL,10,FALSE)+9,1)</f>
        <v>P</v>
      </c>
      <c r="W76" s="71" t="str">
        <f>MID(VLOOKUP($A76,Seqs!$A:$B,2,FALSE),VLOOKUP($A76,'NonXtal_SegEnds_Prot#'!$A:$AL,22,FALSE)+6,1)</f>
        <v>I</v>
      </c>
      <c r="X76" s="102" t="str">
        <f>MID(VLOOKUP($A76,Seqs!$A:$B,2,FALSE),VLOOKUP($A76,'NonXtal_SegEnds_Prot#'!$A:$AL,22,FALSE)+7,1)</f>
        <v>S</v>
      </c>
      <c r="Y76" s="102" t="str">
        <f>MID(VLOOKUP($A76,Seqs!$A:$B,2,FALSE),VLOOKUP($A76,'NonXtal_SegEnds_Prot#'!$A:$AL,22,FALSE)+8,1)</f>
        <v>F</v>
      </c>
      <c r="Z76" s="102" t="str">
        <f>MID(VLOOKUP($A76,Seqs!$A:$B,2,FALSE),VLOOKUP($A76,'NonXtal_SegEnds_Prot#'!$A:$AL,22,FALSE)+9,1)</f>
        <v>I</v>
      </c>
      <c r="AA76" s="102" t="str">
        <f>MID(VLOOKUP($A76,Seqs!$A:$B,2,FALSE),VLOOKUP($A76,'NonXtal_SegEnds_Prot#'!$A:$AL,22,FALSE)+10,1)</f>
        <v>P</v>
      </c>
      <c r="AB76" s="71" t="str">
        <f>MID(VLOOKUP($A76,Seqs!$A:$B,2,FALSE),VLOOKUP($A76,'NonXtal_SegEnds_Prot#'!$A:$AL,28,FALSE)-4,1)</f>
        <v>S</v>
      </c>
      <c r="AC76" s="102" t="str">
        <f>MID(VLOOKUP($A76,Seqs!$A:$B,2,FALSE),VLOOKUP($A76,'NonXtal_SegEnds_Prot#'!$A:$AL,28,FALSE),1)</f>
        <v>P</v>
      </c>
    </row>
    <row r="77" spans="1:29" s="2" customFormat="1" x14ac:dyDescent="0.2">
      <c r="A77" s="2" t="s">
        <v>389</v>
      </c>
      <c r="B77" s="2" t="str">
        <f>LOWER(VLOOKUP(A77,Xtal_Templ!A:B,2,FALSE))</f>
        <v>ednrb_human</v>
      </c>
      <c r="C77" s="2" t="str">
        <f>VLOOKUP(A77,Classification!A:D,2,FALSE)</f>
        <v>A</v>
      </c>
      <c r="E77" s="2" t="s">
        <v>20</v>
      </c>
      <c r="K77" s="2" t="s">
        <v>59</v>
      </c>
      <c r="N77" s="2" t="s">
        <v>43</v>
      </c>
      <c r="P77" s="4" t="s">
        <v>51</v>
      </c>
      <c r="R77" s="71" t="str">
        <f>MID(VLOOKUP($A77,Seqs!$A:$B,2,FALSE),VLOOKUP($A77,'NonXtal_SegEnds_Prot#'!A:AL,10,FALSE),1)</f>
        <v>D</v>
      </c>
      <c r="S77" s="102" t="str">
        <f>MID(VLOOKUP($A77,Seqs!$A:$B,2,FALSE),VLOOKUP($A77,'NonXtal_SegEnds_Prot#'!A:AL,10,FALSE)+6,1)</f>
        <v>I</v>
      </c>
      <c r="T77" s="102" t="str">
        <f>MID(VLOOKUP($A77,Seqs!$A:$B,2,FALSE),VLOOKUP($A77,'NonXtal_SegEnds_Prot#'!A:AL,10,FALSE)+7,1)</f>
        <v>D</v>
      </c>
      <c r="U77" s="102" t="str">
        <f>MID(VLOOKUP($A77,Seqs!$A:$B,2,FALSE),VLOOKUP($A77,'NonXtal_SegEnds_Prot#'!A:AL,10,FALSE)+8,1)</f>
        <v>L</v>
      </c>
      <c r="V77" s="102" t="str">
        <f>MID(VLOOKUP($A77,Seqs!$A:$B,2,FALSE),VLOOKUP($A77,'NonXtal_SegEnds_Prot#'!A:AL,10,FALSE)+9,1)</f>
        <v>P</v>
      </c>
      <c r="W77" s="71" t="str">
        <f>MID(VLOOKUP($A77,Seqs!$A:$B,2,FALSE),VLOOKUP($A77,'NonXtal_SegEnds_Prot#'!$A:$AL,22,FALSE)+6,1)</f>
        <v>L</v>
      </c>
      <c r="X77" s="102" t="str">
        <f>MID(VLOOKUP($A77,Seqs!$A:$B,2,FALSE),VLOOKUP($A77,'NonXtal_SegEnds_Prot#'!$A:$AL,22,FALSE)+7,1)</f>
        <v>A</v>
      </c>
      <c r="Y77" s="102" t="str">
        <f>MID(VLOOKUP($A77,Seqs!$A:$B,2,FALSE),VLOOKUP($A77,'NonXtal_SegEnds_Prot#'!$A:$AL,22,FALSE)+8,1)</f>
        <v>I</v>
      </c>
      <c r="Z77" s="102" t="str">
        <f>MID(VLOOKUP($A77,Seqs!$A:$B,2,FALSE),VLOOKUP($A77,'NonXtal_SegEnds_Prot#'!$A:$AL,22,FALSE)+9,1)</f>
        <v>P</v>
      </c>
      <c r="AA77" s="102" t="str">
        <f>MID(VLOOKUP($A77,Seqs!$A:$B,2,FALSE),VLOOKUP($A77,'NonXtal_SegEnds_Prot#'!$A:$AL,22,FALSE)+10,1)</f>
        <v>E</v>
      </c>
      <c r="AB77" s="71" t="str">
        <f>MID(VLOOKUP($A77,Seqs!$A:$B,2,FALSE),VLOOKUP($A77,'NonXtal_SegEnds_Prot#'!$A:$AL,28,FALSE)-4,1)</f>
        <v>Y</v>
      </c>
      <c r="AC77" s="102" t="str">
        <f>MID(VLOOKUP($A77,Seqs!$A:$B,2,FALSE),VLOOKUP($A77,'NonXtal_SegEnds_Prot#'!$A:$AL,28,FALSE),1)</f>
        <v>P</v>
      </c>
    </row>
    <row r="78" spans="1:29" s="2" customFormat="1" x14ac:dyDescent="0.2">
      <c r="A78" s="2" t="s">
        <v>390</v>
      </c>
      <c r="B78" s="2" t="str">
        <f>LOWER(VLOOKUP(A78,Xtal_Templ!A:B,2,FALSE))</f>
        <v>ednrb_human</v>
      </c>
      <c r="C78" s="2" t="str">
        <f>VLOOKUP(A78,Classification!A:D,2,FALSE)</f>
        <v>A</v>
      </c>
      <c r="E78" s="2" t="s">
        <v>20</v>
      </c>
      <c r="K78" s="2" t="s">
        <v>59</v>
      </c>
      <c r="N78" s="2" t="s">
        <v>43</v>
      </c>
      <c r="P78" s="4" t="s">
        <v>51</v>
      </c>
      <c r="R78" s="71" t="str">
        <f>MID(VLOOKUP($A78,Seqs!$A:$B,2,FALSE),VLOOKUP($A78,'NonXtal_SegEnds_Prot#'!A:AL,10,FALSE),1)</f>
        <v>D</v>
      </c>
      <c r="S78" s="102" t="str">
        <f>MID(VLOOKUP($A78,Seqs!$A:$B,2,FALSE),VLOOKUP($A78,'NonXtal_SegEnds_Prot#'!A:AL,10,FALSE)+6,1)</f>
        <v>I</v>
      </c>
      <c r="T78" s="102" t="str">
        <f>MID(VLOOKUP($A78,Seqs!$A:$B,2,FALSE),VLOOKUP($A78,'NonXtal_SegEnds_Prot#'!A:AL,10,FALSE)+7,1)</f>
        <v>D</v>
      </c>
      <c r="U78" s="102" t="str">
        <f>MID(VLOOKUP($A78,Seqs!$A:$B,2,FALSE),VLOOKUP($A78,'NonXtal_SegEnds_Prot#'!A:AL,10,FALSE)+8,1)</f>
        <v>I</v>
      </c>
      <c r="V78" s="102" t="str">
        <f>MID(VLOOKUP($A78,Seqs!$A:$B,2,FALSE),VLOOKUP($A78,'NonXtal_SegEnds_Prot#'!A:AL,10,FALSE)+9,1)</f>
        <v>P</v>
      </c>
      <c r="W78" s="71" t="str">
        <f>MID(VLOOKUP($A78,Seqs!$A:$B,2,FALSE),VLOOKUP($A78,'NonXtal_SegEnds_Prot#'!$A:$AL,22,FALSE)+6,1)</f>
        <v>L</v>
      </c>
      <c r="X78" s="102" t="str">
        <f>MID(VLOOKUP($A78,Seqs!$A:$B,2,FALSE),VLOOKUP($A78,'NonXtal_SegEnds_Prot#'!$A:$AL,22,FALSE)+7,1)</f>
        <v>A</v>
      </c>
      <c r="Y78" s="102" t="str">
        <f>MID(VLOOKUP($A78,Seqs!$A:$B,2,FALSE),VLOOKUP($A78,'NonXtal_SegEnds_Prot#'!$A:$AL,22,FALSE)+8,1)</f>
        <v>V</v>
      </c>
      <c r="Z78" s="102" t="str">
        <f>MID(VLOOKUP($A78,Seqs!$A:$B,2,FALSE),VLOOKUP($A78,'NonXtal_SegEnds_Prot#'!$A:$AL,22,FALSE)+9,1)</f>
        <v>P</v>
      </c>
      <c r="AA78" s="102" t="str">
        <f>MID(VLOOKUP($A78,Seqs!$A:$B,2,FALSE),VLOOKUP($A78,'NonXtal_SegEnds_Prot#'!$A:$AL,22,FALSE)+10,1)</f>
        <v>E</v>
      </c>
      <c r="AB78" s="71" t="str">
        <f>MID(VLOOKUP($A78,Seqs!$A:$B,2,FALSE),VLOOKUP($A78,'NonXtal_SegEnds_Prot#'!$A:$AL,28,FALSE)-4,1)</f>
        <v>Y</v>
      </c>
      <c r="AC78" s="102" t="str">
        <f>MID(VLOOKUP($A78,Seqs!$A:$B,2,FALSE),VLOOKUP($A78,'NonXtal_SegEnds_Prot#'!$A:$AL,28,FALSE),1)</f>
        <v>P</v>
      </c>
    </row>
    <row r="79" spans="1:29" s="2" customFormat="1" x14ac:dyDescent="0.2">
      <c r="A79" s="2" t="s">
        <v>391</v>
      </c>
      <c r="B79" s="2" t="str">
        <f>LOWER(VLOOKUP(A79,Xtal_Templ!A:B,2,FALSE))</f>
        <v>ednrb_human</v>
      </c>
      <c r="C79" s="2" t="str">
        <f>VLOOKUP(A79,Classification!A:D,2,FALSE)</f>
        <v>A</v>
      </c>
      <c r="E79" s="2" t="s">
        <v>20</v>
      </c>
      <c r="K79" s="2" t="s">
        <v>59</v>
      </c>
      <c r="N79" s="2" t="s">
        <v>43</v>
      </c>
      <c r="P79" s="4" t="s">
        <v>51</v>
      </c>
      <c r="R79" s="71" t="str">
        <f>MID(VLOOKUP($A79,Seqs!$A:$B,2,FALSE),VLOOKUP($A79,'NonXtal_SegEnds_Prot#'!A:AL,10,FALSE),1)</f>
        <v>D</v>
      </c>
      <c r="S79" s="102" t="str">
        <f>MID(VLOOKUP($A79,Seqs!$A:$B,2,FALSE),VLOOKUP($A79,'NonXtal_SegEnds_Prot#'!A:AL,10,FALSE)+6,1)</f>
        <v>F</v>
      </c>
      <c r="T79" s="102" t="str">
        <f>MID(VLOOKUP($A79,Seqs!$A:$B,2,FALSE),VLOOKUP($A79,'NonXtal_SegEnds_Prot#'!A:AL,10,FALSE)+7,1)</f>
        <v>C</v>
      </c>
      <c r="U79" s="102" t="str">
        <f>MID(VLOOKUP($A79,Seqs!$A:$B,2,FALSE),VLOOKUP($A79,'NonXtal_SegEnds_Prot#'!A:AL,10,FALSE)+8,1)</f>
        <v>L</v>
      </c>
      <c r="V79" s="102" t="str">
        <f>MID(VLOOKUP($A79,Seqs!$A:$B,2,FALSE),VLOOKUP($A79,'NonXtal_SegEnds_Prot#'!A:AL,10,FALSE)+9,1)</f>
        <v>P</v>
      </c>
      <c r="W79" s="71" t="str">
        <f>MID(VLOOKUP($A79,Seqs!$A:$B,2,FALSE),VLOOKUP($A79,'NonXtal_SegEnds_Prot#'!$A:$AL,22,FALSE)+6,1)</f>
        <v>L</v>
      </c>
      <c r="X79" s="102" t="str">
        <f>MID(VLOOKUP($A79,Seqs!$A:$B,2,FALSE),VLOOKUP($A79,'NonXtal_SegEnds_Prot#'!$A:$AL,22,FALSE)+7,1)</f>
        <v>A</v>
      </c>
      <c r="Y79" s="102" t="str">
        <f>MID(VLOOKUP($A79,Seqs!$A:$B,2,FALSE),VLOOKUP($A79,'NonXtal_SegEnds_Prot#'!$A:$AL,22,FALSE)+8,1)</f>
        <v>V</v>
      </c>
      <c r="Z79" s="102" t="str">
        <f>MID(VLOOKUP($A79,Seqs!$A:$B,2,FALSE),VLOOKUP($A79,'NonXtal_SegEnds_Prot#'!$A:$AL,22,FALSE)+9,1)</f>
        <v>P</v>
      </c>
      <c r="AA79" s="102" t="str">
        <f>MID(VLOOKUP($A79,Seqs!$A:$B,2,FALSE),VLOOKUP($A79,'NonXtal_SegEnds_Prot#'!$A:$AL,22,FALSE)+10,1)</f>
        <v>E</v>
      </c>
      <c r="AB79" s="71" t="str">
        <f>MID(VLOOKUP($A79,Seqs!$A:$B,2,FALSE),VLOOKUP($A79,'NonXtal_SegEnds_Prot#'!$A:$AL,28,FALSE)-4,1)</f>
        <v>Y</v>
      </c>
      <c r="AC79" s="102" t="str">
        <f>MID(VLOOKUP($A79,Seqs!$A:$B,2,FALSE),VLOOKUP($A79,'NonXtal_SegEnds_Prot#'!$A:$AL,28,FALSE),1)</f>
        <v>P</v>
      </c>
    </row>
    <row r="80" spans="1:29" s="2" customFormat="1" x14ac:dyDescent="0.2">
      <c r="A80" s="2" t="s">
        <v>1392</v>
      </c>
      <c r="B80" s="2" t="str">
        <f>LOWER(VLOOKUP(A80,Xtal_Templ!A:B,2,FALSE))</f>
        <v>ffar1_human</v>
      </c>
      <c r="C80" s="2" t="str">
        <f>VLOOKUP(A80,Classification!A:D,2,FALSE)</f>
        <v>A</v>
      </c>
      <c r="N80" s="2" t="s">
        <v>43</v>
      </c>
      <c r="O80" s="2" t="s">
        <v>1554</v>
      </c>
      <c r="P80" s="4" t="s">
        <v>51</v>
      </c>
      <c r="R80" s="71" t="str">
        <f>MID(VLOOKUP($A80,Seqs!$A:$B,2,FALSE),VLOOKUP($A80,'NonXtal_SegEnds_Prot#'!A:AL,10,FALSE),1)</f>
        <v>D</v>
      </c>
      <c r="S80" s="102" t="str">
        <f>MID(VLOOKUP($A80,Seqs!$A:$B,2,FALSE),VLOOKUP($A80,'NonXtal_SegEnds_Prot#'!A:AL,10,FALSE)+6,1)</f>
        <v>S</v>
      </c>
      <c r="T80" s="102" t="str">
        <f>MID(VLOOKUP($A80,Seqs!$A:$B,2,FALSE),VLOOKUP($A80,'NonXtal_SegEnds_Prot#'!A:AL,10,FALSE)+7,1)</f>
        <v>L</v>
      </c>
      <c r="U80" s="102" t="str">
        <f>MID(VLOOKUP($A80,Seqs!$A:$B,2,FALSE),VLOOKUP($A80,'NonXtal_SegEnds_Prot#'!A:AL,10,FALSE)+8,1)</f>
        <v>P</v>
      </c>
      <c r="V80" s="102" t="str">
        <f>MID(VLOOKUP($A80,Seqs!$A:$B,2,FALSE),VLOOKUP($A80,'NonXtal_SegEnds_Prot#'!A:AL,10,FALSE)+9,1)</f>
        <v>L</v>
      </c>
      <c r="W80" s="71" t="str">
        <f>MID(VLOOKUP($A80,Seqs!$A:$B,2,FALSE),VLOOKUP($A80,'NonXtal_SegEnds_Prot#'!$A:$AL,22,FALSE)+6,1)</f>
        <v>H</v>
      </c>
      <c r="X80" s="102" t="str">
        <f>MID(VLOOKUP($A80,Seqs!$A:$B,2,FALSE),VLOOKUP($A80,'NonXtal_SegEnds_Prot#'!$A:$AL,22,FALSE)+7,1)</f>
        <v>L</v>
      </c>
      <c r="Y80" s="102" t="str">
        <f>MID(VLOOKUP($A80,Seqs!$A:$B,2,FALSE),VLOOKUP($A80,'NonXtal_SegEnds_Prot#'!$A:$AL,22,FALSE)+8,1)</f>
        <v>G</v>
      </c>
      <c r="Z80" s="102" t="str">
        <f>MID(VLOOKUP($A80,Seqs!$A:$B,2,FALSE),VLOOKUP($A80,'NonXtal_SegEnds_Prot#'!$A:$AL,22,FALSE)+9,1)</f>
        <v>L</v>
      </c>
      <c r="AA80" s="102" t="str">
        <f>MID(VLOOKUP($A80,Seqs!$A:$B,2,FALSE),VLOOKUP($A80,'NonXtal_SegEnds_Prot#'!$A:$AL,22,FALSE)+10,1)</f>
        <v>V</v>
      </c>
      <c r="AB80" s="71" t="str">
        <f>MID(VLOOKUP($A80,Seqs!$A:$B,2,FALSE),VLOOKUP($A80,'NonXtal_SegEnds_Prot#'!$A:$AL,28,FALSE)-4,1)</f>
        <v>L</v>
      </c>
      <c r="AC80" s="102" t="str">
        <f>MID(VLOOKUP($A80,Seqs!$A:$B,2,FALSE),VLOOKUP($A80,'NonXtal_SegEnds_Prot#'!$A:$AL,28,FALSE),1)</f>
        <v>P</v>
      </c>
    </row>
    <row r="81" spans="1:29" s="2" customFormat="1" x14ac:dyDescent="0.2">
      <c r="A81" s="2" t="s">
        <v>392</v>
      </c>
      <c r="B81" s="2" t="str">
        <f>LOWER(VLOOKUP(A81,Xtal_Templ!A:B,2,FALSE))</f>
        <v>ffar1_human</v>
      </c>
      <c r="C81" s="2" t="str">
        <f>VLOOKUP(A81,Classification!A:D,2,FALSE)</f>
        <v>A</v>
      </c>
      <c r="N81" s="2" t="s">
        <v>43</v>
      </c>
      <c r="O81" s="2" t="s">
        <v>1554</v>
      </c>
      <c r="P81" s="4" t="s">
        <v>51</v>
      </c>
      <c r="R81" s="71" t="str">
        <f>MID(VLOOKUP($A81,Seqs!$A:$B,2,FALSE),VLOOKUP($A81,'NonXtal_SegEnds_Prot#'!A:AL,10,FALSE),1)</f>
        <v>D</v>
      </c>
      <c r="S81" s="102" t="str">
        <f>MID(VLOOKUP($A81,Seqs!$A:$B,2,FALSE),VLOOKUP($A81,'NonXtal_SegEnds_Prot#'!A:AL,10,FALSE)+6,1)</f>
        <v>L</v>
      </c>
      <c r="T81" s="102" t="str">
        <f>MID(VLOOKUP($A81,Seqs!$A:$B,2,FALSE),VLOOKUP($A81,'NonXtal_SegEnds_Prot#'!A:AL,10,FALSE)+7,1)</f>
        <v>L</v>
      </c>
      <c r="U81" s="102" t="str">
        <f>MID(VLOOKUP($A81,Seqs!$A:$B,2,FALSE),VLOOKUP($A81,'NonXtal_SegEnds_Prot#'!A:AL,10,FALSE)+8,1)</f>
        <v>P</v>
      </c>
      <c r="V81" s="102" t="str">
        <f>MID(VLOOKUP($A81,Seqs!$A:$B,2,FALSE),VLOOKUP($A81,'NonXtal_SegEnds_Prot#'!A:AL,10,FALSE)+9,1)</f>
        <v>F</v>
      </c>
      <c r="W81" s="71" t="str">
        <f>MID(VLOOKUP($A81,Seqs!$A:$B,2,FALSE),VLOOKUP($A81,'NonXtal_SegEnds_Prot#'!$A:$AL,22,FALSE)+6,1)</f>
        <v>H</v>
      </c>
      <c r="X81" s="102" t="str">
        <f>MID(VLOOKUP($A81,Seqs!$A:$B,2,FALSE),VLOOKUP($A81,'NonXtal_SegEnds_Prot#'!$A:$AL,22,FALSE)+7,1)</f>
        <v>C</v>
      </c>
      <c r="Y81" s="102" t="str">
        <f>MID(VLOOKUP($A81,Seqs!$A:$B,2,FALSE),VLOOKUP($A81,'NonXtal_SegEnds_Prot#'!$A:$AL,22,FALSE)+8,1)</f>
        <v>T</v>
      </c>
      <c r="Z81" s="102" t="str">
        <f>MID(VLOOKUP($A81,Seqs!$A:$B,2,FALSE),VLOOKUP($A81,'NonXtal_SegEnds_Prot#'!$A:$AL,22,FALSE)+9,1)</f>
        <v>I</v>
      </c>
      <c r="AA81" s="102" t="str">
        <f>MID(VLOOKUP($A81,Seqs!$A:$B,2,FALSE),VLOOKUP($A81,'NonXtal_SegEnds_Prot#'!$A:$AL,22,FALSE)+10,1)</f>
        <v>V</v>
      </c>
      <c r="AB81" s="71" t="str">
        <f>MID(VLOOKUP($A81,Seqs!$A:$B,2,FALSE),VLOOKUP($A81,'NonXtal_SegEnds_Prot#'!$A:$AL,28,FALSE)-4,1)</f>
        <v>L</v>
      </c>
      <c r="AC81" s="102" t="str">
        <f>MID(VLOOKUP($A81,Seqs!$A:$B,2,FALSE),VLOOKUP($A81,'NonXtal_SegEnds_Prot#'!$A:$AL,28,FALSE),1)</f>
        <v>P</v>
      </c>
    </row>
    <row r="82" spans="1:29" s="2" customFormat="1" x14ac:dyDescent="0.2">
      <c r="A82" s="2" t="s">
        <v>393</v>
      </c>
      <c r="B82" s="2" t="str">
        <f>LOWER(VLOOKUP(A82,Xtal_Templ!A:B,2,FALSE))</f>
        <v>par1_human</v>
      </c>
      <c r="C82" s="2" t="str">
        <f>VLOOKUP(A82,Classification!A:D,2,FALSE)</f>
        <v>A</v>
      </c>
      <c r="N82" s="2" t="s">
        <v>43</v>
      </c>
      <c r="O82" s="2" t="s">
        <v>1554</v>
      </c>
      <c r="P82" s="4" t="s">
        <v>51</v>
      </c>
      <c r="R82" s="71" t="str">
        <f>MID(VLOOKUP($A82,Seqs!$A:$B,2,FALSE),VLOOKUP($A82,'NonXtal_SegEnds_Prot#'!A:AL,10,FALSE),1)</f>
        <v>D</v>
      </c>
      <c r="S82" s="102" t="str">
        <f>MID(VLOOKUP($A82,Seqs!$A:$B,2,FALSE),VLOOKUP($A82,'NonXtal_SegEnds_Prot#'!A:AL,10,FALSE)+6,1)</f>
        <v>F</v>
      </c>
      <c r="T82" s="102" t="str">
        <f>MID(VLOOKUP($A82,Seqs!$A:$B,2,FALSE),VLOOKUP($A82,'NonXtal_SegEnds_Prot#'!A:AL,10,FALSE)+7,1)</f>
        <v>L</v>
      </c>
      <c r="U82" s="102" t="str">
        <f>MID(VLOOKUP($A82,Seqs!$A:$B,2,FALSE),VLOOKUP($A82,'NonXtal_SegEnds_Prot#'!A:AL,10,FALSE)+8,1)</f>
        <v>P</v>
      </c>
      <c r="V82" s="102" t="str">
        <f>MID(VLOOKUP($A82,Seqs!$A:$B,2,FALSE),VLOOKUP($A82,'NonXtal_SegEnds_Prot#'!A:AL,10,FALSE)+9,1)</f>
        <v>F</v>
      </c>
      <c r="W82" s="71" t="str">
        <f>MID(VLOOKUP($A82,Seqs!$A:$B,2,FALSE),VLOOKUP($A82,'NonXtal_SegEnds_Prot#'!$A:$AL,22,FALSE)+6,1)</f>
        <v>H</v>
      </c>
      <c r="X82" s="102" t="str">
        <f>MID(VLOOKUP($A82,Seqs!$A:$B,2,FALSE),VLOOKUP($A82,'NonXtal_SegEnds_Prot#'!$A:$AL,22,FALSE)+7,1)</f>
        <v>C</v>
      </c>
      <c r="Y82" s="102" t="str">
        <f>MID(VLOOKUP($A82,Seqs!$A:$B,2,FALSE),VLOOKUP($A82,'NonXtal_SegEnds_Prot#'!$A:$AL,22,FALSE)+8,1)</f>
        <v>S</v>
      </c>
      <c r="Z82" s="102" t="str">
        <f>MID(VLOOKUP($A82,Seqs!$A:$B,2,FALSE),VLOOKUP($A82,'NonXtal_SegEnds_Prot#'!$A:$AL,22,FALSE)+9,1)</f>
        <v>V</v>
      </c>
      <c r="AA82" s="102" t="str">
        <f>MID(VLOOKUP($A82,Seqs!$A:$B,2,FALSE),VLOOKUP($A82,'NonXtal_SegEnds_Prot#'!$A:$AL,22,FALSE)+10,1)</f>
        <v>V</v>
      </c>
      <c r="AB82" s="71" t="str">
        <f>MID(VLOOKUP($A82,Seqs!$A:$B,2,FALSE),VLOOKUP($A82,'NonXtal_SegEnds_Prot#'!$A:$AL,28,FALSE)-4,1)</f>
        <v>L</v>
      </c>
      <c r="AC82" s="102" t="str">
        <f>MID(VLOOKUP($A82,Seqs!$A:$B,2,FALSE),VLOOKUP($A82,'NonXtal_SegEnds_Prot#'!$A:$AL,28,FALSE),1)</f>
        <v>P</v>
      </c>
    </row>
    <row r="83" spans="1:29" s="2" customFormat="1" x14ac:dyDescent="0.2">
      <c r="A83" s="2" t="s">
        <v>394</v>
      </c>
      <c r="B83" s="2" t="str">
        <f>LOWER(VLOOKUP(A83,Xtal_Templ!A:B,2,FALSE))</f>
        <v>oprk_human</v>
      </c>
      <c r="C83" s="2" t="str">
        <f>VLOOKUP(A83,Classification!A:D,2,FALSE)</f>
        <v>A</v>
      </c>
      <c r="K83" s="2" t="s">
        <v>59</v>
      </c>
      <c r="N83" s="2" t="s">
        <v>43</v>
      </c>
      <c r="O83" s="2" t="s">
        <v>1554</v>
      </c>
      <c r="P83" s="4" t="s">
        <v>51</v>
      </c>
      <c r="R83" s="71" t="str">
        <f>MID(VLOOKUP($A83,Seqs!$A:$B,2,FALSE),VLOOKUP($A83,'NonXtal_SegEnds_Prot#'!A:AL,10,FALSE),1)</f>
        <v>D</v>
      </c>
      <c r="S83" s="102" t="str">
        <f>MID(VLOOKUP($A83,Seqs!$A:$B,2,FALSE),VLOOKUP($A83,'NonXtal_SegEnds_Prot#'!A:AL,10,FALSE)+6,1)</f>
        <v>A</v>
      </c>
      <c r="T83" s="102" t="str">
        <f>MID(VLOOKUP($A83,Seqs!$A:$B,2,FALSE),VLOOKUP($A83,'NonXtal_SegEnds_Prot#'!A:AL,10,FALSE)+7,1)</f>
        <v>I</v>
      </c>
      <c r="U83" s="102" t="str">
        <f>MID(VLOOKUP($A83,Seqs!$A:$B,2,FALSE),VLOOKUP($A83,'NonXtal_SegEnds_Prot#'!A:AL,10,FALSE)+8,1)</f>
        <v>P</v>
      </c>
      <c r="V83" s="102" t="str">
        <f>MID(VLOOKUP($A83,Seqs!$A:$B,2,FALSE),VLOOKUP($A83,'NonXtal_SegEnds_Prot#'!A:AL,10,FALSE)+9,1)</f>
        <v>L</v>
      </c>
      <c r="W83" s="71" t="str">
        <f>MID(VLOOKUP($A83,Seqs!$A:$B,2,FALSE),VLOOKUP($A83,'NonXtal_SegEnds_Prot#'!$A:$AL,22,FALSE)+6,1)</f>
        <v>A</v>
      </c>
      <c r="X83" s="102" t="str">
        <f>MID(VLOOKUP($A83,Seqs!$A:$B,2,FALSE),VLOOKUP($A83,'NonXtal_SegEnds_Prot#'!$A:$AL,22,FALSE)+7,1)</f>
        <v>A</v>
      </c>
      <c r="Y83" s="102" t="str">
        <f>MID(VLOOKUP($A83,Seqs!$A:$B,2,FALSE),VLOOKUP($A83,'NonXtal_SegEnds_Prot#'!$A:$AL,22,FALSE)+8,1)</f>
        <v>L</v>
      </c>
      <c r="Z83" s="102" t="str">
        <f>MID(VLOOKUP($A83,Seqs!$A:$B,2,FALSE),VLOOKUP($A83,'NonXtal_SegEnds_Prot#'!$A:$AL,22,FALSE)+9,1)</f>
        <v>P</v>
      </c>
      <c r="AA83" s="102" t="str">
        <f>MID(VLOOKUP($A83,Seqs!$A:$B,2,FALSE),VLOOKUP($A83,'NonXtal_SegEnds_Prot#'!$A:$AL,22,FALSE)+10,1)</f>
        <v>L</v>
      </c>
      <c r="AB83" s="71" t="str">
        <f>MID(VLOOKUP($A83,Seqs!$A:$B,2,FALSE),VLOOKUP($A83,'NonXtal_SegEnds_Prot#'!$A:$AL,28,FALSE)-4,1)</f>
        <v>N</v>
      </c>
      <c r="AC83" s="102" t="str">
        <f>MID(VLOOKUP($A83,Seqs!$A:$B,2,FALSE),VLOOKUP($A83,'NonXtal_SegEnds_Prot#'!$A:$AL,28,FALSE),1)</f>
        <v>P</v>
      </c>
    </row>
    <row r="84" spans="1:29" s="2" customFormat="1" x14ac:dyDescent="0.2">
      <c r="A84" s="2" t="s">
        <v>395</v>
      </c>
      <c r="B84" s="2" t="str">
        <f>LOWER(VLOOKUP(A84,Xtal_Templ!A:B,2,FALSE))</f>
        <v>cxcr4_human</v>
      </c>
      <c r="C84" s="2" t="str">
        <f>VLOOKUP(A84,Classification!A:D,2,FALSE)</f>
        <v>A</v>
      </c>
      <c r="K84" s="2" t="s">
        <v>59</v>
      </c>
      <c r="N84" s="2" t="s">
        <v>43</v>
      </c>
      <c r="P84" s="4" t="s">
        <v>51</v>
      </c>
      <c r="R84" s="71" t="str">
        <f>MID(VLOOKUP($A84,Seqs!$A:$B,2,FALSE),VLOOKUP($A84,'NonXtal_SegEnds_Prot#'!A:AL,10,FALSE),1)</f>
        <v>D</v>
      </c>
      <c r="S84" s="102" t="str">
        <f>MID(VLOOKUP($A84,Seqs!$A:$B,2,FALSE),VLOOKUP($A84,'NonXtal_SegEnds_Prot#'!A:AL,10,FALSE)+6,1)</f>
        <v>T</v>
      </c>
      <c r="T84" s="102" t="str">
        <f>MID(VLOOKUP($A84,Seqs!$A:$B,2,FALSE),VLOOKUP($A84,'NonXtal_SegEnds_Prot#'!A:AL,10,FALSE)+7,1)</f>
        <v>L</v>
      </c>
      <c r="U84" s="102" t="str">
        <f>MID(VLOOKUP($A84,Seqs!$A:$B,2,FALSE),VLOOKUP($A84,'NonXtal_SegEnds_Prot#'!A:AL,10,FALSE)+8,1)</f>
        <v>P</v>
      </c>
      <c r="V84" s="102" t="str">
        <f>MID(VLOOKUP($A84,Seqs!$A:$B,2,FALSE),VLOOKUP($A84,'NonXtal_SegEnds_Prot#'!A:AL,10,FALSE)+9,1)</f>
        <v>F</v>
      </c>
      <c r="W84" s="71" t="str">
        <f>MID(VLOOKUP($A84,Seqs!$A:$B,2,FALSE),VLOOKUP($A84,'NonXtal_SegEnds_Prot#'!$A:$AL,22,FALSE)+6,1)</f>
        <v>L</v>
      </c>
      <c r="X84" s="102" t="str">
        <f>MID(VLOOKUP($A84,Seqs!$A:$B,2,FALSE),VLOOKUP($A84,'NonXtal_SegEnds_Prot#'!$A:$AL,22,FALSE)+7,1)</f>
        <v>T</v>
      </c>
      <c r="Y84" s="102" t="str">
        <f>MID(VLOOKUP($A84,Seqs!$A:$B,2,FALSE),VLOOKUP($A84,'NonXtal_SegEnds_Prot#'!$A:$AL,22,FALSE)+8,1)</f>
        <v>L</v>
      </c>
      <c r="Z84" s="102" t="str">
        <f>MID(VLOOKUP($A84,Seqs!$A:$B,2,FALSE),VLOOKUP($A84,'NonXtal_SegEnds_Prot#'!$A:$AL,22,FALSE)+9,1)</f>
        <v>P</v>
      </c>
      <c r="AA84" s="102" t="str">
        <f>MID(VLOOKUP($A84,Seqs!$A:$B,2,FALSE),VLOOKUP($A84,'NonXtal_SegEnds_Prot#'!$A:$AL,22,FALSE)+10,1)</f>
        <v>V</v>
      </c>
      <c r="AB84" s="71" t="str">
        <f>MID(VLOOKUP($A84,Seqs!$A:$B,2,FALSE),VLOOKUP($A84,'NonXtal_SegEnds_Prot#'!$A:$AL,28,FALSE)-4,1)</f>
        <v>G</v>
      </c>
      <c r="AC84" s="102" t="str">
        <f>MID(VLOOKUP($A84,Seqs!$A:$B,2,FALSE),VLOOKUP($A84,'NonXtal_SegEnds_Prot#'!$A:$AL,28,FALSE),1)</f>
        <v>P</v>
      </c>
    </row>
    <row r="85" spans="1:29" s="2" customFormat="1" x14ac:dyDescent="0.2">
      <c r="A85" s="2" t="s">
        <v>396</v>
      </c>
      <c r="B85" s="2" t="str">
        <f>LOWER(VLOOKUP(A85,Xtal_Templ!A:B,2,FALSE))</f>
        <v>cxcr4_human</v>
      </c>
      <c r="C85" s="2" t="str">
        <f>VLOOKUP(A85,Classification!A:D,2,FALSE)</f>
        <v>A</v>
      </c>
      <c r="K85" s="2" t="s">
        <v>59</v>
      </c>
      <c r="N85" s="2" t="s">
        <v>43</v>
      </c>
      <c r="P85" s="4" t="s">
        <v>51</v>
      </c>
      <c r="R85" s="71" t="str">
        <f>MID(VLOOKUP($A85,Seqs!$A:$B,2,FALSE),VLOOKUP($A85,'NonXtal_SegEnds_Prot#'!A:AL,10,FALSE),1)</f>
        <v>D</v>
      </c>
      <c r="S85" s="102" t="str">
        <f>MID(VLOOKUP($A85,Seqs!$A:$B,2,FALSE),VLOOKUP($A85,'NonXtal_SegEnds_Prot#'!A:AL,10,FALSE)+6,1)</f>
        <v>T</v>
      </c>
      <c r="T85" s="102" t="str">
        <f>MID(VLOOKUP($A85,Seqs!$A:$B,2,FALSE),VLOOKUP($A85,'NonXtal_SegEnds_Prot#'!A:AL,10,FALSE)+7,1)</f>
        <v>L</v>
      </c>
      <c r="U85" s="102" t="str">
        <f>MID(VLOOKUP($A85,Seqs!$A:$B,2,FALSE),VLOOKUP($A85,'NonXtal_SegEnds_Prot#'!A:AL,10,FALSE)+8,1)</f>
        <v>P</v>
      </c>
      <c r="V85" s="102" t="str">
        <f>MID(VLOOKUP($A85,Seqs!$A:$B,2,FALSE),VLOOKUP($A85,'NonXtal_SegEnds_Prot#'!A:AL,10,FALSE)+9,1)</f>
        <v>F</v>
      </c>
      <c r="W85" s="71" t="str">
        <f>MID(VLOOKUP($A85,Seqs!$A:$B,2,FALSE),VLOOKUP($A85,'NonXtal_SegEnds_Prot#'!$A:$AL,22,FALSE)+6,1)</f>
        <v>L</v>
      </c>
      <c r="X85" s="102" t="str">
        <f>MID(VLOOKUP($A85,Seqs!$A:$B,2,FALSE),VLOOKUP($A85,'NonXtal_SegEnds_Prot#'!$A:$AL,22,FALSE)+7,1)</f>
        <v>T</v>
      </c>
      <c r="Y85" s="102" t="str">
        <f>MID(VLOOKUP($A85,Seqs!$A:$B,2,FALSE),VLOOKUP($A85,'NonXtal_SegEnds_Prot#'!$A:$AL,22,FALSE)+8,1)</f>
        <v>L</v>
      </c>
      <c r="Z85" s="102" t="str">
        <f>MID(VLOOKUP($A85,Seqs!$A:$B,2,FALSE),VLOOKUP($A85,'NonXtal_SegEnds_Prot#'!$A:$AL,22,FALSE)+9,1)</f>
        <v>P</v>
      </c>
      <c r="AA85" s="102" t="str">
        <f>MID(VLOOKUP($A85,Seqs!$A:$B,2,FALSE),VLOOKUP($A85,'NonXtal_SegEnds_Prot#'!$A:$AL,22,FALSE)+10,1)</f>
        <v>V</v>
      </c>
      <c r="AB85" s="71" t="str">
        <f>MID(VLOOKUP($A85,Seqs!$A:$B,2,FALSE),VLOOKUP($A85,'NonXtal_SegEnds_Prot#'!$A:$AL,28,FALSE)-4,1)</f>
        <v>G</v>
      </c>
      <c r="AC85" s="102" t="str">
        <f>MID(VLOOKUP($A85,Seqs!$A:$B,2,FALSE),VLOOKUP($A85,'NonXtal_SegEnds_Prot#'!$A:$AL,28,FALSE),1)</f>
        <v>P</v>
      </c>
    </row>
    <row r="86" spans="1:29" s="2" customFormat="1" x14ac:dyDescent="0.2">
      <c r="A86" s="2" t="s">
        <v>397</v>
      </c>
      <c r="B86" s="2" t="str">
        <f>LOWER(VLOOKUP(A86,Xtal_Templ!A:B,2,FALSE))</f>
        <v>cxcr4_human</v>
      </c>
      <c r="C86" s="2" t="str">
        <f>VLOOKUP(A86,Classification!A:D,2,FALSE)</f>
        <v>A</v>
      </c>
      <c r="K86" s="2" t="s">
        <v>59</v>
      </c>
      <c r="N86" s="2" t="s">
        <v>43</v>
      </c>
      <c r="P86" s="4" t="s">
        <v>51</v>
      </c>
      <c r="R86" s="71" t="str">
        <f>MID(VLOOKUP($A86,Seqs!$A:$B,2,FALSE),VLOOKUP($A86,'NonXtal_SegEnds_Prot#'!A:AL,10,FALSE),1)</f>
        <v>D</v>
      </c>
      <c r="S86" s="102" t="str">
        <f>MID(VLOOKUP($A86,Seqs!$A:$B,2,FALSE),VLOOKUP($A86,'NonXtal_SegEnds_Prot#'!A:AL,10,FALSE)+6,1)</f>
        <v>I</v>
      </c>
      <c r="T86" s="102" t="str">
        <f>MID(VLOOKUP($A86,Seqs!$A:$B,2,FALSE),VLOOKUP($A86,'NonXtal_SegEnds_Prot#'!A:AL,10,FALSE)+7,1)</f>
        <v>L</v>
      </c>
      <c r="U86" s="102" t="str">
        <f>MID(VLOOKUP($A86,Seqs!$A:$B,2,FALSE),VLOOKUP($A86,'NonXtal_SegEnds_Prot#'!A:AL,10,FALSE)+8,1)</f>
        <v>P</v>
      </c>
      <c r="V86" s="102" t="str">
        <f>MID(VLOOKUP($A86,Seqs!$A:$B,2,FALSE),VLOOKUP($A86,'NonXtal_SegEnds_Prot#'!A:AL,10,FALSE)+9,1)</f>
        <v>F</v>
      </c>
      <c r="W86" s="71" t="str">
        <f>MID(VLOOKUP($A86,Seqs!$A:$B,2,FALSE),VLOOKUP($A86,'NonXtal_SegEnds_Prot#'!$A:$AL,22,FALSE)+6,1)</f>
        <v>L</v>
      </c>
      <c r="X86" s="102" t="str">
        <f>MID(VLOOKUP($A86,Seqs!$A:$B,2,FALSE),VLOOKUP($A86,'NonXtal_SegEnds_Prot#'!$A:$AL,22,FALSE)+7,1)</f>
        <v>T</v>
      </c>
      <c r="Y86" s="102" t="str">
        <f>MID(VLOOKUP($A86,Seqs!$A:$B,2,FALSE),VLOOKUP($A86,'NonXtal_SegEnds_Prot#'!$A:$AL,22,FALSE)+8,1)</f>
        <v>L</v>
      </c>
      <c r="Z86" s="102" t="str">
        <f>MID(VLOOKUP($A86,Seqs!$A:$B,2,FALSE),VLOOKUP($A86,'NonXtal_SegEnds_Prot#'!$A:$AL,22,FALSE)+9,1)</f>
        <v>P</v>
      </c>
      <c r="AA86" s="102" t="str">
        <f>MID(VLOOKUP($A86,Seqs!$A:$B,2,FALSE),VLOOKUP($A86,'NonXtal_SegEnds_Prot#'!$A:$AL,22,FALSE)+10,1)</f>
        <v>N</v>
      </c>
      <c r="AB86" s="71" t="str">
        <f>MID(VLOOKUP($A86,Seqs!$A:$B,2,FALSE),VLOOKUP($A86,'NonXtal_SegEnds_Prot#'!$A:$AL,28,FALSE)-4,1)</f>
        <v>G</v>
      </c>
      <c r="AC86" s="102" t="str">
        <f>MID(VLOOKUP($A86,Seqs!$A:$B,2,FALSE),VLOOKUP($A86,'NonXtal_SegEnds_Prot#'!$A:$AL,28,FALSE),1)</f>
        <v>P</v>
      </c>
    </row>
    <row r="87" spans="1:29" s="2" customFormat="1" x14ac:dyDescent="0.2">
      <c r="A87" s="2" t="s">
        <v>398</v>
      </c>
      <c r="B87" s="2" t="str">
        <f>LOWER(VLOOKUP(A87,Xtal_Templ!A:B,2,FALSE))</f>
        <v>aa2ar_human</v>
      </c>
      <c r="C87" s="2" t="str">
        <f>VLOOKUP(A87,Classification!A:D,2,FALSE)</f>
        <v>A</v>
      </c>
      <c r="P87" s="4" t="s">
        <v>51</v>
      </c>
      <c r="R87" s="71" t="str">
        <f>MID(VLOOKUP($A87,Seqs!$A:$B,2,FALSE),VLOOKUP($A87,'NonXtal_SegEnds_Prot#'!A:AL,10,FALSE),1)</f>
        <v>D</v>
      </c>
      <c r="S87" s="102" t="str">
        <f>MID(VLOOKUP($A87,Seqs!$A:$B,2,FALSE),VLOOKUP($A87,'NonXtal_SegEnds_Prot#'!A:AL,10,FALSE)+6,1)</f>
        <v>Y</v>
      </c>
      <c r="T87" s="102" t="str">
        <f>MID(VLOOKUP($A87,Seqs!$A:$B,2,FALSE),VLOOKUP($A87,'NonXtal_SegEnds_Prot#'!A:AL,10,FALSE)+7,1)</f>
        <v>L</v>
      </c>
      <c r="U87" s="102" t="str">
        <f>MID(VLOOKUP($A87,Seqs!$A:$B,2,FALSE),VLOOKUP($A87,'NonXtal_SegEnds_Prot#'!A:AL,10,FALSE)+8,1)</f>
        <v>L</v>
      </c>
      <c r="V87" s="102" t="str">
        <f>MID(VLOOKUP($A87,Seqs!$A:$B,2,FALSE),VLOOKUP($A87,'NonXtal_SegEnds_Prot#'!A:AL,10,FALSE)+9,1)</f>
        <v>L</v>
      </c>
      <c r="W87" s="71" t="str">
        <f>MID(VLOOKUP($A87,Seqs!$A:$B,2,FALSE),VLOOKUP($A87,'NonXtal_SegEnds_Prot#'!$A:$AL,22,FALSE)+6,1)</f>
        <v>A</v>
      </c>
      <c r="X87" s="102" t="str">
        <f>MID(VLOOKUP($A87,Seqs!$A:$B,2,FALSE),VLOOKUP($A87,'NonXtal_SegEnds_Prot#'!$A:$AL,22,FALSE)+7,1)</f>
        <v>A</v>
      </c>
      <c r="Y87" s="102" t="str">
        <f>MID(VLOOKUP($A87,Seqs!$A:$B,2,FALSE),VLOOKUP($A87,'NonXtal_SegEnds_Prot#'!$A:$AL,22,FALSE)+8,1)</f>
        <v>L</v>
      </c>
      <c r="Z87" s="102" t="str">
        <f>MID(VLOOKUP($A87,Seqs!$A:$B,2,FALSE),VLOOKUP($A87,'NonXtal_SegEnds_Prot#'!$A:$AL,22,FALSE)+9,1)</f>
        <v>F</v>
      </c>
      <c r="AA87" s="102" t="str">
        <f>MID(VLOOKUP($A87,Seqs!$A:$B,2,FALSE),VLOOKUP($A87,'NonXtal_SegEnds_Prot#'!$A:$AL,22,FALSE)+10,1)</f>
        <v>P</v>
      </c>
      <c r="AB87" s="71" t="str">
        <f>MID(VLOOKUP($A87,Seqs!$A:$B,2,FALSE),VLOOKUP($A87,'NonXtal_SegEnds_Prot#'!$A:$AL,28,FALSE)-4,1)</f>
        <v>L</v>
      </c>
      <c r="AC87" s="102" t="str">
        <f>MID(VLOOKUP($A87,Seqs!$A:$B,2,FALSE),VLOOKUP($A87,'NonXtal_SegEnds_Prot#'!$A:$AL,28,FALSE),1)</f>
        <v>A</v>
      </c>
    </row>
    <row r="88" spans="1:29" s="2" customFormat="1" x14ac:dyDescent="0.2">
      <c r="A88" s="2" t="s">
        <v>399</v>
      </c>
      <c r="B88" s="2" t="str">
        <f>LOWER(VLOOKUP(A88,Xtal_Templ!A:B,2,FALSE))</f>
        <v>oprm_mouse</v>
      </c>
      <c r="C88" s="2" t="str">
        <f>VLOOKUP(A88,Classification!A:D,2,FALSE)</f>
        <v>A</v>
      </c>
      <c r="E88" s="2" t="s">
        <v>20</v>
      </c>
      <c r="N88" s="2" t="s">
        <v>43</v>
      </c>
      <c r="P88" s="4" t="s">
        <v>51</v>
      </c>
      <c r="R88" s="71" t="str">
        <f>MID(VLOOKUP($A88,Seqs!$A:$B,2,FALSE),VLOOKUP($A88,'NonXtal_SegEnds_Prot#'!A:AL,10,FALSE),1)</f>
        <v>D</v>
      </c>
      <c r="S88" s="102" t="str">
        <f>MID(VLOOKUP($A88,Seqs!$A:$B,2,FALSE),VLOOKUP($A88,'NonXtal_SegEnds_Prot#'!A:AL,10,FALSE)+6,1)</f>
        <v>F</v>
      </c>
      <c r="T88" s="102" t="str">
        <f>MID(VLOOKUP($A88,Seqs!$A:$B,2,FALSE),VLOOKUP($A88,'NonXtal_SegEnds_Prot#'!A:AL,10,FALSE)+7,1)</f>
        <v>C</v>
      </c>
      <c r="U88" s="102" t="str">
        <f>MID(VLOOKUP($A88,Seqs!$A:$B,2,FALSE),VLOOKUP($A88,'NonXtal_SegEnds_Prot#'!A:AL,10,FALSE)+8,1)</f>
        <v>I</v>
      </c>
      <c r="V88" s="102" t="str">
        <f>MID(VLOOKUP($A88,Seqs!$A:$B,2,FALSE),VLOOKUP($A88,'NonXtal_SegEnds_Prot#'!A:AL,10,FALSE)+9,1)</f>
        <v>P</v>
      </c>
      <c r="W88" s="71" t="str">
        <f>MID(VLOOKUP($A88,Seqs!$A:$B,2,FALSE),VLOOKUP($A88,'NonXtal_SegEnds_Prot#'!$A:$AL,22,FALSE)+6,1)</f>
        <v>M</v>
      </c>
      <c r="X88" s="102" t="str">
        <f>MID(VLOOKUP($A88,Seqs!$A:$B,2,FALSE),VLOOKUP($A88,'NonXtal_SegEnds_Prot#'!$A:$AL,22,FALSE)+7,1)</f>
        <v>A</v>
      </c>
      <c r="Y88" s="102" t="str">
        <f>MID(VLOOKUP($A88,Seqs!$A:$B,2,FALSE),VLOOKUP($A88,'NonXtal_SegEnds_Prot#'!$A:$AL,22,FALSE)+8,1)</f>
        <v>S</v>
      </c>
      <c r="Z88" s="102" t="str">
        <f>MID(VLOOKUP($A88,Seqs!$A:$B,2,FALSE),VLOOKUP($A88,'NonXtal_SegEnds_Prot#'!$A:$AL,22,FALSE)+9,1)</f>
        <v>P</v>
      </c>
      <c r="AA88" s="102" t="str">
        <f>MID(VLOOKUP($A88,Seqs!$A:$B,2,FALSE),VLOOKUP($A88,'NonXtal_SegEnds_Prot#'!$A:$AL,22,FALSE)+10,1)</f>
        <v>V</v>
      </c>
      <c r="AB88" s="71" t="str">
        <f>MID(VLOOKUP($A88,Seqs!$A:$B,2,FALSE),VLOOKUP($A88,'NonXtal_SegEnds_Prot#'!$A:$AL,28,FALSE)-4,1)</f>
        <v>G</v>
      </c>
      <c r="AC88" s="102" t="str">
        <f>MID(VLOOKUP($A88,Seqs!$A:$B,2,FALSE),VLOOKUP($A88,'NonXtal_SegEnds_Prot#'!$A:$AL,28,FALSE),1)</f>
        <v>P</v>
      </c>
    </row>
    <row r="89" spans="1:29" s="2" customFormat="1" x14ac:dyDescent="0.2">
      <c r="A89" s="2" t="s">
        <v>400</v>
      </c>
      <c r="B89" s="2" t="str">
        <f>LOWER(VLOOKUP(A89,Xtal_Templ!A:B,2,FALSE))</f>
        <v>oprm_mouse</v>
      </c>
      <c r="C89" s="2" t="str">
        <f>VLOOKUP(A89,Classification!A:D,2,FALSE)</f>
        <v>A</v>
      </c>
      <c r="E89" s="2" t="s">
        <v>20</v>
      </c>
      <c r="K89" s="2" t="s">
        <v>59</v>
      </c>
      <c r="N89" s="2" t="s">
        <v>43</v>
      </c>
      <c r="P89" s="4" t="s">
        <v>51</v>
      </c>
      <c r="R89" s="71" t="str">
        <f>MID(VLOOKUP($A89,Seqs!$A:$B,2,FALSE),VLOOKUP($A89,'NonXtal_SegEnds_Prot#'!A:AL,10,FALSE),1)</f>
        <v>D</v>
      </c>
      <c r="S89" s="102" t="str">
        <f>MID(VLOOKUP($A89,Seqs!$A:$B,2,FALSE),VLOOKUP($A89,'NonXtal_SegEnds_Prot#'!A:AL,10,FALSE)+6,1)</f>
        <v>C</v>
      </c>
      <c r="T89" s="102" t="str">
        <f>MID(VLOOKUP($A89,Seqs!$A:$B,2,FALSE),VLOOKUP($A89,'NonXtal_SegEnds_Prot#'!A:AL,10,FALSE)+7,1)</f>
        <v>C</v>
      </c>
      <c r="U89" s="102" t="str">
        <f>MID(VLOOKUP($A89,Seqs!$A:$B,2,FALSE),VLOOKUP($A89,'NonXtal_SegEnds_Prot#'!A:AL,10,FALSE)+8,1)</f>
        <v>V</v>
      </c>
      <c r="V89" s="102" t="str">
        <f>MID(VLOOKUP($A89,Seqs!$A:$B,2,FALSE),VLOOKUP($A89,'NonXtal_SegEnds_Prot#'!A:AL,10,FALSE)+9,1)</f>
        <v>P</v>
      </c>
      <c r="W89" s="71" t="str">
        <f>MID(VLOOKUP($A89,Seqs!$A:$B,2,FALSE),VLOOKUP($A89,'NonXtal_SegEnds_Prot#'!$A:$AL,22,FALSE)+6,1)</f>
        <v>F</v>
      </c>
      <c r="X89" s="102" t="str">
        <f>MID(VLOOKUP($A89,Seqs!$A:$B,2,FALSE),VLOOKUP($A89,'NonXtal_SegEnds_Prot#'!$A:$AL,22,FALSE)+7,1)</f>
        <v>S</v>
      </c>
      <c r="Y89" s="102" t="str">
        <f>MID(VLOOKUP($A89,Seqs!$A:$B,2,FALSE),VLOOKUP($A89,'NonXtal_SegEnds_Prot#'!$A:$AL,22,FALSE)+8,1)</f>
        <v>G</v>
      </c>
      <c r="Z89" s="102" t="str">
        <f>MID(VLOOKUP($A89,Seqs!$A:$B,2,FALSE),VLOOKUP($A89,'NonXtal_SegEnds_Prot#'!$A:$AL,22,FALSE)+9,1)</f>
        <v>P</v>
      </c>
      <c r="AA89" s="102" t="str">
        <f>MID(VLOOKUP($A89,Seqs!$A:$B,2,FALSE),VLOOKUP($A89,'NonXtal_SegEnds_Prot#'!$A:$AL,22,FALSE)+10,1)</f>
        <v>Y</v>
      </c>
      <c r="AB89" s="71" t="str">
        <f>MID(VLOOKUP($A89,Seqs!$A:$B,2,FALSE),VLOOKUP($A89,'NonXtal_SegEnds_Prot#'!$A:$AL,28,FALSE)-4,1)</f>
        <v>S</v>
      </c>
      <c r="AC89" s="102" t="str">
        <f>MID(VLOOKUP($A89,Seqs!$A:$B,2,FALSE),VLOOKUP($A89,'NonXtal_SegEnds_Prot#'!$A:$AL,28,FALSE),1)</f>
        <v>P</v>
      </c>
    </row>
    <row r="90" spans="1:29" s="2" customFormat="1" x14ac:dyDescent="0.2">
      <c r="A90" s="2" t="s">
        <v>401</v>
      </c>
      <c r="B90" s="2" t="str">
        <f>LOWER(VLOOKUP(A90,Xtal_Templ!A:B,2,FALSE))</f>
        <v>oprm_mouse</v>
      </c>
      <c r="C90" s="2" t="str">
        <f>VLOOKUP(A90,Classification!A:D,2,FALSE)</f>
        <v>A</v>
      </c>
      <c r="E90" s="2" t="s">
        <v>20</v>
      </c>
      <c r="K90" s="2" t="s">
        <v>59</v>
      </c>
      <c r="N90" s="2" t="s">
        <v>43</v>
      </c>
      <c r="P90" s="4" t="s">
        <v>51</v>
      </c>
      <c r="R90" s="71" t="str">
        <f>MID(VLOOKUP($A90,Seqs!$A:$B,2,FALSE),VLOOKUP($A90,'NonXtal_SegEnds_Prot#'!A:AL,10,FALSE),1)</f>
        <v>D</v>
      </c>
      <c r="S90" s="102" t="str">
        <f>MID(VLOOKUP($A90,Seqs!$A:$B,2,FALSE),VLOOKUP($A90,'NonXtal_SegEnds_Prot#'!A:AL,10,FALSE)+6,1)</f>
        <v>C</v>
      </c>
      <c r="T90" s="102" t="str">
        <f>MID(VLOOKUP($A90,Seqs!$A:$B,2,FALSE),VLOOKUP($A90,'NonXtal_SegEnds_Prot#'!A:AL,10,FALSE)+7,1)</f>
        <v>C</v>
      </c>
      <c r="U90" s="102" t="str">
        <f>MID(VLOOKUP($A90,Seqs!$A:$B,2,FALSE),VLOOKUP($A90,'NonXtal_SegEnds_Prot#'!A:AL,10,FALSE)+8,1)</f>
        <v>V</v>
      </c>
      <c r="V90" s="102" t="str">
        <f>MID(VLOOKUP($A90,Seqs!$A:$B,2,FALSE),VLOOKUP($A90,'NonXtal_SegEnds_Prot#'!A:AL,10,FALSE)+9,1)</f>
        <v>P</v>
      </c>
      <c r="W90" s="71" t="str">
        <f>MID(VLOOKUP($A90,Seqs!$A:$B,2,FALSE),VLOOKUP($A90,'NonXtal_SegEnds_Prot#'!$A:$AL,22,FALSE)+6,1)</f>
        <v>F</v>
      </c>
      <c r="X90" s="102" t="str">
        <f>MID(VLOOKUP($A90,Seqs!$A:$B,2,FALSE),VLOOKUP($A90,'NonXtal_SegEnds_Prot#'!$A:$AL,22,FALSE)+7,1)</f>
        <v>S</v>
      </c>
      <c r="Y90" s="102" t="str">
        <f>MID(VLOOKUP($A90,Seqs!$A:$B,2,FALSE),VLOOKUP($A90,'NonXtal_SegEnds_Prot#'!$A:$AL,22,FALSE)+8,1)</f>
        <v>A</v>
      </c>
      <c r="Z90" s="102" t="str">
        <f>MID(VLOOKUP($A90,Seqs!$A:$B,2,FALSE),VLOOKUP($A90,'NonXtal_SegEnds_Prot#'!$A:$AL,22,FALSE)+9,1)</f>
        <v>P</v>
      </c>
      <c r="AA90" s="102" t="str">
        <f>MID(VLOOKUP($A90,Seqs!$A:$B,2,FALSE),VLOOKUP($A90,'NonXtal_SegEnds_Prot#'!$A:$AL,22,FALSE)+10,1)</f>
        <v>Y</v>
      </c>
      <c r="AB90" s="71" t="str">
        <f>MID(VLOOKUP($A90,Seqs!$A:$B,2,FALSE),VLOOKUP($A90,'NonXtal_SegEnds_Prot#'!$A:$AL,28,FALSE)-4,1)</f>
        <v>G</v>
      </c>
      <c r="AC90" s="102" t="str">
        <f>MID(VLOOKUP($A90,Seqs!$A:$B,2,FALSE),VLOOKUP($A90,'NonXtal_SegEnds_Prot#'!$A:$AL,28,FALSE),1)</f>
        <v>P</v>
      </c>
    </row>
    <row r="91" spans="1:29" s="2" customFormat="1" x14ac:dyDescent="0.2">
      <c r="A91" s="2" t="s">
        <v>402</v>
      </c>
      <c r="B91" s="2" t="str">
        <f>LOWER(VLOOKUP(A91,Xtal_Templ!A:B,2,FALSE))</f>
        <v>ox2r_human</v>
      </c>
      <c r="C91" s="2" t="str">
        <f>VLOOKUP(A91,Classification!A:D,2,FALSE)</f>
        <v>A</v>
      </c>
      <c r="E91" s="2" t="s">
        <v>20</v>
      </c>
      <c r="K91" s="2" t="s">
        <v>59</v>
      </c>
      <c r="N91" s="2" t="s">
        <v>43</v>
      </c>
      <c r="P91" s="4" t="s">
        <v>51</v>
      </c>
      <c r="R91" s="71" t="str">
        <f>MID(VLOOKUP($A91,Seqs!$A:$B,2,FALSE),VLOOKUP($A91,'NonXtal_SegEnds_Prot#'!A:AL,10,FALSE),1)</f>
        <v>D</v>
      </c>
      <c r="S91" s="102" t="str">
        <f>MID(VLOOKUP($A91,Seqs!$A:$B,2,FALSE),VLOOKUP($A91,'NonXtal_SegEnds_Prot#'!A:AL,10,FALSE)+6,1)</f>
        <v>A</v>
      </c>
      <c r="T91" s="102" t="str">
        <f>MID(VLOOKUP($A91,Seqs!$A:$B,2,FALSE),VLOOKUP($A91,'NonXtal_SegEnds_Prot#'!A:AL,10,FALSE)+7,1)</f>
        <v>C</v>
      </c>
      <c r="U91" s="102" t="str">
        <f>MID(VLOOKUP($A91,Seqs!$A:$B,2,FALSE),VLOOKUP($A91,'NonXtal_SegEnds_Prot#'!A:AL,10,FALSE)+8,1)</f>
        <v>M</v>
      </c>
      <c r="V91" s="102" t="str">
        <f>MID(VLOOKUP($A91,Seqs!$A:$B,2,FALSE),VLOOKUP($A91,'NonXtal_SegEnds_Prot#'!A:AL,10,FALSE)+9,1)</f>
        <v>P</v>
      </c>
      <c r="W91" s="71" t="str">
        <f>MID(VLOOKUP($A91,Seqs!$A:$B,2,FALSE),VLOOKUP($A91,'NonXtal_SegEnds_Prot#'!$A:$AL,22,FALSE)+6,1)</f>
        <v>L</v>
      </c>
      <c r="X91" s="102" t="str">
        <f>MID(VLOOKUP($A91,Seqs!$A:$B,2,FALSE),VLOOKUP($A91,'NonXtal_SegEnds_Prot#'!$A:$AL,22,FALSE)+7,1)</f>
        <v>M</v>
      </c>
      <c r="Y91" s="102" t="str">
        <f>MID(VLOOKUP($A91,Seqs!$A:$B,2,FALSE),VLOOKUP($A91,'NonXtal_SegEnds_Prot#'!$A:$AL,22,FALSE)+8,1)</f>
        <v>V</v>
      </c>
      <c r="Z91" s="102" t="str">
        <f>MID(VLOOKUP($A91,Seqs!$A:$B,2,FALSE),VLOOKUP($A91,'NonXtal_SegEnds_Prot#'!$A:$AL,22,FALSE)+9,1)</f>
        <v>P</v>
      </c>
      <c r="AA91" s="102" t="str">
        <f>MID(VLOOKUP($A91,Seqs!$A:$B,2,FALSE),VLOOKUP($A91,'NonXtal_SegEnds_Prot#'!$A:$AL,22,FALSE)+10,1)</f>
        <v>Y</v>
      </c>
      <c r="AB91" s="71" t="str">
        <f>MID(VLOOKUP($A91,Seqs!$A:$B,2,FALSE),VLOOKUP($A91,'NonXtal_SegEnds_Prot#'!$A:$AL,28,FALSE)-4,1)</f>
        <v>L</v>
      </c>
      <c r="AC91" s="102" t="str">
        <f>MID(VLOOKUP($A91,Seqs!$A:$B,2,FALSE),VLOOKUP($A91,'NonXtal_SegEnds_Prot#'!$A:$AL,28,FALSE),1)</f>
        <v>P</v>
      </c>
    </row>
    <row r="92" spans="1:29" s="2" customFormat="1" x14ac:dyDescent="0.2">
      <c r="A92" s="2" t="s">
        <v>403</v>
      </c>
      <c r="B92" s="2" t="str">
        <f>LOWER(VLOOKUP(A92,Xtal_Templ!A:B,2,FALSE))</f>
        <v>ntr1_rat</v>
      </c>
      <c r="C92" s="2" t="str">
        <f>VLOOKUP(A92,Classification!A:D,2,FALSE)</f>
        <v>A</v>
      </c>
      <c r="K92" s="2" t="s">
        <v>59</v>
      </c>
      <c r="P92" s="4" t="s">
        <v>51</v>
      </c>
      <c r="R92" s="71" t="str">
        <f>MID(VLOOKUP($A92,Seqs!$A:$B,2,FALSE),VLOOKUP($A92,'NonXtal_SegEnds_Prot#'!A:AL,10,FALSE),1)</f>
        <v>D</v>
      </c>
      <c r="S92" s="102" t="str">
        <f>MID(VLOOKUP($A92,Seqs!$A:$B,2,FALSE),VLOOKUP($A92,'NonXtal_SegEnds_Prot#'!A:AL,10,FALSE)+6,1)</f>
        <v>C</v>
      </c>
      <c r="T92" s="102" t="str">
        <f>MID(VLOOKUP($A92,Seqs!$A:$B,2,FALSE),VLOOKUP($A92,'NonXtal_SegEnds_Prot#'!A:AL,10,FALSE)+7,1)</f>
        <v>M</v>
      </c>
      <c r="U92" s="102" t="str">
        <f>MID(VLOOKUP($A92,Seqs!$A:$B,2,FALSE),VLOOKUP($A92,'NonXtal_SegEnds_Prot#'!A:AL,10,FALSE)+8,1)</f>
        <v>P</v>
      </c>
      <c r="V92" s="102" t="str">
        <f>MID(VLOOKUP($A92,Seqs!$A:$B,2,FALSE),VLOOKUP($A92,'NonXtal_SegEnds_Prot#'!A:AL,10,FALSE)+9,1)</f>
        <v>L</v>
      </c>
      <c r="W92" s="71" t="str">
        <f>MID(VLOOKUP($A92,Seqs!$A:$B,2,FALSE),VLOOKUP($A92,'NonXtal_SegEnds_Prot#'!$A:$AL,22,FALSE)+6,1)</f>
        <v>S</v>
      </c>
      <c r="X92" s="102" t="str">
        <f>MID(VLOOKUP($A92,Seqs!$A:$B,2,FALSE),VLOOKUP($A92,'NonXtal_SegEnds_Prot#'!$A:$AL,22,FALSE)+7,1)</f>
        <v>A</v>
      </c>
      <c r="Y92" s="102" t="str">
        <f>MID(VLOOKUP($A92,Seqs!$A:$B,2,FALSE),VLOOKUP($A92,'NonXtal_SegEnds_Prot#'!$A:$AL,22,FALSE)+8,1)</f>
        <v>G</v>
      </c>
      <c r="Z92" s="102" t="str">
        <f>MID(VLOOKUP($A92,Seqs!$A:$B,2,FALSE),VLOOKUP($A92,'NonXtal_SegEnds_Prot#'!$A:$AL,22,FALSE)+9,1)</f>
        <v>P</v>
      </c>
      <c r="AA92" s="102" t="str">
        <f>MID(VLOOKUP($A92,Seqs!$A:$B,2,FALSE),VLOOKUP($A92,'NonXtal_SegEnds_Prot#'!$A:$AL,22,FALSE)+10,1)</f>
        <v>I</v>
      </c>
      <c r="AB92" s="71" t="str">
        <f>MID(VLOOKUP($A92,Seqs!$A:$B,2,FALSE),VLOOKUP($A92,'NonXtal_SegEnds_Prot#'!$A:$AL,28,FALSE)-4,1)</f>
        <v>F</v>
      </c>
      <c r="AC92" s="102" t="str">
        <f>MID(VLOOKUP($A92,Seqs!$A:$B,2,FALSE),VLOOKUP($A92,'NonXtal_SegEnds_Prot#'!$A:$AL,28,FALSE),1)</f>
        <v>P</v>
      </c>
    </row>
    <row r="93" spans="1:29" s="2" customFormat="1" x14ac:dyDescent="0.2">
      <c r="A93" s="2" t="s">
        <v>404</v>
      </c>
      <c r="B93" s="2" t="str">
        <f>LOWER(VLOOKUP(A93,Xtal_Templ!A:B,2,FALSE))</f>
        <v>oprm_mouse</v>
      </c>
      <c r="C93" s="2" t="str">
        <f>VLOOKUP(A93,Classification!A:D,2,FALSE)</f>
        <v>A</v>
      </c>
      <c r="K93" s="2" t="s">
        <v>59</v>
      </c>
      <c r="N93" s="2" t="s">
        <v>43</v>
      </c>
      <c r="P93" s="4" t="s">
        <v>51</v>
      </c>
      <c r="R93" s="71" t="str">
        <f>MID(VLOOKUP($A93,Seqs!$A:$B,2,FALSE),VLOOKUP($A93,'NonXtal_SegEnds_Prot#'!A:AL,10,FALSE),1)</f>
        <v>L</v>
      </c>
      <c r="S93" s="102" t="str">
        <f>MID(VLOOKUP($A93,Seqs!$A:$B,2,FALSE),VLOOKUP($A93,'NonXtal_SegEnds_Prot#'!A:AL,10,FALSE)+6,1)</f>
        <v>V</v>
      </c>
      <c r="T93" s="102" t="str">
        <f>MID(VLOOKUP($A93,Seqs!$A:$B,2,FALSE),VLOOKUP($A93,'NonXtal_SegEnds_Prot#'!A:AL,10,FALSE)+7,1)</f>
        <v>M</v>
      </c>
      <c r="U93" s="102" t="str">
        <f>MID(VLOOKUP($A93,Seqs!$A:$B,2,FALSE),VLOOKUP($A93,'NonXtal_SegEnds_Prot#'!A:AL,10,FALSE)+8,1)</f>
        <v>P</v>
      </c>
      <c r="V93" s="102" t="str">
        <f>MID(VLOOKUP($A93,Seqs!$A:$B,2,FALSE),VLOOKUP($A93,'NonXtal_SegEnds_Prot#'!A:AL,10,FALSE)+9,1)</f>
        <v>L</v>
      </c>
      <c r="W93" s="71" t="str">
        <f>MID(VLOOKUP($A93,Seqs!$A:$B,2,FALSE),VLOOKUP($A93,'NonXtal_SegEnds_Prot#'!$A:$AL,22,FALSE)+6,1)</f>
        <v>F</v>
      </c>
      <c r="X93" s="102" t="str">
        <f>MID(VLOOKUP($A93,Seqs!$A:$B,2,FALSE),VLOOKUP($A93,'NonXtal_SegEnds_Prot#'!$A:$AL,22,FALSE)+7,1)</f>
        <v>A</v>
      </c>
      <c r="Y93" s="102" t="str">
        <f>MID(VLOOKUP($A93,Seqs!$A:$B,2,FALSE),VLOOKUP($A93,'NonXtal_SegEnds_Prot#'!$A:$AL,22,FALSE)+8,1)</f>
        <v>G</v>
      </c>
      <c r="Z93" s="102" t="str">
        <f>MID(VLOOKUP($A93,Seqs!$A:$B,2,FALSE),VLOOKUP($A93,'NonXtal_SegEnds_Prot#'!$A:$AL,22,FALSE)+9,1)</f>
        <v>P</v>
      </c>
      <c r="AA93" s="102" t="str">
        <f>MID(VLOOKUP($A93,Seqs!$A:$B,2,FALSE),VLOOKUP($A93,'NonXtal_SegEnds_Prot#'!$A:$AL,22,FALSE)+10,1)</f>
        <v>Q</v>
      </c>
      <c r="AB93" s="71" t="str">
        <f>MID(VLOOKUP($A93,Seqs!$A:$B,2,FALSE),VLOOKUP($A93,'NonXtal_SegEnds_Prot#'!$A:$AL,28,FALSE)-4,1)</f>
        <v>L</v>
      </c>
      <c r="AC93" s="102" t="str">
        <f>MID(VLOOKUP($A93,Seqs!$A:$B,2,FALSE),VLOOKUP($A93,'NonXtal_SegEnds_Prot#'!$A:$AL,28,FALSE),1)</f>
        <v>P</v>
      </c>
    </row>
    <row r="94" spans="1:29" s="2" customFormat="1" x14ac:dyDescent="0.2">
      <c r="A94" s="2" t="s">
        <v>406</v>
      </c>
      <c r="B94" s="2" t="str">
        <f>LOWER(VLOOKUP(A94,Xtal_Templ!A:B,2,FALSE))</f>
        <v>adrb1_melga</v>
      </c>
      <c r="C94" s="2" t="str">
        <f>VLOOKUP(A94,Classification!A:D,2,FALSE)</f>
        <v>A</v>
      </c>
      <c r="E94" s="2" t="s">
        <v>20</v>
      </c>
      <c r="P94" s="4" t="s">
        <v>51</v>
      </c>
      <c r="R94" s="71" t="str">
        <f>MID(VLOOKUP($A94,Seqs!$A:$B,2,FALSE),VLOOKUP($A94,'NonXtal_SegEnds_Prot#'!A:AL,10,FALSE),1)</f>
        <v>D</v>
      </c>
      <c r="S94" s="102" t="str">
        <f>MID(VLOOKUP($A94,Seqs!$A:$B,2,FALSE),VLOOKUP($A94,'NonXtal_SegEnds_Prot#'!A:AL,10,FALSE)+6,1)</f>
        <v>L</v>
      </c>
      <c r="T94" s="102" t="str">
        <f>MID(VLOOKUP($A94,Seqs!$A:$B,2,FALSE),VLOOKUP($A94,'NonXtal_SegEnds_Prot#'!A:AL,10,FALSE)+7,1)</f>
        <v>V</v>
      </c>
      <c r="U94" s="102" t="str">
        <f>MID(VLOOKUP($A94,Seqs!$A:$B,2,FALSE),VLOOKUP($A94,'NonXtal_SegEnds_Prot#'!A:AL,10,FALSE)+8,1)</f>
        <v>A</v>
      </c>
      <c r="V94" s="102" t="str">
        <f>MID(VLOOKUP($A94,Seqs!$A:$B,2,FALSE),VLOOKUP($A94,'NonXtal_SegEnds_Prot#'!A:AL,10,FALSE)+9,1)</f>
        <v>P</v>
      </c>
      <c r="W94" s="71" t="str">
        <f>MID(VLOOKUP($A94,Seqs!$A:$B,2,FALSE),VLOOKUP($A94,'NonXtal_SegEnds_Prot#'!$A:$AL,22,FALSE)+6,1)</f>
        <v>Q</v>
      </c>
      <c r="X94" s="102" t="str">
        <f>MID(VLOOKUP($A94,Seqs!$A:$B,2,FALSE),VLOOKUP($A94,'NonXtal_SegEnds_Prot#'!$A:$AL,22,FALSE)+7,1)</f>
        <v>S</v>
      </c>
      <c r="Y94" s="102" t="str">
        <f>MID(VLOOKUP($A94,Seqs!$A:$B,2,FALSE),VLOOKUP($A94,'NonXtal_SegEnds_Prot#'!$A:$AL,22,FALSE)+8,1)</f>
        <v>T</v>
      </c>
      <c r="Z94" s="102" t="str">
        <f>MID(VLOOKUP($A94,Seqs!$A:$B,2,FALSE),VLOOKUP($A94,'NonXtal_SegEnds_Prot#'!$A:$AL,22,FALSE)+9,1)</f>
        <v>P</v>
      </c>
      <c r="AA94" s="102" t="str">
        <f>MID(VLOOKUP($A94,Seqs!$A:$B,2,FALSE),VLOOKUP($A94,'NonXtal_SegEnds_Prot#'!$A:$AL,22,FALSE)+10,1)</f>
        <v>P</v>
      </c>
      <c r="AB94" s="71" t="str">
        <f>MID(VLOOKUP($A94,Seqs!$A:$B,2,FALSE),VLOOKUP($A94,'NonXtal_SegEnds_Prot#'!$A:$AL,28,FALSE)-4,1)</f>
        <v>F</v>
      </c>
      <c r="AC94" s="102" t="str">
        <f>MID(VLOOKUP($A94,Seqs!$A:$B,2,FALSE),VLOOKUP($A94,'NonXtal_SegEnds_Prot#'!$A:$AL,28,FALSE),1)</f>
        <v>P</v>
      </c>
    </row>
    <row r="95" spans="1:29" s="2" customFormat="1" x14ac:dyDescent="0.2">
      <c r="A95" s="2" t="s">
        <v>407</v>
      </c>
      <c r="B95" s="2" t="str">
        <f>LOWER(VLOOKUP(A95,Xtal_Templ!A:B,2,FALSE))</f>
        <v>s1pr1_human</v>
      </c>
      <c r="C95" s="2" t="str">
        <f>VLOOKUP(A95,Classification!A:D,2,FALSE)</f>
        <v>A</v>
      </c>
      <c r="N95" s="2" t="s">
        <v>43</v>
      </c>
      <c r="P95" s="4" t="s">
        <v>51</v>
      </c>
      <c r="R95" s="71" t="str">
        <f>MID(VLOOKUP($A95,Seqs!$A:$B,2,FALSE),VLOOKUP($A95,'NonXtal_SegEnds_Prot#'!A:AL,10,FALSE),1)</f>
        <v>D</v>
      </c>
      <c r="S95" s="102" t="str">
        <f>MID(VLOOKUP($A95,Seqs!$A:$B,2,FALSE),VLOOKUP($A95,'NonXtal_SegEnds_Prot#'!A:AL,10,FALSE)+6,1)</f>
        <v>A</v>
      </c>
      <c r="T95" s="102" t="str">
        <f>MID(VLOOKUP($A95,Seqs!$A:$B,2,FALSE),VLOOKUP($A95,'NonXtal_SegEnds_Prot#'!A:AL,10,FALSE)+7,1)</f>
        <v>I</v>
      </c>
      <c r="U95" s="102" t="str">
        <f>MID(VLOOKUP($A95,Seqs!$A:$B,2,FALSE),VLOOKUP($A95,'NonXtal_SegEnds_Prot#'!A:AL,10,FALSE)+8,1)</f>
        <v>S</v>
      </c>
      <c r="V95" s="102" t="str">
        <f>MID(VLOOKUP($A95,Seqs!$A:$B,2,FALSE),VLOOKUP($A95,'NonXtal_SegEnds_Prot#'!A:AL,10,FALSE)+9,1)</f>
        <v>G</v>
      </c>
      <c r="W95" s="71" t="str">
        <f>MID(VLOOKUP($A95,Seqs!$A:$B,2,FALSE),VLOOKUP($A95,'NonXtal_SegEnds_Prot#'!$A:$AL,22,FALSE)+6,1)</f>
        <v>I</v>
      </c>
      <c r="X95" s="102" t="str">
        <f>MID(VLOOKUP($A95,Seqs!$A:$B,2,FALSE),VLOOKUP($A95,'NonXtal_SegEnds_Prot#'!$A:$AL,22,FALSE)+7,1)</f>
        <v>G</v>
      </c>
      <c r="Y95" s="102" t="str">
        <f>MID(VLOOKUP($A95,Seqs!$A:$B,2,FALSE),VLOOKUP($A95,'NonXtal_SegEnds_Prot#'!$A:$AL,22,FALSE)+8,1)</f>
        <v>F</v>
      </c>
      <c r="Z95" s="102" t="str">
        <f>MID(VLOOKUP($A95,Seqs!$A:$B,2,FALSE),VLOOKUP($A95,'NonXtal_SegEnds_Prot#'!$A:$AL,22,FALSE)+9,1)</f>
        <v>L</v>
      </c>
      <c r="AA95" s="102" t="str">
        <f>MID(VLOOKUP($A95,Seqs!$A:$B,2,FALSE),VLOOKUP($A95,'NonXtal_SegEnds_Prot#'!$A:$AL,22,FALSE)+10,1)</f>
        <v>P</v>
      </c>
      <c r="AB95" s="71" t="str">
        <f>MID(VLOOKUP($A95,Seqs!$A:$B,2,FALSE),VLOOKUP($A95,'NonXtal_SegEnds_Prot#'!$A:$AL,28,FALSE)-4,1)</f>
        <v>V</v>
      </c>
      <c r="AC95" s="102" t="str">
        <f>MID(VLOOKUP($A95,Seqs!$A:$B,2,FALSE),VLOOKUP($A95,'NonXtal_SegEnds_Prot#'!$A:$AL,28,FALSE),1)</f>
        <v>P</v>
      </c>
    </row>
    <row r="96" spans="1:29" s="2" customFormat="1" x14ac:dyDescent="0.2">
      <c r="A96" s="2" t="s">
        <v>408</v>
      </c>
      <c r="B96" s="2" t="str">
        <f>LOWER(VLOOKUP(A96,Xtal_Templ!A:B,2,FALSE))</f>
        <v>p2ry1_human</v>
      </c>
      <c r="C96" s="2" t="str">
        <f>VLOOKUP(A96,Classification!A:D,2,FALSE)</f>
        <v>A</v>
      </c>
      <c r="K96" s="2" t="s">
        <v>59</v>
      </c>
      <c r="N96" s="2" t="s">
        <v>43</v>
      </c>
      <c r="P96" s="4" t="s">
        <v>51</v>
      </c>
      <c r="R96" s="71" t="str">
        <f>MID(VLOOKUP($A96,Seqs!$A:$B,2,FALSE),VLOOKUP($A96,'NonXtal_SegEnds_Prot#'!A:AL,10,FALSE),1)</f>
        <v>E</v>
      </c>
      <c r="S96" s="102" t="str">
        <f>MID(VLOOKUP($A96,Seqs!$A:$B,2,FALSE),VLOOKUP($A96,'NonXtal_SegEnds_Prot#'!A:AL,10,FALSE)+6,1)</f>
        <v>T</v>
      </c>
      <c r="T96" s="102" t="str">
        <f>MID(VLOOKUP($A96,Seqs!$A:$B,2,FALSE),VLOOKUP($A96,'NonXtal_SegEnds_Prot#'!A:AL,10,FALSE)+7,1)</f>
        <v>L</v>
      </c>
      <c r="U96" s="102" t="str">
        <f>MID(VLOOKUP($A96,Seqs!$A:$B,2,FALSE),VLOOKUP($A96,'NonXtal_SegEnds_Prot#'!A:AL,10,FALSE)+8,1)</f>
        <v>P</v>
      </c>
      <c r="V96" s="102" t="str">
        <f>MID(VLOOKUP($A96,Seqs!$A:$B,2,FALSE),VLOOKUP($A96,'NonXtal_SegEnds_Prot#'!A:AL,10,FALSE)+9,1)</f>
        <v>L</v>
      </c>
      <c r="W96" s="71" t="str">
        <f>MID(VLOOKUP($A96,Seqs!$A:$B,2,FALSE),VLOOKUP($A96,'NonXtal_SegEnds_Prot#'!$A:$AL,22,FALSE)+6,1)</f>
        <v>V</v>
      </c>
      <c r="X96" s="102" t="str">
        <f>MID(VLOOKUP($A96,Seqs!$A:$B,2,FALSE),VLOOKUP($A96,'NonXtal_SegEnds_Prot#'!$A:$AL,22,FALSE)+7,1)</f>
        <v>H</v>
      </c>
      <c r="Y96" s="102" t="str">
        <f>MID(VLOOKUP($A96,Seqs!$A:$B,2,FALSE),VLOOKUP($A96,'NonXtal_SegEnds_Prot#'!$A:$AL,22,FALSE)+8,1)</f>
        <v>Y</v>
      </c>
      <c r="Z96" s="102" t="str">
        <f>MID(VLOOKUP($A96,Seqs!$A:$B,2,FALSE),VLOOKUP($A96,'NonXtal_SegEnds_Prot#'!$A:$AL,22,FALSE)+9,1)</f>
        <v>P</v>
      </c>
      <c r="AA96" s="102" t="str">
        <f>MID(VLOOKUP($A96,Seqs!$A:$B,2,FALSE),VLOOKUP($A96,'NonXtal_SegEnds_Prot#'!$A:$AL,22,FALSE)+10,1)</f>
        <v>V</v>
      </c>
      <c r="AB96" s="71" t="str">
        <f>MID(VLOOKUP($A96,Seqs!$A:$B,2,FALSE),VLOOKUP($A96,'NonXtal_SegEnds_Prot#'!$A:$AL,28,FALSE)-4,1)</f>
        <v>G</v>
      </c>
      <c r="AC96" s="102" t="str">
        <f>MID(VLOOKUP($A96,Seqs!$A:$B,2,FALSE),VLOOKUP($A96,'NonXtal_SegEnds_Prot#'!$A:$AL,28,FALSE),1)</f>
        <v>P</v>
      </c>
    </row>
    <row r="97" spans="1:29" s="2" customFormat="1" x14ac:dyDescent="0.2">
      <c r="A97" s="2" t="s">
        <v>409</v>
      </c>
      <c r="B97" s="2" t="str">
        <f>LOWER(VLOOKUP(A97,Xtal_Templ!A:B,2,FALSE))</f>
        <v>ox1r_human</v>
      </c>
      <c r="C97" s="2" t="str">
        <f>VLOOKUP(A97,Classification!A:D,2,FALSE)</f>
        <v>A</v>
      </c>
      <c r="E97" s="2" t="s">
        <v>20</v>
      </c>
      <c r="K97" s="2" t="s">
        <v>59</v>
      </c>
      <c r="N97" s="2" t="s">
        <v>43</v>
      </c>
      <c r="P97" s="4" t="s">
        <v>51</v>
      </c>
      <c r="R97" s="71" t="str">
        <f>MID(VLOOKUP($A97,Seqs!$A:$B,2,FALSE),VLOOKUP($A97,'NonXtal_SegEnds_Prot#'!A:AL,10,FALSE),1)</f>
        <v>D</v>
      </c>
      <c r="S97" s="102" t="str">
        <f>MID(VLOOKUP($A97,Seqs!$A:$B,2,FALSE),VLOOKUP($A97,'NonXtal_SegEnds_Prot#'!A:AL,10,FALSE)+6,1)</f>
        <v>L</v>
      </c>
      <c r="T97" s="102" t="str">
        <f>MID(VLOOKUP($A97,Seqs!$A:$B,2,FALSE),VLOOKUP($A97,'NonXtal_SegEnds_Prot#'!A:AL,10,FALSE)+7,1)</f>
        <v>C</v>
      </c>
      <c r="U97" s="102" t="str">
        <f>MID(VLOOKUP($A97,Seqs!$A:$B,2,FALSE),VLOOKUP($A97,'NonXtal_SegEnds_Prot#'!A:AL,10,FALSE)+8,1)</f>
        <v>L</v>
      </c>
      <c r="V97" s="102" t="str">
        <f>MID(VLOOKUP($A97,Seqs!$A:$B,2,FALSE),VLOOKUP($A97,'NonXtal_SegEnds_Prot#'!A:AL,10,FALSE)+9,1)</f>
        <v>P</v>
      </c>
      <c r="W97" s="71" t="str">
        <f>MID(VLOOKUP($A97,Seqs!$A:$B,2,FALSE),VLOOKUP($A97,'NonXtal_SegEnds_Prot#'!$A:$AL,22,FALSE)+6,1)</f>
        <v>F</v>
      </c>
      <c r="X97" s="102" t="str">
        <f>MID(VLOOKUP($A97,Seqs!$A:$B,2,FALSE),VLOOKUP($A97,'NonXtal_SegEnds_Prot#'!$A:$AL,22,FALSE)+7,1)</f>
        <v>S</v>
      </c>
      <c r="Y97" s="102" t="str">
        <f>MID(VLOOKUP($A97,Seqs!$A:$B,2,FALSE),VLOOKUP($A97,'NonXtal_SegEnds_Prot#'!$A:$AL,22,FALSE)+8,1)</f>
        <v>L</v>
      </c>
      <c r="Z97" s="102" t="str">
        <f>MID(VLOOKUP($A97,Seqs!$A:$B,2,FALSE),VLOOKUP($A97,'NonXtal_SegEnds_Prot#'!$A:$AL,22,FALSE)+9,1)</f>
        <v>P</v>
      </c>
      <c r="AA97" s="102" t="str">
        <f>MID(VLOOKUP($A97,Seqs!$A:$B,2,FALSE),VLOOKUP($A97,'NonXtal_SegEnds_Prot#'!$A:$AL,22,FALSE)+10,1)</f>
        <v>W</v>
      </c>
      <c r="AB97" s="71" t="str">
        <f>MID(VLOOKUP($A97,Seqs!$A:$B,2,FALSE),VLOOKUP($A97,'NonXtal_SegEnds_Prot#'!$A:$AL,28,FALSE)-4,1)</f>
        <v>C</v>
      </c>
      <c r="AC97" s="102" t="str">
        <f>MID(VLOOKUP($A97,Seqs!$A:$B,2,FALSE),VLOOKUP($A97,'NonXtal_SegEnds_Prot#'!$A:$AL,28,FALSE),1)</f>
        <v>P</v>
      </c>
    </row>
    <row r="98" spans="1:29" s="2" customFormat="1" x14ac:dyDescent="0.2">
      <c r="A98" s="2" t="s">
        <v>410</v>
      </c>
      <c r="B98" s="2" t="str">
        <f>LOWER(VLOOKUP(A98,Xtal_Templ!A:B,2,FALSE))</f>
        <v>ntr1_rat</v>
      </c>
      <c r="C98" s="2" t="str">
        <f>VLOOKUP(A98,Classification!A:D,2,FALSE)</f>
        <v>A</v>
      </c>
      <c r="N98" s="2" t="s">
        <v>43</v>
      </c>
      <c r="P98" s="4" t="s">
        <v>51</v>
      </c>
      <c r="R98" s="71" t="str">
        <f>MID(VLOOKUP($A98,Seqs!$A:$B,2,FALSE),VLOOKUP($A98,'NonXtal_SegEnds_Prot#'!A:AL,10,FALSE),1)</f>
        <v>D</v>
      </c>
      <c r="S98" s="102" t="str">
        <f>MID(VLOOKUP($A98,Seqs!$A:$B,2,FALSE),VLOOKUP($A98,'NonXtal_SegEnds_Prot#'!A:AL,10,FALSE)+6,1)</f>
        <v>F</v>
      </c>
      <c r="T98" s="102" t="str">
        <f>MID(VLOOKUP($A98,Seqs!$A:$B,2,FALSE),VLOOKUP($A98,'NonXtal_SegEnds_Prot#'!A:AL,10,FALSE)+7,1)</f>
        <v>I</v>
      </c>
      <c r="U98" s="102" t="str">
        <f>MID(VLOOKUP($A98,Seqs!$A:$B,2,FALSE),VLOOKUP($A98,'NonXtal_SegEnds_Prot#'!A:AL,10,FALSE)+8,1)</f>
        <v>V</v>
      </c>
      <c r="V98" s="102" t="str">
        <f>MID(VLOOKUP($A98,Seqs!$A:$B,2,FALSE),VLOOKUP($A98,'NonXtal_SegEnds_Prot#'!A:AL,10,FALSE)+9,1)</f>
        <v>F</v>
      </c>
      <c r="W98" s="71" t="str">
        <f>MID(VLOOKUP($A98,Seqs!$A:$B,2,FALSE),VLOOKUP($A98,'NonXtal_SegEnds_Prot#'!$A:$AL,22,FALSE)+6,1)</f>
        <v>L</v>
      </c>
      <c r="X98" s="102" t="str">
        <f>MID(VLOOKUP($A98,Seqs!$A:$B,2,FALSE),VLOOKUP($A98,'NonXtal_SegEnds_Prot#'!$A:$AL,22,FALSE)+7,1)</f>
        <v>T</v>
      </c>
      <c r="Y98" s="102" t="str">
        <f>MID(VLOOKUP($A98,Seqs!$A:$B,2,FALSE),VLOOKUP($A98,'NonXtal_SegEnds_Prot#'!$A:$AL,22,FALSE)+8,1)</f>
        <v>S</v>
      </c>
      <c r="Z98" s="102" t="str">
        <f>MID(VLOOKUP($A98,Seqs!$A:$B,2,FALSE),VLOOKUP($A98,'NonXtal_SegEnds_Prot#'!$A:$AL,22,FALSE)+9,1)</f>
        <v>I</v>
      </c>
      <c r="AA98" s="102" t="str">
        <f>MID(VLOOKUP($A98,Seqs!$A:$B,2,FALSE),VLOOKUP($A98,'NonXtal_SegEnds_Prot#'!$A:$AL,22,FALSE)+10,1)</f>
        <v>P</v>
      </c>
      <c r="AB98" s="71" t="str">
        <f>MID(VLOOKUP($A98,Seqs!$A:$B,2,FALSE),VLOOKUP($A98,'NonXtal_SegEnds_Prot#'!$A:$AL,28,FALSE)-4,1)</f>
        <v>V</v>
      </c>
      <c r="AC98" s="102" t="str">
        <f>MID(VLOOKUP($A98,Seqs!$A:$B,2,FALSE),VLOOKUP($A98,'NonXtal_SegEnds_Prot#'!$A:$AL,28,FALSE),1)</f>
        <v>P</v>
      </c>
    </row>
    <row r="99" spans="1:29" s="2" customFormat="1" x14ac:dyDescent="0.2">
      <c r="A99" s="2" t="s">
        <v>411</v>
      </c>
      <c r="B99" s="2" t="str">
        <f>LOWER(VLOOKUP(A99,Xtal_Templ!A:B,2,FALSE))</f>
        <v>oprx_human</v>
      </c>
      <c r="C99" s="2" t="str">
        <f>VLOOKUP(A99,Classification!A:D,2,FALSE)</f>
        <v>A</v>
      </c>
      <c r="K99" s="2" t="s">
        <v>59</v>
      </c>
      <c r="P99" s="4" t="s">
        <v>51</v>
      </c>
      <c r="R99" s="71" t="str">
        <f>MID(VLOOKUP($A99,Seqs!$A:$B,2,FALSE),VLOOKUP($A99,'NonXtal_SegEnds_Prot#'!A:AL,10,FALSE),1)</f>
        <v>H</v>
      </c>
      <c r="S99" s="102" t="str">
        <f>MID(VLOOKUP($A99,Seqs!$A:$B,2,FALSE),VLOOKUP($A99,'NonXtal_SegEnds_Prot#'!A:AL,10,FALSE)+6,1)</f>
        <v>T</v>
      </c>
      <c r="T99" s="102" t="str">
        <f>MID(VLOOKUP($A99,Seqs!$A:$B,2,FALSE),VLOOKUP($A99,'NonXtal_SegEnds_Prot#'!A:AL,10,FALSE)+7,1)</f>
        <v>V</v>
      </c>
      <c r="U99" s="102" t="str">
        <f>MID(VLOOKUP($A99,Seqs!$A:$B,2,FALSE),VLOOKUP($A99,'NonXtal_SegEnds_Prot#'!A:AL,10,FALSE)+8,1)</f>
        <v>P</v>
      </c>
      <c r="V99" s="102" t="str">
        <f>MID(VLOOKUP($A99,Seqs!$A:$B,2,FALSE),VLOOKUP($A99,'NonXtal_SegEnds_Prot#'!A:AL,10,FALSE)+9,1)</f>
        <v>F</v>
      </c>
      <c r="W99" s="71" t="str">
        <f>MID(VLOOKUP($A99,Seqs!$A:$B,2,FALSE),VLOOKUP($A99,'NonXtal_SegEnds_Prot#'!$A:$AL,22,FALSE)+6,1)</f>
        <v>I</v>
      </c>
      <c r="X99" s="102" t="str">
        <f>MID(VLOOKUP($A99,Seqs!$A:$B,2,FALSE),VLOOKUP($A99,'NonXtal_SegEnds_Prot#'!$A:$AL,22,FALSE)+7,1)</f>
        <v>V</v>
      </c>
      <c r="Y99" s="102" t="str">
        <f>MID(VLOOKUP($A99,Seqs!$A:$B,2,FALSE),VLOOKUP($A99,'NonXtal_SegEnds_Prot#'!$A:$AL,22,FALSE)+8,1)</f>
        <v>V</v>
      </c>
      <c r="Z99" s="102" t="str">
        <f>MID(VLOOKUP($A99,Seqs!$A:$B,2,FALSE),VLOOKUP($A99,'NonXtal_SegEnds_Prot#'!$A:$AL,22,FALSE)+9,1)</f>
        <v>P</v>
      </c>
      <c r="AA99" s="102" t="str">
        <f>MID(VLOOKUP($A99,Seqs!$A:$B,2,FALSE),VLOOKUP($A99,'NonXtal_SegEnds_Prot#'!$A:$AL,22,FALSE)+10,1)</f>
        <v>L</v>
      </c>
      <c r="AB99" s="71" t="str">
        <f>MID(VLOOKUP($A99,Seqs!$A:$B,2,FALSE),VLOOKUP($A99,'NonXtal_SegEnds_Prot#'!$A:$AL,28,FALSE)-4,1)</f>
        <v>V</v>
      </c>
      <c r="AC99" s="102" t="str">
        <f>MID(VLOOKUP($A99,Seqs!$A:$B,2,FALSE),VLOOKUP($A99,'NonXtal_SegEnds_Prot#'!$A:$AL,28,FALSE),1)</f>
        <v>L</v>
      </c>
    </row>
    <row r="100" spans="1:29" s="2" customFormat="1" x14ac:dyDescent="0.2">
      <c r="A100" s="2" t="s">
        <v>412</v>
      </c>
      <c r="B100" s="2" t="str">
        <f>LOWER(VLOOKUP(A100,Xtal_Templ!A:B,2,FALSE))</f>
        <v>oprx_human</v>
      </c>
      <c r="C100" s="2" t="str">
        <f>VLOOKUP(A100,Classification!A:D,2,FALSE)</f>
        <v>A</v>
      </c>
      <c r="N100" s="2" t="s">
        <v>43</v>
      </c>
      <c r="P100" s="4" t="s">
        <v>51</v>
      </c>
      <c r="R100" s="71" t="str">
        <f>MID(VLOOKUP($A100,Seqs!$A:$B,2,FALSE),VLOOKUP($A100,'NonXtal_SegEnds_Prot#'!A:AL,10,FALSE),1)</f>
        <v>D</v>
      </c>
      <c r="S100" s="102" t="str">
        <f>MID(VLOOKUP($A100,Seqs!$A:$B,2,FALSE),VLOOKUP($A100,'NonXtal_SegEnds_Prot#'!A:AL,10,FALSE)+6,1)</f>
        <v>V</v>
      </c>
      <c r="T100" s="102" t="str">
        <f>MID(VLOOKUP($A100,Seqs!$A:$B,2,FALSE),VLOOKUP($A100,'NonXtal_SegEnds_Prot#'!A:AL,10,FALSE)+7,1)</f>
        <v>I</v>
      </c>
      <c r="U100" s="102" t="str">
        <f>MID(VLOOKUP($A100,Seqs!$A:$B,2,FALSE),VLOOKUP($A100,'NonXtal_SegEnds_Prot#'!A:AL,10,FALSE)+8,1)</f>
        <v>V</v>
      </c>
      <c r="V100" s="102" t="str">
        <f>MID(VLOOKUP($A100,Seqs!$A:$B,2,FALSE),VLOOKUP($A100,'NonXtal_SegEnds_Prot#'!A:AL,10,FALSE)+9,1)</f>
        <v>F</v>
      </c>
      <c r="W100" s="71" t="str">
        <f>MID(VLOOKUP($A100,Seqs!$A:$B,2,FALSE),VLOOKUP($A100,'NonXtal_SegEnds_Prot#'!$A:$AL,22,FALSE)+6,1)</f>
        <v>L</v>
      </c>
      <c r="X100" s="102" t="str">
        <f>MID(VLOOKUP($A100,Seqs!$A:$B,2,FALSE),VLOOKUP($A100,'NonXtal_SegEnds_Prot#'!$A:$AL,22,FALSE)+7,1)</f>
        <v>T</v>
      </c>
      <c r="Y100" s="102" t="str">
        <f>MID(VLOOKUP($A100,Seqs!$A:$B,2,FALSE),VLOOKUP($A100,'NonXtal_SegEnds_Prot#'!$A:$AL,22,FALSE)+8,1)</f>
        <v>G</v>
      </c>
      <c r="Z100" s="102" t="str">
        <f>MID(VLOOKUP($A100,Seqs!$A:$B,2,FALSE),VLOOKUP($A100,'NonXtal_SegEnds_Prot#'!$A:$AL,22,FALSE)+9,1)</f>
        <v>I</v>
      </c>
      <c r="AA100" s="102" t="str">
        <f>MID(VLOOKUP($A100,Seqs!$A:$B,2,FALSE),VLOOKUP($A100,'NonXtal_SegEnds_Prot#'!$A:$AL,22,FALSE)+10,1)</f>
        <v>P</v>
      </c>
      <c r="AB100" s="71" t="str">
        <f>MID(VLOOKUP($A100,Seqs!$A:$B,2,FALSE),VLOOKUP($A100,'NonXtal_SegEnds_Prot#'!$A:$AL,28,FALSE)-4,1)</f>
        <v>V</v>
      </c>
      <c r="AC100" s="102" t="str">
        <f>MID(VLOOKUP($A100,Seqs!$A:$B,2,FALSE),VLOOKUP($A100,'NonXtal_SegEnds_Prot#'!$A:$AL,28,FALSE),1)</f>
        <v>P</v>
      </c>
    </row>
    <row r="101" spans="1:29" s="2" customFormat="1" x14ac:dyDescent="0.2">
      <c r="A101" s="2" t="s">
        <v>413</v>
      </c>
      <c r="B101" s="2" t="str">
        <f>LOWER(VLOOKUP(A101,Xtal_Templ!A:B,2,FALSE))</f>
        <v>hrh1_human</v>
      </c>
      <c r="C101" s="2" t="str">
        <f>VLOOKUP(A101,Classification!A:D,2,FALSE)</f>
        <v>A</v>
      </c>
      <c r="E101" s="2" t="s">
        <v>20</v>
      </c>
      <c r="N101" s="2" t="s">
        <v>43</v>
      </c>
      <c r="P101" s="4" t="s">
        <v>51</v>
      </c>
      <c r="R101" s="71" t="str">
        <f>MID(VLOOKUP($A101,Seqs!$A:$B,2,FALSE),VLOOKUP($A101,'NonXtal_SegEnds_Prot#'!A:AL,10,FALSE),1)</f>
        <v>A</v>
      </c>
      <c r="S101" s="102" t="str">
        <f>MID(VLOOKUP($A101,Seqs!$A:$B,2,FALSE),VLOOKUP($A101,'NonXtal_SegEnds_Prot#'!A:AL,10,FALSE)+6,1)</f>
        <v>L</v>
      </c>
      <c r="T101" s="102" t="str">
        <f>MID(VLOOKUP($A101,Seqs!$A:$B,2,FALSE),VLOOKUP($A101,'NonXtal_SegEnds_Prot#'!A:AL,10,FALSE)+7,1)</f>
        <v>L</v>
      </c>
      <c r="U101" s="102" t="str">
        <f>MID(VLOOKUP($A101,Seqs!$A:$B,2,FALSE),VLOOKUP($A101,'NonXtal_SegEnds_Prot#'!A:AL,10,FALSE)+8,1)</f>
        <v>G</v>
      </c>
      <c r="V101" s="102" t="str">
        <f>MID(VLOOKUP($A101,Seqs!$A:$B,2,FALSE),VLOOKUP($A101,'NonXtal_SegEnds_Prot#'!A:AL,10,FALSE)+9,1)</f>
        <v>P</v>
      </c>
      <c r="W101" s="71" t="str">
        <f>MID(VLOOKUP($A101,Seqs!$A:$B,2,FALSE),VLOOKUP($A101,'NonXtal_SegEnds_Prot#'!$A:$AL,22,FALSE)+6,1)</f>
        <v>T</v>
      </c>
      <c r="X101" s="102" t="str">
        <f>MID(VLOOKUP($A101,Seqs!$A:$B,2,FALSE),VLOOKUP($A101,'NonXtal_SegEnds_Prot#'!$A:$AL,22,FALSE)+7,1)</f>
        <v>S</v>
      </c>
      <c r="Y101" s="102" t="str">
        <f>MID(VLOOKUP($A101,Seqs!$A:$B,2,FALSE),VLOOKUP($A101,'NonXtal_SegEnds_Prot#'!$A:$AL,22,FALSE)+8,1)</f>
        <v>F</v>
      </c>
      <c r="Z101" s="102" t="str">
        <f>MID(VLOOKUP($A101,Seqs!$A:$B,2,FALSE),VLOOKUP($A101,'NonXtal_SegEnds_Prot#'!$A:$AL,22,FALSE)+9,1)</f>
        <v>S</v>
      </c>
      <c r="AA101" s="102" t="str">
        <f>MID(VLOOKUP($A101,Seqs!$A:$B,2,FALSE),VLOOKUP($A101,'NonXtal_SegEnds_Prot#'!$A:$AL,22,FALSE)+10,1)</f>
        <v>S</v>
      </c>
      <c r="AB101" s="71" t="str">
        <f>MID(VLOOKUP($A101,Seqs!$A:$B,2,FALSE),VLOOKUP($A101,'NonXtal_SegEnds_Prot#'!$A:$AL,28,FALSE)-4,1)</f>
        <v>G</v>
      </c>
      <c r="AC101" s="102" t="str">
        <f>MID(VLOOKUP($A101,Seqs!$A:$B,2,FALSE),VLOOKUP($A101,'NonXtal_SegEnds_Prot#'!$A:$AL,28,FALSE),1)</f>
        <v>P</v>
      </c>
    </row>
    <row r="102" spans="1:29" s="2" customFormat="1" x14ac:dyDescent="0.2">
      <c r="A102" s="2" t="s">
        <v>414</v>
      </c>
      <c r="B102" s="2" t="str">
        <f>LOWER(VLOOKUP(A102,Xtal_Templ!A:B,2,FALSE))</f>
        <v>5ht1b_human</v>
      </c>
      <c r="C102" s="2" t="str">
        <f>VLOOKUP(A102,Classification!A:D,2,FALSE)</f>
        <v>A</v>
      </c>
      <c r="N102" s="2" t="s">
        <v>43</v>
      </c>
      <c r="P102" s="4" t="s">
        <v>51</v>
      </c>
      <c r="R102" s="71" t="str">
        <f>MID(VLOOKUP($A102,Seqs!$A:$B,2,FALSE),VLOOKUP($A102,'NonXtal_SegEnds_Prot#'!A:AL,10,FALSE),1)</f>
        <v>D</v>
      </c>
      <c r="S102" s="102" t="str">
        <f>MID(VLOOKUP($A102,Seqs!$A:$B,2,FALSE),VLOOKUP($A102,'NonXtal_SegEnds_Prot#'!A:AL,10,FALSE)+6,1)</f>
        <v>L</v>
      </c>
      <c r="T102" s="102" t="str">
        <f>MID(VLOOKUP($A102,Seqs!$A:$B,2,FALSE),VLOOKUP($A102,'NonXtal_SegEnds_Prot#'!A:AL,10,FALSE)+7,1)</f>
        <v>H</v>
      </c>
      <c r="U102" s="102" t="str">
        <f>MID(VLOOKUP($A102,Seqs!$A:$B,2,FALSE),VLOOKUP($A102,'NonXtal_SegEnds_Prot#'!A:AL,10,FALSE)+8,1)</f>
        <v>M</v>
      </c>
      <c r="V102" s="102" t="str">
        <f>MID(VLOOKUP($A102,Seqs!$A:$B,2,FALSE),VLOOKUP($A102,'NonXtal_SegEnds_Prot#'!A:AL,10,FALSE)+9,1)</f>
        <v>L</v>
      </c>
      <c r="W102" s="71" t="str">
        <f>MID(VLOOKUP($A102,Seqs!$A:$B,2,FALSE),VLOOKUP($A102,'NonXtal_SegEnds_Prot#'!$A:$AL,22,FALSE)+6,1)</f>
        <v>F</v>
      </c>
      <c r="X102" s="102" t="str">
        <f>MID(VLOOKUP($A102,Seqs!$A:$B,2,FALSE),VLOOKUP($A102,'NonXtal_SegEnds_Prot#'!$A:$AL,22,FALSE)+7,1)</f>
        <v>P</v>
      </c>
      <c r="Y102" s="102" t="str">
        <f>MID(VLOOKUP($A102,Seqs!$A:$B,2,FALSE),VLOOKUP($A102,'NonXtal_SegEnds_Prot#'!$A:$AL,22,FALSE)+8,1)</f>
        <v>T</v>
      </c>
      <c r="Z102" s="102" t="str">
        <f>MID(VLOOKUP($A102,Seqs!$A:$B,2,FALSE),VLOOKUP($A102,'NonXtal_SegEnds_Prot#'!$A:$AL,22,FALSE)+9,1)</f>
        <v>F</v>
      </c>
      <c r="AA102" s="102" t="str">
        <f>MID(VLOOKUP($A102,Seqs!$A:$B,2,FALSE),VLOOKUP($A102,'NonXtal_SegEnds_Prot#'!$A:$AL,22,FALSE)+10,1)</f>
        <v>L</v>
      </c>
      <c r="AB102" s="71" t="str">
        <f>MID(VLOOKUP($A102,Seqs!$A:$B,2,FALSE),VLOOKUP($A102,'NonXtal_SegEnds_Prot#'!$A:$AL,28,FALSE)-4,1)</f>
        <v>M</v>
      </c>
      <c r="AC102" s="102" t="str">
        <f>MID(VLOOKUP($A102,Seqs!$A:$B,2,FALSE),VLOOKUP($A102,'NonXtal_SegEnds_Prot#'!$A:$AL,28,FALSE),1)</f>
        <v>P</v>
      </c>
    </row>
    <row r="103" spans="1:29" s="2" customFormat="1" x14ac:dyDescent="0.2">
      <c r="A103" s="2" t="s">
        <v>415</v>
      </c>
      <c r="B103" s="2" t="str">
        <f>LOWER(VLOOKUP(A103,Xtal_Templ!A:B,2,FALSE))</f>
        <v>us28_hcmva</v>
      </c>
      <c r="C103" s="2" t="str">
        <f>VLOOKUP(A103,Classification!A:D,2,FALSE)</f>
        <v>A</v>
      </c>
      <c r="N103" s="2" t="s">
        <v>43</v>
      </c>
      <c r="P103" s="4" t="s">
        <v>51</v>
      </c>
      <c r="R103" s="71" t="str">
        <f>MID(VLOOKUP($A103,Seqs!$A:$B,2,FALSE),VLOOKUP($A103,'NonXtal_SegEnds_Prot#'!A:AL,10,FALSE),1)</f>
        <v>Q</v>
      </c>
      <c r="S103" s="102" t="str">
        <f>MID(VLOOKUP($A103,Seqs!$A:$B,2,FALSE),VLOOKUP($A103,'NonXtal_SegEnds_Prot#'!A:AL,10,FALSE)+6,1)</f>
        <v>S</v>
      </c>
      <c r="T103" s="102" t="str">
        <f>MID(VLOOKUP($A103,Seqs!$A:$B,2,FALSE),VLOOKUP($A103,'NonXtal_SegEnds_Prot#'!A:AL,10,FALSE)+7,1)</f>
        <v>M</v>
      </c>
      <c r="U103" s="102" t="str">
        <f>MID(VLOOKUP($A103,Seqs!$A:$B,2,FALSE),VLOOKUP($A103,'NonXtal_SegEnds_Prot#'!A:AL,10,FALSE)+8,1)</f>
        <v>L</v>
      </c>
      <c r="V103" s="102" t="str">
        <f>MID(VLOOKUP($A103,Seqs!$A:$B,2,FALSE),VLOOKUP($A103,'NonXtal_SegEnds_Prot#'!A:AL,10,FALSE)+9,1)</f>
        <v>V</v>
      </c>
      <c r="W103" s="71" t="str">
        <f>MID(VLOOKUP($A103,Seqs!$A:$B,2,FALSE),VLOOKUP($A103,'NonXtal_SegEnds_Prot#'!$A:$AL,22,FALSE)+6,1)</f>
        <v>L</v>
      </c>
      <c r="X103" s="102" t="str">
        <f>MID(VLOOKUP($A103,Seqs!$A:$B,2,FALSE),VLOOKUP($A103,'NonXtal_SegEnds_Prot#'!$A:$AL,22,FALSE)+7,1)</f>
        <v>S</v>
      </c>
      <c r="Y103" s="102" t="str">
        <f>MID(VLOOKUP($A103,Seqs!$A:$B,2,FALSE),VLOOKUP($A103,'NonXtal_SegEnds_Prot#'!$A:$AL,22,FALSE)+8,1)</f>
        <v>A</v>
      </c>
      <c r="Z103" s="102" t="str">
        <f>MID(VLOOKUP($A103,Seqs!$A:$B,2,FALSE),VLOOKUP($A103,'NonXtal_SegEnds_Prot#'!$A:$AL,22,FALSE)+9,1)</f>
        <v>L</v>
      </c>
      <c r="AA103" s="102" t="str">
        <f>MID(VLOOKUP($A103,Seqs!$A:$B,2,FALSE),VLOOKUP($A103,'NonXtal_SegEnds_Prot#'!$A:$AL,22,FALSE)+10,1)</f>
        <v>P</v>
      </c>
      <c r="AB103" s="71" t="str">
        <f>MID(VLOOKUP($A103,Seqs!$A:$B,2,FALSE),VLOOKUP($A103,'NonXtal_SegEnds_Prot#'!$A:$AL,28,FALSE)-4,1)</f>
        <v>G</v>
      </c>
      <c r="AC103" s="102" t="str">
        <f>MID(VLOOKUP($A103,Seqs!$A:$B,2,FALSE),VLOOKUP($A103,'NonXtal_SegEnds_Prot#'!$A:$AL,28,FALSE),1)</f>
        <v>P</v>
      </c>
    </row>
    <row r="104" spans="1:29" s="2" customFormat="1" x14ac:dyDescent="0.2">
      <c r="A104" s="2" t="s">
        <v>416</v>
      </c>
      <c r="B104" s="2" t="str">
        <f>LOWER(VLOOKUP(A104,Xtal_Templ!A:B,2,FALSE))</f>
        <v>ox1r_human</v>
      </c>
      <c r="C104" s="2" t="str">
        <f>VLOOKUP(A104,Classification!A:D,2,FALSE)</f>
        <v>A</v>
      </c>
      <c r="N104" s="2" t="s">
        <v>43</v>
      </c>
      <c r="P104" s="4" t="s">
        <v>51</v>
      </c>
      <c r="R104" s="71" t="str">
        <f>MID(VLOOKUP($A104,Seqs!$A:$B,2,FALSE),VLOOKUP($A104,'NonXtal_SegEnds_Prot#'!A:AL,10,FALSE),1)</f>
        <v>D</v>
      </c>
      <c r="S104" s="102" t="str">
        <f>MID(VLOOKUP($A104,Seqs!$A:$B,2,FALSE),VLOOKUP($A104,'NonXtal_SegEnds_Prot#'!A:AL,10,FALSE)+6,1)</f>
        <v>G</v>
      </c>
      <c r="T104" s="102" t="str">
        <f>MID(VLOOKUP($A104,Seqs!$A:$B,2,FALSE),VLOOKUP($A104,'NonXtal_SegEnds_Prot#'!A:AL,10,FALSE)+7,1)</f>
        <v>T</v>
      </c>
      <c r="U104" s="102" t="str">
        <f>MID(VLOOKUP($A104,Seqs!$A:$B,2,FALSE),VLOOKUP($A104,'NonXtal_SegEnds_Prot#'!A:AL,10,FALSE)+8,1)</f>
        <v>A</v>
      </c>
      <c r="V104" s="102" t="str">
        <f>MID(VLOOKUP($A104,Seqs!$A:$B,2,FALSE),VLOOKUP($A104,'NonXtal_SegEnds_Prot#'!A:AL,10,FALSE)+9,1)</f>
        <v>L</v>
      </c>
      <c r="W104" s="71" t="str">
        <f>MID(VLOOKUP($A104,Seqs!$A:$B,2,FALSE),VLOOKUP($A104,'NonXtal_SegEnds_Prot#'!$A:$AL,22,FALSE)+6,1)</f>
        <v>L</v>
      </c>
      <c r="X104" s="102" t="str">
        <f>MID(VLOOKUP($A104,Seqs!$A:$B,2,FALSE),VLOOKUP($A104,'NonXtal_SegEnds_Prot#'!$A:$AL,22,FALSE)+7,1)</f>
        <v>A</v>
      </c>
      <c r="Y104" s="102" t="str">
        <f>MID(VLOOKUP($A104,Seqs!$A:$B,2,FALSE),VLOOKUP($A104,'NonXtal_SegEnds_Prot#'!$A:$AL,22,FALSE)+8,1)</f>
        <v>L</v>
      </c>
      <c r="Z104" s="102" t="str">
        <f>MID(VLOOKUP($A104,Seqs!$A:$B,2,FALSE),VLOOKUP($A104,'NonXtal_SegEnds_Prot#'!$A:$AL,22,FALSE)+9,1)</f>
        <v>P</v>
      </c>
      <c r="AA104" s="102" t="str">
        <f>MID(VLOOKUP($A104,Seqs!$A:$B,2,FALSE),VLOOKUP($A104,'NonXtal_SegEnds_Prot#'!$A:$AL,22,FALSE)+10,1)</f>
        <v>P</v>
      </c>
      <c r="AB104" s="71" t="str">
        <f>MID(VLOOKUP($A104,Seqs!$A:$B,2,FALSE),VLOOKUP($A104,'NonXtal_SegEnds_Prot#'!$A:$AL,28,FALSE)-4,1)</f>
        <v>G</v>
      </c>
      <c r="AC104" s="102" t="str">
        <f>MID(VLOOKUP($A104,Seqs!$A:$B,2,FALSE),VLOOKUP($A104,'NonXtal_SegEnds_Prot#'!$A:$AL,28,FALSE),1)</f>
        <v>P</v>
      </c>
    </row>
    <row r="105" spans="1:29" s="2" customFormat="1" x14ac:dyDescent="0.2">
      <c r="A105" s="2" t="s">
        <v>417</v>
      </c>
      <c r="B105" s="2" t="str">
        <f>LOWER(VLOOKUP(A105,Xtal_Templ!A:B,2,FALSE))</f>
        <v>ox2r_human</v>
      </c>
      <c r="C105" s="2" t="str">
        <f>VLOOKUP(A105,Classification!A:D,2,FALSE)</f>
        <v>A</v>
      </c>
      <c r="E105" s="2" t="s">
        <v>20</v>
      </c>
      <c r="K105" s="2" t="s">
        <v>59</v>
      </c>
      <c r="N105" s="2" t="s">
        <v>43</v>
      </c>
      <c r="P105" s="4" t="s">
        <v>51</v>
      </c>
      <c r="R105" s="71" t="str">
        <f>MID(VLOOKUP($A105,Seqs!$A:$B,2,FALSE),VLOOKUP($A105,'NonXtal_SegEnds_Prot#'!A:AL,10,FALSE),1)</f>
        <v>D</v>
      </c>
      <c r="S105" s="102" t="str">
        <f>MID(VLOOKUP($A105,Seqs!$A:$B,2,FALSE),VLOOKUP($A105,'NonXtal_SegEnds_Prot#'!A:AL,10,FALSE)+6,1)</f>
        <v>F</v>
      </c>
      <c r="T105" s="102" t="str">
        <f>MID(VLOOKUP($A105,Seqs!$A:$B,2,FALSE),VLOOKUP($A105,'NonXtal_SegEnds_Prot#'!A:AL,10,FALSE)+7,1)</f>
        <v>S</v>
      </c>
      <c r="U105" s="102" t="str">
        <f>MID(VLOOKUP($A105,Seqs!$A:$B,2,FALSE),VLOOKUP($A105,'NonXtal_SegEnds_Prot#'!A:AL,10,FALSE)+8,1)</f>
        <v>A</v>
      </c>
      <c r="V105" s="102" t="str">
        <f>MID(VLOOKUP($A105,Seqs!$A:$B,2,FALSE),VLOOKUP($A105,'NonXtal_SegEnds_Prot#'!A:AL,10,FALSE)+9,1)</f>
        <v>P</v>
      </c>
      <c r="W105" s="71" t="str">
        <f>MID(VLOOKUP($A105,Seqs!$A:$B,2,FALSE),VLOOKUP($A105,'NonXtal_SegEnds_Prot#'!$A:$AL,22,FALSE)+6,1)</f>
        <v>L</v>
      </c>
      <c r="X105" s="102" t="str">
        <f>MID(VLOOKUP($A105,Seqs!$A:$B,2,FALSE),VLOOKUP($A105,'NonXtal_SegEnds_Prot#'!$A:$AL,22,FALSE)+7,1)</f>
        <v>P</v>
      </c>
      <c r="Y105" s="102" t="str">
        <f>MID(VLOOKUP($A105,Seqs!$A:$B,2,FALSE),VLOOKUP($A105,'NonXtal_SegEnds_Prot#'!$A:$AL,22,FALSE)+8,1)</f>
        <v>L</v>
      </c>
      <c r="Z105" s="102" t="str">
        <f>MID(VLOOKUP($A105,Seqs!$A:$B,2,FALSE),VLOOKUP($A105,'NonXtal_SegEnds_Prot#'!$A:$AL,22,FALSE)+9,1)</f>
        <v>P</v>
      </c>
      <c r="AA105" s="102" t="str">
        <f>MID(VLOOKUP($A105,Seqs!$A:$B,2,FALSE),VLOOKUP($A105,'NonXtal_SegEnds_Prot#'!$A:$AL,22,FALSE)+10,1)</f>
        <v>E</v>
      </c>
      <c r="AB105" s="71" t="str">
        <f>MID(VLOOKUP($A105,Seqs!$A:$B,2,FALSE),VLOOKUP($A105,'NonXtal_SegEnds_Prot#'!$A:$AL,28,FALSE)-4,1)</f>
        <v>A</v>
      </c>
      <c r="AC105" s="102" t="str">
        <f>MID(VLOOKUP($A105,Seqs!$A:$B,2,FALSE),VLOOKUP($A105,'NonXtal_SegEnds_Prot#'!$A:$AL,28,FALSE),1)</f>
        <v>P</v>
      </c>
    </row>
    <row r="106" spans="1:29" s="2" customFormat="1" x14ac:dyDescent="0.2">
      <c r="A106" s="2" t="s">
        <v>418</v>
      </c>
      <c r="B106" s="2" t="str">
        <f>LOWER(VLOOKUP(A106,Xtal_Templ!A:B,2,FALSE))</f>
        <v>ntr1_rat</v>
      </c>
      <c r="C106" s="2" t="str">
        <f>VLOOKUP(A106,Classification!A:D,2,FALSE)</f>
        <v>A</v>
      </c>
      <c r="K106" s="2" t="s">
        <v>59</v>
      </c>
      <c r="N106" s="2" t="s">
        <v>43</v>
      </c>
      <c r="P106" s="4" t="s">
        <v>51</v>
      </c>
      <c r="R106" s="71" t="str">
        <f>MID(VLOOKUP($A106,Seqs!$A:$B,2,FALSE),VLOOKUP($A106,'NonXtal_SegEnds_Prot#'!A:AL,10,FALSE),1)</f>
        <v>D</v>
      </c>
      <c r="S106" s="102" t="str">
        <f>MID(VLOOKUP($A106,Seqs!$A:$B,2,FALSE),VLOOKUP($A106,'NonXtal_SegEnds_Prot#'!A:AL,10,FALSE)+6,1)</f>
        <v>A</v>
      </c>
      <c r="T106" s="102" t="str">
        <f>MID(VLOOKUP($A106,Seqs!$A:$B,2,FALSE),VLOOKUP($A106,'NonXtal_SegEnds_Prot#'!A:AL,10,FALSE)+7,1)</f>
        <v>A</v>
      </c>
      <c r="U106" s="102" t="str">
        <f>MID(VLOOKUP($A106,Seqs!$A:$B,2,FALSE),VLOOKUP($A106,'NonXtal_SegEnds_Prot#'!A:AL,10,FALSE)+8,1)</f>
        <v>A</v>
      </c>
      <c r="V106" s="102" t="str">
        <f>MID(VLOOKUP($A106,Seqs!$A:$B,2,FALSE),VLOOKUP($A106,'NonXtal_SegEnds_Prot#'!A:AL,10,FALSE)+9,1)</f>
        <v>F</v>
      </c>
      <c r="W106" s="71" t="str">
        <f>MID(VLOOKUP($A106,Seqs!$A:$B,2,FALSE),VLOOKUP($A106,'NonXtal_SegEnds_Prot#'!$A:$AL,22,FALSE)+6,1)</f>
        <v>F</v>
      </c>
      <c r="X106" s="102" t="str">
        <f>MID(VLOOKUP($A106,Seqs!$A:$B,2,FALSE),VLOOKUP($A106,'NonXtal_SegEnds_Prot#'!$A:$AL,22,FALSE)+7,1)</f>
        <v>S</v>
      </c>
      <c r="Y106" s="102" t="str">
        <f>MID(VLOOKUP($A106,Seqs!$A:$B,2,FALSE),VLOOKUP($A106,'NonXtal_SegEnds_Prot#'!$A:$AL,22,FALSE)+8,1)</f>
        <v>V</v>
      </c>
      <c r="Z106" s="102" t="str">
        <f>MID(VLOOKUP($A106,Seqs!$A:$B,2,FALSE),VLOOKUP($A106,'NonXtal_SegEnds_Prot#'!$A:$AL,22,FALSE)+9,1)</f>
        <v>P</v>
      </c>
      <c r="AA106" s="102" t="str">
        <f>MID(VLOOKUP($A106,Seqs!$A:$B,2,FALSE),VLOOKUP($A106,'NonXtal_SegEnds_Prot#'!$A:$AL,22,FALSE)+10,1)</f>
        <v>W</v>
      </c>
      <c r="AB106" s="71" t="str">
        <f>MID(VLOOKUP($A106,Seqs!$A:$B,2,FALSE),VLOOKUP($A106,'NonXtal_SegEnds_Prot#'!$A:$AL,28,FALSE)-4,1)</f>
        <v>G</v>
      </c>
      <c r="AC106" s="102" t="str">
        <f>MID(VLOOKUP($A106,Seqs!$A:$B,2,FALSE),VLOOKUP($A106,'NonXtal_SegEnds_Prot#'!$A:$AL,28,FALSE),1)</f>
        <v>P</v>
      </c>
    </row>
    <row r="107" spans="1:29" s="2" customFormat="1" x14ac:dyDescent="0.2">
      <c r="A107" s="2" t="s">
        <v>419</v>
      </c>
      <c r="B107" s="2" t="str">
        <f>LOWER(VLOOKUP(A107,Xtal_Templ!A:B,2,FALSE))</f>
        <v>ox2r_human</v>
      </c>
      <c r="C107" s="2" t="str">
        <f>VLOOKUP(A107,Classification!A:D,2,FALSE)</f>
        <v>A</v>
      </c>
      <c r="P107" s="4" t="s">
        <v>51</v>
      </c>
      <c r="R107" s="71" t="str">
        <f>MID(VLOOKUP($A107,Seqs!$A:$B,2,FALSE),VLOOKUP($A107,'NonXtal_SegEnds_Prot#'!A:AL,10,FALSE),1)</f>
        <v>H</v>
      </c>
      <c r="S107" s="102" t="str">
        <f>MID(VLOOKUP($A107,Seqs!$A:$B,2,FALSE),VLOOKUP($A107,'NonXtal_SegEnds_Prot#'!A:AL,10,FALSE)+6,1)</f>
        <v>V</v>
      </c>
      <c r="T107" s="102" t="str">
        <f>MID(VLOOKUP($A107,Seqs!$A:$B,2,FALSE),VLOOKUP($A107,'NonXtal_SegEnds_Prot#'!A:AL,10,FALSE)+7,1)</f>
        <v>P</v>
      </c>
      <c r="U107" s="102" t="str">
        <f>MID(VLOOKUP($A107,Seqs!$A:$B,2,FALSE),VLOOKUP($A107,'NonXtal_SegEnds_Prot#'!A:AL,10,FALSE)+8,1)</f>
        <v>I</v>
      </c>
      <c r="V107" s="102" t="str">
        <f>MID(VLOOKUP($A107,Seqs!$A:$B,2,FALSE),VLOOKUP($A107,'NonXtal_SegEnds_Prot#'!A:AL,10,FALSE)+9,1)</f>
        <v>A</v>
      </c>
      <c r="W107" s="71" t="str">
        <f>MID(VLOOKUP($A107,Seqs!$A:$B,2,FALSE),VLOOKUP($A107,'NonXtal_SegEnds_Prot#'!$A:$AL,22,FALSE)+6,1)</f>
        <v>L</v>
      </c>
      <c r="X107" s="102" t="str">
        <f>MID(VLOOKUP($A107,Seqs!$A:$B,2,FALSE),VLOOKUP($A107,'NonXtal_SegEnds_Prot#'!$A:$AL,22,FALSE)+7,1)</f>
        <v>S</v>
      </c>
      <c r="Y107" s="102" t="str">
        <f>MID(VLOOKUP($A107,Seqs!$A:$B,2,FALSE),VLOOKUP($A107,'NonXtal_SegEnds_Prot#'!$A:$AL,22,FALSE)+8,1)</f>
        <v>A</v>
      </c>
      <c r="Z107" s="102" t="str">
        <f>MID(VLOOKUP($A107,Seqs!$A:$B,2,FALSE),VLOOKUP($A107,'NonXtal_SegEnds_Prot#'!$A:$AL,22,FALSE)+9,1)</f>
        <v>L</v>
      </c>
      <c r="AA107" s="102" t="str">
        <f>MID(VLOOKUP($A107,Seqs!$A:$B,2,FALSE),VLOOKUP($A107,'NonXtal_SegEnds_Prot#'!$A:$AL,22,FALSE)+10,1)</f>
        <v>P</v>
      </c>
      <c r="AB107" s="71" t="str">
        <f>MID(VLOOKUP($A107,Seqs!$A:$B,2,FALSE),VLOOKUP($A107,'NonXtal_SegEnds_Prot#'!$A:$AL,28,FALSE)-4,1)</f>
        <v>V</v>
      </c>
      <c r="AC107" s="102" t="str">
        <f>MID(VLOOKUP($A107,Seqs!$A:$B,2,FALSE),VLOOKUP($A107,'NonXtal_SegEnds_Prot#'!$A:$AL,28,FALSE),1)</f>
        <v>V</v>
      </c>
    </row>
    <row r="108" spans="1:29" s="2" customFormat="1" x14ac:dyDescent="0.2">
      <c r="A108" s="2" t="s">
        <v>420</v>
      </c>
      <c r="B108" s="2" t="str">
        <f>LOWER(VLOOKUP(A108,Xtal_Templ!A:B,2,FALSE))</f>
        <v>hrh1_human</v>
      </c>
      <c r="C108" s="2" t="str">
        <f>VLOOKUP(A108,Classification!A:D,2,FALSE)</f>
        <v>A</v>
      </c>
      <c r="P108" s="4" t="s">
        <v>51</v>
      </c>
      <c r="R108" s="71" t="str">
        <f>MID(VLOOKUP($A108,Seqs!$A:$B,2,FALSE),VLOOKUP($A108,'NonXtal_SegEnds_Prot#'!A:AL,10,FALSE),1)</f>
        <v>D</v>
      </c>
      <c r="S108" s="102" t="str">
        <f>MID(VLOOKUP($A108,Seqs!$A:$B,2,FALSE),VLOOKUP($A108,'NonXtal_SegEnds_Prot#'!A:AL,10,FALSE)+6,1)</f>
        <v>N</v>
      </c>
      <c r="T108" s="102" t="str">
        <f>MID(VLOOKUP($A108,Seqs!$A:$B,2,FALSE),VLOOKUP($A108,'NonXtal_SegEnds_Prot#'!A:AL,10,FALSE)+7,1)</f>
        <v>I</v>
      </c>
      <c r="U108" s="102" t="str">
        <f>MID(VLOOKUP($A108,Seqs!$A:$B,2,FALSE),VLOOKUP($A108,'NonXtal_SegEnds_Prot#'!A:AL,10,FALSE)+8,1)</f>
        <v>S</v>
      </c>
      <c r="V108" s="102" t="str">
        <f>MID(VLOOKUP($A108,Seqs!$A:$B,2,FALSE),VLOOKUP($A108,'NonXtal_SegEnds_Prot#'!A:AL,10,FALSE)+9,1)</f>
        <v>I</v>
      </c>
      <c r="W108" s="71" t="str">
        <f>MID(VLOOKUP($A108,Seqs!$A:$B,2,FALSE),VLOOKUP($A108,'NonXtal_SegEnds_Prot#'!$A:$AL,22,FALSE)+6,1)</f>
        <v>Y</v>
      </c>
      <c r="X108" s="102" t="str">
        <f>MID(VLOOKUP($A108,Seqs!$A:$B,2,FALSE),VLOOKUP($A108,'NonXtal_SegEnds_Prot#'!$A:$AL,22,FALSE)+7,1)</f>
        <v>V</v>
      </c>
      <c r="Y108" s="102" t="str">
        <f>MID(VLOOKUP($A108,Seqs!$A:$B,2,FALSE),VLOOKUP($A108,'NonXtal_SegEnds_Prot#'!$A:$AL,22,FALSE)+8,1)</f>
        <v>L</v>
      </c>
      <c r="Z108" s="102" t="str">
        <f>MID(VLOOKUP($A108,Seqs!$A:$B,2,FALSE),VLOOKUP($A108,'NonXtal_SegEnds_Prot#'!$A:$AL,22,FALSE)+9,1)</f>
        <v>G</v>
      </c>
      <c r="AA108" s="102" t="str">
        <f>MID(VLOOKUP($A108,Seqs!$A:$B,2,FALSE),VLOOKUP($A108,'NonXtal_SegEnds_Prot#'!$A:$AL,22,FALSE)+10,1)</f>
        <v>D</v>
      </c>
      <c r="AB108" s="71" t="str">
        <f>MID(VLOOKUP($A108,Seqs!$A:$B,2,FALSE),VLOOKUP($A108,'NonXtal_SegEnds_Prot#'!$A:$AL,28,FALSE)-4,1)</f>
        <v>I</v>
      </c>
      <c r="AC108" s="102" t="str">
        <f>MID(VLOOKUP($A108,Seqs!$A:$B,2,FALSE),VLOOKUP($A108,'NonXtal_SegEnds_Prot#'!$A:$AL,28,FALSE),1)</f>
        <v>A</v>
      </c>
    </row>
    <row r="109" spans="1:29" s="2" customFormat="1" x14ac:dyDescent="0.2">
      <c r="A109" s="2" t="s">
        <v>421</v>
      </c>
      <c r="B109" s="2" t="str">
        <f>LOWER(VLOOKUP(A109,Xtal_Templ!A:B,2,FALSE))</f>
        <v>5ht1b_human</v>
      </c>
      <c r="C109" s="2" t="str">
        <f>VLOOKUP(A109,Classification!A:D,2,FALSE)</f>
        <v>A</v>
      </c>
      <c r="E109" s="2" t="s">
        <v>20</v>
      </c>
      <c r="N109" s="2" t="s">
        <v>43</v>
      </c>
      <c r="P109" s="4" t="s">
        <v>51</v>
      </c>
      <c r="R109" s="71" t="str">
        <f>MID(VLOOKUP($A109,Seqs!$A:$B,2,FALSE),VLOOKUP($A109,'NonXtal_SegEnds_Prot#'!A:AL,10,FALSE),1)</f>
        <v>N</v>
      </c>
      <c r="S109" s="102" t="str">
        <f>MID(VLOOKUP($A109,Seqs!$A:$B,2,FALSE),VLOOKUP($A109,'NonXtal_SegEnds_Prot#'!A:AL,10,FALSE)+6,1)</f>
        <v>L</v>
      </c>
      <c r="T109" s="102" t="str">
        <f>MID(VLOOKUP($A109,Seqs!$A:$B,2,FALSE),VLOOKUP($A109,'NonXtal_SegEnds_Prot#'!A:AL,10,FALSE)+7,1)</f>
        <v>V</v>
      </c>
      <c r="U109" s="102" t="str">
        <f>MID(VLOOKUP($A109,Seqs!$A:$B,2,FALSE),VLOOKUP($A109,'NonXtal_SegEnds_Prot#'!A:AL,10,FALSE)+8,1)</f>
        <v>L</v>
      </c>
      <c r="V109" s="102" t="str">
        <f>MID(VLOOKUP($A109,Seqs!$A:$B,2,FALSE),VLOOKUP($A109,'NonXtal_SegEnds_Prot#'!A:AL,10,FALSE)+9,1)</f>
        <v>P</v>
      </c>
      <c r="W109" s="71" t="str">
        <f>MID(VLOOKUP($A109,Seqs!$A:$B,2,FALSE),VLOOKUP($A109,'NonXtal_SegEnds_Prot#'!$A:$AL,22,FALSE)+6,1)</f>
        <v>G</v>
      </c>
      <c r="X109" s="102" t="str">
        <f>MID(VLOOKUP($A109,Seqs!$A:$B,2,FALSE),VLOOKUP($A109,'NonXtal_SegEnds_Prot#'!$A:$AL,22,FALSE)+7,1)</f>
        <v>C</v>
      </c>
      <c r="Y109" s="102" t="str">
        <f>MID(VLOOKUP($A109,Seqs!$A:$B,2,FALSE),VLOOKUP($A109,'NonXtal_SegEnds_Prot#'!$A:$AL,22,FALSE)+8,1)</f>
        <v>L</v>
      </c>
      <c r="Z109" s="102" t="str">
        <f>MID(VLOOKUP($A109,Seqs!$A:$B,2,FALSE),VLOOKUP($A109,'NonXtal_SegEnds_Prot#'!$A:$AL,22,FALSE)+9,1)</f>
        <v>P</v>
      </c>
      <c r="AA109" s="102" t="str">
        <f>MID(VLOOKUP($A109,Seqs!$A:$B,2,FALSE),VLOOKUP($A109,'NonXtal_SegEnds_Prot#'!$A:$AL,22,FALSE)+10,1)</f>
        <v>P</v>
      </c>
      <c r="AB109" s="71" t="str">
        <f>MID(VLOOKUP($A109,Seqs!$A:$B,2,FALSE),VLOOKUP($A109,'NonXtal_SegEnds_Prot#'!$A:$AL,28,FALSE)-4,1)</f>
        <v>C</v>
      </c>
      <c r="AC109" s="102" t="str">
        <f>MID(VLOOKUP($A109,Seqs!$A:$B,2,FALSE),VLOOKUP($A109,'NonXtal_SegEnds_Prot#'!$A:$AL,28,FALSE),1)</f>
        <v>P</v>
      </c>
    </row>
    <row r="110" spans="1:29" s="2" customFormat="1" x14ac:dyDescent="0.2">
      <c r="A110" s="2" t="s">
        <v>422</v>
      </c>
      <c r="B110" s="2" t="str">
        <f>LOWER(VLOOKUP(A110,Xtal_Templ!A:B,2,FALSE))</f>
        <v>acm4_human</v>
      </c>
      <c r="C110" s="2" t="str">
        <f>VLOOKUP(A110,Classification!A:D,2,FALSE)</f>
        <v>A</v>
      </c>
      <c r="P110" s="4" t="s">
        <v>51</v>
      </c>
      <c r="R110" s="71" t="str">
        <f>MID(VLOOKUP($A110,Seqs!$A:$B,2,FALSE),VLOOKUP($A110,'NonXtal_SegEnds_Prot#'!A:AL,10,FALSE),1)</f>
        <v>H</v>
      </c>
      <c r="S110" s="102" t="str">
        <f>MID(VLOOKUP($A110,Seqs!$A:$B,2,FALSE),VLOOKUP($A110,'NonXtal_SegEnds_Prot#'!A:AL,10,FALSE)+6,1)</f>
        <v>V</v>
      </c>
      <c r="T110" s="102" t="str">
        <f>MID(VLOOKUP($A110,Seqs!$A:$B,2,FALSE),VLOOKUP($A110,'NonXtal_SegEnds_Prot#'!A:AL,10,FALSE)+7,1)</f>
        <v>P</v>
      </c>
      <c r="U110" s="102" t="str">
        <f>MID(VLOOKUP($A110,Seqs!$A:$B,2,FALSE),VLOOKUP($A110,'NonXtal_SegEnds_Prot#'!A:AL,10,FALSE)+8,1)</f>
        <v>L</v>
      </c>
      <c r="V110" s="102" t="str">
        <f>MID(VLOOKUP($A110,Seqs!$A:$B,2,FALSE),VLOOKUP($A110,'NonXtal_SegEnds_Prot#'!A:AL,10,FALSE)+9,1)</f>
        <v>T</v>
      </c>
      <c r="W110" s="71" t="str">
        <f>MID(VLOOKUP($A110,Seqs!$A:$B,2,FALSE),VLOOKUP($A110,'NonXtal_SegEnds_Prot#'!$A:$AL,22,FALSE)+6,1)</f>
        <v>L</v>
      </c>
      <c r="X110" s="102" t="str">
        <f>MID(VLOOKUP($A110,Seqs!$A:$B,2,FALSE),VLOOKUP($A110,'NonXtal_SegEnds_Prot#'!$A:$AL,22,FALSE)+7,1)</f>
        <v>S</v>
      </c>
      <c r="Y110" s="102" t="str">
        <f>MID(VLOOKUP($A110,Seqs!$A:$B,2,FALSE),VLOOKUP($A110,'NonXtal_SegEnds_Prot#'!$A:$AL,22,FALSE)+8,1)</f>
        <v>T</v>
      </c>
      <c r="Z110" s="102" t="str">
        <f>MID(VLOOKUP($A110,Seqs!$A:$B,2,FALSE),VLOOKUP($A110,'NonXtal_SegEnds_Prot#'!$A:$AL,22,FALSE)+9,1)</f>
        <v>L</v>
      </c>
      <c r="AA110" s="102" t="str">
        <f>MID(VLOOKUP($A110,Seqs!$A:$B,2,FALSE),VLOOKUP($A110,'NonXtal_SegEnds_Prot#'!$A:$AL,22,FALSE)+10,1)</f>
        <v>P</v>
      </c>
      <c r="AB110" s="71" t="str">
        <f>MID(VLOOKUP($A110,Seqs!$A:$B,2,FALSE),VLOOKUP($A110,'NonXtal_SegEnds_Prot#'!$A:$AL,28,FALSE)-4,1)</f>
        <v>L</v>
      </c>
      <c r="AC110" s="102" t="str">
        <f>MID(VLOOKUP($A110,Seqs!$A:$B,2,FALSE),VLOOKUP($A110,'NonXtal_SegEnds_Prot#'!$A:$AL,28,FALSE),1)</f>
        <v>I</v>
      </c>
    </row>
    <row r="111" spans="1:29" s="2" customFormat="1" x14ac:dyDescent="0.2">
      <c r="A111" s="2" t="s">
        <v>423</v>
      </c>
      <c r="B111" s="2" t="str">
        <f>LOWER(VLOOKUP(A111,Xtal_Templ!A:B,2,FALSE))</f>
        <v>p2y12_human</v>
      </c>
      <c r="C111" s="2" t="str">
        <f>VLOOKUP(A111,Classification!A:D,2,FALSE)</f>
        <v>A</v>
      </c>
      <c r="K111" s="2" t="s">
        <v>59</v>
      </c>
      <c r="P111" s="4" t="s">
        <v>51</v>
      </c>
      <c r="R111" s="71" t="str">
        <f>MID(VLOOKUP($A111,Seqs!$A:$B,2,FALSE),VLOOKUP($A111,'NonXtal_SegEnds_Prot#'!A:AL,10,FALSE),1)</f>
        <v>D</v>
      </c>
      <c r="S111" s="102" t="str">
        <f>MID(VLOOKUP($A111,Seqs!$A:$B,2,FALSE),VLOOKUP($A111,'NonXtal_SegEnds_Prot#'!A:AL,10,FALSE)+6,1)</f>
        <v>A</v>
      </c>
      <c r="T111" s="102" t="str">
        <f>MID(VLOOKUP($A111,Seqs!$A:$B,2,FALSE),VLOOKUP($A111,'NonXtal_SegEnds_Prot#'!A:AL,10,FALSE)+7,1)</f>
        <v>L</v>
      </c>
      <c r="U111" s="102" t="str">
        <f>MID(VLOOKUP($A111,Seqs!$A:$B,2,FALSE),VLOOKUP($A111,'NonXtal_SegEnds_Prot#'!A:AL,10,FALSE)+8,1)</f>
        <v>P</v>
      </c>
      <c r="V111" s="102" t="str">
        <f>MID(VLOOKUP($A111,Seqs!$A:$B,2,FALSE),VLOOKUP($A111,'NonXtal_SegEnds_Prot#'!A:AL,10,FALSE)+9,1)</f>
        <v>V</v>
      </c>
      <c r="W111" s="71" t="str">
        <f>MID(VLOOKUP($A111,Seqs!$A:$B,2,FALSE),VLOOKUP($A111,'NonXtal_SegEnds_Prot#'!$A:$AL,22,FALSE)+6,1)</f>
        <v>I</v>
      </c>
      <c r="X111" s="102" t="str">
        <f>MID(VLOOKUP($A111,Seqs!$A:$B,2,FALSE),VLOOKUP($A111,'NonXtal_SegEnds_Prot#'!$A:$AL,22,FALSE)+7,1)</f>
        <v>M</v>
      </c>
      <c r="Y111" s="102" t="str">
        <f>MID(VLOOKUP($A111,Seqs!$A:$B,2,FALSE),VLOOKUP($A111,'NonXtal_SegEnds_Prot#'!$A:$AL,22,FALSE)+8,1)</f>
        <v>V</v>
      </c>
      <c r="Z111" s="102" t="str">
        <f>MID(VLOOKUP($A111,Seqs!$A:$B,2,FALSE),VLOOKUP($A111,'NonXtal_SegEnds_Prot#'!$A:$AL,22,FALSE)+9,1)</f>
        <v>P</v>
      </c>
      <c r="AA111" s="102" t="str">
        <f>MID(VLOOKUP($A111,Seqs!$A:$B,2,FALSE),VLOOKUP($A111,'NonXtal_SegEnds_Prot#'!$A:$AL,22,FALSE)+10,1)</f>
        <v>N</v>
      </c>
      <c r="AB111" s="71" t="str">
        <f>MID(VLOOKUP($A111,Seqs!$A:$B,2,FALSE),VLOOKUP($A111,'NonXtal_SegEnds_Prot#'!$A:$AL,28,FALSE)-4,1)</f>
        <v>I</v>
      </c>
      <c r="AC111" s="102" t="str">
        <f>MID(VLOOKUP($A111,Seqs!$A:$B,2,FALSE),VLOOKUP($A111,'NonXtal_SegEnds_Prot#'!$A:$AL,28,FALSE),1)</f>
        <v>F</v>
      </c>
    </row>
    <row r="112" spans="1:29" s="2" customFormat="1" x14ac:dyDescent="0.2">
      <c r="A112" s="2" t="s">
        <v>424</v>
      </c>
      <c r="B112" s="2" t="str">
        <f>LOWER(VLOOKUP(A112,Xtal_Templ!A:B,2,FALSE))</f>
        <v>5ht2b_human</v>
      </c>
      <c r="C112" s="2" t="str">
        <f>VLOOKUP(A112,Classification!A:D,2,FALSE)</f>
        <v>A</v>
      </c>
      <c r="E112" s="2" t="s">
        <v>20</v>
      </c>
      <c r="N112" s="2" t="s">
        <v>43</v>
      </c>
      <c r="P112" s="4" t="s">
        <v>51</v>
      </c>
      <c r="R112" s="71" t="str">
        <f>MID(VLOOKUP($A112,Seqs!$A:$B,2,FALSE),VLOOKUP($A112,'NonXtal_SegEnds_Prot#'!A:AL,10,FALSE),1)</f>
        <v>D</v>
      </c>
      <c r="S112" s="102" t="str">
        <f>MID(VLOOKUP($A112,Seqs!$A:$B,2,FALSE),VLOOKUP($A112,'NonXtal_SegEnds_Prot#'!A:AL,10,FALSE)+6,1)</f>
        <v>V</v>
      </c>
      <c r="T112" s="102" t="str">
        <f>MID(VLOOKUP($A112,Seqs!$A:$B,2,FALSE),VLOOKUP($A112,'NonXtal_SegEnds_Prot#'!A:AL,10,FALSE)+7,1)</f>
        <v>C</v>
      </c>
      <c r="U112" s="102" t="str">
        <f>MID(VLOOKUP($A112,Seqs!$A:$B,2,FALSE),VLOOKUP($A112,'NonXtal_SegEnds_Prot#'!A:AL,10,FALSE)+8,1)</f>
        <v>F</v>
      </c>
      <c r="V112" s="102" t="str">
        <f>MID(VLOOKUP($A112,Seqs!$A:$B,2,FALSE),VLOOKUP($A112,'NonXtal_SegEnds_Prot#'!A:AL,10,FALSE)+9,1)</f>
        <v>P</v>
      </c>
      <c r="W112" s="71" t="str">
        <f>MID(VLOOKUP($A112,Seqs!$A:$B,2,FALSE),VLOOKUP($A112,'NonXtal_SegEnds_Prot#'!$A:$AL,22,FALSE)+6,1)</f>
        <v>M</v>
      </c>
      <c r="X112" s="102" t="str">
        <f>MID(VLOOKUP($A112,Seqs!$A:$B,2,FALSE),VLOOKUP($A112,'NonXtal_SegEnds_Prot#'!$A:$AL,22,FALSE)+7,1)</f>
        <v>A</v>
      </c>
      <c r="Y112" s="102" t="str">
        <f>MID(VLOOKUP($A112,Seqs!$A:$B,2,FALSE),VLOOKUP($A112,'NonXtal_SegEnds_Prot#'!$A:$AL,22,FALSE)+8,1)</f>
        <v>F</v>
      </c>
      <c r="Z112" s="102" t="str">
        <f>MID(VLOOKUP($A112,Seqs!$A:$B,2,FALSE),VLOOKUP($A112,'NonXtal_SegEnds_Prot#'!$A:$AL,22,FALSE)+9,1)</f>
        <v>P</v>
      </c>
      <c r="AA112" s="102" t="str">
        <f>MID(VLOOKUP($A112,Seqs!$A:$B,2,FALSE),VLOOKUP($A112,'NonXtal_SegEnds_Prot#'!$A:$AL,22,FALSE)+10,1)</f>
        <v>P</v>
      </c>
      <c r="AB112" s="71" t="str">
        <f>MID(VLOOKUP($A112,Seqs!$A:$B,2,FALSE),VLOOKUP($A112,'NonXtal_SegEnds_Prot#'!$A:$AL,28,FALSE)-4,1)</f>
        <v>T</v>
      </c>
      <c r="AC112" s="102" t="str">
        <f>MID(VLOOKUP($A112,Seqs!$A:$B,2,FALSE),VLOOKUP($A112,'NonXtal_SegEnds_Prot#'!$A:$AL,28,FALSE),1)</f>
        <v>P</v>
      </c>
    </row>
    <row r="113" spans="1:29" s="2" customFormat="1" x14ac:dyDescent="0.2">
      <c r="A113" s="2" t="s">
        <v>425</v>
      </c>
      <c r="B113" s="2" t="str">
        <f>LOWER(VLOOKUP(A113,Xtal_Templ!A:B,2,FALSE))</f>
        <v>p2ry1_human</v>
      </c>
      <c r="C113" s="2" t="str">
        <f>VLOOKUP(A113,Classification!A:D,2,FALSE)</f>
        <v>A</v>
      </c>
      <c r="N113" s="2" t="s">
        <v>43</v>
      </c>
      <c r="P113" s="4" t="s">
        <v>51</v>
      </c>
      <c r="R113" s="71" t="str">
        <f>MID(VLOOKUP($A113,Seqs!$A:$B,2,FALSE),VLOOKUP($A113,'NonXtal_SegEnds_Prot#'!A:AL,10,FALSE),1)</f>
        <v>D</v>
      </c>
      <c r="S113" s="102" t="str">
        <f>MID(VLOOKUP($A113,Seqs!$A:$B,2,FALSE),VLOOKUP($A113,'NonXtal_SegEnds_Prot#'!A:AL,10,FALSE)+6,1)</f>
        <v>S</v>
      </c>
      <c r="T113" s="102" t="str">
        <f>MID(VLOOKUP($A113,Seqs!$A:$B,2,FALSE),VLOOKUP($A113,'NonXtal_SegEnds_Prot#'!A:AL,10,FALSE)+7,1)</f>
        <v>L</v>
      </c>
      <c r="U113" s="102" t="str">
        <f>MID(VLOOKUP($A113,Seqs!$A:$B,2,FALSE),VLOOKUP($A113,'NonXtal_SegEnds_Prot#'!A:AL,10,FALSE)+8,1)</f>
        <v>P</v>
      </c>
      <c r="V113" s="102" t="str">
        <f>MID(VLOOKUP($A113,Seqs!$A:$B,2,FALSE),VLOOKUP($A113,'NonXtal_SegEnds_Prot#'!A:AL,10,FALSE)+9,1)</f>
        <v>L</v>
      </c>
      <c r="W113" s="71" t="str">
        <f>MID(VLOOKUP($A113,Seqs!$A:$B,2,FALSE),VLOOKUP($A113,'NonXtal_SegEnds_Prot#'!$A:$AL,22,FALSE)+6,1)</f>
        <v>A</v>
      </c>
      <c r="X113" s="102" t="str">
        <f>MID(VLOOKUP($A113,Seqs!$A:$B,2,FALSE),VLOOKUP($A113,'NonXtal_SegEnds_Prot#'!$A:$AL,22,FALSE)+7,1)</f>
        <v>C</v>
      </c>
      <c r="Y113" s="102" t="str">
        <f>MID(VLOOKUP($A113,Seqs!$A:$B,2,FALSE),VLOOKUP($A113,'NonXtal_SegEnds_Prot#'!$A:$AL,22,FALSE)+8,1)</f>
        <v>V</v>
      </c>
      <c r="Z113" s="102" t="str">
        <f>MID(VLOOKUP($A113,Seqs!$A:$B,2,FALSE),VLOOKUP($A113,'NonXtal_SegEnds_Prot#'!$A:$AL,22,FALSE)+9,1)</f>
        <v>L</v>
      </c>
      <c r="AA113" s="102" t="str">
        <f>MID(VLOOKUP($A113,Seqs!$A:$B,2,FALSE),VLOOKUP($A113,'NonXtal_SegEnds_Prot#'!$A:$AL,22,FALSE)+10,1)</f>
        <v>F</v>
      </c>
      <c r="AB113" s="71" t="str">
        <f>MID(VLOOKUP($A113,Seqs!$A:$B,2,FALSE),VLOOKUP($A113,'NonXtal_SegEnds_Prot#'!$A:$AL,28,FALSE)-4,1)</f>
        <v>G</v>
      </c>
      <c r="AC113" s="102" t="str">
        <f>MID(VLOOKUP($A113,Seqs!$A:$B,2,FALSE),VLOOKUP($A113,'NonXtal_SegEnds_Prot#'!$A:$AL,28,FALSE),1)</f>
        <v>P</v>
      </c>
    </row>
    <row r="114" spans="1:29" s="2" customFormat="1" x14ac:dyDescent="0.2">
      <c r="A114" s="2" t="s">
        <v>426</v>
      </c>
      <c r="B114" s="2" t="str">
        <f>LOWER(VLOOKUP(A114,Xtal_Templ!A:B,2,FALSE))</f>
        <v>ox1r_human</v>
      </c>
      <c r="C114" s="2" t="str">
        <f>VLOOKUP(A114,Classification!A:D,2,FALSE)</f>
        <v>A</v>
      </c>
      <c r="E114" s="2" t="s">
        <v>20</v>
      </c>
      <c r="K114" s="2" t="s">
        <v>59</v>
      </c>
      <c r="N114" s="2" t="s">
        <v>43</v>
      </c>
      <c r="P114" s="4" t="s">
        <v>51</v>
      </c>
      <c r="R114" s="71" t="str">
        <f>MID(VLOOKUP($A114,Seqs!$A:$B,2,FALSE),VLOOKUP($A114,'NonXtal_SegEnds_Prot#'!A:AL,10,FALSE),1)</f>
        <v>G</v>
      </c>
      <c r="S114" s="102" t="str">
        <f>MID(VLOOKUP($A114,Seqs!$A:$B,2,FALSE),VLOOKUP($A114,'NonXtal_SegEnds_Prot#'!A:AL,10,FALSE)+6,1)</f>
        <v>V</v>
      </c>
      <c r="T114" s="102" t="str">
        <f>MID(VLOOKUP($A114,Seqs!$A:$B,2,FALSE),VLOOKUP($A114,'NonXtal_SegEnds_Prot#'!A:AL,10,FALSE)+7,1)</f>
        <v>C</v>
      </c>
      <c r="U114" s="102" t="str">
        <f>MID(VLOOKUP($A114,Seqs!$A:$B,2,FALSE),VLOOKUP($A114,'NonXtal_SegEnds_Prot#'!A:AL,10,FALSE)+8,1)</f>
        <v>V</v>
      </c>
      <c r="V114" s="102" t="str">
        <f>MID(VLOOKUP($A114,Seqs!$A:$B,2,FALSE),VLOOKUP($A114,'NonXtal_SegEnds_Prot#'!A:AL,10,FALSE)+9,1)</f>
        <v>P</v>
      </c>
      <c r="W114" s="71" t="str">
        <f>MID(VLOOKUP($A114,Seqs!$A:$B,2,FALSE),VLOOKUP($A114,'NonXtal_SegEnds_Prot#'!$A:$AL,22,FALSE)+6,1)</f>
        <v>A</v>
      </c>
      <c r="X114" s="102" t="str">
        <f>MID(VLOOKUP($A114,Seqs!$A:$B,2,FALSE),VLOOKUP($A114,'NonXtal_SegEnds_Prot#'!$A:$AL,22,FALSE)+7,1)</f>
        <v>S</v>
      </c>
      <c r="Y114" s="102" t="str">
        <f>MID(VLOOKUP($A114,Seqs!$A:$B,2,FALSE),VLOOKUP($A114,'NonXtal_SegEnds_Prot#'!$A:$AL,22,FALSE)+8,1)</f>
        <v>V</v>
      </c>
      <c r="Z114" s="102" t="str">
        <f>MID(VLOOKUP($A114,Seqs!$A:$B,2,FALSE),VLOOKUP($A114,'NonXtal_SegEnds_Prot#'!$A:$AL,22,FALSE)+9,1)</f>
        <v>P</v>
      </c>
      <c r="AA114" s="102" t="str">
        <f>MID(VLOOKUP($A114,Seqs!$A:$B,2,FALSE),VLOOKUP($A114,'NonXtal_SegEnds_Prot#'!$A:$AL,22,FALSE)+10,1)</f>
        <v>V</v>
      </c>
      <c r="AB114" s="71" t="str">
        <f>MID(VLOOKUP($A114,Seqs!$A:$B,2,FALSE),VLOOKUP($A114,'NonXtal_SegEnds_Prot#'!$A:$AL,28,FALSE)-4,1)</f>
        <v>T</v>
      </c>
      <c r="AC114" s="102" t="str">
        <f>MID(VLOOKUP($A114,Seqs!$A:$B,2,FALSE),VLOOKUP($A114,'NonXtal_SegEnds_Prot#'!$A:$AL,28,FALSE),1)</f>
        <v>P</v>
      </c>
    </row>
    <row r="115" spans="1:29" s="2" customFormat="1" x14ac:dyDescent="0.2">
      <c r="A115" s="2" t="s">
        <v>427</v>
      </c>
      <c r="B115" s="2" t="str">
        <f>LOWER(VLOOKUP(A115,Xtal_Templ!A:B,2,FALSE))</f>
        <v>agtr1_human</v>
      </c>
      <c r="C115" s="2" t="str">
        <f>VLOOKUP(A115,Classification!A:D,2,FALSE)</f>
        <v>A</v>
      </c>
      <c r="K115" s="2" t="s">
        <v>59</v>
      </c>
      <c r="N115" s="2" t="s">
        <v>43</v>
      </c>
      <c r="P115" s="4" t="s">
        <v>51</v>
      </c>
      <c r="R115" s="71" t="str">
        <f>MID(VLOOKUP($A115,Seqs!$A:$B,2,FALSE),VLOOKUP($A115,'NonXtal_SegEnds_Prot#'!A:AL,10,FALSE),1)</f>
        <v>D</v>
      </c>
      <c r="S115" s="102" t="str">
        <f>MID(VLOOKUP($A115,Seqs!$A:$B,2,FALSE),VLOOKUP($A115,'NonXtal_SegEnds_Prot#'!A:AL,10,FALSE)+6,1)</f>
        <v>S</v>
      </c>
      <c r="T115" s="102" t="str">
        <f>MID(VLOOKUP($A115,Seqs!$A:$B,2,FALSE),VLOOKUP($A115,'NonXtal_SegEnds_Prot#'!A:AL,10,FALSE)+7,1)</f>
        <v>L</v>
      </c>
      <c r="U115" s="102" t="str">
        <f>MID(VLOOKUP($A115,Seqs!$A:$B,2,FALSE),VLOOKUP($A115,'NonXtal_SegEnds_Prot#'!A:AL,10,FALSE)+8,1)</f>
        <v>P</v>
      </c>
      <c r="V115" s="102" t="str">
        <f>MID(VLOOKUP($A115,Seqs!$A:$B,2,FALSE),VLOOKUP($A115,'NonXtal_SegEnds_Prot#'!A:AL,10,FALSE)+9,1)</f>
        <v>V</v>
      </c>
      <c r="W115" s="71" t="str">
        <f>MID(VLOOKUP($A115,Seqs!$A:$B,2,FALSE),VLOOKUP($A115,'NonXtal_SegEnds_Prot#'!$A:$AL,22,FALSE)+6,1)</f>
        <v>I</v>
      </c>
      <c r="X115" s="102" t="str">
        <f>MID(VLOOKUP($A115,Seqs!$A:$B,2,FALSE),VLOOKUP($A115,'NonXtal_SegEnds_Prot#'!$A:$AL,22,FALSE)+7,1)</f>
        <v>P</v>
      </c>
      <c r="Y115" s="102" t="str">
        <f>MID(VLOOKUP($A115,Seqs!$A:$B,2,FALSE),VLOOKUP($A115,'NonXtal_SegEnds_Prot#'!$A:$AL,22,FALSE)+8,1)</f>
        <v>L</v>
      </c>
      <c r="Z115" s="102" t="str">
        <f>MID(VLOOKUP($A115,Seqs!$A:$B,2,FALSE),VLOOKUP($A115,'NonXtal_SegEnds_Prot#'!$A:$AL,22,FALSE)+9,1)</f>
        <v>P</v>
      </c>
      <c r="AA115" s="102" t="str">
        <f>MID(VLOOKUP($A115,Seqs!$A:$B,2,FALSE),VLOOKUP($A115,'NonXtal_SegEnds_Prot#'!$A:$AL,22,FALSE)+10,1)</f>
        <v>E</v>
      </c>
      <c r="AB115" s="71" t="str">
        <f>MID(VLOOKUP($A115,Seqs!$A:$B,2,FALSE),VLOOKUP($A115,'NonXtal_SegEnds_Prot#'!$A:$AL,28,FALSE)-4,1)</f>
        <v>G</v>
      </c>
      <c r="AC115" s="102" t="str">
        <f>MID(VLOOKUP($A115,Seqs!$A:$B,2,FALSE),VLOOKUP($A115,'NonXtal_SegEnds_Prot#'!$A:$AL,28,FALSE),1)</f>
        <v>P</v>
      </c>
    </row>
    <row r="116" spans="1:29" s="2" customFormat="1" x14ac:dyDescent="0.2">
      <c r="A116" s="2" t="s">
        <v>428</v>
      </c>
      <c r="B116" s="2" t="str">
        <f>LOWER(VLOOKUP(A116,Xtal_Templ!A:B,2,FALSE))</f>
        <v>p2y12_human</v>
      </c>
      <c r="C116" s="2" t="str">
        <f>VLOOKUP(A116,Classification!A:D,2,FALSE)</f>
        <v>A</v>
      </c>
      <c r="K116" s="2" t="s">
        <v>59</v>
      </c>
      <c r="N116" s="2" t="s">
        <v>43</v>
      </c>
      <c r="P116" s="4" t="s">
        <v>51</v>
      </c>
      <c r="R116" s="71" t="str">
        <f>MID(VLOOKUP($A116,Seqs!$A:$B,2,FALSE),VLOOKUP($A116,'NonXtal_SegEnds_Prot#'!A:AL,10,FALSE),1)</f>
        <v>D</v>
      </c>
      <c r="S116" s="102" t="str">
        <f>MID(VLOOKUP($A116,Seqs!$A:$B,2,FALSE),VLOOKUP($A116,'NonXtal_SegEnds_Prot#'!A:AL,10,FALSE)+6,1)</f>
        <v>A</v>
      </c>
      <c r="T116" s="102" t="str">
        <f>MID(VLOOKUP($A116,Seqs!$A:$B,2,FALSE),VLOOKUP($A116,'NonXtal_SegEnds_Prot#'!A:AL,10,FALSE)+7,1)</f>
        <v>L</v>
      </c>
      <c r="U116" s="102" t="str">
        <f>MID(VLOOKUP($A116,Seqs!$A:$B,2,FALSE),VLOOKUP($A116,'NonXtal_SegEnds_Prot#'!A:AL,10,FALSE)+8,1)</f>
        <v>P</v>
      </c>
      <c r="V116" s="102" t="str">
        <f>MID(VLOOKUP($A116,Seqs!$A:$B,2,FALSE),VLOOKUP($A116,'NonXtal_SegEnds_Prot#'!A:AL,10,FALSE)+9,1)</f>
        <v>T</v>
      </c>
      <c r="W116" s="71" t="str">
        <f>MID(VLOOKUP($A116,Seqs!$A:$B,2,FALSE),VLOOKUP($A116,'NonXtal_SegEnds_Prot#'!$A:$AL,22,FALSE)+6,1)</f>
        <v>Q</v>
      </c>
      <c r="X116" s="102" t="str">
        <f>MID(VLOOKUP($A116,Seqs!$A:$B,2,FALSE),VLOOKUP($A116,'NonXtal_SegEnds_Prot#'!$A:$AL,22,FALSE)+7,1)</f>
        <v>T</v>
      </c>
      <c r="Y116" s="102" t="str">
        <f>MID(VLOOKUP($A116,Seqs!$A:$B,2,FALSE),VLOOKUP($A116,'NonXtal_SegEnds_Prot#'!$A:$AL,22,FALSE)+8,1)</f>
        <v>L</v>
      </c>
      <c r="Z116" s="102" t="str">
        <f>MID(VLOOKUP($A116,Seqs!$A:$B,2,FALSE),VLOOKUP($A116,'NonXtal_SegEnds_Prot#'!$A:$AL,22,FALSE)+9,1)</f>
        <v>P</v>
      </c>
      <c r="AA116" s="102" t="str">
        <f>MID(VLOOKUP($A116,Seqs!$A:$B,2,FALSE),VLOOKUP($A116,'NonXtal_SegEnds_Prot#'!$A:$AL,22,FALSE)+10,1)</f>
        <v>L</v>
      </c>
      <c r="AB116" s="71" t="str">
        <f>MID(VLOOKUP($A116,Seqs!$A:$B,2,FALSE),VLOOKUP($A116,'NonXtal_SegEnds_Prot#'!$A:$AL,28,FALSE)-4,1)</f>
        <v>G</v>
      </c>
      <c r="AC116" s="102" t="str">
        <f>MID(VLOOKUP($A116,Seqs!$A:$B,2,FALSE),VLOOKUP($A116,'NonXtal_SegEnds_Prot#'!$A:$AL,28,FALSE),1)</f>
        <v>P</v>
      </c>
    </row>
    <row r="117" spans="1:29" s="2" customFormat="1" x14ac:dyDescent="0.2">
      <c r="A117" s="2" t="s">
        <v>429</v>
      </c>
      <c r="B117" s="2" t="str">
        <f>LOWER(VLOOKUP(A117,Xtal_Templ!A:B,2,FALSE))</f>
        <v>acm1_human</v>
      </c>
      <c r="C117" s="2" t="str">
        <f>VLOOKUP(A117,Classification!A:D,2,FALSE)</f>
        <v>A</v>
      </c>
      <c r="N117" s="2" t="s">
        <v>43</v>
      </c>
      <c r="P117" s="4" t="s">
        <v>51</v>
      </c>
      <c r="R117" s="71" t="str">
        <f>MID(VLOOKUP($A117,Seqs!$A:$B,2,FALSE),VLOOKUP($A117,'NonXtal_SegEnds_Prot#'!A:AL,10,FALSE),1)</f>
        <v>G</v>
      </c>
      <c r="S117" s="102" t="str">
        <f>MID(VLOOKUP($A117,Seqs!$A:$B,2,FALSE),VLOOKUP($A117,'NonXtal_SegEnds_Prot#'!A:AL,10,FALSE)+6,1)</f>
        <v>A</v>
      </c>
      <c r="T117" s="102" t="str">
        <f>MID(VLOOKUP($A117,Seqs!$A:$B,2,FALSE),VLOOKUP($A117,'NonXtal_SegEnds_Prot#'!A:AL,10,FALSE)+7,1)</f>
        <v>L</v>
      </c>
      <c r="U117" s="102" t="str">
        <f>MID(VLOOKUP($A117,Seqs!$A:$B,2,FALSE),VLOOKUP($A117,'NonXtal_SegEnds_Prot#'!A:AL,10,FALSE)+8,1)</f>
        <v>P</v>
      </c>
      <c r="V117" s="102" t="str">
        <f>MID(VLOOKUP($A117,Seqs!$A:$B,2,FALSE),VLOOKUP($A117,'NonXtal_SegEnds_Prot#'!A:AL,10,FALSE)+9,1)</f>
        <v>T</v>
      </c>
      <c r="W117" s="71" t="str">
        <f>MID(VLOOKUP($A117,Seqs!$A:$B,2,FALSE),VLOOKUP($A117,'NonXtal_SegEnds_Prot#'!$A:$AL,22,FALSE)+6,1)</f>
        <v>F</v>
      </c>
      <c r="X117" s="102" t="str">
        <f>MID(VLOOKUP($A117,Seqs!$A:$B,2,FALSE),VLOOKUP($A117,'NonXtal_SegEnds_Prot#'!$A:$AL,22,FALSE)+7,1)</f>
        <v>A</v>
      </c>
      <c r="Y117" s="102" t="str">
        <f>MID(VLOOKUP($A117,Seqs!$A:$B,2,FALSE),VLOOKUP($A117,'NonXtal_SegEnds_Prot#'!$A:$AL,22,FALSE)+8,1)</f>
        <v>S</v>
      </c>
      <c r="Z117" s="102" t="str">
        <f>MID(VLOOKUP($A117,Seqs!$A:$B,2,FALSE),VLOOKUP($A117,'NonXtal_SegEnds_Prot#'!$A:$AL,22,FALSE)+9,1)</f>
        <v>L</v>
      </c>
      <c r="AA117" s="102" t="str">
        <f>MID(VLOOKUP($A117,Seqs!$A:$B,2,FALSE),VLOOKUP($A117,'NonXtal_SegEnds_Prot#'!$A:$AL,22,FALSE)+10,1)</f>
        <v>P</v>
      </c>
      <c r="AB117" s="71" t="str">
        <f>MID(VLOOKUP($A117,Seqs!$A:$B,2,FALSE),VLOOKUP($A117,'NonXtal_SegEnds_Prot#'!$A:$AL,28,FALSE)-4,1)</f>
        <v>G</v>
      </c>
      <c r="AC117" s="102" t="str">
        <f>MID(VLOOKUP($A117,Seqs!$A:$B,2,FALSE),VLOOKUP($A117,'NonXtal_SegEnds_Prot#'!$A:$AL,28,FALSE),1)</f>
        <v>P</v>
      </c>
    </row>
    <row r="118" spans="1:29" s="2" customFormat="1" x14ac:dyDescent="0.2">
      <c r="A118" s="2" t="s">
        <v>430</v>
      </c>
      <c r="B118" s="2" t="str">
        <f>LOWER(VLOOKUP(A118,Xtal_Templ!A:B,2,FALSE))</f>
        <v>agtr1_human</v>
      </c>
      <c r="C118" s="2" t="str">
        <f>VLOOKUP(A118,Classification!A:D,2,FALSE)</f>
        <v>A</v>
      </c>
      <c r="N118" s="2" t="s">
        <v>43</v>
      </c>
      <c r="P118" s="4" t="s">
        <v>51</v>
      </c>
      <c r="R118" s="71" t="str">
        <f>MID(VLOOKUP($A118,Seqs!$A:$B,2,FALSE),VLOOKUP($A118,'NonXtal_SegEnds_Prot#'!A:AL,10,FALSE),1)</f>
        <v>D</v>
      </c>
      <c r="S118" s="102" t="str">
        <f>MID(VLOOKUP($A118,Seqs!$A:$B,2,FALSE),VLOOKUP($A118,'NonXtal_SegEnds_Prot#'!A:AL,10,FALSE)+6,1)</f>
        <v>D</v>
      </c>
      <c r="T118" s="102" t="str">
        <f>MID(VLOOKUP($A118,Seqs!$A:$B,2,FALSE),VLOOKUP($A118,'NonXtal_SegEnds_Prot#'!A:AL,10,FALSE)+7,1)</f>
        <v>S</v>
      </c>
      <c r="U118" s="102" t="str">
        <f>MID(VLOOKUP($A118,Seqs!$A:$B,2,FALSE),VLOOKUP($A118,'NonXtal_SegEnds_Prot#'!A:AL,10,FALSE)+8,1)</f>
        <v>L</v>
      </c>
      <c r="V118" s="102" t="str">
        <f>MID(VLOOKUP($A118,Seqs!$A:$B,2,FALSE),VLOOKUP($A118,'NonXtal_SegEnds_Prot#'!A:AL,10,FALSE)+9,1)</f>
        <v>I</v>
      </c>
      <c r="W118" s="71" t="str">
        <f>MID(VLOOKUP($A118,Seqs!$A:$B,2,FALSE),VLOOKUP($A118,'NonXtal_SegEnds_Prot#'!$A:$AL,22,FALSE)+6,1)</f>
        <v>A</v>
      </c>
      <c r="X118" s="102" t="str">
        <f>MID(VLOOKUP($A118,Seqs!$A:$B,2,FALSE),VLOOKUP($A118,'NonXtal_SegEnds_Prot#'!$A:$AL,22,FALSE)+7,1)</f>
        <v>T</v>
      </c>
      <c r="Y118" s="102" t="str">
        <f>MID(VLOOKUP($A118,Seqs!$A:$B,2,FALSE),VLOOKUP($A118,'NonXtal_SegEnds_Prot#'!$A:$AL,22,FALSE)+8,1)</f>
        <v>L</v>
      </c>
      <c r="Z118" s="102" t="str">
        <f>MID(VLOOKUP($A118,Seqs!$A:$B,2,FALSE),VLOOKUP($A118,'NonXtal_SegEnds_Prot#'!$A:$AL,22,FALSE)+9,1)</f>
        <v>V</v>
      </c>
      <c r="AA118" s="102" t="str">
        <f>MID(VLOOKUP($A118,Seqs!$A:$B,2,FALSE),VLOOKUP($A118,'NonXtal_SegEnds_Prot#'!$A:$AL,22,FALSE)+10,1)</f>
        <v>P</v>
      </c>
      <c r="AB118" s="71" t="str">
        <f>MID(VLOOKUP($A118,Seqs!$A:$B,2,FALSE),VLOOKUP($A118,'NonXtal_SegEnds_Prot#'!$A:$AL,28,FALSE)-4,1)</f>
        <v>G</v>
      </c>
      <c r="AC118" s="102" t="str">
        <f>MID(VLOOKUP($A118,Seqs!$A:$B,2,FALSE),VLOOKUP($A118,'NonXtal_SegEnds_Prot#'!$A:$AL,28,FALSE),1)</f>
        <v>P</v>
      </c>
    </row>
    <row r="119" spans="1:29" s="2" customFormat="1" x14ac:dyDescent="0.2">
      <c r="A119" s="2" t="s">
        <v>431</v>
      </c>
      <c r="B119" s="2" t="str">
        <f>LOWER(VLOOKUP(A119,Xtal_Templ!A:B,2,FALSE))</f>
        <v>agtr1_human</v>
      </c>
      <c r="C119" s="2" t="str">
        <f>VLOOKUP(A119,Classification!A:D,2,FALSE)</f>
        <v>A</v>
      </c>
      <c r="N119" s="2" t="s">
        <v>43</v>
      </c>
      <c r="P119" s="4" t="s">
        <v>51</v>
      </c>
      <c r="R119" s="71" t="str">
        <f>MID(VLOOKUP($A119,Seqs!$A:$B,2,FALSE),VLOOKUP($A119,'NonXtal_SegEnds_Prot#'!A:AL,10,FALSE),1)</f>
        <v>D</v>
      </c>
      <c r="S119" s="102" t="str">
        <f>MID(VLOOKUP($A119,Seqs!$A:$B,2,FALSE),VLOOKUP($A119,'NonXtal_SegEnds_Prot#'!A:AL,10,FALSE)+6,1)</f>
        <v>F</v>
      </c>
      <c r="T119" s="102" t="str">
        <f>MID(VLOOKUP($A119,Seqs!$A:$B,2,FALSE),VLOOKUP($A119,'NonXtal_SegEnds_Prot#'!A:AL,10,FALSE)+7,1)</f>
        <v>L</v>
      </c>
      <c r="U119" s="102" t="str">
        <f>MID(VLOOKUP($A119,Seqs!$A:$B,2,FALSE),VLOOKUP($A119,'NonXtal_SegEnds_Prot#'!A:AL,10,FALSE)+8,1)</f>
        <v>P</v>
      </c>
      <c r="V119" s="102" t="str">
        <f>MID(VLOOKUP($A119,Seqs!$A:$B,2,FALSE),VLOOKUP($A119,'NonXtal_SegEnds_Prot#'!A:AL,10,FALSE)+9,1)</f>
        <v>L</v>
      </c>
      <c r="W119" s="71" t="str">
        <f>MID(VLOOKUP($A119,Seqs!$A:$B,2,FALSE),VLOOKUP($A119,'NonXtal_SegEnds_Prot#'!$A:$AL,22,FALSE)+6,1)</f>
        <v>I</v>
      </c>
      <c r="X119" s="102" t="str">
        <f>MID(VLOOKUP($A119,Seqs!$A:$B,2,FALSE),VLOOKUP($A119,'NonXtal_SegEnds_Prot#'!$A:$AL,22,FALSE)+7,1)</f>
        <v>G</v>
      </c>
      <c r="Y119" s="102" t="str">
        <f>MID(VLOOKUP($A119,Seqs!$A:$B,2,FALSE),VLOOKUP($A119,'NonXtal_SegEnds_Prot#'!$A:$AL,22,FALSE)+8,1)</f>
        <v>G</v>
      </c>
      <c r="Z119" s="102" t="str">
        <f>MID(VLOOKUP($A119,Seqs!$A:$B,2,FALSE),VLOOKUP($A119,'NonXtal_SegEnds_Prot#'!$A:$AL,22,FALSE)+9,1)</f>
        <v>P</v>
      </c>
      <c r="AA119" s="102" t="str">
        <f>MID(VLOOKUP($A119,Seqs!$A:$B,2,FALSE),VLOOKUP($A119,'NonXtal_SegEnds_Prot#'!$A:$AL,22,FALSE)+10,1)</f>
        <v>A</v>
      </c>
      <c r="AB119" s="71" t="str">
        <f>MID(VLOOKUP($A119,Seqs!$A:$B,2,FALSE),VLOOKUP($A119,'NonXtal_SegEnds_Prot#'!$A:$AL,28,FALSE)-4,1)</f>
        <v>G</v>
      </c>
      <c r="AC119" s="102" t="str">
        <f>MID(VLOOKUP($A119,Seqs!$A:$B,2,FALSE),VLOOKUP($A119,'NonXtal_SegEnds_Prot#'!$A:$AL,28,FALSE),1)</f>
        <v>P</v>
      </c>
    </row>
    <row r="120" spans="1:29" s="2" customFormat="1" x14ac:dyDescent="0.2">
      <c r="A120" s="2" t="s">
        <v>432</v>
      </c>
      <c r="B120" s="2" t="str">
        <f>LOWER(VLOOKUP(A120,Xtal_Templ!A:B,2,FALSE))</f>
        <v>s1pr1_human</v>
      </c>
      <c r="C120" s="2" t="str">
        <f>VLOOKUP(A120,Classification!A:D,2,FALSE)</f>
        <v>A</v>
      </c>
      <c r="P120" s="4" t="s">
        <v>51</v>
      </c>
      <c r="R120" s="71" t="str">
        <f>MID(VLOOKUP($A120,Seqs!$A:$B,2,FALSE),VLOOKUP($A120,'NonXtal_SegEnds_Prot#'!A:AL,10,FALSE),1)</f>
        <v>D</v>
      </c>
      <c r="S120" s="102" t="str">
        <f>MID(VLOOKUP($A120,Seqs!$A:$B,2,FALSE),VLOOKUP($A120,'NonXtal_SegEnds_Prot#'!A:AL,10,FALSE)+6,1)</f>
        <v>G</v>
      </c>
      <c r="T120" s="102" t="str">
        <f>MID(VLOOKUP($A120,Seqs!$A:$B,2,FALSE),VLOOKUP($A120,'NonXtal_SegEnds_Prot#'!A:AL,10,FALSE)+7,1)</f>
        <v>L</v>
      </c>
      <c r="U120" s="102" t="str">
        <f>MID(VLOOKUP($A120,Seqs!$A:$B,2,FALSE),VLOOKUP($A120,'NonXtal_SegEnds_Prot#'!A:AL,10,FALSE)+8,1)</f>
        <v>I</v>
      </c>
      <c r="V120" s="102" t="str">
        <f>MID(VLOOKUP($A120,Seqs!$A:$B,2,FALSE),VLOOKUP($A120,'NonXtal_SegEnds_Prot#'!A:AL,10,FALSE)+9,1)</f>
        <v>T</v>
      </c>
      <c r="W120" s="71" t="str">
        <f>MID(VLOOKUP($A120,Seqs!$A:$B,2,FALSE),VLOOKUP($A120,'NonXtal_SegEnds_Prot#'!$A:$AL,22,FALSE)+6,1)</f>
        <v>L</v>
      </c>
      <c r="X120" s="102" t="str">
        <f>MID(VLOOKUP($A120,Seqs!$A:$B,2,FALSE),VLOOKUP($A120,'NonXtal_SegEnds_Prot#'!$A:$AL,22,FALSE)+7,1)</f>
        <v>G</v>
      </c>
      <c r="Y120" s="102" t="str">
        <f>MID(VLOOKUP($A120,Seqs!$A:$B,2,FALSE),VLOOKUP($A120,'NonXtal_SegEnds_Prot#'!$A:$AL,22,FALSE)+8,1)</f>
        <v>L</v>
      </c>
      <c r="Z120" s="102" t="str">
        <f>MID(VLOOKUP($A120,Seqs!$A:$B,2,FALSE),VLOOKUP($A120,'NonXtal_SegEnds_Prot#'!$A:$AL,22,FALSE)+9,1)</f>
        <v>L</v>
      </c>
      <c r="AA120" s="102" t="str">
        <f>MID(VLOOKUP($A120,Seqs!$A:$B,2,FALSE),VLOOKUP($A120,'NonXtal_SegEnds_Prot#'!$A:$AL,22,FALSE)+10,1)</f>
        <v>P</v>
      </c>
      <c r="AB120" s="71" t="str">
        <f>MID(VLOOKUP($A120,Seqs!$A:$B,2,FALSE),VLOOKUP($A120,'NonXtal_SegEnds_Prot#'!$A:$AL,28,FALSE)-4,1)</f>
        <v>S</v>
      </c>
      <c r="AC120" s="102" t="str">
        <f>MID(VLOOKUP($A120,Seqs!$A:$B,2,FALSE),VLOOKUP($A120,'NonXtal_SegEnds_Prot#'!$A:$AL,28,FALSE),1)</f>
        <v>M</v>
      </c>
    </row>
    <row r="121" spans="1:29" s="2" customFormat="1" x14ac:dyDescent="0.2">
      <c r="A121" s="2" t="s">
        <v>433</v>
      </c>
      <c r="B121" s="2" t="str">
        <f>LOWER(VLOOKUP(A121,Xtal_Templ!A:B,2,FALSE))</f>
        <v>agtr1_human</v>
      </c>
      <c r="C121" s="2" t="str">
        <f>VLOOKUP(A121,Classification!A:D,2,FALSE)</f>
        <v>A</v>
      </c>
      <c r="N121" s="2" t="s">
        <v>43</v>
      </c>
      <c r="P121" s="4" t="s">
        <v>51</v>
      </c>
      <c r="R121" s="71" t="str">
        <f>MID(VLOOKUP($A121,Seqs!$A:$B,2,FALSE),VLOOKUP($A121,'NonXtal_SegEnds_Prot#'!A:AL,10,FALSE),1)</f>
        <v>D</v>
      </c>
      <c r="S121" s="102" t="str">
        <f>MID(VLOOKUP($A121,Seqs!$A:$B,2,FALSE),VLOOKUP($A121,'NonXtal_SegEnds_Prot#'!A:AL,10,FALSE)+6,1)</f>
        <v>T</v>
      </c>
      <c r="T121" s="102" t="str">
        <f>MID(VLOOKUP($A121,Seqs!$A:$B,2,FALSE),VLOOKUP($A121,'NonXtal_SegEnds_Prot#'!A:AL,10,FALSE)+7,1)</f>
        <v>L</v>
      </c>
      <c r="U121" s="102" t="str">
        <f>MID(VLOOKUP($A121,Seqs!$A:$B,2,FALSE),VLOOKUP($A121,'NonXtal_SegEnds_Prot#'!A:AL,10,FALSE)+8,1)</f>
        <v>P</v>
      </c>
      <c r="V121" s="102" t="str">
        <f>MID(VLOOKUP($A121,Seqs!$A:$B,2,FALSE),VLOOKUP($A121,'NonXtal_SegEnds_Prot#'!A:AL,10,FALSE)+9,1)</f>
        <v>L</v>
      </c>
      <c r="W121" s="71" t="str">
        <f>MID(VLOOKUP($A121,Seqs!$A:$B,2,FALSE),VLOOKUP($A121,'NonXtal_SegEnds_Prot#'!$A:$AL,22,FALSE)+6,1)</f>
        <v>L</v>
      </c>
      <c r="X121" s="102" t="str">
        <f>MID(VLOOKUP($A121,Seqs!$A:$B,2,FALSE),VLOOKUP($A121,'NonXtal_SegEnds_Prot#'!$A:$AL,22,FALSE)+7,1)</f>
        <v>G</v>
      </c>
      <c r="Y121" s="102" t="str">
        <f>MID(VLOOKUP($A121,Seqs!$A:$B,2,FALSE),VLOOKUP($A121,'NonXtal_SegEnds_Prot#'!$A:$AL,22,FALSE)+8,1)</f>
        <v>L</v>
      </c>
      <c r="Z121" s="102" t="str">
        <f>MID(VLOOKUP($A121,Seqs!$A:$B,2,FALSE),VLOOKUP($A121,'NonXtal_SegEnds_Prot#'!$A:$AL,22,FALSE)+9,1)</f>
        <v>P</v>
      </c>
      <c r="AA121" s="102" t="str">
        <f>MID(VLOOKUP($A121,Seqs!$A:$B,2,FALSE),VLOOKUP($A121,'NonXtal_SegEnds_Prot#'!$A:$AL,22,FALSE)+10,1)</f>
        <v>T</v>
      </c>
      <c r="AB121" s="71" t="str">
        <f>MID(VLOOKUP($A121,Seqs!$A:$B,2,FALSE),VLOOKUP($A121,'NonXtal_SegEnds_Prot#'!$A:$AL,28,FALSE)-4,1)</f>
        <v>T</v>
      </c>
      <c r="AC121" s="102" t="str">
        <f>MID(VLOOKUP($A121,Seqs!$A:$B,2,FALSE),VLOOKUP($A121,'NonXtal_SegEnds_Prot#'!$A:$AL,28,FALSE),1)</f>
        <v>P</v>
      </c>
    </row>
    <row r="122" spans="1:29" s="2" customFormat="1" x14ac:dyDescent="0.2">
      <c r="A122" s="2" t="s">
        <v>434</v>
      </c>
      <c r="B122" s="2" t="str">
        <f>LOWER(VLOOKUP(A122,Xtal_Templ!A:B,2,FALSE))</f>
        <v>p2ry1_human</v>
      </c>
      <c r="C122" s="2" t="str">
        <f>VLOOKUP(A122,Classification!A:D,2,FALSE)</f>
        <v>A</v>
      </c>
      <c r="K122" s="2" t="s">
        <v>59</v>
      </c>
      <c r="N122" s="2" t="s">
        <v>43</v>
      </c>
      <c r="P122" s="4" t="s">
        <v>51</v>
      </c>
      <c r="R122" s="71" t="str">
        <f>MID(VLOOKUP($A122,Seqs!$A:$B,2,FALSE),VLOOKUP($A122,'NonXtal_SegEnds_Prot#'!A:AL,10,FALSE),1)</f>
        <v>D</v>
      </c>
      <c r="S122" s="102" t="str">
        <f>MID(VLOOKUP($A122,Seqs!$A:$B,2,FALSE),VLOOKUP($A122,'NonXtal_SegEnds_Prot#'!A:AL,10,FALSE)+6,1)</f>
        <v>V</v>
      </c>
      <c r="T122" s="102" t="str">
        <f>MID(VLOOKUP($A122,Seqs!$A:$B,2,FALSE),VLOOKUP($A122,'NonXtal_SegEnds_Prot#'!A:AL,10,FALSE)+7,1)</f>
        <v>L</v>
      </c>
      <c r="U122" s="102" t="str">
        <f>MID(VLOOKUP($A122,Seqs!$A:$B,2,FALSE),VLOOKUP($A122,'NonXtal_SegEnds_Prot#'!A:AL,10,FALSE)+8,1)</f>
        <v>P</v>
      </c>
      <c r="V122" s="102" t="str">
        <f>MID(VLOOKUP($A122,Seqs!$A:$B,2,FALSE),VLOOKUP($A122,'NonXtal_SegEnds_Prot#'!A:AL,10,FALSE)+9,1)</f>
        <v>T</v>
      </c>
      <c r="W122" s="71" t="str">
        <f>MID(VLOOKUP($A122,Seqs!$A:$B,2,FALSE),VLOOKUP($A122,'NonXtal_SegEnds_Prot#'!$A:$AL,22,FALSE)+6,1)</f>
        <v>A</v>
      </c>
      <c r="X122" s="102" t="str">
        <f>MID(VLOOKUP($A122,Seqs!$A:$B,2,FALSE),VLOOKUP($A122,'NonXtal_SegEnds_Prot#'!$A:$AL,22,FALSE)+7,1)</f>
        <v>M</v>
      </c>
      <c r="Y122" s="102" t="str">
        <f>MID(VLOOKUP($A122,Seqs!$A:$B,2,FALSE),VLOOKUP($A122,'NonXtal_SegEnds_Prot#'!$A:$AL,22,FALSE)+8,1)</f>
        <v>A</v>
      </c>
      <c r="Z122" s="102" t="str">
        <f>MID(VLOOKUP($A122,Seqs!$A:$B,2,FALSE),VLOOKUP($A122,'NonXtal_SegEnds_Prot#'!$A:$AL,22,FALSE)+9,1)</f>
        <v>P</v>
      </c>
      <c r="AA122" s="102" t="str">
        <f>MID(VLOOKUP($A122,Seqs!$A:$B,2,FALSE),VLOOKUP($A122,'NonXtal_SegEnds_Prot#'!$A:$AL,22,FALSE)+10,1)</f>
        <v>L</v>
      </c>
      <c r="AB122" s="71" t="str">
        <f>MID(VLOOKUP($A122,Seqs!$A:$B,2,FALSE),VLOOKUP($A122,'NonXtal_SegEnds_Prot#'!$A:$AL,28,FALSE)-4,1)</f>
        <v>A</v>
      </c>
      <c r="AC122" s="102" t="str">
        <f>MID(VLOOKUP($A122,Seqs!$A:$B,2,FALSE),VLOOKUP($A122,'NonXtal_SegEnds_Prot#'!$A:$AL,28,FALSE),1)</f>
        <v>P</v>
      </c>
    </row>
    <row r="123" spans="1:29" s="2" customFormat="1" x14ac:dyDescent="0.2">
      <c r="A123" s="2" t="s">
        <v>435</v>
      </c>
      <c r="B123" s="2" t="str">
        <f>LOWER(VLOOKUP(A123,Xtal_Templ!A:B,2,FALSE))</f>
        <v>p2ry1_human</v>
      </c>
      <c r="C123" s="2" t="str">
        <f>VLOOKUP(A123,Classification!A:D,2,FALSE)</f>
        <v>A</v>
      </c>
      <c r="P123" s="4" t="s">
        <v>51</v>
      </c>
      <c r="R123" s="71" t="str">
        <f>MID(VLOOKUP($A123,Seqs!$A:$B,2,FALSE),VLOOKUP($A123,'NonXtal_SegEnds_Prot#'!A:AL,10,FALSE),1)</f>
        <v>D</v>
      </c>
      <c r="S123" s="102" t="str">
        <f>MID(VLOOKUP($A123,Seqs!$A:$B,2,FALSE),VLOOKUP($A123,'NonXtal_SegEnds_Prot#'!A:AL,10,FALSE)+6,1)</f>
        <v>T</v>
      </c>
      <c r="T123" s="102" t="str">
        <f>MID(VLOOKUP($A123,Seqs!$A:$B,2,FALSE),VLOOKUP($A123,'NonXtal_SegEnds_Prot#'!A:AL,10,FALSE)+7,1)</f>
        <v>L</v>
      </c>
      <c r="U123" s="102" t="str">
        <f>MID(VLOOKUP($A123,Seqs!$A:$B,2,FALSE),VLOOKUP($A123,'NonXtal_SegEnds_Prot#'!A:AL,10,FALSE)+8,1)</f>
        <v>P</v>
      </c>
      <c r="V123" s="102" t="str">
        <f>MID(VLOOKUP($A123,Seqs!$A:$B,2,FALSE),VLOOKUP($A123,'NonXtal_SegEnds_Prot#'!A:AL,10,FALSE)+9,1)</f>
        <v>F</v>
      </c>
      <c r="W123" s="71" t="str">
        <f>MID(VLOOKUP($A123,Seqs!$A:$B,2,FALSE),VLOOKUP($A123,'NonXtal_SegEnds_Prot#'!$A:$AL,22,FALSE)+6,1)</f>
        <v>T</v>
      </c>
      <c r="X123" s="102" t="str">
        <f>MID(VLOOKUP($A123,Seqs!$A:$B,2,FALSE),VLOOKUP($A123,'NonXtal_SegEnds_Prot#'!$A:$AL,22,FALSE)+7,1)</f>
        <v>T</v>
      </c>
      <c r="Y123" s="102" t="str">
        <f>MID(VLOOKUP($A123,Seqs!$A:$B,2,FALSE),VLOOKUP($A123,'NonXtal_SegEnds_Prot#'!$A:$AL,22,FALSE)+8,1)</f>
        <v>T</v>
      </c>
      <c r="Z123" s="102" t="str">
        <f>MID(VLOOKUP($A123,Seqs!$A:$B,2,FALSE),VLOOKUP($A123,'NonXtal_SegEnds_Prot#'!$A:$AL,22,FALSE)+9,1)</f>
        <v>P</v>
      </c>
      <c r="AA123" s="102" t="str">
        <f>MID(VLOOKUP($A123,Seqs!$A:$B,2,FALSE),VLOOKUP($A123,'NonXtal_SegEnds_Prot#'!$A:$AL,22,FALSE)+10,1)</f>
        <v>L</v>
      </c>
      <c r="AB123" s="71" t="str">
        <f>MID(VLOOKUP($A123,Seqs!$A:$B,2,FALSE),VLOOKUP($A123,'NonXtal_SegEnds_Prot#'!$A:$AL,28,FALSE)-4,1)</f>
        <v>F</v>
      </c>
      <c r="AC123" s="102" t="str">
        <f>MID(VLOOKUP($A123,Seqs!$A:$B,2,FALSE),VLOOKUP($A123,'NonXtal_SegEnds_Prot#'!$A:$AL,28,FALSE),1)</f>
        <v>P</v>
      </c>
    </row>
    <row r="124" spans="1:29" s="2" customFormat="1" x14ac:dyDescent="0.2">
      <c r="A124" s="2" t="s">
        <v>436</v>
      </c>
      <c r="B124" s="2" t="str">
        <f>LOWER(VLOOKUP(A124,Xtal_Templ!A:B,2,FALSE))</f>
        <v>ox2r_human</v>
      </c>
      <c r="C124" s="2" t="str">
        <f>VLOOKUP(A124,Classification!A:D,2,FALSE)</f>
        <v>A</v>
      </c>
      <c r="E124" s="2" t="s">
        <v>20</v>
      </c>
      <c r="N124" s="2" t="s">
        <v>43</v>
      </c>
      <c r="P124" s="4" t="s">
        <v>51</v>
      </c>
      <c r="R124" s="71" t="str">
        <f>MID(VLOOKUP($A124,Seqs!$A:$B,2,FALSE),VLOOKUP($A124,'NonXtal_SegEnds_Prot#'!A:AL,10,FALSE),1)</f>
        <v>D</v>
      </c>
      <c r="S124" s="102" t="str">
        <f>MID(VLOOKUP($A124,Seqs!$A:$B,2,FALSE),VLOOKUP($A124,'NonXtal_SegEnds_Prot#'!A:AL,10,FALSE)+6,1)</f>
        <v>A</v>
      </c>
      <c r="T124" s="102" t="str">
        <f>MID(VLOOKUP($A124,Seqs!$A:$B,2,FALSE),VLOOKUP($A124,'NonXtal_SegEnds_Prot#'!A:AL,10,FALSE)+7,1)</f>
        <v>S</v>
      </c>
      <c r="U124" s="102" t="str">
        <f>MID(VLOOKUP($A124,Seqs!$A:$B,2,FALSE),VLOOKUP($A124,'NonXtal_SegEnds_Prot#'!A:AL,10,FALSE)+8,1)</f>
        <v>T</v>
      </c>
      <c r="V124" s="102" t="str">
        <f>MID(VLOOKUP($A124,Seqs!$A:$B,2,FALSE),VLOOKUP($A124,'NonXtal_SegEnds_Prot#'!A:AL,10,FALSE)+9,1)</f>
        <v>P</v>
      </c>
      <c r="W124" s="71" t="str">
        <f>MID(VLOOKUP($A124,Seqs!$A:$B,2,FALSE),VLOOKUP($A124,'NonXtal_SegEnds_Prot#'!$A:$AL,22,FALSE)+6,1)</f>
        <v>F</v>
      </c>
      <c r="X124" s="102" t="str">
        <f>MID(VLOOKUP($A124,Seqs!$A:$B,2,FALSE),VLOOKUP($A124,'NonXtal_SegEnds_Prot#'!$A:$AL,22,FALSE)+7,1)</f>
        <v>V</v>
      </c>
      <c r="Y124" s="102" t="str">
        <f>MID(VLOOKUP($A124,Seqs!$A:$B,2,FALSE),VLOOKUP($A124,'NonXtal_SegEnds_Prot#'!$A:$AL,22,FALSE)+8,1)</f>
        <v>T</v>
      </c>
      <c r="Z124" s="102" t="str">
        <f>MID(VLOOKUP($A124,Seqs!$A:$B,2,FALSE),VLOOKUP($A124,'NonXtal_SegEnds_Prot#'!$A:$AL,22,FALSE)+9,1)</f>
        <v>P</v>
      </c>
      <c r="AA124" s="102" t="str">
        <f>MID(VLOOKUP($A124,Seqs!$A:$B,2,FALSE),VLOOKUP($A124,'NonXtal_SegEnds_Prot#'!$A:$AL,22,FALSE)+10,1)</f>
        <v>V</v>
      </c>
      <c r="AB124" s="71" t="str">
        <f>MID(VLOOKUP($A124,Seqs!$A:$B,2,FALSE),VLOOKUP($A124,'NonXtal_SegEnds_Prot#'!$A:$AL,28,FALSE)-4,1)</f>
        <v>G</v>
      </c>
      <c r="AC124" s="102" t="str">
        <f>MID(VLOOKUP($A124,Seqs!$A:$B,2,FALSE),VLOOKUP($A124,'NonXtal_SegEnds_Prot#'!$A:$AL,28,FALSE),1)</f>
        <v>P</v>
      </c>
    </row>
    <row r="125" spans="1:29" s="2" customFormat="1" x14ac:dyDescent="0.2">
      <c r="A125" s="2" t="s">
        <v>437</v>
      </c>
      <c r="B125" s="2" t="str">
        <f>LOWER(VLOOKUP(A125,Xtal_Templ!A:B,2,FALSE))</f>
        <v>par1_human</v>
      </c>
      <c r="C125" s="2" t="str">
        <f>VLOOKUP(A125,Classification!A:D,2,FALSE)</f>
        <v>A</v>
      </c>
      <c r="N125" s="2" t="s">
        <v>43</v>
      </c>
      <c r="P125" s="4" t="s">
        <v>51</v>
      </c>
      <c r="R125" s="71" t="str">
        <f>MID(VLOOKUP($A125,Seqs!$A:$B,2,FALSE),VLOOKUP($A125,'NonXtal_SegEnds_Prot#'!A:AL,10,FALSE),1)</f>
        <v>D</v>
      </c>
      <c r="S125" s="102" t="str">
        <f>MID(VLOOKUP($A125,Seqs!$A:$B,2,FALSE),VLOOKUP($A125,'NonXtal_SegEnds_Prot#'!A:AL,10,FALSE)+6,1)</f>
        <v>S</v>
      </c>
      <c r="T125" s="102" t="str">
        <f>MID(VLOOKUP($A125,Seqs!$A:$B,2,FALSE),VLOOKUP($A125,'NonXtal_SegEnds_Prot#'!A:AL,10,FALSE)+7,1)</f>
        <v>L</v>
      </c>
      <c r="U125" s="102" t="str">
        <f>MID(VLOOKUP($A125,Seqs!$A:$B,2,FALSE),VLOOKUP($A125,'NonXtal_SegEnds_Prot#'!A:AL,10,FALSE)+8,1)</f>
        <v>P</v>
      </c>
      <c r="V125" s="102" t="str">
        <f>MID(VLOOKUP($A125,Seqs!$A:$B,2,FALSE),VLOOKUP($A125,'NonXtal_SegEnds_Prot#'!A:AL,10,FALSE)+9,1)</f>
        <v>T</v>
      </c>
      <c r="W125" s="71" t="str">
        <f>MID(VLOOKUP($A125,Seqs!$A:$B,2,FALSE),VLOOKUP($A125,'NonXtal_SegEnds_Prot#'!$A:$AL,22,FALSE)+6,1)</f>
        <v>V</v>
      </c>
      <c r="X125" s="102" t="str">
        <f>MID(VLOOKUP($A125,Seqs!$A:$B,2,FALSE),VLOOKUP($A125,'NonXtal_SegEnds_Prot#'!$A:$AL,22,FALSE)+7,1)</f>
        <v>T</v>
      </c>
      <c r="Y125" s="102" t="str">
        <f>MID(VLOOKUP($A125,Seqs!$A:$B,2,FALSE),VLOOKUP($A125,'NonXtal_SegEnds_Prot#'!$A:$AL,22,FALSE)+8,1)</f>
        <v>L</v>
      </c>
      <c r="Z125" s="102" t="str">
        <f>MID(VLOOKUP($A125,Seqs!$A:$B,2,FALSE),VLOOKUP($A125,'NonXtal_SegEnds_Prot#'!$A:$AL,22,FALSE)+9,1)</f>
        <v>S</v>
      </c>
      <c r="AA125" s="102" t="str">
        <f>MID(VLOOKUP($A125,Seqs!$A:$B,2,FALSE),VLOOKUP($A125,'NonXtal_SegEnds_Prot#'!$A:$AL,22,FALSE)+10,1)</f>
        <v>V</v>
      </c>
      <c r="AB125" s="71" t="str">
        <f>MID(VLOOKUP($A125,Seqs!$A:$B,2,FALSE),VLOOKUP($A125,'NonXtal_SegEnds_Prot#'!$A:$AL,28,FALSE)-4,1)</f>
        <v>E</v>
      </c>
      <c r="AC125" s="102" t="str">
        <f>MID(VLOOKUP($A125,Seqs!$A:$B,2,FALSE),VLOOKUP($A125,'NonXtal_SegEnds_Prot#'!$A:$AL,28,FALSE),1)</f>
        <v>P</v>
      </c>
    </row>
    <row r="126" spans="1:29" s="2" customFormat="1" x14ac:dyDescent="0.2">
      <c r="A126" s="2" t="s">
        <v>438</v>
      </c>
      <c r="B126" s="2" t="str">
        <f>LOWER(VLOOKUP(A126,Xtal_Templ!A:B,2,FALSE))</f>
        <v>ox2r_human</v>
      </c>
      <c r="C126" s="2" t="str">
        <f>VLOOKUP(A126,Classification!A:D,2,FALSE)</f>
        <v>A</v>
      </c>
      <c r="K126" s="2" t="s">
        <v>59</v>
      </c>
      <c r="N126" s="2" t="s">
        <v>43</v>
      </c>
      <c r="P126" s="4" t="s">
        <v>51</v>
      </c>
      <c r="R126" s="71" t="str">
        <f>MID(VLOOKUP($A126,Seqs!$A:$B,2,FALSE),VLOOKUP($A126,'NonXtal_SegEnds_Prot#'!A:AL,10,FALSE),1)</f>
        <v>D</v>
      </c>
      <c r="S126" s="102" t="str">
        <f>MID(VLOOKUP($A126,Seqs!$A:$B,2,FALSE),VLOOKUP($A126,'NonXtal_SegEnds_Prot#'!A:AL,10,FALSE)+6,1)</f>
        <v>S</v>
      </c>
      <c r="T126" s="102" t="str">
        <f>MID(VLOOKUP($A126,Seqs!$A:$B,2,FALSE),VLOOKUP($A126,'NonXtal_SegEnds_Prot#'!A:AL,10,FALSE)+7,1)</f>
        <v>C</v>
      </c>
      <c r="U126" s="102" t="str">
        <f>MID(VLOOKUP($A126,Seqs!$A:$B,2,FALSE),VLOOKUP($A126,'NonXtal_SegEnds_Prot#'!A:AL,10,FALSE)+8,1)</f>
        <v>V</v>
      </c>
      <c r="V126" s="102" t="str">
        <f>MID(VLOOKUP($A126,Seqs!$A:$B,2,FALSE),VLOOKUP($A126,'NonXtal_SegEnds_Prot#'!A:AL,10,FALSE)+9,1)</f>
        <v>V</v>
      </c>
      <c r="W126" s="71" t="str">
        <f>MID(VLOOKUP($A126,Seqs!$A:$B,2,FALSE),VLOOKUP($A126,'NonXtal_SegEnds_Prot#'!$A:$AL,22,FALSE)+6,1)</f>
        <v>V</v>
      </c>
      <c r="X126" s="102" t="str">
        <f>MID(VLOOKUP($A126,Seqs!$A:$B,2,FALSE),VLOOKUP($A126,'NonXtal_SegEnds_Prot#'!$A:$AL,22,FALSE)+7,1)</f>
        <v>F</v>
      </c>
      <c r="Y126" s="102" t="str">
        <f>MID(VLOOKUP($A126,Seqs!$A:$B,2,FALSE),VLOOKUP($A126,'NonXtal_SegEnds_Prot#'!$A:$AL,22,FALSE)+8,1)</f>
        <v>L</v>
      </c>
      <c r="Z126" s="102" t="str">
        <f>MID(VLOOKUP($A126,Seqs!$A:$B,2,FALSE),VLOOKUP($A126,'NonXtal_SegEnds_Prot#'!$A:$AL,22,FALSE)+9,1)</f>
        <v>P</v>
      </c>
      <c r="AA126" s="102" t="str">
        <f>MID(VLOOKUP($A126,Seqs!$A:$B,2,FALSE),VLOOKUP($A126,'NonXtal_SegEnds_Prot#'!$A:$AL,22,FALSE)+10,1)</f>
        <v>S</v>
      </c>
      <c r="AB126" s="71" t="str">
        <f>MID(VLOOKUP($A126,Seqs!$A:$B,2,FALSE),VLOOKUP($A126,'NonXtal_SegEnds_Prot#'!$A:$AL,28,FALSE)-4,1)</f>
        <v>M</v>
      </c>
      <c r="AC126" s="102" t="str">
        <f>MID(VLOOKUP($A126,Seqs!$A:$B,2,FALSE),VLOOKUP($A126,'NonXtal_SegEnds_Prot#'!$A:$AL,28,FALSE),1)</f>
        <v>P</v>
      </c>
    </row>
    <row r="127" spans="1:29" s="2" customFormat="1" x14ac:dyDescent="0.2">
      <c r="A127" s="2" t="s">
        <v>439</v>
      </c>
      <c r="B127" s="2" t="str">
        <f>LOWER(VLOOKUP(A127,Xtal_Templ!A:B,2,FALSE))</f>
        <v>hrh1_human</v>
      </c>
      <c r="C127" s="2" t="str">
        <f>VLOOKUP(A127,Classification!A:D,2,FALSE)</f>
        <v>A</v>
      </c>
      <c r="E127" s="2" t="s">
        <v>20</v>
      </c>
      <c r="P127" s="4" t="s">
        <v>51</v>
      </c>
      <c r="R127" s="71" t="str">
        <f>MID(VLOOKUP($A127,Seqs!$A:$B,2,FALSE),VLOOKUP($A127,'NonXtal_SegEnds_Prot#'!A:AL,10,FALSE),1)</f>
        <v>D</v>
      </c>
      <c r="S127" s="102" t="str">
        <f>MID(VLOOKUP($A127,Seqs!$A:$B,2,FALSE),VLOOKUP($A127,'NonXtal_SegEnds_Prot#'!A:AL,10,FALSE)+6,1)</f>
        <v>G</v>
      </c>
      <c r="T127" s="102" t="str">
        <f>MID(VLOOKUP($A127,Seqs!$A:$B,2,FALSE),VLOOKUP($A127,'NonXtal_SegEnds_Prot#'!A:AL,10,FALSE)+7,1)</f>
        <v>C</v>
      </c>
      <c r="U127" s="102" t="str">
        <f>MID(VLOOKUP($A127,Seqs!$A:$B,2,FALSE),VLOOKUP($A127,'NonXtal_SegEnds_Prot#'!A:AL,10,FALSE)+8,1)</f>
        <v>I</v>
      </c>
      <c r="V127" s="102" t="str">
        <f>MID(VLOOKUP($A127,Seqs!$A:$B,2,FALSE),VLOOKUP($A127,'NonXtal_SegEnds_Prot#'!A:AL,10,FALSE)+9,1)</f>
        <v>P</v>
      </c>
      <c r="W127" s="71" t="str">
        <f>MID(VLOOKUP($A127,Seqs!$A:$B,2,FALSE),VLOOKUP($A127,'NonXtal_SegEnds_Prot#'!$A:$AL,22,FALSE)+6,1)</f>
        <v>S</v>
      </c>
      <c r="X127" s="102" t="str">
        <f>MID(VLOOKUP($A127,Seqs!$A:$B,2,FALSE),VLOOKUP($A127,'NonXtal_SegEnds_Prot#'!$A:$AL,22,FALSE)+7,1)</f>
        <v>F</v>
      </c>
      <c r="Y127" s="102" t="str">
        <f>MID(VLOOKUP($A127,Seqs!$A:$B,2,FALSE),VLOOKUP($A127,'NonXtal_SegEnds_Prot#'!$A:$AL,22,FALSE)+8,1)</f>
        <v>L</v>
      </c>
      <c r="Z127" s="102" t="str">
        <f>MID(VLOOKUP($A127,Seqs!$A:$B,2,FALSE),VLOOKUP($A127,'NonXtal_SegEnds_Prot#'!$A:$AL,22,FALSE)+9,1)</f>
        <v>I</v>
      </c>
      <c r="AA127" s="102" t="str">
        <f>MID(VLOOKUP($A127,Seqs!$A:$B,2,FALSE),VLOOKUP($A127,'NonXtal_SegEnds_Prot#'!$A:$AL,22,FALSE)+10,1)</f>
        <v>P</v>
      </c>
      <c r="AB127" s="71" t="str">
        <f>MID(VLOOKUP($A127,Seqs!$A:$B,2,FALSE),VLOOKUP($A127,'NonXtal_SegEnds_Prot#'!$A:$AL,28,FALSE)-4,1)</f>
        <v>I</v>
      </c>
      <c r="AC127" s="102" t="str">
        <f>MID(VLOOKUP($A127,Seqs!$A:$B,2,FALSE),VLOOKUP($A127,'NonXtal_SegEnds_Prot#'!$A:$AL,28,FALSE),1)</f>
        <v>T</v>
      </c>
    </row>
    <row r="128" spans="1:29" s="2" customFormat="1" x14ac:dyDescent="0.2">
      <c r="A128" s="2" t="s">
        <v>440</v>
      </c>
      <c r="B128" s="2" t="str">
        <f>LOWER(VLOOKUP(A128,Xtal_Templ!A:B,2,FALSE))</f>
        <v>agtr1_human</v>
      </c>
      <c r="C128" s="2" t="str">
        <f>VLOOKUP(A128,Classification!A:D,2,FALSE)</f>
        <v>A</v>
      </c>
      <c r="N128" s="2" t="s">
        <v>43</v>
      </c>
      <c r="P128" s="4" t="s">
        <v>51</v>
      </c>
      <c r="R128" s="71" t="str">
        <f>MID(VLOOKUP($A128,Seqs!$A:$B,2,FALSE),VLOOKUP($A128,'NonXtal_SegEnds_Prot#'!A:AL,10,FALSE),1)</f>
        <v>D</v>
      </c>
      <c r="S128" s="102" t="str">
        <f>MID(VLOOKUP($A128,Seqs!$A:$B,2,FALSE),VLOOKUP($A128,'NonXtal_SegEnds_Prot#'!A:AL,10,FALSE)+6,1)</f>
        <v>T</v>
      </c>
      <c r="T128" s="102" t="str">
        <f>MID(VLOOKUP($A128,Seqs!$A:$B,2,FALSE),VLOOKUP($A128,'NonXtal_SegEnds_Prot#'!A:AL,10,FALSE)+7,1)</f>
        <v>L</v>
      </c>
      <c r="U128" s="102" t="str">
        <f>MID(VLOOKUP($A128,Seqs!$A:$B,2,FALSE),VLOOKUP($A128,'NonXtal_SegEnds_Prot#'!A:AL,10,FALSE)+8,1)</f>
        <v>P</v>
      </c>
      <c r="V128" s="102" t="str">
        <f>MID(VLOOKUP($A128,Seqs!$A:$B,2,FALSE),VLOOKUP($A128,'NonXtal_SegEnds_Prot#'!A:AL,10,FALSE)+9,1)</f>
        <v>L</v>
      </c>
      <c r="W128" s="71" t="str">
        <f>MID(VLOOKUP($A128,Seqs!$A:$B,2,FALSE),VLOOKUP($A128,'NonXtal_SegEnds_Prot#'!$A:$AL,22,FALSE)+6,1)</f>
        <v>A</v>
      </c>
      <c r="X128" s="102" t="str">
        <f>MID(VLOOKUP($A128,Seqs!$A:$B,2,FALSE),VLOOKUP($A128,'NonXtal_SegEnds_Prot#'!$A:$AL,22,FALSE)+7,1)</f>
        <v>G</v>
      </c>
      <c r="Y128" s="102" t="str">
        <f>MID(VLOOKUP($A128,Seqs!$A:$B,2,FALSE),VLOOKUP($A128,'NonXtal_SegEnds_Prot#'!$A:$AL,22,FALSE)+8,1)</f>
        <v>L</v>
      </c>
      <c r="Z128" s="102" t="str">
        <f>MID(VLOOKUP($A128,Seqs!$A:$B,2,FALSE),VLOOKUP($A128,'NonXtal_SegEnds_Prot#'!$A:$AL,22,FALSE)+9,1)</f>
        <v>P</v>
      </c>
      <c r="AA128" s="102" t="str">
        <f>MID(VLOOKUP($A128,Seqs!$A:$B,2,FALSE),VLOOKUP($A128,'NonXtal_SegEnds_Prot#'!$A:$AL,22,FALSE)+10,1)</f>
        <v>S</v>
      </c>
      <c r="AB128" s="71" t="str">
        <f>MID(VLOOKUP($A128,Seqs!$A:$B,2,FALSE),VLOOKUP($A128,'NonXtal_SegEnds_Prot#'!$A:$AL,28,FALSE)-4,1)</f>
        <v>T</v>
      </c>
      <c r="AC128" s="102" t="str">
        <f>MID(VLOOKUP($A128,Seqs!$A:$B,2,FALSE),VLOOKUP($A128,'NonXtal_SegEnds_Prot#'!$A:$AL,28,FALSE),1)</f>
        <v>P</v>
      </c>
    </row>
    <row r="129" spans="1:29" s="2" customFormat="1" x14ac:dyDescent="0.2">
      <c r="A129" s="2" t="s">
        <v>441</v>
      </c>
      <c r="B129" s="2" t="str">
        <f>LOWER(VLOOKUP(A129,Xtal_Templ!A:B,2,FALSE))</f>
        <v>ox2r_human</v>
      </c>
      <c r="C129" s="2" t="str">
        <f>VLOOKUP(A129,Classification!A:D,2,FALSE)</f>
        <v>A</v>
      </c>
      <c r="E129" s="2" t="s">
        <v>20</v>
      </c>
      <c r="P129" s="4" t="s">
        <v>51</v>
      </c>
      <c r="R129" s="71" t="str">
        <f>MID(VLOOKUP($A129,Seqs!$A:$B,2,FALSE),VLOOKUP($A129,'NonXtal_SegEnds_Prot#'!A:AL,10,FALSE),1)</f>
        <v>N</v>
      </c>
      <c r="S129" s="102" t="str">
        <f>MID(VLOOKUP($A129,Seqs!$A:$B,2,FALSE),VLOOKUP($A129,'NonXtal_SegEnds_Prot#'!A:AL,10,FALSE)+6,1)</f>
        <v>V</v>
      </c>
      <c r="T129" s="102" t="str">
        <f>MID(VLOOKUP($A129,Seqs!$A:$B,2,FALSE),VLOOKUP($A129,'NonXtal_SegEnds_Prot#'!A:AL,10,FALSE)+7,1)</f>
        <v>N</v>
      </c>
      <c r="U129" s="102" t="str">
        <f>MID(VLOOKUP($A129,Seqs!$A:$B,2,FALSE),VLOOKUP($A129,'NonXtal_SegEnds_Prot#'!A:AL,10,FALSE)+8,1)</f>
        <v>M</v>
      </c>
      <c r="V129" s="102" t="str">
        <f>MID(VLOOKUP($A129,Seqs!$A:$B,2,FALSE),VLOOKUP($A129,'NonXtal_SegEnds_Prot#'!A:AL,10,FALSE)+9,1)</f>
        <v>P</v>
      </c>
      <c r="W129" s="71" t="str">
        <f>MID(VLOOKUP($A129,Seqs!$A:$B,2,FALSE),VLOOKUP($A129,'NonXtal_SegEnds_Prot#'!$A:$AL,22,FALSE)+6,1)</f>
        <v>F</v>
      </c>
      <c r="X129" s="102" t="str">
        <f>MID(VLOOKUP($A129,Seqs!$A:$B,2,FALSE),VLOOKUP($A129,'NonXtal_SegEnds_Prot#'!$A:$AL,22,FALSE)+7,1)</f>
        <v>P</v>
      </c>
      <c r="Y129" s="102" t="str">
        <f>MID(VLOOKUP($A129,Seqs!$A:$B,2,FALSE),VLOOKUP($A129,'NonXtal_SegEnds_Prot#'!$A:$AL,22,FALSE)+8,1)</f>
        <v>A</v>
      </c>
      <c r="Z129" s="102" t="str">
        <f>MID(VLOOKUP($A129,Seqs!$A:$B,2,FALSE),VLOOKUP($A129,'NonXtal_SegEnds_Prot#'!$A:$AL,22,FALSE)+9,1)</f>
        <v>A</v>
      </c>
      <c r="AA129" s="102" t="str">
        <f>MID(VLOOKUP($A129,Seqs!$A:$B,2,FALSE),VLOOKUP($A129,'NonXtal_SegEnds_Prot#'!$A:$AL,22,FALSE)+10,1)</f>
        <v>A</v>
      </c>
      <c r="AB129" s="71" t="str">
        <f>MID(VLOOKUP($A129,Seqs!$A:$B,2,FALSE),VLOOKUP($A129,'NonXtal_SegEnds_Prot#'!$A:$AL,28,FALSE)-4,1)</f>
        <v>S</v>
      </c>
      <c r="AC129" s="102" t="str">
        <f>MID(VLOOKUP($A129,Seqs!$A:$B,2,FALSE),VLOOKUP($A129,'NonXtal_SegEnds_Prot#'!$A:$AL,28,FALSE),1)</f>
        <v>S</v>
      </c>
    </row>
    <row r="130" spans="1:29" s="2" customFormat="1" x14ac:dyDescent="0.2">
      <c r="A130" s="2" t="s">
        <v>442</v>
      </c>
      <c r="B130" s="2" t="str">
        <f>LOWER(VLOOKUP(A130,Xtal_Templ!A:B,2,FALSE))</f>
        <v>5ht2b_human</v>
      </c>
      <c r="C130" s="2" t="str">
        <f>VLOOKUP(A130,Classification!A:D,2,FALSE)</f>
        <v>A</v>
      </c>
      <c r="E130" s="2" t="s">
        <v>20</v>
      </c>
      <c r="P130" s="4" t="s">
        <v>51</v>
      </c>
      <c r="R130" s="71" t="str">
        <f>MID(VLOOKUP($A130,Seqs!$A:$B,2,FALSE),VLOOKUP($A130,'NonXtal_SegEnds_Prot#'!A:AL,10,FALSE),1)</f>
        <v>D</v>
      </c>
      <c r="S130" s="102" t="str">
        <f>MID(VLOOKUP($A130,Seqs!$A:$B,2,FALSE),VLOOKUP($A130,'NonXtal_SegEnds_Prot#'!A:AL,10,FALSE)+6,1)</f>
        <v>A</v>
      </c>
      <c r="T130" s="102" t="str">
        <f>MID(VLOOKUP($A130,Seqs!$A:$B,2,FALSE),VLOOKUP($A130,'NonXtal_SegEnds_Prot#'!A:AL,10,FALSE)+7,1)</f>
        <v>C</v>
      </c>
      <c r="U130" s="102" t="str">
        <f>MID(VLOOKUP($A130,Seqs!$A:$B,2,FALSE),VLOOKUP($A130,'NonXtal_SegEnds_Prot#'!A:AL,10,FALSE)+8,1)</f>
        <v>L</v>
      </c>
      <c r="V130" s="102" t="str">
        <f>MID(VLOOKUP($A130,Seqs!$A:$B,2,FALSE),VLOOKUP($A130,'NonXtal_SegEnds_Prot#'!A:AL,10,FALSE)+9,1)</f>
        <v>P</v>
      </c>
      <c r="W130" s="71" t="str">
        <f>MID(VLOOKUP($A130,Seqs!$A:$B,2,FALSE),VLOOKUP($A130,'NonXtal_SegEnds_Prot#'!$A:$AL,22,FALSE)+6,1)</f>
        <v>A</v>
      </c>
      <c r="X130" s="102" t="str">
        <f>MID(VLOOKUP($A130,Seqs!$A:$B,2,FALSE),VLOOKUP($A130,'NonXtal_SegEnds_Prot#'!$A:$AL,22,FALSE)+7,1)</f>
        <v>A</v>
      </c>
      <c r="Y130" s="102" t="str">
        <f>MID(VLOOKUP($A130,Seqs!$A:$B,2,FALSE),VLOOKUP($A130,'NonXtal_SegEnds_Prot#'!$A:$AL,22,FALSE)+8,1)</f>
        <v>F</v>
      </c>
      <c r="Z130" s="102" t="str">
        <f>MID(VLOOKUP($A130,Seqs!$A:$B,2,FALSE),VLOOKUP($A130,'NonXtal_SegEnds_Prot#'!$A:$AL,22,FALSE)+9,1)</f>
        <v>P</v>
      </c>
      <c r="AA130" s="102" t="str">
        <f>MID(VLOOKUP($A130,Seqs!$A:$B,2,FALSE),VLOOKUP($A130,'NonXtal_SegEnds_Prot#'!$A:$AL,22,FALSE)+10,1)</f>
        <v>P</v>
      </c>
      <c r="AB130" s="71" t="str">
        <f>MID(VLOOKUP($A130,Seqs!$A:$B,2,FALSE),VLOOKUP($A130,'NonXtal_SegEnds_Prot#'!$A:$AL,28,FALSE)-4,1)</f>
        <v>G</v>
      </c>
      <c r="AC130" s="102" t="str">
        <f>MID(VLOOKUP($A130,Seqs!$A:$B,2,FALSE),VLOOKUP($A130,'NonXtal_SegEnds_Prot#'!$A:$AL,28,FALSE),1)</f>
        <v>L</v>
      </c>
    </row>
    <row r="131" spans="1:29" s="2" customFormat="1" x14ac:dyDescent="0.2">
      <c r="A131" s="2" t="s">
        <v>443</v>
      </c>
      <c r="B131" s="2" t="str">
        <f>LOWER(VLOOKUP(A131,Xtal_Templ!A:B,2,FALSE))</f>
        <v>lpar1_human</v>
      </c>
      <c r="C131" s="2" t="str">
        <f>VLOOKUP(A131,Classification!A:D,2,FALSE)</f>
        <v>A</v>
      </c>
      <c r="P131" s="4" t="s">
        <v>51</v>
      </c>
      <c r="R131" s="71" t="str">
        <f>MID(VLOOKUP($A131,Seqs!$A:$B,2,FALSE),VLOOKUP($A131,'NonXtal_SegEnds_Prot#'!A:AL,10,FALSE),1)</f>
        <v>D</v>
      </c>
      <c r="S131" s="102" t="str">
        <f>MID(VLOOKUP($A131,Seqs!$A:$B,2,FALSE),VLOOKUP($A131,'NonXtal_SegEnds_Prot#'!A:AL,10,FALSE)+6,1)</f>
        <v>G</v>
      </c>
      <c r="T131" s="102" t="str">
        <f>MID(VLOOKUP($A131,Seqs!$A:$B,2,FALSE),VLOOKUP($A131,'NonXtal_SegEnds_Prot#'!A:AL,10,FALSE)+7,1)</f>
        <v>L</v>
      </c>
      <c r="U131" s="102" t="str">
        <f>MID(VLOOKUP($A131,Seqs!$A:$B,2,FALSE),VLOOKUP($A131,'NonXtal_SegEnds_Prot#'!A:AL,10,FALSE)+8,1)</f>
        <v>V</v>
      </c>
      <c r="V131" s="102" t="str">
        <f>MID(VLOOKUP($A131,Seqs!$A:$B,2,FALSE),VLOOKUP($A131,'NonXtal_SegEnds_Prot#'!A:AL,10,FALSE)+9,1)</f>
        <v>L</v>
      </c>
      <c r="W131" s="71" t="str">
        <f>MID(VLOOKUP($A131,Seqs!$A:$B,2,FALSE),VLOOKUP($A131,'NonXtal_SegEnds_Prot#'!$A:$AL,22,FALSE)+6,1)</f>
        <v>L</v>
      </c>
      <c r="X131" s="102" t="str">
        <f>MID(VLOOKUP($A131,Seqs!$A:$B,2,FALSE),VLOOKUP($A131,'NonXtal_SegEnds_Prot#'!$A:$AL,22,FALSE)+7,1)</f>
        <v>G</v>
      </c>
      <c r="Y131" s="102" t="str">
        <f>MID(VLOOKUP($A131,Seqs!$A:$B,2,FALSE),VLOOKUP($A131,'NonXtal_SegEnds_Prot#'!$A:$AL,22,FALSE)+8,1)</f>
        <v>L</v>
      </c>
      <c r="Z131" s="102" t="str">
        <f>MID(VLOOKUP($A131,Seqs!$A:$B,2,FALSE),VLOOKUP($A131,'NonXtal_SegEnds_Prot#'!$A:$AL,22,FALSE)+9,1)</f>
        <v>L</v>
      </c>
      <c r="AA131" s="102" t="str">
        <f>MID(VLOOKUP($A131,Seqs!$A:$B,2,FALSE),VLOOKUP($A131,'NonXtal_SegEnds_Prot#'!$A:$AL,22,FALSE)+10,1)</f>
        <v>P</v>
      </c>
      <c r="AB131" s="71" t="str">
        <f>MID(VLOOKUP($A131,Seqs!$A:$B,2,FALSE),VLOOKUP($A131,'NonXtal_SegEnds_Prot#'!$A:$AL,28,FALSE)-4,1)</f>
        <v>A</v>
      </c>
      <c r="AC131" s="102" t="str">
        <f>MID(VLOOKUP($A131,Seqs!$A:$B,2,FALSE),VLOOKUP($A131,'NonXtal_SegEnds_Prot#'!$A:$AL,28,FALSE),1)</f>
        <v>V</v>
      </c>
    </row>
    <row r="132" spans="1:29" s="2" customFormat="1" x14ac:dyDescent="0.2">
      <c r="A132" s="2" t="s">
        <v>444</v>
      </c>
      <c r="B132" s="2" t="str">
        <f>LOWER(VLOOKUP(A132,Xtal_Templ!A:B,2,FALSE))</f>
        <v>p2ry1_human</v>
      </c>
      <c r="C132" s="2" t="str">
        <f>VLOOKUP(A132,Classification!A:D,2,FALSE)</f>
        <v>A</v>
      </c>
      <c r="K132" s="2" t="s">
        <v>59</v>
      </c>
      <c r="N132" s="2" t="s">
        <v>43</v>
      </c>
      <c r="P132" s="4" t="s">
        <v>51</v>
      </c>
      <c r="R132" s="71" t="str">
        <f>MID(VLOOKUP($A132,Seqs!$A:$B,2,FALSE),VLOOKUP($A132,'NonXtal_SegEnds_Prot#'!A:AL,10,FALSE),1)</f>
        <v>D</v>
      </c>
      <c r="S132" s="102" t="str">
        <f>MID(VLOOKUP($A132,Seqs!$A:$B,2,FALSE),VLOOKUP($A132,'NonXtal_SegEnds_Prot#'!A:AL,10,FALSE)+6,1)</f>
        <v>C</v>
      </c>
      <c r="T132" s="102" t="str">
        <f>MID(VLOOKUP($A132,Seqs!$A:$B,2,FALSE),VLOOKUP($A132,'NonXtal_SegEnds_Prot#'!A:AL,10,FALSE)+7,1)</f>
        <v>L</v>
      </c>
      <c r="U132" s="102" t="str">
        <f>MID(VLOOKUP($A132,Seqs!$A:$B,2,FALSE),VLOOKUP($A132,'NonXtal_SegEnds_Prot#'!A:AL,10,FALSE)+8,1)</f>
        <v>P</v>
      </c>
      <c r="V132" s="102" t="str">
        <f>MID(VLOOKUP($A132,Seqs!$A:$B,2,FALSE),VLOOKUP($A132,'NonXtal_SegEnds_Prot#'!A:AL,10,FALSE)+9,1)</f>
        <v>F</v>
      </c>
      <c r="W132" s="71" t="str">
        <f>MID(VLOOKUP($A132,Seqs!$A:$B,2,FALSE),VLOOKUP($A132,'NonXtal_SegEnds_Prot#'!$A:$AL,22,FALSE)+6,1)</f>
        <v>L</v>
      </c>
      <c r="X132" s="102" t="str">
        <f>MID(VLOOKUP($A132,Seqs!$A:$B,2,FALSE),VLOOKUP($A132,'NonXtal_SegEnds_Prot#'!$A:$AL,22,FALSE)+7,1)</f>
        <v>T</v>
      </c>
      <c r="Y132" s="102" t="str">
        <f>MID(VLOOKUP($A132,Seqs!$A:$B,2,FALSE),VLOOKUP($A132,'NonXtal_SegEnds_Prot#'!$A:$AL,22,FALSE)+8,1)</f>
        <v>C</v>
      </c>
      <c r="Z132" s="102" t="str">
        <f>MID(VLOOKUP($A132,Seqs!$A:$B,2,FALSE),VLOOKUP($A132,'NonXtal_SegEnds_Prot#'!$A:$AL,22,FALSE)+9,1)</f>
        <v>P</v>
      </c>
      <c r="AA132" s="102" t="str">
        <f>MID(VLOOKUP($A132,Seqs!$A:$B,2,FALSE),VLOOKUP($A132,'NonXtal_SegEnds_Prot#'!$A:$AL,22,FALSE)+10,1)</f>
        <v>G</v>
      </c>
      <c r="AB132" s="71" t="str">
        <f>MID(VLOOKUP($A132,Seqs!$A:$B,2,FALSE),VLOOKUP($A132,'NonXtal_SegEnds_Prot#'!$A:$AL,28,FALSE)-4,1)</f>
        <v>Q</v>
      </c>
      <c r="AC132" s="102" t="str">
        <f>MID(VLOOKUP($A132,Seqs!$A:$B,2,FALSE),VLOOKUP($A132,'NonXtal_SegEnds_Prot#'!$A:$AL,28,FALSE),1)</f>
        <v>P</v>
      </c>
    </row>
    <row r="133" spans="1:29" s="2" customFormat="1" x14ac:dyDescent="0.2">
      <c r="A133" s="2" t="s">
        <v>445</v>
      </c>
      <c r="B133" s="2" t="str">
        <f>LOWER(VLOOKUP(A133,Xtal_Templ!A:B,2,FALSE))</f>
        <v>oprk_human</v>
      </c>
      <c r="C133" s="2" t="str">
        <f>VLOOKUP(A133,Classification!A:D,2,FALSE)</f>
        <v>A</v>
      </c>
      <c r="N133" s="2" t="s">
        <v>43</v>
      </c>
      <c r="P133" s="4" t="s">
        <v>51</v>
      </c>
      <c r="R133" s="71" t="str">
        <f>MID(VLOOKUP($A133,Seqs!$A:$B,2,FALSE),VLOOKUP($A133,'NonXtal_SegEnds_Prot#'!A:AL,10,FALSE),1)</f>
        <v>D</v>
      </c>
      <c r="S133" s="102" t="str">
        <f>MID(VLOOKUP($A133,Seqs!$A:$B,2,FALSE),VLOOKUP($A133,'NonXtal_SegEnds_Prot#'!A:AL,10,FALSE)+6,1)</f>
        <v>S</v>
      </c>
      <c r="T133" s="102" t="str">
        <f>MID(VLOOKUP($A133,Seqs!$A:$B,2,FALSE),VLOOKUP($A133,'NonXtal_SegEnds_Prot#'!A:AL,10,FALSE)+7,1)</f>
        <v>L</v>
      </c>
      <c r="U133" s="102" t="str">
        <f>MID(VLOOKUP($A133,Seqs!$A:$B,2,FALSE),VLOOKUP($A133,'NonXtal_SegEnds_Prot#'!A:AL,10,FALSE)+8,1)</f>
        <v>P</v>
      </c>
      <c r="V133" s="102" t="str">
        <f>MID(VLOOKUP($A133,Seqs!$A:$B,2,FALSE),VLOOKUP($A133,'NonXtal_SegEnds_Prot#'!A:AL,10,FALSE)+9,1)</f>
        <v>I</v>
      </c>
      <c r="W133" s="71" t="str">
        <f>MID(VLOOKUP($A133,Seqs!$A:$B,2,FALSE),VLOOKUP($A133,'NonXtal_SegEnds_Prot#'!$A:$AL,22,FALSE)+6,1)</f>
        <v>L</v>
      </c>
      <c r="X133" s="102" t="str">
        <f>MID(VLOOKUP($A133,Seqs!$A:$B,2,FALSE),VLOOKUP($A133,'NonXtal_SegEnds_Prot#'!$A:$AL,22,FALSE)+7,1)</f>
        <v>C</v>
      </c>
      <c r="Y133" s="102" t="str">
        <f>MID(VLOOKUP($A133,Seqs!$A:$B,2,FALSE),VLOOKUP($A133,'NonXtal_SegEnds_Prot#'!$A:$AL,22,FALSE)+8,1)</f>
        <v>S</v>
      </c>
      <c r="Z133" s="102" t="str">
        <f>MID(VLOOKUP($A133,Seqs!$A:$B,2,FALSE),VLOOKUP($A133,'NonXtal_SegEnds_Prot#'!$A:$AL,22,FALSE)+9,1)</f>
        <v>A</v>
      </c>
      <c r="AA133" s="102" t="str">
        <f>MID(VLOOKUP($A133,Seqs!$A:$B,2,FALSE),VLOOKUP($A133,'NonXtal_SegEnds_Prot#'!$A:$AL,22,FALSE)+10,1)</f>
        <v>H</v>
      </c>
      <c r="AB133" s="71" t="str">
        <f>MID(VLOOKUP($A133,Seqs!$A:$B,2,FALSE),VLOOKUP($A133,'NonXtal_SegEnds_Prot#'!$A:$AL,28,FALSE)-4,1)</f>
        <v>G</v>
      </c>
      <c r="AC133" s="102" t="str">
        <f>MID(VLOOKUP($A133,Seqs!$A:$B,2,FALSE),VLOOKUP($A133,'NonXtal_SegEnds_Prot#'!$A:$AL,28,FALSE),1)</f>
        <v>P</v>
      </c>
    </row>
    <row r="134" spans="1:29" s="2" customFormat="1" x14ac:dyDescent="0.2">
      <c r="A134" s="2" t="s">
        <v>446</v>
      </c>
      <c r="B134" s="2" t="str">
        <f>LOWER(VLOOKUP(A134,Xtal_Templ!A:B,2,FALSE))</f>
        <v>agtr1_human</v>
      </c>
      <c r="C134" s="2" t="str">
        <f>VLOOKUP(A134,Classification!A:D,2,FALSE)</f>
        <v>A</v>
      </c>
      <c r="K134" s="2" t="s">
        <v>59</v>
      </c>
      <c r="N134" s="2" t="s">
        <v>43</v>
      </c>
      <c r="P134" s="4" t="s">
        <v>51</v>
      </c>
      <c r="R134" s="71" t="str">
        <f>MID(VLOOKUP($A134,Seqs!$A:$B,2,FALSE),VLOOKUP($A134,'NonXtal_SegEnds_Prot#'!A:AL,10,FALSE),1)</f>
        <v>Y</v>
      </c>
      <c r="S134" s="102" t="str">
        <f>MID(VLOOKUP($A134,Seqs!$A:$B,2,FALSE),VLOOKUP($A134,'NonXtal_SegEnds_Prot#'!A:AL,10,FALSE)+6,1)</f>
        <v>I</v>
      </c>
      <c r="T134" s="102" t="str">
        <f>MID(VLOOKUP($A134,Seqs!$A:$B,2,FALSE),VLOOKUP($A134,'NonXtal_SegEnds_Prot#'!A:AL,10,FALSE)+7,1)</f>
        <v>L</v>
      </c>
      <c r="U134" s="102" t="str">
        <f>MID(VLOOKUP($A134,Seqs!$A:$B,2,FALSE),VLOOKUP($A134,'NonXtal_SegEnds_Prot#'!A:AL,10,FALSE)+8,1)</f>
        <v>P</v>
      </c>
      <c r="V134" s="102" t="str">
        <f>MID(VLOOKUP($A134,Seqs!$A:$B,2,FALSE),VLOOKUP($A134,'NonXtal_SegEnds_Prot#'!A:AL,10,FALSE)+9,1)</f>
        <v>F</v>
      </c>
      <c r="W134" s="71" t="str">
        <f>MID(VLOOKUP($A134,Seqs!$A:$B,2,FALSE),VLOOKUP($A134,'NonXtal_SegEnds_Prot#'!$A:$AL,22,FALSE)+6,1)</f>
        <v>L</v>
      </c>
      <c r="X134" s="102" t="str">
        <f>MID(VLOOKUP($A134,Seqs!$A:$B,2,FALSE),VLOOKUP($A134,'NonXtal_SegEnds_Prot#'!$A:$AL,22,FALSE)+7,1)</f>
        <v>S</v>
      </c>
      <c r="Y134" s="102" t="str">
        <f>MID(VLOOKUP($A134,Seqs!$A:$B,2,FALSE),VLOOKUP($A134,'NonXtal_SegEnds_Prot#'!$A:$AL,22,FALSE)+8,1)</f>
        <v>I</v>
      </c>
      <c r="Z134" s="102" t="str">
        <f>MID(VLOOKUP($A134,Seqs!$A:$B,2,FALSE),VLOOKUP($A134,'NonXtal_SegEnds_Prot#'!$A:$AL,22,FALSE)+9,1)</f>
        <v>P</v>
      </c>
      <c r="AA134" s="102" t="str">
        <f>MID(VLOOKUP($A134,Seqs!$A:$B,2,FALSE),VLOOKUP($A134,'NonXtal_SegEnds_Prot#'!$A:$AL,22,FALSE)+10,1)</f>
        <v>Y</v>
      </c>
      <c r="AB134" s="71" t="str">
        <f>MID(VLOOKUP($A134,Seqs!$A:$B,2,FALSE),VLOOKUP($A134,'NonXtal_SegEnds_Prot#'!$A:$AL,28,FALSE)-4,1)</f>
        <v>G</v>
      </c>
      <c r="AC134" s="102" t="str">
        <f>MID(VLOOKUP($A134,Seqs!$A:$B,2,FALSE),VLOOKUP($A134,'NonXtal_SegEnds_Prot#'!$A:$AL,28,FALSE),1)</f>
        <v>P</v>
      </c>
    </row>
    <row r="135" spans="1:29" s="2" customFormat="1" x14ac:dyDescent="0.2">
      <c r="A135" s="2" t="s">
        <v>447</v>
      </c>
      <c r="B135" s="2" t="str">
        <f>LOWER(VLOOKUP(A135,Xtal_Templ!A:B,2,FALSE))</f>
        <v>p2y12_human</v>
      </c>
      <c r="C135" s="2" t="str">
        <f>VLOOKUP(A135,Classification!A:D,2,FALSE)</f>
        <v>A</v>
      </c>
      <c r="P135" s="4" t="s">
        <v>51</v>
      </c>
      <c r="R135" s="71" t="str">
        <f>MID(VLOOKUP($A135,Seqs!$A:$B,2,FALSE),VLOOKUP($A135,'NonXtal_SegEnds_Prot#'!A:AL,10,FALSE),1)</f>
        <v>D</v>
      </c>
      <c r="S135" s="102" t="str">
        <f>MID(VLOOKUP($A135,Seqs!$A:$B,2,FALSE),VLOOKUP($A135,'NonXtal_SegEnds_Prot#'!A:AL,10,FALSE)+6,1)</f>
        <v>C</v>
      </c>
      <c r="T135" s="102" t="str">
        <f>MID(VLOOKUP($A135,Seqs!$A:$B,2,FALSE),VLOOKUP($A135,'NonXtal_SegEnds_Prot#'!A:AL,10,FALSE)+7,1)</f>
        <v>L</v>
      </c>
      <c r="U135" s="102" t="str">
        <f>MID(VLOOKUP($A135,Seqs!$A:$B,2,FALSE),VLOOKUP($A135,'NonXtal_SegEnds_Prot#'!A:AL,10,FALSE)+8,1)</f>
        <v>P</v>
      </c>
      <c r="V135" s="102" t="str">
        <f>MID(VLOOKUP($A135,Seqs!$A:$B,2,FALSE),VLOOKUP($A135,'NonXtal_SegEnds_Prot#'!A:AL,10,FALSE)+9,1)</f>
        <v>F</v>
      </c>
      <c r="W135" s="71" t="str">
        <f>MID(VLOOKUP($A135,Seqs!$A:$B,2,FALSE),VLOOKUP($A135,'NonXtal_SegEnds_Prot#'!$A:$AL,22,FALSE)+6,1)</f>
        <v>G</v>
      </c>
      <c r="X135" s="102" t="str">
        <f>MID(VLOOKUP($A135,Seqs!$A:$B,2,FALSE),VLOOKUP($A135,'NonXtal_SegEnds_Prot#'!$A:$AL,22,FALSE)+7,1)</f>
        <v>F</v>
      </c>
      <c r="Y135" s="102" t="str">
        <f>MID(VLOOKUP($A135,Seqs!$A:$B,2,FALSE),VLOOKUP($A135,'NonXtal_SegEnds_Prot#'!$A:$AL,22,FALSE)+8,1)</f>
        <v>L</v>
      </c>
      <c r="Z135" s="102" t="str">
        <f>MID(VLOOKUP($A135,Seqs!$A:$B,2,FALSE),VLOOKUP($A135,'NonXtal_SegEnds_Prot#'!$A:$AL,22,FALSE)+9,1)</f>
        <v>T</v>
      </c>
      <c r="AA135" s="102" t="str">
        <f>MID(VLOOKUP($A135,Seqs!$A:$B,2,FALSE),VLOOKUP($A135,'NonXtal_SegEnds_Prot#'!$A:$AL,22,FALSE)+10,1)</f>
        <v>M</v>
      </c>
      <c r="AB135" s="71" t="str">
        <f>MID(VLOOKUP($A135,Seqs!$A:$B,2,FALSE),VLOOKUP($A135,'NonXtal_SegEnds_Prot#'!$A:$AL,28,FALSE)-4,1)</f>
        <v>M</v>
      </c>
      <c r="AC135" s="102" t="str">
        <f>MID(VLOOKUP($A135,Seqs!$A:$B,2,FALSE),VLOOKUP($A135,'NonXtal_SegEnds_Prot#'!$A:$AL,28,FALSE),1)</f>
        <v>I</v>
      </c>
    </row>
    <row r="136" spans="1:29" s="2" customFormat="1" x14ac:dyDescent="0.2">
      <c r="A136" s="2" t="s">
        <v>448</v>
      </c>
      <c r="B136" s="2" t="str">
        <f>LOWER(VLOOKUP(A136,Xtal_Templ!A:B,2,FALSE))</f>
        <v>par1_human</v>
      </c>
      <c r="C136" s="2" t="str">
        <f>VLOOKUP(A136,Classification!A:D,2,FALSE)</f>
        <v>A</v>
      </c>
      <c r="N136" s="2" t="s">
        <v>43</v>
      </c>
      <c r="P136" s="4" t="s">
        <v>51</v>
      </c>
      <c r="R136" s="71" t="str">
        <f>MID(VLOOKUP($A136,Seqs!$A:$B,2,FALSE),VLOOKUP($A136,'NonXtal_SegEnds_Prot#'!A:AL,10,FALSE),1)</f>
        <v>D</v>
      </c>
      <c r="S136" s="102" t="str">
        <f>MID(VLOOKUP($A136,Seqs!$A:$B,2,FALSE),VLOOKUP($A136,'NonXtal_SegEnds_Prot#'!A:AL,10,FALSE)+6,1)</f>
        <v>T</v>
      </c>
      <c r="T136" s="102" t="str">
        <f>MID(VLOOKUP($A136,Seqs!$A:$B,2,FALSE),VLOOKUP($A136,'NonXtal_SegEnds_Prot#'!A:AL,10,FALSE)+7,1)</f>
        <v>L</v>
      </c>
      <c r="U136" s="102" t="str">
        <f>MID(VLOOKUP($A136,Seqs!$A:$B,2,FALSE),VLOOKUP($A136,'NonXtal_SegEnds_Prot#'!A:AL,10,FALSE)+8,1)</f>
        <v>P</v>
      </c>
      <c r="V136" s="102" t="str">
        <f>MID(VLOOKUP($A136,Seqs!$A:$B,2,FALSE),VLOOKUP($A136,'NonXtal_SegEnds_Prot#'!A:AL,10,FALSE)+9,1)</f>
        <v>F</v>
      </c>
      <c r="W136" s="71" t="str">
        <f>MID(VLOOKUP($A136,Seqs!$A:$B,2,FALSE),VLOOKUP($A136,'NonXtal_SegEnds_Prot#'!$A:$AL,22,FALSE)+6,1)</f>
        <v>S</v>
      </c>
      <c r="X136" s="102" t="str">
        <f>MID(VLOOKUP($A136,Seqs!$A:$B,2,FALSE),VLOOKUP($A136,'NonXtal_SegEnds_Prot#'!$A:$AL,22,FALSE)+7,1)</f>
        <v>L</v>
      </c>
      <c r="Y136" s="102" t="str">
        <f>MID(VLOOKUP($A136,Seqs!$A:$B,2,FALSE),VLOOKUP($A136,'NonXtal_SegEnds_Prot#'!$A:$AL,22,FALSE)+8,1)</f>
        <v>V</v>
      </c>
      <c r="Z136" s="102" t="str">
        <f>MID(VLOOKUP($A136,Seqs!$A:$B,2,FALSE),VLOOKUP($A136,'NonXtal_SegEnds_Prot#'!$A:$AL,22,FALSE)+9,1)</f>
        <v>A</v>
      </c>
      <c r="AA136" s="102" t="str">
        <f>MID(VLOOKUP($A136,Seqs!$A:$B,2,FALSE),VLOOKUP($A136,'NonXtal_SegEnds_Prot#'!$A:$AL,22,FALSE)+10,1)</f>
        <v>R</v>
      </c>
      <c r="AB136" s="71" t="str">
        <f>MID(VLOOKUP($A136,Seqs!$A:$B,2,FALSE),VLOOKUP($A136,'NonXtal_SegEnds_Prot#'!$A:$AL,28,FALSE)-4,1)</f>
        <v>G</v>
      </c>
      <c r="AC136" s="102" t="str">
        <f>MID(VLOOKUP($A136,Seqs!$A:$B,2,FALSE),VLOOKUP($A136,'NonXtal_SegEnds_Prot#'!$A:$AL,28,FALSE),1)</f>
        <v>P</v>
      </c>
    </row>
    <row r="137" spans="1:29" s="2" customFormat="1" x14ac:dyDescent="0.2">
      <c r="A137" s="2" t="s">
        <v>449</v>
      </c>
      <c r="B137" s="2" t="str">
        <f>LOWER(VLOOKUP(A137,Xtal_Templ!A:B,2,FALSE))</f>
        <v>ednrb_human</v>
      </c>
      <c r="C137" s="2" t="str">
        <f>VLOOKUP(A137,Classification!A:D,2,FALSE)</f>
        <v>A</v>
      </c>
      <c r="E137" s="2" t="s">
        <v>20</v>
      </c>
      <c r="K137" s="2" t="s">
        <v>59</v>
      </c>
      <c r="N137" s="2" t="s">
        <v>43</v>
      </c>
      <c r="P137" s="4" t="s">
        <v>51</v>
      </c>
      <c r="R137" s="71" t="str">
        <f>MID(VLOOKUP($A137,Seqs!$A:$B,2,FALSE),VLOOKUP($A137,'NonXtal_SegEnds_Prot#'!A:AL,10,FALSE),1)</f>
        <v>D</v>
      </c>
      <c r="S137" s="102" t="str">
        <f>MID(VLOOKUP($A137,Seqs!$A:$B,2,FALSE),VLOOKUP($A137,'NonXtal_SegEnds_Prot#'!A:AL,10,FALSE)+6,1)</f>
        <v>F</v>
      </c>
      <c r="T137" s="102" t="str">
        <f>MID(VLOOKUP($A137,Seqs!$A:$B,2,FALSE),VLOOKUP($A137,'NonXtal_SegEnds_Prot#'!A:AL,10,FALSE)+7,1)</f>
        <v>C</v>
      </c>
      <c r="U137" s="102" t="str">
        <f>MID(VLOOKUP($A137,Seqs!$A:$B,2,FALSE),VLOOKUP($A137,'NonXtal_SegEnds_Prot#'!A:AL,10,FALSE)+8,1)</f>
        <v>L</v>
      </c>
      <c r="V137" s="102" t="str">
        <f>MID(VLOOKUP($A137,Seqs!$A:$B,2,FALSE),VLOOKUP($A137,'NonXtal_SegEnds_Prot#'!A:AL,10,FALSE)+9,1)</f>
        <v>P</v>
      </c>
      <c r="W137" s="71" t="str">
        <f>MID(VLOOKUP($A137,Seqs!$A:$B,2,FALSE),VLOOKUP($A137,'NonXtal_SegEnds_Prot#'!$A:$AL,22,FALSE)+6,1)</f>
        <v>L</v>
      </c>
      <c r="X137" s="102" t="str">
        <f>MID(VLOOKUP($A137,Seqs!$A:$B,2,FALSE),VLOOKUP($A137,'NonXtal_SegEnds_Prot#'!$A:$AL,22,FALSE)+7,1)</f>
        <v>A</v>
      </c>
      <c r="Y137" s="102" t="str">
        <f>MID(VLOOKUP($A137,Seqs!$A:$B,2,FALSE),VLOOKUP($A137,'NonXtal_SegEnds_Prot#'!$A:$AL,22,FALSE)+8,1)</f>
        <v>L</v>
      </c>
      <c r="Z137" s="102" t="str">
        <f>MID(VLOOKUP($A137,Seqs!$A:$B,2,FALSE),VLOOKUP($A137,'NonXtal_SegEnds_Prot#'!$A:$AL,22,FALSE)+9,1)</f>
        <v>P</v>
      </c>
      <c r="AA137" s="102" t="str">
        <f>MID(VLOOKUP($A137,Seqs!$A:$B,2,FALSE),VLOOKUP($A137,'NonXtal_SegEnds_Prot#'!$A:$AL,22,FALSE)+10,1)</f>
        <v>E</v>
      </c>
      <c r="AB137" s="71" t="str">
        <f>MID(VLOOKUP($A137,Seqs!$A:$B,2,FALSE),VLOOKUP($A137,'NonXtal_SegEnds_Prot#'!$A:$AL,28,FALSE)-4,1)</f>
        <v>Y</v>
      </c>
      <c r="AC137" s="102" t="str">
        <f>MID(VLOOKUP($A137,Seqs!$A:$B,2,FALSE),VLOOKUP($A137,'NonXtal_SegEnds_Prot#'!$A:$AL,28,FALSE),1)</f>
        <v>P</v>
      </c>
    </row>
    <row r="138" spans="1:29" s="2" customFormat="1" x14ac:dyDescent="0.2">
      <c r="A138" s="2" t="s">
        <v>450</v>
      </c>
      <c r="B138" s="2" t="str">
        <f>LOWER(VLOOKUP(A138,Xtal_Templ!A:B,2,FALSE))</f>
        <v>ntr1_rat</v>
      </c>
      <c r="C138" s="2" t="str">
        <f>VLOOKUP(A138,Classification!A:D,2,FALSE)</f>
        <v>A</v>
      </c>
      <c r="E138" s="2" t="s">
        <v>20</v>
      </c>
      <c r="K138" s="2" t="s">
        <v>59</v>
      </c>
      <c r="P138" s="4" t="s">
        <v>51</v>
      </c>
      <c r="R138" s="71" t="str">
        <f>MID(VLOOKUP($A138,Seqs!$A:$B,2,FALSE),VLOOKUP($A138,'NonXtal_SegEnds_Prot#'!A:AL,10,FALSE),1)</f>
        <v>D</v>
      </c>
      <c r="S138" s="102" t="str">
        <f>MID(VLOOKUP($A138,Seqs!$A:$B,2,FALSE),VLOOKUP($A138,'NonXtal_SegEnds_Prot#'!A:AL,10,FALSE)+6,1)</f>
        <v>I</v>
      </c>
      <c r="T138" s="102" t="str">
        <f>MID(VLOOKUP($A138,Seqs!$A:$B,2,FALSE),VLOOKUP($A138,'NonXtal_SegEnds_Prot#'!A:AL,10,FALSE)+7,1)</f>
        <v>G</v>
      </c>
      <c r="U138" s="102" t="str">
        <f>MID(VLOOKUP($A138,Seqs!$A:$B,2,FALSE),VLOOKUP($A138,'NonXtal_SegEnds_Prot#'!A:AL,10,FALSE)+8,1)</f>
        <v>M</v>
      </c>
      <c r="V138" s="102" t="str">
        <f>MID(VLOOKUP($A138,Seqs!$A:$B,2,FALSE),VLOOKUP($A138,'NonXtal_SegEnds_Prot#'!A:AL,10,FALSE)+9,1)</f>
        <v>P</v>
      </c>
      <c r="W138" s="71" t="str">
        <f>MID(VLOOKUP($A138,Seqs!$A:$B,2,FALSE),VLOOKUP($A138,'NonXtal_SegEnds_Prot#'!$A:$AL,22,FALSE)+6,1)</f>
        <v>V</v>
      </c>
      <c r="X138" s="102" t="str">
        <f>MID(VLOOKUP($A138,Seqs!$A:$B,2,FALSE),VLOOKUP($A138,'NonXtal_SegEnds_Prot#'!$A:$AL,22,FALSE)+7,1)</f>
        <v>A</v>
      </c>
      <c r="Y138" s="102" t="str">
        <f>MID(VLOOKUP($A138,Seqs!$A:$B,2,FALSE),VLOOKUP($A138,'NonXtal_SegEnds_Prot#'!$A:$AL,22,FALSE)+8,1)</f>
        <v>L</v>
      </c>
      <c r="Z138" s="102" t="str">
        <f>MID(VLOOKUP($A138,Seqs!$A:$B,2,FALSE),VLOOKUP($A138,'NonXtal_SegEnds_Prot#'!$A:$AL,22,FALSE)+9,1)</f>
        <v>P</v>
      </c>
      <c r="AA138" s="102" t="str">
        <f>MID(VLOOKUP($A138,Seqs!$A:$B,2,FALSE),VLOOKUP($A138,'NonXtal_SegEnds_Prot#'!$A:$AL,22,FALSE)+10,1)</f>
        <v>L</v>
      </c>
      <c r="AB138" s="71" t="str">
        <f>MID(VLOOKUP($A138,Seqs!$A:$B,2,FALSE),VLOOKUP($A138,'NonXtal_SegEnds_Prot#'!$A:$AL,28,FALSE)-4,1)</f>
        <v>A</v>
      </c>
      <c r="AC138" s="102" t="str">
        <f>MID(VLOOKUP($A138,Seqs!$A:$B,2,FALSE),VLOOKUP($A138,'NonXtal_SegEnds_Prot#'!$A:$AL,28,FALSE),1)</f>
        <v>Y</v>
      </c>
    </row>
    <row r="139" spans="1:29" s="2" customFormat="1" x14ac:dyDescent="0.2">
      <c r="A139" s="2" t="s">
        <v>451</v>
      </c>
      <c r="B139" s="2" t="str">
        <f>LOWER(VLOOKUP(A139,Xtal_Templ!A:B,2,FALSE))</f>
        <v>p2ry1_human</v>
      </c>
      <c r="C139" s="2" t="str">
        <f>VLOOKUP(A139,Classification!A:D,2,FALSE)</f>
        <v>A</v>
      </c>
      <c r="N139" s="2" t="s">
        <v>43</v>
      </c>
      <c r="P139" s="4" t="s">
        <v>51</v>
      </c>
      <c r="R139" s="71" t="str">
        <f>MID(VLOOKUP($A139,Seqs!$A:$B,2,FALSE),VLOOKUP($A139,'NonXtal_SegEnds_Prot#'!A:AL,10,FALSE),1)</f>
        <v>D</v>
      </c>
      <c r="S139" s="102" t="str">
        <f>MID(VLOOKUP($A139,Seqs!$A:$B,2,FALSE),VLOOKUP($A139,'NonXtal_SegEnds_Prot#'!A:AL,10,FALSE)+6,1)</f>
        <v>T</v>
      </c>
      <c r="T139" s="102" t="str">
        <f>MID(VLOOKUP($A139,Seqs!$A:$B,2,FALSE),VLOOKUP($A139,'NonXtal_SegEnds_Prot#'!A:AL,10,FALSE)+7,1)</f>
        <v>L</v>
      </c>
      <c r="U139" s="102" t="str">
        <f>MID(VLOOKUP($A139,Seqs!$A:$B,2,FALSE),VLOOKUP($A139,'NonXtal_SegEnds_Prot#'!A:AL,10,FALSE)+8,1)</f>
        <v>P</v>
      </c>
      <c r="V139" s="102" t="str">
        <f>MID(VLOOKUP($A139,Seqs!$A:$B,2,FALSE),VLOOKUP($A139,'NonXtal_SegEnds_Prot#'!A:AL,10,FALSE)+9,1)</f>
        <v>L</v>
      </c>
      <c r="W139" s="71" t="str">
        <f>MID(VLOOKUP($A139,Seqs!$A:$B,2,FALSE),VLOOKUP($A139,'NonXtal_SegEnds_Prot#'!$A:$AL,22,FALSE)+6,1)</f>
        <v>A</v>
      </c>
      <c r="X139" s="102" t="str">
        <f>MID(VLOOKUP($A139,Seqs!$A:$B,2,FALSE),VLOOKUP($A139,'NonXtal_SegEnds_Prot#'!$A:$AL,22,FALSE)+7,1)</f>
        <v>N</v>
      </c>
      <c r="Y139" s="102" t="str">
        <f>MID(VLOOKUP($A139,Seqs!$A:$B,2,FALSE),VLOOKUP($A139,'NonXtal_SegEnds_Prot#'!$A:$AL,22,FALSE)+8,1)</f>
        <v>S</v>
      </c>
      <c r="Z139" s="102" t="str">
        <f>MID(VLOOKUP($A139,Seqs!$A:$B,2,FALSE),VLOOKUP($A139,'NonXtal_SegEnds_Prot#'!$A:$AL,22,FALSE)+9,1)</f>
        <v>A</v>
      </c>
      <c r="AA139" s="102" t="str">
        <f>MID(VLOOKUP($A139,Seqs!$A:$B,2,FALSE),VLOOKUP($A139,'NonXtal_SegEnds_Prot#'!$A:$AL,22,FALSE)+10,1)</f>
        <v>P</v>
      </c>
      <c r="AB139" s="71" t="str">
        <f>MID(VLOOKUP($A139,Seqs!$A:$B,2,FALSE),VLOOKUP($A139,'NonXtal_SegEnds_Prot#'!$A:$AL,28,FALSE)-4,1)</f>
        <v>G</v>
      </c>
      <c r="AC139" s="102" t="str">
        <f>MID(VLOOKUP($A139,Seqs!$A:$B,2,FALSE),VLOOKUP($A139,'NonXtal_SegEnds_Prot#'!$A:$AL,28,FALSE),1)</f>
        <v>P</v>
      </c>
    </row>
    <row r="140" spans="1:29" s="2" customFormat="1" x14ac:dyDescent="0.2">
      <c r="A140" s="2" t="s">
        <v>452</v>
      </c>
      <c r="B140" s="2" t="str">
        <f>LOWER(VLOOKUP(A140,Xtal_Templ!A:B,2,FALSE))</f>
        <v>par1_human</v>
      </c>
      <c r="C140" s="2" t="str">
        <f>VLOOKUP(A140,Classification!A:D,2,FALSE)</f>
        <v>A</v>
      </c>
      <c r="N140" s="2" t="s">
        <v>43</v>
      </c>
      <c r="O140" s="2" t="s">
        <v>1554</v>
      </c>
      <c r="P140" s="4" t="s">
        <v>51</v>
      </c>
      <c r="R140" s="71" t="str">
        <f>MID(VLOOKUP($A140,Seqs!$A:$B,2,FALSE),VLOOKUP($A140,'NonXtal_SegEnds_Prot#'!A:AL,10,FALSE),1)</f>
        <v>D</v>
      </c>
      <c r="S140" s="102" t="str">
        <f>MID(VLOOKUP($A140,Seqs!$A:$B,2,FALSE),VLOOKUP($A140,'NonXtal_SegEnds_Prot#'!A:AL,10,FALSE)+6,1)</f>
        <v>F</v>
      </c>
      <c r="T140" s="102" t="str">
        <f>MID(VLOOKUP($A140,Seqs!$A:$B,2,FALSE),VLOOKUP($A140,'NonXtal_SegEnds_Prot#'!A:AL,10,FALSE)+7,1)</f>
        <v>L</v>
      </c>
      <c r="U140" s="102" t="str">
        <f>MID(VLOOKUP($A140,Seqs!$A:$B,2,FALSE),VLOOKUP($A140,'NonXtal_SegEnds_Prot#'!A:AL,10,FALSE)+8,1)</f>
        <v>P</v>
      </c>
      <c r="V140" s="102" t="str">
        <f>MID(VLOOKUP($A140,Seqs!$A:$B,2,FALSE),VLOOKUP($A140,'NonXtal_SegEnds_Prot#'!A:AL,10,FALSE)+9,1)</f>
        <v>F</v>
      </c>
      <c r="W140" s="71" t="str">
        <f>MID(VLOOKUP($A140,Seqs!$A:$B,2,FALSE),VLOOKUP($A140,'NonXtal_SegEnds_Prot#'!$A:$AL,22,FALSE)+6,1)</f>
        <v>H</v>
      </c>
      <c r="X140" s="102" t="str">
        <f>MID(VLOOKUP($A140,Seqs!$A:$B,2,FALSE),VLOOKUP($A140,'NonXtal_SegEnds_Prot#'!$A:$AL,22,FALSE)+7,1)</f>
        <v>C</v>
      </c>
      <c r="Y140" s="102" t="str">
        <f>MID(VLOOKUP($A140,Seqs!$A:$B,2,FALSE),VLOOKUP($A140,'NonXtal_SegEnds_Prot#'!$A:$AL,22,FALSE)+8,1)</f>
        <v>S</v>
      </c>
      <c r="Z140" s="102" t="str">
        <f>MID(VLOOKUP($A140,Seqs!$A:$B,2,FALSE),VLOOKUP($A140,'NonXtal_SegEnds_Prot#'!$A:$AL,22,FALSE)+9,1)</f>
        <v>V</v>
      </c>
      <c r="AA140" s="102" t="str">
        <f>MID(VLOOKUP($A140,Seqs!$A:$B,2,FALSE),VLOOKUP($A140,'NonXtal_SegEnds_Prot#'!$A:$AL,22,FALSE)+10,1)</f>
        <v>V</v>
      </c>
      <c r="AB140" s="71" t="str">
        <f>MID(VLOOKUP($A140,Seqs!$A:$B,2,FALSE),VLOOKUP($A140,'NonXtal_SegEnds_Prot#'!$A:$AL,28,FALSE)-4,1)</f>
        <v>L</v>
      </c>
      <c r="AC140" s="102" t="str">
        <f>MID(VLOOKUP($A140,Seqs!$A:$B,2,FALSE),VLOOKUP($A140,'NonXtal_SegEnds_Prot#'!$A:$AL,28,FALSE),1)</f>
        <v>P</v>
      </c>
    </row>
    <row r="141" spans="1:29" s="2" customFormat="1" x14ac:dyDescent="0.2">
      <c r="A141" s="2" t="s">
        <v>453</v>
      </c>
      <c r="B141" s="2" t="str">
        <f>LOWER(VLOOKUP(A141,Xtal_Templ!A:B,2,FALSE))</f>
        <v>adrb1_melga</v>
      </c>
      <c r="C141" s="2" t="str">
        <f>VLOOKUP(A141,Classification!A:D,2,FALSE)</f>
        <v>A</v>
      </c>
      <c r="E141" s="2" t="s">
        <v>20</v>
      </c>
      <c r="K141" s="2" t="s">
        <v>59</v>
      </c>
      <c r="N141" s="2" t="s">
        <v>43</v>
      </c>
      <c r="P141" s="4" t="s">
        <v>51</v>
      </c>
      <c r="R141" s="71" t="str">
        <f>MID(VLOOKUP($A141,Seqs!$A:$B,2,FALSE),VLOOKUP($A141,'NonXtal_SegEnds_Prot#'!A:AL,10,FALSE),1)</f>
        <v>D</v>
      </c>
      <c r="S141" s="102" t="str">
        <f>MID(VLOOKUP($A141,Seqs!$A:$B,2,FALSE),VLOOKUP($A141,'NonXtal_SegEnds_Prot#'!A:AL,10,FALSE)+6,1)</f>
        <v>C</v>
      </c>
      <c r="T141" s="102" t="str">
        <f>MID(VLOOKUP($A141,Seqs!$A:$B,2,FALSE),VLOOKUP($A141,'NonXtal_SegEnds_Prot#'!A:AL,10,FALSE)+7,1)</f>
        <v>C</v>
      </c>
      <c r="U141" s="102" t="str">
        <f>MID(VLOOKUP($A141,Seqs!$A:$B,2,FALSE),VLOOKUP($A141,'NonXtal_SegEnds_Prot#'!A:AL,10,FALSE)+8,1)</f>
        <v>M</v>
      </c>
      <c r="V141" s="102" t="str">
        <f>MID(VLOOKUP($A141,Seqs!$A:$B,2,FALSE),VLOOKUP($A141,'NonXtal_SegEnds_Prot#'!A:AL,10,FALSE)+9,1)</f>
        <v>P</v>
      </c>
      <c r="W141" s="71" t="str">
        <f>MID(VLOOKUP($A141,Seqs!$A:$B,2,FALSE),VLOOKUP($A141,'NonXtal_SegEnds_Prot#'!$A:$AL,22,FALSE)+6,1)</f>
        <v>I</v>
      </c>
      <c r="X141" s="102" t="str">
        <f>MID(VLOOKUP($A141,Seqs!$A:$B,2,FALSE),VLOOKUP($A141,'NonXtal_SegEnds_Prot#'!$A:$AL,22,FALSE)+7,1)</f>
        <v>A</v>
      </c>
      <c r="Y141" s="102" t="str">
        <f>MID(VLOOKUP($A141,Seqs!$A:$B,2,FALSE),VLOOKUP($A141,'NonXtal_SegEnds_Prot#'!$A:$AL,22,FALSE)+8,1)</f>
        <v>G</v>
      </c>
      <c r="Z141" s="102" t="str">
        <f>MID(VLOOKUP($A141,Seqs!$A:$B,2,FALSE),VLOOKUP($A141,'NonXtal_SegEnds_Prot#'!$A:$AL,22,FALSE)+9,1)</f>
        <v>P</v>
      </c>
      <c r="AA141" s="102" t="str">
        <f>MID(VLOOKUP($A141,Seqs!$A:$B,2,FALSE),VLOOKUP($A141,'NonXtal_SegEnds_Prot#'!$A:$AL,22,FALSE)+10,1)</f>
        <v>S</v>
      </c>
      <c r="AB141" s="71" t="str">
        <f>MID(VLOOKUP($A141,Seqs!$A:$B,2,FALSE),VLOOKUP($A141,'NonXtal_SegEnds_Prot#'!$A:$AL,28,FALSE)-4,1)</f>
        <v>V</v>
      </c>
      <c r="AC141" s="102" t="str">
        <f>MID(VLOOKUP($A141,Seqs!$A:$B,2,FALSE),VLOOKUP($A141,'NonXtal_SegEnds_Prot#'!$A:$AL,28,FALSE),1)</f>
        <v>P</v>
      </c>
    </row>
    <row r="142" spans="1:29" s="2" customFormat="1" x14ac:dyDescent="0.2">
      <c r="A142" s="2" t="s">
        <v>454</v>
      </c>
      <c r="B142" s="2" t="str">
        <f>LOWER(VLOOKUP(A142,Xtal_Templ!A:B,2,FALSE))</f>
        <v>ox2r_human</v>
      </c>
      <c r="C142" s="2" t="str">
        <f>VLOOKUP(A142,Classification!A:D,2,FALSE)</f>
        <v>A</v>
      </c>
      <c r="K142" s="2" t="s">
        <v>59</v>
      </c>
      <c r="N142" s="2" t="s">
        <v>43</v>
      </c>
      <c r="P142" s="4" t="s">
        <v>51</v>
      </c>
      <c r="R142" s="71" t="str">
        <f>MID(VLOOKUP($A142,Seqs!$A:$B,2,FALSE),VLOOKUP($A142,'NonXtal_SegEnds_Prot#'!A:AL,10,FALSE),1)</f>
        <v>D</v>
      </c>
      <c r="S142" s="102" t="str">
        <f>MID(VLOOKUP($A142,Seqs!$A:$B,2,FALSE),VLOOKUP($A142,'NonXtal_SegEnds_Prot#'!A:AL,10,FALSE)+6,1)</f>
        <v>S</v>
      </c>
      <c r="T142" s="102" t="str">
        <f>MID(VLOOKUP($A142,Seqs!$A:$B,2,FALSE),VLOOKUP($A142,'NonXtal_SegEnds_Prot#'!A:AL,10,FALSE)+7,1)</f>
        <v>C</v>
      </c>
      <c r="U142" s="102" t="str">
        <f>MID(VLOOKUP($A142,Seqs!$A:$B,2,FALSE),VLOOKUP($A142,'NonXtal_SegEnds_Prot#'!A:AL,10,FALSE)+8,1)</f>
        <v>L</v>
      </c>
      <c r="V142" s="102" t="str">
        <f>MID(VLOOKUP($A142,Seqs!$A:$B,2,FALSE),VLOOKUP($A142,'NonXtal_SegEnds_Prot#'!A:AL,10,FALSE)+9,1)</f>
        <v>V</v>
      </c>
      <c r="W142" s="71" t="str">
        <f>MID(VLOOKUP($A142,Seqs!$A:$B,2,FALSE),VLOOKUP($A142,'NonXtal_SegEnds_Prot#'!$A:$AL,22,FALSE)+6,1)</f>
        <v>I</v>
      </c>
      <c r="X142" s="102" t="str">
        <f>MID(VLOOKUP($A142,Seqs!$A:$B,2,FALSE),VLOOKUP($A142,'NonXtal_SegEnds_Prot#'!$A:$AL,22,FALSE)+7,1)</f>
        <v>F</v>
      </c>
      <c r="Y142" s="102" t="str">
        <f>MID(VLOOKUP($A142,Seqs!$A:$B,2,FALSE),VLOOKUP($A142,'NonXtal_SegEnds_Prot#'!$A:$AL,22,FALSE)+8,1)</f>
        <v>L</v>
      </c>
      <c r="Z142" s="102" t="str">
        <f>MID(VLOOKUP($A142,Seqs!$A:$B,2,FALSE),VLOOKUP($A142,'NonXtal_SegEnds_Prot#'!$A:$AL,22,FALSE)+9,1)</f>
        <v>P</v>
      </c>
      <c r="AA142" s="102" t="str">
        <f>MID(VLOOKUP($A142,Seqs!$A:$B,2,FALSE),VLOOKUP($A142,'NonXtal_SegEnds_Prot#'!$A:$AL,22,FALSE)+10,1)</f>
        <v>S</v>
      </c>
      <c r="AB142" s="71" t="str">
        <f>MID(VLOOKUP($A142,Seqs!$A:$B,2,FALSE),VLOOKUP($A142,'NonXtal_SegEnds_Prot#'!$A:$AL,28,FALSE)-4,1)</f>
        <v>L</v>
      </c>
      <c r="AC142" s="102" t="str">
        <f>MID(VLOOKUP($A142,Seqs!$A:$B,2,FALSE),VLOOKUP($A142,'NonXtal_SegEnds_Prot#'!$A:$AL,28,FALSE),1)</f>
        <v>P</v>
      </c>
    </row>
    <row r="143" spans="1:29" s="2" customFormat="1" x14ac:dyDescent="0.2">
      <c r="A143" s="2" t="s">
        <v>455</v>
      </c>
      <c r="B143" s="2" t="str">
        <f>LOWER(VLOOKUP(A143,Xtal_Templ!A:B,2,FALSE))</f>
        <v>par1_human</v>
      </c>
      <c r="C143" s="2" t="str">
        <f>VLOOKUP(A143,Classification!A:D,2,FALSE)</f>
        <v>A</v>
      </c>
      <c r="K143" s="2" t="s">
        <v>59</v>
      </c>
      <c r="N143" s="2" t="s">
        <v>43</v>
      </c>
      <c r="P143" s="4" t="s">
        <v>51</v>
      </c>
      <c r="R143" s="71" t="str">
        <f>MID(VLOOKUP($A143,Seqs!$A:$B,2,FALSE),VLOOKUP($A143,'NonXtal_SegEnds_Prot#'!A:AL,10,FALSE),1)</f>
        <v>D</v>
      </c>
      <c r="S143" s="102" t="str">
        <f>MID(VLOOKUP($A143,Seqs!$A:$B,2,FALSE),VLOOKUP($A143,'NonXtal_SegEnds_Prot#'!A:AL,10,FALSE)+6,1)</f>
        <v>S</v>
      </c>
      <c r="T143" s="102" t="str">
        <f>MID(VLOOKUP($A143,Seqs!$A:$B,2,FALSE),VLOOKUP($A143,'NonXtal_SegEnds_Prot#'!A:AL,10,FALSE)+7,1)</f>
        <v>L</v>
      </c>
      <c r="U143" s="102" t="str">
        <f>MID(VLOOKUP($A143,Seqs!$A:$B,2,FALSE),VLOOKUP($A143,'NonXtal_SegEnds_Prot#'!A:AL,10,FALSE)+8,1)</f>
        <v>P</v>
      </c>
      <c r="V143" s="102" t="str">
        <f>MID(VLOOKUP($A143,Seqs!$A:$B,2,FALSE),VLOOKUP($A143,'NonXtal_SegEnds_Prot#'!A:AL,10,FALSE)+9,1)</f>
        <v>F</v>
      </c>
      <c r="W143" s="71" t="str">
        <f>MID(VLOOKUP($A143,Seqs!$A:$B,2,FALSE),VLOOKUP($A143,'NonXtal_SegEnds_Prot#'!$A:$AL,22,FALSE)+6,1)</f>
        <v>G</v>
      </c>
      <c r="X143" s="102" t="str">
        <f>MID(VLOOKUP($A143,Seqs!$A:$B,2,FALSE),VLOOKUP($A143,'NonXtal_SegEnds_Prot#'!$A:$AL,22,FALSE)+7,1)</f>
        <v>S</v>
      </c>
      <c r="Y143" s="102" t="str">
        <f>MID(VLOOKUP($A143,Seqs!$A:$B,2,FALSE),VLOOKUP($A143,'NonXtal_SegEnds_Prot#'!$A:$AL,22,FALSE)+8,1)</f>
        <v>I</v>
      </c>
      <c r="Z143" s="102" t="str">
        <f>MID(VLOOKUP($A143,Seqs!$A:$B,2,FALSE),VLOOKUP($A143,'NonXtal_SegEnds_Prot#'!$A:$AL,22,FALSE)+9,1)</f>
        <v>P</v>
      </c>
      <c r="AA143" s="102" t="str">
        <f>MID(VLOOKUP($A143,Seqs!$A:$B,2,FALSE),VLOOKUP($A143,'NonXtal_SegEnds_Prot#'!$A:$AL,22,FALSE)+10,1)</f>
        <v>I</v>
      </c>
      <c r="AB143" s="71" t="str">
        <f>MID(VLOOKUP($A143,Seqs!$A:$B,2,FALSE),VLOOKUP($A143,'NonXtal_SegEnds_Prot#'!$A:$AL,28,FALSE)-4,1)</f>
        <v>G</v>
      </c>
      <c r="AC143" s="102" t="str">
        <f>MID(VLOOKUP($A143,Seqs!$A:$B,2,FALSE),VLOOKUP($A143,'NonXtal_SegEnds_Prot#'!$A:$AL,28,FALSE),1)</f>
        <v>P</v>
      </c>
    </row>
    <row r="144" spans="1:29" s="2" customFormat="1" x14ac:dyDescent="0.2">
      <c r="A144" s="2" t="s">
        <v>456</v>
      </c>
      <c r="B144" s="2" t="str">
        <f>LOWER(VLOOKUP(A144,Xtal_Templ!A:B,2,FALSE))</f>
        <v>s1pr1_human</v>
      </c>
      <c r="C144" s="2" t="str">
        <f>VLOOKUP(A144,Classification!A:D,2,FALSE)</f>
        <v>A</v>
      </c>
      <c r="P144" s="4" t="s">
        <v>51</v>
      </c>
      <c r="R144" s="71" t="str">
        <f>MID(VLOOKUP($A144,Seqs!$A:$B,2,FALSE),VLOOKUP($A144,'NonXtal_SegEnds_Prot#'!A:AL,10,FALSE),1)</f>
        <v>D</v>
      </c>
      <c r="S144" s="102" t="str">
        <f>MID(VLOOKUP($A144,Seqs!$A:$B,2,FALSE),VLOOKUP($A144,'NonXtal_SegEnds_Prot#'!A:AL,10,FALSE)+6,1)</f>
        <v>G</v>
      </c>
      <c r="T144" s="102" t="str">
        <f>MID(VLOOKUP($A144,Seqs!$A:$B,2,FALSE),VLOOKUP($A144,'NonXtal_SegEnds_Prot#'!A:AL,10,FALSE)+7,1)</f>
        <v>L</v>
      </c>
      <c r="U144" s="102" t="str">
        <f>MID(VLOOKUP($A144,Seqs!$A:$B,2,FALSE),VLOOKUP($A144,'NonXtal_SegEnds_Prot#'!A:AL,10,FALSE)+8,1)</f>
        <v>I</v>
      </c>
      <c r="V144" s="102" t="str">
        <f>MID(VLOOKUP($A144,Seqs!$A:$B,2,FALSE),VLOOKUP($A144,'NonXtal_SegEnds_Prot#'!A:AL,10,FALSE)+9,1)</f>
        <v>L</v>
      </c>
      <c r="W144" s="71" t="str">
        <f>MID(VLOOKUP($A144,Seqs!$A:$B,2,FALSE),VLOOKUP($A144,'NonXtal_SegEnds_Prot#'!$A:$AL,22,FALSE)+6,1)</f>
        <v>L</v>
      </c>
      <c r="X144" s="102" t="str">
        <f>MID(VLOOKUP($A144,Seqs!$A:$B,2,FALSE),VLOOKUP($A144,'NonXtal_SegEnds_Prot#'!$A:$AL,22,FALSE)+7,1)</f>
        <v>G</v>
      </c>
      <c r="Y144" s="102" t="str">
        <f>MID(VLOOKUP($A144,Seqs!$A:$B,2,FALSE),VLOOKUP($A144,'NonXtal_SegEnds_Prot#'!$A:$AL,22,FALSE)+8,1)</f>
        <v>L</v>
      </c>
      <c r="Z144" s="102" t="str">
        <f>MID(VLOOKUP($A144,Seqs!$A:$B,2,FALSE),VLOOKUP($A144,'NonXtal_SegEnds_Prot#'!$A:$AL,22,FALSE)+9,1)</f>
        <v>L</v>
      </c>
      <c r="AA144" s="102" t="str">
        <f>MID(VLOOKUP($A144,Seqs!$A:$B,2,FALSE),VLOOKUP($A144,'NonXtal_SegEnds_Prot#'!$A:$AL,22,FALSE)+10,1)</f>
        <v>P</v>
      </c>
      <c r="AB144" s="71" t="str">
        <f>MID(VLOOKUP($A144,Seqs!$A:$B,2,FALSE),VLOOKUP($A144,'NonXtal_SegEnds_Prot#'!$A:$AL,28,FALSE)-4,1)</f>
        <v>A</v>
      </c>
      <c r="AC144" s="102" t="str">
        <f>MID(VLOOKUP($A144,Seqs!$A:$B,2,FALSE),VLOOKUP($A144,'NonXtal_SegEnds_Prot#'!$A:$AL,28,FALSE),1)</f>
        <v>V</v>
      </c>
    </row>
    <row r="145" spans="1:29" s="2" customFormat="1" x14ac:dyDescent="0.2">
      <c r="A145" s="2" t="s">
        <v>457</v>
      </c>
      <c r="B145" s="2" t="str">
        <f>LOWER(VLOOKUP(A145,Xtal_Templ!A:B,2,FALSE))</f>
        <v>drd3_human</v>
      </c>
      <c r="C145" s="2" t="str">
        <f>VLOOKUP(A145,Classification!A:D,2,FALSE)</f>
        <v>A</v>
      </c>
      <c r="E145" s="2" t="s">
        <v>20</v>
      </c>
      <c r="N145" s="2" t="s">
        <v>43</v>
      </c>
      <c r="P145" s="4" t="s">
        <v>51</v>
      </c>
      <c r="R145" s="71" t="str">
        <f>MID(VLOOKUP($A145,Seqs!$A:$B,2,FALSE),VLOOKUP($A145,'NonXtal_SegEnds_Prot#'!A:AL,10,FALSE),1)</f>
        <v>D</v>
      </c>
      <c r="S145" s="102" t="str">
        <f>MID(VLOOKUP($A145,Seqs!$A:$B,2,FALSE),VLOOKUP($A145,'NonXtal_SegEnds_Prot#'!A:AL,10,FALSE)+6,1)</f>
        <v>T</v>
      </c>
      <c r="T145" s="102" t="str">
        <f>MID(VLOOKUP($A145,Seqs!$A:$B,2,FALSE),VLOOKUP($A145,'NonXtal_SegEnds_Prot#'!A:AL,10,FALSE)+7,1)</f>
        <v>L</v>
      </c>
      <c r="U145" s="102" t="str">
        <f>MID(VLOOKUP($A145,Seqs!$A:$B,2,FALSE),VLOOKUP($A145,'NonXtal_SegEnds_Prot#'!A:AL,10,FALSE)+8,1)</f>
        <v>M</v>
      </c>
      <c r="V145" s="102" t="str">
        <f>MID(VLOOKUP($A145,Seqs!$A:$B,2,FALSE),VLOOKUP($A145,'NonXtal_SegEnds_Prot#'!A:AL,10,FALSE)+9,1)</f>
        <v>P</v>
      </c>
      <c r="W145" s="71" t="str">
        <f>MID(VLOOKUP($A145,Seqs!$A:$B,2,FALSE),VLOOKUP($A145,'NonXtal_SegEnds_Prot#'!$A:$AL,22,FALSE)+6,1)</f>
        <v>M</v>
      </c>
      <c r="X145" s="102" t="str">
        <f>MID(VLOOKUP($A145,Seqs!$A:$B,2,FALSE),VLOOKUP($A145,'NonXtal_SegEnds_Prot#'!$A:$AL,22,FALSE)+7,1)</f>
        <v>A</v>
      </c>
      <c r="Y145" s="102" t="str">
        <f>MID(VLOOKUP($A145,Seqs!$A:$B,2,FALSE),VLOOKUP($A145,'NonXtal_SegEnds_Prot#'!$A:$AL,22,FALSE)+8,1)</f>
        <v>S</v>
      </c>
      <c r="Z145" s="102" t="str">
        <f>MID(VLOOKUP($A145,Seqs!$A:$B,2,FALSE),VLOOKUP($A145,'NonXtal_SegEnds_Prot#'!$A:$AL,22,FALSE)+9,1)</f>
        <v>V</v>
      </c>
      <c r="AA145" s="102" t="str">
        <f>MID(VLOOKUP($A145,Seqs!$A:$B,2,FALSE),VLOOKUP($A145,'NonXtal_SegEnds_Prot#'!$A:$AL,22,FALSE)+10,1)</f>
        <v>P</v>
      </c>
      <c r="AB145" s="71" t="str">
        <f>MID(VLOOKUP($A145,Seqs!$A:$B,2,FALSE),VLOOKUP($A145,'NonXtal_SegEnds_Prot#'!$A:$AL,28,FALSE)-4,1)</f>
        <v>Y</v>
      </c>
      <c r="AC145" s="102" t="str">
        <f>MID(VLOOKUP($A145,Seqs!$A:$B,2,FALSE),VLOOKUP($A145,'NonXtal_SegEnds_Prot#'!$A:$AL,28,FALSE),1)</f>
        <v>P</v>
      </c>
    </row>
    <row r="146" spans="1:29" s="2" customFormat="1" x14ac:dyDescent="0.2">
      <c r="A146" s="2" t="s">
        <v>458</v>
      </c>
      <c r="B146" s="2" t="str">
        <f>LOWER(VLOOKUP(A146,Xtal_Templ!A:B,2,FALSE))</f>
        <v>drd3_human</v>
      </c>
      <c r="C146" s="2" t="str">
        <f>VLOOKUP(A146,Classification!A:D,2,FALSE)</f>
        <v>A</v>
      </c>
      <c r="E146" s="2" t="s">
        <v>20</v>
      </c>
      <c r="N146" s="2" t="s">
        <v>43</v>
      </c>
      <c r="P146" s="4" t="s">
        <v>51</v>
      </c>
      <c r="R146" s="71" t="str">
        <f>MID(VLOOKUP($A146,Seqs!$A:$B,2,FALSE),VLOOKUP($A146,'NonXtal_SegEnds_Prot#'!A:AL,10,FALSE),1)</f>
        <v>D</v>
      </c>
      <c r="S146" s="102" t="str">
        <f>MID(VLOOKUP($A146,Seqs!$A:$B,2,FALSE),VLOOKUP($A146,'NonXtal_SegEnds_Prot#'!A:AL,10,FALSE)+6,1)</f>
        <v>S</v>
      </c>
      <c r="T146" s="102" t="str">
        <f>MID(VLOOKUP($A146,Seqs!$A:$B,2,FALSE),VLOOKUP($A146,'NonXtal_SegEnds_Prot#'!A:AL,10,FALSE)+7,1)</f>
        <v>I</v>
      </c>
      <c r="U146" s="102" t="str">
        <f>MID(VLOOKUP($A146,Seqs!$A:$B,2,FALSE),VLOOKUP($A146,'NonXtal_SegEnds_Prot#'!A:AL,10,FALSE)+8,1)</f>
        <v>M</v>
      </c>
      <c r="V146" s="102" t="str">
        <f>MID(VLOOKUP($A146,Seqs!$A:$B,2,FALSE),VLOOKUP($A146,'NonXtal_SegEnds_Prot#'!A:AL,10,FALSE)+9,1)</f>
        <v>P</v>
      </c>
      <c r="W146" s="71" t="str">
        <f>MID(VLOOKUP($A146,Seqs!$A:$B,2,FALSE),VLOOKUP($A146,'NonXtal_SegEnds_Prot#'!$A:$AL,22,FALSE)+6,1)</f>
        <v>L</v>
      </c>
      <c r="X146" s="102" t="str">
        <f>MID(VLOOKUP($A146,Seqs!$A:$B,2,FALSE),VLOOKUP($A146,'NonXtal_SegEnds_Prot#'!$A:$AL,22,FALSE)+7,1)</f>
        <v>G</v>
      </c>
      <c r="Y146" s="102" t="str">
        <f>MID(VLOOKUP($A146,Seqs!$A:$B,2,FALSE),VLOOKUP($A146,'NonXtal_SegEnds_Prot#'!$A:$AL,22,FALSE)+8,1)</f>
        <v>A</v>
      </c>
      <c r="Z146" s="102" t="str">
        <f>MID(VLOOKUP($A146,Seqs!$A:$B,2,FALSE),VLOOKUP($A146,'NonXtal_SegEnds_Prot#'!$A:$AL,22,FALSE)+9,1)</f>
        <v>L</v>
      </c>
      <c r="AA146" s="102" t="str">
        <f>MID(VLOOKUP($A146,Seqs!$A:$B,2,FALSE),VLOOKUP($A146,'NonXtal_SegEnds_Prot#'!$A:$AL,22,FALSE)+10,1)</f>
        <v>S</v>
      </c>
      <c r="AB146" s="71" t="str">
        <f>MID(VLOOKUP($A146,Seqs!$A:$B,2,FALSE),VLOOKUP($A146,'NonXtal_SegEnds_Prot#'!$A:$AL,28,FALSE)-4,1)</f>
        <v>A</v>
      </c>
      <c r="AC146" s="102" t="str">
        <f>MID(VLOOKUP($A146,Seqs!$A:$B,2,FALSE),VLOOKUP($A146,'NonXtal_SegEnds_Prot#'!$A:$AL,28,FALSE),1)</f>
        <v>P</v>
      </c>
    </row>
    <row r="147" spans="1:29" s="2" customFormat="1" x14ac:dyDescent="0.2">
      <c r="A147" s="2" t="s">
        <v>459</v>
      </c>
      <c r="B147" s="2" t="str">
        <f>LOWER(VLOOKUP(A147,Xtal_Templ!A:B,2,FALSE))</f>
        <v>5ht1b_human</v>
      </c>
      <c r="C147" s="2" t="str">
        <f>VLOOKUP(A147,Classification!A:D,2,FALSE)</f>
        <v>A</v>
      </c>
      <c r="E147" s="2" t="s">
        <v>20</v>
      </c>
      <c r="K147" s="2" t="s">
        <v>59</v>
      </c>
      <c r="N147" s="2" t="s">
        <v>43</v>
      </c>
      <c r="P147" s="4" t="s">
        <v>51</v>
      </c>
      <c r="R147" s="71" t="str">
        <f>MID(VLOOKUP($A147,Seqs!$A:$B,2,FALSE),VLOOKUP($A147,'NonXtal_SegEnds_Prot#'!A:AL,10,FALSE),1)</f>
        <v>D</v>
      </c>
      <c r="S147" s="102" t="str">
        <f>MID(VLOOKUP($A147,Seqs!$A:$B,2,FALSE),VLOOKUP($A147,'NonXtal_SegEnds_Prot#'!A:AL,10,FALSE)+6,1)</f>
        <v>L</v>
      </c>
      <c r="T147" s="102" t="str">
        <f>MID(VLOOKUP($A147,Seqs!$A:$B,2,FALSE),VLOOKUP($A147,'NonXtal_SegEnds_Prot#'!A:AL,10,FALSE)+7,1)</f>
        <v>N</v>
      </c>
      <c r="U147" s="102" t="str">
        <f>MID(VLOOKUP($A147,Seqs!$A:$B,2,FALSE),VLOOKUP($A147,'NonXtal_SegEnds_Prot#'!A:AL,10,FALSE)+8,1)</f>
        <v>M</v>
      </c>
      <c r="V147" s="102" t="str">
        <f>MID(VLOOKUP($A147,Seqs!$A:$B,2,FALSE),VLOOKUP($A147,'NonXtal_SegEnds_Prot#'!A:AL,10,FALSE)+9,1)</f>
        <v>P</v>
      </c>
      <c r="W147" s="71" t="str">
        <f>MID(VLOOKUP($A147,Seqs!$A:$B,2,FALSE),VLOOKUP($A147,'NonXtal_SegEnds_Prot#'!$A:$AL,22,FALSE)+6,1)</f>
        <v>V</v>
      </c>
      <c r="X147" s="102" t="str">
        <f>MID(VLOOKUP($A147,Seqs!$A:$B,2,FALSE),VLOOKUP($A147,'NonXtal_SegEnds_Prot#'!$A:$AL,22,FALSE)+7,1)</f>
        <v>A</v>
      </c>
      <c r="Y147" s="102" t="str">
        <f>MID(VLOOKUP($A147,Seqs!$A:$B,2,FALSE),VLOOKUP($A147,'NonXtal_SegEnds_Prot#'!$A:$AL,22,FALSE)+8,1)</f>
        <v>F</v>
      </c>
      <c r="Z147" s="102" t="str">
        <f>MID(VLOOKUP($A147,Seqs!$A:$B,2,FALSE),VLOOKUP($A147,'NonXtal_SegEnds_Prot#'!$A:$AL,22,FALSE)+9,1)</f>
        <v>P</v>
      </c>
      <c r="AA147" s="102" t="str">
        <f>MID(VLOOKUP($A147,Seqs!$A:$B,2,FALSE),VLOOKUP($A147,'NonXtal_SegEnds_Prot#'!$A:$AL,22,FALSE)+10,1)</f>
        <v>L</v>
      </c>
      <c r="AB147" s="71" t="str">
        <f>MID(VLOOKUP($A147,Seqs!$A:$B,2,FALSE),VLOOKUP($A147,'NonXtal_SegEnds_Prot#'!$A:$AL,28,FALSE)-4,1)</f>
        <v>S</v>
      </c>
      <c r="AC147" s="102" t="str">
        <f>MID(VLOOKUP($A147,Seqs!$A:$B,2,FALSE),VLOOKUP($A147,'NonXtal_SegEnds_Prot#'!$A:$AL,28,FALSE),1)</f>
        <v>P</v>
      </c>
    </row>
    <row r="148" spans="1:29" s="2" customFormat="1" x14ac:dyDescent="0.2">
      <c r="A148" s="2" t="s">
        <v>460</v>
      </c>
      <c r="B148" s="2" t="str">
        <f>LOWER(VLOOKUP(A148,Xtal_Templ!A:B,2,FALSE))</f>
        <v>drd3_human</v>
      </c>
      <c r="C148" s="2" t="str">
        <f>VLOOKUP(A148,Classification!A:D,2,FALSE)</f>
        <v>A</v>
      </c>
      <c r="E148" s="2" t="s">
        <v>20</v>
      </c>
      <c r="P148" s="4" t="s">
        <v>51</v>
      </c>
      <c r="R148" s="71" t="str">
        <f>MID(VLOOKUP($A148,Seqs!$A:$B,2,FALSE),VLOOKUP($A148,'NonXtal_SegEnds_Prot#'!A:AL,10,FALSE),1)</f>
        <v>D</v>
      </c>
      <c r="S148" s="102" t="str">
        <f>MID(VLOOKUP($A148,Seqs!$A:$B,2,FALSE),VLOOKUP($A148,'NonXtal_SegEnds_Prot#'!A:AL,10,FALSE)+6,1)</f>
        <v>V</v>
      </c>
      <c r="T148" s="102" t="str">
        <f>MID(VLOOKUP($A148,Seqs!$A:$B,2,FALSE),VLOOKUP($A148,'NonXtal_SegEnds_Prot#'!A:AL,10,FALSE)+7,1)</f>
        <v>T</v>
      </c>
      <c r="U148" s="102" t="str">
        <f>MID(VLOOKUP($A148,Seqs!$A:$B,2,FALSE),VLOOKUP($A148,'NonXtal_SegEnds_Prot#'!A:AL,10,FALSE)+8,1)</f>
        <v>A</v>
      </c>
      <c r="V148" s="102" t="str">
        <f>MID(VLOOKUP($A148,Seqs!$A:$B,2,FALSE),VLOOKUP($A148,'NonXtal_SegEnds_Prot#'!A:AL,10,FALSE)+9,1)</f>
        <v>P</v>
      </c>
      <c r="W148" s="71" t="str">
        <f>MID(VLOOKUP($A148,Seqs!$A:$B,2,FALSE),VLOOKUP($A148,'NonXtal_SegEnds_Prot#'!$A:$AL,22,FALSE)+6,1)</f>
        <v>L</v>
      </c>
      <c r="X148" s="102" t="str">
        <f>MID(VLOOKUP($A148,Seqs!$A:$B,2,FALSE),VLOOKUP($A148,'NonXtal_SegEnds_Prot#'!$A:$AL,22,FALSE)+7,1)</f>
        <v>A</v>
      </c>
      <c r="Y148" s="102" t="str">
        <f>MID(VLOOKUP($A148,Seqs!$A:$B,2,FALSE),VLOOKUP($A148,'NonXtal_SegEnds_Prot#'!$A:$AL,22,FALSE)+8,1)</f>
        <v>T</v>
      </c>
      <c r="Z148" s="102" t="str">
        <f>MID(VLOOKUP($A148,Seqs!$A:$B,2,FALSE),VLOOKUP($A148,'NonXtal_SegEnds_Prot#'!$A:$AL,22,FALSE)+9,1)</f>
        <v>L</v>
      </c>
      <c r="AA148" s="102" t="str">
        <f>MID(VLOOKUP($A148,Seqs!$A:$B,2,FALSE),VLOOKUP($A148,'NonXtal_SegEnds_Prot#'!$A:$AL,22,FALSE)+10,1)</f>
        <v>A</v>
      </c>
      <c r="AB148" s="71" t="str">
        <f>MID(VLOOKUP($A148,Seqs!$A:$B,2,FALSE),VLOOKUP($A148,'NonXtal_SegEnds_Prot#'!$A:$AL,28,FALSE)-4,1)</f>
        <v>D</v>
      </c>
      <c r="AC148" s="102" t="str">
        <f>MID(VLOOKUP($A148,Seqs!$A:$B,2,FALSE),VLOOKUP($A148,'NonXtal_SegEnds_Prot#'!$A:$AL,28,FALSE),1)</f>
        <v>C</v>
      </c>
    </row>
    <row r="149" spans="1:29" s="2" customFormat="1" x14ac:dyDescent="0.2">
      <c r="A149" s="2" t="s">
        <v>461</v>
      </c>
      <c r="B149" s="2" t="str">
        <f>LOWER(VLOOKUP(A149,Xtal_Templ!A:B,2,FALSE))</f>
        <v>ox1r_human</v>
      </c>
      <c r="C149" s="2" t="str">
        <f>VLOOKUP(A149,Classification!A:D,2,FALSE)</f>
        <v>A</v>
      </c>
      <c r="E149" s="2" t="s">
        <v>20</v>
      </c>
      <c r="N149" s="2" t="s">
        <v>43</v>
      </c>
      <c r="P149" s="4" t="s">
        <v>51</v>
      </c>
      <c r="R149" s="71" t="str">
        <f>MID(VLOOKUP($A149,Seqs!$A:$B,2,FALSE),VLOOKUP($A149,'NonXtal_SegEnds_Prot#'!A:AL,10,FALSE),1)</f>
        <v>H</v>
      </c>
      <c r="S149" s="102" t="str">
        <f>MID(VLOOKUP($A149,Seqs!$A:$B,2,FALSE),VLOOKUP($A149,'NonXtal_SegEnds_Prot#'!A:AL,10,FALSE)+6,1)</f>
        <v>L</v>
      </c>
      <c r="T149" s="102" t="str">
        <f>MID(VLOOKUP($A149,Seqs!$A:$B,2,FALSE),VLOOKUP($A149,'NonXtal_SegEnds_Prot#'!A:AL,10,FALSE)+7,1)</f>
        <v>D</v>
      </c>
      <c r="U149" s="102" t="str">
        <f>MID(VLOOKUP($A149,Seqs!$A:$B,2,FALSE),VLOOKUP($A149,'NonXtal_SegEnds_Prot#'!A:AL,10,FALSE)+8,1)</f>
        <v>M</v>
      </c>
      <c r="V149" s="102" t="str">
        <f>MID(VLOOKUP($A149,Seqs!$A:$B,2,FALSE),VLOOKUP($A149,'NonXtal_SegEnds_Prot#'!A:AL,10,FALSE)+9,1)</f>
        <v>P</v>
      </c>
      <c r="W149" s="71" t="str">
        <f>MID(VLOOKUP($A149,Seqs!$A:$B,2,FALSE),VLOOKUP($A149,'NonXtal_SegEnds_Prot#'!$A:$AL,22,FALSE)+6,1)</f>
        <v>F</v>
      </c>
      <c r="X149" s="102" t="str">
        <f>MID(VLOOKUP($A149,Seqs!$A:$B,2,FALSE),VLOOKUP($A149,'NonXtal_SegEnds_Prot#'!$A:$AL,22,FALSE)+7,1)</f>
        <v>S</v>
      </c>
      <c r="Y149" s="102" t="str">
        <f>MID(VLOOKUP($A149,Seqs!$A:$B,2,FALSE),VLOOKUP($A149,'NonXtal_SegEnds_Prot#'!$A:$AL,22,FALSE)+8,1)</f>
        <v>G</v>
      </c>
      <c r="Z149" s="102" t="str">
        <f>MID(VLOOKUP($A149,Seqs!$A:$B,2,FALSE),VLOOKUP($A149,'NonXtal_SegEnds_Prot#'!$A:$AL,22,FALSE)+9,1)</f>
        <v>A</v>
      </c>
      <c r="AA149" s="102" t="str">
        <f>MID(VLOOKUP($A149,Seqs!$A:$B,2,FALSE),VLOOKUP($A149,'NonXtal_SegEnds_Prot#'!$A:$AL,22,FALSE)+10,1)</f>
        <v>A</v>
      </c>
      <c r="AB149" s="71" t="str">
        <f>MID(VLOOKUP($A149,Seqs!$A:$B,2,FALSE),VLOOKUP($A149,'NonXtal_SegEnds_Prot#'!$A:$AL,28,FALSE)-4,1)</f>
        <v>G</v>
      </c>
      <c r="AC149" s="102" t="str">
        <f>MID(VLOOKUP($A149,Seqs!$A:$B,2,FALSE),VLOOKUP($A149,'NonXtal_SegEnds_Prot#'!$A:$AL,28,FALSE),1)</f>
        <v>P</v>
      </c>
    </row>
    <row r="150" spans="1:29" s="2" customFormat="1" x14ac:dyDescent="0.2">
      <c r="A150" s="2" t="s">
        <v>462</v>
      </c>
      <c r="B150" s="2" t="str">
        <f>LOWER(VLOOKUP(A150,Xtal_Templ!A:B,2,FALSE))</f>
        <v>oprd_mouse</v>
      </c>
      <c r="C150" s="2" t="str">
        <f>VLOOKUP(A150,Classification!A:D,2,FALSE)</f>
        <v>A</v>
      </c>
      <c r="K150" s="2" t="s">
        <v>59</v>
      </c>
      <c r="P150" s="4" t="s">
        <v>51</v>
      </c>
      <c r="R150" s="71" t="str">
        <f>MID(VLOOKUP($A150,Seqs!$A:$B,2,FALSE),VLOOKUP($A150,'NonXtal_SegEnds_Prot#'!A:AL,10,FALSE),1)</f>
        <v>N</v>
      </c>
      <c r="S150" s="102" t="str">
        <f>MID(VLOOKUP($A150,Seqs!$A:$B,2,FALSE),VLOOKUP($A150,'NonXtal_SegEnds_Prot#'!A:AL,10,FALSE)+6,1)</f>
        <v>A</v>
      </c>
      <c r="T150" s="102" t="str">
        <f>MID(VLOOKUP($A150,Seqs!$A:$B,2,FALSE),VLOOKUP($A150,'NonXtal_SegEnds_Prot#'!A:AL,10,FALSE)+7,1)</f>
        <v>M</v>
      </c>
      <c r="U150" s="102" t="str">
        <f>MID(VLOOKUP($A150,Seqs!$A:$B,2,FALSE),VLOOKUP($A150,'NonXtal_SegEnds_Prot#'!A:AL,10,FALSE)+8,1)</f>
        <v>P</v>
      </c>
      <c r="V150" s="102" t="str">
        <f>MID(VLOOKUP($A150,Seqs!$A:$B,2,FALSE),VLOOKUP($A150,'NonXtal_SegEnds_Prot#'!A:AL,10,FALSE)+9,1)</f>
        <v>F</v>
      </c>
      <c r="W150" s="71" t="str">
        <f>MID(VLOOKUP($A150,Seqs!$A:$B,2,FALSE),VLOOKUP($A150,'NonXtal_SegEnds_Prot#'!$A:$AL,22,FALSE)+6,1)</f>
        <v>I</v>
      </c>
      <c r="X150" s="102" t="str">
        <f>MID(VLOOKUP($A150,Seqs!$A:$B,2,FALSE),VLOOKUP($A150,'NonXtal_SegEnds_Prot#'!$A:$AL,22,FALSE)+7,1)</f>
        <v>I</v>
      </c>
      <c r="Y150" s="102" t="str">
        <f>MID(VLOOKUP($A150,Seqs!$A:$B,2,FALSE),VLOOKUP($A150,'NonXtal_SegEnds_Prot#'!$A:$AL,22,FALSE)+8,1)</f>
        <v>I</v>
      </c>
      <c r="Z150" s="102" t="str">
        <f>MID(VLOOKUP($A150,Seqs!$A:$B,2,FALSE),VLOOKUP($A150,'NonXtal_SegEnds_Prot#'!$A:$AL,22,FALSE)+9,1)</f>
        <v>P</v>
      </c>
      <c r="AA150" s="102" t="str">
        <f>MID(VLOOKUP($A150,Seqs!$A:$B,2,FALSE),VLOOKUP($A150,'NonXtal_SegEnds_Prot#'!$A:$AL,22,FALSE)+10,1)</f>
        <v>V</v>
      </c>
      <c r="AB150" s="71" t="str">
        <f>MID(VLOOKUP($A150,Seqs!$A:$B,2,FALSE),VLOOKUP($A150,'NonXtal_SegEnds_Prot#'!$A:$AL,28,FALSE)-4,1)</f>
        <v>F</v>
      </c>
      <c r="AC150" s="102" t="str">
        <f>MID(VLOOKUP($A150,Seqs!$A:$B,2,FALSE),VLOOKUP($A150,'NonXtal_SegEnds_Prot#'!$A:$AL,28,FALSE),1)</f>
        <v>S</v>
      </c>
    </row>
    <row r="151" spans="1:29" s="2" customFormat="1" x14ac:dyDescent="0.2">
      <c r="A151" s="2" t="s">
        <v>463</v>
      </c>
      <c r="B151" s="2" t="str">
        <f>LOWER(VLOOKUP(A151,Xtal_Templ!A:B,2,FALSE))</f>
        <v>ox2r_human</v>
      </c>
      <c r="C151" s="2" t="str">
        <f>VLOOKUP(A151,Classification!A:D,2,FALSE)</f>
        <v>A</v>
      </c>
      <c r="E151" s="2" t="s">
        <v>20</v>
      </c>
      <c r="K151" s="2" t="s">
        <v>59</v>
      </c>
      <c r="N151" s="2" t="s">
        <v>43</v>
      </c>
      <c r="P151" s="4" t="s">
        <v>51</v>
      </c>
      <c r="R151" s="71" t="str">
        <f>MID(VLOOKUP($A151,Seqs!$A:$B,2,FALSE),VLOOKUP($A151,'NonXtal_SegEnds_Prot#'!A:AL,10,FALSE),1)</f>
        <v>D</v>
      </c>
      <c r="S151" s="102" t="str">
        <f>MID(VLOOKUP($A151,Seqs!$A:$B,2,FALSE),VLOOKUP($A151,'NonXtal_SegEnds_Prot#'!A:AL,10,FALSE)+6,1)</f>
        <v>L</v>
      </c>
      <c r="T151" s="102" t="str">
        <f>MID(VLOOKUP($A151,Seqs!$A:$B,2,FALSE),VLOOKUP($A151,'NonXtal_SegEnds_Prot#'!A:AL,10,FALSE)+7,1)</f>
        <v>N</v>
      </c>
      <c r="U151" s="102" t="str">
        <f>MID(VLOOKUP($A151,Seqs!$A:$B,2,FALSE),VLOOKUP($A151,'NonXtal_SegEnds_Prot#'!A:AL,10,FALSE)+8,1)</f>
        <v>T</v>
      </c>
      <c r="V151" s="102" t="str">
        <f>MID(VLOOKUP($A151,Seqs!$A:$B,2,FALSE),VLOOKUP($A151,'NonXtal_SegEnds_Prot#'!A:AL,10,FALSE)+9,1)</f>
        <v>P</v>
      </c>
      <c r="W151" s="71" t="str">
        <f>MID(VLOOKUP($A151,Seqs!$A:$B,2,FALSE),VLOOKUP($A151,'NonXtal_SegEnds_Prot#'!$A:$AL,22,FALSE)+6,1)</f>
        <v>F</v>
      </c>
      <c r="X151" s="102" t="str">
        <f>MID(VLOOKUP($A151,Seqs!$A:$B,2,FALSE),VLOOKUP($A151,'NonXtal_SegEnds_Prot#'!$A:$AL,22,FALSE)+7,1)</f>
        <v>S</v>
      </c>
      <c r="Y151" s="102" t="str">
        <f>MID(VLOOKUP($A151,Seqs!$A:$B,2,FALSE),VLOOKUP($A151,'NonXtal_SegEnds_Prot#'!$A:$AL,22,FALSE)+8,1)</f>
        <v>L</v>
      </c>
      <c r="Z151" s="102" t="str">
        <f>MID(VLOOKUP($A151,Seqs!$A:$B,2,FALSE),VLOOKUP($A151,'NonXtal_SegEnds_Prot#'!$A:$AL,22,FALSE)+9,1)</f>
        <v>P</v>
      </c>
      <c r="AA151" s="102" t="str">
        <f>MID(VLOOKUP($A151,Seqs!$A:$B,2,FALSE),VLOOKUP($A151,'NonXtal_SegEnds_Prot#'!$A:$AL,22,FALSE)+10,1)</f>
        <v>H</v>
      </c>
      <c r="AB151" s="71" t="str">
        <f>MID(VLOOKUP($A151,Seqs!$A:$B,2,FALSE),VLOOKUP($A151,'NonXtal_SegEnds_Prot#'!$A:$AL,28,FALSE)-4,1)</f>
        <v>L</v>
      </c>
      <c r="AC151" s="102" t="str">
        <f>MID(VLOOKUP($A151,Seqs!$A:$B,2,FALSE),VLOOKUP($A151,'NonXtal_SegEnds_Prot#'!$A:$AL,28,FALSE),1)</f>
        <v>P</v>
      </c>
    </row>
    <row r="152" spans="1:29" s="2" customFormat="1" x14ac:dyDescent="0.2">
      <c r="A152" s="2" t="s">
        <v>464</v>
      </c>
      <c r="B152" s="2" t="str">
        <f>LOWER(VLOOKUP(A152,Xtal_Templ!A:B,2,FALSE))</f>
        <v>ox1r_human</v>
      </c>
      <c r="C152" s="2" t="str">
        <f>VLOOKUP(A152,Classification!A:D,2,FALSE)</f>
        <v>A</v>
      </c>
      <c r="E152" s="2" t="s">
        <v>20</v>
      </c>
      <c r="K152" s="2" t="s">
        <v>59</v>
      </c>
      <c r="N152" s="2" t="s">
        <v>43</v>
      </c>
      <c r="P152" s="4" t="s">
        <v>51</v>
      </c>
      <c r="R152" s="71" t="str">
        <f>MID(VLOOKUP($A152,Seqs!$A:$B,2,FALSE),VLOOKUP($A152,'NonXtal_SegEnds_Prot#'!A:AL,10,FALSE),1)</f>
        <v>D</v>
      </c>
      <c r="S152" s="102" t="str">
        <f>MID(VLOOKUP($A152,Seqs!$A:$B,2,FALSE),VLOOKUP($A152,'NonXtal_SegEnds_Prot#'!A:AL,10,FALSE)+6,1)</f>
        <v>L</v>
      </c>
      <c r="T152" s="102" t="str">
        <f>MID(VLOOKUP($A152,Seqs!$A:$B,2,FALSE),VLOOKUP($A152,'NonXtal_SegEnds_Prot#'!A:AL,10,FALSE)+7,1)</f>
        <v>L</v>
      </c>
      <c r="U152" s="102" t="str">
        <f>MID(VLOOKUP($A152,Seqs!$A:$B,2,FALSE),VLOOKUP($A152,'NonXtal_SegEnds_Prot#'!A:AL,10,FALSE)+8,1)</f>
        <v>Q</v>
      </c>
      <c r="V152" s="102" t="str">
        <f>MID(VLOOKUP($A152,Seqs!$A:$B,2,FALSE),VLOOKUP($A152,'NonXtal_SegEnds_Prot#'!A:AL,10,FALSE)+9,1)</f>
        <v>P</v>
      </c>
      <c r="W152" s="71" t="str">
        <f>MID(VLOOKUP($A152,Seqs!$A:$B,2,FALSE),VLOOKUP($A152,'NonXtal_SegEnds_Prot#'!$A:$AL,22,FALSE)+6,1)</f>
        <v>S</v>
      </c>
      <c r="X152" s="102" t="str">
        <f>MID(VLOOKUP($A152,Seqs!$A:$B,2,FALSE),VLOOKUP($A152,'NonXtal_SegEnds_Prot#'!$A:$AL,22,FALSE)+7,1)</f>
        <v>F</v>
      </c>
      <c r="Y152" s="102" t="str">
        <f>MID(VLOOKUP($A152,Seqs!$A:$B,2,FALSE),VLOOKUP($A152,'NonXtal_SegEnds_Prot#'!$A:$AL,22,FALSE)+8,1)</f>
        <v>A</v>
      </c>
      <c r="Z152" s="102" t="str">
        <f>MID(VLOOKUP($A152,Seqs!$A:$B,2,FALSE),VLOOKUP($A152,'NonXtal_SegEnds_Prot#'!$A:$AL,22,FALSE)+9,1)</f>
        <v>P</v>
      </c>
      <c r="AA152" s="102" t="str">
        <f>MID(VLOOKUP($A152,Seqs!$A:$B,2,FALSE),VLOOKUP($A152,'NonXtal_SegEnds_Prot#'!$A:$AL,22,FALSE)+10,1)</f>
        <v>L</v>
      </c>
      <c r="AB152" s="71" t="str">
        <f>MID(VLOOKUP($A152,Seqs!$A:$B,2,FALSE),VLOOKUP($A152,'NonXtal_SegEnds_Prot#'!$A:$AL,28,FALSE)-4,1)</f>
        <v>D</v>
      </c>
      <c r="AC152" s="102" t="str">
        <f>MID(VLOOKUP($A152,Seqs!$A:$B,2,FALSE),VLOOKUP($A152,'NonXtal_SegEnds_Prot#'!$A:$AL,28,FALSE),1)</f>
        <v>P</v>
      </c>
    </row>
    <row r="153" spans="1:29" s="2" customFormat="1" x14ac:dyDescent="0.2">
      <c r="A153" s="2" t="s">
        <v>465</v>
      </c>
      <c r="B153" s="2" t="str">
        <f>LOWER(VLOOKUP(A153,Xtal_Templ!A:B,2,FALSE))</f>
        <v>5ht2b_human</v>
      </c>
      <c r="C153" s="2" t="str">
        <f>VLOOKUP(A153,Classification!A:D,2,FALSE)</f>
        <v>A</v>
      </c>
      <c r="E153" s="2" t="s">
        <v>20</v>
      </c>
      <c r="N153" s="2" t="s">
        <v>43</v>
      </c>
      <c r="P153" s="4" t="s">
        <v>51</v>
      </c>
      <c r="R153" s="71" t="str">
        <f>MID(VLOOKUP($A153,Seqs!$A:$B,2,FALSE),VLOOKUP($A153,'NonXtal_SegEnds_Prot#'!A:AL,10,FALSE),1)</f>
        <v>D</v>
      </c>
      <c r="S153" s="102" t="str">
        <f>MID(VLOOKUP($A153,Seqs!$A:$B,2,FALSE),VLOOKUP($A153,'NonXtal_SegEnds_Prot#'!A:AL,10,FALSE)+6,1)</f>
        <v>I</v>
      </c>
      <c r="T153" s="102" t="str">
        <f>MID(VLOOKUP($A153,Seqs!$A:$B,2,FALSE),VLOOKUP($A153,'NonXtal_SegEnds_Prot#'!A:AL,10,FALSE)+7,1)</f>
        <v>C</v>
      </c>
      <c r="U153" s="102" t="str">
        <f>MID(VLOOKUP($A153,Seqs!$A:$B,2,FALSE),VLOOKUP($A153,'NonXtal_SegEnds_Prot#'!A:AL,10,FALSE)+8,1)</f>
        <v>F</v>
      </c>
      <c r="V153" s="102" t="str">
        <f>MID(VLOOKUP($A153,Seqs!$A:$B,2,FALSE),VLOOKUP($A153,'NonXtal_SegEnds_Prot#'!A:AL,10,FALSE)+9,1)</f>
        <v>P</v>
      </c>
      <c r="W153" s="71" t="str">
        <f>MID(VLOOKUP($A153,Seqs!$A:$B,2,FALSE),VLOOKUP($A153,'NonXtal_SegEnds_Prot#'!$A:$AL,22,FALSE)+6,1)</f>
        <v>M</v>
      </c>
      <c r="X153" s="102" t="str">
        <f>MID(VLOOKUP($A153,Seqs!$A:$B,2,FALSE),VLOOKUP($A153,'NonXtal_SegEnds_Prot#'!$A:$AL,22,FALSE)+7,1)</f>
        <v>A</v>
      </c>
      <c r="Y153" s="102" t="str">
        <f>MID(VLOOKUP($A153,Seqs!$A:$B,2,FALSE),VLOOKUP($A153,'NonXtal_SegEnds_Prot#'!$A:$AL,22,FALSE)+8,1)</f>
        <v>F</v>
      </c>
      <c r="Z153" s="102" t="str">
        <f>MID(VLOOKUP($A153,Seqs!$A:$B,2,FALSE),VLOOKUP($A153,'NonXtal_SegEnds_Prot#'!$A:$AL,22,FALSE)+9,1)</f>
        <v>P</v>
      </c>
      <c r="AA153" s="102" t="str">
        <f>MID(VLOOKUP($A153,Seqs!$A:$B,2,FALSE),VLOOKUP($A153,'NonXtal_SegEnds_Prot#'!$A:$AL,22,FALSE)+10,1)</f>
        <v>P</v>
      </c>
      <c r="AB153" s="71" t="str">
        <f>MID(VLOOKUP($A153,Seqs!$A:$B,2,FALSE),VLOOKUP($A153,'NonXtal_SegEnds_Prot#'!$A:$AL,28,FALSE)-4,1)</f>
        <v>T</v>
      </c>
      <c r="AC153" s="102" t="str">
        <f>MID(VLOOKUP($A153,Seqs!$A:$B,2,FALSE),VLOOKUP($A153,'NonXtal_SegEnds_Prot#'!$A:$AL,28,FALSE),1)</f>
        <v>P</v>
      </c>
    </row>
    <row r="154" spans="1:29" s="2" customFormat="1" x14ac:dyDescent="0.2">
      <c r="A154" s="2" t="s">
        <v>466</v>
      </c>
      <c r="B154" s="2" t="str">
        <f>LOWER(VLOOKUP(A154,Xtal_Templ!A:B,2,FALSE))</f>
        <v>p2y12_human</v>
      </c>
      <c r="C154" s="2" t="str">
        <f>VLOOKUP(A154,Classification!A:D,2,FALSE)</f>
        <v>A</v>
      </c>
      <c r="K154" s="2" t="s">
        <v>59</v>
      </c>
      <c r="P154" s="4" t="s">
        <v>51</v>
      </c>
      <c r="R154" s="71" t="str">
        <f>MID(VLOOKUP($A154,Seqs!$A:$B,2,FALSE),VLOOKUP($A154,'NonXtal_SegEnds_Prot#'!A:AL,10,FALSE),1)</f>
        <v>D</v>
      </c>
      <c r="S154" s="102" t="str">
        <f>MID(VLOOKUP($A154,Seqs!$A:$B,2,FALSE),VLOOKUP($A154,'NonXtal_SegEnds_Prot#'!A:AL,10,FALSE)+6,1)</f>
        <v>T</v>
      </c>
      <c r="T154" s="102" t="str">
        <f>MID(VLOOKUP($A154,Seqs!$A:$B,2,FALSE),VLOOKUP($A154,'NonXtal_SegEnds_Prot#'!A:AL,10,FALSE)+7,1)</f>
        <v>F</v>
      </c>
      <c r="U154" s="102" t="str">
        <f>MID(VLOOKUP($A154,Seqs!$A:$B,2,FALSE),VLOOKUP($A154,'NonXtal_SegEnds_Prot#'!A:AL,10,FALSE)+8,1)</f>
        <v>P</v>
      </c>
      <c r="V154" s="102" t="str">
        <f>MID(VLOOKUP($A154,Seqs!$A:$B,2,FALSE),VLOOKUP($A154,'NonXtal_SegEnds_Prot#'!A:AL,10,FALSE)+9,1)</f>
        <v>F</v>
      </c>
      <c r="W154" s="71" t="str">
        <f>MID(VLOOKUP($A154,Seqs!$A:$B,2,FALSE),VLOOKUP($A154,'NonXtal_SegEnds_Prot#'!$A:$AL,22,FALSE)+6,1)</f>
        <v>L</v>
      </c>
      <c r="X154" s="102" t="str">
        <f>MID(VLOOKUP($A154,Seqs!$A:$B,2,FALSE),VLOOKUP($A154,'NonXtal_SegEnds_Prot#'!$A:$AL,22,FALSE)+7,1)</f>
        <v>S</v>
      </c>
      <c r="Y154" s="102" t="str">
        <f>MID(VLOOKUP($A154,Seqs!$A:$B,2,FALSE),VLOOKUP($A154,'NonXtal_SegEnds_Prot#'!$A:$AL,22,FALSE)+8,1)</f>
        <v>L</v>
      </c>
      <c r="Z154" s="102" t="str">
        <f>MID(VLOOKUP($A154,Seqs!$A:$B,2,FALSE),VLOOKUP($A154,'NonXtal_SegEnds_Prot#'!$A:$AL,22,FALSE)+9,1)</f>
        <v>P</v>
      </c>
      <c r="AA154" s="102" t="str">
        <f>MID(VLOOKUP($A154,Seqs!$A:$B,2,FALSE),VLOOKUP($A154,'NonXtal_SegEnds_Prot#'!$A:$AL,22,FALSE)+10,1)</f>
        <v>N</v>
      </c>
      <c r="AB154" s="71" t="str">
        <f>MID(VLOOKUP($A154,Seqs!$A:$B,2,FALSE),VLOOKUP($A154,'NonXtal_SegEnds_Prot#'!$A:$AL,28,FALSE)-4,1)</f>
        <v>L</v>
      </c>
      <c r="AC154" s="102" t="str">
        <f>MID(VLOOKUP($A154,Seqs!$A:$B,2,FALSE),VLOOKUP($A154,'NonXtal_SegEnds_Prot#'!$A:$AL,28,FALSE),1)</f>
        <v>V</v>
      </c>
    </row>
    <row r="155" spans="1:29" s="2" customFormat="1" x14ac:dyDescent="0.2">
      <c r="A155" s="2" t="s">
        <v>467</v>
      </c>
      <c r="B155" s="2" t="str">
        <f>LOWER(VLOOKUP(A155,Xtal_Templ!A:B,2,FALSE))</f>
        <v>drd3_human</v>
      </c>
      <c r="C155" s="2" t="str">
        <f>VLOOKUP(A155,Classification!A:D,2,FALSE)</f>
        <v>A</v>
      </c>
      <c r="E155" s="2" t="s">
        <v>20</v>
      </c>
      <c r="N155" s="2" t="s">
        <v>43</v>
      </c>
      <c r="P155" s="4" t="s">
        <v>51</v>
      </c>
      <c r="R155" s="71" t="str">
        <f>MID(VLOOKUP($A155,Seqs!$A:$B,2,FALSE),VLOOKUP($A155,'NonXtal_SegEnds_Prot#'!A:AL,10,FALSE),1)</f>
        <v>D</v>
      </c>
      <c r="S155" s="102" t="str">
        <f>MID(VLOOKUP($A155,Seqs!$A:$B,2,FALSE),VLOOKUP($A155,'NonXtal_SegEnds_Prot#'!A:AL,10,FALSE)+6,1)</f>
        <v>L</v>
      </c>
      <c r="T155" s="102" t="str">
        <f>MID(VLOOKUP($A155,Seqs!$A:$B,2,FALSE),VLOOKUP($A155,'NonXtal_SegEnds_Prot#'!A:AL,10,FALSE)+7,1)</f>
        <v>W</v>
      </c>
      <c r="U155" s="102" t="str">
        <f>MID(VLOOKUP($A155,Seqs!$A:$B,2,FALSE),VLOOKUP($A155,'NonXtal_SegEnds_Prot#'!A:AL,10,FALSE)+8,1)</f>
        <v>M</v>
      </c>
      <c r="V155" s="102" t="str">
        <f>MID(VLOOKUP($A155,Seqs!$A:$B,2,FALSE),VLOOKUP($A155,'NonXtal_SegEnds_Prot#'!A:AL,10,FALSE)+9,1)</f>
        <v>P</v>
      </c>
      <c r="W155" s="71" t="str">
        <f>MID(VLOOKUP($A155,Seqs!$A:$B,2,FALSE),VLOOKUP($A155,'NonXtal_SegEnds_Prot#'!$A:$AL,22,FALSE)+6,1)</f>
        <v>L</v>
      </c>
      <c r="X155" s="102" t="str">
        <f>MID(VLOOKUP($A155,Seqs!$A:$B,2,FALSE),VLOOKUP($A155,'NonXtal_SegEnds_Prot#'!$A:$AL,22,FALSE)+7,1)</f>
        <v>V</v>
      </c>
      <c r="Y155" s="102" t="str">
        <f>MID(VLOOKUP($A155,Seqs!$A:$B,2,FALSE),VLOOKUP($A155,'NonXtal_SegEnds_Prot#'!$A:$AL,22,FALSE)+8,1)</f>
        <v>L</v>
      </c>
      <c r="Z155" s="102" t="str">
        <f>MID(VLOOKUP($A155,Seqs!$A:$B,2,FALSE),VLOOKUP($A155,'NonXtal_SegEnds_Prot#'!$A:$AL,22,FALSE)+9,1)</f>
        <v>L</v>
      </c>
      <c r="AA155" s="102" t="str">
        <f>MID(VLOOKUP($A155,Seqs!$A:$B,2,FALSE),VLOOKUP($A155,'NonXtal_SegEnds_Prot#'!$A:$AL,22,FALSE)+10,1)</f>
        <v>L</v>
      </c>
      <c r="AB155" s="71" t="str">
        <f>MID(VLOOKUP($A155,Seqs!$A:$B,2,FALSE),VLOOKUP($A155,'NonXtal_SegEnds_Prot#'!$A:$AL,28,FALSE)-4,1)</f>
        <v>L</v>
      </c>
      <c r="AC155" s="102" t="str">
        <f>MID(VLOOKUP($A155,Seqs!$A:$B,2,FALSE),VLOOKUP($A155,'NonXtal_SegEnds_Prot#'!$A:$AL,28,FALSE),1)</f>
        <v>P</v>
      </c>
    </row>
    <row r="156" spans="1:29" s="2" customFormat="1" x14ac:dyDescent="0.2">
      <c r="A156" s="2" t="s">
        <v>468</v>
      </c>
      <c r="B156" s="2" t="str">
        <f>LOWER(VLOOKUP(A156,Xtal_Templ!A:B,2,FALSE))</f>
        <v>ednrb_human</v>
      </c>
      <c r="C156" s="2" t="str">
        <f>VLOOKUP(A156,Classification!A:D,2,FALSE)</f>
        <v>A</v>
      </c>
      <c r="E156" s="2" t="s">
        <v>20</v>
      </c>
      <c r="K156" s="2" t="s">
        <v>59</v>
      </c>
      <c r="P156" s="4" t="s">
        <v>51</v>
      </c>
      <c r="R156" s="71" t="str">
        <f>MID(VLOOKUP($A156,Seqs!$A:$B,2,FALSE),VLOOKUP($A156,'NonXtal_SegEnds_Prot#'!A:AL,10,FALSE),1)</f>
        <v>D</v>
      </c>
      <c r="S156" s="102" t="str">
        <f>MID(VLOOKUP($A156,Seqs!$A:$B,2,FALSE),VLOOKUP($A156,'NonXtal_SegEnds_Prot#'!A:AL,10,FALSE)+6,1)</f>
        <v>T</v>
      </c>
      <c r="T156" s="102" t="str">
        <f>MID(VLOOKUP($A156,Seqs!$A:$B,2,FALSE),VLOOKUP($A156,'NonXtal_SegEnds_Prot#'!A:AL,10,FALSE)+7,1)</f>
        <v>C</v>
      </c>
      <c r="U156" s="102" t="str">
        <f>MID(VLOOKUP($A156,Seqs!$A:$B,2,FALSE),VLOOKUP($A156,'NonXtal_SegEnds_Prot#'!A:AL,10,FALSE)+8,1)</f>
        <v>A</v>
      </c>
      <c r="V156" s="102" t="str">
        <f>MID(VLOOKUP($A156,Seqs!$A:$B,2,FALSE),VLOOKUP($A156,'NonXtal_SegEnds_Prot#'!A:AL,10,FALSE)+9,1)</f>
        <v>P</v>
      </c>
      <c r="W156" s="71" t="str">
        <f>MID(VLOOKUP($A156,Seqs!$A:$B,2,FALSE),VLOOKUP($A156,'NonXtal_SegEnds_Prot#'!$A:$AL,22,FALSE)+6,1)</f>
        <v>L</v>
      </c>
      <c r="X156" s="102" t="str">
        <f>MID(VLOOKUP($A156,Seqs!$A:$B,2,FALSE),VLOOKUP($A156,'NonXtal_SegEnds_Prot#'!$A:$AL,22,FALSE)+7,1)</f>
        <v>A</v>
      </c>
      <c r="Y156" s="102" t="str">
        <f>MID(VLOOKUP($A156,Seqs!$A:$B,2,FALSE),VLOOKUP($A156,'NonXtal_SegEnds_Prot#'!$A:$AL,22,FALSE)+8,1)</f>
        <v>I</v>
      </c>
      <c r="Z156" s="102" t="str">
        <f>MID(VLOOKUP($A156,Seqs!$A:$B,2,FALSE),VLOOKUP($A156,'NonXtal_SegEnds_Prot#'!$A:$AL,22,FALSE)+9,1)</f>
        <v>P</v>
      </c>
      <c r="AA156" s="102" t="str">
        <f>MID(VLOOKUP($A156,Seqs!$A:$B,2,FALSE),VLOOKUP($A156,'NonXtal_SegEnds_Prot#'!$A:$AL,22,FALSE)+10,1)</f>
        <v>E</v>
      </c>
      <c r="AB156" s="71" t="str">
        <f>MID(VLOOKUP($A156,Seqs!$A:$B,2,FALSE),VLOOKUP($A156,'NonXtal_SegEnds_Prot#'!$A:$AL,28,FALSE)-4,1)</f>
        <v>F</v>
      </c>
      <c r="AC156" s="102" t="str">
        <f>MID(VLOOKUP($A156,Seqs!$A:$B,2,FALSE),VLOOKUP($A156,'NonXtal_SegEnds_Prot#'!$A:$AL,28,FALSE),1)</f>
        <v>P</v>
      </c>
    </row>
    <row r="157" spans="1:29" s="2" customFormat="1" x14ac:dyDescent="0.2">
      <c r="A157" s="2" t="s">
        <v>469</v>
      </c>
      <c r="B157" s="2" t="str">
        <f>LOWER(VLOOKUP(A157,Xtal_Templ!A:B,2,FALSE))</f>
        <v>p2ry1_human</v>
      </c>
      <c r="C157" s="2" t="str">
        <f>VLOOKUP(A157,Classification!A:D,2,FALSE)</f>
        <v>A</v>
      </c>
      <c r="N157" s="2" t="s">
        <v>43</v>
      </c>
      <c r="P157" s="4" t="s">
        <v>51</v>
      </c>
      <c r="R157" s="71" t="str">
        <f>MID(VLOOKUP($A157,Seqs!$A:$B,2,FALSE),VLOOKUP($A157,'NonXtal_SegEnds_Prot#'!A:AL,10,FALSE),1)</f>
        <v>D</v>
      </c>
      <c r="S157" s="102" t="str">
        <f>MID(VLOOKUP($A157,Seqs!$A:$B,2,FALSE),VLOOKUP($A157,'NonXtal_SegEnds_Prot#'!A:AL,10,FALSE)+6,1)</f>
        <v>C</v>
      </c>
      <c r="T157" s="102" t="str">
        <f>MID(VLOOKUP($A157,Seqs!$A:$B,2,FALSE),VLOOKUP($A157,'NonXtal_SegEnds_Prot#'!A:AL,10,FALSE)+7,1)</f>
        <v>L</v>
      </c>
      <c r="U157" s="102" t="str">
        <f>MID(VLOOKUP($A157,Seqs!$A:$B,2,FALSE),VLOOKUP($A157,'NonXtal_SegEnds_Prot#'!A:AL,10,FALSE)+8,1)</f>
        <v>P</v>
      </c>
      <c r="V157" s="102" t="str">
        <f>MID(VLOOKUP($A157,Seqs!$A:$B,2,FALSE),VLOOKUP($A157,'NonXtal_SegEnds_Prot#'!A:AL,10,FALSE)+9,1)</f>
        <v>F</v>
      </c>
      <c r="W157" s="71" t="str">
        <f>MID(VLOOKUP($A157,Seqs!$A:$B,2,FALSE),VLOOKUP($A157,'NonXtal_SegEnds_Prot#'!$A:$AL,22,FALSE)+6,1)</f>
        <v>G</v>
      </c>
      <c r="X157" s="102" t="str">
        <f>MID(VLOOKUP($A157,Seqs!$A:$B,2,FALSE),VLOOKUP($A157,'NonXtal_SegEnds_Prot#'!$A:$AL,22,FALSE)+7,1)</f>
        <v>T</v>
      </c>
      <c r="Y157" s="102" t="str">
        <f>MID(VLOOKUP($A157,Seqs!$A:$B,2,FALSE),VLOOKUP($A157,'NonXtal_SegEnds_Prot#'!$A:$AL,22,FALSE)+8,1)</f>
        <v>V</v>
      </c>
      <c r="Z157" s="102" t="str">
        <f>MID(VLOOKUP($A157,Seqs!$A:$B,2,FALSE),VLOOKUP($A157,'NonXtal_SegEnds_Prot#'!$A:$AL,22,FALSE)+9,1)</f>
        <v>Y</v>
      </c>
      <c r="AA157" s="102" t="str">
        <f>MID(VLOOKUP($A157,Seqs!$A:$B,2,FALSE),VLOOKUP($A157,'NonXtal_SegEnds_Prot#'!$A:$AL,22,FALSE)+10,1)</f>
        <v>L</v>
      </c>
      <c r="AB157" s="71" t="str">
        <f>MID(VLOOKUP($A157,Seqs!$A:$B,2,FALSE),VLOOKUP($A157,'NonXtal_SegEnds_Prot#'!$A:$AL,28,FALSE)-4,1)</f>
        <v>E</v>
      </c>
      <c r="AC157" s="102" t="str">
        <f>MID(VLOOKUP($A157,Seqs!$A:$B,2,FALSE),VLOOKUP($A157,'NonXtal_SegEnds_Prot#'!$A:$AL,28,FALSE),1)</f>
        <v>P</v>
      </c>
    </row>
    <row r="158" spans="1:29" s="2" customFormat="1" x14ac:dyDescent="0.2">
      <c r="A158" s="2" t="s">
        <v>470</v>
      </c>
      <c r="B158" s="2" t="str">
        <f>LOWER(VLOOKUP(A158,Xtal_Templ!A:B,2,FALSE))</f>
        <v>p2ry1_human</v>
      </c>
      <c r="C158" s="2" t="str">
        <f>VLOOKUP(A158,Classification!A:D,2,FALSE)</f>
        <v>A</v>
      </c>
      <c r="N158" s="2" t="s">
        <v>43</v>
      </c>
      <c r="P158" s="4" t="s">
        <v>51</v>
      </c>
      <c r="R158" s="71" t="str">
        <f>MID(VLOOKUP($A158,Seqs!$A:$B,2,FALSE),VLOOKUP($A158,'NonXtal_SegEnds_Prot#'!A:AL,10,FALSE),1)</f>
        <v>D</v>
      </c>
      <c r="S158" s="102" t="str">
        <f>MID(VLOOKUP($A158,Seqs!$A:$B,2,FALSE),VLOOKUP($A158,'NonXtal_SegEnds_Prot#'!A:AL,10,FALSE)+6,1)</f>
        <v>C</v>
      </c>
      <c r="T158" s="102" t="str">
        <f>MID(VLOOKUP($A158,Seqs!$A:$B,2,FALSE),VLOOKUP($A158,'NonXtal_SegEnds_Prot#'!A:AL,10,FALSE)+7,1)</f>
        <v>L</v>
      </c>
      <c r="U158" s="102" t="str">
        <f>MID(VLOOKUP($A158,Seqs!$A:$B,2,FALSE),VLOOKUP($A158,'NonXtal_SegEnds_Prot#'!A:AL,10,FALSE)+8,1)</f>
        <v>P</v>
      </c>
      <c r="V158" s="102" t="str">
        <f>MID(VLOOKUP($A158,Seqs!$A:$B,2,FALSE),VLOOKUP($A158,'NonXtal_SegEnds_Prot#'!A:AL,10,FALSE)+9,1)</f>
        <v>F</v>
      </c>
      <c r="W158" s="71" t="str">
        <f>MID(VLOOKUP($A158,Seqs!$A:$B,2,FALSE),VLOOKUP($A158,'NonXtal_SegEnds_Prot#'!$A:$AL,22,FALSE)+6,1)</f>
        <v>L</v>
      </c>
      <c r="X158" s="102" t="str">
        <f>MID(VLOOKUP($A158,Seqs!$A:$B,2,FALSE),VLOOKUP($A158,'NonXtal_SegEnds_Prot#'!$A:$AL,22,FALSE)+7,1)</f>
        <v>T</v>
      </c>
      <c r="Y158" s="102" t="str">
        <f>MID(VLOOKUP($A158,Seqs!$A:$B,2,FALSE),VLOOKUP($A158,'NonXtal_SegEnds_Prot#'!$A:$AL,22,FALSE)+8,1)</f>
        <v>V</v>
      </c>
      <c r="Z158" s="102" t="str">
        <f>MID(VLOOKUP($A158,Seqs!$A:$B,2,FALSE),VLOOKUP($A158,'NonXtal_SegEnds_Prot#'!$A:$AL,22,FALSE)+9,1)</f>
        <v>H</v>
      </c>
      <c r="AA158" s="102" t="str">
        <f>MID(VLOOKUP($A158,Seqs!$A:$B,2,FALSE),VLOOKUP($A158,'NonXtal_SegEnds_Prot#'!$A:$AL,22,FALSE)+10,1)</f>
        <v>L</v>
      </c>
      <c r="AB158" s="71" t="str">
        <f>MID(VLOOKUP($A158,Seqs!$A:$B,2,FALSE),VLOOKUP($A158,'NonXtal_SegEnds_Prot#'!$A:$AL,28,FALSE)-4,1)</f>
        <v>E</v>
      </c>
      <c r="AC158" s="102" t="str">
        <f>MID(VLOOKUP($A158,Seqs!$A:$B,2,FALSE),VLOOKUP($A158,'NonXtal_SegEnds_Prot#'!$A:$AL,28,FALSE),1)</f>
        <v>P</v>
      </c>
    </row>
    <row r="159" spans="1:29" s="2" customFormat="1" x14ac:dyDescent="0.2">
      <c r="A159" s="2" t="s">
        <v>471</v>
      </c>
      <c r="B159" s="2" t="str">
        <f>LOWER(VLOOKUP(A159,Xtal_Templ!A:B,2,FALSE))</f>
        <v>p2ry1_human</v>
      </c>
      <c r="C159" s="2" t="str">
        <f>VLOOKUP(A159,Classification!A:D,2,FALSE)</f>
        <v>A</v>
      </c>
      <c r="N159" s="2" t="s">
        <v>43</v>
      </c>
      <c r="P159" s="4" t="s">
        <v>51</v>
      </c>
      <c r="R159" s="71" t="str">
        <f>MID(VLOOKUP($A159,Seqs!$A:$B,2,FALSE),VLOOKUP($A159,'NonXtal_SegEnds_Prot#'!A:AL,10,FALSE),1)</f>
        <v>D</v>
      </c>
      <c r="S159" s="102" t="str">
        <f>MID(VLOOKUP($A159,Seqs!$A:$B,2,FALSE),VLOOKUP($A159,'NonXtal_SegEnds_Prot#'!A:AL,10,FALSE)+6,1)</f>
        <v>C</v>
      </c>
      <c r="T159" s="102" t="str">
        <f>MID(VLOOKUP($A159,Seqs!$A:$B,2,FALSE),VLOOKUP($A159,'NonXtal_SegEnds_Prot#'!A:AL,10,FALSE)+7,1)</f>
        <v>L</v>
      </c>
      <c r="U159" s="102" t="str">
        <f>MID(VLOOKUP($A159,Seqs!$A:$B,2,FALSE),VLOOKUP($A159,'NonXtal_SegEnds_Prot#'!A:AL,10,FALSE)+8,1)</f>
        <v>P</v>
      </c>
      <c r="V159" s="102" t="str">
        <f>MID(VLOOKUP($A159,Seqs!$A:$B,2,FALSE),VLOOKUP($A159,'NonXtal_SegEnds_Prot#'!A:AL,10,FALSE)+9,1)</f>
        <v>F</v>
      </c>
      <c r="W159" s="71" t="str">
        <f>MID(VLOOKUP($A159,Seqs!$A:$B,2,FALSE),VLOOKUP($A159,'NonXtal_SegEnds_Prot#'!$A:$AL,22,FALSE)+6,1)</f>
        <v>L</v>
      </c>
      <c r="X159" s="102" t="str">
        <f>MID(VLOOKUP($A159,Seqs!$A:$B,2,FALSE),VLOOKUP($A159,'NonXtal_SegEnds_Prot#'!$A:$AL,22,FALSE)+7,1)</f>
        <v>T</v>
      </c>
      <c r="Y159" s="102" t="str">
        <f>MID(VLOOKUP($A159,Seqs!$A:$B,2,FALSE),VLOOKUP($A159,'NonXtal_SegEnds_Prot#'!$A:$AL,22,FALSE)+8,1)</f>
        <v>V</v>
      </c>
      <c r="Z159" s="102" t="str">
        <f>MID(VLOOKUP($A159,Seqs!$A:$B,2,FALSE),VLOOKUP($A159,'NonXtal_SegEnds_Prot#'!$A:$AL,22,FALSE)+9,1)</f>
        <v>H</v>
      </c>
      <c r="AA159" s="102" t="str">
        <f>MID(VLOOKUP($A159,Seqs!$A:$B,2,FALSE),VLOOKUP($A159,'NonXtal_SegEnds_Prot#'!$A:$AL,22,FALSE)+10,1)</f>
        <v>L</v>
      </c>
      <c r="AB159" s="71" t="str">
        <f>MID(VLOOKUP($A159,Seqs!$A:$B,2,FALSE),VLOOKUP($A159,'NonXtal_SegEnds_Prot#'!$A:$AL,28,FALSE)-4,1)</f>
        <v>E</v>
      </c>
      <c r="AC159" s="102" t="str">
        <f>MID(VLOOKUP($A159,Seqs!$A:$B,2,FALSE),VLOOKUP($A159,'NonXtal_SegEnds_Prot#'!$A:$AL,28,FALSE),1)</f>
        <v>P</v>
      </c>
    </row>
    <row r="160" spans="1:29" s="2" customFormat="1" x14ac:dyDescent="0.2">
      <c r="A160" s="2" t="s">
        <v>472</v>
      </c>
      <c r="B160" s="2" t="str">
        <f>LOWER(VLOOKUP(A160,Xtal_Templ!A:B,2,FALSE))</f>
        <v>hrh1_human</v>
      </c>
      <c r="C160" s="2" t="str">
        <f>VLOOKUP(A160,Classification!A:D,2,FALSE)</f>
        <v>A</v>
      </c>
      <c r="E160" s="2" t="s">
        <v>20</v>
      </c>
      <c r="I160" s="2" t="s">
        <v>122</v>
      </c>
      <c r="N160" s="2" t="s">
        <v>43</v>
      </c>
      <c r="P160" s="4" t="s">
        <v>51</v>
      </c>
      <c r="R160" s="71" t="str">
        <f>MID(VLOOKUP($A160,Seqs!$A:$B,2,FALSE),VLOOKUP($A160,'NonXtal_SegEnds_Prot#'!A:AL,10,FALSE),1)</f>
        <v>D</v>
      </c>
      <c r="S160" s="102" t="str">
        <f>MID(VLOOKUP($A160,Seqs!$A:$B,2,FALSE),VLOOKUP($A160,'NonXtal_SegEnds_Prot#'!A:AL,10,FALSE)+6,1)</f>
        <v>V</v>
      </c>
      <c r="T160" s="102" t="str">
        <f>MID(VLOOKUP($A160,Seqs!$A:$B,2,FALSE),VLOOKUP($A160,'NonXtal_SegEnds_Prot#'!A:AL,10,FALSE)+7,1)</f>
        <v>V</v>
      </c>
      <c r="U160" s="102" t="str">
        <f>MID(VLOOKUP($A160,Seqs!$A:$B,2,FALSE),VLOOKUP($A160,'NonXtal_SegEnds_Prot#'!A:AL,10,FALSE)+8,1)</f>
        <v>M</v>
      </c>
      <c r="V160" s="102" t="str">
        <f>MID(VLOOKUP($A160,Seqs!$A:$B,2,FALSE),VLOOKUP($A160,'NonXtal_SegEnds_Prot#'!A:AL,10,FALSE)+9,1)</f>
        <v>P</v>
      </c>
      <c r="W160" s="71" t="str">
        <f>MID(VLOOKUP($A160,Seqs!$A:$B,2,FALSE),VLOOKUP($A160,'NonXtal_SegEnds_Prot#'!$A:$AL,22,FALSE)+6,1)</f>
        <v>W</v>
      </c>
      <c r="X160" s="102" t="str">
        <f>MID(VLOOKUP($A160,Seqs!$A:$B,2,FALSE),VLOOKUP($A160,'NonXtal_SegEnds_Prot#'!$A:$AL,22,FALSE)+7,1)</f>
        <v>V</v>
      </c>
      <c r="Y160" s="102" t="str">
        <f>MID(VLOOKUP($A160,Seqs!$A:$B,2,FALSE),VLOOKUP($A160,'NonXtal_SegEnds_Prot#'!$A:$AL,22,FALSE)+8,1)</f>
        <v>I</v>
      </c>
      <c r="Z160" s="102" t="str">
        <f>MID(VLOOKUP($A160,Seqs!$A:$B,2,FALSE),VLOOKUP($A160,'NonXtal_SegEnds_Prot#'!$A:$AL,22,FALSE)+9,1)</f>
        <v>P</v>
      </c>
      <c r="AA160" s="102" t="str">
        <f>MID(VLOOKUP($A160,Seqs!$A:$B,2,FALSE),VLOOKUP($A160,'NonXtal_SegEnds_Prot#'!$A:$AL,22,FALSE)+10,1)</f>
        <v>I</v>
      </c>
      <c r="AB160" s="71" t="str">
        <f>MID(VLOOKUP($A160,Seqs!$A:$B,2,FALSE),VLOOKUP($A160,'NonXtal_SegEnds_Prot#'!$A:$AL,28,FALSE)-4,1)</f>
        <v>N</v>
      </c>
      <c r="AC160" s="102" t="str">
        <f>MID(VLOOKUP($A160,Seqs!$A:$B,2,FALSE),VLOOKUP($A160,'NonXtal_SegEnds_Prot#'!$A:$AL,28,FALSE),1)</f>
        <v>P</v>
      </c>
    </row>
    <row r="161" spans="1:29" s="2" customFormat="1" x14ac:dyDescent="0.2">
      <c r="A161" s="2" t="s">
        <v>473</v>
      </c>
      <c r="B161" s="2" t="str">
        <f>LOWER(VLOOKUP(A161,Xtal_Templ!A:B,2,FALSE))</f>
        <v>adrb1_melga</v>
      </c>
      <c r="C161" s="2" t="str">
        <f>VLOOKUP(A161,Classification!A:D,2,FALSE)</f>
        <v>A</v>
      </c>
      <c r="E161" s="2" t="s">
        <v>20</v>
      </c>
      <c r="N161" s="2" t="s">
        <v>43</v>
      </c>
      <c r="P161" s="4" t="s">
        <v>51</v>
      </c>
      <c r="R161" s="71" t="str">
        <f>MID(VLOOKUP($A161,Seqs!$A:$B,2,FALSE),VLOOKUP($A161,'NonXtal_SegEnds_Prot#'!A:AL,10,FALSE),1)</f>
        <v>D</v>
      </c>
      <c r="S161" s="102" t="str">
        <f>MID(VLOOKUP($A161,Seqs!$A:$B,2,FALSE),VLOOKUP($A161,'NonXtal_SegEnds_Prot#'!A:AL,10,FALSE)+6,1)</f>
        <v>L</v>
      </c>
      <c r="T161" s="102" t="str">
        <f>MID(VLOOKUP($A161,Seqs!$A:$B,2,FALSE),VLOOKUP($A161,'NonXtal_SegEnds_Prot#'!A:AL,10,FALSE)+7,1)</f>
        <v>V</v>
      </c>
      <c r="U161" s="102" t="str">
        <f>MID(VLOOKUP($A161,Seqs!$A:$B,2,FALSE),VLOOKUP($A161,'NonXtal_SegEnds_Prot#'!A:AL,10,FALSE)+8,1)</f>
        <v>L</v>
      </c>
      <c r="V161" s="102" t="str">
        <f>MID(VLOOKUP($A161,Seqs!$A:$B,2,FALSE),VLOOKUP($A161,'NonXtal_SegEnds_Prot#'!A:AL,10,FALSE)+9,1)</f>
        <v>P</v>
      </c>
      <c r="W161" s="71" t="str">
        <f>MID(VLOOKUP($A161,Seqs!$A:$B,2,FALSE),VLOOKUP($A161,'NonXtal_SegEnds_Prot#'!$A:$AL,22,FALSE)+6,1)</f>
        <v>L</v>
      </c>
      <c r="X161" s="102" t="str">
        <f>MID(VLOOKUP($A161,Seqs!$A:$B,2,FALSE),VLOOKUP($A161,'NonXtal_SegEnds_Prot#'!$A:$AL,22,FALSE)+7,1)</f>
        <v>S</v>
      </c>
      <c r="Y161" s="102" t="str">
        <f>MID(VLOOKUP($A161,Seqs!$A:$B,2,FALSE),VLOOKUP($A161,'NonXtal_SegEnds_Prot#'!$A:$AL,22,FALSE)+8,1)</f>
        <v>F</v>
      </c>
      <c r="Z161" s="102" t="str">
        <f>MID(VLOOKUP($A161,Seqs!$A:$B,2,FALSE),VLOOKUP($A161,'NonXtal_SegEnds_Prot#'!$A:$AL,22,FALSE)+9,1)</f>
        <v>L</v>
      </c>
      <c r="AA161" s="102" t="str">
        <f>MID(VLOOKUP($A161,Seqs!$A:$B,2,FALSE),VLOOKUP($A161,'NonXtal_SegEnds_Prot#'!$A:$AL,22,FALSE)+10,1)</f>
        <v>S</v>
      </c>
      <c r="AB161" s="71" t="str">
        <f>MID(VLOOKUP($A161,Seqs!$A:$B,2,FALSE),VLOOKUP($A161,'NonXtal_SegEnds_Prot#'!$A:$AL,28,FALSE)-4,1)</f>
        <v>T</v>
      </c>
      <c r="AC161" s="102" t="str">
        <f>MID(VLOOKUP($A161,Seqs!$A:$B,2,FALSE),VLOOKUP($A161,'NonXtal_SegEnds_Prot#'!$A:$AL,28,FALSE),1)</f>
        <v>P</v>
      </c>
    </row>
    <row r="162" spans="1:29" s="2" customFormat="1" x14ac:dyDescent="0.2">
      <c r="A162" s="2" t="s">
        <v>474</v>
      </c>
      <c r="B162" s="2" t="str">
        <f>LOWER(VLOOKUP(A162,Xtal_Templ!A:B,2,FALSE))</f>
        <v>acm1_human</v>
      </c>
      <c r="C162" s="2" t="str">
        <f>VLOOKUP(A162,Classification!A:D,2,FALSE)</f>
        <v>A</v>
      </c>
      <c r="E162" s="2" t="s">
        <v>20</v>
      </c>
      <c r="K162" s="2" t="s">
        <v>59</v>
      </c>
      <c r="N162" s="2" t="s">
        <v>43</v>
      </c>
      <c r="P162" s="4" t="s">
        <v>51</v>
      </c>
      <c r="R162" s="71" t="str">
        <f>MID(VLOOKUP($A162,Seqs!$A:$B,2,FALSE),VLOOKUP($A162,'NonXtal_SegEnds_Prot#'!A:AL,10,FALSE),1)</f>
        <v>D</v>
      </c>
      <c r="S162" s="102" t="str">
        <f>MID(VLOOKUP($A162,Seqs!$A:$B,2,FALSE),VLOOKUP($A162,'NonXtal_SegEnds_Prot#'!A:AL,10,FALSE)+6,1)</f>
        <v>F</v>
      </c>
      <c r="T162" s="102" t="str">
        <f>MID(VLOOKUP($A162,Seqs!$A:$B,2,FALSE),VLOOKUP($A162,'NonXtal_SegEnds_Prot#'!A:AL,10,FALSE)+7,1)</f>
        <v>C</v>
      </c>
      <c r="U162" s="102" t="str">
        <f>MID(VLOOKUP($A162,Seqs!$A:$B,2,FALSE),VLOOKUP($A162,'NonXtal_SegEnds_Prot#'!A:AL,10,FALSE)+8,1)</f>
        <v>I</v>
      </c>
      <c r="V162" s="102" t="str">
        <f>MID(VLOOKUP($A162,Seqs!$A:$B,2,FALSE),VLOOKUP($A162,'NonXtal_SegEnds_Prot#'!A:AL,10,FALSE)+9,1)</f>
        <v>P</v>
      </c>
      <c r="W162" s="71" t="str">
        <f>MID(VLOOKUP($A162,Seqs!$A:$B,2,FALSE),VLOOKUP($A162,'NonXtal_SegEnds_Prot#'!$A:$AL,22,FALSE)+6,1)</f>
        <v>L</v>
      </c>
      <c r="X162" s="102" t="str">
        <f>MID(VLOOKUP($A162,Seqs!$A:$B,2,FALSE),VLOOKUP($A162,'NonXtal_SegEnds_Prot#'!$A:$AL,22,FALSE)+7,1)</f>
        <v>Y</v>
      </c>
      <c r="Y162" s="102" t="str">
        <f>MID(VLOOKUP($A162,Seqs!$A:$B,2,FALSE),VLOOKUP($A162,'NonXtal_SegEnds_Prot#'!$A:$AL,22,FALSE)+8,1)</f>
        <v>G</v>
      </c>
      <c r="Z162" s="102" t="str">
        <f>MID(VLOOKUP($A162,Seqs!$A:$B,2,FALSE),VLOOKUP($A162,'NonXtal_SegEnds_Prot#'!$A:$AL,22,FALSE)+9,1)</f>
        <v>P</v>
      </c>
      <c r="AA162" s="102" t="str">
        <f>MID(VLOOKUP($A162,Seqs!$A:$B,2,FALSE),VLOOKUP($A162,'NonXtal_SegEnds_Prot#'!$A:$AL,22,FALSE)+10,1)</f>
        <v>A</v>
      </c>
      <c r="AB162" s="71" t="str">
        <f>MID(VLOOKUP($A162,Seqs!$A:$B,2,FALSE),VLOOKUP($A162,'NonXtal_SegEnds_Prot#'!$A:$AL,28,FALSE)-4,1)</f>
        <v>E</v>
      </c>
      <c r="AC162" s="102" t="str">
        <f>MID(VLOOKUP($A162,Seqs!$A:$B,2,FALSE),VLOOKUP($A162,'NonXtal_SegEnds_Prot#'!$A:$AL,28,FALSE),1)</f>
        <v>P</v>
      </c>
    </row>
    <row r="163" spans="1:29" s="2" customFormat="1" x14ac:dyDescent="0.2">
      <c r="A163" s="2" t="s">
        <v>475</v>
      </c>
      <c r="B163" s="2" t="str">
        <f>LOWER(VLOOKUP(A163,Xtal_Templ!A:B,2,FALSE))</f>
        <v>acm3_rat</v>
      </c>
      <c r="C163" s="2" t="str">
        <f>VLOOKUP(A163,Classification!A:D,2,FALSE)</f>
        <v>A</v>
      </c>
      <c r="E163" s="2" t="s">
        <v>20</v>
      </c>
      <c r="K163" s="2" t="s">
        <v>59</v>
      </c>
      <c r="N163" s="2" t="s">
        <v>43</v>
      </c>
      <c r="P163" s="4" t="s">
        <v>51</v>
      </c>
      <c r="R163" s="71" t="str">
        <f>MID(VLOOKUP($A163,Seqs!$A:$B,2,FALSE),VLOOKUP($A163,'NonXtal_SegEnds_Prot#'!A:AL,10,FALSE),1)</f>
        <v>D</v>
      </c>
      <c r="S163" s="102" t="str">
        <f>MID(VLOOKUP($A163,Seqs!$A:$B,2,FALSE),VLOOKUP($A163,'NonXtal_SegEnds_Prot#'!A:AL,10,FALSE)+6,1)</f>
        <v>I</v>
      </c>
      <c r="T163" s="102" t="str">
        <f>MID(VLOOKUP($A163,Seqs!$A:$B,2,FALSE),VLOOKUP($A163,'NonXtal_SegEnds_Prot#'!A:AL,10,FALSE)+7,1)</f>
        <v>S</v>
      </c>
      <c r="U163" s="102" t="str">
        <f>MID(VLOOKUP($A163,Seqs!$A:$B,2,FALSE),VLOOKUP($A163,'NonXtal_SegEnds_Prot#'!A:AL,10,FALSE)+8,1)</f>
        <v>I</v>
      </c>
      <c r="V163" s="102" t="str">
        <f>MID(VLOOKUP($A163,Seqs!$A:$B,2,FALSE),VLOOKUP($A163,'NonXtal_SegEnds_Prot#'!A:AL,10,FALSE)+9,1)</f>
        <v>P</v>
      </c>
      <c r="W163" s="71" t="str">
        <f>MID(VLOOKUP($A163,Seqs!$A:$B,2,FALSE),VLOOKUP($A163,'NonXtal_SegEnds_Prot#'!$A:$AL,22,FALSE)+6,1)</f>
        <v>V</v>
      </c>
      <c r="X163" s="102" t="str">
        <f>MID(VLOOKUP($A163,Seqs!$A:$B,2,FALSE),VLOOKUP($A163,'NonXtal_SegEnds_Prot#'!$A:$AL,22,FALSE)+7,1)</f>
        <v>N</v>
      </c>
      <c r="Y163" s="102" t="str">
        <f>MID(VLOOKUP($A163,Seqs!$A:$B,2,FALSE),VLOOKUP($A163,'NonXtal_SegEnds_Prot#'!$A:$AL,22,FALSE)+8,1)</f>
        <v>G</v>
      </c>
      <c r="Z163" s="102" t="str">
        <f>MID(VLOOKUP($A163,Seqs!$A:$B,2,FALSE),VLOOKUP($A163,'NonXtal_SegEnds_Prot#'!$A:$AL,22,FALSE)+9,1)</f>
        <v>P</v>
      </c>
      <c r="AA163" s="102" t="str">
        <f>MID(VLOOKUP($A163,Seqs!$A:$B,2,FALSE),VLOOKUP($A163,'NonXtal_SegEnds_Prot#'!$A:$AL,22,FALSE)+10,1)</f>
        <v>M</v>
      </c>
      <c r="AB163" s="71" t="str">
        <f>MID(VLOOKUP($A163,Seqs!$A:$B,2,FALSE),VLOOKUP($A163,'NonXtal_SegEnds_Prot#'!$A:$AL,28,FALSE)-4,1)</f>
        <v>E</v>
      </c>
      <c r="AC163" s="102" t="str">
        <f>MID(VLOOKUP($A163,Seqs!$A:$B,2,FALSE),VLOOKUP($A163,'NonXtal_SegEnds_Prot#'!$A:$AL,28,FALSE),1)</f>
        <v>P</v>
      </c>
    </row>
    <row r="164" spans="1:29" s="2" customFormat="1" x14ac:dyDescent="0.2">
      <c r="A164" s="2" t="s">
        <v>476</v>
      </c>
      <c r="B164" s="2" t="str">
        <f>LOWER(VLOOKUP(A164,Xtal_Templ!A:B,2,FALSE))</f>
        <v>oprx_human</v>
      </c>
      <c r="C164" s="2" t="str">
        <f>VLOOKUP(A164,Classification!A:D,2,FALSE)</f>
        <v>A</v>
      </c>
      <c r="E164" s="2" t="s">
        <v>20</v>
      </c>
      <c r="K164" s="2" t="s">
        <v>59</v>
      </c>
      <c r="N164" s="2" t="s">
        <v>43</v>
      </c>
      <c r="P164" s="4" t="s">
        <v>51</v>
      </c>
      <c r="R164" s="71" t="str">
        <f>MID(VLOOKUP($A164,Seqs!$A:$B,2,FALSE),VLOOKUP($A164,'NonXtal_SegEnds_Prot#'!A:AL,10,FALSE),1)</f>
        <v>D</v>
      </c>
      <c r="S164" s="102" t="str">
        <f>MID(VLOOKUP($A164,Seqs!$A:$B,2,FALSE),VLOOKUP($A164,'NonXtal_SegEnds_Prot#'!A:AL,10,FALSE)+6,1)</f>
        <v>C</v>
      </c>
      <c r="T164" s="102" t="str">
        <f>MID(VLOOKUP($A164,Seqs!$A:$B,2,FALSE),VLOOKUP($A164,'NonXtal_SegEnds_Prot#'!A:AL,10,FALSE)+7,1)</f>
        <v>C</v>
      </c>
      <c r="U164" s="102" t="str">
        <f>MID(VLOOKUP($A164,Seqs!$A:$B,2,FALSE),VLOOKUP($A164,'NonXtal_SegEnds_Prot#'!A:AL,10,FALSE)+8,1)</f>
        <v>V</v>
      </c>
      <c r="V164" s="102" t="str">
        <f>MID(VLOOKUP($A164,Seqs!$A:$B,2,FALSE),VLOOKUP($A164,'NonXtal_SegEnds_Prot#'!A:AL,10,FALSE)+9,1)</f>
        <v>P</v>
      </c>
      <c r="W164" s="71" t="str">
        <f>MID(VLOOKUP($A164,Seqs!$A:$B,2,FALSE),VLOOKUP($A164,'NonXtal_SegEnds_Prot#'!$A:$AL,22,FALSE)+6,1)</f>
        <v>V</v>
      </c>
      <c r="X164" s="102" t="str">
        <f>MID(VLOOKUP($A164,Seqs!$A:$B,2,FALSE),VLOOKUP($A164,'NonXtal_SegEnds_Prot#'!$A:$AL,22,FALSE)+7,1)</f>
        <v>S</v>
      </c>
      <c r="Y164" s="102" t="str">
        <f>MID(VLOOKUP($A164,Seqs!$A:$B,2,FALSE),VLOOKUP($A164,'NonXtal_SegEnds_Prot#'!$A:$AL,22,FALSE)+8,1)</f>
        <v>A</v>
      </c>
      <c r="Z164" s="102" t="str">
        <f>MID(VLOOKUP($A164,Seqs!$A:$B,2,FALSE),VLOOKUP($A164,'NonXtal_SegEnds_Prot#'!$A:$AL,22,FALSE)+9,1)</f>
        <v>P</v>
      </c>
      <c r="AA164" s="102" t="str">
        <f>MID(VLOOKUP($A164,Seqs!$A:$B,2,FALSE),VLOOKUP($A164,'NonXtal_SegEnds_Prot#'!$A:$AL,22,FALSE)+10,1)</f>
        <v>V</v>
      </c>
      <c r="AB164" s="71" t="str">
        <f>MID(VLOOKUP($A164,Seqs!$A:$B,2,FALSE),VLOOKUP($A164,'NonXtal_SegEnds_Prot#'!$A:$AL,28,FALSE)-4,1)</f>
        <v>L</v>
      </c>
      <c r="AC164" s="102" t="str">
        <f>MID(VLOOKUP($A164,Seqs!$A:$B,2,FALSE),VLOOKUP($A164,'NonXtal_SegEnds_Prot#'!$A:$AL,28,FALSE),1)</f>
        <v>P</v>
      </c>
    </row>
    <row r="165" spans="1:29" s="2" customFormat="1" x14ac:dyDescent="0.2">
      <c r="A165" s="2" t="s">
        <v>477</v>
      </c>
      <c r="B165" s="2" t="str">
        <f>LOWER(VLOOKUP(A165,Xtal_Templ!A:B,2,FALSE))</f>
        <v>agtr1_human</v>
      </c>
      <c r="C165" s="2" t="str">
        <f>VLOOKUP(A165,Classification!A:D,2,FALSE)</f>
        <v>A</v>
      </c>
      <c r="P165" s="4" t="s">
        <v>51</v>
      </c>
      <c r="R165" s="71" t="str">
        <f>MID(VLOOKUP($A165,Seqs!$A:$B,2,FALSE),VLOOKUP($A165,'NonXtal_SegEnds_Prot#'!A:AL,10,FALSE),1)</f>
        <v>N</v>
      </c>
      <c r="S165" s="102" t="str">
        <f>MID(VLOOKUP($A165,Seqs!$A:$B,2,FALSE),VLOOKUP($A165,'NonXtal_SegEnds_Prot#'!A:AL,10,FALSE)+6,1)</f>
        <v>Y</v>
      </c>
      <c r="T165" s="102" t="str">
        <f>MID(VLOOKUP($A165,Seqs!$A:$B,2,FALSE),VLOOKUP($A165,'NonXtal_SegEnds_Prot#'!A:AL,10,FALSE)+7,1)</f>
        <v>T</v>
      </c>
      <c r="U165" s="102" t="str">
        <f>MID(VLOOKUP($A165,Seqs!$A:$B,2,FALSE),VLOOKUP($A165,'NonXtal_SegEnds_Prot#'!A:AL,10,FALSE)+8,1)</f>
        <v>G</v>
      </c>
      <c r="V165" s="102" t="str">
        <f>MID(VLOOKUP($A165,Seqs!$A:$B,2,FALSE),VLOOKUP($A165,'NonXtal_SegEnds_Prot#'!A:AL,10,FALSE)+9,1)</f>
        <v>I</v>
      </c>
      <c r="W165" s="71" t="str">
        <f>MID(VLOOKUP($A165,Seqs!$A:$B,2,FALSE),VLOOKUP($A165,'NonXtal_SegEnds_Prot#'!$A:$AL,22,FALSE)+6,1)</f>
        <v>A</v>
      </c>
      <c r="X165" s="102" t="str">
        <f>MID(VLOOKUP($A165,Seqs!$A:$B,2,FALSE),VLOOKUP($A165,'NonXtal_SegEnds_Prot#'!$A:$AL,22,FALSE)+7,1)</f>
        <v>G</v>
      </c>
      <c r="Y165" s="102" t="str">
        <f>MID(VLOOKUP($A165,Seqs!$A:$B,2,FALSE),VLOOKUP($A165,'NonXtal_SegEnds_Prot#'!$A:$AL,22,FALSE)+8,1)</f>
        <v>C</v>
      </c>
      <c r="Z165" s="102" t="str">
        <f>MID(VLOOKUP($A165,Seqs!$A:$B,2,FALSE),VLOOKUP($A165,'NonXtal_SegEnds_Prot#'!$A:$AL,22,FALSE)+9,1)</f>
        <v>F</v>
      </c>
      <c r="AA165" s="102" t="str">
        <f>MID(VLOOKUP($A165,Seqs!$A:$B,2,FALSE),VLOOKUP($A165,'NonXtal_SegEnds_Prot#'!$A:$AL,22,FALSE)+10,1)</f>
        <v>P</v>
      </c>
      <c r="AB165" s="71" t="str">
        <f>MID(VLOOKUP($A165,Seqs!$A:$B,2,FALSE),VLOOKUP($A165,'NonXtal_SegEnds_Prot#'!$A:$AL,28,FALSE)-4,1)</f>
        <v>L</v>
      </c>
      <c r="AC165" s="102" t="str">
        <f>MID(VLOOKUP($A165,Seqs!$A:$B,2,FALSE),VLOOKUP($A165,'NonXtal_SegEnds_Prot#'!$A:$AL,28,FALSE),1)</f>
        <v>A</v>
      </c>
    </row>
    <row r="166" spans="1:29" s="2" customFormat="1" x14ac:dyDescent="0.2">
      <c r="A166" s="2" t="s">
        <v>478</v>
      </c>
      <c r="B166" s="2" t="str">
        <f>LOWER(VLOOKUP(A166,Xtal_Templ!A:B,2,FALSE))</f>
        <v>aa2ar_human</v>
      </c>
      <c r="C166" s="2" t="str">
        <f>VLOOKUP(A166,Classification!A:D,2,FALSE)</f>
        <v>A</v>
      </c>
      <c r="P166" s="4" t="s">
        <v>51</v>
      </c>
      <c r="R166" s="71" t="str">
        <f>MID(VLOOKUP($A166,Seqs!$A:$B,2,FALSE),VLOOKUP($A166,'NonXtal_SegEnds_Prot#'!A:AL,10,FALSE),1)</f>
        <v>N</v>
      </c>
      <c r="S166" s="102" t="str">
        <f>MID(VLOOKUP($A166,Seqs!$A:$B,2,FALSE),VLOOKUP($A166,'NonXtal_SegEnds_Prot#'!A:AL,10,FALSE)+6,1)</f>
        <v>S</v>
      </c>
      <c r="T166" s="102" t="str">
        <f>MID(VLOOKUP($A166,Seqs!$A:$B,2,FALSE),VLOOKUP($A166,'NonXtal_SegEnds_Prot#'!A:AL,10,FALSE)+7,1)</f>
        <v>S</v>
      </c>
      <c r="U166" s="102" t="str">
        <f>MID(VLOOKUP($A166,Seqs!$A:$B,2,FALSE),VLOOKUP($A166,'NonXtal_SegEnds_Prot#'!A:AL,10,FALSE)+8,1)</f>
        <v>A</v>
      </c>
      <c r="V166" s="102" t="str">
        <f>MID(VLOOKUP($A166,Seqs!$A:$B,2,FALSE),VLOOKUP($A166,'NonXtal_SegEnds_Prot#'!A:AL,10,FALSE)+9,1)</f>
        <v>V</v>
      </c>
      <c r="W166" s="71" t="str">
        <f>MID(VLOOKUP($A166,Seqs!$A:$B,2,FALSE),VLOOKUP($A166,'NonXtal_SegEnds_Prot#'!$A:$AL,22,FALSE)+6,1)</f>
        <v>M</v>
      </c>
      <c r="X166" s="102" t="str">
        <f>MID(VLOOKUP($A166,Seqs!$A:$B,2,FALSE),VLOOKUP($A166,'NonXtal_SegEnds_Prot#'!$A:$AL,22,FALSE)+7,1)</f>
        <v>A</v>
      </c>
      <c r="Y166" s="102" t="str">
        <f>MID(VLOOKUP($A166,Seqs!$A:$B,2,FALSE),VLOOKUP($A166,'NonXtal_SegEnds_Prot#'!$A:$AL,22,FALSE)+8,1)</f>
        <v>A</v>
      </c>
      <c r="Z166" s="102" t="str">
        <f>MID(VLOOKUP($A166,Seqs!$A:$B,2,FALSE),VLOOKUP($A166,'NonXtal_SegEnds_Prot#'!$A:$AL,22,FALSE)+9,1)</f>
        <v>V</v>
      </c>
      <c r="AA166" s="102" t="str">
        <f>MID(VLOOKUP($A166,Seqs!$A:$B,2,FALSE),VLOOKUP($A166,'NonXtal_SegEnds_Prot#'!$A:$AL,22,FALSE)+10,1)</f>
        <v>P</v>
      </c>
      <c r="AB166" s="71" t="str">
        <f>MID(VLOOKUP($A166,Seqs!$A:$B,2,FALSE),VLOOKUP($A166,'NonXtal_SegEnds_Prot#'!$A:$AL,28,FALSE)-4,1)</f>
        <v>L</v>
      </c>
      <c r="AC166" s="102" t="str">
        <f>MID(VLOOKUP($A166,Seqs!$A:$B,2,FALSE),VLOOKUP($A166,'NonXtal_SegEnds_Prot#'!$A:$AL,28,FALSE),1)</f>
        <v>C</v>
      </c>
    </row>
    <row r="167" spans="1:29" s="2" customFormat="1" x14ac:dyDescent="0.2">
      <c r="A167" s="2" t="s">
        <v>479</v>
      </c>
      <c r="B167" s="2" t="str">
        <f>LOWER(VLOOKUP(A167,Xtal_Templ!A:B,2,FALSE))</f>
        <v>opsd_human</v>
      </c>
      <c r="C167" s="2" t="str">
        <f>VLOOKUP(A167,Classification!A:D,2,FALSE)</f>
        <v>A</v>
      </c>
      <c r="P167" s="4" t="s">
        <v>51</v>
      </c>
      <c r="R167" s="71" t="str">
        <f>MID(VLOOKUP($A167,Seqs!$A:$B,2,FALSE),VLOOKUP($A167,'NonXtal_SegEnds_Prot#'!A:AL,10,FALSE),1)</f>
        <v>N</v>
      </c>
      <c r="S167" s="102" t="str">
        <f>MID(VLOOKUP($A167,Seqs!$A:$B,2,FALSE),VLOOKUP($A167,'NonXtal_SegEnds_Prot#'!A:AL,10,FALSE)+6,1)</f>
        <v>S</v>
      </c>
      <c r="T167" s="102" t="str">
        <f>MID(VLOOKUP($A167,Seqs!$A:$B,2,FALSE),VLOOKUP($A167,'NonXtal_SegEnds_Prot#'!A:AL,10,FALSE)+7,1)</f>
        <v>C</v>
      </c>
      <c r="U167" s="102" t="str">
        <f>MID(VLOOKUP($A167,Seqs!$A:$B,2,FALSE),VLOOKUP($A167,'NonXtal_SegEnds_Prot#'!A:AL,10,FALSE)+8,1)</f>
        <v>G</v>
      </c>
      <c r="V167" s="102" t="str">
        <f>MID(VLOOKUP($A167,Seqs!$A:$B,2,FALSE),VLOOKUP($A167,'NonXtal_SegEnds_Prot#'!A:AL,10,FALSE)+9,1)</f>
        <v>L</v>
      </c>
      <c r="W167" s="71" t="str">
        <f>MID(VLOOKUP($A167,Seqs!$A:$B,2,FALSE),VLOOKUP($A167,'NonXtal_SegEnds_Prot#'!$A:$AL,22,FALSE)+6,1)</f>
        <v>A</v>
      </c>
      <c r="X167" s="102" t="str">
        <f>MID(VLOOKUP($A167,Seqs!$A:$B,2,FALSE),VLOOKUP($A167,'NonXtal_SegEnds_Prot#'!$A:$AL,22,FALSE)+7,1)</f>
        <v>A</v>
      </c>
      <c r="Y167" s="102" t="str">
        <f>MID(VLOOKUP($A167,Seqs!$A:$B,2,FALSE),VLOOKUP($A167,'NonXtal_SegEnds_Prot#'!$A:$AL,22,FALSE)+8,1)</f>
        <v>A</v>
      </c>
      <c r="Z167" s="102" t="str">
        <f>MID(VLOOKUP($A167,Seqs!$A:$B,2,FALSE),VLOOKUP($A167,'NonXtal_SegEnds_Prot#'!$A:$AL,22,FALSE)+9,1)</f>
        <v>L</v>
      </c>
      <c r="AA167" s="102" t="str">
        <f>MID(VLOOKUP($A167,Seqs!$A:$B,2,FALSE),VLOOKUP($A167,'NonXtal_SegEnds_Prot#'!$A:$AL,22,FALSE)+10,1)</f>
        <v>P</v>
      </c>
      <c r="AB167" s="71" t="str">
        <f>MID(VLOOKUP($A167,Seqs!$A:$B,2,FALSE),VLOOKUP($A167,'NonXtal_SegEnds_Prot#'!$A:$AL,28,FALSE)-4,1)</f>
        <v>M</v>
      </c>
      <c r="AC167" s="102" t="str">
        <f>MID(VLOOKUP($A167,Seqs!$A:$B,2,FALSE),VLOOKUP($A167,'NonXtal_SegEnds_Prot#'!$A:$AL,28,FALSE),1)</f>
        <v>C</v>
      </c>
    </row>
    <row r="168" spans="1:29" s="2" customFormat="1" x14ac:dyDescent="0.2">
      <c r="A168" s="2" t="s">
        <v>297</v>
      </c>
      <c r="B168" s="2" t="str">
        <f>LOWER(VLOOKUP(A168,Xtal_Templ!A:B,2,FALSE))</f>
        <v>lpar1_human</v>
      </c>
      <c r="C168" s="2" t="str">
        <f>VLOOKUP(A168,Classification!A:D,2,FALSE)</f>
        <v>A</v>
      </c>
      <c r="F168" s="2" t="s">
        <v>125</v>
      </c>
      <c r="P168" s="4" t="s">
        <v>51</v>
      </c>
      <c r="R168" s="71" t="str">
        <f>MID(VLOOKUP($A168,Seqs!$A:$B,2,FALSE),VLOOKUP($A168,'NonXtal_SegEnds_Prot#'!A:AL,10,FALSE),1)</f>
        <v>D</v>
      </c>
      <c r="S168" s="102" t="str">
        <f>MID(VLOOKUP($A168,Seqs!$A:$B,2,FALSE),VLOOKUP($A168,'NonXtal_SegEnds_Prot#'!A:AL,10,FALSE)+6,1)</f>
        <v>A</v>
      </c>
      <c r="T168" s="102" t="str">
        <f>MID(VLOOKUP($A168,Seqs!$A:$B,2,FALSE),VLOOKUP($A168,'NonXtal_SegEnds_Prot#'!A:AL,10,FALSE)+7,1)</f>
        <v>Y</v>
      </c>
      <c r="U168" s="102" t="str">
        <f>MID(VLOOKUP($A168,Seqs!$A:$B,2,FALSE),VLOOKUP($A168,'NonXtal_SegEnds_Prot#'!A:AL,10,FALSE)+8,1)</f>
        <v>F</v>
      </c>
      <c r="V168" s="102" t="str">
        <f>MID(VLOOKUP($A168,Seqs!$A:$B,2,FALSE),VLOOKUP($A168,'NonXtal_SegEnds_Prot#'!A:AL,10,FALSE)+9,1)</f>
        <v>Y</v>
      </c>
      <c r="W168" s="71" t="str">
        <f>MID(VLOOKUP($A168,Seqs!$A:$B,2,FALSE),VLOOKUP($A168,'NonXtal_SegEnds_Prot#'!$A:$AL,22,FALSE)+6,1)</f>
        <v>M</v>
      </c>
      <c r="X168" s="102" t="str">
        <f>MID(VLOOKUP($A168,Seqs!$A:$B,2,FALSE),VLOOKUP($A168,'NonXtal_SegEnds_Prot#'!$A:$AL,22,FALSE)+7,1)</f>
        <v>G</v>
      </c>
      <c r="Y168" s="102" t="str">
        <f>MID(VLOOKUP($A168,Seqs!$A:$B,2,FALSE),VLOOKUP($A168,'NonXtal_SegEnds_Prot#'!$A:$AL,22,FALSE)+8,1)</f>
        <v>A</v>
      </c>
      <c r="Z168" s="102" t="str">
        <f>MID(VLOOKUP($A168,Seqs!$A:$B,2,FALSE),VLOOKUP($A168,'NonXtal_SegEnds_Prot#'!$A:$AL,22,FALSE)+9,1)</f>
        <v>I</v>
      </c>
      <c r="AA168" s="102" t="str">
        <f>MID(VLOOKUP($A168,Seqs!$A:$B,2,FALSE),VLOOKUP($A168,'NonXtal_SegEnds_Prot#'!$A:$AL,22,FALSE)+10,1)</f>
        <v>P</v>
      </c>
      <c r="AB168" s="71" t="str">
        <f>MID(VLOOKUP($A168,Seqs!$A:$B,2,FALSE),VLOOKUP($A168,'NonXtal_SegEnds_Prot#'!$A:$AL,28,FALSE)-4,1)</f>
        <v>F</v>
      </c>
      <c r="AC168" s="102" t="str">
        <f>MID(VLOOKUP($A168,Seqs!$A:$B,2,FALSE),VLOOKUP($A168,'NonXtal_SegEnds_Prot#'!$A:$AL,28,FALSE),1)</f>
        <v>T</v>
      </c>
    </row>
    <row r="169" spans="1:29" s="2" customFormat="1" x14ac:dyDescent="0.2">
      <c r="A169" s="2" t="s">
        <v>480</v>
      </c>
      <c r="B169" s="2" t="str">
        <f>LOWER(VLOOKUP(A169,Xtal_Templ!A:B,2,FALSE))</f>
        <v>lpar1_human</v>
      </c>
      <c r="C169" s="2" t="str">
        <f>VLOOKUP(A169,Classification!A:D,2,FALSE)</f>
        <v>A</v>
      </c>
      <c r="F169" s="2" t="s">
        <v>125</v>
      </c>
      <c r="P169" s="4" t="s">
        <v>51</v>
      </c>
      <c r="R169" s="71" t="str">
        <f>MID(VLOOKUP($A169,Seqs!$A:$B,2,FALSE),VLOOKUP($A169,'NonXtal_SegEnds_Prot#'!A:AL,10,FALSE),1)</f>
        <v>D</v>
      </c>
      <c r="S169" s="102" t="str">
        <f>MID(VLOOKUP($A169,Seqs!$A:$B,2,FALSE),VLOOKUP($A169,'NonXtal_SegEnds_Prot#'!A:AL,10,FALSE)+6,1)</f>
        <v>A</v>
      </c>
      <c r="T169" s="102" t="str">
        <f>MID(VLOOKUP($A169,Seqs!$A:$B,2,FALSE),VLOOKUP($A169,'NonXtal_SegEnds_Prot#'!A:AL,10,FALSE)+7,1)</f>
        <v>Y</v>
      </c>
      <c r="U169" s="102" t="str">
        <f>MID(VLOOKUP($A169,Seqs!$A:$B,2,FALSE),VLOOKUP($A169,'NonXtal_SegEnds_Prot#'!A:AL,10,FALSE)+8,1)</f>
        <v>L</v>
      </c>
      <c r="V169" s="102" t="str">
        <f>MID(VLOOKUP($A169,Seqs!$A:$B,2,FALSE),VLOOKUP($A169,'NonXtal_SegEnds_Prot#'!A:AL,10,FALSE)+9,1)</f>
        <v>F</v>
      </c>
      <c r="W169" s="71" t="str">
        <f>MID(VLOOKUP($A169,Seqs!$A:$B,2,FALSE),VLOOKUP($A169,'NonXtal_SegEnds_Prot#'!$A:$AL,22,FALSE)+6,1)</f>
        <v>L</v>
      </c>
      <c r="X169" s="102" t="str">
        <f>MID(VLOOKUP($A169,Seqs!$A:$B,2,FALSE),VLOOKUP($A169,'NonXtal_SegEnds_Prot#'!$A:$AL,22,FALSE)+7,1)</f>
        <v>G</v>
      </c>
      <c r="Y169" s="102" t="str">
        <f>MID(VLOOKUP($A169,Seqs!$A:$B,2,FALSE),VLOOKUP($A169,'NonXtal_SegEnds_Prot#'!$A:$AL,22,FALSE)+8,1)</f>
        <v>L</v>
      </c>
      <c r="Z169" s="102" t="str">
        <f>MID(VLOOKUP($A169,Seqs!$A:$B,2,FALSE),VLOOKUP($A169,'NonXtal_SegEnds_Prot#'!$A:$AL,22,FALSE)+9,1)</f>
        <v>L</v>
      </c>
      <c r="AA169" s="102" t="str">
        <f>MID(VLOOKUP($A169,Seqs!$A:$B,2,FALSE),VLOOKUP($A169,'NonXtal_SegEnds_Prot#'!$A:$AL,22,FALSE)+10,1)</f>
        <v>P</v>
      </c>
      <c r="AB169" s="71" t="str">
        <f>MID(VLOOKUP($A169,Seqs!$A:$B,2,FALSE),VLOOKUP($A169,'NonXtal_SegEnds_Prot#'!$A:$AL,28,FALSE)-4,1)</f>
        <v>S</v>
      </c>
      <c r="AC169" s="102" t="str">
        <f>MID(VLOOKUP($A169,Seqs!$A:$B,2,FALSE),VLOOKUP($A169,'NonXtal_SegEnds_Prot#'!$A:$AL,28,FALSE),1)</f>
        <v>V</v>
      </c>
    </row>
    <row r="170" spans="1:29" s="2" customFormat="1" x14ac:dyDescent="0.2">
      <c r="A170" s="2" t="s">
        <v>481</v>
      </c>
      <c r="B170" s="2" t="str">
        <f>LOWER(VLOOKUP(A170,Xtal_Templ!A:B,2,FALSE))</f>
        <v>lpar1_human</v>
      </c>
      <c r="C170" s="2" t="str">
        <f>VLOOKUP(A170,Classification!A:D,2,FALSE)</f>
        <v>A</v>
      </c>
      <c r="F170" s="2" t="s">
        <v>125</v>
      </c>
      <c r="P170" s="4" t="s">
        <v>51</v>
      </c>
      <c r="R170" s="71" t="str">
        <f>MID(VLOOKUP($A170,Seqs!$A:$B,2,FALSE),VLOOKUP($A170,'NonXtal_SegEnds_Prot#'!A:AL,10,FALSE),1)</f>
        <v>D</v>
      </c>
      <c r="S170" s="102" t="str">
        <f>MID(VLOOKUP($A170,Seqs!$A:$B,2,FALSE),VLOOKUP($A170,'NonXtal_SegEnds_Prot#'!A:AL,10,FALSE)+6,1)</f>
        <v>A</v>
      </c>
      <c r="T170" s="102" t="str">
        <f>MID(VLOOKUP($A170,Seqs!$A:$B,2,FALSE),VLOOKUP($A170,'NonXtal_SegEnds_Prot#'!A:AL,10,FALSE)+7,1)</f>
        <v>Y</v>
      </c>
      <c r="U170" s="102" t="str">
        <f>MID(VLOOKUP($A170,Seqs!$A:$B,2,FALSE),VLOOKUP($A170,'NonXtal_SegEnds_Prot#'!A:AL,10,FALSE)+8,1)</f>
        <v>V</v>
      </c>
      <c r="V170" s="102" t="str">
        <f>MID(VLOOKUP($A170,Seqs!$A:$B,2,FALSE),VLOOKUP($A170,'NonXtal_SegEnds_Prot#'!A:AL,10,FALSE)+9,1)</f>
        <v>F</v>
      </c>
      <c r="W170" s="71" t="str">
        <f>MID(VLOOKUP($A170,Seqs!$A:$B,2,FALSE),VLOOKUP($A170,'NonXtal_SegEnds_Prot#'!$A:$AL,22,FALSE)+6,1)</f>
        <v>M</v>
      </c>
      <c r="X170" s="102" t="str">
        <f>MID(VLOOKUP($A170,Seqs!$A:$B,2,FALSE),VLOOKUP($A170,'NonXtal_SegEnds_Prot#'!$A:$AL,22,FALSE)+7,1)</f>
        <v>G</v>
      </c>
      <c r="Y170" s="102" t="str">
        <f>MID(VLOOKUP($A170,Seqs!$A:$B,2,FALSE),VLOOKUP($A170,'NonXtal_SegEnds_Prot#'!$A:$AL,22,FALSE)+8,1)</f>
        <v>A</v>
      </c>
      <c r="Z170" s="102" t="str">
        <f>MID(VLOOKUP($A170,Seqs!$A:$B,2,FALSE),VLOOKUP($A170,'NonXtal_SegEnds_Prot#'!$A:$AL,22,FALSE)+9,1)</f>
        <v>V</v>
      </c>
      <c r="AA170" s="102" t="str">
        <f>MID(VLOOKUP($A170,Seqs!$A:$B,2,FALSE),VLOOKUP($A170,'NonXtal_SegEnds_Prot#'!$A:$AL,22,FALSE)+10,1)</f>
        <v>P</v>
      </c>
      <c r="AB170" s="71" t="str">
        <f>MID(VLOOKUP($A170,Seqs!$A:$B,2,FALSE),VLOOKUP($A170,'NonXtal_SegEnds_Prot#'!$A:$AL,28,FALSE)-4,1)</f>
        <v>S</v>
      </c>
      <c r="AC170" s="102" t="str">
        <f>MID(VLOOKUP($A170,Seqs!$A:$B,2,FALSE),VLOOKUP($A170,'NonXtal_SegEnds_Prot#'!$A:$AL,28,FALSE),1)</f>
        <v>A</v>
      </c>
    </row>
    <row r="171" spans="1:29" s="2" customFormat="1" x14ac:dyDescent="0.2">
      <c r="A171" s="2" t="s">
        <v>482</v>
      </c>
      <c r="B171" s="2" t="str">
        <f>LOWER(VLOOKUP(A171,Xtal_Templ!A:B,2,FALSE))</f>
        <v>p2ry1_human</v>
      </c>
      <c r="C171" s="2" t="str">
        <f>VLOOKUP(A171,Classification!A:D,2,FALSE)</f>
        <v>A</v>
      </c>
      <c r="N171" s="2" t="s">
        <v>43</v>
      </c>
      <c r="P171" s="4" t="s">
        <v>51</v>
      </c>
      <c r="R171" s="71" t="str">
        <f>MID(VLOOKUP($A171,Seqs!$A:$B,2,FALSE),VLOOKUP($A171,'NonXtal_SegEnds_Prot#'!A:AL,10,FALSE),1)</f>
        <v>D</v>
      </c>
      <c r="S171" s="102" t="str">
        <f>MID(VLOOKUP($A171,Seqs!$A:$B,2,FALSE),VLOOKUP($A171,'NonXtal_SegEnds_Prot#'!A:AL,10,FALSE)+6,1)</f>
        <v>T</v>
      </c>
      <c r="T171" s="102" t="str">
        <f>MID(VLOOKUP($A171,Seqs!$A:$B,2,FALSE),VLOOKUP($A171,'NonXtal_SegEnds_Prot#'!A:AL,10,FALSE)+7,1)</f>
        <v>L</v>
      </c>
      <c r="U171" s="102" t="str">
        <f>MID(VLOOKUP($A171,Seqs!$A:$B,2,FALSE),VLOOKUP($A171,'NonXtal_SegEnds_Prot#'!A:AL,10,FALSE)+8,1)</f>
        <v>P</v>
      </c>
      <c r="V171" s="102" t="str">
        <f>MID(VLOOKUP($A171,Seqs!$A:$B,2,FALSE),VLOOKUP($A171,'NonXtal_SegEnds_Prot#'!A:AL,10,FALSE)+9,1)</f>
        <v>F</v>
      </c>
      <c r="W171" s="71" t="str">
        <f>MID(VLOOKUP($A171,Seqs!$A:$B,2,FALSE),VLOOKUP($A171,'NonXtal_SegEnds_Prot#'!$A:$AL,22,FALSE)+6,1)</f>
        <v>G</v>
      </c>
      <c r="X171" s="102" t="str">
        <f>MID(VLOOKUP($A171,Seqs!$A:$B,2,FALSE),VLOOKUP($A171,'NonXtal_SegEnds_Prot#'!$A:$AL,22,FALSE)+7,1)</f>
        <v>G</v>
      </c>
      <c r="Y171" s="102" t="str">
        <f>MID(VLOOKUP($A171,Seqs!$A:$B,2,FALSE),VLOOKUP($A171,'NonXtal_SegEnds_Prot#'!$A:$AL,22,FALSE)+8,1)</f>
        <v>I</v>
      </c>
      <c r="Z171" s="102" t="str">
        <f>MID(VLOOKUP($A171,Seqs!$A:$B,2,FALSE),VLOOKUP($A171,'NonXtal_SegEnds_Prot#'!$A:$AL,22,FALSE)+9,1)</f>
        <v>S</v>
      </c>
      <c r="AA171" s="102" t="str">
        <f>MID(VLOOKUP($A171,Seqs!$A:$B,2,FALSE),VLOOKUP($A171,'NonXtal_SegEnds_Prot#'!$A:$AL,22,FALSE)+10,1)</f>
        <v>A</v>
      </c>
      <c r="AB171" s="71" t="str">
        <f>MID(VLOOKUP($A171,Seqs!$A:$B,2,FALSE),VLOOKUP($A171,'NonXtal_SegEnds_Prot#'!$A:$AL,28,FALSE)-4,1)</f>
        <v>G</v>
      </c>
      <c r="AC171" s="102" t="str">
        <f>MID(VLOOKUP($A171,Seqs!$A:$B,2,FALSE),VLOOKUP($A171,'NonXtal_SegEnds_Prot#'!$A:$AL,28,FALSE),1)</f>
        <v>P</v>
      </c>
    </row>
    <row r="172" spans="1:29" s="2" customFormat="1" x14ac:dyDescent="0.2">
      <c r="A172" s="2" t="s">
        <v>483</v>
      </c>
      <c r="B172" s="2" t="str">
        <f>LOWER(VLOOKUP(A172,Xtal_Templ!A:B,2,FALSE))</f>
        <v>p2ry1_human</v>
      </c>
      <c r="C172" s="2" t="str">
        <f>VLOOKUP(A172,Classification!A:D,2,FALSE)</f>
        <v>A</v>
      </c>
      <c r="K172" s="2" t="s">
        <v>59</v>
      </c>
      <c r="N172" s="2" t="s">
        <v>43</v>
      </c>
      <c r="P172" s="4" t="s">
        <v>51</v>
      </c>
      <c r="R172" s="71" t="str">
        <f>MID(VLOOKUP($A172,Seqs!$A:$B,2,FALSE),VLOOKUP($A172,'NonXtal_SegEnds_Prot#'!A:AL,10,FALSE),1)</f>
        <v>D</v>
      </c>
      <c r="S172" s="102" t="str">
        <f>MID(VLOOKUP($A172,Seqs!$A:$B,2,FALSE),VLOOKUP($A172,'NonXtal_SegEnds_Prot#'!A:AL,10,FALSE)+6,1)</f>
        <v>S</v>
      </c>
      <c r="T172" s="102" t="str">
        <f>MID(VLOOKUP($A172,Seqs!$A:$B,2,FALSE),VLOOKUP($A172,'NonXtal_SegEnds_Prot#'!A:AL,10,FALSE)+7,1)</f>
        <v>L</v>
      </c>
      <c r="U172" s="102" t="str">
        <f>MID(VLOOKUP($A172,Seqs!$A:$B,2,FALSE),VLOOKUP($A172,'NonXtal_SegEnds_Prot#'!A:AL,10,FALSE)+8,1)</f>
        <v>P</v>
      </c>
      <c r="V172" s="102" t="str">
        <f>MID(VLOOKUP($A172,Seqs!$A:$B,2,FALSE),VLOOKUP($A172,'NonXtal_SegEnds_Prot#'!A:AL,10,FALSE)+9,1)</f>
        <v>V</v>
      </c>
      <c r="W172" s="71" t="str">
        <f>MID(VLOOKUP($A172,Seqs!$A:$B,2,FALSE),VLOOKUP($A172,'NonXtal_SegEnds_Prot#'!$A:$AL,22,FALSE)+6,1)</f>
        <v>F</v>
      </c>
      <c r="X172" s="102" t="str">
        <f>MID(VLOOKUP($A172,Seqs!$A:$B,2,FALSE),VLOOKUP($A172,'NonXtal_SegEnds_Prot#'!$A:$AL,22,FALSE)+7,1)</f>
        <v>A</v>
      </c>
      <c r="Y172" s="102" t="str">
        <f>MID(VLOOKUP($A172,Seqs!$A:$B,2,FALSE),VLOOKUP($A172,'NonXtal_SegEnds_Prot#'!$A:$AL,22,FALSE)+8,1)</f>
        <v>V</v>
      </c>
      <c r="Z172" s="102" t="str">
        <f>MID(VLOOKUP($A172,Seqs!$A:$B,2,FALSE),VLOOKUP($A172,'NonXtal_SegEnds_Prot#'!$A:$AL,22,FALSE)+9,1)</f>
        <v>P</v>
      </c>
      <c r="AA172" s="102" t="str">
        <f>MID(VLOOKUP($A172,Seqs!$A:$B,2,FALSE),VLOOKUP($A172,'NonXtal_SegEnds_Prot#'!$A:$AL,22,FALSE)+10,1)</f>
        <v>A</v>
      </c>
      <c r="AB172" s="71" t="str">
        <f>MID(VLOOKUP($A172,Seqs!$A:$B,2,FALSE),VLOOKUP($A172,'NonXtal_SegEnds_Prot#'!$A:$AL,28,FALSE)-4,1)</f>
        <v>G</v>
      </c>
      <c r="AC172" s="102" t="str">
        <f>MID(VLOOKUP($A172,Seqs!$A:$B,2,FALSE),VLOOKUP($A172,'NonXtal_SegEnds_Prot#'!$A:$AL,28,FALSE),1)</f>
        <v>P</v>
      </c>
    </row>
    <row r="173" spans="1:29" s="2" customFormat="1" x14ac:dyDescent="0.2">
      <c r="A173" s="2" t="s">
        <v>484</v>
      </c>
      <c r="B173" s="2" t="str">
        <f>LOWER(VLOOKUP(A173,Xtal_Templ!A:B,2,FALSE))</f>
        <v>p2ry1_human</v>
      </c>
      <c r="C173" s="2" t="str">
        <f>VLOOKUP(A173,Classification!A:D,2,FALSE)</f>
        <v>A</v>
      </c>
      <c r="K173" s="2" t="s">
        <v>59</v>
      </c>
      <c r="N173" s="2" t="s">
        <v>43</v>
      </c>
      <c r="P173" s="4" t="s">
        <v>51</v>
      </c>
      <c r="R173" s="71" t="str">
        <f>MID(VLOOKUP($A173,Seqs!$A:$B,2,FALSE),VLOOKUP($A173,'NonXtal_SegEnds_Prot#'!A:AL,10,FALSE),1)</f>
        <v>D</v>
      </c>
      <c r="S173" s="102" t="str">
        <f>MID(VLOOKUP($A173,Seqs!$A:$B,2,FALSE),VLOOKUP($A173,'NonXtal_SegEnds_Prot#'!A:AL,10,FALSE)+6,1)</f>
        <v>T</v>
      </c>
      <c r="T173" s="102" t="str">
        <f>MID(VLOOKUP($A173,Seqs!$A:$B,2,FALSE),VLOOKUP($A173,'NonXtal_SegEnds_Prot#'!A:AL,10,FALSE)+7,1)</f>
        <v>L</v>
      </c>
      <c r="U173" s="102" t="str">
        <f>MID(VLOOKUP($A173,Seqs!$A:$B,2,FALSE),VLOOKUP($A173,'NonXtal_SegEnds_Prot#'!A:AL,10,FALSE)+8,1)</f>
        <v>P</v>
      </c>
      <c r="V173" s="102" t="str">
        <f>MID(VLOOKUP($A173,Seqs!$A:$B,2,FALSE),VLOOKUP($A173,'NonXtal_SegEnds_Prot#'!A:AL,10,FALSE)+9,1)</f>
        <v>F</v>
      </c>
      <c r="W173" s="71" t="str">
        <f>MID(VLOOKUP($A173,Seqs!$A:$B,2,FALSE),VLOOKUP($A173,'NonXtal_SegEnds_Prot#'!$A:$AL,22,FALSE)+6,1)</f>
        <v>G</v>
      </c>
      <c r="X173" s="102" t="str">
        <f>MID(VLOOKUP($A173,Seqs!$A:$B,2,FALSE),VLOOKUP($A173,'NonXtal_SegEnds_Prot#'!$A:$AL,22,FALSE)+7,1)</f>
        <v>S</v>
      </c>
      <c r="Y173" s="102" t="str">
        <f>MID(VLOOKUP($A173,Seqs!$A:$B,2,FALSE),VLOOKUP($A173,'NonXtal_SegEnds_Prot#'!$A:$AL,22,FALSE)+8,1)</f>
        <v>A</v>
      </c>
      <c r="Z173" s="102" t="str">
        <f>MID(VLOOKUP($A173,Seqs!$A:$B,2,FALSE),VLOOKUP($A173,'NonXtal_SegEnds_Prot#'!$A:$AL,22,FALSE)+9,1)</f>
        <v>P</v>
      </c>
      <c r="AA173" s="102" t="str">
        <f>MID(VLOOKUP($A173,Seqs!$A:$B,2,FALSE),VLOOKUP($A173,'NonXtal_SegEnds_Prot#'!$A:$AL,22,FALSE)+10,1)</f>
        <v>A</v>
      </c>
      <c r="AB173" s="71" t="str">
        <f>MID(VLOOKUP($A173,Seqs!$A:$B,2,FALSE),VLOOKUP($A173,'NonXtal_SegEnds_Prot#'!$A:$AL,28,FALSE)-4,1)</f>
        <v>G</v>
      </c>
      <c r="AC173" s="102" t="str">
        <f>MID(VLOOKUP($A173,Seqs!$A:$B,2,FALSE),VLOOKUP($A173,'NonXtal_SegEnds_Prot#'!$A:$AL,28,FALSE),1)</f>
        <v>P</v>
      </c>
    </row>
    <row r="174" spans="1:29" s="2" customFormat="1" x14ac:dyDescent="0.2">
      <c r="A174" s="2" t="s">
        <v>485</v>
      </c>
      <c r="B174" s="2" t="str">
        <f>LOWER(VLOOKUP(A174,Xtal_Templ!A:B,2,FALSE))</f>
        <v>aa2ar_human</v>
      </c>
      <c r="C174" s="2" t="str">
        <f>VLOOKUP(A174,Classification!A:D,2,FALSE)</f>
        <v>A</v>
      </c>
      <c r="P174" s="4" t="s">
        <v>51</v>
      </c>
      <c r="R174" s="71" t="str">
        <f>MID(VLOOKUP($A174,Seqs!$A:$B,2,FALSE),VLOOKUP($A174,'NonXtal_SegEnds_Prot#'!A:AL,10,FALSE),1)</f>
        <v>D</v>
      </c>
      <c r="S174" s="102" t="str">
        <f>MID(VLOOKUP($A174,Seqs!$A:$B,2,FALSE),VLOOKUP($A174,'NonXtal_SegEnds_Prot#'!A:AL,10,FALSE)+6,1)</f>
        <v>Y</v>
      </c>
      <c r="T174" s="102" t="str">
        <f>MID(VLOOKUP($A174,Seqs!$A:$B,2,FALSE),VLOOKUP($A174,'NonXtal_SegEnds_Prot#'!A:AL,10,FALSE)+7,1)</f>
        <v>L</v>
      </c>
      <c r="U174" s="102" t="str">
        <f>MID(VLOOKUP($A174,Seqs!$A:$B,2,FALSE),VLOOKUP($A174,'NonXtal_SegEnds_Prot#'!A:AL,10,FALSE)+8,1)</f>
        <v>L</v>
      </c>
      <c r="V174" s="102" t="str">
        <f>MID(VLOOKUP($A174,Seqs!$A:$B,2,FALSE),VLOOKUP($A174,'NonXtal_SegEnds_Prot#'!A:AL,10,FALSE)+9,1)</f>
        <v>L</v>
      </c>
      <c r="W174" s="71" t="str">
        <f>MID(VLOOKUP($A174,Seqs!$A:$B,2,FALSE),VLOOKUP($A174,'NonXtal_SegEnds_Prot#'!$A:$AL,22,FALSE)+6,1)</f>
        <v>I</v>
      </c>
      <c r="X174" s="102" t="str">
        <f>MID(VLOOKUP($A174,Seqs!$A:$B,2,FALSE),VLOOKUP($A174,'NonXtal_SegEnds_Prot#'!$A:$AL,22,FALSE)+7,1)</f>
        <v>A</v>
      </c>
      <c r="Y174" s="102" t="str">
        <f>MID(VLOOKUP($A174,Seqs!$A:$B,2,FALSE),VLOOKUP($A174,'NonXtal_SegEnds_Prot#'!$A:$AL,22,FALSE)+8,1)</f>
        <v>M</v>
      </c>
      <c r="Z174" s="102" t="str">
        <f>MID(VLOOKUP($A174,Seqs!$A:$B,2,FALSE),VLOOKUP($A174,'NonXtal_SegEnds_Prot#'!$A:$AL,22,FALSE)+9,1)</f>
        <v>L</v>
      </c>
      <c r="AA174" s="102" t="str">
        <f>MID(VLOOKUP($A174,Seqs!$A:$B,2,FALSE),VLOOKUP($A174,'NonXtal_SegEnds_Prot#'!$A:$AL,22,FALSE)+10,1)</f>
        <v>P</v>
      </c>
      <c r="AB174" s="71" t="str">
        <f>MID(VLOOKUP($A174,Seqs!$A:$B,2,FALSE),VLOOKUP($A174,'NonXtal_SegEnds_Prot#'!$A:$AL,28,FALSE)-4,1)</f>
        <v>L</v>
      </c>
      <c r="AC174" s="102" t="str">
        <f>MID(VLOOKUP($A174,Seqs!$A:$B,2,FALSE),VLOOKUP($A174,'NonXtal_SegEnds_Prot#'!$A:$AL,28,FALSE),1)</f>
        <v>A</v>
      </c>
    </row>
    <row r="175" spans="1:29" s="2" customFormat="1" x14ac:dyDescent="0.2">
      <c r="A175" s="2" t="s">
        <v>486</v>
      </c>
      <c r="B175" s="2" t="str">
        <f>LOWER(VLOOKUP(A175,Xtal_Templ!A:B,2,FALSE))</f>
        <v>agtr1_human</v>
      </c>
      <c r="C175" s="2" t="str">
        <f>VLOOKUP(A175,Classification!A:D,2,FALSE)</f>
        <v>A</v>
      </c>
      <c r="N175" s="2" t="s">
        <v>43</v>
      </c>
      <c r="P175" s="4" t="s">
        <v>51</v>
      </c>
      <c r="R175" s="71" t="str">
        <f>MID(VLOOKUP($A175,Seqs!$A:$B,2,FALSE),VLOOKUP($A175,'NonXtal_SegEnds_Prot#'!A:AL,10,FALSE),1)</f>
        <v>D</v>
      </c>
      <c r="S175" s="102" t="str">
        <f>MID(VLOOKUP($A175,Seqs!$A:$B,2,FALSE),VLOOKUP($A175,'NonXtal_SegEnds_Prot#'!A:AL,10,FALSE)+6,1)</f>
        <v>T</v>
      </c>
      <c r="T175" s="102" t="str">
        <f>MID(VLOOKUP($A175,Seqs!$A:$B,2,FALSE),VLOOKUP($A175,'NonXtal_SegEnds_Prot#'!A:AL,10,FALSE)+7,1)</f>
        <v>A</v>
      </c>
      <c r="U175" s="102" t="str">
        <f>MID(VLOOKUP($A175,Seqs!$A:$B,2,FALSE),VLOOKUP($A175,'NonXtal_SegEnds_Prot#'!A:AL,10,FALSE)+8,1)</f>
        <v>P</v>
      </c>
      <c r="V175" s="102" t="str">
        <f>MID(VLOOKUP($A175,Seqs!$A:$B,2,FALSE),VLOOKUP($A175,'NonXtal_SegEnds_Prot#'!A:AL,10,FALSE)+9,1)</f>
        <v>F</v>
      </c>
      <c r="W175" s="71" t="str">
        <f>MID(VLOOKUP($A175,Seqs!$A:$B,2,FALSE),VLOOKUP($A175,'NonXtal_SegEnds_Prot#'!$A:$AL,22,FALSE)+6,1)</f>
        <v>L</v>
      </c>
      <c r="X175" s="102" t="str">
        <f>MID(VLOOKUP($A175,Seqs!$A:$B,2,FALSE),VLOOKUP($A175,'NonXtal_SegEnds_Prot#'!$A:$AL,22,FALSE)+7,1)</f>
        <v>A</v>
      </c>
      <c r="Y175" s="102" t="str">
        <f>MID(VLOOKUP($A175,Seqs!$A:$B,2,FALSE),VLOOKUP($A175,'NonXtal_SegEnds_Prot#'!$A:$AL,22,FALSE)+8,1)</f>
        <v>T</v>
      </c>
      <c r="Z175" s="102" t="str">
        <f>MID(VLOOKUP($A175,Seqs!$A:$B,2,FALSE),VLOOKUP($A175,'NonXtal_SegEnds_Prot#'!$A:$AL,22,FALSE)+9,1)</f>
        <v>P</v>
      </c>
      <c r="AA175" s="102" t="str">
        <f>MID(VLOOKUP($A175,Seqs!$A:$B,2,FALSE),VLOOKUP($A175,'NonXtal_SegEnds_Prot#'!$A:$AL,22,FALSE)+10,1)</f>
        <v>V</v>
      </c>
      <c r="AB175" s="71" t="str">
        <f>MID(VLOOKUP($A175,Seqs!$A:$B,2,FALSE),VLOOKUP($A175,'NonXtal_SegEnds_Prot#'!$A:$AL,28,FALSE)-4,1)</f>
        <v>G</v>
      </c>
      <c r="AC175" s="102" t="str">
        <f>MID(VLOOKUP($A175,Seqs!$A:$B,2,FALSE),VLOOKUP($A175,'NonXtal_SegEnds_Prot#'!$A:$AL,28,FALSE),1)</f>
        <v>P</v>
      </c>
    </row>
    <row r="176" spans="1:29" s="2" customFormat="1" x14ac:dyDescent="0.2">
      <c r="A176" s="2" t="s">
        <v>487</v>
      </c>
      <c r="B176" s="2" t="str">
        <f>LOWER(VLOOKUP(A176,Xtal_Templ!A:B,2,FALSE))</f>
        <v>cxcr4_human</v>
      </c>
      <c r="C176" s="2" t="str">
        <f>VLOOKUP(A176,Classification!A:D,2,FALSE)</f>
        <v>A</v>
      </c>
      <c r="K176" s="2" t="s">
        <v>59</v>
      </c>
      <c r="N176" s="2" t="s">
        <v>43</v>
      </c>
      <c r="P176" s="4" t="s">
        <v>51</v>
      </c>
      <c r="R176" s="71" t="str">
        <f>MID(VLOOKUP($A176,Seqs!$A:$B,2,FALSE),VLOOKUP($A176,'NonXtal_SegEnds_Prot#'!A:AL,10,FALSE),1)</f>
        <v>D</v>
      </c>
      <c r="S176" s="102" t="str">
        <f>MID(VLOOKUP($A176,Seqs!$A:$B,2,FALSE),VLOOKUP($A176,'NonXtal_SegEnds_Prot#'!A:AL,10,FALSE)+6,1)</f>
        <v>L</v>
      </c>
      <c r="T176" s="102" t="str">
        <f>MID(VLOOKUP($A176,Seqs!$A:$B,2,FALSE),VLOOKUP($A176,'NonXtal_SegEnds_Prot#'!A:AL,10,FALSE)+7,1)</f>
        <v>T</v>
      </c>
      <c r="U176" s="102" t="str">
        <f>MID(VLOOKUP($A176,Seqs!$A:$B,2,FALSE),VLOOKUP($A176,'NonXtal_SegEnds_Prot#'!A:AL,10,FALSE)+8,1)</f>
        <v>P</v>
      </c>
      <c r="V176" s="102" t="str">
        <f>MID(VLOOKUP($A176,Seqs!$A:$B,2,FALSE),VLOOKUP($A176,'NonXtal_SegEnds_Prot#'!A:AL,10,FALSE)+9,1)</f>
        <v>L</v>
      </c>
      <c r="W176" s="71" t="str">
        <f>MID(VLOOKUP($A176,Seqs!$A:$B,2,FALSE),VLOOKUP($A176,'NonXtal_SegEnds_Prot#'!$A:$AL,22,FALSE)+6,1)</f>
        <v>L</v>
      </c>
      <c r="X176" s="102" t="str">
        <f>MID(VLOOKUP($A176,Seqs!$A:$B,2,FALSE),VLOOKUP($A176,'NonXtal_SegEnds_Prot#'!$A:$AL,22,FALSE)+7,1)</f>
        <v>A</v>
      </c>
      <c r="Y176" s="102" t="str">
        <f>MID(VLOOKUP($A176,Seqs!$A:$B,2,FALSE),VLOOKUP($A176,'NonXtal_SegEnds_Prot#'!$A:$AL,22,FALSE)+8,1)</f>
        <v>V</v>
      </c>
      <c r="Z176" s="102" t="str">
        <f>MID(VLOOKUP($A176,Seqs!$A:$B,2,FALSE),VLOOKUP($A176,'NonXtal_SegEnds_Prot#'!$A:$AL,22,FALSE)+9,1)</f>
        <v>P</v>
      </c>
      <c r="AA176" s="102" t="str">
        <f>MID(VLOOKUP($A176,Seqs!$A:$B,2,FALSE),VLOOKUP($A176,'NonXtal_SegEnds_Prot#'!$A:$AL,22,FALSE)+10,1)</f>
        <v>A</v>
      </c>
      <c r="AB176" s="71" t="str">
        <f>MID(VLOOKUP($A176,Seqs!$A:$B,2,FALSE),VLOOKUP($A176,'NonXtal_SegEnds_Prot#'!$A:$AL,28,FALSE)-4,1)</f>
        <v>A</v>
      </c>
      <c r="AC176" s="102" t="str">
        <f>MID(VLOOKUP($A176,Seqs!$A:$B,2,FALSE),VLOOKUP($A176,'NonXtal_SegEnds_Prot#'!$A:$AL,28,FALSE),1)</f>
        <v>P</v>
      </c>
    </row>
    <row r="177" spans="1:29" s="2" customFormat="1" x14ac:dyDescent="0.2">
      <c r="A177" s="2" t="s">
        <v>488</v>
      </c>
      <c r="B177" s="2" t="str">
        <f>LOWER(VLOOKUP(A177,Xtal_Templ!A:B,2,FALSE))</f>
        <v>p2ry1_human</v>
      </c>
      <c r="C177" s="2" t="str">
        <f>VLOOKUP(A177,Classification!A:D,2,FALSE)</f>
        <v>A</v>
      </c>
      <c r="N177" s="2" t="s">
        <v>43</v>
      </c>
      <c r="P177" s="4" t="s">
        <v>51</v>
      </c>
      <c r="R177" s="71" t="str">
        <f>MID(VLOOKUP($A177,Seqs!$A:$B,2,FALSE),VLOOKUP($A177,'NonXtal_SegEnds_Prot#'!A:AL,10,FALSE),1)</f>
        <v>D</v>
      </c>
      <c r="S177" s="102" t="str">
        <f>MID(VLOOKUP($A177,Seqs!$A:$B,2,FALSE),VLOOKUP($A177,'NonXtal_SegEnds_Prot#'!A:AL,10,FALSE)+6,1)</f>
        <v>C</v>
      </c>
      <c r="T177" s="102" t="str">
        <f>MID(VLOOKUP($A177,Seqs!$A:$B,2,FALSE),VLOOKUP($A177,'NonXtal_SegEnds_Prot#'!A:AL,10,FALSE)+7,1)</f>
        <v>I</v>
      </c>
      <c r="U177" s="102" t="str">
        <f>MID(VLOOKUP($A177,Seqs!$A:$B,2,FALSE),VLOOKUP($A177,'NonXtal_SegEnds_Prot#'!A:AL,10,FALSE)+8,1)</f>
        <v>F</v>
      </c>
      <c r="V177" s="102" t="str">
        <f>MID(VLOOKUP($A177,Seqs!$A:$B,2,FALSE),VLOOKUP($A177,'NonXtal_SegEnds_Prot#'!A:AL,10,FALSE)+9,1)</f>
        <v>I</v>
      </c>
      <c r="W177" s="71" t="str">
        <f>MID(VLOOKUP($A177,Seqs!$A:$B,2,FALSE),VLOOKUP($A177,'NonXtal_SegEnds_Prot#'!$A:$AL,22,FALSE)+6,1)</f>
        <v>V</v>
      </c>
      <c r="X177" s="102" t="str">
        <f>MID(VLOOKUP($A177,Seqs!$A:$B,2,FALSE),VLOOKUP($A177,'NonXtal_SegEnds_Prot#'!$A:$AL,22,FALSE)+7,1)</f>
        <v>T</v>
      </c>
      <c r="Y177" s="102" t="str">
        <f>MID(VLOOKUP($A177,Seqs!$A:$B,2,FALSE),VLOOKUP($A177,'NonXtal_SegEnds_Prot#'!$A:$AL,22,FALSE)+8,1)</f>
        <v>T</v>
      </c>
      <c r="Z177" s="102" t="str">
        <f>MID(VLOOKUP($A177,Seqs!$A:$B,2,FALSE),VLOOKUP($A177,'NonXtal_SegEnds_Prot#'!$A:$AL,22,FALSE)+9,1)</f>
        <v>M</v>
      </c>
      <c r="AA177" s="102" t="str">
        <f>MID(VLOOKUP($A177,Seqs!$A:$B,2,FALSE),VLOOKUP($A177,'NonXtal_SegEnds_Prot#'!$A:$AL,22,FALSE)+10,1)</f>
        <v>E</v>
      </c>
      <c r="AB177" s="71" t="str">
        <f>MID(VLOOKUP($A177,Seqs!$A:$B,2,FALSE),VLOOKUP($A177,'NonXtal_SegEnds_Prot#'!$A:$AL,28,FALSE)-4,1)</f>
        <v>L</v>
      </c>
      <c r="AC177" s="102" t="str">
        <f>MID(VLOOKUP($A177,Seqs!$A:$B,2,FALSE),VLOOKUP($A177,'NonXtal_SegEnds_Prot#'!$A:$AL,28,FALSE),1)</f>
        <v>P</v>
      </c>
    </row>
    <row r="178" spans="1:29" s="2" customFormat="1" x14ac:dyDescent="0.2">
      <c r="A178" s="2" t="s">
        <v>489</v>
      </c>
      <c r="B178" s="2" t="str">
        <f>LOWER(VLOOKUP(A178,Xtal_Templ!A:B,2,FALSE))</f>
        <v>p2ry1_human</v>
      </c>
      <c r="C178" s="2" t="str">
        <f>VLOOKUP(A178,Classification!A:D,2,FALSE)</f>
        <v>A</v>
      </c>
      <c r="P178" s="4" t="s">
        <v>51</v>
      </c>
      <c r="R178" s="71" t="str">
        <f>MID(VLOOKUP($A178,Seqs!$A:$B,2,FALSE),VLOOKUP($A178,'NonXtal_SegEnds_Prot#'!A:AL,10,FALSE),1)</f>
        <v>D</v>
      </c>
      <c r="S178" s="102" t="str">
        <f>MID(VLOOKUP($A178,Seqs!$A:$B,2,FALSE),VLOOKUP($A178,'NonXtal_SegEnds_Prot#'!A:AL,10,FALSE)+6,1)</f>
        <v>C</v>
      </c>
      <c r="T178" s="102" t="str">
        <f>MID(VLOOKUP($A178,Seqs!$A:$B,2,FALSE),VLOOKUP($A178,'NonXtal_SegEnds_Prot#'!A:AL,10,FALSE)+7,1)</f>
        <v>S</v>
      </c>
      <c r="U178" s="102" t="str">
        <f>MID(VLOOKUP($A178,Seqs!$A:$B,2,FALSE),VLOOKUP($A178,'NonXtal_SegEnds_Prot#'!A:AL,10,FALSE)+8,1)</f>
        <v>A</v>
      </c>
      <c r="V178" s="102" t="str">
        <f>MID(VLOOKUP($A178,Seqs!$A:$B,2,FALSE),VLOOKUP($A178,'NonXtal_SegEnds_Prot#'!A:AL,10,FALSE)+9,1)</f>
        <v>V</v>
      </c>
      <c r="W178" s="71" t="str">
        <f>MID(VLOOKUP($A178,Seqs!$A:$B,2,FALSE),VLOOKUP($A178,'NonXtal_SegEnds_Prot#'!$A:$AL,22,FALSE)+6,1)</f>
        <v>I</v>
      </c>
      <c r="X178" s="102" t="str">
        <f>MID(VLOOKUP($A178,Seqs!$A:$B,2,FALSE),VLOOKUP($A178,'NonXtal_SegEnds_Prot#'!$A:$AL,22,FALSE)+7,1)</f>
        <v>N</v>
      </c>
      <c r="Y178" s="102" t="str">
        <f>MID(VLOOKUP($A178,Seqs!$A:$B,2,FALSE),VLOOKUP($A178,'NonXtal_SegEnds_Prot#'!$A:$AL,22,FALSE)+8,1)</f>
        <v>I</v>
      </c>
      <c r="Z178" s="102" t="str">
        <f>MID(VLOOKUP($A178,Seqs!$A:$B,2,FALSE),VLOOKUP($A178,'NonXtal_SegEnds_Prot#'!$A:$AL,22,FALSE)+9,1)</f>
        <v>V</v>
      </c>
      <c r="AA178" s="102" t="str">
        <f>MID(VLOOKUP($A178,Seqs!$A:$B,2,FALSE),VLOOKUP($A178,'NonXtal_SegEnds_Prot#'!$A:$AL,22,FALSE)+10,1)</f>
        <v>K</v>
      </c>
      <c r="AB178" s="71" t="str">
        <f>MID(VLOOKUP($A178,Seqs!$A:$B,2,FALSE),VLOOKUP($A178,'NonXtal_SegEnds_Prot#'!$A:$AL,28,FALSE)-4,1)</f>
        <v>A</v>
      </c>
      <c r="AC178" s="102" t="str">
        <f>MID(VLOOKUP($A178,Seqs!$A:$B,2,FALSE),VLOOKUP($A178,'NonXtal_SegEnds_Prot#'!$A:$AL,28,FALSE),1)</f>
        <v>L</v>
      </c>
    </row>
    <row r="179" spans="1:29" s="2" customFormat="1" x14ac:dyDescent="0.2">
      <c r="A179" s="2" t="s">
        <v>490</v>
      </c>
      <c r="B179" s="2" t="str">
        <f>LOWER(VLOOKUP(A179,Xtal_Templ!A:B,2,FALSE))</f>
        <v>s1pr1_human</v>
      </c>
      <c r="C179" s="2" t="str">
        <f>VLOOKUP(A179,Classification!A:D,2,FALSE)</f>
        <v>A</v>
      </c>
      <c r="P179" s="4" t="s">
        <v>51</v>
      </c>
      <c r="R179" s="71" t="str">
        <f>MID(VLOOKUP($A179,Seqs!$A:$B,2,FALSE),VLOOKUP($A179,'NonXtal_SegEnds_Prot#'!A:AL,10,FALSE),1)</f>
        <v>D</v>
      </c>
      <c r="S179" s="102" t="str">
        <f>MID(VLOOKUP($A179,Seqs!$A:$B,2,FALSE),VLOOKUP($A179,'NonXtal_SegEnds_Prot#'!A:AL,10,FALSE)+6,1)</f>
        <v>S</v>
      </c>
      <c r="T179" s="102" t="str">
        <f>MID(VLOOKUP($A179,Seqs!$A:$B,2,FALSE),VLOOKUP($A179,'NonXtal_SegEnds_Prot#'!A:AL,10,FALSE)+7,1)</f>
        <v>N</v>
      </c>
      <c r="U179" s="102" t="str">
        <f>MID(VLOOKUP($A179,Seqs!$A:$B,2,FALSE),VLOOKUP($A179,'NonXtal_SegEnds_Prot#'!A:AL,10,FALSE)+8,1)</f>
        <v>A</v>
      </c>
      <c r="V179" s="102" t="str">
        <f>MID(VLOOKUP($A179,Seqs!$A:$B,2,FALSE),VLOOKUP($A179,'NonXtal_SegEnds_Prot#'!A:AL,10,FALSE)+9,1)</f>
        <v>L</v>
      </c>
      <c r="W179" s="71" t="str">
        <f>MID(VLOOKUP($A179,Seqs!$A:$B,2,FALSE),VLOOKUP($A179,'NonXtal_SegEnds_Prot#'!$A:$AL,22,FALSE)+6,1)</f>
        <v>C</v>
      </c>
      <c r="X179" s="102" t="str">
        <f>MID(VLOOKUP($A179,Seqs!$A:$B,2,FALSE),VLOOKUP($A179,'NonXtal_SegEnds_Prot#'!$A:$AL,22,FALSE)+7,1)</f>
        <v>G</v>
      </c>
      <c r="Y179" s="102" t="str">
        <f>MID(VLOOKUP($A179,Seqs!$A:$B,2,FALSE),VLOOKUP($A179,'NonXtal_SegEnds_Prot#'!$A:$AL,22,FALSE)+8,1)</f>
        <v>V</v>
      </c>
      <c r="Z179" s="102" t="str">
        <f>MID(VLOOKUP($A179,Seqs!$A:$B,2,FALSE),VLOOKUP($A179,'NonXtal_SegEnds_Prot#'!$A:$AL,22,FALSE)+9,1)</f>
        <v>V</v>
      </c>
      <c r="AA179" s="102" t="str">
        <f>MID(VLOOKUP($A179,Seqs!$A:$B,2,FALSE),VLOOKUP($A179,'NonXtal_SegEnds_Prot#'!$A:$AL,22,FALSE)+10,1)</f>
        <v>F</v>
      </c>
      <c r="AB179" s="71" t="str">
        <f>MID(VLOOKUP($A179,Seqs!$A:$B,2,FALSE),VLOOKUP($A179,'NonXtal_SegEnds_Prot#'!$A:$AL,28,FALSE)-4,1)</f>
        <v>M</v>
      </c>
      <c r="AC179" s="102" t="str">
        <f>MID(VLOOKUP($A179,Seqs!$A:$B,2,FALSE),VLOOKUP($A179,'NonXtal_SegEnds_Prot#'!$A:$AL,28,FALSE),1)</f>
        <v>M</v>
      </c>
    </row>
    <row r="180" spans="1:29" s="2" customFormat="1" x14ac:dyDescent="0.2">
      <c r="A180" s="2" t="s">
        <v>491</v>
      </c>
      <c r="B180" s="2" t="str">
        <f>LOWER(VLOOKUP(A180,Xtal_Templ!A:B,2,FALSE))</f>
        <v>s1pr1_human</v>
      </c>
      <c r="C180" s="2" t="str">
        <f>VLOOKUP(A180,Classification!A:D,2,FALSE)</f>
        <v>A</v>
      </c>
      <c r="P180" s="4" t="s">
        <v>51</v>
      </c>
      <c r="R180" s="71" t="str">
        <f>MID(VLOOKUP($A180,Seqs!$A:$B,2,FALSE),VLOOKUP($A180,'NonXtal_SegEnds_Prot#'!A:AL,10,FALSE),1)</f>
        <v>D</v>
      </c>
      <c r="S180" s="102" t="str">
        <f>MID(VLOOKUP($A180,Seqs!$A:$B,2,FALSE),VLOOKUP($A180,'NonXtal_SegEnds_Prot#'!A:AL,10,FALSE)+6,1)</f>
        <v>S</v>
      </c>
      <c r="T180" s="102" t="str">
        <f>MID(VLOOKUP($A180,Seqs!$A:$B,2,FALSE),VLOOKUP($A180,'NonXtal_SegEnds_Prot#'!A:AL,10,FALSE)+7,1)</f>
        <v>N</v>
      </c>
      <c r="U180" s="102" t="str">
        <f>MID(VLOOKUP($A180,Seqs!$A:$B,2,FALSE),VLOOKUP($A180,'NonXtal_SegEnds_Prot#'!A:AL,10,FALSE)+8,1)</f>
        <v>G</v>
      </c>
      <c r="V180" s="102" t="str">
        <f>MID(VLOOKUP($A180,Seqs!$A:$B,2,FALSE),VLOOKUP($A180,'NonXtal_SegEnds_Prot#'!A:AL,10,FALSE)+9,1)</f>
        <v>S</v>
      </c>
      <c r="W180" s="71" t="str">
        <f>MID(VLOOKUP($A180,Seqs!$A:$B,2,FALSE),VLOOKUP($A180,'NonXtal_SegEnds_Prot#'!$A:$AL,22,FALSE)+6,1)</f>
        <v>S</v>
      </c>
      <c r="X180" s="102" t="str">
        <f>MID(VLOOKUP($A180,Seqs!$A:$B,2,FALSE),VLOOKUP($A180,'NonXtal_SegEnds_Prot#'!$A:$AL,22,FALSE)+7,1)</f>
        <v>G</v>
      </c>
      <c r="Y180" s="102" t="str">
        <f>MID(VLOOKUP($A180,Seqs!$A:$B,2,FALSE),VLOOKUP($A180,'NonXtal_SegEnds_Prot#'!$A:$AL,22,FALSE)+8,1)</f>
        <v>I</v>
      </c>
      <c r="Z180" s="102" t="str">
        <f>MID(VLOOKUP($A180,Seqs!$A:$B,2,FALSE),VLOOKUP($A180,'NonXtal_SegEnds_Prot#'!$A:$AL,22,FALSE)+9,1)</f>
        <v>L</v>
      </c>
      <c r="AA180" s="102" t="str">
        <f>MID(VLOOKUP($A180,Seqs!$A:$B,2,FALSE),VLOOKUP($A180,'NonXtal_SegEnds_Prot#'!$A:$AL,22,FALSE)+10,1)</f>
        <v>F</v>
      </c>
      <c r="AB180" s="71" t="str">
        <f>MID(VLOOKUP($A180,Seqs!$A:$B,2,FALSE),VLOOKUP($A180,'NonXtal_SegEnds_Prot#'!$A:$AL,28,FALSE)-4,1)</f>
        <v>M</v>
      </c>
      <c r="AC180" s="102" t="str">
        <f>MID(VLOOKUP($A180,Seqs!$A:$B,2,FALSE),VLOOKUP($A180,'NonXtal_SegEnds_Prot#'!$A:$AL,28,FALSE),1)</f>
        <v>M</v>
      </c>
    </row>
    <row r="181" spans="1:29" s="2" customFormat="1" x14ac:dyDescent="0.2">
      <c r="A181" s="2" t="s">
        <v>492</v>
      </c>
      <c r="B181" s="2" t="str">
        <f>LOWER(VLOOKUP(A181,Xtal_Templ!A:B,2,FALSE))</f>
        <v>aa2ar_human</v>
      </c>
      <c r="C181" s="2" t="str">
        <f>VLOOKUP(A181,Classification!A:D,2,FALSE)</f>
        <v>A</v>
      </c>
      <c r="P181" s="4" t="s">
        <v>51</v>
      </c>
      <c r="R181" s="71" t="str">
        <f>MID(VLOOKUP($A181,Seqs!$A:$B,2,FALSE),VLOOKUP($A181,'NonXtal_SegEnds_Prot#'!A:AL,10,FALSE),1)</f>
        <v>D</v>
      </c>
      <c r="S181" s="102" t="str">
        <f>MID(VLOOKUP($A181,Seqs!$A:$B,2,FALSE),VLOOKUP($A181,'NonXtal_SegEnds_Prot#'!A:AL,10,FALSE)+6,1)</f>
        <v>S</v>
      </c>
      <c r="T181" s="102" t="str">
        <f>MID(VLOOKUP($A181,Seqs!$A:$B,2,FALSE),VLOOKUP($A181,'NonXtal_SegEnds_Prot#'!A:AL,10,FALSE)+7,1)</f>
        <v>S</v>
      </c>
      <c r="U181" s="102" t="str">
        <f>MID(VLOOKUP($A181,Seqs!$A:$B,2,FALSE),VLOOKUP($A181,'NonXtal_SegEnds_Prot#'!A:AL,10,FALSE)+8,1)</f>
        <v>A</v>
      </c>
      <c r="V181" s="102" t="str">
        <f>MID(VLOOKUP($A181,Seqs!$A:$B,2,FALSE),VLOOKUP($A181,'NonXtal_SegEnds_Prot#'!A:AL,10,FALSE)+9,1)</f>
        <v>W</v>
      </c>
      <c r="W181" s="71" t="str">
        <f>MID(VLOOKUP($A181,Seqs!$A:$B,2,FALSE),VLOOKUP($A181,'NonXtal_SegEnds_Prot#'!$A:$AL,22,FALSE)+6,1)</f>
        <v>C</v>
      </c>
      <c r="X181" s="102" t="str">
        <f>MID(VLOOKUP($A181,Seqs!$A:$B,2,FALSE),VLOOKUP($A181,'NonXtal_SegEnds_Prot#'!$A:$AL,22,FALSE)+7,1)</f>
        <v>G</v>
      </c>
      <c r="Y181" s="102" t="str">
        <f>MID(VLOOKUP($A181,Seqs!$A:$B,2,FALSE),VLOOKUP($A181,'NonXtal_SegEnds_Prot#'!$A:$AL,22,FALSE)+8,1)</f>
        <v>I</v>
      </c>
      <c r="Z181" s="102" t="str">
        <f>MID(VLOOKUP($A181,Seqs!$A:$B,2,FALSE),VLOOKUP($A181,'NonXtal_SegEnds_Prot#'!$A:$AL,22,FALSE)+9,1)</f>
        <v>V</v>
      </c>
      <c r="AA181" s="102" t="str">
        <f>MID(VLOOKUP($A181,Seqs!$A:$B,2,FALSE),VLOOKUP($A181,'NonXtal_SegEnds_Prot#'!$A:$AL,22,FALSE)+10,1)</f>
        <v>F</v>
      </c>
      <c r="AB181" s="71" t="str">
        <f>MID(VLOOKUP($A181,Seqs!$A:$B,2,FALSE),VLOOKUP($A181,'NonXtal_SegEnds_Prot#'!$A:$AL,28,FALSE)-4,1)</f>
        <v>M</v>
      </c>
      <c r="AC181" s="102" t="str">
        <f>MID(VLOOKUP($A181,Seqs!$A:$B,2,FALSE),VLOOKUP($A181,'NonXtal_SegEnds_Prot#'!$A:$AL,28,FALSE),1)</f>
        <v>M</v>
      </c>
    </row>
    <row r="182" spans="1:29" s="2" customFormat="1" x14ac:dyDescent="0.2">
      <c r="A182" s="2" t="s">
        <v>493</v>
      </c>
      <c r="B182" s="2" t="str">
        <f>LOWER(VLOOKUP(A182,Xtal_Templ!A:B,2,FALSE))</f>
        <v>oprx_human</v>
      </c>
      <c r="C182" s="2" t="str">
        <f>VLOOKUP(A182,Classification!A:D,2,FALSE)</f>
        <v>A</v>
      </c>
      <c r="N182" s="2" t="s">
        <v>43</v>
      </c>
      <c r="P182" s="4" t="s">
        <v>51</v>
      </c>
      <c r="R182" s="71" t="str">
        <f>MID(VLOOKUP($A182,Seqs!$A:$B,2,FALSE),VLOOKUP($A182,'NonXtal_SegEnds_Prot#'!A:AL,10,FALSE),1)</f>
        <v>D</v>
      </c>
      <c r="S182" s="102" t="str">
        <f>MID(VLOOKUP($A182,Seqs!$A:$B,2,FALSE),VLOOKUP($A182,'NonXtal_SegEnds_Prot#'!A:AL,10,FALSE)+6,1)</f>
        <v>G</v>
      </c>
      <c r="T182" s="102" t="str">
        <f>MID(VLOOKUP($A182,Seqs!$A:$B,2,FALSE),VLOOKUP($A182,'NonXtal_SegEnds_Prot#'!A:AL,10,FALSE)+7,1)</f>
        <v>M</v>
      </c>
      <c r="U182" s="102" t="str">
        <f>MID(VLOOKUP($A182,Seqs!$A:$B,2,FALSE),VLOOKUP($A182,'NonXtal_SegEnds_Prot#'!A:AL,10,FALSE)+8,1)</f>
        <v>P</v>
      </c>
      <c r="V182" s="102" t="str">
        <f>MID(VLOOKUP($A182,Seqs!$A:$B,2,FALSE),VLOOKUP($A182,'NonXtal_SegEnds_Prot#'!A:AL,10,FALSE)+9,1)</f>
        <v>F</v>
      </c>
      <c r="W182" s="71" t="str">
        <f>MID(VLOOKUP($A182,Seqs!$A:$B,2,FALSE),VLOOKUP($A182,'NonXtal_SegEnds_Prot#'!$A:$AL,22,FALSE)+6,1)</f>
        <v>S</v>
      </c>
      <c r="X182" s="102" t="str">
        <f>MID(VLOOKUP($A182,Seqs!$A:$B,2,FALSE),VLOOKUP($A182,'NonXtal_SegEnds_Prot#'!$A:$AL,22,FALSE)+7,1)</f>
        <v>I</v>
      </c>
      <c r="Y182" s="102" t="str">
        <f>MID(VLOOKUP($A182,Seqs!$A:$B,2,FALSE),VLOOKUP($A182,'NonXtal_SegEnds_Prot#'!$A:$AL,22,FALSE)+8,1)</f>
        <v>T</v>
      </c>
      <c r="Z182" s="102" t="str">
        <f>MID(VLOOKUP($A182,Seqs!$A:$B,2,FALSE),VLOOKUP($A182,'NonXtal_SegEnds_Prot#'!$A:$AL,22,FALSE)+9,1)</f>
        <v>P</v>
      </c>
      <c r="AA182" s="102" t="str">
        <f>MID(VLOOKUP($A182,Seqs!$A:$B,2,FALSE),VLOOKUP($A182,'NonXtal_SegEnds_Prot#'!$A:$AL,22,FALSE)+10,1)</f>
        <v>V</v>
      </c>
      <c r="AB182" s="71" t="str">
        <f>MID(VLOOKUP($A182,Seqs!$A:$B,2,FALSE),VLOOKUP($A182,'NonXtal_SegEnds_Prot#'!$A:$AL,28,FALSE)-4,1)</f>
        <v>A</v>
      </c>
      <c r="AC182" s="102" t="str">
        <f>MID(VLOOKUP($A182,Seqs!$A:$B,2,FALSE),VLOOKUP($A182,'NonXtal_SegEnds_Prot#'!$A:$AL,28,FALSE),1)</f>
        <v>P</v>
      </c>
    </row>
    <row r="183" spans="1:29" s="2" customFormat="1" x14ac:dyDescent="0.2">
      <c r="A183" s="2" t="s">
        <v>494</v>
      </c>
      <c r="B183" s="2" t="str">
        <f>LOWER(VLOOKUP(A183,Xtal_Templ!A:B,2,FALSE))</f>
        <v>oprd_mouse</v>
      </c>
      <c r="C183" s="2" t="str">
        <f>VLOOKUP(A183,Classification!A:D,2,FALSE)</f>
        <v>A</v>
      </c>
      <c r="K183" s="2" t="s">
        <v>59</v>
      </c>
      <c r="N183" s="2" t="s">
        <v>43</v>
      </c>
      <c r="P183" s="4" t="s">
        <v>51</v>
      </c>
      <c r="R183" s="71" t="str">
        <f>MID(VLOOKUP($A183,Seqs!$A:$B,2,FALSE),VLOOKUP($A183,'NonXtal_SegEnds_Prot#'!A:AL,10,FALSE),1)</f>
        <v>D</v>
      </c>
      <c r="S183" s="102" t="str">
        <f>MID(VLOOKUP($A183,Seqs!$A:$B,2,FALSE),VLOOKUP($A183,'NonXtal_SegEnds_Prot#'!A:AL,10,FALSE)+6,1)</f>
        <v>G</v>
      </c>
      <c r="T183" s="102" t="str">
        <f>MID(VLOOKUP($A183,Seqs!$A:$B,2,FALSE),VLOOKUP($A183,'NonXtal_SegEnds_Prot#'!A:AL,10,FALSE)+7,1)</f>
        <v>M</v>
      </c>
      <c r="U183" s="102" t="str">
        <f>MID(VLOOKUP($A183,Seqs!$A:$B,2,FALSE),VLOOKUP($A183,'NonXtal_SegEnds_Prot#'!A:AL,10,FALSE)+8,1)</f>
        <v>P</v>
      </c>
      <c r="V183" s="102" t="str">
        <f>MID(VLOOKUP($A183,Seqs!$A:$B,2,FALSE),VLOOKUP($A183,'NonXtal_SegEnds_Prot#'!A:AL,10,FALSE)+9,1)</f>
        <v>F</v>
      </c>
      <c r="W183" s="71" t="str">
        <f>MID(VLOOKUP($A183,Seqs!$A:$B,2,FALSE),VLOOKUP($A183,'NonXtal_SegEnds_Prot#'!$A:$AL,22,FALSE)+6,1)</f>
        <v>L</v>
      </c>
      <c r="X183" s="102" t="str">
        <f>MID(VLOOKUP($A183,Seqs!$A:$B,2,FALSE),VLOOKUP($A183,'NonXtal_SegEnds_Prot#'!$A:$AL,22,FALSE)+7,1)</f>
        <v>A</v>
      </c>
      <c r="Y183" s="102" t="str">
        <f>MID(VLOOKUP($A183,Seqs!$A:$B,2,FALSE),VLOOKUP($A183,'NonXtal_SegEnds_Prot#'!$A:$AL,22,FALSE)+8,1)</f>
        <v>L</v>
      </c>
      <c r="Z183" s="102" t="str">
        <f>MID(VLOOKUP($A183,Seqs!$A:$B,2,FALSE),VLOOKUP($A183,'NonXtal_SegEnds_Prot#'!$A:$AL,22,FALSE)+9,1)</f>
        <v>P</v>
      </c>
      <c r="AA183" s="102" t="str">
        <f>MID(VLOOKUP($A183,Seqs!$A:$B,2,FALSE),VLOOKUP($A183,'NonXtal_SegEnds_Prot#'!$A:$AL,22,FALSE)+10,1)</f>
        <v>V</v>
      </c>
      <c r="AB183" s="71" t="str">
        <f>MID(VLOOKUP($A183,Seqs!$A:$B,2,FALSE),VLOOKUP($A183,'NonXtal_SegEnds_Prot#'!$A:$AL,28,FALSE)-4,1)</f>
        <v>T</v>
      </c>
      <c r="AC183" s="102" t="str">
        <f>MID(VLOOKUP($A183,Seqs!$A:$B,2,FALSE),VLOOKUP($A183,'NonXtal_SegEnds_Prot#'!$A:$AL,28,FALSE),1)</f>
        <v>P</v>
      </c>
    </row>
    <row r="184" spans="1:29" s="2" customFormat="1" x14ac:dyDescent="0.2">
      <c r="A184" s="2" t="s">
        <v>495</v>
      </c>
      <c r="B184" s="2" t="str">
        <f>LOWER(VLOOKUP(A184,Xtal_Templ!A:B,2,FALSE))</f>
        <v>p2ry1_human</v>
      </c>
      <c r="C184" s="2" t="str">
        <f>VLOOKUP(A184,Classification!A:D,2,FALSE)</f>
        <v>A</v>
      </c>
      <c r="N184" s="2" t="s">
        <v>43</v>
      </c>
      <c r="P184" s="4" t="s">
        <v>51</v>
      </c>
      <c r="R184" s="71" t="str">
        <f>MID(VLOOKUP($A184,Seqs!$A:$B,2,FALSE),VLOOKUP($A184,'NonXtal_SegEnds_Prot#'!A:AL,10,FALSE),1)</f>
        <v>D</v>
      </c>
      <c r="S184" s="102" t="str">
        <f>MID(VLOOKUP($A184,Seqs!$A:$B,2,FALSE),VLOOKUP($A184,'NonXtal_SegEnds_Prot#'!A:AL,10,FALSE)+6,1)</f>
        <v>S</v>
      </c>
      <c r="T184" s="102" t="str">
        <f>MID(VLOOKUP($A184,Seqs!$A:$B,2,FALSE),VLOOKUP($A184,'NonXtal_SegEnds_Prot#'!A:AL,10,FALSE)+7,1)</f>
        <v>M</v>
      </c>
      <c r="U184" s="102" t="str">
        <f>MID(VLOOKUP($A184,Seqs!$A:$B,2,FALSE),VLOOKUP($A184,'NonXtal_SegEnds_Prot#'!A:AL,10,FALSE)+8,1)</f>
        <v>A</v>
      </c>
      <c r="V184" s="102" t="str">
        <f>MID(VLOOKUP($A184,Seqs!$A:$B,2,FALSE),VLOOKUP($A184,'NonXtal_SegEnds_Prot#'!A:AL,10,FALSE)+9,1)</f>
        <v>S</v>
      </c>
      <c r="W184" s="71" t="str">
        <f>MID(VLOOKUP($A184,Seqs!$A:$B,2,FALSE),VLOOKUP($A184,'NonXtal_SegEnds_Prot#'!$A:$AL,22,FALSE)+6,1)</f>
        <v>M</v>
      </c>
      <c r="X184" s="102" t="str">
        <f>MID(VLOOKUP($A184,Seqs!$A:$B,2,FALSE),VLOOKUP($A184,'NonXtal_SegEnds_Prot#'!$A:$AL,22,FALSE)+7,1)</f>
        <v>N</v>
      </c>
      <c r="Y184" s="102" t="str">
        <f>MID(VLOOKUP($A184,Seqs!$A:$B,2,FALSE),VLOOKUP($A184,'NonXtal_SegEnds_Prot#'!$A:$AL,22,FALSE)+8,1)</f>
        <v>G</v>
      </c>
      <c r="Z184" s="102" t="str">
        <f>MID(VLOOKUP($A184,Seqs!$A:$B,2,FALSE),VLOOKUP($A184,'NonXtal_SegEnds_Prot#'!$A:$AL,22,FALSE)+9,1)</f>
        <v>L</v>
      </c>
      <c r="AA184" s="102" t="str">
        <f>MID(VLOOKUP($A184,Seqs!$A:$B,2,FALSE),VLOOKUP($A184,'NonXtal_SegEnds_Prot#'!$A:$AL,22,FALSE)+10,1)</f>
        <v>T</v>
      </c>
      <c r="AB184" s="71" t="str">
        <f>MID(VLOOKUP($A184,Seqs!$A:$B,2,FALSE),VLOOKUP($A184,'NonXtal_SegEnds_Prot#'!$A:$AL,28,FALSE)-4,1)</f>
        <v>G</v>
      </c>
      <c r="AC184" s="102" t="str">
        <f>MID(VLOOKUP($A184,Seqs!$A:$B,2,FALSE),VLOOKUP($A184,'NonXtal_SegEnds_Prot#'!$A:$AL,28,FALSE),1)</f>
        <v>P</v>
      </c>
    </row>
    <row r="185" spans="1:29" s="2" customFormat="1" x14ac:dyDescent="0.2">
      <c r="A185" s="2" t="s">
        <v>496</v>
      </c>
      <c r="B185" s="2" t="str">
        <f>LOWER(VLOOKUP(A185,Xtal_Templ!A:B,2,FALSE))</f>
        <v>par1_human</v>
      </c>
      <c r="C185" s="2" t="str">
        <f>VLOOKUP(A185,Classification!A:D,2,FALSE)</f>
        <v>A</v>
      </c>
      <c r="P185" s="4" t="s">
        <v>51</v>
      </c>
      <c r="R185" s="71" t="str">
        <f>MID(VLOOKUP($A185,Seqs!$A:$B,2,FALSE),VLOOKUP($A185,'NonXtal_SegEnds_Prot#'!A:AL,10,FALSE),1)</f>
        <v>D</v>
      </c>
      <c r="S185" s="102" t="str">
        <f>MID(VLOOKUP($A185,Seqs!$A:$B,2,FALSE),VLOOKUP($A185,'NonXtal_SegEnds_Prot#'!A:AL,10,FALSE)+6,1)</f>
        <v>C</v>
      </c>
      <c r="T185" s="102" t="str">
        <f>MID(VLOOKUP($A185,Seqs!$A:$B,2,FALSE),VLOOKUP($A185,'NonXtal_SegEnds_Prot#'!A:AL,10,FALSE)+7,1)</f>
        <v>H</v>
      </c>
      <c r="U185" s="102" t="str">
        <f>MID(VLOOKUP($A185,Seqs!$A:$B,2,FALSE),VLOOKUP($A185,'NonXtal_SegEnds_Prot#'!A:AL,10,FALSE)+8,1)</f>
        <v>M</v>
      </c>
      <c r="V185" s="102" t="str">
        <f>MID(VLOOKUP($A185,Seqs!$A:$B,2,FALSE),VLOOKUP($A185,'NonXtal_SegEnds_Prot#'!A:AL,10,FALSE)+9,1)</f>
        <v>V</v>
      </c>
      <c r="W185" s="71" t="str">
        <f>MID(VLOOKUP($A185,Seqs!$A:$B,2,FALSE),VLOOKUP($A185,'NonXtal_SegEnds_Prot#'!$A:$AL,22,FALSE)+6,1)</f>
        <v>L</v>
      </c>
      <c r="X185" s="102" t="str">
        <f>MID(VLOOKUP($A185,Seqs!$A:$B,2,FALSE),VLOOKUP($A185,'NonXtal_SegEnds_Prot#'!$A:$AL,22,FALSE)+7,1)</f>
        <v>H</v>
      </c>
      <c r="Y185" s="102" t="str">
        <f>MID(VLOOKUP($A185,Seqs!$A:$B,2,FALSE),VLOOKUP($A185,'NonXtal_SegEnds_Prot#'!$A:$AL,22,FALSE)+8,1)</f>
        <v>L</v>
      </c>
      <c r="Z185" s="102" t="str">
        <f>MID(VLOOKUP($A185,Seqs!$A:$B,2,FALSE),VLOOKUP($A185,'NonXtal_SegEnds_Prot#'!$A:$AL,22,FALSE)+9,1)</f>
        <v>L</v>
      </c>
      <c r="AA185" s="102" t="str">
        <f>MID(VLOOKUP($A185,Seqs!$A:$B,2,FALSE),VLOOKUP($A185,'NonXtal_SegEnds_Prot#'!$A:$AL,22,FALSE)+10,1)</f>
        <v>L</v>
      </c>
      <c r="AB185" s="71" t="str">
        <f>MID(VLOOKUP($A185,Seqs!$A:$B,2,FALSE),VLOOKUP($A185,'NonXtal_SegEnds_Prot#'!$A:$AL,28,FALSE)-4,1)</f>
        <v>A</v>
      </c>
      <c r="AC185" s="102" t="str">
        <f>MID(VLOOKUP($A185,Seqs!$A:$B,2,FALSE),VLOOKUP($A185,'NonXtal_SegEnds_Prot#'!$A:$AL,28,FALSE),1)</f>
        <v>C</v>
      </c>
    </row>
    <row r="186" spans="1:29" s="2" customFormat="1" x14ac:dyDescent="0.2">
      <c r="A186" s="2" t="s">
        <v>497</v>
      </c>
      <c r="B186" s="2" t="str">
        <f>LOWER(VLOOKUP(A186,Xtal_Templ!A:B,2,FALSE))</f>
        <v>p2ry1_human</v>
      </c>
      <c r="C186" s="2" t="str">
        <f>VLOOKUP(A186,Classification!A:D,2,FALSE)</f>
        <v>A</v>
      </c>
      <c r="N186" s="2" t="s">
        <v>43</v>
      </c>
      <c r="P186" s="4" t="s">
        <v>51</v>
      </c>
      <c r="R186" s="71" t="str">
        <f>MID(VLOOKUP($A186,Seqs!$A:$B,2,FALSE),VLOOKUP($A186,'NonXtal_SegEnds_Prot#'!A:AL,10,FALSE),1)</f>
        <v>D</v>
      </c>
      <c r="S186" s="102" t="str">
        <f>MID(VLOOKUP($A186,Seqs!$A:$B,2,FALSE),VLOOKUP($A186,'NonXtal_SegEnds_Prot#'!A:AL,10,FALSE)+6,1)</f>
        <v>S</v>
      </c>
      <c r="T186" s="102" t="str">
        <f>MID(VLOOKUP($A186,Seqs!$A:$B,2,FALSE),VLOOKUP($A186,'NonXtal_SegEnds_Prot#'!A:AL,10,FALSE)+7,1)</f>
        <v>K</v>
      </c>
      <c r="U186" s="102" t="str">
        <f>MID(VLOOKUP($A186,Seqs!$A:$B,2,FALSE),VLOOKUP($A186,'NonXtal_SegEnds_Prot#'!A:AL,10,FALSE)+8,1)</f>
        <v>A</v>
      </c>
      <c r="V186" s="102" t="str">
        <f>MID(VLOOKUP($A186,Seqs!$A:$B,2,FALSE),VLOOKUP($A186,'NonXtal_SegEnds_Prot#'!A:AL,10,FALSE)+9,1)</f>
        <v>V</v>
      </c>
      <c r="W186" s="71" t="str">
        <f>MID(VLOOKUP($A186,Seqs!$A:$B,2,FALSE),VLOOKUP($A186,'NonXtal_SegEnds_Prot#'!$A:$AL,22,FALSE)+6,1)</f>
        <v>V</v>
      </c>
      <c r="X186" s="102" t="str">
        <f>MID(VLOOKUP($A186,Seqs!$A:$B,2,FALSE),VLOOKUP($A186,'NonXtal_SegEnds_Prot#'!$A:$AL,22,FALSE)+7,1)</f>
        <v>T</v>
      </c>
      <c r="Y186" s="102" t="str">
        <f>MID(VLOOKUP($A186,Seqs!$A:$B,2,FALSE),VLOOKUP($A186,'NonXtal_SegEnds_Prot#'!$A:$AL,22,FALSE)+8,1)</f>
        <v>C</v>
      </c>
      <c r="Z186" s="102" t="str">
        <f>MID(VLOOKUP($A186,Seqs!$A:$B,2,FALSE),VLOOKUP($A186,'NonXtal_SegEnds_Prot#'!$A:$AL,22,FALSE)+9,1)</f>
        <v>L</v>
      </c>
      <c r="AA186" s="102" t="str">
        <f>MID(VLOOKUP($A186,Seqs!$A:$B,2,FALSE),VLOOKUP($A186,'NonXtal_SegEnds_Prot#'!$A:$AL,22,FALSE)+10,1)</f>
        <v>H</v>
      </c>
      <c r="AB186" s="71" t="str">
        <f>MID(VLOOKUP($A186,Seqs!$A:$B,2,FALSE),VLOOKUP($A186,'NonXtal_SegEnds_Prot#'!$A:$AL,28,FALSE)-4,1)</f>
        <v>L</v>
      </c>
      <c r="AC186" s="102" t="str">
        <f>MID(VLOOKUP($A186,Seqs!$A:$B,2,FALSE),VLOOKUP($A186,'NonXtal_SegEnds_Prot#'!$A:$AL,28,FALSE),1)</f>
        <v>P</v>
      </c>
    </row>
    <row r="187" spans="1:29" s="2" customFormat="1" x14ac:dyDescent="0.2">
      <c r="A187" s="2" t="s">
        <v>498</v>
      </c>
      <c r="B187" s="2" t="str">
        <f>LOWER(VLOOKUP(A187,Xtal_Templ!A:B,2,FALSE))</f>
        <v>agtr1_human</v>
      </c>
      <c r="C187" s="2" t="str">
        <f>VLOOKUP(A187,Classification!A:D,2,FALSE)</f>
        <v>A</v>
      </c>
      <c r="P187" s="4" t="s">
        <v>51</v>
      </c>
      <c r="R187" s="71" t="str">
        <f>MID(VLOOKUP($A187,Seqs!$A:$B,2,FALSE),VLOOKUP($A187,'NonXtal_SegEnds_Prot#'!A:AL,10,FALSE),1)</f>
        <v>D</v>
      </c>
      <c r="S187" s="102" t="str">
        <f>MID(VLOOKUP($A187,Seqs!$A:$B,2,FALSE),VLOOKUP($A187,'NonXtal_SegEnds_Prot#'!A:AL,10,FALSE)+6,1)</f>
        <v>C</v>
      </c>
      <c r="T187" s="102" t="str">
        <f>MID(VLOOKUP($A187,Seqs!$A:$B,2,FALSE),VLOOKUP($A187,'NonXtal_SegEnds_Prot#'!A:AL,10,FALSE)+7,1)</f>
        <v>R</v>
      </c>
      <c r="U187" s="102" t="str">
        <f>MID(VLOOKUP($A187,Seqs!$A:$B,2,FALSE),VLOOKUP($A187,'NonXtal_SegEnds_Prot#'!A:AL,10,FALSE)+8,1)</f>
        <v>V</v>
      </c>
      <c r="V187" s="102" t="str">
        <f>MID(VLOOKUP($A187,Seqs!$A:$B,2,FALSE),VLOOKUP($A187,'NonXtal_SegEnds_Prot#'!A:AL,10,FALSE)+9,1)</f>
        <v>G</v>
      </c>
      <c r="W187" s="71" t="str">
        <f>MID(VLOOKUP($A187,Seqs!$A:$B,2,FALSE),VLOOKUP($A187,'NonXtal_SegEnds_Prot#'!$A:$AL,22,FALSE)+6,1)</f>
        <v>A</v>
      </c>
      <c r="X187" s="102" t="str">
        <f>MID(VLOOKUP($A187,Seqs!$A:$B,2,FALSE),VLOOKUP($A187,'NonXtal_SegEnds_Prot#'!$A:$AL,22,FALSE)+7,1)</f>
        <v>V</v>
      </c>
      <c r="Y187" s="102" t="str">
        <f>MID(VLOOKUP($A187,Seqs!$A:$B,2,FALSE),VLOOKUP($A187,'NonXtal_SegEnds_Prot#'!$A:$AL,22,FALSE)+8,1)</f>
        <v>P</v>
      </c>
      <c r="Z187" s="102" t="str">
        <f>MID(VLOOKUP($A187,Seqs!$A:$B,2,FALSE),VLOOKUP($A187,'NonXtal_SegEnds_Prot#'!$A:$AL,22,FALSE)+9,1)</f>
        <v>L</v>
      </c>
      <c r="AA187" s="102" t="str">
        <f>MID(VLOOKUP($A187,Seqs!$A:$B,2,FALSE),VLOOKUP($A187,'NonXtal_SegEnds_Prot#'!$A:$AL,22,FALSE)+10,1)</f>
        <v>P</v>
      </c>
      <c r="AB187" s="71" t="str">
        <f>MID(VLOOKUP($A187,Seqs!$A:$B,2,FALSE),VLOOKUP($A187,'NonXtal_SegEnds_Prot#'!$A:$AL,28,FALSE)-4,1)</f>
        <v>L</v>
      </c>
      <c r="AC187" s="102" t="str">
        <f>MID(VLOOKUP($A187,Seqs!$A:$B,2,FALSE),VLOOKUP($A187,'NonXtal_SegEnds_Prot#'!$A:$AL,28,FALSE),1)</f>
        <v>R</v>
      </c>
    </row>
    <row r="188" spans="1:29" s="2" customFormat="1" x14ac:dyDescent="0.2">
      <c r="A188" s="2" t="s">
        <v>499</v>
      </c>
      <c r="B188" s="2" t="str">
        <f>LOWER(VLOOKUP(A188,Xtal_Templ!A:B,2,FALSE))</f>
        <v>p2ry1_human</v>
      </c>
      <c r="C188" s="2" t="str">
        <f>VLOOKUP(A188,Classification!A:D,2,FALSE)</f>
        <v>A</v>
      </c>
      <c r="P188" s="4" t="s">
        <v>51</v>
      </c>
      <c r="R188" s="71" t="str">
        <f>MID(VLOOKUP($A188,Seqs!$A:$B,2,FALSE),VLOOKUP($A188,'NonXtal_SegEnds_Prot#'!A:AL,10,FALSE),1)</f>
        <v>D</v>
      </c>
      <c r="S188" s="102" t="str">
        <f>MID(VLOOKUP($A188,Seqs!$A:$B,2,FALSE),VLOOKUP($A188,'NonXtal_SegEnds_Prot#'!A:AL,10,FALSE)+6,1)</f>
        <v>G</v>
      </c>
      <c r="T188" s="102" t="str">
        <f>MID(VLOOKUP($A188,Seqs!$A:$B,2,FALSE),VLOOKUP($A188,'NonXtal_SegEnds_Prot#'!A:AL,10,FALSE)+7,1)</f>
        <v>R</v>
      </c>
      <c r="U188" s="102" t="str">
        <f>MID(VLOOKUP($A188,Seqs!$A:$B,2,FALSE),VLOOKUP($A188,'NonXtal_SegEnds_Prot#'!A:AL,10,FALSE)+8,1)</f>
        <v>L</v>
      </c>
      <c r="V188" s="102" t="str">
        <f>MID(VLOOKUP($A188,Seqs!$A:$B,2,FALSE),VLOOKUP($A188,'NonXtal_SegEnds_Prot#'!A:AL,10,FALSE)+9,1)</f>
        <v>I</v>
      </c>
      <c r="W188" s="71" t="str">
        <f>MID(VLOOKUP($A188,Seqs!$A:$B,2,FALSE),VLOOKUP($A188,'NonXtal_SegEnds_Prot#'!$A:$AL,22,FALSE)+6,1)</f>
        <v>R</v>
      </c>
      <c r="X188" s="102" t="str">
        <f>MID(VLOOKUP($A188,Seqs!$A:$B,2,FALSE),VLOOKUP($A188,'NonXtal_SegEnds_Prot#'!$A:$AL,22,FALSE)+7,1)</f>
        <v>S</v>
      </c>
      <c r="Y188" s="102" t="str">
        <f>MID(VLOOKUP($A188,Seqs!$A:$B,2,FALSE),VLOOKUP($A188,'NonXtal_SegEnds_Prot#'!$A:$AL,22,FALSE)+8,1)</f>
        <v>I</v>
      </c>
      <c r="Z188" s="102" t="str">
        <f>MID(VLOOKUP($A188,Seqs!$A:$B,2,FALSE),VLOOKUP($A188,'NonXtal_SegEnds_Prot#'!$A:$AL,22,FALSE)+9,1)</f>
        <v>L</v>
      </c>
      <c r="AA188" s="102" t="str">
        <f>MID(VLOOKUP($A188,Seqs!$A:$B,2,FALSE),VLOOKUP($A188,'NonXtal_SegEnds_Prot#'!$A:$AL,22,FALSE)+10,1)</f>
        <v>E</v>
      </c>
      <c r="AB188" s="71" t="str">
        <f>MID(VLOOKUP($A188,Seqs!$A:$B,2,FALSE),VLOOKUP($A188,'NonXtal_SegEnds_Prot#'!$A:$AL,28,FALSE)-4,1)</f>
        <v>I</v>
      </c>
      <c r="AC188" s="102" t="str">
        <f>MID(VLOOKUP($A188,Seqs!$A:$B,2,FALSE),VLOOKUP($A188,'NonXtal_SegEnds_Prot#'!$A:$AL,28,FALSE),1)</f>
        <v>V</v>
      </c>
    </row>
    <row r="189" spans="1:29" s="2" customFormat="1" x14ac:dyDescent="0.2">
      <c r="A189" s="2" t="s">
        <v>500</v>
      </c>
      <c r="B189" s="2" t="str">
        <f>LOWER(VLOOKUP(A189,Xtal_Templ!A:B,2,FALSE))</f>
        <v>agtr1_human</v>
      </c>
      <c r="C189" s="2" t="str">
        <f>VLOOKUP(A189,Classification!A:D,2,FALSE)</f>
        <v>A</v>
      </c>
      <c r="P189" s="4" t="s">
        <v>51</v>
      </c>
      <c r="R189" s="71" t="str">
        <f>MID(VLOOKUP($A189,Seqs!$A:$B,2,FALSE),VLOOKUP($A189,'NonXtal_SegEnds_Prot#'!A:AL,10,FALSE),1)</f>
        <v>D</v>
      </c>
      <c r="S189" s="102" t="str">
        <f>MID(VLOOKUP($A189,Seqs!$A:$B,2,FALSE),VLOOKUP($A189,'NonXtal_SegEnds_Prot#'!A:AL,10,FALSE)+6,1)</f>
        <v>F</v>
      </c>
      <c r="T189" s="102" t="str">
        <f>MID(VLOOKUP($A189,Seqs!$A:$B,2,FALSE),VLOOKUP($A189,'NonXtal_SegEnds_Prot#'!A:AL,10,FALSE)+7,1)</f>
        <v>Q</v>
      </c>
      <c r="U189" s="102" t="str">
        <f>MID(VLOOKUP($A189,Seqs!$A:$B,2,FALSE),VLOOKUP($A189,'NonXtal_SegEnds_Prot#'!A:AL,10,FALSE)+8,1)</f>
        <v>I</v>
      </c>
      <c r="V189" s="102" t="str">
        <f>MID(VLOOKUP($A189,Seqs!$A:$B,2,FALSE),VLOOKUP($A189,'NonXtal_SegEnds_Prot#'!A:AL,10,FALSE)+9,1)</f>
        <v>I</v>
      </c>
      <c r="W189" s="71" t="str">
        <f>MID(VLOOKUP($A189,Seqs!$A:$B,2,FALSE),VLOOKUP($A189,'NonXtal_SegEnds_Prot#'!$A:$AL,22,FALSE)+6,1)</f>
        <v>L</v>
      </c>
      <c r="X189" s="102" t="str">
        <f>MID(VLOOKUP($A189,Seqs!$A:$B,2,FALSE),VLOOKUP($A189,'NonXtal_SegEnds_Prot#'!$A:$AL,22,FALSE)+7,1)</f>
        <v>S</v>
      </c>
      <c r="Y189" s="102" t="str">
        <f>MID(VLOOKUP($A189,Seqs!$A:$B,2,FALSE),VLOOKUP($A189,'NonXtal_SegEnds_Prot#'!$A:$AL,22,FALSE)+8,1)</f>
        <v>I</v>
      </c>
      <c r="Z189" s="102" t="str">
        <f>MID(VLOOKUP($A189,Seqs!$A:$B,2,FALSE),VLOOKUP($A189,'NonXtal_SegEnds_Prot#'!$A:$AL,22,FALSE)+9,1)</f>
        <v>L</v>
      </c>
      <c r="AA189" s="102" t="str">
        <f>MID(VLOOKUP($A189,Seqs!$A:$B,2,FALSE),VLOOKUP($A189,'NonXtal_SegEnds_Prot#'!$A:$AL,22,FALSE)+10,1)</f>
        <v>E</v>
      </c>
      <c r="AB189" s="71" t="str">
        <f>MID(VLOOKUP($A189,Seqs!$A:$B,2,FALSE),VLOOKUP($A189,'NonXtal_SegEnds_Prot#'!$A:$AL,28,FALSE)-4,1)</f>
        <v>I</v>
      </c>
      <c r="AC189" s="102" t="str">
        <f>MID(VLOOKUP($A189,Seqs!$A:$B,2,FALSE),VLOOKUP($A189,'NonXtal_SegEnds_Prot#'!$A:$AL,28,FALSE),1)</f>
        <v>M</v>
      </c>
    </row>
    <row r="190" spans="1:29" s="2" customFormat="1" x14ac:dyDescent="0.2">
      <c r="A190" s="2" t="s">
        <v>501</v>
      </c>
      <c r="B190" s="2" t="str">
        <f>LOWER(VLOOKUP(A190,Xtal_Templ!A:B,2,FALSE))</f>
        <v>p2y12_human</v>
      </c>
      <c r="C190" s="2" t="str">
        <f>VLOOKUP(A190,Classification!A:D,2,FALSE)</f>
        <v>A</v>
      </c>
      <c r="P190" s="4" t="s">
        <v>51</v>
      </c>
      <c r="R190" s="71" t="str">
        <f>MID(VLOOKUP($A190,Seqs!$A:$B,2,FALSE),VLOOKUP($A190,'NonXtal_SegEnds_Prot#'!A:AL,10,FALSE),1)</f>
        <v>D</v>
      </c>
      <c r="S190" s="102" t="str">
        <f>MID(VLOOKUP($A190,Seqs!$A:$B,2,FALSE),VLOOKUP($A190,'NonXtal_SegEnds_Prot#'!A:AL,10,FALSE)+6,1)</f>
        <v>G</v>
      </c>
      <c r="T190" s="102" t="str">
        <f>MID(VLOOKUP($A190,Seqs!$A:$B,2,FALSE),VLOOKUP($A190,'NonXtal_SegEnds_Prot#'!A:AL,10,FALSE)+7,1)</f>
        <v>H</v>
      </c>
      <c r="U190" s="102" t="str">
        <f>MID(VLOOKUP($A190,Seqs!$A:$B,2,FALSE),VLOOKUP($A190,'NonXtal_SegEnds_Prot#'!A:AL,10,FALSE)+8,1)</f>
        <v>I</v>
      </c>
      <c r="V190" s="102" t="str">
        <f>MID(VLOOKUP($A190,Seqs!$A:$B,2,FALSE),VLOOKUP($A190,'NonXtal_SegEnds_Prot#'!A:AL,10,FALSE)+9,1)</f>
        <v>I</v>
      </c>
      <c r="W190" s="71" t="str">
        <f>MID(VLOOKUP($A190,Seqs!$A:$B,2,FALSE),VLOOKUP($A190,'NonXtal_SegEnds_Prot#'!$A:$AL,22,FALSE)+6,1)</f>
        <v>R</v>
      </c>
      <c r="X190" s="102" t="str">
        <f>MID(VLOOKUP($A190,Seqs!$A:$B,2,FALSE),VLOOKUP($A190,'NonXtal_SegEnds_Prot#'!$A:$AL,22,FALSE)+7,1)</f>
        <v>S</v>
      </c>
      <c r="Y190" s="102" t="str">
        <f>MID(VLOOKUP($A190,Seqs!$A:$B,2,FALSE),VLOOKUP($A190,'NonXtal_SegEnds_Prot#'!$A:$AL,22,FALSE)+8,1)</f>
        <v>I</v>
      </c>
      <c r="Z190" s="102" t="str">
        <f>MID(VLOOKUP($A190,Seqs!$A:$B,2,FALSE),VLOOKUP($A190,'NonXtal_SegEnds_Prot#'!$A:$AL,22,FALSE)+9,1)</f>
        <v>L</v>
      </c>
      <c r="AA190" s="102" t="str">
        <f>MID(VLOOKUP($A190,Seqs!$A:$B,2,FALSE),VLOOKUP($A190,'NonXtal_SegEnds_Prot#'!$A:$AL,22,FALSE)+10,1)</f>
        <v>E</v>
      </c>
      <c r="AB190" s="71" t="str">
        <f>MID(VLOOKUP($A190,Seqs!$A:$B,2,FALSE),VLOOKUP($A190,'NonXtal_SegEnds_Prot#'!$A:$AL,28,FALSE)-4,1)</f>
        <v>V</v>
      </c>
      <c r="AC190" s="102" t="str">
        <f>MID(VLOOKUP($A190,Seqs!$A:$B,2,FALSE),VLOOKUP($A190,'NonXtal_SegEnds_Prot#'!$A:$AL,28,FALSE),1)</f>
        <v>V</v>
      </c>
    </row>
    <row r="191" spans="1:29" s="2" customFormat="1" x14ac:dyDescent="0.2">
      <c r="A191" s="2" t="s">
        <v>502</v>
      </c>
      <c r="B191" s="2" t="str">
        <f>LOWER(VLOOKUP(A191,Xtal_Templ!A:B,2,FALSE))</f>
        <v>oprk_human</v>
      </c>
      <c r="C191" s="2" t="str">
        <f>VLOOKUP(A191,Classification!A:D,2,FALSE)</f>
        <v>A</v>
      </c>
      <c r="P191" s="4" t="s">
        <v>51</v>
      </c>
      <c r="R191" s="71" t="str">
        <f>MID(VLOOKUP($A191,Seqs!$A:$B,2,FALSE),VLOOKUP($A191,'NonXtal_SegEnds_Prot#'!A:AL,10,FALSE),1)</f>
        <v>D</v>
      </c>
      <c r="S191" s="102" t="str">
        <f>MID(VLOOKUP($A191,Seqs!$A:$B,2,FALSE),VLOOKUP($A191,'NonXtal_SegEnds_Prot#'!A:AL,10,FALSE)+6,1)</f>
        <v>F</v>
      </c>
      <c r="T191" s="102" t="str">
        <f>MID(VLOOKUP($A191,Seqs!$A:$B,2,FALSE),VLOOKUP($A191,'NonXtal_SegEnds_Prot#'!A:AL,10,FALSE)+7,1)</f>
        <v>Q</v>
      </c>
      <c r="U191" s="102" t="str">
        <f>MID(VLOOKUP($A191,Seqs!$A:$B,2,FALSE),VLOOKUP($A191,'NonXtal_SegEnds_Prot#'!A:AL,10,FALSE)+8,1)</f>
        <v>I</v>
      </c>
      <c r="V191" s="102" t="str">
        <f>MID(VLOOKUP($A191,Seqs!$A:$B,2,FALSE),VLOOKUP($A191,'NonXtal_SegEnds_Prot#'!A:AL,10,FALSE)+9,1)</f>
        <v>I</v>
      </c>
      <c r="W191" s="71" t="str">
        <f>MID(VLOOKUP($A191,Seqs!$A:$B,2,FALSE),VLOOKUP($A191,'NonXtal_SegEnds_Prot#'!$A:$AL,22,FALSE)+6,1)</f>
        <v>F</v>
      </c>
      <c r="X191" s="102" t="str">
        <f>MID(VLOOKUP($A191,Seqs!$A:$B,2,FALSE),VLOOKUP($A191,'NonXtal_SegEnds_Prot#'!$A:$AL,22,FALSE)+7,1)</f>
        <v>S</v>
      </c>
      <c r="Y191" s="102" t="str">
        <f>MID(VLOOKUP($A191,Seqs!$A:$B,2,FALSE),VLOOKUP($A191,'NonXtal_SegEnds_Prot#'!$A:$AL,22,FALSE)+8,1)</f>
        <v>M</v>
      </c>
      <c r="Z191" s="102" t="str">
        <f>MID(VLOOKUP($A191,Seqs!$A:$B,2,FALSE),VLOOKUP($A191,'NonXtal_SegEnds_Prot#'!$A:$AL,22,FALSE)+9,1)</f>
        <v>L</v>
      </c>
      <c r="AA191" s="102" t="str">
        <f>MID(VLOOKUP($A191,Seqs!$A:$B,2,FALSE),VLOOKUP($A191,'NonXtal_SegEnds_Prot#'!$A:$AL,22,FALSE)+10,1)</f>
        <v>E</v>
      </c>
      <c r="AB191" s="71" t="str">
        <f>MID(VLOOKUP($A191,Seqs!$A:$B,2,FALSE),VLOOKUP($A191,'NonXtal_SegEnds_Prot#'!$A:$AL,28,FALSE)-4,1)</f>
        <v>I</v>
      </c>
      <c r="AC191" s="102" t="str">
        <f>MID(VLOOKUP($A191,Seqs!$A:$B,2,FALSE),VLOOKUP($A191,'NonXtal_SegEnds_Prot#'!$A:$AL,28,FALSE),1)</f>
        <v>V</v>
      </c>
    </row>
    <row r="192" spans="1:29" s="2" customFormat="1" x14ac:dyDescent="0.2">
      <c r="A192" s="2" t="s">
        <v>503</v>
      </c>
      <c r="B192" s="2" t="str">
        <f>LOWER(VLOOKUP(A192,Xtal_Templ!A:B,2,FALSE))</f>
        <v>s1pr1_human</v>
      </c>
      <c r="C192" s="2" t="str">
        <f>VLOOKUP(A192,Classification!A:D,2,FALSE)</f>
        <v>A</v>
      </c>
      <c r="P192" s="4" t="s">
        <v>51</v>
      </c>
      <c r="R192" s="71" t="str">
        <f>MID(VLOOKUP($A192,Seqs!$A:$B,2,FALSE),VLOOKUP($A192,'NonXtal_SegEnds_Prot#'!A:AL,10,FALSE),1)</f>
        <v>D</v>
      </c>
      <c r="S192" s="102" t="str">
        <f>MID(VLOOKUP($A192,Seqs!$A:$B,2,FALSE),VLOOKUP($A192,'NonXtal_SegEnds_Prot#'!A:AL,10,FALSE)+6,1)</f>
        <v>S</v>
      </c>
      <c r="T192" s="102" t="str">
        <f>MID(VLOOKUP($A192,Seqs!$A:$B,2,FALSE),VLOOKUP($A192,'NonXtal_SegEnds_Prot#'!A:AL,10,FALSE)+7,1)</f>
        <v>N</v>
      </c>
      <c r="U192" s="102" t="str">
        <f>MID(VLOOKUP($A192,Seqs!$A:$B,2,FALSE),VLOOKUP($A192,'NonXtal_SegEnds_Prot#'!A:AL,10,FALSE)+8,1)</f>
        <v>V</v>
      </c>
      <c r="V192" s="102" t="str">
        <f>MID(VLOOKUP($A192,Seqs!$A:$B,2,FALSE),VLOOKUP($A192,'NonXtal_SegEnds_Prot#'!A:AL,10,FALSE)+9,1)</f>
        <v>L</v>
      </c>
      <c r="W192" s="71" t="str">
        <f>MID(VLOOKUP($A192,Seqs!$A:$B,2,FALSE),VLOOKUP($A192,'NonXtal_SegEnds_Prot#'!$A:$AL,22,FALSE)+6,1)</f>
        <v>F</v>
      </c>
      <c r="X192" s="102" t="str">
        <f>MID(VLOOKUP($A192,Seqs!$A:$B,2,FALSE),VLOOKUP($A192,'NonXtal_SegEnds_Prot#'!$A:$AL,22,FALSE)+7,1)</f>
        <v>S</v>
      </c>
      <c r="Y192" s="102" t="str">
        <f>MID(VLOOKUP($A192,Seqs!$A:$B,2,FALSE),VLOOKUP($A192,'NonXtal_SegEnds_Prot#'!$A:$AL,22,FALSE)+8,1)</f>
        <v>T</v>
      </c>
      <c r="Z192" s="102" t="str">
        <f>MID(VLOOKUP($A192,Seqs!$A:$B,2,FALSE),VLOOKUP($A192,'NonXtal_SegEnds_Prot#'!$A:$AL,22,FALSE)+9,1)</f>
        <v>L</v>
      </c>
      <c r="AA192" s="102" t="str">
        <f>MID(VLOOKUP($A192,Seqs!$A:$B,2,FALSE),VLOOKUP($A192,'NonXtal_SegEnds_Prot#'!$A:$AL,22,FALSE)+10,1)</f>
        <v>F</v>
      </c>
      <c r="AB192" s="71" t="str">
        <f>MID(VLOOKUP($A192,Seqs!$A:$B,2,FALSE),VLOOKUP($A192,'NonXtal_SegEnds_Prot#'!$A:$AL,28,FALSE)-4,1)</f>
        <v>F</v>
      </c>
      <c r="AC192" s="102" t="str">
        <f>MID(VLOOKUP($A192,Seqs!$A:$B,2,FALSE),VLOOKUP($A192,'NonXtal_SegEnds_Prot#'!$A:$AL,28,FALSE),1)</f>
        <v>M</v>
      </c>
    </row>
    <row r="193" spans="1:29" s="2" customFormat="1" x14ac:dyDescent="0.2">
      <c r="A193" s="2" t="s">
        <v>504</v>
      </c>
      <c r="B193" s="2" t="str">
        <f>LOWER(VLOOKUP(A193,Xtal_Templ!A:B,2,FALSE))</f>
        <v>ntr1_rat</v>
      </c>
      <c r="C193" s="2" t="str">
        <f>VLOOKUP(A193,Classification!A:D,2,FALSE)</f>
        <v>A</v>
      </c>
      <c r="K193" s="2" t="s">
        <v>59</v>
      </c>
      <c r="N193" s="2" t="s">
        <v>43</v>
      </c>
      <c r="P193" s="4" t="s">
        <v>51</v>
      </c>
      <c r="R193" s="71" t="str">
        <f>MID(VLOOKUP($A193,Seqs!$A:$B,2,FALSE),VLOOKUP($A193,'NonXtal_SegEnds_Prot#'!A:AL,10,FALSE),1)</f>
        <v>D</v>
      </c>
      <c r="S193" s="102" t="str">
        <f>MID(VLOOKUP($A193,Seqs!$A:$B,2,FALSE),VLOOKUP($A193,'NonXtal_SegEnds_Prot#'!A:AL,10,FALSE)+6,1)</f>
        <v>G</v>
      </c>
      <c r="T193" s="102" t="str">
        <f>MID(VLOOKUP($A193,Seqs!$A:$B,2,FALSE),VLOOKUP($A193,'NonXtal_SegEnds_Prot#'!A:AL,10,FALSE)+7,1)</f>
        <v>L</v>
      </c>
      <c r="U193" s="102" t="str">
        <f>MID(VLOOKUP($A193,Seqs!$A:$B,2,FALSE),VLOOKUP($A193,'NonXtal_SegEnds_Prot#'!A:AL,10,FALSE)+8,1)</f>
        <v>P</v>
      </c>
      <c r="V193" s="102" t="str">
        <f>MID(VLOOKUP($A193,Seqs!$A:$B,2,FALSE),VLOOKUP($A193,'NonXtal_SegEnds_Prot#'!A:AL,10,FALSE)+9,1)</f>
        <v>F</v>
      </c>
      <c r="W193" s="71" t="str">
        <f>MID(VLOOKUP($A193,Seqs!$A:$B,2,FALSE),VLOOKUP($A193,'NonXtal_SegEnds_Prot#'!$A:$AL,22,FALSE)+6,1)</f>
        <v>S</v>
      </c>
      <c r="X193" s="102" t="str">
        <f>MID(VLOOKUP($A193,Seqs!$A:$B,2,FALSE),VLOOKUP($A193,'NonXtal_SegEnds_Prot#'!$A:$AL,22,FALSE)+7,1)</f>
        <v>A</v>
      </c>
      <c r="Y193" s="102" t="str">
        <f>MID(VLOOKUP($A193,Seqs!$A:$B,2,FALSE),VLOOKUP($A193,'NonXtal_SegEnds_Prot#'!$A:$AL,22,FALSE)+8,1)</f>
        <v>G</v>
      </c>
      <c r="Z193" s="102" t="str">
        <f>MID(VLOOKUP($A193,Seqs!$A:$B,2,FALSE),VLOOKUP($A193,'NonXtal_SegEnds_Prot#'!$A:$AL,22,FALSE)+9,1)</f>
        <v>P</v>
      </c>
      <c r="AA193" s="102" t="str">
        <f>MID(VLOOKUP($A193,Seqs!$A:$B,2,FALSE),VLOOKUP($A193,'NonXtal_SegEnds_Prot#'!$A:$AL,22,FALSE)+10,1)</f>
        <v>F</v>
      </c>
      <c r="AB193" s="71" t="str">
        <f>MID(VLOOKUP($A193,Seqs!$A:$B,2,FALSE),VLOOKUP($A193,'NonXtal_SegEnds_Prot#'!$A:$AL,28,FALSE)-4,1)</f>
        <v>Y</v>
      </c>
      <c r="AC193" s="102" t="str">
        <f>MID(VLOOKUP($A193,Seqs!$A:$B,2,FALSE),VLOOKUP($A193,'NonXtal_SegEnds_Prot#'!$A:$AL,28,FALSE),1)</f>
        <v>P</v>
      </c>
    </row>
    <row r="194" spans="1:29" s="2" customFormat="1" x14ac:dyDescent="0.2">
      <c r="A194" s="2" t="s">
        <v>505</v>
      </c>
      <c r="B194" s="2" t="str">
        <f>LOWER(VLOOKUP(A194,Xtal_Templ!A:B,2,FALSE))</f>
        <v>adrb1_melga</v>
      </c>
      <c r="C194" s="2" t="str">
        <f>VLOOKUP(A194,Classification!A:D,2,FALSE)</f>
        <v>A</v>
      </c>
      <c r="K194" s="2" t="s">
        <v>59</v>
      </c>
      <c r="N194" s="2" t="s">
        <v>43</v>
      </c>
      <c r="P194" s="4" t="s">
        <v>51</v>
      </c>
      <c r="R194" s="71" t="str">
        <f>MID(VLOOKUP($A194,Seqs!$A:$B,2,FALSE),VLOOKUP($A194,'NonXtal_SegEnds_Prot#'!A:AL,10,FALSE),1)</f>
        <v>D</v>
      </c>
      <c r="S194" s="102" t="str">
        <f>MID(VLOOKUP($A194,Seqs!$A:$B,2,FALSE),VLOOKUP($A194,'NonXtal_SegEnds_Prot#'!A:AL,10,FALSE)+6,1)</f>
        <v>Y</v>
      </c>
      <c r="T194" s="102" t="str">
        <f>MID(VLOOKUP($A194,Seqs!$A:$B,2,FALSE),VLOOKUP($A194,'NonXtal_SegEnds_Prot#'!A:AL,10,FALSE)+7,1)</f>
        <v>P</v>
      </c>
      <c r="U194" s="102" t="str">
        <f>MID(VLOOKUP($A194,Seqs!$A:$B,2,FALSE),VLOOKUP($A194,'NonXtal_SegEnds_Prot#'!A:AL,10,FALSE)+8,1)</f>
        <v>Y</v>
      </c>
      <c r="V194" s="102" t="str">
        <f>MID(VLOOKUP($A194,Seqs!$A:$B,2,FALSE),VLOOKUP($A194,'NonXtal_SegEnds_Prot#'!A:AL,10,FALSE)+9,1)</f>
        <v>P</v>
      </c>
      <c r="W194" s="71" t="str">
        <f>MID(VLOOKUP($A194,Seqs!$A:$B,2,FALSE),VLOOKUP($A194,'NonXtal_SegEnds_Prot#'!$A:$AL,22,FALSE)+6,1)</f>
        <v>A</v>
      </c>
      <c r="X194" s="102" t="str">
        <f>MID(VLOOKUP($A194,Seqs!$A:$B,2,FALSE),VLOOKUP($A194,'NonXtal_SegEnds_Prot#'!$A:$AL,22,FALSE)+7,1)</f>
        <v>V</v>
      </c>
      <c r="Y194" s="102" t="str">
        <f>MID(VLOOKUP($A194,Seqs!$A:$B,2,FALSE),VLOOKUP($A194,'NonXtal_SegEnds_Prot#'!$A:$AL,22,FALSE)+8,1)</f>
        <v>L</v>
      </c>
      <c r="Z194" s="102" t="str">
        <f>MID(VLOOKUP($A194,Seqs!$A:$B,2,FALSE),VLOOKUP($A194,'NonXtal_SegEnds_Prot#'!$A:$AL,22,FALSE)+9,1)</f>
        <v>P</v>
      </c>
      <c r="AA194" s="102" t="str">
        <f>MID(VLOOKUP($A194,Seqs!$A:$B,2,FALSE),VLOOKUP($A194,'NonXtal_SegEnds_Prot#'!$A:$AL,22,FALSE)+10,1)</f>
        <v>N</v>
      </c>
      <c r="AB194" s="71" t="str">
        <f>MID(VLOOKUP($A194,Seqs!$A:$B,2,FALSE),VLOOKUP($A194,'NonXtal_SegEnds_Prot#'!$A:$AL,28,FALSE)-4,1)</f>
        <v>H</v>
      </c>
      <c r="AC194" s="102" t="str">
        <f>MID(VLOOKUP($A194,Seqs!$A:$B,2,FALSE),VLOOKUP($A194,'NonXtal_SegEnds_Prot#'!$A:$AL,28,FALSE),1)</f>
        <v>P</v>
      </c>
    </row>
    <row r="195" spans="1:29" s="2" customFormat="1" x14ac:dyDescent="0.2">
      <c r="A195" s="2" t="s">
        <v>506</v>
      </c>
      <c r="B195" s="2" t="str">
        <f>LOWER(VLOOKUP(A195,Xtal_Templ!A:B,2,FALSE))</f>
        <v>ox2r_human</v>
      </c>
      <c r="C195" s="2" t="str">
        <f>VLOOKUP(A195,Classification!A:D,2,FALSE)</f>
        <v>A</v>
      </c>
      <c r="K195" s="2" t="s">
        <v>59</v>
      </c>
      <c r="N195" s="2" t="s">
        <v>43</v>
      </c>
      <c r="P195" s="4" t="s">
        <v>51</v>
      </c>
      <c r="R195" s="71" t="str">
        <f>MID(VLOOKUP($A195,Seqs!$A:$B,2,FALSE),VLOOKUP($A195,'NonXtal_SegEnds_Prot#'!A:AL,10,FALSE),1)</f>
        <v>D</v>
      </c>
      <c r="S195" s="102" t="str">
        <f>MID(VLOOKUP($A195,Seqs!$A:$B,2,FALSE),VLOOKUP($A195,'NonXtal_SegEnds_Prot#'!A:AL,10,FALSE)+6,1)</f>
        <v>Y</v>
      </c>
      <c r="T195" s="102" t="str">
        <f>MID(VLOOKUP($A195,Seqs!$A:$B,2,FALSE),VLOOKUP($A195,'NonXtal_SegEnds_Prot#'!A:AL,10,FALSE)+7,1)</f>
        <v>P</v>
      </c>
      <c r="U195" s="102" t="str">
        <f>MID(VLOOKUP($A195,Seqs!$A:$B,2,FALSE),VLOOKUP($A195,'NonXtal_SegEnds_Prot#'!A:AL,10,FALSE)+8,1)</f>
        <v>Y</v>
      </c>
      <c r="V195" s="102" t="str">
        <f>MID(VLOOKUP($A195,Seqs!$A:$B,2,FALSE),VLOOKUP($A195,'NonXtal_SegEnds_Prot#'!A:AL,10,FALSE)+9,1)</f>
        <v>P</v>
      </c>
      <c r="W195" s="71" t="str">
        <f>MID(VLOOKUP($A195,Seqs!$A:$B,2,FALSE),VLOOKUP($A195,'NonXtal_SegEnds_Prot#'!$A:$AL,22,FALSE)+6,1)</f>
        <v>A</v>
      </c>
      <c r="X195" s="102" t="str">
        <f>MID(VLOOKUP($A195,Seqs!$A:$B,2,FALSE),VLOOKUP($A195,'NonXtal_SegEnds_Prot#'!$A:$AL,22,FALSE)+7,1)</f>
        <v>L</v>
      </c>
      <c r="Y195" s="102" t="str">
        <f>MID(VLOOKUP($A195,Seqs!$A:$B,2,FALSE),VLOOKUP($A195,'NonXtal_SegEnds_Prot#'!$A:$AL,22,FALSE)+8,1)</f>
        <v>L</v>
      </c>
      <c r="Z195" s="102" t="str">
        <f>MID(VLOOKUP($A195,Seqs!$A:$B,2,FALSE),VLOOKUP($A195,'NonXtal_SegEnds_Prot#'!$A:$AL,22,FALSE)+9,1)</f>
        <v>P</v>
      </c>
      <c r="AA195" s="102" t="str">
        <f>MID(VLOOKUP($A195,Seqs!$A:$B,2,FALSE),VLOOKUP($A195,'NonXtal_SegEnds_Prot#'!$A:$AL,22,FALSE)+10,1)</f>
        <v>N</v>
      </c>
      <c r="AB195" s="71" t="str">
        <f>MID(VLOOKUP($A195,Seqs!$A:$B,2,FALSE),VLOOKUP($A195,'NonXtal_SegEnds_Prot#'!$A:$AL,28,FALSE)-4,1)</f>
        <v>H</v>
      </c>
      <c r="AC195" s="102" t="str">
        <f>MID(VLOOKUP($A195,Seqs!$A:$B,2,FALSE),VLOOKUP($A195,'NonXtal_SegEnds_Prot#'!$A:$AL,28,FALSE),1)</f>
        <v>P</v>
      </c>
    </row>
    <row r="196" spans="1:29" s="2" customFormat="1" x14ac:dyDescent="0.2">
      <c r="A196" s="2" t="s">
        <v>507</v>
      </c>
      <c r="B196" s="2" t="str">
        <f>LOWER(VLOOKUP(A196,Xtal_Templ!A:B,2,FALSE))</f>
        <v>ox2r_human</v>
      </c>
      <c r="C196" s="2" t="str">
        <f>VLOOKUP(A196,Classification!A:D,2,FALSE)</f>
        <v>A</v>
      </c>
      <c r="K196" s="2" t="s">
        <v>59</v>
      </c>
      <c r="N196" s="2" t="s">
        <v>43</v>
      </c>
      <c r="P196" s="4" t="s">
        <v>51</v>
      </c>
      <c r="R196" s="71" t="str">
        <f>MID(VLOOKUP($A196,Seqs!$A:$B,2,FALSE),VLOOKUP($A196,'NonXtal_SegEnds_Prot#'!A:AL,10,FALSE),1)</f>
        <v>D</v>
      </c>
      <c r="S196" s="102" t="str">
        <f>MID(VLOOKUP($A196,Seqs!$A:$B,2,FALSE),VLOOKUP($A196,'NonXtal_SegEnds_Prot#'!A:AL,10,FALSE)+6,1)</f>
        <v>Y</v>
      </c>
      <c r="T196" s="102" t="str">
        <f>MID(VLOOKUP($A196,Seqs!$A:$B,2,FALSE),VLOOKUP($A196,'NonXtal_SegEnds_Prot#'!A:AL,10,FALSE)+7,1)</f>
        <v>P</v>
      </c>
      <c r="U196" s="102" t="str">
        <f>MID(VLOOKUP($A196,Seqs!$A:$B,2,FALSE),VLOOKUP($A196,'NonXtal_SegEnds_Prot#'!A:AL,10,FALSE)+8,1)</f>
        <v>Y</v>
      </c>
      <c r="V196" s="102" t="str">
        <f>MID(VLOOKUP($A196,Seqs!$A:$B,2,FALSE),VLOOKUP($A196,'NonXtal_SegEnds_Prot#'!A:AL,10,FALSE)+9,1)</f>
        <v>P</v>
      </c>
      <c r="W196" s="71" t="str">
        <f>MID(VLOOKUP($A196,Seqs!$A:$B,2,FALSE),VLOOKUP($A196,'NonXtal_SegEnds_Prot#'!$A:$AL,22,FALSE)+6,1)</f>
        <v>A</v>
      </c>
      <c r="X196" s="102" t="str">
        <f>MID(VLOOKUP($A196,Seqs!$A:$B,2,FALSE),VLOOKUP($A196,'NonXtal_SegEnds_Prot#'!$A:$AL,22,FALSE)+7,1)</f>
        <v>V</v>
      </c>
      <c r="Y196" s="102" t="str">
        <f>MID(VLOOKUP($A196,Seqs!$A:$B,2,FALSE),VLOOKUP($A196,'NonXtal_SegEnds_Prot#'!$A:$AL,22,FALSE)+8,1)</f>
        <v>L</v>
      </c>
      <c r="Z196" s="102" t="str">
        <f>MID(VLOOKUP($A196,Seqs!$A:$B,2,FALSE),VLOOKUP($A196,'NonXtal_SegEnds_Prot#'!$A:$AL,22,FALSE)+9,1)</f>
        <v>P</v>
      </c>
      <c r="AA196" s="102" t="str">
        <f>MID(VLOOKUP($A196,Seqs!$A:$B,2,FALSE),VLOOKUP($A196,'NonXtal_SegEnds_Prot#'!$A:$AL,22,FALSE)+10,1)</f>
        <v>N</v>
      </c>
      <c r="AB196" s="71" t="str">
        <f>MID(VLOOKUP($A196,Seqs!$A:$B,2,FALSE),VLOOKUP($A196,'NonXtal_SegEnds_Prot#'!$A:$AL,28,FALSE)-4,1)</f>
        <v>H</v>
      </c>
      <c r="AC196" s="102" t="str">
        <f>MID(VLOOKUP($A196,Seqs!$A:$B,2,FALSE),VLOOKUP($A196,'NonXtal_SegEnds_Prot#'!$A:$AL,28,FALSE),1)</f>
        <v>P</v>
      </c>
    </row>
    <row r="197" spans="1:29" s="2" customFormat="1" x14ac:dyDescent="0.2">
      <c r="A197" s="2" t="s">
        <v>508</v>
      </c>
      <c r="B197" s="2" t="str">
        <f>LOWER(VLOOKUP(A197,Xtal_Templ!A:B,2,FALSE))</f>
        <v>ox2r_human</v>
      </c>
      <c r="C197" s="2" t="str">
        <f>VLOOKUP(A197,Classification!A:D,2,FALSE)</f>
        <v>A</v>
      </c>
      <c r="K197" s="2" t="s">
        <v>59</v>
      </c>
      <c r="N197" s="2" t="s">
        <v>43</v>
      </c>
      <c r="P197" s="4" t="s">
        <v>51</v>
      </c>
      <c r="R197" s="71" t="str">
        <f>MID(VLOOKUP($A197,Seqs!$A:$B,2,FALSE),VLOOKUP($A197,'NonXtal_SegEnds_Prot#'!A:AL,10,FALSE),1)</f>
        <v>E</v>
      </c>
      <c r="S197" s="102" t="str">
        <f>MID(VLOOKUP($A197,Seqs!$A:$B,2,FALSE),VLOOKUP($A197,'NonXtal_SegEnds_Prot#'!A:AL,10,FALSE)+6,1)</f>
        <v>F</v>
      </c>
      <c r="T197" s="102" t="str">
        <f>MID(VLOOKUP($A197,Seqs!$A:$B,2,FALSE),VLOOKUP($A197,'NonXtal_SegEnds_Prot#'!A:AL,10,FALSE)+7,1)</f>
        <v>N</v>
      </c>
      <c r="U197" s="102" t="str">
        <f>MID(VLOOKUP($A197,Seqs!$A:$B,2,FALSE),VLOOKUP($A197,'NonXtal_SegEnds_Prot#'!A:AL,10,FALSE)+8,1)</f>
        <v>T</v>
      </c>
      <c r="V197" s="102" t="str">
        <f>MID(VLOOKUP($A197,Seqs!$A:$B,2,FALSE),VLOOKUP($A197,'NonXtal_SegEnds_Prot#'!A:AL,10,FALSE)+9,1)</f>
        <v>V</v>
      </c>
      <c r="W197" s="71" t="str">
        <f>MID(VLOOKUP($A197,Seqs!$A:$B,2,FALSE),VLOOKUP($A197,'NonXtal_SegEnds_Prot#'!$A:$AL,22,FALSE)+6,1)</f>
        <v>L</v>
      </c>
      <c r="X197" s="102" t="str">
        <f>MID(VLOOKUP($A197,Seqs!$A:$B,2,FALSE),VLOOKUP($A197,'NonXtal_SegEnds_Prot#'!$A:$AL,22,FALSE)+7,1)</f>
        <v>A</v>
      </c>
      <c r="Y197" s="102" t="str">
        <f>MID(VLOOKUP($A197,Seqs!$A:$B,2,FALSE),VLOOKUP($A197,'NonXtal_SegEnds_Prot#'!$A:$AL,22,FALSE)+8,1)</f>
        <v>F</v>
      </c>
      <c r="Z197" s="102" t="str">
        <f>MID(VLOOKUP($A197,Seqs!$A:$B,2,FALSE),VLOOKUP($A197,'NonXtal_SegEnds_Prot#'!$A:$AL,22,FALSE)+9,1)</f>
        <v>P</v>
      </c>
      <c r="AA197" s="102" t="str">
        <f>MID(VLOOKUP($A197,Seqs!$A:$B,2,FALSE),VLOOKUP($A197,'NonXtal_SegEnds_Prot#'!$A:$AL,22,FALSE)+10,1)</f>
        <v>Q</v>
      </c>
      <c r="AB197" s="71" t="str">
        <f>MID(VLOOKUP($A197,Seqs!$A:$B,2,FALSE),VLOOKUP($A197,'NonXtal_SegEnds_Prot#'!$A:$AL,28,FALSE)-4,1)</f>
        <v>I</v>
      </c>
      <c r="AC197" s="102" t="str">
        <f>MID(VLOOKUP($A197,Seqs!$A:$B,2,FALSE),VLOOKUP($A197,'NonXtal_SegEnds_Prot#'!$A:$AL,28,FALSE),1)</f>
        <v>P</v>
      </c>
    </row>
    <row r="198" spans="1:29" s="2" customFormat="1" x14ac:dyDescent="0.2">
      <c r="A198" s="2" t="s">
        <v>509</v>
      </c>
      <c r="B198" s="2" t="str">
        <f>LOWER(VLOOKUP(A198,Xtal_Templ!A:B,2,FALSE))</f>
        <v>ox1r_human</v>
      </c>
      <c r="C198" s="2" t="str">
        <f>VLOOKUP(A198,Classification!A:D,2,FALSE)</f>
        <v>A</v>
      </c>
      <c r="N198" s="2" t="s">
        <v>43</v>
      </c>
      <c r="P198" s="4" t="s">
        <v>51</v>
      </c>
      <c r="R198" s="71" t="str">
        <f>MID(VLOOKUP($A198,Seqs!$A:$B,2,FALSE),VLOOKUP($A198,'NonXtal_SegEnds_Prot#'!A:AL,10,FALSE),1)</f>
        <v>D</v>
      </c>
      <c r="S198" s="102" t="str">
        <f>MID(VLOOKUP($A198,Seqs!$A:$B,2,FALSE),VLOOKUP($A198,'NonXtal_SegEnds_Prot#'!A:AL,10,FALSE)+6,1)</f>
        <v>F</v>
      </c>
      <c r="T198" s="102" t="str">
        <f>MID(VLOOKUP($A198,Seqs!$A:$B,2,FALSE),VLOOKUP($A198,'NonXtal_SegEnds_Prot#'!A:AL,10,FALSE)+7,1)</f>
        <v>N</v>
      </c>
      <c r="U198" s="102" t="str">
        <f>MID(VLOOKUP($A198,Seqs!$A:$B,2,FALSE),VLOOKUP($A198,'NonXtal_SegEnds_Prot#'!A:AL,10,FALSE)+8,1)</f>
        <v>A</v>
      </c>
      <c r="V198" s="102" t="str">
        <f>MID(VLOOKUP($A198,Seqs!$A:$B,2,FALSE),VLOOKUP($A198,'NonXtal_SegEnds_Prot#'!A:AL,10,FALSE)+9,1)</f>
        <v>A</v>
      </c>
      <c r="W198" s="71" t="str">
        <f>MID(VLOOKUP($A198,Seqs!$A:$B,2,FALSE),VLOOKUP($A198,'NonXtal_SegEnds_Prot#'!$A:$AL,22,FALSE)+6,1)</f>
        <v>L</v>
      </c>
      <c r="X198" s="102" t="str">
        <f>MID(VLOOKUP($A198,Seqs!$A:$B,2,FALSE),VLOOKUP($A198,'NonXtal_SegEnds_Prot#'!$A:$AL,22,FALSE)+7,1)</f>
        <v>A</v>
      </c>
      <c r="Y198" s="102" t="str">
        <f>MID(VLOOKUP($A198,Seqs!$A:$B,2,FALSE),VLOOKUP($A198,'NonXtal_SegEnds_Prot#'!$A:$AL,22,FALSE)+8,1)</f>
        <v>S</v>
      </c>
      <c r="Z198" s="102" t="str">
        <f>MID(VLOOKUP($A198,Seqs!$A:$B,2,FALSE),VLOOKUP($A198,'NonXtal_SegEnds_Prot#'!$A:$AL,22,FALSE)+9,1)</f>
        <v>P</v>
      </c>
      <c r="AA198" s="102" t="str">
        <f>MID(VLOOKUP($A198,Seqs!$A:$B,2,FALSE),VLOOKUP($A198,'NonXtal_SegEnds_Prot#'!$A:$AL,22,FALSE)+10,1)</f>
        <v>Q</v>
      </c>
      <c r="AB198" s="71" t="str">
        <f>MID(VLOOKUP($A198,Seqs!$A:$B,2,FALSE),VLOOKUP($A198,'NonXtal_SegEnds_Prot#'!$A:$AL,28,FALSE)-4,1)</f>
        <v>I</v>
      </c>
      <c r="AC198" s="102" t="str">
        <f>MID(VLOOKUP($A198,Seqs!$A:$B,2,FALSE),VLOOKUP($A198,'NonXtal_SegEnds_Prot#'!$A:$AL,28,FALSE),1)</f>
        <v>P</v>
      </c>
    </row>
    <row r="199" spans="1:29" s="2" customFormat="1" x14ac:dyDescent="0.2">
      <c r="A199" s="2" t="s">
        <v>510</v>
      </c>
      <c r="B199" s="2" t="str">
        <f>LOWER(VLOOKUP(A199,Xtal_Templ!A:B,2,FALSE))</f>
        <v>ox2r_human</v>
      </c>
      <c r="C199" s="2" t="str">
        <f>VLOOKUP(A199,Classification!A:D,2,FALSE)</f>
        <v>A</v>
      </c>
      <c r="K199" s="2" t="s">
        <v>59</v>
      </c>
      <c r="N199" s="2" t="s">
        <v>43</v>
      </c>
      <c r="P199" s="4" t="s">
        <v>51</v>
      </c>
      <c r="R199" s="71" t="str">
        <f>MID(VLOOKUP($A199,Seqs!$A:$B,2,FALSE),VLOOKUP($A199,'NonXtal_SegEnds_Prot#'!A:AL,10,FALSE),1)</f>
        <v>D</v>
      </c>
      <c r="S199" s="102" t="str">
        <f>MID(VLOOKUP($A199,Seqs!$A:$B,2,FALSE),VLOOKUP($A199,'NonXtal_SegEnds_Prot#'!A:AL,10,FALSE)+6,1)</f>
        <v>F</v>
      </c>
      <c r="T199" s="102" t="str">
        <f>MID(VLOOKUP($A199,Seqs!$A:$B,2,FALSE),VLOOKUP($A199,'NonXtal_SegEnds_Prot#'!A:AL,10,FALSE)+7,1)</f>
        <v>N</v>
      </c>
      <c r="U199" s="102" t="str">
        <f>MID(VLOOKUP($A199,Seqs!$A:$B,2,FALSE),VLOOKUP($A199,'NonXtal_SegEnds_Prot#'!A:AL,10,FALSE)+8,1)</f>
        <v>T</v>
      </c>
      <c r="V199" s="102" t="str">
        <f>MID(VLOOKUP($A199,Seqs!$A:$B,2,FALSE),VLOOKUP($A199,'NonXtal_SegEnds_Prot#'!A:AL,10,FALSE)+9,1)</f>
        <v>L</v>
      </c>
      <c r="W199" s="71" t="str">
        <f>MID(VLOOKUP($A199,Seqs!$A:$B,2,FALSE),VLOOKUP($A199,'NonXtal_SegEnds_Prot#'!$A:$AL,22,FALSE)+6,1)</f>
        <v>L</v>
      </c>
      <c r="X199" s="102" t="str">
        <f>MID(VLOOKUP($A199,Seqs!$A:$B,2,FALSE),VLOOKUP($A199,'NonXtal_SegEnds_Prot#'!$A:$AL,22,FALSE)+7,1)</f>
        <v>A</v>
      </c>
      <c r="Y199" s="102" t="str">
        <f>MID(VLOOKUP($A199,Seqs!$A:$B,2,FALSE),VLOOKUP($A199,'NonXtal_SegEnds_Prot#'!$A:$AL,22,FALSE)+8,1)</f>
        <v>F</v>
      </c>
      <c r="Z199" s="102" t="str">
        <f>MID(VLOOKUP($A199,Seqs!$A:$B,2,FALSE),VLOOKUP($A199,'NonXtal_SegEnds_Prot#'!$A:$AL,22,FALSE)+9,1)</f>
        <v>P</v>
      </c>
      <c r="AA199" s="102" t="str">
        <f>MID(VLOOKUP($A199,Seqs!$A:$B,2,FALSE),VLOOKUP($A199,'NonXtal_SegEnds_Prot#'!$A:$AL,22,FALSE)+10,1)</f>
        <v>Q</v>
      </c>
      <c r="AB199" s="71" t="str">
        <f>MID(VLOOKUP($A199,Seqs!$A:$B,2,FALSE),VLOOKUP($A199,'NonXtal_SegEnds_Prot#'!$A:$AL,28,FALSE)-4,1)</f>
        <v>V</v>
      </c>
      <c r="AC199" s="102" t="str">
        <f>MID(VLOOKUP($A199,Seqs!$A:$B,2,FALSE),VLOOKUP($A199,'NonXtal_SegEnds_Prot#'!$A:$AL,28,FALSE),1)</f>
        <v>P</v>
      </c>
    </row>
    <row r="200" spans="1:29" s="2" customFormat="1" x14ac:dyDescent="0.2">
      <c r="A200" s="2" t="s">
        <v>511</v>
      </c>
      <c r="B200" s="2" t="str">
        <f>LOWER(VLOOKUP(A200,Xtal_Templ!A:B,2,FALSE))</f>
        <v>ednrb_human</v>
      </c>
      <c r="C200" s="2" t="str">
        <f>VLOOKUP(A200,Classification!A:D,2,FALSE)</f>
        <v>A</v>
      </c>
      <c r="E200" s="2" t="s">
        <v>20</v>
      </c>
      <c r="K200" s="2" t="s">
        <v>59</v>
      </c>
      <c r="N200" s="2" t="s">
        <v>43</v>
      </c>
      <c r="P200" s="4" t="s">
        <v>51</v>
      </c>
      <c r="R200" s="71" t="str">
        <f>MID(VLOOKUP($A200,Seqs!$A:$B,2,FALSE),VLOOKUP($A200,'NonXtal_SegEnds_Prot#'!A:AL,10,FALSE),1)</f>
        <v>D</v>
      </c>
      <c r="S200" s="102" t="str">
        <f>MID(VLOOKUP($A200,Seqs!$A:$B,2,FALSE),VLOOKUP($A200,'NonXtal_SegEnds_Prot#'!A:AL,10,FALSE)+6,1)</f>
        <v>T</v>
      </c>
      <c r="T200" s="102" t="str">
        <f>MID(VLOOKUP($A200,Seqs!$A:$B,2,FALSE),VLOOKUP($A200,'NonXtal_SegEnds_Prot#'!A:AL,10,FALSE)+7,1)</f>
        <v>C</v>
      </c>
      <c r="U200" s="102" t="str">
        <f>MID(VLOOKUP($A200,Seqs!$A:$B,2,FALSE),VLOOKUP($A200,'NonXtal_SegEnds_Prot#'!A:AL,10,FALSE)+8,1)</f>
        <v>V</v>
      </c>
      <c r="V200" s="102" t="str">
        <f>MID(VLOOKUP($A200,Seqs!$A:$B,2,FALSE),VLOOKUP($A200,'NonXtal_SegEnds_Prot#'!A:AL,10,FALSE)+9,1)</f>
        <v>P</v>
      </c>
      <c r="W200" s="71" t="str">
        <f>MID(VLOOKUP($A200,Seqs!$A:$B,2,FALSE),VLOOKUP($A200,'NonXtal_SegEnds_Prot#'!$A:$AL,22,FALSE)+6,1)</f>
        <v>L</v>
      </c>
      <c r="X200" s="102" t="str">
        <f>MID(VLOOKUP($A200,Seqs!$A:$B,2,FALSE),VLOOKUP($A200,'NonXtal_SegEnds_Prot#'!$A:$AL,22,FALSE)+7,1)</f>
        <v>A</v>
      </c>
      <c r="Y200" s="102" t="str">
        <f>MID(VLOOKUP($A200,Seqs!$A:$B,2,FALSE),VLOOKUP($A200,'NonXtal_SegEnds_Prot#'!$A:$AL,22,FALSE)+8,1)</f>
        <v>V</v>
      </c>
      <c r="Z200" s="102" t="str">
        <f>MID(VLOOKUP($A200,Seqs!$A:$B,2,FALSE),VLOOKUP($A200,'NonXtal_SegEnds_Prot#'!$A:$AL,22,FALSE)+9,1)</f>
        <v>P</v>
      </c>
      <c r="AA200" s="102" t="str">
        <f>MID(VLOOKUP($A200,Seqs!$A:$B,2,FALSE),VLOOKUP($A200,'NonXtal_SegEnds_Prot#'!$A:$AL,22,FALSE)+10,1)</f>
        <v>E</v>
      </c>
      <c r="AB200" s="71" t="str">
        <f>MID(VLOOKUP($A200,Seqs!$A:$B,2,FALSE),VLOOKUP($A200,'NonXtal_SegEnds_Prot#'!$A:$AL,28,FALSE)-4,1)</f>
        <v>Y</v>
      </c>
      <c r="AC200" s="102" t="str">
        <f>MID(VLOOKUP($A200,Seqs!$A:$B,2,FALSE),VLOOKUP($A200,'NonXtal_SegEnds_Prot#'!$A:$AL,28,FALSE),1)</f>
        <v>P</v>
      </c>
    </row>
    <row r="201" spans="1:29" s="2" customFormat="1" x14ac:dyDescent="0.2">
      <c r="A201" s="2" t="s">
        <v>512</v>
      </c>
      <c r="B201" s="2" t="str">
        <f>LOWER(VLOOKUP(A201,Xtal_Templ!A:B,2,FALSE))</f>
        <v>ntr1_rat</v>
      </c>
      <c r="C201" s="2" t="str">
        <f>VLOOKUP(A201,Classification!A:D,2,FALSE)</f>
        <v>A</v>
      </c>
      <c r="E201" s="2" t="s">
        <v>20</v>
      </c>
      <c r="K201" s="2" t="s">
        <v>59</v>
      </c>
      <c r="P201" s="4" t="s">
        <v>51</v>
      </c>
      <c r="R201" s="71" t="str">
        <f>MID(VLOOKUP($A201,Seqs!$A:$B,2,FALSE),VLOOKUP($A201,'NonXtal_SegEnds_Prot#'!A:AL,10,FALSE),1)</f>
        <v>D</v>
      </c>
      <c r="S201" s="102" t="str">
        <f>MID(VLOOKUP($A201,Seqs!$A:$B,2,FALSE),VLOOKUP($A201,'NonXtal_SegEnds_Prot#'!A:AL,10,FALSE)+6,1)</f>
        <v>V</v>
      </c>
      <c r="T201" s="102" t="str">
        <f>MID(VLOOKUP($A201,Seqs!$A:$B,2,FALSE),VLOOKUP($A201,'NonXtal_SegEnds_Prot#'!A:AL,10,FALSE)+7,1)</f>
        <v>G</v>
      </c>
      <c r="U201" s="102" t="str">
        <f>MID(VLOOKUP($A201,Seqs!$A:$B,2,FALSE),VLOOKUP($A201,'NonXtal_SegEnds_Prot#'!A:AL,10,FALSE)+8,1)</f>
        <v>L</v>
      </c>
      <c r="V201" s="102" t="str">
        <f>MID(VLOOKUP($A201,Seqs!$A:$B,2,FALSE),VLOOKUP($A201,'NonXtal_SegEnds_Prot#'!A:AL,10,FALSE)+9,1)</f>
        <v>P</v>
      </c>
      <c r="W201" s="71" t="str">
        <f>MID(VLOOKUP($A201,Seqs!$A:$B,2,FALSE),VLOOKUP($A201,'NonXtal_SegEnds_Prot#'!$A:$AL,22,FALSE)+6,1)</f>
        <v>C</v>
      </c>
      <c r="X201" s="102" t="str">
        <f>MID(VLOOKUP($A201,Seqs!$A:$B,2,FALSE),VLOOKUP($A201,'NonXtal_SegEnds_Prot#'!$A:$AL,22,FALSE)+7,1)</f>
        <v>S</v>
      </c>
      <c r="Y201" s="102" t="str">
        <f>MID(VLOOKUP($A201,Seqs!$A:$B,2,FALSE),VLOOKUP($A201,'NonXtal_SegEnds_Prot#'!$A:$AL,22,FALSE)+8,1)</f>
        <v>L</v>
      </c>
      <c r="Z201" s="102" t="str">
        <f>MID(VLOOKUP($A201,Seqs!$A:$B,2,FALSE),VLOOKUP($A201,'NonXtal_SegEnds_Prot#'!$A:$AL,22,FALSE)+9,1)</f>
        <v>P</v>
      </c>
      <c r="AA201" s="102" t="str">
        <f>MID(VLOOKUP($A201,Seqs!$A:$B,2,FALSE),VLOOKUP($A201,'NonXtal_SegEnds_Prot#'!$A:$AL,22,FALSE)+10,1)</f>
        <v>N</v>
      </c>
      <c r="AB201" s="71" t="str">
        <f>MID(VLOOKUP($A201,Seqs!$A:$B,2,FALSE),VLOOKUP($A201,'NonXtal_SegEnds_Prot#'!$A:$AL,28,FALSE)-4,1)</f>
        <v>F</v>
      </c>
      <c r="AC201" s="102" t="str">
        <f>MID(VLOOKUP($A201,Seqs!$A:$B,2,FALSE),VLOOKUP($A201,'NonXtal_SegEnds_Prot#'!$A:$AL,28,FALSE),1)</f>
        <v>P</v>
      </c>
    </row>
    <row r="202" spans="1:29" s="2" customFormat="1" x14ac:dyDescent="0.2">
      <c r="A202" s="2" t="s">
        <v>513</v>
      </c>
      <c r="B202" s="2" t="str">
        <f>LOWER(VLOOKUP(A202,Xtal_Templ!A:B,2,FALSE))</f>
        <v>ntr1_rat</v>
      </c>
      <c r="C202" s="2" t="str">
        <f>VLOOKUP(A202,Classification!A:D,2,FALSE)</f>
        <v>A</v>
      </c>
      <c r="E202" s="2" t="s">
        <v>20</v>
      </c>
      <c r="K202" s="2" t="s">
        <v>59</v>
      </c>
      <c r="P202" s="4" t="s">
        <v>51</v>
      </c>
      <c r="R202" s="71" t="str">
        <f>MID(VLOOKUP($A202,Seqs!$A:$B,2,FALSE),VLOOKUP($A202,'NonXtal_SegEnds_Prot#'!A:AL,10,FALSE),1)</f>
        <v>D</v>
      </c>
      <c r="S202" s="102" t="str">
        <f>MID(VLOOKUP($A202,Seqs!$A:$B,2,FALSE),VLOOKUP($A202,'NonXtal_SegEnds_Prot#'!A:AL,10,FALSE)+6,1)</f>
        <v>L</v>
      </c>
      <c r="T202" s="102" t="str">
        <f>MID(VLOOKUP($A202,Seqs!$A:$B,2,FALSE),VLOOKUP($A202,'NonXtal_SegEnds_Prot#'!A:AL,10,FALSE)+7,1)</f>
        <v>G</v>
      </c>
      <c r="U202" s="102" t="str">
        <f>MID(VLOOKUP($A202,Seqs!$A:$B,2,FALSE),VLOOKUP($A202,'NonXtal_SegEnds_Prot#'!A:AL,10,FALSE)+8,1)</f>
        <v>M</v>
      </c>
      <c r="V202" s="102" t="str">
        <f>MID(VLOOKUP($A202,Seqs!$A:$B,2,FALSE),VLOOKUP($A202,'NonXtal_SegEnds_Prot#'!A:AL,10,FALSE)+9,1)</f>
        <v>P</v>
      </c>
      <c r="W202" s="71" t="str">
        <f>MID(VLOOKUP($A202,Seqs!$A:$B,2,FALSE),VLOOKUP($A202,'NonXtal_SegEnds_Prot#'!$A:$AL,22,FALSE)+6,1)</f>
        <v>F</v>
      </c>
      <c r="X202" s="102" t="str">
        <f>MID(VLOOKUP($A202,Seqs!$A:$B,2,FALSE),VLOOKUP($A202,'NonXtal_SegEnds_Prot#'!$A:$AL,22,FALSE)+7,1)</f>
        <v>S</v>
      </c>
      <c r="Y202" s="102" t="str">
        <f>MID(VLOOKUP($A202,Seqs!$A:$B,2,FALSE),VLOOKUP($A202,'NonXtal_SegEnds_Prot#'!$A:$AL,22,FALSE)+8,1)</f>
        <v>L</v>
      </c>
      <c r="Z202" s="102" t="str">
        <f>MID(VLOOKUP($A202,Seqs!$A:$B,2,FALSE),VLOOKUP($A202,'NonXtal_SegEnds_Prot#'!$A:$AL,22,FALSE)+9,1)</f>
        <v>P</v>
      </c>
      <c r="AA202" s="102" t="str">
        <f>MID(VLOOKUP($A202,Seqs!$A:$B,2,FALSE),VLOOKUP($A202,'NonXtal_SegEnds_Prot#'!$A:$AL,22,FALSE)+10,1)</f>
        <v>N</v>
      </c>
      <c r="AB202" s="71" t="str">
        <f>MID(VLOOKUP($A202,Seqs!$A:$B,2,FALSE),VLOOKUP($A202,'NonXtal_SegEnds_Prot#'!$A:$AL,28,FALSE)-4,1)</f>
        <v>F</v>
      </c>
      <c r="AC202" s="102" t="str">
        <f>MID(VLOOKUP($A202,Seqs!$A:$B,2,FALSE),VLOOKUP($A202,'NonXtal_SegEnds_Prot#'!$A:$AL,28,FALSE),1)</f>
        <v>P</v>
      </c>
    </row>
    <row r="203" spans="1:29" s="2" customFormat="1" x14ac:dyDescent="0.2">
      <c r="A203" s="2" t="s">
        <v>514</v>
      </c>
      <c r="B203" s="2" t="str">
        <f>LOWER(VLOOKUP(A203,Xtal_Templ!A:B,2,FALSE))</f>
        <v>oprx_human</v>
      </c>
      <c r="C203" s="2" t="str">
        <f>VLOOKUP(A203,Classification!A:D,2,FALSE)</f>
        <v>A</v>
      </c>
      <c r="K203" s="2" t="s">
        <v>59</v>
      </c>
      <c r="N203" s="2" t="s">
        <v>43</v>
      </c>
      <c r="P203" s="4" t="s">
        <v>51</v>
      </c>
      <c r="R203" s="71" t="str">
        <f>MID(VLOOKUP($A203,Seqs!$A:$B,2,FALSE),VLOOKUP($A203,'NonXtal_SegEnds_Prot#'!A:AL,10,FALSE),1)</f>
        <v>D</v>
      </c>
      <c r="S203" s="102" t="str">
        <f>MID(VLOOKUP($A203,Seqs!$A:$B,2,FALSE),VLOOKUP($A203,'NonXtal_SegEnds_Prot#'!A:AL,10,FALSE)+6,1)</f>
        <v>V</v>
      </c>
      <c r="T203" s="102" t="str">
        <f>MID(VLOOKUP($A203,Seqs!$A:$B,2,FALSE),VLOOKUP($A203,'NonXtal_SegEnds_Prot#'!A:AL,10,FALSE)+7,1)</f>
        <v>L</v>
      </c>
      <c r="U203" s="102" t="str">
        <f>MID(VLOOKUP($A203,Seqs!$A:$B,2,FALSE),VLOOKUP($A203,'NonXtal_SegEnds_Prot#'!A:AL,10,FALSE)+8,1)</f>
        <v>P</v>
      </c>
      <c r="V203" s="102" t="str">
        <f>MID(VLOOKUP($A203,Seqs!$A:$B,2,FALSE),VLOOKUP($A203,'NonXtal_SegEnds_Prot#'!A:AL,10,FALSE)+9,1)</f>
        <v>I</v>
      </c>
      <c r="W203" s="71" t="str">
        <f>MID(VLOOKUP($A203,Seqs!$A:$B,2,FALSE),VLOOKUP($A203,'NonXtal_SegEnds_Prot#'!$A:$AL,22,FALSE)+6,1)</f>
        <v>V</v>
      </c>
      <c r="X203" s="102" t="str">
        <f>MID(VLOOKUP($A203,Seqs!$A:$B,2,FALSE),VLOOKUP($A203,'NonXtal_SegEnds_Prot#'!$A:$AL,22,FALSE)+7,1)</f>
        <v>V</v>
      </c>
      <c r="Y203" s="102" t="str">
        <f>MID(VLOOKUP($A203,Seqs!$A:$B,2,FALSE),VLOOKUP($A203,'NonXtal_SegEnds_Prot#'!$A:$AL,22,FALSE)+8,1)</f>
        <v>L</v>
      </c>
      <c r="Z203" s="102" t="str">
        <f>MID(VLOOKUP($A203,Seqs!$A:$B,2,FALSE),VLOOKUP($A203,'NonXtal_SegEnds_Prot#'!$A:$AL,22,FALSE)+9,1)</f>
        <v>P</v>
      </c>
      <c r="AA203" s="102" t="str">
        <f>MID(VLOOKUP($A203,Seqs!$A:$B,2,FALSE),VLOOKUP($A203,'NonXtal_SegEnds_Prot#'!$A:$AL,22,FALSE)+10,1)</f>
        <v>F</v>
      </c>
      <c r="AB203" s="71" t="str">
        <f>MID(VLOOKUP($A203,Seqs!$A:$B,2,FALSE),VLOOKUP($A203,'NonXtal_SegEnds_Prot#'!$A:$AL,28,FALSE)-4,1)</f>
        <v>G</v>
      </c>
      <c r="AC203" s="102" t="str">
        <f>MID(VLOOKUP($A203,Seqs!$A:$B,2,FALSE),VLOOKUP($A203,'NonXtal_SegEnds_Prot#'!$A:$AL,28,FALSE),1)</f>
        <v>P</v>
      </c>
    </row>
    <row r="204" spans="1:29" s="2" customFormat="1" x14ac:dyDescent="0.2">
      <c r="A204" s="2" t="s">
        <v>515</v>
      </c>
      <c r="B204" s="2" t="str">
        <f>LOWER(VLOOKUP(A204,Xtal_Templ!A:B,2,FALSE))</f>
        <v>oprd_mouse</v>
      </c>
      <c r="C204" s="2" t="str">
        <f>VLOOKUP(A204,Classification!A:D,2,FALSE)</f>
        <v>A</v>
      </c>
      <c r="K204" s="2" t="s">
        <v>59</v>
      </c>
      <c r="N204" s="2" t="s">
        <v>43</v>
      </c>
      <c r="P204" s="4" t="s">
        <v>51</v>
      </c>
      <c r="R204" s="71" t="str">
        <f>MID(VLOOKUP($A204,Seqs!$A:$B,2,FALSE),VLOOKUP($A204,'NonXtal_SegEnds_Prot#'!A:AL,10,FALSE),1)</f>
        <v>D</v>
      </c>
      <c r="S204" s="102" t="str">
        <f>MID(VLOOKUP($A204,Seqs!$A:$B,2,FALSE),VLOOKUP($A204,'NonXtal_SegEnds_Prot#'!A:AL,10,FALSE)+6,1)</f>
        <v>V</v>
      </c>
      <c r="T204" s="102" t="str">
        <f>MID(VLOOKUP($A204,Seqs!$A:$B,2,FALSE),VLOOKUP($A204,'NonXtal_SegEnds_Prot#'!A:AL,10,FALSE)+7,1)</f>
        <v>L</v>
      </c>
      <c r="U204" s="102" t="str">
        <f>MID(VLOOKUP($A204,Seqs!$A:$B,2,FALSE),VLOOKUP($A204,'NonXtal_SegEnds_Prot#'!A:AL,10,FALSE)+8,1)</f>
        <v>P</v>
      </c>
      <c r="V204" s="102" t="str">
        <f>MID(VLOOKUP($A204,Seqs!$A:$B,2,FALSE),VLOOKUP($A204,'NonXtal_SegEnds_Prot#'!A:AL,10,FALSE)+9,1)</f>
        <v>V</v>
      </c>
      <c r="W204" s="71" t="str">
        <f>MID(VLOOKUP($A204,Seqs!$A:$B,2,FALSE),VLOOKUP($A204,'NonXtal_SegEnds_Prot#'!$A:$AL,22,FALSE)+6,1)</f>
        <v>L</v>
      </c>
      <c r="X204" s="102" t="str">
        <f>MID(VLOOKUP($A204,Seqs!$A:$B,2,FALSE),VLOOKUP($A204,'NonXtal_SegEnds_Prot#'!$A:$AL,22,FALSE)+7,1)</f>
        <v>V</v>
      </c>
      <c r="Y204" s="102" t="str">
        <f>MID(VLOOKUP($A204,Seqs!$A:$B,2,FALSE),VLOOKUP($A204,'NonXtal_SegEnds_Prot#'!$A:$AL,22,FALSE)+8,1)</f>
        <v>L</v>
      </c>
      <c r="Z204" s="102" t="str">
        <f>MID(VLOOKUP($A204,Seqs!$A:$B,2,FALSE),VLOOKUP($A204,'NonXtal_SegEnds_Prot#'!$A:$AL,22,FALSE)+9,1)</f>
        <v>P</v>
      </c>
      <c r="AA204" s="102" t="str">
        <f>MID(VLOOKUP($A204,Seqs!$A:$B,2,FALSE),VLOOKUP($A204,'NonXtal_SegEnds_Prot#'!$A:$AL,22,FALSE)+10,1)</f>
        <v>F</v>
      </c>
      <c r="AB204" s="71" t="str">
        <f>MID(VLOOKUP($A204,Seqs!$A:$B,2,FALSE),VLOOKUP($A204,'NonXtal_SegEnds_Prot#'!$A:$AL,28,FALSE)-4,1)</f>
        <v>G</v>
      </c>
      <c r="AC204" s="102" t="str">
        <f>MID(VLOOKUP($A204,Seqs!$A:$B,2,FALSE),VLOOKUP($A204,'NonXtal_SegEnds_Prot#'!$A:$AL,28,FALSE),1)</f>
        <v>P</v>
      </c>
    </row>
    <row r="205" spans="1:29" s="2" customFormat="1" x14ac:dyDescent="0.2">
      <c r="A205" s="2" t="s">
        <v>516</v>
      </c>
      <c r="B205" s="2" t="str">
        <f>LOWER(VLOOKUP(A205,Xtal_Templ!A:B,2,FALSE))</f>
        <v>ox2r_human</v>
      </c>
      <c r="C205" s="2" t="str">
        <f>VLOOKUP(A205,Classification!A:D,2,FALSE)</f>
        <v>A</v>
      </c>
      <c r="E205" s="2" t="s">
        <v>20</v>
      </c>
      <c r="K205" s="2" t="s">
        <v>59</v>
      </c>
      <c r="N205" s="2" t="s">
        <v>43</v>
      </c>
      <c r="P205" s="4" t="s">
        <v>51</v>
      </c>
      <c r="R205" s="71" t="str">
        <f>MID(VLOOKUP($A205,Seqs!$A:$B,2,FALSE),VLOOKUP($A205,'NonXtal_SegEnds_Prot#'!A:AL,10,FALSE),1)</f>
        <v>D</v>
      </c>
      <c r="S205" s="102" t="str">
        <f>MID(VLOOKUP($A205,Seqs!$A:$B,2,FALSE),VLOOKUP($A205,'NonXtal_SegEnds_Prot#'!A:AL,10,FALSE)+6,1)</f>
        <v>F</v>
      </c>
      <c r="T205" s="102" t="str">
        <f>MID(VLOOKUP($A205,Seqs!$A:$B,2,FALSE),VLOOKUP($A205,'NonXtal_SegEnds_Prot#'!A:AL,10,FALSE)+7,1)</f>
        <v>C</v>
      </c>
      <c r="U205" s="102" t="str">
        <f>MID(VLOOKUP($A205,Seqs!$A:$B,2,FALSE),VLOOKUP($A205,'NonXtal_SegEnds_Prot#'!A:AL,10,FALSE)+8,1)</f>
        <v>M</v>
      </c>
      <c r="V205" s="102" t="str">
        <f>MID(VLOOKUP($A205,Seqs!$A:$B,2,FALSE),VLOOKUP($A205,'NonXtal_SegEnds_Prot#'!A:AL,10,FALSE)+9,1)</f>
        <v>P</v>
      </c>
      <c r="W205" s="71" t="str">
        <f>MID(VLOOKUP($A205,Seqs!$A:$B,2,FALSE),VLOOKUP($A205,'NonXtal_SegEnds_Prot#'!$A:$AL,22,FALSE)+6,1)</f>
        <v>I</v>
      </c>
      <c r="X205" s="102" t="str">
        <f>MID(VLOOKUP($A205,Seqs!$A:$B,2,FALSE),VLOOKUP($A205,'NonXtal_SegEnds_Prot#'!$A:$AL,22,FALSE)+7,1)</f>
        <v>M</v>
      </c>
      <c r="Y205" s="102" t="str">
        <f>MID(VLOOKUP($A205,Seqs!$A:$B,2,FALSE),VLOOKUP($A205,'NonXtal_SegEnds_Prot#'!$A:$AL,22,FALSE)+8,1)</f>
        <v>C</v>
      </c>
      <c r="Z205" s="102" t="str">
        <f>MID(VLOOKUP($A205,Seqs!$A:$B,2,FALSE),VLOOKUP($A205,'NonXtal_SegEnds_Prot#'!$A:$AL,22,FALSE)+9,1)</f>
        <v>P</v>
      </c>
      <c r="AA205" s="102" t="str">
        <f>MID(VLOOKUP($A205,Seqs!$A:$B,2,FALSE),VLOOKUP($A205,'NonXtal_SegEnds_Prot#'!$A:$AL,22,FALSE)+10,1)</f>
        <v>S</v>
      </c>
      <c r="AB205" s="71" t="str">
        <f>MID(VLOOKUP($A205,Seqs!$A:$B,2,FALSE),VLOOKUP($A205,'NonXtal_SegEnds_Prot#'!$A:$AL,28,FALSE)-4,1)</f>
        <v>I</v>
      </c>
      <c r="AC205" s="102" t="str">
        <f>MID(VLOOKUP($A205,Seqs!$A:$B,2,FALSE),VLOOKUP($A205,'NonXtal_SegEnds_Prot#'!$A:$AL,28,FALSE),1)</f>
        <v>P</v>
      </c>
    </row>
    <row r="206" spans="1:29" s="2" customFormat="1" x14ac:dyDescent="0.2">
      <c r="A206" s="2" t="s">
        <v>517</v>
      </c>
      <c r="B206" s="2" t="str">
        <f>LOWER(VLOOKUP(A206,Xtal_Templ!A:B,2,FALSE))</f>
        <v>ox1r_human</v>
      </c>
      <c r="C206" s="2" t="str">
        <f>VLOOKUP(A206,Classification!A:D,2,FALSE)</f>
        <v>A</v>
      </c>
      <c r="E206" s="2" t="s">
        <v>20</v>
      </c>
      <c r="N206" s="2" t="s">
        <v>43</v>
      </c>
      <c r="P206" s="4" t="s">
        <v>51</v>
      </c>
      <c r="R206" s="71" t="str">
        <f>MID(VLOOKUP($A206,Seqs!$A:$B,2,FALSE),VLOOKUP($A206,'NonXtal_SegEnds_Prot#'!A:AL,10,FALSE),1)</f>
        <v>D</v>
      </c>
      <c r="S206" s="102" t="str">
        <f>MID(VLOOKUP($A206,Seqs!$A:$B,2,FALSE),VLOOKUP($A206,'NonXtal_SegEnds_Prot#'!A:AL,10,FALSE)+6,1)</f>
        <v>F</v>
      </c>
      <c r="T206" s="102" t="str">
        <f>MID(VLOOKUP($A206,Seqs!$A:$B,2,FALSE),VLOOKUP($A206,'NonXtal_SegEnds_Prot#'!A:AL,10,FALSE)+7,1)</f>
        <v>C</v>
      </c>
      <c r="U206" s="102" t="str">
        <f>MID(VLOOKUP($A206,Seqs!$A:$B,2,FALSE),VLOOKUP($A206,'NonXtal_SegEnds_Prot#'!A:AL,10,FALSE)+8,1)</f>
        <v>M</v>
      </c>
      <c r="V206" s="102" t="str">
        <f>MID(VLOOKUP($A206,Seqs!$A:$B,2,FALSE),VLOOKUP($A206,'NonXtal_SegEnds_Prot#'!A:AL,10,FALSE)+9,1)</f>
        <v>P</v>
      </c>
      <c r="W206" s="71" t="str">
        <f>MID(VLOOKUP($A206,Seqs!$A:$B,2,FALSE),VLOOKUP($A206,'NonXtal_SegEnds_Prot#'!$A:$AL,22,FALSE)+6,1)</f>
        <v>I</v>
      </c>
      <c r="X206" s="102" t="str">
        <f>MID(VLOOKUP($A206,Seqs!$A:$B,2,FALSE),VLOOKUP($A206,'NonXtal_SegEnds_Prot#'!$A:$AL,22,FALSE)+7,1)</f>
        <v>M</v>
      </c>
      <c r="Y206" s="102" t="str">
        <f>MID(VLOOKUP($A206,Seqs!$A:$B,2,FALSE),VLOOKUP($A206,'NonXtal_SegEnds_Prot#'!$A:$AL,22,FALSE)+8,1)</f>
        <v>S</v>
      </c>
      <c r="Z206" s="102" t="str">
        <f>MID(VLOOKUP($A206,Seqs!$A:$B,2,FALSE),VLOOKUP($A206,'NonXtal_SegEnds_Prot#'!$A:$AL,22,FALSE)+9,1)</f>
        <v>P</v>
      </c>
      <c r="AA206" s="102" t="str">
        <f>MID(VLOOKUP($A206,Seqs!$A:$B,2,FALSE),VLOOKUP($A206,'NonXtal_SegEnds_Prot#'!$A:$AL,22,FALSE)+10,1)</f>
        <v>S</v>
      </c>
      <c r="AB206" s="71" t="str">
        <f>MID(VLOOKUP($A206,Seqs!$A:$B,2,FALSE),VLOOKUP($A206,'NonXtal_SegEnds_Prot#'!$A:$AL,28,FALSE)-4,1)</f>
        <v>I</v>
      </c>
      <c r="AC206" s="102" t="str">
        <f>MID(VLOOKUP($A206,Seqs!$A:$B,2,FALSE),VLOOKUP($A206,'NonXtal_SegEnds_Prot#'!$A:$AL,28,FALSE),1)</f>
        <v>P</v>
      </c>
    </row>
    <row r="207" spans="1:29" s="2" customFormat="1" x14ac:dyDescent="0.2">
      <c r="A207" s="2" t="s">
        <v>518</v>
      </c>
      <c r="B207" s="2" t="str">
        <f>LOWER(VLOOKUP(A207,Xtal_Templ!A:B,2,FALSE))</f>
        <v>ox2r_human</v>
      </c>
      <c r="C207" s="2" t="str">
        <f>VLOOKUP(A207,Classification!A:D,2,FALSE)</f>
        <v>A</v>
      </c>
      <c r="K207" s="2" t="s">
        <v>59</v>
      </c>
      <c r="N207" s="2" t="s">
        <v>43</v>
      </c>
      <c r="P207" s="4" t="s">
        <v>51</v>
      </c>
      <c r="R207" s="71" t="str">
        <f>MID(VLOOKUP($A207,Seqs!$A:$B,2,FALSE),VLOOKUP($A207,'NonXtal_SegEnds_Prot#'!A:AL,10,FALSE),1)</f>
        <v>D</v>
      </c>
      <c r="S207" s="102" t="str">
        <f>MID(VLOOKUP($A207,Seqs!$A:$B,2,FALSE),VLOOKUP($A207,'NonXtal_SegEnds_Prot#'!A:AL,10,FALSE)+6,1)</f>
        <v>V</v>
      </c>
      <c r="T207" s="102" t="str">
        <f>MID(VLOOKUP($A207,Seqs!$A:$B,2,FALSE),VLOOKUP($A207,'NonXtal_SegEnds_Prot#'!A:AL,10,FALSE)+7,1)</f>
        <v>N</v>
      </c>
      <c r="U207" s="102" t="str">
        <f>MID(VLOOKUP($A207,Seqs!$A:$B,2,FALSE),VLOOKUP($A207,'NonXtal_SegEnds_Prot#'!A:AL,10,FALSE)+8,1)</f>
        <v>I</v>
      </c>
      <c r="V207" s="102" t="str">
        <f>MID(VLOOKUP($A207,Seqs!$A:$B,2,FALSE),VLOOKUP($A207,'NonXtal_SegEnds_Prot#'!A:AL,10,FALSE)+9,1)</f>
        <v>L</v>
      </c>
      <c r="W207" s="71" t="str">
        <f>MID(VLOOKUP($A207,Seqs!$A:$B,2,FALSE),VLOOKUP($A207,'NonXtal_SegEnds_Prot#'!$A:$AL,22,FALSE)+6,1)</f>
        <v>F</v>
      </c>
      <c r="X207" s="102" t="str">
        <f>MID(VLOOKUP($A207,Seqs!$A:$B,2,FALSE),VLOOKUP($A207,'NonXtal_SegEnds_Prot#'!$A:$AL,22,FALSE)+7,1)</f>
        <v>S</v>
      </c>
      <c r="Y207" s="102" t="str">
        <f>MID(VLOOKUP($A207,Seqs!$A:$B,2,FALSE),VLOOKUP($A207,'NonXtal_SegEnds_Prot#'!$A:$AL,22,FALSE)+8,1)</f>
        <v>I</v>
      </c>
      <c r="Z207" s="102" t="str">
        <f>MID(VLOOKUP($A207,Seqs!$A:$B,2,FALSE),VLOOKUP($A207,'NonXtal_SegEnds_Prot#'!$A:$AL,22,FALSE)+9,1)</f>
        <v>P</v>
      </c>
      <c r="AA207" s="102" t="str">
        <f>MID(VLOOKUP($A207,Seqs!$A:$B,2,FALSE),VLOOKUP($A207,'NonXtal_SegEnds_Prot#'!$A:$AL,22,FALSE)+10,1)</f>
        <v>T</v>
      </c>
      <c r="AB207" s="71" t="str">
        <f>MID(VLOOKUP($A207,Seqs!$A:$B,2,FALSE),VLOOKUP($A207,'NonXtal_SegEnds_Prot#'!$A:$AL,28,FALSE)-4,1)</f>
        <v>V</v>
      </c>
      <c r="AC207" s="102" t="str">
        <f>MID(VLOOKUP($A207,Seqs!$A:$B,2,FALSE),VLOOKUP($A207,'NonXtal_SegEnds_Prot#'!$A:$AL,28,FALSE),1)</f>
        <v>P</v>
      </c>
    </row>
    <row r="208" spans="1:29" s="2" customFormat="1" x14ac:dyDescent="0.2">
      <c r="A208" s="2" t="s">
        <v>519</v>
      </c>
      <c r="B208" s="2" t="str">
        <f>LOWER(VLOOKUP(A208,Xtal_Templ!A:B,2,FALSE))</f>
        <v>ox2r_human</v>
      </c>
      <c r="C208" s="2" t="str">
        <f>VLOOKUP(A208,Classification!A:D,2,FALSE)</f>
        <v>A</v>
      </c>
      <c r="E208" s="2" t="s">
        <v>20</v>
      </c>
      <c r="K208" s="2" t="s">
        <v>59</v>
      </c>
      <c r="N208" s="2" t="s">
        <v>43</v>
      </c>
      <c r="P208" s="4" t="s">
        <v>51</v>
      </c>
      <c r="R208" s="71" t="str">
        <f>MID(VLOOKUP($A208,Seqs!$A:$B,2,FALSE),VLOOKUP($A208,'NonXtal_SegEnds_Prot#'!A:AL,10,FALSE),1)</f>
        <v>D</v>
      </c>
      <c r="S208" s="102" t="str">
        <f>MID(VLOOKUP($A208,Seqs!$A:$B,2,FALSE),VLOOKUP($A208,'NonXtal_SegEnds_Prot#'!A:AL,10,FALSE)+6,1)</f>
        <v>M</v>
      </c>
      <c r="T208" s="102" t="str">
        <f>MID(VLOOKUP($A208,Seqs!$A:$B,2,FALSE),VLOOKUP($A208,'NonXtal_SegEnds_Prot#'!A:AL,10,FALSE)+7,1)</f>
        <v>C</v>
      </c>
      <c r="U208" s="102" t="str">
        <f>MID(VLOOKUP($A208,Seqs!$A:$B,2,FALSE),VLOOKUP($A208,'NonXtal_SegEnds_Prot#'!A:AL,10,FALSE)+8,1)</f>
        <v>L</v>
      </c>
      <c r="V208" s="102" t="str">
        <f>MID(VLOOKUP($A208,Seqs!$A:$B,2,FALSE),VLOOKUP($A208,'NonXtal_SegEnds_Prot#'!A:AL,10,FALSE)+9,1)</f>
        <v>P</v>
      </c>
      <c r="W208" s="71" t="str">
        <f>MID(VLOOKUP($A208,Seqs!$A:$B,2,FALSE),VLOOKUP($A208,'NonXtal_SegEnds_Prot#'!$A:$AL,22,FALSE)+6,1)</f>
        <v>S</v>
      </c>
      <c r="X208" s="102" t="str">
        <f>MID(VLOOKUP($A208,Seqs!$A:$B,2,FALSE),VLOOKUP($A208,'NonXtal_SegEnds_Prot#'!$A:$AL,22,FALSE)+7,1)</f>
        <v>S</v>
      </c>
      <c r="Y208" s="102" t="str">
        <f>MID(VLOOKUP($A208,Seqs!$A:$B,2,FALSE),VLOOKUP($A208,'NonXtal_SegEnds_Prot#'!$A:$AL,22,FALSE)+8,1)</f>
        <v>L</v>
      </c>
      <c r="Z208" s="102" t="str">
        <f>MID(VLOOKUP($A208,Seqs!$A:$B,2,FALSE),VLOOKUP($A208,'NonXtal_SegEnds_Prot#'!$A:$AL,22,FALSE)+9,1)</f>
        <v>P</v>
      </c>
      <c r="AA208" s="102" t="str">
        <f>MID(VLOOKUP($A208,Seqs!$A:$B,2,FALSE),VLOOKUP($A208,'NonXtal_SegEnds_Prot#'!$A:$AL,22,FALSE)+10,1)</f>
        <v>F</v>
      </c>
      <c r="AB208" s="71" t="str">
        <f>MID(VLOOKUP($A208,Seqs!$A:$B,2,FALSE),VLOOKUP($A208,'NonXtal_SegEnds_Prot#'!$A:$AL,28,FALSE)-4,1)</f>
        <v>Q</v>
      </c>
      <c r="AC208" s="102" t="str">
        <f>MID(VLOOKUP($A208,Seqs!$A:$B,2,FALSE),VLOOKUP($A208,'NonXtal_SegEnds_Prot#'!$A:$AL,28,FALSE),1)</f>
        <v>P</v>
      </c>
    </row>
    <row r="209" spans="1:29" s="2" customFormat="1" x14ac:dyDescent="0.2">
      <c r="A209" s="2" t="s">
        <v>520</v>
      </c>
      <c r="B209" s="2" t="str">
        <f>LOWER(VLOOKUP(A209,Xtal_Templ!A:B,2,FALSE))</f>
        <v>ox1r_human</v>
      </c>
      <c r="C209" s="2" t="str">
        <f>VLOOKUP(A209,Classification!A:D,2,FALSE)</f>
        <v>A</v>
      </c>
      <c r="E209" s="2" t="s">
        <v>20</v>
      </c>
      <c r="N209" s="2" t="s">
        <v>43</v>
      </c>
      <c r="P209" s="4" t="s">
        <v>51</v>
      </c>
      <c r="R209" s="71" t="str">
        <f>MID(VLOOKUP($A209,Seqs!$A:$B,2,FALSE),VLOOKUP($A209,'NonXtal_SegEnds_Prot#'!A:AL,10,FALSE),1)</f>
        <v>D</v>
      </c>
      <c r="S209" s="102" t="str">
        <f>MID(VLOOKUP($A209,Seqs!$A:$B,2,FALSE),VLOOKUP($A209,'NonXtal_SegEnds_Prot#'!A:AL,10,FALSE)+6,1)</f>
        <v>L</v>
      </c>
      <c r="T209" s="102" t="str">
        <f>MID(VLOOKUP($A209,Seqs!$A:$B,2,FALSE),VLOOKUP($A209,'NonXtal_SegEnds_Prot#'!A:AL,10,FALSE)+7,1)</f>
        <v>C</v>
      </c>
      <c r="U209" s="102" t="str">
        <f>MID(VLOOKUP($A209,Seqs!$A:$B,2,FALSE),VLOOKUP($A209,'NonXtal_SegEnds_Prot#'!A:AL,10,FALSE)+8,1)</f>
        <v>L</v>
      </c>
      <c r="V209" s="102" t="str">
        <f>MID(VLOOKUP($A209,Seqs!$A:$B,2,FALSE),VLOOKUP($A209,'NonXtal_SegEnds_Prot#'!A:AL,10,FALSE)+9,1)</f>
        <v>P</v>
      </c>
      <c r="W209" s="71" t="str">
        <f>MID(VLOOKUP($A209,Seqs!$A:$B,2,FALSE),VLOOKUP($A209,'NonXtal_SegEnds_Prot#'!$A:$AL,22,FALSE)+6,1)</f>
        <v>L</v>
      </c>
      <c r="X209" s="102" t="str">
        <f>MID(VLOOKUP($A209,Seqs!$A:$B,2,FALSE),VLOOKUP($A209,'NonXtal_SegEnds_Prot#'!$A:$AL,22,FALSE)+7,1)</f>
        <v>A</v>
      </c>
      <c r="Y209" s="102" t="str">
        <f>MID(VLOOKUP($A209,Seqs!$A:$B,2,FALSE),VLOOKUP($A209,'NonXtal_SegEnds_Prot#'!$A:$AL,22,FALSE)+8,1)</f>
        <v>S</v>
      </c>
      <c r="Z209" s="102" t="str">
        <f>MID(VLOOKUP($A209,Seqs!$A:$B,2,FALSE),VLOOKUP($A209,'NonXtal_SegEnds_Prot#'!$A:$AL,22,FALSE)+9,1)</f>
        <v>P</v>
      </c>
      <c r="AA209" s="102" t="str">
        <f>MID(VLOOKUP($A209,Seqs!$A:$B,2,FALSE),VLOOKUP($A209,'NonXtal_SegEnds_Prot#'!$A:$AL,22,FALSE)+10,1)</f>
        <v>L</v>
      </c>
      <c r="AB209" s="71" t="str">
        <f>MID(VLOOKUP($A209,Seqs!$A:$B,2,FALSE),VLOOKUP($A209,'NonXtal_SegEnds_Prot#'!$A:$AL,28,FALSE)-4,1)</f>
        <v>L</v>
      </c>
      <c r="AC209" s="102" t="str">
        <f>MID(VLOOKUP($A209,Seqs!$A:$B,2,FALSE),VLOOKUP($A209,'NonXtal_SegEnds_Prot#'!$A:$AL,28,FALSE),1)</f>
        <v>P</v>
      </c>
    </row>
    <row r="210" spans="1:29" s="2" customFormat="1" x14ac:dyDescent="0.2">
      <c r="A210" s="2" t="s">
        <v>521</v>
      </c>
      <c r="B210" s="2" t="str">
        <f>LOWER(VLOOKUP(A210,Xtal_Templ!A:B,2,FALSE))</f>
        <v>ox2r_human</v>
      </c>
      <c r="C210" s="2" t="str">
        <f>VLOOKUP(A210,Classification!A:D,2,FALSE)</f>
        <v>A</v>
      </c>
      <c r="E210" s="2" t="s">
        <v>20</v>
      </c>
      <c r="K210" s="2" t="s">
        <v>59</v>
      </c>
      <c r="N210" s="2" t="s">
        <v>43</v>
      </c>
      <c r="P210" s="4" t="s">
        <v>51</v>
      </c>
      <c r="R210" s="71" t="str">
        <f>MID(VLOOKUP($A210,Seqs!$A:$B,2,FALSE),VLOOKUP($A210,'NonXtal_SegEnds_Prot#'!A:AL,10,FALSE),1)</f>
        <v>D</v>
      </c>
      <c r="S210" s="102" t="str">
        <f>MID(VLOOKUP($A210,Seqs!$A:$B,2,FALSE),VLOOKUP($A210,'NonXtal_SegEnds_Prot#'!A:AL,10,FALSE)+6,1)</f>
        <v>L</v>
      </c>
      <c r="T210" s="102" t="str">
        <f>MID(VLOOKUP($A210,Seqs!$A:$B,2,FALSE),VLOOKUP($A210,'NonXtal_SegEnds_Prot#'!A:AL,10,FALSE)+7,1)</f>
        <v>C</v>
      </c>
      <c r="U210" s="102" t="str">
        <f>MID(VLOOKUP($A210,Seqs!$A:$B,2,FALSE),VLOOKUP($A210,'NonXtal_SegEnds_Prot#'!A:AL,10,FALSE)+8,1)</f>
        <v>Q</v>
      </c>
      <c r="V210" s="102" t="str">
        <f>MID(VLOOKUP($A210,Seqs!$A:$B,2,FALSE),VLOOKUP($A210,'NonXtal_SegEnds_Prot#'!A:AL,10,FALSE)+9,1)</f>
        <v>P</v>
      </c>
      <c r="W210" s="71" t="str">
        <f>MID(VLOOKUP($A210,Seqs!$A:$B,2,FALSE),VLOOKUP($A210,'NonXtal_SegEnds_Prot#'!$A:$AL,22,FALSE)+6,1)</f>
        <v>L</v>
      </c>
      <c r="X210" s="102" t="str">
        <f>MID(VLOOKUP($A210,Seqs!$A:$B,2,FALSE),VLOOKUP($A210,'NonXtal_SegEnds_Prot#'!$A:$AL,22,FALSE)+7,1)</f>
        <v>S</v>
      </c>
      <c r="Y210" s="102" t="str">
        <f>MID(VLOOKUP($A210,Seqs!$A:$B,2,FALSE),VLOOKUP($A210,'NonXtal_SegEnds_Prot#'!$A:$AL,22,FALSE)+8,1)</f>
        <v>L</v>
      </c>
      <c r="Z210" s="102" t="str">
        <f>MID(VLOOKUP($A210,Seqs!$A:$B,2,FALSE),VLOOKUP($A210,'NonXtal_SegEnds_Prot#'!$A:$AL,22,FALSE)+9,1)</f>
        <v>P</v>
      </c>
      <c r="AA210" s="102" t="str">
        <f>MID(VLOOKUP($A210,Seqs!$A:$B,2,FALSE),VLOOKUP($A210,'NonXtal_SegEnds_Prot#'!$A:$AL,22,FALSE)+10,1)</f>
        <v>F</v>
      </c>
      <c r="AB210" s="71" t="str">
        <f>MID(VLOOKUP($A210,Seqs!$A:$B,2,FALSE),VLOOKUP($A210,'NonXtal_SegEnds_Prot#'!$A:$AL,28,FALSE)-4,1)</f>
        <v>Q</v>
      </c>
      <c r="AC210" s="102" t="str">
        <f>MID(VLOOKUP($A210,Seqs!$A:$B,2,FALSE),VLOOKUP($A210,'NonXtal_SegEnds_Prot#'!$A:$AL,28,FALSE),1)</f>
        <v>P</v>
      </c>
    </row>
    <row r="211" spans="1:29" s="2" customFormat="1" x14ac:dyDescent="0.2">
      <c r="A211" s="2" t="s">
        <v>522</v>
      </c>
      <c r="B211" s="2" t="str">
        <f>LOWER(VLOOKUP(A211,Xtal_Templ!A:B,2,FALSE))</f>
        <v>ox2r_human</v>
      </c>
      <c r="C211" s="2" t="str">
        <f>VLOOKUP(A211,Classification!A:D,2,FALSE)</f>
        <v>A</v>
      </c>
      <c r="E211" s="2" t="s">
        <v>20</v>
      </c>
      <c r="N211" s="2" t="s">
        <v>43</v>
      </c>
      <c r="P211" s="4" t="s">
        <v>51</v>
      </c>
      <c r="R211" s="71" t="str">
        <f>MID(VLOOKUP($A211,Seqs!$A:$B,2,FALSE),VLOOKUP($A211,'NonXtal_SegEnds_Prot#'!A:AL,10,FALSE),1)</f>
        <v>D</v>
      </c>
      <c r="S211" s="102" t="str">
        <f>MID(VLOOKUP($A211,Seqs!$A:$B,2,FALSE),VLOOKUP($A211,'NonXtal_SegEnds_Prot#'!A:AL,10,FALSE)+6,1)</f>
        <v>F</v>
      </c>
      <c r="T211" s="102" t="str">
        <f>MID(VLOOKUP($A211,Seqs!$A:$B,2,FALSE),VLOOKUP($A211,'NonXtal_SegEnds_Prot#'!A:AL,10,FALSE)+7,1)</f>
        <v>C</v>
      </c>
      <c r="U211" s="102" t="str">
        <f>MID(VLOOKUP($A211,Seqs!$A:$B,2,FALSE),VLOOKUP($A211,'NonXtal_SegEnds_Prot#'!A:AL,10,FALSE)+8,1)</f>
        <v>S</v>
      </c>
      <c r="V211" s="102" t="str">
        <f>MID(VLOOKUP($A211,Seqs!$A:$B,2,FALSE),VLOOKUP($A211,'NonXtal_SegEnds_Prot#'!A:AL,10,FALSE)+9,1)</f>
        <v>P</v>
      </c>
      <c r="W211" s="71" t="str">
        <f>MID(VLOOKUP($A211,Seqs!$A:$B,2,FALSE),VLOOKUP($A211,'NonXtal_SegEnds_Prot#'!$A:$AL,22,FALSE)+6,1)</f>
        <v>I</v>
      </c>
      <c r="X211" s="102" t="str">
        <f>MID(VLOOKUP($A211,Seqs!$A:$B,2,FALSE),VLOOKUP($A211,'NonXtal_SegEnds_Prot#'!$A:$AL,22,FALSE)+7,1)</f>
        <v>C</v>
      </c>
      <c r="Y211" s="102" t="str">
        <f>MID(VLOOKUP($A211,Seqs!$A:$B,2,FALSE),VLOOKUP($A211,'NonXtal_SegEnds_Prot#'!$A:$AL,22,FALSE)+8,1)</f>
        <v>S</v>
      </c>
      <c r="Z211" s="102" t="str">
        <f>MID(VLOOKUP($A211,Seqs!$A:$B,2,FALSE),VLOOKUP($A211,'NonXtal_SegEnds_Prot#'!$A:$AL,22,FALSE)+9,1)</f>
        <v>P</v>
      </c>
      <c r="AA211" s="102" t="str">
        <f>MID(VLOOKUP($A211,Seqs!$A:$B,2,FALSE),VLOOKUP($A211,'NonXtal_SegEnds_Prot#'!$A:$AL,22,FALSE)+10,1)</f>
        <v>L</v>
      </c>
      <c r="AB211" s="71" t="str">
        <f>MID(VLOOKUP($A211,Seqs!$A:$B,2,FALSE),VLOOKUP($A211,'NonXtal_SegEnds_Prot#'!$A:$AL,28,FALSE)-4,1)</f>
        <v>Q</v>
      </c>
      <c r="AC211" s="102" t="str">
        <f>MID(VLOOKUP($A211,Seqs!$A:$B,2,FALSE),VLOOKUP($A211,'NonXtal_SegEnds_Prot#'!$A:$AL,28,FALSE),1)</f>
        <v>P</v>
      </c>
    </row>
    <row r="212" spans="1:29" s="2" customFormat="1" x14ac:dyDescent="0.2">
      <c r="A212" s="2" t="s">
        <v>523</v>
      </c>
      <c r="B212" s="2" t="str">
        <f>LOWER(VLOOKUP(A212,Xtal_Templ!A:B,2,FALSE))</f>
        <v>ox2r_human</v>
      </c>
      <c r="C212" s="2" t="str">
        <f>VLOOKUP(A212,Classification!A:D,2,FALSE)</f>
        <v>A</v>
      </c>
      <c r="K212" s="2" t="s">
        <v>59</v>
      </c>
      <c r="N212" s="2" t="s">
        <v>43</v>
      </c>
      <c r="P212" s="4" t="s">
        <v>51</v>
      </c>
      <c r="R212" s="71" t="str">
        <f>MID(VLOOKUP($A212,Seqs!$A:$B,2,FALSE),VLOOKUP($A212,'NonXtal_SegEnds_Prot#'!A:AL,10,FALSE),1)</f>
        <v>D</v>
      </c>
      <c r="S212" s="102" t="str">
        <f>MID(VLOOKUP($A212,Seqs!$A:$B,2,FALSE),VLOOKUP($A212,'NonXtal_SegEnds_Prot#'!A:AL,10,FALSE)+6,1)</f>
        <v>M</v>
      </c>
      <c r="T212" s="102" t="str">
        <f>MID(VLOOKUP($A212,Seqs!$A:$B,2,FALSE),VLOOKUP($A212,'NonXtal_SegEnds_Prot#'!A:AL,10,FALSE)+7,1)</f>
        <v>C</v>
      </c>
      <c r="U212" s="102" t="str">
        <f>MID(VLOOKUP($A212,Seqs!$A:$B,2,FALSE),VLOOKUP($A212,'NonXtal_SegEnds_Prot#'!A:AL,10,FALSE)+8,1)</f>
        <v>I</v>
      </c>
      <c r="V212" s="102" t="str">
        <f>MID(VLOOKUP($A212,Seqs!$A:$B,2,FALSE),VLOOKUP($A212,'NonXtal_SegEnds_Prot#'!A:AL,10,FALSE)+9,1)</f>
        <v>H</v>
      </c>
      <c r="W212" s="71" t="str">
        <f>MID(VLOOKUP($A212,Seqs!$A:$B,2,FALSE),VLOOKUP($A212,'NonXtal_SegEnds_Prot#'!$A:$AL,22,FALSE)+6,1)</f>
        <v>L</v>
      </c>
      <c r="X212" s="102" t="str">
        <f>MID(VLOOKUP($A212,Seqs!$A:$B,2,FALSE),VLOOKUP($A212,'NonXtal_SegEnds_Prot#'!$A:$AL,22,FALSE)+7,1)</f>
        <v>S</v>
      </c>
      <c r="Y212" s="102" t="str">
        <f>MID(VLOOKUP($A212,Seqs!$A:$B,2,FALSE),VLOOKUP($A212,'NonXtal_SegEnds_Prot#'!$A:$AL,22,FALSE)+8,1)</f>
        <v>I</v>
      </c>
      <c r="Z212" s="102" t="str">
        <f>MID(VLOOKUP($A212,Seqs!$A:$B,2,FALSE),VLOOKUP($A212,'NonXtal_SegEnds_Prot#'!$A:$AL,22,FALSE)+9,1)</f>
        <v>P</v>
      </c>
      <c r="AA212" s="102" t="str">
        <f>MID(VLOOKUP($A212,Seqs!$A:$B,2,FALSE),VLOOKUP($A212,'NonXtal_SegEnds_Prot#'!$A:$AL,22,FALSE)+10,1)</f>
        <v>F</v>
      </c>
      <c r="AB212" s="71" t="str">
        <f>MID(VLOOKUP($A212,Seqs!$A:$B,2,FALSE),VLOOKUP($A212,'NonXtal_SegEnds_Prot#'!$A:$AL,28,FALSE)-4,1)</f>
        <v>Q</v>
      </c>
      <c r="AC212" s="102" t="str">
        <f>MID(VLOOKUP($A212,Seqs!$A:$B,2,FALSE),VLOOKUP($A212,'NonXtal_SegEnds_Prot#'!$A:$AL,28,FALSE),1)</f>
        <v>P</v>
      </c>
    </row>
    <row r="213" spans="1:29" s="2" customFormat="1" x14ac:dyDescent="0.2">
      <c r="A213" s="2" t="s">
        <v>321</v>
      </c>
      <c r="B213" s="2" t="str">
        <f>LOWER(VLOOKUP(A213,Xtal_Templ!A:B,2,FALSE))</f>
        <v>ntr1_rat</v>
      </c>
      <c r="C213" s="2" t="str">
        <f>VLOOKUP(A213,Classification!A:D,2,FALSE)</f>
        <v>A</v>
      </c>
      <c r="E213" s="2" t="s">
        <v>20</v>
      </c>
      <c r="K213" s="2" t="s">
        <v>59</v>
      </c>
      <c r="N213" s="2" t="s">
        <v>43</v>
      </c>
      <c r="P213" s="4" t="s">
        <v>51</v>
      </c>
      <c r="R213" s="71" t="str">
        <f>MID(VLOOKUP($A213,Seqs!$A:$B,2,FALSE),VLOOKUP($A213,'NonXtal_SegEnds_Prot#'!A:AL,10,FALSE),1)</f>
        <v>D</v>
      </c>
      <c r="S213" s="102" t="str">
        <f>MID(VLOOKUP($A213,Seqs!$A:$B,2,FALSE),VLOOKUP($A213,'NonXtal_SegEnds_Prot#'!A:AL,10,FALSE)+6,1)</f>
        <v>L</v>
      </c>
      <c r="T213" s="102" t="str">
        <f>MID(VLOOKUP($A213,Seqs!$A:$B,2,FALSE),VLOOKUP($A213,'NonXtal_SegEnds_Prot#'!A:AL,10,FALSE)+7,1)</f>
        <v>A</v>
      </c>
      <c r="U213" s="102" t="str">
        <f>MID(VLOOKUP($A213,Seqs!$A:$B,2,FALSE),VLOOKUP($A213,'NonXtal_SegEnds_Prot#'!A:AL,10,FALSE)+8,1)</f>
        <v>M</v>
      </c>
      <c r="V213" s="102" t="str">
        <f>MID(VLOOKUP($A213,Seqs!$A:$B,2,FALSE),VLOOKUP($A213,'NonXtal_SegEnds_Prot#'!A:AL,10,FALSE)+9,1)</f>
        <v>P</v>
      </c>
      <c r="W213" s="71" t="str">
        <f>MID(VLOOKUP($A213,Seqs!$A:$B,2,FALSE),VLOOKUP($A213,'NonXtal_SegEnds_Prot#'!$A:$AL,22,FALSE)+6,1)</f>
        <v>L</v>
      </c>
      <c r="X213" s="102" t="str">
        <f>MID(VLOOKUP($A213,Seqs!$A:$B,2,FALSE),VLOOKUP($A213,'NonXtal_SegEnds_Prot#'!$A:$AL,22,FALSE)+7,1)</f>
        <v>A</v>
      </c>
      <c r="Y213" s="102" t="str">
        <f>MID(VLOOKUP($A213,Seqs!$A:$B,2,FALSE),VLOOKUP($A213,'NonXtal_SegEnds_Prot#'!$A:$AL,22,FALSE)+8,1)</f>
        <v>V</v>
      </c>
      <c r="Z213" s="102" t="str">
        <f>MID(VLOOKUP($A213,Seqs!$A:$B,2,FALSE),VLOOKUP($A213,'NonXtal_SegEnds_Prot#'!$A:$AL,22,FALSE)+9,1)</f>
        <v>P</v>
      </c>
      <c r="AA213" s="102" t="str">
        <f>MID(VLOOKUP($A213,Seqs!$A:$B,2,FALSE),VLOOKUP($A213,'NonXtal_SegEnds_Prot#'!$A:$AL,22,FALSE)+10,1)</f>
        <v>M</v>
      </c>
      <c r="AB213" s="71" t="str">
        <f>MID(VLOOKUP($A213,Seqs!$A:$B,2,FALSE),VLOOKUP($A213,'NonXtal_SegEnds_Prot#'!$A:$AL,28,FALSE)-4,1)</f>
        <v>S</v>
      </c>
      <c r="AC213" s="102" t="str">
        <f>MID(VLOOKUP($A213,Seqs!$A:$B,2,FALSE),VLOOKUP($A213,'NonXtal_SegEnds_Prot#'!$A:$AL,28,FALSE),1)</f>
        <v>P</v>
      </c>
    </row>
    <row r="214" spans="1:29" s="2" customFormat="1" x14ac:dyDescent="0.2">
      <c r="A214" s="2" t="s">
        <v>1110</v>
      </c>
      <c r="B214" s="2" t="str">
        <f>LOWER(VLOOKUP(A214,Xtal_Templ!A:B,2,FALSE))</f>
        <v>ntr1_rat</v>
      </c>
      <c r="C214" s="2" t="str">
        <f>VLOOKUP(A214,Classification!A:D,2,FALSE)</f>
        <v>A</v>
      </c>
      <c r="E214" s="2" t="s">
        <v>20</v>
      </c>
      <c r="K214" s="2" t="s">
        <v>59</v>
      </c>
      <c r="N214" s="2" t="s">
        <v>43</v>
      </c>
      <c r="P214" s="4" t="s">
        <v>51</v>
      </c>
      <c r="R214" s="71" t="str">
        <f>MID(VLOOKUP($A214,Seqs!$A:$B,2,FALSE),VLOOKUP($A214,'NonXtal_SegEnds_Prot#'!A:AL,10,FALSE),1)</f>
        <v>D</v>
      </c>
      <c r="S214" s="102" t="str">
        <f>MID(VLOOKUP($A214,Seqs!$A:$B,2,FALSE),VLOOKUP($A214,'NonXtal_SegEnds_Prot#'!A:AL,10,FALSE)+6,1)</f>
        <v>L</v>
      </c>
      <c r="T214" s="102" t="str">
        <f>MID(VLOOKUP($A214,Seqs!$A:$B,2,FALSE),VLOOKUP($A214,'NonXtal_SegEnds_Prot#'!A:AL,10,FALSE)+7,1)</f>
        <v>A</v>
      </c>
      <c r="U214" s="102" t="str">
        <f>MID(VLOOKUP($A214,Seqs!$A:$B,2,FALSE),VLOOKUP($A214,'NonXtal_SegEnds_Prot#'!A:AL,10,FALSE)+8,1)</f>
        <v>M</v>
      </c>
      <c r="V214" s="102" t="str">
        <f>MID(VLOOKUP($A214,Seqs!$A:$B,2,FALSE),VLOOKUP($A214,'NonXtal_SegEnds_Prot#'!A:AL,10,FALSE)+9,1)</f>
        <v>P</v>
      </c>
      <c r="W214" s="71" t="str">
        <f>MID(VLOOKUP($A214,Seqs!$A:$B,2,FALSE),VLOOKUP($A214,'NonXtal_SegEnds_Prot#'!$A:$AL,22,FALSE)+6,1)</f>
        <v>L</v>
      </c>
      <c r="X214" s="102" t="str">
        <f>MID(VLOOKUP($A214,Seqs!$A:$B,2,FALSE),VLOOKUP($A214,'NonXtal_SegEnds_Prot#'!$A:$AL,22,FALSE)+7,1)</f>
        <v>A</v>
      </c>
      <c r="Y214" s="102" t="str">
        <f>MID(VLOOKUP($A214,Seqs!$A:$B,2,FALSE),VLOOKUP($A214,'NonXtal_SegEnds_Prot#'!$A:$AL,22,FALSE)+8,1)</f>
        <v>I</v>
      </c>
      <c r="Z214" s="102" t="str">
        <f>MID(VLOOKUP($A214,Seqs!$A:$B,2,FALSE),VLOOKUP($A214,'NonXtal_SegEnds_Prot#'!$A:$AL,22,FALSE)+9,1)</f>
        <v>P</v>
      </c>
      <c r="AA214" s="102" t="str">
        <f>MID(VLOOKUP($A214,Seqs!$A:$B,2,FALSE),VLOOKUP($A214,'NonXtal_SegEnds_Prot#'!$A:$AL,22,FALSE)+10,1)</f>
        <v>M</v>
      </c>
      <c r="AB214" s="71" t="str">
        <f>MID(VLOOKUP($A214,Seqs!$A:$B,2,FALSE),VLOOKUP($A214,'NonXtal_SegEnds_Prot#'!$A:$AL,28,FALSE)-4,1)</f>
        <v>S</v>
      </c>
      <c r="AC214" s="102" t="str">
        <f>MID(VLOOKUP($A214,Seqs!$A:$B,2,FALSE),VLOOKUP($A214,'NonXtal_SegEnds_Prot#'!$A:$AL,28,FALSE),1)</f>
        <v>P</v>
      </c>
    </row>
    <row r="215" spans="1:29" s="2" customFormat="1" x14ac:dyDescent="0.2">
      <c r="A215" s="2" t="s">
        <v>524</v>
      </c>
      <c r="B215" s="2" t="str">
        <f>LOWER(VLOOKUP(A215,Xtal_Templ!A:B,2,FALSE))</f>
        <v>ntr1_rat</v>
      </c>
      <c r="C215" s="2" t="str">
        <f>VLOOKUP(A215,Classification!A:D,2,FALSE)</f>
        <v>A</v>
      </c>
      <c r="E215" s="2" t="s">
        <v>20</v>
      </c>
      <c r="K215" s="2" t="s">
        <v>59</v>
      </c>
      <c r="N215" s="2" t="s">
        <v>43</v>
      </c>
      <c r="P215" s="4" t="s">
        <v>51</v>
      </c>
      <c r="R215" s="71" t="str">
        <f>MID(VLOOKUP($A215,Seqs!$A:$B,2,FALSE),VLOOKUP($A215,'NonXtal_SegEnds_Prot#'!A:AL,10,FALSE),1)</f>
        <v>G</v>
      </c>
      <c r="S215" s="102" t="str">
        <f>MID(VLOOKUP($A215,Seqs!$A:$B,2,FALSE),VLOOKUP($A215,'NonXtal_SegEnds_Prot#'!A:AL,10,FALSE)+6,1)</f>
        <v>V</v>
      </c>
      <c r="T215" s="102" t="str">
        <f>MID(VLOOKUP($A215,Seqs!$A:$B,2,FALSE),VLOOKUP($A215,'NonXtal_SegEnds_Prot#'!A:AL,10,FALSE)+7,1)</f>
        <v>G</v>
      </c>
      <c r="U215" s="102" t="str">
        <f>MID(VLOOKUP($A215,Seqs!$A:$B,2,FALSE),VLOOKUP($A215,'NonXtal_SegEnds_Prot#'!A:AL,10,FALSE)+8,1)</f>
        <v>V</v>
      </c>
      <c r="V215" s="102" t="str">
        <f>MID(VLOOKUP($A215,Seqs!$A:$B,2,FALSE),VLOOKUP($A215,'NonXtal_SegEnds_Prot#'!A:AL,10,FALSE)+9,1)</f>
        <v>P</v>
      </c>
      <c r="W215" s="71" t="str">
        <f>MID(VLOOKUP($A215,Seqs!$A:$B,2,FALSE),VLOOKUP($A215,'NonXtal_SegEnds_Prot#'!$A:$AL,22,FALSE)+6,1)</f>
        <v>L</v>
      </c>
      <c r="X215" s="102" t="str">
        <f>MID(VLOOKUP($A215,Seqs!$A:$B,2,FALSE),VLOOKUP($A215,'NonXtal_SegEnds_Prot#'!$A:$AL,22,FALSE)+7,1)</f>
        <v>A</v>
      </c>
      <c r="Y215" s="102" t="str">
        <f>MID(VLOOKUP($A215,Seqs!$A:$B,2,FALSE),VLOOKUP($A215,'NonXtal_SegEnds_Prot#'!$A:$AL,22,FALSE)+8,1)</f>
        <v>L</v>
      </c>
      <c r="Z215" s="102" t="str">
        <f>MID(VLOOKUP($A215,Seqs!$A:$B,2,FALSE),VLOOKUP($A215,'NonXtal_SegEnds_Prot#'!$A:$AL,22,FALSE)+9,1)</f>
        <v>P</v>
      </c>
      <c r="AA215" s="102" t="str">
        <f>MID(VLOOKUP($A215,Seqs!$A:$B,2,FALSE),VLOOKUP($A215,'NonXtal_SegEnds_Prot#'!$A:$AL,22,FALSE)+10,1)</f>
        <v>M</v>
      </c>
      <c r="AB215" s="71" t="str">
        <f>MID(VLOOKUP($A215,Seqs!$A:$B,2,FALSE),VLOOKUP($A215,'NonXtal_SegEnds_Prot#'!$A:$AL,28,FALSE)-4,1)</f>
        <v>S</v>
      </c>
      <c r="AC215" s="102" t="str">
        <f>MID(VLOOKUP($A215,Seqs!$A:$B,2,FALSE),VLOOKUP($A215,'NonXtal_SegEnds_Prot#'!$A:$AL,28,FALSE),1)</f>
        <v>P</v>
      </c>
    </row>
    <row r="216" spans="1:29" s="2" customFormat="1" x14ac:dyDescent="0.2">
      <c r="A216" s="2" t="s">
        <v>525</v>
      </c>
      <c r="B216" s="2" t="str">
        <f>LOWER(VLOOKUP(A216,Xtal_Templ!A:B,2,FALSE))</f>
        <v>agtr1_human</v>
      </c>
      <c r="C216" s="2" t="str">
        <f>VLOOKUP(A216,Classification!A:D,2,FALSE)</f>
        <v>A</v>
      </c>
      <c r="N216" s="2" t="s">
        <v>43</v>
      </c>
      <c r="P216" s="4" t="s">
        <v>51</v>
      </c>
      <c r="R216" s="71" t="str">
        <f>MID(VLOOKUP($A216,Seqs!$A:$B,2,FALSE),VLOOKUP($A216,'NonXtal_SegEnds_Prot#'!A:AL,10,FALSE),1)</f>
        <v>D</v>
      </c>
      <c r="S216" s="102" t="str">
        <f>MID(VLOOKUP($A216,Seqs!$A:$B,2,FALSE),VLOOKUP($A216,'NonXtal_SegEnds_Prot#'!A:AL,10,FALSE)+6,1)</f>
        <v>S</v>
      </c>
      <c r="T216" s="102" t="str">
        <f>MID(VLOOKUP($A216,Seqs!$A:$B,2,FALSE),VLOOKUP($A216,'NonXtal_SegEnds_Prot#'!A:AL,10,FALSE)+7,1)</f>
        <v>L</v>
      </c>
      <c r="U216" s="102" t="str">
        <f>MID(VLOOKUP($A216,Seqs!$A:$B,2,FALSE),VLOOKUP($A216,'NonXtal_SegEnds_Prot#'!A:AL,10,FALSE)+8,1)</f>
        <v>P</v>
      </c>
      <c r="V216" s="102" t="str">
        <f>MID(VLOOKUP($A216,Seqs!$A:$B,2,FALSE),VLOOKUP($A216,'NonXtal_SegEnds_Prot#'!A:AL,10,FALSE)+9,1)</f>
        <v>F</v>
      </c>
      <c r="W216" s="71" t="str">
        <f>MID(VLOOKUP($A216,Seqs!$A:$B,2,FALSE),VLOOKUP($A216,'NonXtal_SegEnds_Prot#'!$A:$AL,22,FALSE)+6,1)</f>
        <v>T</v>
      </c>
      <c r="X216" s="102" t="str">
        <f>MID(VLOOKUP($A216,Seqs!$A:$B,2,FALSE),VLOOKUP($A216,'NonXtal_SegEnds_Prot#'!$A:$AL,22,FALSE)+7,1)</f>
        <v>S</v>
      </c>
      <c r="Y216" s="102" t="str">
        <f>MID(VLOOKUP($A216,Seqs!$A:$B,2,FALSE),VLOOKUP($A216,'NonXtal_SegEnds_Prot#'!$A:$AL,22,FALSE)+8,1)</f>
        <v>I</v>
      </c>
      <c r="Z216" s="102" t="str">
        <f>MID(VLOOKUP($A216,Seqs!$A:$B,2,FALSE),VLOOKUP($A216,'NonXtal_SegEnds_Prot#'!$A:$AL,22,FALSE)+9,1)</f>
        <v>Y</v>
      </c>
      <c r="AA216" s="102" t="str">
        <f>MID(VLOOKUP($A216,Seqs!$A:$B,2,FALSE),VLOOKUP($A216,'NonXtal_SegEnds_Prot#'!$A:$AL,22,FALSE)+10,1)</f>
        <v>F</v>
      </c>
      <c r="AB216" s="71" t="str">
        <f>MID(VLOOKUP($A216,Seqs!$A:$B,2,FALSE),VLOOKUP($A216,'NonXtal_SegEnds_Prot#'!$A:$AL,28,FALSE)-4,1)</f>
        <v>G</v>
      </c>
      <c r="AC216" s="102" t="str">
        <f>MID(VLOOKUP($A216,Seqs!$A:$B,2,FALSE),VLOOKUP($A216,'NonXtal_SegEnds_Prot#'!$A:$AL,28,FALSE),1)</f>
        <v>P</v>
      </c>
    </row>
    <row r="217" spans="1:29" s="2" customFormat="1" x14ac:dyDescent="0.2">
      <c r="A217" s="2" t="s">
        <v>526</v>
      </c>
      <c r="B217" s="2" t="str">
        <f>LOWER(VLOOKUP(A217,Xtal_Templ!A:B,2,FALSE))</f>
        <v>opsd_bovin</v>
      </c>
      <c r="C217" s="2" t="str">
        <f>VLOOKUP(A217,Classification!A:D,2,FALSE)</f>
        <v>A</v>
      </c>
      <c r="E217" s="2" t="s">
        <v>20</v>
      </c>
      <c r="N217" s="2" t="s">
        <v>43</v>
      </c>
      <c r="P217" s="4" t="s">
        <v>51</v>
      </c>
      <c r="R217" s="71" t="str">
        <f>MID(VLOOKUP($A217,Seqs!$A:$B,2,FALSE),VLOOKUP($A217,'NonXtal_SegEnds_Prot#'!A:AL,10,FALSE),1)</f>
        <v>D</v>
      </c>
      <c r="S217" s="102" t="str">
        <f>MID(VLOOKUP($A217,Seqs!$A:$B,2,FALSE),VLOOKUP($A217,'NonXtal_SegEnds_Prot#'!A:AL,10,FALSE)+6,1)</f>
        <v>F</v>
      </c>
      <c r="T217" s="102" t="str">
        <f>MID(VLOOKUP($A217,Seqs!$A:$B,2,FALSE),VLOOKUP($A217,'NonXtal_SegEnds_Prot#'!A:AL,10,FALSE)+7,1)</f>
        <v>G</v>
      </c>
      <c r="U217" s="102" t="str">
        <f>MID(VLOOKUP($A217,Seqs!$A:$B,2,FALSE),VLOOKUP($A217,'NonXtal_SegEnds_Prot#'!A:AL,10,FALSE)+8,1)</f>
        <v>V</v>
      </c>
      <c r="V217" s="102" t="str">
        <f>MID(VLOOKUP($A217,Seqs!$A:$B,2,FALSE),VLOOKUP($A217,'NonXtal_SegEnds_Prot#'!A:AL,10,FALSE)+9,1)</f>
        <v>T</v>
      </c>
      <c r="W217" s="71" t="str">
        <f>MID(VLOOKUP($A217,Seqs!$A:$B,2,FALSE),VLOOKUP($A217,'NonXtal_SegEnds_Prot#'!$A:$AL,22,FALSE)+6,1)</f>
        <v>W</v>
      </c>
      <c r="X217" s="102" t="str">
        <f>MID(VLOOKUP($A217,Seqs!$A:$B,2,FALSE),VLOOKUP($A217,'NonXtal_SegEnds_Prot#'!$A:$AL,22,FALSE)+7,1)</f>
        <v>A</v>
      </c>
      <c r="Y217" s="102" t="str">
        <f>MID(VLOOKUP($A217,Seqs!$A:$B,2,FALSE),VLOOKUP($A217,'NonXtal_SegEnds_Prot#'!$A:$AL,22,FALSE)+8,1)</f>
        <v>G</v>
      </c>
      <c r="Z217" s="102" t="str">
        <f>MID(VLOOKUP($A217,Seqs!$A:$B,2,FALSE),VLOOKUP($A217,'NonXtal_SegEnds_Prot#'!$A:$AL,22,FALSE)+9,1)</f>
        <v>A</v>
      </c>
      <c r="AA217" s="102" t="str">
        <f>MID(VLOOKUP($A217,Seqs!$A:$B,2,FALSE),VLOOKUP($A217,'NonXtal_SegEnds_Prot#'!$A:$AL,22,FALSE)+10,1)</f>
        <v>P</v>
      </c>
      <c r="AB217" s="71" t="str">
        <f>MID(VLOOKUP($A217,Seqs!$A:$B,2,FALSE),VLOOKUP($A217,'NonXtal_SegEnds_Prot#'!$A:$AL,28,FALSE)-4,1)</f>
        <v>C</v>
      </c>
      <c r="AC217" s="102" t="str">
        <f>MID(VLOOKUP($A217,Seqs!$A:$B,2,FALSE),VLOOKUP($A217,'NonXtal_SegEnds_Prot#'!$A:$AL,28,FALSE),1)</f>
        <v>P</v>
      </c>
    </row>
    <row r="218" spans="1:29" s="2" customFormat="1" x14ac:dyDescent="0.2">
      <c r="A218" s="2" t="s">
        <v>527</v>
      </c>
      <c r="B218" s="2" t="s">
        <v>1116</v>
      </c>
      <c r="C218" s="2" t="str">
        <f>VLOOKUP(A218,Classification!A:D,2,FALSE)</f>
        <v>A</v>
      </c>
      <c r="E218" s="2" t="s">
        <v>20</v>
      </c>
      <c r="N218" s="2" t="s">
        <v>43</v>
      </c>
      <c r="P218" s="4" t="s">
        <v>51</v>
      </c>
      <c r="R218" s="71" t="str">
        <f>MID(VLOOKUP($A218,Seqs!$A:$B,2,FALSE),VLOOKUP($A218,'NonXtal_SegEnds_Prot#'!A:AL,10,FALSE),1)</f>
        <v>D</v>
      </c>
      <c r="S218" s="102" t="str">
        <f>MID(VLOOKUP($A218,Seqs!$A:$B,2,FALSE),VLOOKUP($A218,'NonXtal_SegEnds_Prot#'!A:AL,10,FALSE)+6,1)</f>
        <v>T</v>
      </c>
      <c r="T218" s="102" t="str">
        <f>MID(VLOOKUP($A218,Seqs!$A:$B,2,FALSE),VLOOKUP($A218,'NonXtal_SegEnds_Prot#'!A:AL,10,FALSE)+7,1)</f>
        <v>Q</v>
      </c>
      <c r="U218" s="102" t="str">
        <f>MID(VLOOKUP($A218,Seqs!$A:$B,2,FALSE),VLOOKUP($A218,'NonXtal_SegEnds_Prot#'!A:AL,10,FALSE)+8,1)</f>
        <v>A</v>
      </c>
      <c r="V218" s="102" t="str">
        <f>MID(VLOOKUP($A218,Seqs!$A:$B,2,FALSE),VLOOKUP($A218,'NonXtal_SegEnds_Prot#'!A:AL,10,FALSE)+9,1)</f>
        <v>P</v>
      </c>
      <c r="W218" s="71" t="str">
        <f>MID(VLOOKUP($A218,Seqs!$A:$B,2,FALSE),VLOOKUP($A218,'NonXtal_SegEnds_Prot#'!$A:$AL,22,FALSE)+6,1)</f>
        <v>W</v>
      </c>
      <c r="X218" s="102" t="str">
        <f>MID(VLOOKUP($A218,Seqs!$A:$B,2,FALSE),VLOOKUP($A218,'NonXtal_SegEnds_Prot#'!$A:$AL,22,FALSE)+7,1)</f>
        <v>S</v>
      </c>
      <c r="Y218" s="102" t="str">
        <f>MID(VLOOKUP($A218,Seqs!$A:$B,2,FALSE),VLOOKUP($A218,'NonXtal_SegEnds_Prot#'!$A:$AL,22,FALSE)+8,1)</f>
        <v>L</v>
      </c>
      <c r="Z218" s="102" t="str">
        <f>MID(VLOOKUP($A218,Seqs!$A:$B,2,FALSE),VLOOKUP($A218,'NonXtal_SegEnds_Prot#'!$A:$AL,22,FALSE)+9,1)</f>
        <v>P</v>
      </c>
      <c r="AA218" s="102" t="str">
        <f>MID(VLOOKUP($A218,Seqs!$A:$B,2,FALSE),VLOOKUP($A218,'NonXtal_SegEnds_Prot#'!$A:$AL,22,FALSE)+10,1)</f>
        <v>P</v>
      </c>
      <c r="AB218" s="71" t="str">
        <f>MID(VLOOKUP($A218,Seqs!$A:$B,2,FALSE),VLOOKUP($A218,'NonXtal_SegEnds_Prot#'!$A:$AL,28,FALSE)-4,1)</f>
        <v>V</v>
      </c>
      <c r="AC218" s="102" t="str">
        <f>MID(VLOOKUP($A218,Seqs!$A:$B,2,FALSE),VLOOKUP($A218,'NonXtal_SegEnds_Prot#'!$A:$AL,28,FALSE),1)</f>
        <v>P</v>
      </c>
    </row>
    <row r="219" spans="1:29" s="2" customFormat="1" x14ac:dyDescent="0.2">
      <c r="A219" s="2" t="s">
        <v>528</v>
      </c>
      <c r="B219" s="2" t="s">
        <v>1116</v>
      </c>
      <c r="C219" s="2" t="str">
        <f>VLOOKUP(A219,Classification!A:D,2,FALSE)</f>
        <v>A</v>
      </c>
      <c r="E219" s="2" t="s">
        <v>20</v>
      </c>
      <c r="N219" s="2" t="s">
        <v>43</v>
      </c>
      <c r="P219" s="4" t="s">
        <v>51</v>
      </c>
      <c r="R219" s="71" t="str">
        <f>MID(VLOOKUP($A219,Seqs!$A:$B,2,FALSE),VLOOKUP($A219,'NonXtal_SegEnds_Prot#'!A:AL,10,FALSE),1)</f>
        <v>D</v>
      </c>
      <c r="S219" s="102" t="str">
        <f>MID(VLOOKUP($A219,Seqs!$A:$B,2,FALSE),VLOOKUP($A219,'NonXtal_SegEnds_Prot#'!A:AL,10,FALSE)+6,1)</f>
        <v>V</v>
      </c>
      <c r="T219" s="102" t="str">
        <f>MID(VLOOKUP($A219,Seqs!$A:$B,2,FALSE),VLOOKUP($A219,'NonXtal_SegEnds_Prot#'!A:AL,10,FALSE)+7,1)</f>
        <v>G</v>
      </c>
      <c r="U219" s="102" t="str">
        <f>MID(VLOOKUP($A219,Seqs!$A:$B,2,FALSE),VLOOKUP($A219,'NonXtal_SegEnds_Prot#'!A:AL,10,FALSE)+8,1)</f>
        <v>K</v>
      </c>
      <c r="V219" s="102" t="str">
        <f>MID(VLOOKUP($A219,Seqs!$A:$B,2,FALSE),VLOOKUP($A219,'NonXtal_SegEnds_Prot#'!A:AL,10,FALSE)+9,1)</f>
        <v>P</v>
      </c>
      <c r="W219" s="71" t="str">
        <f>MID(VLOOKUP($A219,Seqs!$A:$B,2,FALSE),VLOOKUP($A219,'NonXtal_SegEnds_Prot#'!$A:$AL,22,FALSE)+6,1)</f>
        <v>W</v>
      </c>
      <c r="X219" s="102" t="str">
        <f>MID(VLOOKUP($A219,Seqs!$A:$B,2,FALSE),VLOOKUP($A219,'NonXtal_SegEnds_Prot#'!$A:$AL,22,FALSE)+7,1)</f>
        <v>T</v>
      </c>
      <c r="Y219" s="102" t="str">
        <f>MID(VLOOKUP($A219,Seqs!$A:$B,2,FALSE),VLOOKUP($A219,'NonXtal_SegEnds_Prot#'!$A:$AL,22,FALSE)+8,1)</f>
        <v>T</v>
      </c>
      <c r="Z219" s="102" t="str">
        <f>MID(VLOOKUP($A219,Seqs!$A:$B,2,FALSE),VLOOKUP($A219,'NonXtal_SegEnds_Prot#'!$A:$AL,22,FALSE)+9,1)</f>
        <v>M</v>
      </c>
      <c r="AA219" s="102" t="str">
        <f>MID(VLOOKUP($A219,Seqs!$A:$B,2,FALSE),VLOOKUP($A219,'NonXtal_SegEnds_Prot#'!$A:$AL,22,FALSE)+10,1)</f>
        <v>P</v>
      </c>
      <c r="AB219" s="71" t="str">
        <f>MID(VLOOKUP($A219,Seqs!$A:$B,2,FALSE),VLOOKUP($A219,'NonXtal_SegEnds_Prot#'!$A:$AL,28,FALSE)-4,1)</f>
        <v>C</v>
      </c>
      <c r="AC219" s="102" t="str">
        <f>MID(VLOOKUP($A219,Seqs!$A:$B,2,FALSE),VLOOKUP($A219,'NonXtal_SegEnds_Prot#'!$A:$AL,28,FALSE),1)</f>
        <v>P</v>
      </c>
    </row>
    <row r="220" spans="1:29" s="2" customFormat="1" x14ac:dyDescent="0.2">
      <c r="A220" s="2" t="s">
        <v>529</v>
      </c>
      <c r="B220" s="2" t="str">
        <f>LOWER(VLOOKUP(A220,Xtal_Templ!A:B,2,FALSE))</f>
        <v>oprd_human</v>
      </c>
      <c r="C220" s="2" t="str">
        <f>VLOOKUP(A220,Classification!A:D,2,FALSE)</f>
        <v>A</v>
      </c>
      <c r="N220" s="2" t="s">
        <v>43</v>
      </c>
      <c r="P220" s="4" t="s">
        <v>51</v>
      </c>
      <c r="R220" s="71" t="str">
        <f>MID(VLOOKUP($A220,Seqs!$A:$B,2,FALSE),VLOOKUP($A220,'NonXtal_SegEnds_Prot#'!A:AL,10,FALSE),1)</f>
        <v>D</v>
      </c>
      <c r="S220" s="102" t="str">
        <f>MID(VLOOKUP($A220,Seqs!$A:$B,2,FALSE),VLOOKUP($A220,'NonXtal_SegEnds_Prot#'!A:AL,10,FALSE)+6,1)</f>
        <v>T</v>
      </c>
      <c r="T220" s="102" t="str">
        <f>MID(VLOOKUP($A220,Seqs!$A:$B,2,FALSE),VLOOKUP($A220,'NonXtal_SegEnds_Prot#'!A:AL,10,FALSE)+7,1)</f>
        <v>L</v>
      </c>
      <c r="U220" s="102" t="str">
        <f>MID(VLOOKUP($A220,Seqs!$A:$B,2,FALSE),VLOOKUP($A220,'NonXtal_SegEnds_Prot#'!A:AL,10,FALSE)+8,1)</f>
        <v>P</v>
      </c>
      <c r="V220" s="102" t="str">
        <f>MID(VLOOKUP($A220,Seqs!$A:$B,2,FALSE),VLOOKUP($A220,'NonXtal_SegEnds_Prot#'!A:AL,10,FALSE)+9,1)</f>
        <v>F</v>
      </c>
      <c r="W220" s="71" t="str">
        <f>MID(VLOOKUP($A220,Seqs!$A:$B,2,FALSE),VLOOKUP($A220,'NonXtal_SegEnds_Prot#'!$A:$AL,22,FALSE)+6,1)</f>
        <v>V</v>
      </c>
      <c r="X220" s="102" t="str">
        <f>MID(VLOOKUP($A220,Seqs!$A:$B,2,FALSE),VLOOKUP($A220,'NonXtal_SegEnds_Prot#'!$A:$AL,22,FALSE)+7,1)</f>
        <v>G</v>
      </c>
      <c r="Y220" s="102" t="str">
        <f>MID(VLOOKUP($A220,Seqs!$A:$B,2,FALSE),VLOOKUP($A220,'NonXtal_SegEnds_Prot#'!$A:$AL,22,FALSE)+8,1)</f>
        <v>V</v>
      </c>
      <c r="Z220" s="102" t="str">
        <f>MID(VLOOKUP($A220,Seqs!$A:$B,2,FALSE),VLOOKUP($A220,'NonXtal_SegEnds_Prot#'!$A:$AL,22,FALSE)+9,1)</f>
        <v>P</v>
      </c>
      <c r="AA220" s="102" t="str">
        <f>MID(VLOOKUP($A220,Seqs!$A:$B,2,FALSE),VLOOKUP($A220,'NonXtal_SegEnds_Prot#'!$A:$AL,22,FALSE)+10,1)</f>
        <v>I</v>
      </c>
      <c r="AB220" s="71" t="str">
        <f>MID(VLOOKUP($A220,Seqs!$A:$B,2,FALSE),VLOOKUP($A220,'NonXtal_SegEnds_Prot#'!$A:$AL,28,FALSE)-4,1)</f>
        <v>A</v>
      </c>
      <c r="AC220" s="102" t="str">
        <f>MID(VLOOKUP($A220,Seqs!$A:$B,2,FALSE),VLOOKUP($A220,'NonXtal_SegEnds_Prot#'!$A:$AL,28,FALSE),1)</f>
        <v>P</v>
      </c>
    </row>
    <row r="221" spans="1:29" s="2" customFormat="1" x14ac:dyDescent="0.2">
      <c r="A221" s="2" t="s">
        <v>1112</v>
      </c>
      <c r="B221" s="2" t="str">
        <f>LOWER(VLOOKUP(A221,Xtal_Templ!A:B,2,FALSE))</f>
        <v>oprd_mouse</v>
      </c>
      <c r="C221" s="2" t="str">
        <f>VLOOKUP(A221,Classification!A:D,2,FALSE)</f>
        <v>A</v>
      </c>
      <c r="N221" s="2" t="s">
        <v>43</v>
      </c>
      <c r="P221" s="4" t="s">
        <v>51</v>
      </c>
      <c r="R221" s="71" t="str">
        <f>MID(VLOOKUP($A221,Seqs!$A:$B,2,FALSE),VLOOKUP($A221,'NonXtal_SegEnds_Prot#'!A:AL,10,FALSE),1)</f>
        <v>D</v>
      </c>
      <c r="S221" s="102" t="str">
        <f>MID(VLOOKUP($A221,Seqs!$A:$B,2,FALSE),VLOOKUP($A221,'NonXtal_SegEnds_Prot#'!A:AL,10,FALSE)+6,1)</f>
        <v>T</v>
      </c>
      <c r="T221" s="102" t="str">
        <f>MID(VLOOKUP($A221,Seqs!$A:$B,2,FALSE),VLOOKUP($A221,'NonXtal_SegEnds_Prot#'!A:AL,10,FALSE)+7,1)</f>
        <v>L</v>
      </c>
      <c r="U221" s="102" t="str">
        <f>MID(VLOOKUP($A221,Seqs!$A:$B,2,FALSE),VLOOKUP($A221,'NonXtal_SegEnds_Prot#'!A:AL,10,FALSE)+8,1)</f>
        <v>P</v>
      </c>
      <c r="V221" s="102" t="str">
        <f>MID(VLOOKUP($A221,Seqs!$A:$B,2,FALSE),VLOOKUP($A221,'NonXtal_SegEnds_Prot#'!A:AL,10,FALSE)+9,1)</f>
        <v>F</v>
      </c>
      <c r="W221" s="71" t="str">
        <f>MID(VLOOKUP($A221,Seqs!$A:$B,2,FALSE),VLOOKUP($A221,'NonXtal_SegEnds_Prot#'!$A:$AL,22,FALSE)+6,1)</f>
        <v>V</v>
      </c>
      <c r="X221" s="102" t="str">
        <f>MID(VLOOKUP($A221,Seqs!$A:$B,2,FALSE),VLOOKUP($A221,'NonXtal_SegEnds_Prot#'!$A:$AL,22,FALSE)+7,1)</f>
        <v>G</v>
      </c>
      <c r="Y221" s="102" t="str">
        <f>MID(VLOOKUP($A221,Seqs!$A:$B,2,FALSE),VLOOKUP($A221,'NonXtal_SegEnds_Prot#'!$A:$AL,22,FALSE)+8,1)</f>
        <v>V</v>
      </c>
      <c r="Z221" s="102" t="str">
        <f>MID(VLOOKUP($A221,Seqs!$A:$B,2,FALSE),VLOOKUP($A221,'NonXtal_SegEnds_Prot#'!$A:$AL,22,FALSE)+9,1)</f>
        <v>P</v>
      </c>
      <c r="AA221" s="102" t="str">
        <f>MID(VLOOKUP($A221,Seqs!$A:$B,2,FALSE),VLOOKUP($A221,'NonXtal_SegEnds_Prot#'!$A:$AL,22,FALSE)+10,1)</f>
        <v>I</v>
      </c>
      <c r="AB221" s="71" t="str">
        <f>MID(VLOOKUP($A221,Seqs!$A:$B,2,FALSE),VLOOKUP($A221,'NonXtal_SegEnds_Prot#'!$A:$AL,28,FALSE)-4,1)</f>
        <v>A</v>
      </c>
      <c r="AC221" s="102" t="str">
        <f>MID(VLOOKUP($A221,Seqs!$A:$B,2,FALSE),VLOOKUP($A221,'NonXtal_SegEnds_Prot#'!$A:$AL,28,FALSE),1)</f>
        <v>P</v>
      </c>
    </row>
    <row r="222" spans="1:29" s="2" customFormat="1" x14ac:dyDescent="0.2">
      <c r="A222" s="2" t="s">
        <v>530</v>
      </c>
      <c r="B222" s="2" t="str">
        <f>LOWER(VLOOKUP(A222,Xtal_Templ!A:B,2,FALSE))</f>
        <v>oprk_human</v>
      </c>
      <c r="C222" s="2" t="str">
        <f>VLOOKUP(A222,Classification!A:D,2,FALSE)</f>
        <v>A</v>
      </c>
      <c r="N222" s="2" t="s">
        <v>43</v>
      </c>
      <c r="P222" s="4" t="s">
        <v>51</v>
      </c>
      <c r="R222" s="71" t="str">
        <f>MID(VLOOKUP($A222,Seqs!$A:$B,2,FALSE),VLOOKUP($A222,'NonXtal_SegEnds_Prot#'!A:AL,10,FALSE),1)</f>
        <v>D</v>
      </c>
      <c r="S222" s="102" t="str">
        <f>MID(VLOOKUP($A222,Seqs!$A:$B,2,FALSE),VLOOKUP($A222,'NonXtal_SegEnds_Prot#'!A:AL,10,FALSE)+6,1)</f>
        <v>T</v>
      </c>
      <c r="T222" s="102" t="str">
        <f>MID(VLOOKUP($A222,Seqs!$A:$B,2,FALSE),VLOOKUP($A222,'NonXtal_SegEnds_Prot#'!A:AL,10,FALSE)+7,1)</f>
        <v>M</v>
      </c>
      <c r="U222" s="102" t="str">
        <f>MID(VLOOKUP($A222,Seqs!$A:$B,2,FALSE),VLOOKUP($A222,'NonXtal_SegEnds_Prot#'!A:AL,10,FALSE)+8,1)</f>
        <v>P</v>
      </c>
      <c r="V222" s="102" t="str">
        <f>MID(VLOOKUP($A222,Seqs!$A:$B,2,FALSE),VLOOKUP($A222,'NonXtal_SegEnds_Prot#'!A:AL,10,FALSE)+9,1)</f>
        <v>F</v>
      </c>
      <c r="W222" s="71" t="str">
        <f>MID(VLOOKUP($A222,Seqs!$A:$B,2,FALSE),VLOOKUP($A222,'NonXtal_SegEnds_Prot#'!$A:$AL,22,FALSE)+6,1)</f>
        <v>V</v>
      </c>
      <c r="X222" s="102" t="str">
        <f>MID(VLOOKUP($A222,Seqs!$A:$B,2,FALSE),VLOOKUP($A222,'NonXtal_SegEnds_Prot#'!$A:$AL,22,FALSE)+7,1)</f>
        <v>G</v>
      </c>
      <c r="Y222" s="102" t="str">
        <f>MID(VLOOKUP($A222,Seqs!$A:$B,2,FALSE),VLOOKUP($A222,'NonXtal_SegEnds_Prot#'!$A:$AL,22,FALSE)+8,1)</f>
        <v>I</v>
      </c>
      <c r="Z222" s="102" t="str">
        <f>MID(VLOOKUP($A222,Seqs!$A:$B,2,FALSE),VLOOKUP($A222,'NonXtal_SegEnds_Prot#'!$A:$AL,22,FALSE)+9,1)</f>
        <v>S</v>
      </c>
      <c r="AA222" s="102" t="str">
        <f>MID(VLOOKUP($A222,Seqs!$A:$B,2,FALSE),VLOOKUP($A222,'NonXtal_SegEnds_Prot#'!$A:$AL,22,FALSE)+10,1)</f>
        <v>A</v>
      </c>
      <c r="AB222" s="71" t="str">
        <f>MID(VLOOKUP($A222,Seqs!$A:$B,2,FALSE),VLOOKUP($A222,'NonXtal_SegEnds_Prot#'!$A:$AL,28,FALSE)-4,1)</f>
        <v>A</v>
      </c>
      <c r="AC222" s="102" t="str">
        <f>MID(VLOOKUP($A222,Seqs!$A:$B,2,FALSE),VLOOKUP($A222,'NonXtal_SegEnds_Prot#'!$A:$AL,28,FALSE),1)</f>
        <v>P</v>
      </c>
    </row>
    <row r="223" spans="1:29" s="2" customFormat="1" x14ac:dyDescent="0.2">
      <c r="A223" s="2" t="s">
        <v>531</v>
      </c>
      <c r="B223" s="2" t="str">
        <f>LOWER(VLOOKUP(A223,Xtal_Templ!A:B,2,FALSE))</f>
        <v>oprm_mouse</v>
      </c>
      <c r="C223" s="2" t="str">
        <f>VLOOKUP(A223,Classification!A:D,2,FALSE)</f>
        <v>A</v>
      </c>
      <c r="N223" s="2" t="s">
        <v>43</v>
      </c>
      <c r="P223" s="4" t="s">
        <v>51</v>
      </c>
      <c r="R223" s="71" t="str">
        <f>MID(VLOOKUP($A223,Seqs!$A:$B,2,FALSE),VLOOKUP($A223,'NonXtal_SegEnds_Prot#'!A:AL,10,FALSE),1)</f>
        <v>D</v>
      </c>
      <c r="S223" s="102" t="str">
        <f>MID(VLOOKUP($A223,Seqs!$A:$B,2,FALSE),VLOOKUP($A223,'NonXtal_SegEnds_Prot#'!A:AL,10,FALSE)+6,1)</f>
        <v>T</v>
      </c>
      <c r="T223" s="102" t="str">
        <f>MID(VLOOKUP($A223,Seqs!$A:$B,2,FALSE),VLOOKUP($A223,'NonXtal_SegEnds_Prot#'!A:AL,10,FALSE)+7,1)</f>
        <v>L</v>
      </c>
      <c r="U223" s="102" t="str">
        <f>MID(VLOOKUP($A223,Seqs!$A:$B,2,FALSE),VLOOKUP($A223,'NonXtal_SegEnds_Prot#'!A:AL,10,FALSE)+8,1)</f>
        <v>P</v>
      </c>
      <c r="V223" s="102" t="str">
        <f>MID(VLOOKUP($A223,Seqs!$A:$B,2,FALSE),VLOOKUP($A223,'NonXtal_SegEnds_Prot#'!A:AL,10,FALSE)+9,1)</f>
        <v>F</v>
      </c>
      <c r="W223" s="71" t="str">
        <f>MID(VLOOKUP($A223,Seqs!$A:$B,2,FALSE),VLOOKUP($A223,'NonXtal_SegEnds_Prot#'!$A:$AL,22,FALSE)+6,1)</f>
        <v>I</v>
      </c>
      <c r="X223" s="102" t="str">
        <f>MID(VLOOKUP($A223,Seqs!$A:$B,2,FALSE),VLOOKUP($A223,'NonXtal_SegEnds_Prot#'!$A:$AL,22,FALSE)+7,1)</f>
        <v>G</v>
      </c>
      <c r="Y223" s="102" t="str">
        <f>MID(VLOOKUP($A223,Seqs!$A:$B,2,FALSE),VLOOKUP($A223,'NonXtal_SegEnds_Prot#'!$A:$AL,22,FALSE)+8,1)</f>
        <v>L</v>
      </c>
      <c r="Z223" s="102" t="str">
        <f>MID(VLOOKUP($A223,Seqs!$A:$B,2,FALSE),VLOOKUP($A223,'NonXtal_SegEnds_Prot#'!$A:$AL,22,FALSE)+9,1)</f>
        <v>P</v>
      </c>
      <c r="AA223" s="102" t="str">
        <f>MID(VLOOKUP($A223,Seqs!$A:$B,2,FALSE),VLOOKUP($A223,'NonXtal_SegEnds_Prot#'!$A:$AL,22,FALSE)+10,1)</f>
        <v>V</v>
      </c>
      <c r="AB223" s="71" t="str">
        <f>MID(VLOOKUP($A223,Seqs!$A:$B,2,FALSE),VLOOKUP($A223,'NonXtal_SegEnds_Prot#'!$A:$AL,28,FALSE)-4,1)</f>
        <v>A</v>
      </c>
      <c r="AC223" s="102" t="str">
        <f>MID(VLOOKUP($A223,Seqs!$A:$B,2,FALSE),VLOOKUP($A223,'NonXtal_SegEnds_Prot#'!$A:$AL,28,FALSE),1)</f>
        <v>P</v>
      </c>
    </row>
    <row r="224" spans="1:29" s="2" customFormat="1" x14ac:dyDescent="0.2">
      <c r="A224" s="2" t="s">
        <v>1114</v>
      </c>
      <c r="B224" s="2" t="str">
        <f>LOWER(VLOOKUP(A224,Xtal_Templ!A:B,2,FALSE))</f>
        <v>oprm_mouse</v>
      </c>
      <c r="C224" s="2" t="str">
        <f>VLOOKUP(A224,Classification!A:D,2,FALSE)</f>
        <v>A</v>
      </c>
      <c r="N224" s="2" t="s">
        <v>43</v>
      </c>
      <c r="P224" s="4" t="s">
        <v>51</v>
      </c>
      <c r="R224" s="71" t="str">
        <f>MID(VLOOKUP($A224,Seqs!$A:$B,2,FALSE),VLOOKUP($A224,'NonXtal_SegEnds_Prot#'!A:AL,10,FALSE),1)</f>
        <v>D</v>
      </c>
      <c r="S224" s="102" t="str">
        <f>MID(VLOOKUP($A224,Seqs!$A:$B,2,FALSE),VLOOKUP($A224,'NonXtal_SegEnds_Prot#'!A:AL,10,FALSE)+6,1)</f>
        <v>T</v>
      </c>
      <c r="T224" s="102" t="str">
        <f>MID(VLOOKUP($A224,Seqs!$A:$B,2,FALSE),VLOOKUP($A224,'NonXtal_SegEnds_Prot#'!A:AL,10,FALSE)+7,1)</f>
        <v>L</v>
      </c>
      <c r="U224" s="102" t="str">
        <f>MID(VLOOKUP($A224,Seqs!$A:$B,2,FALSE),VLOOKUP($A224,'NonXtal_SegEnds_Prot#'!A:AL,10,FALSE)+8,1)</f>
        <v>P</v>
      </c>
      <c r="V224" s="102" t="str">
        <f>MID(VLOOKUP($A224,Seqs!$A:$B,2,FALSE),VLOOKUP($A224,'NonXtal_SegEnds_Prot#'!A:AL,10,FALSE)+9,1)</f>
        <v>F</v>
      </c>
      <c r="W224" s="71" t="str">
        <f>MID(VLOOKUP($A224,Seqs!$A:$B,2,FALSE),VLOOKUP($A224,'NonXtal_SegEnds_Prot#'!$A:$AL,22,FALSE)+6,1)</f>
        <v>I</v>
      </c>
      <c r="X224" s="102" t="str">
        <f>MID(VLOOKUP($A224,Seqs!$A:$B,2,FALSE),VLOOKUP($A224,'NonXtal_SegEnds_Prot#'!$A:$AL,22,FALSE)+7,1)</f>
        <v>G</v>
      </c>
      <c r="Y224" s="102" t="str">
        <f>MID(VLOOKUP($A224,Seqs!$A:$B,2,FALSE),VLOOKUP($A224,'NonXtal_SegEnds_Prot#'!$A:$AL,22,FALSE)+8,1)</f>
        <v>L</v>
      </c>
      <c r="Z224" s="102" t="str">
        <f>MID(VLOOKUP($A224,Seqs!$A:$B,2,FALSE),VLOOKUP($A224,'NonXtal_SegEnds_Prot#'!$A:$AL,22,FALSE)+9,1)</f>
        <v>P</v>
      </c>
      <c r="AA224" s="102" t="str">
        <f>MID(VLOOKUP($A224,Seqs!$A:$B,2,FALSE),VLOOKUP($A224,'NonXtal_SegEnds_Prot#'!$A:$AL,22,FALSE)+10,1)</f>
        <v>V</v>
      </c>
      <c r="AB224" s="71" t="str">
        <f>MID(VLOOKUP($A224,Seqs!$A:$B,2,FALSE),VLOOKUP($A224,'NonXtal_SegEnds_Prot#'!$A:$AL,28,FALSE)-4,1)</f>
        <v>A</v>
      </c>
      <c r="AC224" s="102" t="str">
        <f>MID(VLOOKUP($A224,Seqs!$A:$B,2,FALSE),VLOOKUP($A224,'NonXtal_SegEnds_Prot#'!$A:$AL,28,FALSE),1)</f>
        <v>P</v>
      </c>
    </row>
    <row r="225" spans="1:29" s="2" customFormat="1" x14ac:dyDescent="0.2">
      <c r="A225" s="2" t="s">
        <v>1393</v>
      </c>
      <c r="B225" s="2" t="str">
        <f>LOWER(VLOOKUP(A225,Xtal_Templ!A:B,2,FALSE))</f>
        <v>oprx_human</v>
      </c>
      <c r="C225" s="2" t="str">
        <f>VLOOKUP(A225,Classification!A:D,2,FALSE)</f>
        <v>A</v>
      </c>
      <c r="N225" s="2" t="s">
        <v>43</v>
      </c>
      <c r="P225" s="4" t="s">
        <v>51</v>
      </c>
      <c r="R225" s="71" t="str">
        <f>MID(VLOOKUP($A225,Seqs!$A:$B,2,FALSE),VLOOKUP($A225,'NonXtal_SegEnds_Prot#'!A:AL,10,FALSE),1)</f>
        <v>D</v>
      </c>
      <c r="S225" s="102" t="str">
        <f>MID(VLOOKUP($A225,Seqs!$A:$B,2,FALSE),VLOOKUP($A225,'NonXtal_SegEnds_Prot#'!A:AL,10,FALSE)+6,1)</f>
        <v>T</v>
      </c>
      <c r="T225" s="102" t="str">
        <f>MID(VLOOKUP($A225,Seqs!$A:$B,2,FALSE),VLOOKUP($A225,'NonXtal_SegEnds_Prot#'!A:AL,10,FALSE)+7,1)</f>
        <v>L</v>
      </c>
      <c r="U225" s="102" t="str">
        <f>MID(VLOOKUP($A225,Seqs!$A:$B,2,FALSE),VLOOKUP($A225,'NonXtal_SegEnds_Prot#'!A:AL,10,FALSE)+8,1)</f>
        <v>P</v>
      </c>
      <c r="V225" s="102" t="str">
        <f>MID(VLOOKUP($A225,Seqs!$A:$B,2,FALSE),VLOOKUP($A225,'NonXtal_SegEnds_Prot#'!A:AL,10,FALSE)+9,1)</f>
        <v>F</v>
      </c>
      <c r="W225" s="71" t="str">
        <f>MID(VLOOKUP($A225,Seqs!$A:$B,2,FALSE),VLOOKUP($A225,'NonXtal_SegEnds_Prot#'!$A:$AL,22,FALSE)+6,1)</f>
        <v>V</v>
      </c>
      <c r="X225" s="102" t="str">
        <f>MID(VLOOKUP($A225,Seqs!$A:$B,2,FALSE),VLOOKUP($A225,'NonXtal_SegEnds_Prot#'!$A:$AL,22,FALSE)+7,1)</f>
        <v>G</v>
      </c>
      <c r="Y225" s="102" t="str">
        <f>MID(VLOOKUP($A225,Seqs!$A:$B,2,FALSE),VLOOKUP($A225,'NonXtal_SegEnds_Prot#'!$A:$AL,22,FALSE)+8,1)</f>
        <v>V</v>
      </c>
      <c r="Z225" s="102" t="str">
        <f>MID(VLOOKUP($A225,Seqs!$A:$B,2,FALSE),VLOOKUP($A225,'NonXtal_SegEnds_Prot#'!$A:$AL,22,FALSE)+9,1)</f>
        <v>P</v>
      </c>
      <c r="AA225" s="102" t="str">
        <f>MID(VLOOKUP($A225,Seqs!$A:$B,2,FALSE),VLOOKUP($A225,'NonXtal_SegEnds_Prot#'!$A:$AL,22,FALSE)+10,1)</f>
        <v>V</v>
      </c>
      <c r="AB225" s="71" t="str">
        <f>MID(VLOOKUP($A225,Seqs!$A:$B,2,FALSE),VLOOKUP($A225,'NonXtal_SegEnds_Prot#'!$A:$AL,28,FALSE)-4,1)</f>
        <v>S</v>
      </c>
      <c r="AC225" s="102" t="str">
        <f>MID(VLOOKUP($A225,Seqs!$A:$B,2,FALSE),VLOOKUP($A225,'NonXtal_SegEnds_Prot#'!$A:$AL,28,FALSE),1)</f>
        <v>P</v>
      </c>
    </row>
    <row r="226" spans="1:29" s="2" customFormat="1" x14ac:dyDescent="0.2">
      <c r="A226" s="2" t="s">
        <v>532</v>
      </c>
      <c r="B226" s="2" t="str">
        <f>LOWER(VLOOKUP(A226,Xtal_Templ!A:B,2,FALSE))</f>
        <v>opsd_human</v>
      </c>
      <c r="C226" s="2" t="str">
        <f>VLOOKUP(A226,Classification!A:D,2,FALSE)</f>
        <v>A</v>
      </c>
      <c r="N226" s="2" t="s">
        <v>43</v>
      </c>
      <c r="P226" s="4" t="s">
        <v>51</v>
      </c>
      <c r="R226" s="71" t="str">
        <f>MID(VLOOKUP($A226,Seqs!$A:$B,2,FALSE),VLOOKUP($A226,'NonXtal_SegEnds_Prot#'!A:AL,10,FALSE),1)</f>
        <v>G</v>
      </c>
      <c r="S226" s="102" t="str">
        <f>MID(VLOOKUP($A226,Seqs!$A:$B,2,FALSE),VLOOKUP($A226,'NonXtal_SegEnds_Prot#'!A:AL,10,FALSE)+6,1)</f>
        <v>F</v>
      </c>
      <c r="T226" s="102" t="str">
        <f>MID(VLOOKUP($A226,Seqs!$A:$B,2,FALSE),VLOOKUP($A226,'NonXtal_SegEnds_Prot#'!A:AL,10,FALSE)+7,1)</f>
        <v>S</v>
      </c>
      <c r="U226" s="102" t="str">
        <f>MID(VLOOKUP($A226,Seqs!$A:$B,2,FALSE),VLOOKUP($A226,'NonXtal_SegEnds_Prot#'!A:AL,10,FALSE)+8,1)</f>
        <v>V</v>
      </c>
      <c r="V226" s="102" t="str">
        <f>MID(VLOOKUP($A226,Seqs!$A:$B,2,FALSE),VLOOKUP($A226,'NonXtal_SegEnds_Prot#'!A:AL,10,FALSE)+9,1)</f>
        <v>F</v>
      </c>
      <c r="W226" s="71" t="str">
        <f>MID(VLOOKUP($A226,Seqs!$A:$B,2,FALSE),VLOOKUP($A226,'NonXtal_SegEnds_Prot#'!$A:$AL,22,FALSE)+6,1)</f>
        <v>V</v>
      </c>
      <c r="X226" s="102" t="str">
        <f>MID(VLOOKUP($A226,Seqs!$A:$B,2,FALSE),VLOOKUP($A226,'NonXtal_SegEnds_Prot#'!$A:$AL,22,FALSE)+7,1)</f>
        <v>S</v>
      </c>
      <c r="Y226" s="102" t="str">
        <f>MID(VLOOKUP($A226,Seqs!$A:$B,2,FALSE),VLOOKUP($A226,'NonXtal_SegEnds_Prot#'!$A:$AL,22,FALSE)+8,1)</f>
        <v>I</v>
      </c>
      <c r="Z226" s="102" t="str">
        <f>MID(VLOOKUP($A226,Seqs!$A:$B,2,FALSE),VLOOKUP($A226,'NonXtal_SegEnds_Prot#'!$A:$AL,22,FALSE)+9,1)</f>
        <v>P</v>
      </c>
      <c r="AA226" s="102" t="str">
        <f>MID(VLOOKUP($A226,Seqs!$A:$B,2,FALSE),VLOOKUP($A226,'NonXtal_SegEnds_Prot#'!$A:$AL,22,FALSE)+10,1)</f>
        <v>P</v>
      </c>
      <c r="AB226" s="71" t="str">
        <f>MID(VLOOKUP($A226,Seqs!$A:$B,2,FALSE),VLOOKUP($A226,'NonXtal_SegEnds_Prot#'!$A:$AL,28,FALSE)-4,1)</f>
        <v>C</v>
      </c>
      <c r="AC226" s="102" t="str">
        <f>MID(VLOOKUP($A226,Seqs!$A:$B,2,FALSE),VLOOKUP($A226,'NonXtal_SegEnds_Prot#'!$A:$AL,28,FALSE),1)</f>
        <v>P</v>
      </c>
    </row>
    <row r="227" spans="1:29" s="2" customFormat="1" x14ac:dyDescent="0.2">
      <c r="A227" s="2" t="s">
        <v>1116</v>
      </c>
      <c r="B227" s="2" t="str">
        <f>LOWER(VLOOKUP(A227,Xtal_Templ!A:B,2,FALSE))</f>
        <v>opsd_bovin</v>
      </c>
      <c r="C227" s="2" t="str">
        <f>VLOOKUP(A227,Classification!A:D,2,FALSE)</f>
        <v>A</v>
      </c>
      <c r="E227" s="2" t="s">
        <v>20</v>
      </c>
      <c r="N227" s="2" t="s">
        <v>43</v>
      </c>
      <c r="P227" s="4" t="s">
        <v>51</v>
      </c>
      <c r="R227" s="71" t="str">
        <f>MID(VLOOKUP($A227,Seqs!$A:$B,2,FALSE),VLOOKUP($A227,'NonXtal_SegEnds_Prot#'!A:AL,10,FALSE),1)</f>
        <v>D</v>
      </c>
      <c r="S227" s="102" t="str">
        <f>MID(VLOOKUP($A227,Seqs!$A:$B,2,FALSE),VLOOKUP($A227,'NonXtal_SegEnds_Prot#'!A:AL,10,FALSE)+6,1)</f>
        <v>G</v>
      </c>
      <c r="T227" s="102" t="str">
        <f>MID(VLOOKUP($A227,Seqs!$A:$B,2,FALSE),VLOOKUP($A227,'NonXtal_SegEnds_Prot#'!A:AL,10,FALSE)+7,1)</f>
        <v>G</v>
      </c>
      <c r="U227" s="102" t="str">
        <f>MID(VLOOKUP($A227,Seqs!$A:$B,2,FALSE),VLOOKUP($A227,'NonXtal_SegEnds_Prot#'!A:AL,10,FALSE)+8,1)</f>
        <v>F</v>
      </c>
      <c r="V227" s="102" t="str">
        <f>MID(VLOOKUP($A227,Seqs!$A:$B,2,FALSE),VLOOKUP($A227,'NonXtal_SegEnds_Prot#'!A:AL,10,FALSE)+9,1)</f>
        <v>T</v>
      </c>
      <c r="W227" s="71" t="str">
        <f>MID(VLOOKUP($A227,Seqs!$A:$B,2,FALSE),VLOOKUP($A227,'NonXtal_SegEnds_Prot#'!$A:$AL,22,FALSE)+6,1)</f>
        <v>C</v>
      </c>
      <c r="X227" s="102" t="str">
        <f>MID(VLOOKUP($A227,Seqs!$A:$B,2,FALSE),VLOOKUP($A227,'NonXtal_SegEnds_Prot#'!$A:$AL,22,FALSE)+7,1)</f>
        <v>A</v>
      </c>
      <c r="Y227" s="102" t="str">
        <f>MID(VLOOKUP($A227,Seqs!$A:$B,2,FALSE),VLOOKUP($A227,'NonXtal_SegEnds_Prot#'!$A:$AL,22,FALSE)+8,1)</f>
        <v>A</v>
      </c>
      <c r="Z227" s="102" t="str">
        <f>MID(VLOOKUP($A227,Seqs!$A:$B,2,FALSE),VLOOKUP($A227,'NonXtal_SegEnds_Prot#'!$A:$AL,22,FALSE)+9,1)</f>
        <v>P</v>
      </c>
      <c r="AA227" s="102" t="str">
        <f>MID(VLOOKUP($A227,Seqs!$A:$B,2,FALSE),VLOOKUP($A227,'NonXtal_SegEnds_Prot#'!$A:$AL,22,FALSE)+10,1)</f>
        <v>P</v>
      </c>
      <c r="AB227" s="71" t="str">
        <f>MID(VLOOKUP($A227,Seqs!$A:$B,2,FALSE),VLOOKUP($A227,'NonXtal_SegEnds_Prot#'!$A:$AL,28,FALSE)-4,1)</f>
        <v>H</v>
      </c>
      <c r="AC227" s="102" t="str">
        <f>MID(VLOOKUP($A227,Seqs!$A:$B,2,FALSE),VLOOKUP($A227,'NonXtal_SegEnds_Prot#'!$A:$AL,28,FALSE),1)</f>
        <v>P</v>
      </c>
    </row>
    <row r="228" spans="1:29" s="2" customFormat="1" x14ac:dyDescent="0.2">
      <c r="A228" s="2" t="s">
        <v>533</v>
      </c>
      <c r="B228" s="2" t="str">
        <f>LOWER(VLOOKUP(A228,Xtal_Templ!A:B,2,FALSE))</f>
        <v>opsd_human</v>
      </c>
      <c r="C228" s="2" t="str">
        <f>VLOOKUP(A228,Classification!A:D,2,FALSE)</f>
        <v>A</v>
      </c>
      <c r="E228" s="2" t="s">
        <v>20</v>
      </c>
      <c r="N228" s="2" t="s">
        <v>43</v>
      </c>
      <c r="P228" s="4" t="s">
        <v>51</v>
      </c>
      <c r="R228" s="71" t="str">
        <f>MID(VLOOKUP($A228,Seqs!$A:$B,2,FALSE),VLOOKUP($A228,'NonXtal_SegEnds_Prot#'!A:AL,10,FALSE),1)</f>
        <v>D</v>
      </c>
      <c r="S228" s="102" t="str">
        <f>MID(VLOOKUP($A228,Seqs!$A:$B,2,FALSE),VLOOKUP($A228,'NonXtal_SegEnds_Prot#'!A:AL,10,FALSE)+6,1)</f>
        <v>G</v>
      </c>
      <c r="T228" s="102" t="str">
        <f>MID(VLOOKUP($A228,Seqs!$A:$B,2,FALSE),VLOOKUP($A228,'NonXtal_SegEnds_Prot#'!A:AL,10,FALSE)+7,1)</f>
        <v>G</v>
      </c>
      <c r="U228" s="102" t="str">
        <f>MID(VLOOKUP($A228,Seqs!$A:$B,2,FALSE),VLOOKUP($A228,'NonXtal_SegEnds_Prot#'!A:AL,10,FALSE)+8,1)</f>
        <v>F</v>
      </c>
      <c r="V228" s="102" t="str">
        <f>MID(VLOOKUP($A228,Seqs!$A:$B,2,FALSE),VLOOKUP($A228,'NonXtal_SegEnds_Prot#'!A:AL,10,FALSE)+9,1)</f>
        <v>T</v>
      </c>
      <c r="W228" s="71" t="str">
        <f>MID(VLOOKUP($A228,Seqs!$A:$B,2,FALSE),VLOOKUP($A228,'NonXtal_SegEnds_Prot#'!$A:$AL,22,FALSE)+6,1)</f>
        <v>C</v>
      </c>
      <c r="X228" s="102" t="str">
        <f>MID(VLOOKUP($A228,Seqs!$A:$B,2,FALSE),VLOOKUP($A228,'NonXtal_SegEnds_Prot#'!$A:$AL,22,FALSE)+7,1)</f>
        <v>A</v>
      </c>
      <c r="Y228" s="102" t="str">
        <f>MID(VLOOKUP($A228,Seqs!$A:$B,2,FALSE),VLOOKUP($A228,'NonXtal_SegEnds_Prot#'!$A:$AL,22,FALSE)+8,1)</f>
        <v>A</v>
      </c>
      <c r="Z228" s="102" t="str">
        <f>MID(VLOOKUP($A228,Seqs!$A:$B,2,FALSE),VLOOKUP($A228,'NonXtal_SegEnds_Prot#'!$A:$AL,22,FALSE)+9,1)</f>
        <v>P</v>
      </c>
      <c r="AA228" s="102" t="str">
        <f>MID(VLOOKUP($A228,Seqs!$A:$B,2,FALSE),VLOOKUP($A228,'NonXtal_SegEnds_Prot#'!$A:$AL,22,FALSE)+10,1)</f>
        <v>P</v>
      </c>
      <c r="AB228" s="71" t="str">
        <f>MID(VLOOKUP($A228,Seqs!$A:$B,2,FALSE),VLOOKUP($A228,'NonXtal_SegEnds_Prot#'!$A:$AL,28,FALSE)-4,1)</f>
        <v>H</v>
      </c>
      <c r="AC228" s="102" t="str">
        <f>MID(VLOOKUP($A228,Seqs!$A:$B,2,FALSE),VLOOKUP($A228,'NonXtal_SegEnds_Prot#'!$A:$AL,28,FALSE),1)</f>
        <v>P</v>
      </c>
    </row>
    <row r="229" spans="1:29" s="2" customFormat="1" x14ac:dyDescent="0.2">
      <c r="A229" s="2" t="s">
        <v>1118</v>
      </c>
      <c r="B229" s="2" t="str">
        <f>LOWER(VLOOKUP(A229,Xtal_Templ!A:B,2,FALSE))</f>
        <v>opsd_todpa</v>
      </c>
      <c r="C229" s="2" t="str">
        <f>VLOOKUP(A229,Classification!A:D,2,FALSE)</f>
        <v>A</v>
      </c>
      <c r="N229" s="2" t="s">
        <v>43</v>
      </c>
      <c r="P229" s="4" t="s">
        <v>51</v>
      </c>
      <c r="R229" s="71" t="str">
        <f>MID(VLOOKUP($A229,Seqs!$A:$B,2,FALSE),VLOOKUP($A229,'NonXtal_SegEnds_Prot#'!A:AL,10,FALSE),1)</f>
        <v>D</v>
      </c>
      <c r="S229" s="102" t="str">
        <f>MID(VLOOKUP($A229,Seqs!$A:$B,2,FALSE),VLOOKUP($A229,'NonXtal_SegEnds_Prot#'!A:AL,10,FALSE)+6,1)</f>
        <v>V</v>
      </c>
      <c r="T229" s="102" t="str">
        <f>MID(VLOOKUP($A229,Seqs!$A:$B,2,FALSE),VLOOKUP($A229,'NonXtal_SegEnds_Prot#'!A:AL,10,FALSE)+7,1)</f>
        <v>N</v>
      </c>
      <c r="U229" s="102" t="str">
        <f>MID(VLOOKUP($A229,Seqs!$A:$B,2,FALSE),VLOOKUP($A229,'NonXtal_SegEnds_Prot#'!A:AL,10,FALSE)+8,1)</f>
        <v>G</v>
      </c>
      <c r="V229" s="102" t="str">
        <f>MID(VLOOKUP($A229,Seqs!$A:$B,2,FALSE),VLOOKUP($A229,'NonXtal_SegEnds_Prot#'!A:AL,10,FALSE)+9,1)</f>
        <v>F</v>
      </c>
      <c r="W229" s="71" t="str">
        <f>MID(VLOOKUP($A229,Seqs!$A:$B,2,FALSE),VLOOKUP($A229,'NonXtal_SegEnds_Prot#'!$A:$AL,22,FALSE)+6,1)</f>
        <v>W</v>
      </c>
      <c r="X229" s="102" t="str">
        <f>MID(VLOOKUP($A229,Seqs!$A:$B,2,FALSE),VLOOKUP($A229,'NonXtal_SegEnds_Prot#'!$A:$AL,22,FALSE)+7,1)</f>
        <v>A</v>
      </c>
      <c r="Y229" s="102" t="str">
        <f>MID(VLOOKUP($A229,Seqs!$A:$B,2,FALSE),VLOOKUP($A229,'NonXtal_SegEnds_Prot#'!$A:$AL,22,FALSE)+8,1)</f>
        <v>I</v>
      </c>
      <c r="Z229" s="102" t="str">
        <f>MID(VLOOKUP($A229,Seqs!$A:$B,2,FALSE),VLOOKUP($A229,'NonXtal_SegEnds_Prot#'!$A:$AL,22,FALSE)+9,1)</f>
        <v>G</v>
      </c>
      <c r="AA229" s="102" t="str">
        <f>MID(VLOOKUP($A229,Seqs!$A:$B,2,FALSE),VLOOKUP($A229,'NonXtal_SegEnds_Prot#'!$A:$AL,22,FALSE)+10,1)</f>
        <v>P</v>
      </c>
      <c r="AB229" s="71" t="str">
        <f>MID(VLOOKUP($A229,Seqs!$A:$B,2,FALSE),VLOOKUP($A229,'NonXtal_SegEnds_Prot#'!$A:$AL,28,FALSE)-4,1)</f>
        <v>G</v>
      </c>
      <c r="AC229" s="102" t="str">
        <f>MID(VLOOKUP($A229,Seqs!$A:$B,2,FALSE),VLOOKUP($A229,'NonXtal_SegEnds_Prot#'!$A:$AL,28,FALSE),1)</f>
        <v>P</v>
      </c>
    </row>
    <row r="230" spans="1:29" s="2" customFormat="1" x14ac:dyDescent="0.2">
      <c r="A230" s="2" t="s">
        <v>534</v>
      </c>
      <c r="B230" s="2" t="str">
        <f>LOWER(VLOOKUP(A230,Xtal_Templ!A:B,2,FALSE))</f>
        <v>opsd_human</v>
      </c>
      <c r="C230" s="2" t="str">
        <f>VLOOKUP(A230,Classification!A:D,2,FALSE)</f>
        <v>A</v>
      </c>
      <c r="N230" s="2" t="s">
        <v>43</v>
      </c>
      <c r="P230" s="4" t="s">
        <v>51</v>
      </c>
      <c r="R230" s="71" t="str">
        <f>MID(VLOOKUP($A230,Seqs!$A:$B,2,FALSE),VLOOKUP($A230,'NonXtal_SegEnds_Prot#'!A:AL,10,FALSE),1)</f>
        <v>D</v>
      </c>
      <c r="S230" s="102" t="str">
        <f>MID(VLOOKUP($A230,Seqs!$A:$B,2,FALSE),VLOOKUP($A230,'NonXtal_SegEnds_Prot#'!A:AL,10,FALSE)+6,1)</f>
        <v>I</v>
      </c>
      <c r="T230" s="102" t="str">
        <f>MID(VLOOKUP($A230,Seqs!$A:$B,2,FALSE),VLOOKUP($A230,'NonXtal_SegEnds_Prot#'!A:AL,10,FALSE)+7,1)</f>
        <v>A</v>
      </c>
      <c r="U230" s="102" t="str">
        <f>MID(VLOOKUP($A230,Seqs!$A:$B,2,FALSE),VLOOKUP($A230,'NonXtal_SegEnds_Prot#'!A:AL,10,FALSE)+8,1)</f>
        <v>S</v>
      </c>
      <c r="V230" s="102" t="str">
        <f>MID(VLOOKUP($A230,Seqs!$A:$B,2,FALSE),VLOOKUP($A230,'NonXtal_SegEnds_Prot#'!A:AL,10,FALSE)+9,1)</f>
        <v>T</v>
      </c>
      <c r="W230" s="71" t="str">
        <f>MID(VLOOKUP($A230,Seqs!$A:$B,2,FALSE),VLOOKUP($A230,'NonXtal_SegEnds_Prot#'!$A:$AL,22,FALSE)+6,1)</f>
        <v>W</v>
      </c>
      <c r="X230" s="102" t="str">
        <f>MID(VLOOKUP($A230,Seqs!$A:$B,2,FALSE),VLOOKUP($A230,'NonXtal_SegEnds_Prot#'!$A:$AL,22,FALSE)+7,1)</f>
        <v>T</v>
      </c>
      <c r="Y230" s="102" t="str">
        <f>MID(VLOOKUP($A230,Seqs!$A:$B,2,FALSE),VLOOKUP($A230,'NonXtal_SegEnds_Prot#'!$A:$AL,22,FALSE)+8,1)</f>
        <v>A</v>
      </c>
      <c r="Z230" s="102" t="str">
        <f>MID(VLOOKUP($A230,Seqs!$A:$B,2,FALSE),VLOOKUP($A230,'NonXtal_SegEnds_Prot#'!$A:$AL,22,FALSE)+9,1)</f>
        <v>P</v>
      </c>
      <c r="AA230" s="102" t="str">
        <f>MID(VLOOKUP($A230,Seqs!$A:$B,2,FALSE),VLOOKUP($A230,'NonXtal_SegEnds_Prot#'!$A:$AL,22,FALSE)+10,1)</f>
        <v>P</v>
      </c>
      <c r="AB230" s="71" t="str">
        <f>MID(VLOOKUP($A230,Seqs!$A:$B,2,FALSE),VLOOKUP($A230,'NonXtal_SegEnds_Prot#'!$A:$AL,28,FALSE)-4,1)</f>
        <v>C</v>
      </c>
      <c r="AC230" s="102" t="str">
        <f>MID(VLOOKUP($A230,Seqs!$A:$B,2,FALSE),VLOOKUP($A230,'NonXtal_SegEnds_Prot#'!$A:$AL,28,FALSE),1)</f>
        <v>P</v>
      </c>
    </row>
    <row r="231" spans="1:29" s="2" customFormat="1" x14ac:dyDescent="0.2">
      <c r="A231" s="2" t="s">
        <v>535</v>
      </c>
      <c r="B231" s="2" t="str">
        <f>LOWER(VLOOKUP(A231,Xtal_Templ!A:B,2,FALSE))</f>
        <v>opsd_human</v>
      </c>
      <c r="C231" s="2" t="str">
        <f>VLOOKUP(A231,Classification!A:D,2,FALSE)</f>
        <v>A</v>
      </c>
      <c r="N231" s="2" t="s">
        <v>43</v>
      </c>
      <c r="P231" s="4" t="s">
        <v>51</v>
      </c>
      <c r="R231" s="71" t="str">
        <f>MID(VLOOKUP($A231,Seqs!$A:$B,2,FALSE),VLOOKUP($A231,'NonXtal_SegEnds_Prot#'!A:AL,10,FALSE),1)</f>
        <v>D</v>
      </c>
      <c r="S231" s="102" t="str">
        <f>MID(VLOOKUP($A231,Seqs!$A:$B,2,FALSE),VLOOKUP($A231,'NonXtal_SegEnds_Prot#'!A:AL,10,FALSE)+6,1)</f>
        <v>I</v>
      </c>
      <c r="T231" s="102" t="str">
        <f>MID(VLOOKUP($A231,Seqs!$A:$B,2,FALSE),VLOOKUP($A231,'NonXtal_SegEnds_Prot#'!A:AL,10,FALSE)+7,1)</f>
        <v>A</v>
      </c>
      <c r="U231" s="102" t="str">
        <f>MID(VLOOKUP($A231,Seqs!$A:$B,2,FALSE),VLOOKUP($A231,'NonXtal_SegEnds_Prot#'!A:AL,10,FALSE)+8,1)</f>
        <v>S</v>
      </c>
      <c r="V231" s="102" t="str">
        <f>MID(VLOOKUP($A231,Seqs!$A:$B,2,FALSE),VLOOKUP($A231,'NonXtal_SegEnds_Prot#'!A:AL,10,FALSE)+9,1)</f>
        <v>T</v>
      </c>
      <c r="W231" s="71" t="str">
        <f>MID(VLOOKUP($A231,Seqs!$A:$B,2,FALSE),VLOOKUP($A231,'NonXtal_SegEnds_Prot#'!$A:$AL,22,FALSE)+6,1)</f>
        <v>W</v>
      </c>
      <c r="X231" s="102" t="str">
        <f>MID(VLOOKUP($A231,Seqs!$A:$B,2,FALSE),VLOOKUP($A231,'NonXtal_SegEnds_Prot#'!$A:$AL,22,FALSE)+7,1)</f>
        <v>T</v>
      </c>
      <c r="Y231" s="102" t="str">
        <f>MID(VLOOKUP($A231,Seqs!$A:$B,2,FALSE),VLOOKUP($A231,'NonXtal_SegEnds_Prot#'!$A:$AL,22,FALSE)+8,1)</f>
        <v>A</v>
      </c>
      <c r="Z231" s="102" t="str">
        <f>MID(VLOOKUP($A231,Seqs!$A:$B,2,FALSE),VLOOKUP($A231,'NonXtal_SegEnds_Prot#'!$A:$AL,22,FALSE)+9,1)</f>
        <v>P</v>
      </c>
      <c r="AA231" s="102" t="str">
        <f>MID(VLOOKUP($A231,Seqs!$A:$B,2,FALSE),VLOOKUP($A231,'NonXtal_SegEnds_Prot#'!$A:$AL,22,FALSE)+10,1)</f>
        <v>P</v>
      </c>
      <c r="AB231" s="71" t="str">
        <f>MID(VLOOKUP($A231,Seqs!$A:$B,2,FALSE),VLOOKUP($A231,'NonXtal_SegEnds_Prot#'!$A:$AL,28,FALSE)-4,1)</f>
        <v>C</v>
      </c>
      <c r="AC231" s="102" t="str">
        <f>MID(VLOOKUP($A231,Seqs!$A:$B,2,FALSE),VLOOKUP($A231,'NonXtal_SegEnds_Prot#'!$A:$AL,28,FALSE),1)</f>
        <v>P</v>
      </c>
    </row>
    <row r="232" spans="1:29" s="2" customFormat="1" x14ac:dyDescent="0.2">
      <c r="A232" s="2" t="s">
        <v>1394</v>
      </c>
      <c r="B232" s="2" t="str">
        <f>LOWER(VLOOKUP(A232,Xtal_Templ!A:B,2,FALSE))</f>
        <v>ox1r_human</v>
      </c>
      <c r="C232" s="2" t="str">
        <f>VLOOKUP(A232,Classification!A:D,2,FALSE)</f>
        <v>A</v>
      </c>
      <c r="E232" s="2" t="s">
        <v>20</v>
      </c>
      <c r="K232" s="2" t="s">
        <v>59</v>
      </c>
      <c r="N232" s="2" t="s">
        <v>43</v>
      </c>
      <c r="P232" s="4" t="s">
        <v>51</v>
      </c>
      <c r="R232" s="71" t="str">
        <f>MID(VLOOKUP($A232,Seqs!$A:$B,2,FALSE),VLOOKUP($A232,'NonXtal_SegEnds_Prot#'!A:AL,10,FALSE),1)</f>
        <v>D</v>
      </c>
      <c r="S232" s="102" t="str">
        <f>MID(VLOOKUP($A232,Seqs!$A:$B,2,FALSE),VLOOKUP($A232,'NonXtal_SegEnds_Prot#'!A:AL,10,FALSE)+6,1)</f>
        <v>I</v>
      </c>
      <c r="T232" s="102" t="str">
        <f>MID(VLOOKUP($A232,Seqs!$A:$B,2,FALSE),VLOOKUP($A232,'NonXtal_SegEnds_Prot#'!A:AL,10,FALSE)+7,1)</f>
        <v>C</v>
      </c>
      <c r="U232" s="102" t="str">
        <f>MID(VLOOKUP($A232,Seqs!$A:$B,2,FALSE),VLOOKUP($A232,'NonXtal_SegEnds_Prot#'!A:AL,10,FALSE)+8,1)</f>
        <v>L</v>
      </c>
      <c r="V232" s="102" t="str">
        <f>MID(VLOOKUP($A232,Seqs!$A:$B,2,FALSE),VLOOKUP($A232,'NonXtal_SegEnds_Prot#'!A:AL,10,FALSE)+9,1)</f>
        <v>P</v>
      </c>
      <c r="W232" s="71" t="str">
        <f>MID(VLOOKUP($A232,Seqs!$A:$B,2,FALSE),VLOOKUP($A232,'NonXtal_SegEnds_Prot#'!$A:$AL,22,FALSE)+6,1)</f>
        <v>I</v>
      </c>
      <c r="X232" s="102" t="str">
        <f>MID(VLOOKUP($A232,Seqs!$A:$B,2,FALSE),VLOOKUP($A232,'NonXtal_SegEnds_Prot#'!$A:$AL,22,FALSE)+7,1)</f>
        <v>M</v>
      </c>
      <c r="Y232" s="102" t="str">
        <f>MID(VLOOKUP($A232,Seqs!$A:$B,2,FALSE),VLOOKUP($A232,'NonXtal_SegEnds_Prot#'!$A:$AL,22,FALSE)+8,1)</f>
        <v>V</v>
      </c>
      <c r="Z232" s="102" t="str">
        <f>MID(VLOOKUP($A232,Seqs!$A:$B,2,FALSE),VLOOKUP($A232,'NonXtal_SegEnds_Prot#'!$A:$AL,22,FALSE)+9,1)</f>
        <v>P</v>
      </c>
      <c r="AA232" s="102" t="str">
        <f>MID(VLOOKUP($A232,Seqs!$A:$B,2,FALSE),VLOOKUP($A232,'NonXtal_SegEnds_Prot#'!$A:$AL,22,FALSE)+10,1)</f>
        <v>Q</v>
      </c>
      <c r="AB232" s="71" t="str">
        <f>MID(VLOOKUP($A232,Seqs!$A:$B,2,FALSE),VLOOKUP($A232,'NonXtal_SegEnds_Prot#'!$A:$AL,28,FALSE)-4,1)</f>
        <v>T</v>
      </c>
      <c r="AC232" s="102" t="str">
        <f>MID(VLOOKUP($A232,Seqs!$A:$B,2,FALSE),VLOOKUP($A232,'NonXtal_SegEnds_Prot#'!$A:$AL,28,FALSE),1)</f>
        <v>P</v>
      </c>
    </row>
    <row r="233" spans="1:29" s="2" customFormat="1" x14ac:dyDescent="0.2">
      <c r="A233" s="2" t="s">
        <v>1395</v>
      </c>
      <c r="B233" s="2" t="str">
        <f>LOWER(VLOOKUP(A233,Xtal_Templ!A:B,2,FALSE))</f>
        <v>ox2r_human</v>
      </c>
      <c r="C233" s="2" t="str">
        <f>VLOOKUP(A233,Classification!A:D,2,FALSE)</f>
        <v>A</v>
      </c>
      <c r="E233" s="2" t="s">
        <v>20</v>
      </c>
      <c r="K233" s="2" t="s">
        <v>59</v>
      </c>
      <c r="N233" s="2" t="s">
        <v>43</v>
      </c>
      <c r="P233" s="4" t="s">
        <v>51</v>
      </c>
      <c r="R233" s="71" t="str">
        <f>MID(VLOOKUP($A233,Seqs!$A:$B,2,FALSE),VLOOKUP($A233,'NonXtal_SegEnds_Prot#'!A:AL,10,FALSE),1)</f>
        <v>D</v>
      </c>
      <c r="S233" s="102" t="str">
        <f>MID(VLOOKUP($A233,Seqs!$A:$B,2,FALSE),VLOOKUP($A233,'NonXtal_SegEnds_Prot#'!A:AL,10,FALSE)+6,1)</f>
        <v>T</v>
      </c>
      <c r="T233" s="102" t="str">
        <f>MID(VLOOKUP($A233,Seqs!$A:$B,2,FALSE),VLOOKUP($A233,'NonXtal_SegEnds_Prot#'!A:AL,10,FALSE)+7,1)</f>
        <v>C</v>
      </c>
      <c r="U233" s="102" t="str">
        <f>MID(VLOOKUP($A233,Seqs!$A:$B,2,FALSE),VLOOKUP($A233,'NonXtal_SegEnds_Prot#'!A:AL,10,FALSE)+8,1)</f>
        <v>L</v>
      </c>
      <c r="V233" s="102" t="str">
        <f>MID(VLOOKUP($A233,Seqs!$A:$B,2,FALSE),VLOOKUP($A233,'NonXtal_SegEnds_Prot#'!A:AL,10,FALSE)+9,1)</f>
        <v>P</v>
      </c>
      <c r="W233" s="71" t="str">
        <f>MID(VLOOKUP($A233,Seqs!$A:$B,2,FALSE),VLOOKUP($A233,'NonXtal_SegEnds_Prot#'!$A:$AL,22,FALSE)+6,1)</f>
        <v>I</v>
      </c>
      <c r="X233" s="102" t="str">
        <f>MID(VLOOKUP($A233,Seqs!$A:$B,2,FALSE),VLOOKUP($A233,'NonXtal_SegEnds_Prot#'!$A:$AL,22,FALSE)+7,1)</f>
        <v>M</v>
      </c>
      <c r="Y233" s="102" t="str">
        <f>MID(VLOOKUP($A233,Seqs!$A:$B,2,FALSE),VLOOKUP($A233,'NonXtal_SegEnds_Prot#'!$A:$AL,22,FALSE)+8,1)</f>
        <v>I</v>
      </c>
      <c r="Z233" s="102" t="str">
        <f>MID(VLOOKUP($A233,Seqs!$A:$B,2,FALSE),VLOOKUP($A233,'NonXtal_SegEnds_Prot#'!$A:$AL,22,FALSE)+9,1)</f>
        <v>P</v>
      </c>
      <c r="AA233" s="102" t="str">
        <f>MID(VLOOKUP($A233,Seqs!$A:$B,2,FALSE),VLOOKUP($A233,'NonXtal_SegEnds_Prot#'!$A:$AL,22,FALSE)+10,1)</f>
        <v>Q</v>
      </c>
      <c r="AB233" s="71" t="str">
        <f>MID(VLOOKUP($A233,Seqs!$A:$B,2,FALSE),VLOOKUP($A233,'NonXtal_SegEnds_Prot#'!$A:$AL,28,FALSE)-4,1)</f>
        <v>T</v>
      </c>
      <c r="AC233" s="102" t="str">
        <f>MID(VLOOKUP($A233,Seqs!$A:$B,2,FALSE),VLOOKUP($A233,'NonXtal_SegEnds_Prot#'!$A:$AL,28,FALSE),1)</f>
        <v>P</v>
      </c>
    </row>
    <row r="234" spans="1:29" s="2" customFormat="1" x14ac:dyDescent="0.2">
      <c r="A234" s="2" t="s">
        <v>536</v>
      </c>
      <c r="B234" s="2" t="str">
        <f>LOWER(VLOOKUP(A234,Xtal_Templ!A:B,2,FALSE))</f>
        <v>oprk_human</v>
      </c>
      <c r="C234" s="2" t="str">
        <f>VLOOKUP(A234,Classification!A:D,2,FALSE)</f>
        <v>A</v>
      </c>
      <c r="N234" s="2" t="s">
        <v>43</v>
      </c>
      <c r="P234" s="4" t="s">
        <v>51</v>
      </c>
      <c r="R234" s="71" t="str">
        <f>MID(VLOOKUP($A234,Seqs!$A:$B,2,FALSE),VLOOKUP($A234,'NonXtal_SegEnds_Prot#'!A:AL,10,FALSE),1)</f>
        <v>D</v>
      </c>
      <c r="S234" s="102" t="str">
        <f>MID(VLOOKUP($A234,Seqs!$A:$B,2,FALSE),VLOOKUP($A234,'NonXtal_SegEnds_Prot#'!A:AL,10,FALSE)+6,1)</f>
        <v>N</v>
      </c>
      <c r="T234" s="102" t="str">
        <f>MID(VLOOKUP($A234,Seqs!$A:$B,2,FALSE),VLOOKUP($A234,'NonXtal_SegEnds_Prot#'!A:AL,10,FALSE)+7,1)</f>
        <v>L</v>
      </c>
      <c r="U234" s="102" t="str">
        <f>MID(VLOOKUP($A234,Seqs!$A:$B,2,FALSE),VLOOKUP($A234,'NonXtal_SegEnds_Prot#'!A:AL,10,FALSE)+8,1)</f>
        <v>P</v>
      </c>
      <c r="V234" s="102" t="str">
        <f>MID(VLOOKUP($A234,Seqs!$A:$B,2,FALSE),VLOOKUP($A234,'NonXtal_SegEnds_Prot#'!A:AL,10,FALSE)+9,1)</f>
        <v>L</v>
      </c>
      <c r="W234" s="71" t="str">
        <f>MID(VLOOKUP($A234,Seqs!$A:$B,2,FALSE),VLOOKUP($A234,'NonXtal_SegEnds_Prot#'!$A:$AL,22,FALSE)+6,1)</f>
        <v>L</v>
      </c>
      <c r="X234" s="102" t="str">
        <f>MID(VLOOKUP($A234,Seqs!$A:$B,2,FALSE),VLOOKUP($A234,'NonXtal_SegEnds_Prot#'!$A:$AL,22,FALSE)+7,1)</f>
        <v>N</v>
      </c>
      <c r="Y234" s="102" t="str">
        <f>MID(VLOOKUP($A234,Seqs!$A:$B,2,FALSE),VLOOKUP($A234,'NonXtal_SegEnds_Prot#'!$A:$AL,22,FALSE)+8,1)</f>
        <v>G</v>
      </c>
      <c r="Z234" s="102" t="str">
        <f>MID(VLOOKUP($A234,Seqs!$A:$B,2,FALSE),VLOOKUP($A234,'NonXtal_SegEnds_Prot#'!$A:$AL,22,FALSE)+9,1)</f>
        <v>H</v>
      </c>
      <c r="AA234" s="102" t="str">
        <f>MID(VLOOKUP($A234,Seqs!$A:$B,2,FALSE),VLOOKUP($A234,'NonXtal_SegEnds_Prot#'!$A:$AL,22,FALSE)+10,1)</f>
        <v>L</v>
      </c>
      <c r="AB234" s="71" t="str">
        <f>MID(VLOOKUP($A234,Seqs!$A:$B,2,FALSE),VLOOKUP($A234,'NonXtal_SegEnds_Prot#'!$A:$AL,28,FALSE)-4,1)</f>
        <v>E</v>
      </c>
      <c r="AC234" s="102" t="str">
        <f>MID(VLOOKUP($A234,Seqs!$A:$B,2,FALSE),VLOOKUP($A234,'NonXtal_SegEnds_Prot#'!$A:$AL,28,FALSE),1)</f>
        <v>P</v>
      </c>
    </row>
    <row r="235" spans="1:29" s="2" customFormat="1" x14ac:dyDescent="0.2">
      <c r="A235" s="2" t="s">
        <v>537</v>
      </c>
      <c r="B235" s="2" t="str">
        <f>LOWER(VLOOKUP(A235,Xtal_Templ!A:B,2,FALSE))</f>
        <v>p2ry1_human</v>
      </c>
      <c r="C235" s="2" t="str">
        <f>VLOOKUP(A235,Classification!A:D,2,FALSE)</f>
        <v>A</v>
      </c>
      <c r="K235" s="2" t="s">
        <v>59</v>
      </c>
      <c r="N235" s="2" t="s">
        <v>43</v>
      </c>
      <c r="P235" s="4" t="s">
        <v>51</v>
      </c>
      <c r="R235" s="71" t="str">
        <f>MID(VLOOKUP($A235,Seqs!$A:$B,2,FALSE),VLOOKUP($A235,'NonXtal_SegEnds_Prot#'!A:AL,10,FALSE),1)</f>
        <v>D</v>
      </c>
      <c r="S235" s="102" t="str">
        <f>MID(VLOOKUP($A235,Seqs!$A:$B,2,FALSE),VLOOKUP($A235,'NonXtal_SegEnds_Prot#'!A:AL,10,FALSE)+6,1)</f>
        <v>S</v>
      </c>
      <c r="T235" s="102" t="str">
        <f>MID(VLOOKUP($A235,Seqs!$A:$B,2,FALSE),VLOOKUP($A235,'NonXtal_SegEnds_Prot#'!A:AL,10,FALSE)+7,1)</f>
        <v>L</v>
      </c>
      <c r="U235" s="102" t="str">
        <f>MID(VLOOKUP($A235,Seqs!$A:$B,2,FALSE),VLOOKUP($A235,'NonXtal_SegEnds_Prot#'!A:AL,10,FALSE)+8,1)</f>
        <v>P</v>
      </c>
      <c r="V235" s="102" t="str">
        <f>MID(VLOOKUP($A235,Seqs!$A:$B,2,FALSE),VLOOKUP($A235,'NonXtal_SegEnds_Prot#'!A:AL,10,FALSE)+9,1)</f>
        <v>F</v>
      </c>
      <c r="W235" s="71" t="str">
        <f>MID(VLOOKUP($A235,Seqs!$A:$B,2,FALSE),VLOOKUP($A235,'NonXtal_SegEnds_Prot#'!$A:$AL,22,FALSE)+6,1)</f>
        <v>A</v>
      </c>
      <c r="X235" s="102" t="str">
        <f>MID(VLOOKUP($A235,Seqs!$A:$B,2,FALSE),VLOOKUP($A235,'NonXtal_SegEnds_Prot#'!$A:$AL,22,FALSE)+7,1)</f>
        <v>V</v>
      </c>
      <c r="Y235" s="102" t="str">
        <f>MID(VLOOKUP($A235,Seqs!$A:$B,2,FALSE),VLOOKUP($A235,'NonXtal_SegEnds_Prot#'!$A:$AL,22,FALSE)+8,1)</f>
        <v>I</v>
      </c>
      <c r="Z235" s="102" t="str">
        <f>MID(VLOOKUP($A235,Seqs!$A:$B,2,FALSE),VLOOKUP($A235,'NonXtal_SegEnds_Prot#'!$A:$AL,22,FALSE)+9,1)</f>
        <v>P</v>
      </c>
      <c r="AA235" s="102" t="str">
        <f>MID(VLOOKUP($A235,Seqs!$A:$B,2,FALSE),VLOOKUP($A235,'NonXtal_SegEnds_Prot#'!$A:$AL,22,FALSE)+10,1)</f>
        <v>M</v>
      </c>
      <c r="AB235" s="71" t="str">
        <f>MID(VLOOKUP($A235,Seqs!$A:$B,2,FALSE),VLOOKUP($A235,'NonXtal_SegEnds_Prot#'!$A:$AL,28,FALSE)-4,1)</f>
        <v>T</v>
      </c>
      <c r="AC235" s="102" t="str">
        <f>MID(VLOOKUP($A235,Seqs!$A:$B,2,FALSE),VLOOKUP($A235,'NonXtal_SegEnds_Prot#'!$A:$AL,28,FALSE),1)</f>
        <v>P</v>
      </c>
    </row>
    <row r="236" spans="1:29" s="2" customFormat="1" x14ac:dyDescent="0.2">
      <c r="A236" s="2" t="s">
        <v>538</v>
      </c>
      <c r="B236" s="2" t="str">
        <f>LOWER(VLOOKUP(A236,Xtal_Templ!A:B,2,FALSE))</f>
        <v>ox1r_human</v>
      </c>
      <c r="C236" s="2" t="str">
        <f>VLOOKUP(A236,Classification!A:D,2,FALSE)</f>
        <v>A</v>
      </c>
      <c r="K236" s="2" t="s">
        <v>59</v>
      </c>
      <c r="N236" s="2" t="s">
        <v>43</v>
      </c>
      <c r="P236" s="4" t="s">
        <v>51</v>
      </c>
      <c r="R236" s="71" t="str">
        <f>MID(VLOOKUP($A236,Seqs!$A:$B,2,FALSE),VLOOKUP($A236,'NonXtal_SegEnds_Prot#'!A:AL,10,FALSE),1)</f>
        <v>D</v>
      </c>
      <c r="S236" s="102" t="str">
        <f>MID(VLOOKUP($A236,Seqs!$A:$B,2,FALSE),VLOOKUP($A236,'NonXtal_SegEnds_Prot#'!A:AL,10,FALSE)+6,1)</f>
        <v>F</v>
      </c>
      <c r="T236" s="102" t="str">
        <f>MID(VLOOKUP($A236,Seqs!$A:$B,2,FALSE),VLOOKUP($A236,'NonXtal_SegEnds_Prot#'!A:AL,10,FALSE)+7,1)</f>
        <v>Q</v>
      </c>
      <c r="U236" s="102" t="str">
        <f>MID(VLOOKUP($A236,Seqs!$A:$B,2,FALSE),VLOOKUP($A236,'NonXtal_SegEnds_Prot#'!A:AL,10,FALSE)+8,1)</f>
        <v>V</v>
      </c>
      <c r="V236" s="102" t="str">
        <f>MID(VLOOKUP($A236,Seqs!$A:$B,2,FALSE),VLOOKUP($A236,'NonXtal_SegEnds_Prot#'!A:AL,10,FALSE)+9,1)</f>
        <v>L</v>
      </c>
      <c r="W236" s="71" t="str">
        <f>MID(VLOOKUP($A236,Seqs!$A:$B,2,FALSE),VLOOKUP($A236,'NonXtal_SegEnds_Prot#'!$A:$AL,22,FALSE)+6,1)</f>
        <v>A</v>
      </c>
      <c r="X236" s="102" t="str">
        <f>MID(VLOOKUP($A236,Seqs!$A:$B,2,FALSE),VLOOKUP($A236,'NonXtal_SegEnds_Prot#'!$A:$AL,22,FALSE)+7,1)</f>
        <v>S</v>
      </c>
      <c r="Y236" s="102" t="str">
        <f>MID(VLOOKUP($A236,Seqs!$A:$B,2,FALSE),VLOOKUP($A236,'NonXtal_SegEnds_Prot#'!$A:$AL,22,FALSE)+8,1)</f>
        <v>A</v>
      </c>
      <c r="Z236" s="102" t="str">
        <f>MID(VLOOKUP($A236,Seqs!$A:$B,2,FALSE),VLOOKUP($A236,'NonXtal_SegEnds_Prot#'!$A:$AL,22,FALSE)+9,1)</f>
        <v>P</v>
      </c>
      <c r="AA236" s="102" t="str">
        <f>MID(VLOOKUP($A236,Seqs!$A:$B,2,FALSE),VLOOKUP($A236,'NonXtal_SegEnds_Prot#'!$A:$AL,22,FALSE)+10,1)</f>
        <v>Q</v>
      </c>
      <c r="AB236" s="71" t="str">
        <f>MID(VLOOKUP($A236,Seqs!$A:$B,2,FALSE),VLOOKUP($A236,'NonXtal_SegEnds_Prot#'!$A:$AL,28,FALSE)-4,1)</f>
        <v>V</v>
      </c>
      <c r="AC236" s="102" t="str">
        <f>MID(VLOOKUP($A236,Seqs!$A:$B,2,FALSE),VLOOKUP($A236,'NonXtal_SegEnds_Prot#'!$A:$AL,28,FALSE),1)</f>
        <v>P</v>
      </c>
    </row>
    <row r="237" spans="1:29" s="2" customFormat="1" x14ac:dyDescent="0.2">
      <c r="A237" s="2" t="s">
        <v>539</v>
      </c>
      <c r="B237" s="2" t="str">
        <f>LOWER(VLOOKUP(A237,Xtal_Templ!A:B,2,FALSE))</f>
        <v>p2ry1_human</v>
      </c>
      <c r="C237" s="2" t="str">
        <f>VLOOKUP(A237,Classification!A:D,2,FALSE)</f>
        <v>A</v>
      </c>
      <c r="N237" s="2" t="s">
        <v>43</v>
      </c>
      <c r="O237" s="2" t="s">
        <v>1554</v>
      </c>
      <c r="P237" s="4" t="s">
        <v>51</v>
      </c>
      <c r="R237" s="71" t="str">
        <f>MID(VLOOKUP($A237,Seqs!$A:$B,2,FALSE),VLOOKUP($A237,'NonXtal_SegEnds_Prot#'!A:AL,10,FALSE),1)</f>
        <v>D</v>
      </c>
      <c r="S237" s="102" t="str">
        <f>MID(VLOOKUP($A237,Seqs!$A:$B,2,FALSE),VLOOKUP($A237,'NonXtal_SegEnds_Prot#'!A:AL,10,FALSE)+6,1)</f>
        <v>T</v>
      </c>
      <c r="T237" s="102" t="str">
        <f>MID(VLOOKUP($A237,Seqs!$A:$B,2,FALSE),VLOOKUP($A237,'NonXtal_SegEnds_Prot#'!A:AL,10,FALSE)+7,1)</f>
        <v>L</v>
      </c>
      <c r="U237" s="102" t="str">
        <f>MID(VLOOKUP($A237,Seqs!$A:$B,2,FALSE),VLOOKUP($A237,'NonXtal_SegEnds_Prot#'!A:AL,10,FALSE)+8,1)</f>
        <v>P</v>
      </c>
      <c r="V237" s="102" t="str">
        <f>MID(VLOOKUP($A237,Seqs!$A:$B,2,FALSE),VLOOKUP($A237,'NonXtal_SegEnds_Prot#'!A:AL,10,FALSE)+9,1)</f>
        <v>A</v>
      </c>
      <c r="W237" s="71" t="str">
        <f>MID(VLOOKUP($A237,Seqs!$A:$B,2,FALSE),VLOOKUP($A237,'NonXtal_SegEnds_Prot#'!$A:$AL,22,FALSE)+6,1)</f>
        <v>A</v>
      </c>
      <c r="X237" s="102" t="str">
        <f>MID(VLOOKUP($A237,Seqs!$A:$B,2,FALSE),VLOOKUP($A237,'NonXtal_SegEnds_Prot#'!$A:$AL,22,FALSE)+7,1)</f>
        <v>I</v>
      </c>
      <c r="Y237" s="102" t="str">
        <f>MID(VLOOKUP($A237,Seqs!$A:$B,2,FALSE),VLOOKUP($A237,'NonXtal_SegEnds_Prot#'!$A:$AL,22,FALSE)+8,1)</f>
        <v>S</v>
      </c>
      <c r="Z237" s="102" t="str">
        <f>MID(VLOOKUP($A237,Seqs!$A:$B,2,FALSE),VLOOKUP($A237,'NonXtal_SegEnds_Prot#'!$A:$AL,22,FALSE)+9,1)</f>
        <v>P</v>
      </c>
      <c r="AA237" s="102" t="str">
        <f>MID(VLOOKUP($A237,Seqs!$A:$B,2,FALSE),VLOOKUP($A237,'NonXtal_SegEnds_Prot#'!$A:$AL,22,FALSE)+10,1)</f>
        <v>I</v>
      </c>
      <c r="AB237" s="71" t="str">
        <f>MID(VLOOKUP($A237,Seqs!$A:$B,2,FALSE),VLOOKUP($A237,'NonXtal_SegEnds_Prot#'!$A:$AL,28,FALSE)-4,1)</f>
        <v>M</v>
      </c>
      <c r="AC237" s="102" t="str">
        <f>MID(VLOOKUP($A237,Seqs!$A:$B,2,FALSE),VLOOKUP($A237,'NonXtal_SegEnds_Prot#'!$A:$AL,28,FALSE),1)</f>
        <v>P</v>
      </c>
    </row>
    <row r="238" spans="1:29" s="2" customFormat="1" x14ac:dyDescent="0.2">
      <c r="A238" s="2" t="s">
        <v>540</v>
      </c>
      <c r="B238" s="2" t="str">
        <f>LOWER(VLOOKUP(A238,Xtal_Templ!A:B,2,FALSE))</f>
        <v>p2ry1_human</v>
      </c>
      <c r="C238" s="2" t="str">
        <f>VLOOKUP(A238,Classification!A:D,2,FALSE)</f>
        <v>A</v>
      </c>
      <c r="N238" s="2" t="s">
        <v>43</v>
      </c>
      <c r="O238" s="2" t="s">
        <v>1554</v>
      </c>
      <c r="P238" s="4" t="s">
        <v>51</v>
      </c>
      <c r="R238" s="71" t="str">
        <f>MID(VLOOKUP($A238,Seqs!$A:$B,2,FALSE),VLOOKUP($A238,'NonXtal_SegEnds_Prot#'!A:AL,10,FALSE),1)</f>
        <v>D</v>
      </c>
      <c r="S238" s="102" t="str">
        <f>MID(VLOOKUP($A238,Seqs!$A:$B,2,FALSE),VLOOKUP($A238,'NonXtal_SegEnds_Prot#'!A:AL,10,FALSE)+6,1)</f>
        <v>S</v>
      </c>
      <c r="T238" s="102" t="str">
        <f>MID(VLOOKUP($A238,Seqs!$A:$B,2,FALSE),VLOOKUP($A238,'NonXtal_SegEnds_Prot#'!A:AL,10,FALSE)+7,1)</f>
        <v>L</v>
      </c>
      <c r="U238" s="102" t="str">
        <f>MID(VLOOKUP($A238,Seqs!$A:$B,2,FALSE),VLOOKUP($A238,'NonXtal_SegEnds_Prot#'!A:AL,10,FALSE)+8,1)</f>
        <v>P</v>
      </c>
      <c r="V238" s="102" t="str">
        <f>MID(VLOOKUP($A238,Seqs!$A:$B,2,FALSE),VLOOKUP($A238,'NonXtal_SegEnds_Prot#'!A:AL,10,FALSE)+9,1)</f>
        <v>L</v>
      </c>
      <c r="W238" s="71" t="str">
        <f>MID(VLOOKUP($A238,Seqs!$A:$B,2,FALSE),VLOOKUP($A238,'NonXtal_SegEnds_Prot#'!$A:$AL,22,FALSE)+6,1)</f>
        <v>C</v>
      </c>
      <c r="X238" s="102" t="str">
        <f>MID(VLOOKUP($A238,Seqs!$A:$B,2,FALSE),VLOOKUP($A238,'NonXtal_SegEnds_Prot#'!$A:$AL,22,FALSE)+7,1)</f>
        <v>Q</v>
      </c>
      <c r="Y238" s="102" t="str">
        <f>MID(VLOOKUP($A238,Seqs!$A:$B,2,FALSE),VLOOKUP($A238,'NonXtal_SegEnds_Prot#'!$A:$AL,22,FALSE)+8,1)</f>
        <v>A</v>
      </c>
      <c r="Z238" s="102" t="str">
        <f>MID(VLOOKUP($A238,Seqs!$A:$B,2,FALSE),VLOOKUP($A238,'NonXtal_SegEnds_Prot#'!$A:$AL,22,FALSE)+9,1)</f>
        <v>P</v>
      </c>
      <c r="AA238" s="102" t="str">
        <f>MID(VLOOKUP($A238,Seqs!$A:$B,2,FALSE),VLOOKUP($A238,'NonXtal_SegEnds_Prot#'!$A:$AL,22,FALSE)+10,1)</f>
        <v>V</v>
      </c>
      <c r="AB238" s="71" t="str">
        <f>MID(VLOOKUP($A238,Seqs!$A:$B,2,FALSE),VLOOKUP($A238,'NonXtal_SegEnds_Prot#'!$A:$AL,28,FALSE)-4,1)</f>
        <v>L</v>
      </c>
      <c r="AC238" s="102" t="str">
        <f>MID(VLOOKUP($A238,Seqs!$A:$B,2,FALSE),VLOOKUP($A238,'NonXtal_SegEnds_Prot#'!$A:$AL,28,FALSE),1)</f>
        <v>P</v>
      </c>
    </row>
    <row r="239" spans="1:29" s="2" customFormat="1" x14ac:dyDescent="0.2">
      <c r="A239" s="2" t="s">
        <v>541</v>
      </c>
      <c r="B239" s="2" t="str">
        <f>LOWER(VLOOKUP(A239,Xtal_Templ!A:B,2,FALSE))</f>
        <v>p2ry1_human</v>
      </c>
      <c r="C239" s="2" t="str">
        <f>VLOOKUP(A239,Classification!A:D,2,FALSE)</f>
        <v>A</v>
      </c>
      <c r="N239" s="2" t="s">
        <v>43</v>
      </c>
      <c r="O239" s="2" t="s">
        <v>1554</v>
      </c>
      <c r="P239" s="4" t="s">
        <v>51</v>
      </c>
      <c r="R239" s="71" t="str">
        <f>MID(VLOOKUP($A239,Seqs!$A:$B,2,FALSE),VLOOKUP($A239,'NonXtal_SegEnds_Prot#'!A:AL,10,FALSE),1)</f>
        <v>D</v>
      </c>
      <c r="S239" s="102" t="str">
        <f>MID(VLOOKUP($A239,Seqs!$A:$B,2,FALSE),VLOOKUP($A239,'NonXtal_SegEnds_Prot#'!A:AL,10,FALSE)+6,1)</f>
        <v>S</v>
      </c>
      <c r="T239" s="102" t="str">
        <f>MID(VLOOKUP($A239,Seqs!$A:$B,2,FALSE),VLOOKUP($A239,'NonXtal_SegEnds_Prot#'!A:AL,10,FALSE)+7,1)</f>
        <v>L</v>
      </c>
      <c r="U239" s="102" t="str">
        <f>MID(VLOOKUP($A239,Seqs!$A:$B,2,FALSE),VLOOKUP($A239,'NonXtal_SegEnds_Prot#'!A:AL,10,FALSE)+8,1)</f>
        <v>P</v>
      </c>
      <c r="V239" s="102" t="str">
        <f>MID(VLOOKUP($A239,Seqs!$A:$B,2,FALSE),VLOOKUP($A239,'NonXtal_SegEnds_Prot#'!A:AL,10,FALSE)+9,1)</f>
        <v>T</v>
      </c>
      <c r="W239" s="71" t="str">
        <f>MID(VLOOKUP($A239,Seqs!$A:$B,2,FALSE),VLOOKUP($A239,'NonXtal_SegEnds_Prot#'!$A:$AL,22,FALSE)+6,1)</f>
        <v>C</v>
      </c>
      <c r="X239" s="102" t="str">
        <f>MID(VLOOKUP($A239,Seqs!$A:$B,2,FALSE),VLOOKUP($A239,'NonXtal_SegEnds_Prot#'!$A:$AL,22,FALSE)+7,1)</f>
        <v>L</v>
      </c>
      <c r="Y239" s="102" t="str">
        <f>MID(VLOOKUP($A239,Seqs!$A:$B,2,FALSE),VLOOKUP($A239,'NonXtal_SegEnds_Prot#'!$A:$AL,22,FALSE)+8,1)</f>
        <v>V</v>
      </c>
      <c r="Z239" s="102" t="str">
        <f>MID(VLOOKUP($A239,Seqs!$A:$B,2,FALSE),VLOOKUP($A239,'NonXtal_SegEnds_Prot#'!$A:$AL,22,FALSE)+9,1)</f>
        <v>P</v>
      </c>
      <c r="AA239" s="102" t="str">
        <f>MID(VLOOKUP($A239,Seqs!$A:$B,2,FALSE),VLOOKUP($A239,'NonXtal_SegEnds_Prot#'!$A:$AL,22,FALSE)+10,1)</f>
        <v>N</v>
      </c>
      <c r="AB239" s="71" t="str">
        <f>MID(VLOOKUP($A239,Seqs!$A:$B,2,FALSE),VLOOKUP($A239,'NonXtal_SegEnds_Prot#'!$A:$AL,28,FALSE)-4,1)</f>
        <v>L</v>
      </c>
      <c r="AC239" s="102" t="str">
        <f>MID(VLOOKUP($A239,Seqs!$A:$B,2,FALSE),VLOOKUP($A239,'NonXtal_SegEnds_Prot#'!$A:$AL,28,FALSE),1)</f>
        <v>P</v>
      </c>
    </row>
    <row r="240" spans="1:29" s="2" customFormat="1" x14ac:dyDescent="0.2">
      <c r="A240" s="2" t="s">
        <v>542</v>
      </c>
      <c r="B240" s="2" t="str">
        <f>LOWER(VLOOKUP(A240,Xtal_Templ!A:B,2,FALSE))</f>
        <v>p2ry1_human</v>
      </c>
      <c r="C240" s="2" t="str">
        <f>VLOOKUP(A240,Classification!A:D,2,FALSE)</f>
        <v>A</v>
      </c>
      <c r="N240" s="2" t="s">
        <v>43</v>
      </c>
      <c r="O240" s="2" t="s">
        <v>1554</v>
      </c>
      <c r="P240" s="4" t="s">
        <v>51</v>
      </c>
      <c r="R240" s="71" t="str">
        <f>MID(VLOOKUP($A240,Seqs!$A:$B,2,FALSE),VLOOKUP($A240,'NonXtal_SegEnds_Prot#'!A:AL,10,FALSE),1)</f>
        <v>D</v>
      </c>
      <c r="S240" s="102" t="str">
        <f>MID(VLOOKUP($A240,Seqs!$A:$B,2,FALSE),VLOOKUP($A240,'NonXtal_SegEnds_Prot#'!A:AL,10,FALSE)+6,1)</f>
        <v>S</v>
      </c>
      <c r="T240" s="102" t="str">
        <f>MID(VLOOKUP($A240,Seqs!$A:$B,2,FALSE),VLOOKUP($A240,'NonXtal_SegEnds_Prot#'!A:AL,10,FALSE)+7,1)</f>
        <v>L</v>
      </c>
      <c r="U240" s="102" t="str">
        <f>MID(VLOOKUP($A240,Seqs!$A:$B,2,FALSE),VLOOKUP($A240,'NonXtal_SegEnds_Prot#'!A:AL,10,FALSE)+8,1)</f>
        <v>P</v>
      </c>
      <c r="V240" s="102" t="str">
        <f>MID(VLOOKUP($A240,Seqs!$A:$B,2,FALSE),VLOOKUP($A240,'NonXtal_SegEnds_Prot#'!A:AL,10,FALSE)+9,1)</f>
        <v>L</v>
      </c>
      <c r="W240" s="71" t="str">
        <f>MID(VLOOKUP($A240,Seqs!$A:$B,2,FALSE),VLOOKUP($A240,'NonXtal_SegEnds_Prot#'!$A:$AL,22,FALSE)+6,1)</f>
        <v>Q</v>
      </c>
      <c r="X240" s="102" t="str">
        <f>MID(VLOOKUP($A240,Seqs!$A:$B,2,FALSE),VLOOKUP($A240,'NonXtal_SegEnds_Prot#'!$A:$AL,22,FALSE)+7,1)</f>
        <v>C</v>
      </c>
      <c r="Y240" s="102" t="str">
        <f>MID(VLOOKUP($A240,Seqs!$A:$B,2,FALSE),VLOOKUP($A240,'NonXtal_SegEnds_Prot#'!$A:$AL,22,FALSE)+8,1)</f>
        <v>L</v>
      </c>
      <c r="Z240" s="102" t="str">
        <f>MID(VLOOKUP($A240,Seqs!$A:$B,2,FALSE),VLOOKUP($A240,'NonXtal_SegEnds_Prot#'!$A:$AL,22,FALSE)+9,1)</f>
        <v>P</v>
      </c>
      <c r="AA240" s="102" t="str">
        <f>MID(VLOOKUP($A240,Seqs!$A:$B,2,FALSE),VLOOKUP($A240,'NonXtal_SegEnds_Prot#'!$A:$AL,22,FALSE)+10,1)</f>
        <v>T</v>
      </c>
      <c r="AB240" s="71" t="str">
        <f>MID(VLOOKUP($A240,Seqs!$A:$B,2,FALSE),VLOOKUP($A240,'NonXtal_SegEnds_Prot#'!$A:$AL,28,FALSE)-4,1)</f>
        <v>G</v>
      </c>
      <c r="AC240" s="102" t="str">
        <f>MID(VLOOKUP($A240,Seqs!$A:$B,2,FALSE),VLOOKUP($A240,'NonXtal_SegEnds_Prot#'!$A:$AL,28,FALSE),1)</f>
        <v>P</v>
      </c>
    </row>
    <row r="241" spans="1:29" s="2" customFormat="1" x14ac:dyDescent="0.2">
      <c r="A241" s="2" t="s">
        <v>543</v>
      </c>
      <c r="B241" s="2" t="str">
        <f>LOWER(VLOOKUP(A241,Xtal_Templ!A:B,2,FALSE))</f>
        <v>par1_human</v>
      </c>
      <c r="C241" s="2" t="str">
        <f>VLOOKUP(A241,Classification!A:D,2,FALSE)</f>
        <v>A</v>
      </c>
      <c r="N241" s="2" t="s">
        <v>43</v>
      </c>
      <c r="O241" s="2" t="s">
        <v>1554</v>
      </c>
      <c r="P241" s="4" t="s">
        <v>51</v>
      </c>
      <c r="R241" s="71" t="str">
        <f>MID(VLOOKUP($A241,Seqs!$A:$B,2,FALSE),VLOOKUP($A241,'NonXtal_SegEnds_Prot#'!A:AL,10,FALSE),1)</f>
        <v>D</v>
      </c>
      <c r="S241" s="102" t="str">
        <f>MID(VLOOKUP($A241,Seqs!$A:$B,2,FALSE),VLOOKUP($A241,'NonXtal_SegEnds_Prot#'!A:AL,10,FALSE)+6,1)</f>
        <v>V</v>
      </c>
      <c r="T241" s="102" t="str">
        <f>MID(VLOOKUP($A241,Seqs!$A:$B,2,FALSE),VLOOKUP($A241,'NonXtal_SegEnds_Prot#'!A:AL,10,FALSE)+7,1)</f>
        <v>L</v>
      </c>
      <c r="U241" s="102" t="str">
        <f>MID(VLOOKUP($A241,Seqs!$A:$B,2,FALSE),VLOOKUP($A241,'NonXtal_SegEnds_Prot#'!A:AL,10,FALSE)+8,1)</f>
        <v>P</v>
      </c>
      <c r="V241" s="102" t="str">
        <f>MID(VLOOKUP($A241,Seqs!$A:$B,2,FALSE),VLOOKUP($A241,'NonXtal_SegEnds_Prot#'!A:AL,10,FALSE)+9,1)</f>
        <v>F</v>
      </c>
      <c r="W241" s="71" t="str">
        <f>MID(VLOOKUP($A241,Seqs!$A:$B,2,FALSE),VLOOKUP($A241,'NonXtal_SegEnds_Prot#'!$A:$AL,22,FALSE)+6,1)</f>
        <v>A</v>
      </c>
      <c r="X241" s="102" t="str">
        <f>MID(VLOOKUP($A241,Seqs!$A:$B,2,FALSE),VLOOKUP($A241,'NonXtal_SegEnds_Prot#'!$A:$AL,22,FALSE)+7,1)</f>
        <v>L</v>
      </c>
      <c r="Y241" s="102" t="str">
        <f>MID(VLOOKUP($A241,Seqs!$A:$B,2,FALSE),VLOOKUP($A241,'NonXtal_SegEnds_Prot#'!$A:$AL,22,FALSE)+8,1)</f>
        <v>S</v>
      </c>
      <c r="Z241" s="102" t="str">
        <f>MID(VLOOKUP($A241,Seqs!$A:$B,2,FALSE),VLOOKUP($A241,'NonXtal_SegEnds_Prot#'!$A:$AL,22,FALSE)+9,1)</f>
        <v>P</v>
      </c>
      <c r="AA241" s="102" t="str">
        <f>MID(VLOOKUP($A241,Seqs!$A:$B,2,FALSE),VLOOKUP($A241,'NonXtal_SegEnds_Prot#'!$A:$AL,22,FALSE)+10,1)</f>
        <v>L</v>
      </c>
      <c r="AB241" s="71" t="str">
        <f>MID(VLOOKUP($A241,Seqs!$A:$B,2,FALSE),VLOOKUP($A241,'NonXtal_SegEnds_Prot#'!$A:$AL,28,FALSE)-4,1)</f>
        <v>L</v>
      </c>
      <c r="AC241" s="102" t="str">
        <f>MID(VLOOKUP($A241,Seqs!$A:$B,2,FALSE),VLOOKUP($A241,'NonXtal_SegEnds_Prot#'!$A:$AL,28,FALSE),1)</f>
        <v>P</v>
      </c>
    </row>
    <row r="242" spans="1:29" s="2" customFormat="1" x14ac:dyDescent="0.2">
      <c r="A242" s="2" t="s">
        <v>544</v>
      </c>
      <c r="B242" s="2" t="str">
        <f>LOWER(VLOOKUP(A242,Xtal_Templ!A:B,2,FALSE))</f>
        <v>p2ry1_human</v>
      </c>
      <c r="C242" s="2" t="str">
        <f>VLOOKUP(A242,Classification!A:D,2,FALSE)</f>
        <v>A</v>
      </c>
      <c r="N242" s="2" t="s">
        <v>43</v>
      </c>
      <c r="O242" s="2" t="s">
        <v>1554</v>
      </c>
      <c r="P242" s="4" t="s">
        <v>51</v>
      </c>
      <c r="R242" s="71" t="str">
        <f>MID(VLOOKUP($A242,Seqs!$A:$B,2,FALSE),VLOOKUP($A242,'NonXtal_SegEnds_Prot#'!A:AL,10,FALSE),1)</f>
        <v>D</v>
      </c>
      <c r="S242" s="102" t="str">
        <f>MID(VLOOKUP($A242,Seqs!$A:$B,2,FALSE),VLOOKUP($A242,'NonXtal_SegEnds_Prot#'!A:AL,10,FALSE)+6,1)</f>
        <v>S</v>
      </c>
      <c r="T242" s="102" t="str">
        <f>MID(VLOOKUP($A242,Seqs!$A:$B,2,FALSE),VLOOKUP($A242,'NonXtal_SegEnds_Prot#'!A:AL,10,FALSE)+7,1)</f>
        <v>L</v>
      </c>
      <c r="U242" s="102" t="str">
        <f>MID(VLOOKUP($A242,Seqs!$A:$B,2,FALSE),VLOOKUP($A242,'NonXtal_SegEnds_Prot#'!A:AL,10,FALSE)+8,1)</f>
        <v>P</v>
      </c>
      <c r="V242" s="102" t="str">
        <f>MID(VLOOKUP($A242,Seqs!$A:$B,2,FALSE),VLOOKUP($A242,'NonXtal_SegEnds_Prot#'!A:AL,10,FALSE)+9,1)</f>
        <v>L</v>
      </c>
      <c r="W242" s="71" t="str">
        <f>MID(VLOOKUP($A242,Seqs!$A:$B,2,FALSE),VLOOKUP($A242,'NonXtal_SegEnds_Prot#'!$A:$AL,22,FALSE)+6,1)</f>
        <v>A</v>
      </c>
      <c r="X242" s="102" t="str">
        <f>MID(VLOOKUP($A242,Seqs!$A:$B,2,FALSE),VLOOKUP($A242,'NonXtal_SegEnds_Prot#'!$A:$AL,22,FALSE)+7,1)</f>
        <v>C</v>
      </c>
      <c r="Y242" s="102" t="str">
        <f>MID(VLOOKUP($A242,Seqs!$A:$B,2,FALSE),VLOOKUP($A242,'NonXtal_SegEnds_Prot#'!$A:$AL,22,FALSE)+8,1)</f>
        <v>L</v>
      </c>
      <c r="Z242" s="102" t="str">
        <f>MID(VLOOKUP($A242,Seqs!$A:$B,2,FALSE),VLOOKUP($A242,'NonXtal_SegEnds_Prot#'!$A:$AL,22,FALSE)+9,1)</f>
        <v>P</v>
      </c>
      <c r="AA242" s="102" t="str">
        <f>MID(VLOOKUP($A242,Seqs!$A:$B,2,FALSE),VLOOKUP($A242,'NonXtal_SegEnds_Prot#'!$A:$AL,22,FALSE)+10,1)</f>
        <v>F</v>
      </c>
      <c r="AB242" s="71" t="str">
        <f>MID(VLOOKUP($A242,Seqs!$A:$B,2,FALSE),VLOOKUP($A242,'NonXtal_SegEnds_Prot#'!$A:$AL,28,FALSE)-4,1)</f>
        <v>G</v>
      </c>
      <c r="AC242" s="102" t="str">
        <f>MID(VLOOKUP($A242,Seqs!$A:$B,2,FALSE),VLOOKUP($A242,'NonXtal_SegEnds_Prot#'!$A:$AL,28,FALSE),1)</f>
        <v>P</v>
      </c>
    </row>
    <row r="243" spans="1:29" s="2" customFormat="1" x14ac:dyDescent="0.2">
      <c r="A243" s="2" t="s">
        <v>545</v>
      </c>
      <c r="B243" s="2" t="str">
        <f>LOWER(VLOOKUP(A243,Xtal_Templ!A:B,2,FALSE))</f>
        <v>p2ry1_human</v>
      </c>
      <c r="C243" s="2" t="str">
        <f>VLOOKUP(A243,Classification!A:D,2,FALSE)</f>
        <v>A</v>
      </c>
      <c r="N243" s="2" t="s">
        <v>43</v>
      </c>
      <c r="O243" s="2" t="s">
        <v>1554</v>
      </c>
      <c r="P243" s="4" t="s">
        <v>51</v>
      </c>
      <c r="R243" s="71" t="str">
        <f>MID(VLOOKUP($A243,Seqs!$A:$B,2,FALSE),VLOOKUP($A243,'NonXtal_SegEnds_Prot#'!A:AL,10,FALSE),1)</f>
        <v>D</v>
      </c>
      <c r="S243" s="102" t="str">
        <f>MID(VLOOKUP($A243,Seqs!$A:$B,2,FALSE),VLOOKUP($A243,'NonXtal_SegEnds_Prot#'!A:AL,10,FALSE)+6,1)</f>
        <v>T</v>
      </c>
      <c r="T243" s="102" t="str">
        <f>MID(VLOOKUP($A243,Seqs!$A:$B,2,FALSE),VLOOKUP($A243,'NonXtal_SegEnds_Prot#'!A:AL,10,FALSE)+7,1)</f>
        <v>L</v>
      </c>
      <c r="U243" s="102" t="str">
        <f>MID(VLOOKUP($A243,Seqs!$A:$B,2,FALSE),VLOOKUP($A243,'NonXtal_SegEnds_Prot#'!A:AL,10,FALSE)+8,1)</f>
        <v>P</v>
      </c>
      <c r="V243" s="102" t="str">
        <f>MID(VLOOKUP($A243,Seqs!$A:$B,2,FALSE),VLOOKUP($A243,'NonXtal_SegEnds_Prot#'!A:AL,10,FALSE)+9,1)</f>
        <v>P</v>
      </c>
      <c r="W243" s="71" t="str">
        <f>MID(VLOOKUP($A243,Seqs!$A:$B,2,FALSE),VLOOKUP($A243,'NonXtal_SegEnds_Prot#'!$A:$AL,22,FALSE)+6,1)</f>
        <v>L</v>
      </c>
      <c r="X243" s="102" t="str">
        <f>MID(VLOOKUP($A243,Seqs!$A:$B,2,FALSE),VLOOKUP($A243,'NonXtal_SegEnds_Prot#'!$A:$AL,22,FALSE)+7,1)</f>
        <v>A</v>
      </c>
      <c r="Y243" s="102" t="str">
        <f>MID(VLOOKUP($A243,Seqs!$A:$B,2,FALSE),VLOOKUP($A243,'NonXtal_SegEnds_Prot#'!$A:$AL,22,FALSE)+8,1)</f>
        <v>M</v>
      </c>
      <c r="Z243" s="102" t="str">
        <f>MID(VLOOKUP($A243,Seqs!$A:$B,2,FALSE),VLOOKUP($A243,'NonXtal_SegEnds_Prot#'!$A:$AL,22,FALSE)+9,1)</f>
        <v>P</v>
      </c>
      <c r="AA243" s="102" t="str">
        <f>MID(VLOOKUP($A243,Seqs!$A:$B,2,FALSE),VLOOKUP($A243,'NonXtal_SegEnds_Prot#'!$A:$AL,22,FALSE)+10,1)</f>
        <v>T</v>
      </c>
      <c r="AB243" s="71" t="str">
        <f>MID(VLOOKUP($A243,Seqs!$A:$B,2,FALSE),VLOOKUP($A243,'NonXtal_SegEnds_Prot#'!$A:$AL,28,FALSE)-4,1)</f>
        <v>G</v>
      </c>
      <c r="AC243" s="102" t="str">
        <f>MID(VLOOKUP($A243,Seqs!$A:$B,2,FALSE),VLOOKUP($A243,'NonXtal_SegEnds_Prot#'!$A:$AL,28,FALSE),1)</f>
        <v>P</v>
      </c>
    </row>
    <row r="244" spans="1:29" s="2" customFormat="1" x14ac:dyDescent="0.2">
      <c r="A244" s="2" t="s">
        <v>546</v>
      </c>
      <c r="B244" s="2" t="str">
        <f>LOWER(VLOOKUP(A244,Xtal_Templ!A:B,2,FALSE))</f>
        <v>p2y12_human</v>
      </c>
      <c r="C244" s="2" t="str">
        <f>VLOOKUP(A244,Classification!A:D,2,FALSE)</f>
        <v>A</v>
      </c>
      <c r="O244" s="2" t="s">
        <v>1554</v>
      </c>
      <c r="P244" s="4" t="s">
        <v>51</v>
      </c>
      <c r="R244" s="71" t="str">
        <f>MID(VLOOKUP($A244,Seqs!$A:$B,2,FALSE),VLOOKUP($A244,'NonXtal_SegEnds_Prot#'!A:AL,10,FALSE),1)</f>
        <v>D</v>
      </c>
      <c r="S244" s="102" t="str">
        <f>MID(VLOOKUP($A244,Seqs!$A:$B,2,FALSE),VLOOKUP($A244,'NonXtal_SegEnds_Prot#'!A:AL,10,FALSE)+6,1)</f>
        <v>T</v>
      </c>
      <c r="T244" s="102" t="str">
        <f>MID(VLOOKUP($A244,Seqs!$A:$B,2,FALSE),VLOOKUP($A244,'NonXtal_SegEnds_Prot#'!A:AL,10,FALSE)+7,1)</f>
        <v>F</v>
      </c>
      <c r="U244" s="102" t="str">
        <f>MID(VLOOKUP($A244,Seqs!$A:$B,2,FALSE),VLOOKUP($A244,'NonXtal_SegEnds_Prot#'!A:AL,10,FALSE)+8,1)</f>
        <v>P</v>
      </c>
      <c r="V244" s="102" t="str">
        <f>MID(VLOOKUP($A244,Seqs!$A:$B,2,FALSE),VLOOKUP($A244,'NonXtal_SegEnds_Prot#'!A:AL,10,FALSE)+9,1)</f>
        <v>F</v>
      </c>
      <c r="W244" s="71" t="str">
        <f>MID(VLOOKUP($A244,Seqs!$A:$B,2,FALSE),VLOOKUP($A244,'NonXtal_SegEnds_Prot#'!$A:$AL,22,FALSE)+6,1)</f>
        <v>L</v>
      </c>
      <c r="X244" s="102" t="str">
        <f>MID(VLOOKUP($A244,Seqs!$A:$B,2,FALSE),VLOOKUP($A244,'NonXtal_SegEnds_Prot#'!$A:$AL,22,FALSE)+7,1)</f>
        <v>S</v>
      </c>
      <c r="Y244" s="102" t="str">
        <f>MID(VLOOKUP($A244,Seqs!$A:$B,2,FALSE),VLOOKUP($A244,'NonXtal_SegEnds_Prot#'!$A:$AL,22,FALSE)+8,1)</f>
        <v>L</v>
      </c>
      <c r="Z244" s="102" t="str">
        <f>MID(VLOOKUP($A244,Seqs!$A:$B,2,FALSE),VLOOKUP($A244,'NonXtal_SegEnds_Prot#'!$A:$AL,22,FALSE)+9,1)</f>
        <v>P</v>
      </c>
      <c r="AA244" s="102" t="str">
        <f>MID(VLOOKUP($A244,Seqs!$A:$B,2,FALSE),VLOOKUP($A244,'NonXtal_SegEnds_Prot#'!$A:$AL,22,FALSE)+10,1)</f>
        <v>N</v>
      </c>
      <c r="AB244" s="71" t="str">
        <f>MID(VLOOKUP($A244,Seqs!$A:$B,2,FALSE),VLOOKUP($A244,'NonXtal_SegEnds_Prot#'!$A:$AL,28,FALSE)-4,1)</f>
        <v>I</v>
      </c>
      <c r="AC244" s="102" t="str">
        <f>MID(VLOOKUP($A244,Seqs!$A:$B,2,FALSE),VLOOKUP($A244,'NonXtal_SegEnds_Prot#'!$A:$AL,28,FALSE),1)</f>
        <v>N</v>
      </c>
    </row>
    <row r="245" spans="1:29" s="2" customFormat="1" x14ac:dyDescent="0.2">
      <c r="A245" s="2" t="s">
        <v>547</v>
      </c>
      <c r="B245" s="2" t="str">
        <f>LOWER(VLOOKUP(A245,Xtal_Templ!A:B,2,FALSE))</f>
        <v>p2y12_human</v>
      </c>
      <c r="C245" s="2" t="str">
        <f>VLOOKUP(A245,Classification!A:D,2,FALSE)</f>
        <v>A</v>
      </c>
      <c r="O245" s="2" t="s">
        <v>1554</v>
      </c>
      <c r="P245" s="4" t="s">
        <v>51</v>
      </c>
      <c r="R245" s="71" t="str">
        <f>MID(VLOOKUP($A245,Seqs!$A:$B,2,FALSE),VLOOKUP($A245,'NonXtal_SegEnds_Prot#'!A:AL,10,FALSE),1)</f>
        <v>D</v>
      </c>
      <c r="S245" s="102" t="str">
        <f>MID(VLOOKUP($A245,Seqs!$A:$B,2,FALSE),VLOOKUP($A245,'NonXtal_SegEnds_Prot#'!A:AL,10,FALSE)+6,1)</f>
        <v>M</v>
      </c>
      <c r="T245" s="102" t="str">
        <f>MID(VLOOKUP($A245,Seqs!$A:$B,2,FALSE),VLOOKUP($A245,'NonXtal_SegEnds_Prot#'!A:AL,10,FALSE)+7,1)</f>
        <v>L</v>
      </c>
      <c r="U245" s="102" t="str">
        <f>MID(VLOOKUP($A245,Seqs!$A:$B,2,FALSE),VLOOKUP($A245,'NonXtal_SegEnds_Prot#'!A:AL,10,FALSE)+8,1)</f>
        <v>P</v>
      </c>
      <c r="V245" s="102" t="str">
        <f>MID(VLOOKUP($A245,Seqs!$A:$B,2,FALSE),VLOOKUP($A245,'NonXtal_SegEnds_Prot#'!A:AL,10,FALSE)+9,1)</f>
        <v>F</v>
      </c>
      <c r="W245" s="71" t="str">
        <f>MID(VLOOKUP($A245,Seqs!$A:$B,2,FALSE),VLOOKUP($A245,'NonXtal_SegEnds_Prot#'!$A:$AL,22,FALSE)+6,1)</f>
        <v>I</v>
      </c>
      <c r="X245" s="102" t="str">
        <f>MID(VLOOKUP($A245,Seqs!$A:$B,2,FALSE),VLOOKUP($A245,'NonXtal_SegEnds_Prot#'!$A:$AL,22,FALSE)+7,1)</f>
        <v>S</v>
      </c>
      <c r="Y245" s="102" t="str">
        <f>MID(VLOOKUP($A245,Seqs!$A:$B,2,FALSE),VLOOKUP($A245,'NonXtal_SegEnds_Prot#'!$A:$AL,22,FALSE)+8,1)</f>
        <v>L</v>
      </c>
      <c r="Z245" s="102" t="str">
        <f>MID(VLOOKUP($A245,Seqs!$A:$B,2,FALSE),VLOOKUP($A245,'NonXtal_SegEnds_Prot#'!$A:$AL,22,FALSE)+9,1)</f>
        <v>P</v>
      </c>
      <c r="AA245" s="102" t="str">
        <f>MID(VLOOKUP($A245,Seqs!$A:$B,2,FALSE),VLOOKUP($A245,'NonXtal_SegEnds_Prot#'!$A:$AL,22,FALSE)+10,1)</f>
        <v>N</v>
      </c>
      <c r="AB245" s="71" t="str">
        <f>MID(VLOOKUP($A245,Seqs!$A:$B,2,FALSE),VLOOKUP($A245,'NonXtal_SegEnds_Prot#'!$A:$AL,28,FALSE)-4,1)</f>
        <v>I</v>
      </c>
      <c r="AC245" s="102" t="str">
        <f>MID(VLOOKUP($A245,Seqs!$A:$B,2,FALSE),VLOOKUP($A245,'NonXtal_SegEnds_Prot#'!$A:$AL,28,FALSE),1)</f>
        <v>V</v>
      </c>
    </row>
    <row r="246" spans="1:29" s="2" customFormat="1" x14ac:dyDescent="0.2">
      <c r="A246" s="2" t="s">
        <v>548</v>
      </c>
      <c r="B246" s="2" t="str">
        <f>LOWER(VLOOKUP(A246,Xtal_Templ!A:B,2,FALSE))</f>
        <v>p2y12_human</v>
      </c>
      <c r="C246" s="2" t="str">
        <f>VLOOKUP(A246,Classification!A:D,2,FALSE)</f>
        <v>A</v>
      </c>
      <c r="O246" s="2" t="s">
        <v>1554</v>
      </c>
      <c r="P246" s="4" t="s">
        <v>51</v>
      </c>
      <c r="R246" s="71" t="str">
        <f>MID(VLOOKUP($A246,Seqs!$A:$B,2,FALSE),VLOOKUP($A246,'NonXtal_SegEnds_Prot#'!A:AL,10,FALSE),1)</f>
        <v>D</v>
      </c>
      <c r="S246" s="102" t="str">
        <f>MID(VLOOKUP($A246,Seqs!$A:$B,2,FALSE),VLOOKUP($A246,'NonXtal_SegEnds_Prot#'!A:AL,10,FALSE)+6,1)</f>
        <v>T</v>
      </c>
      <c r="T246" s="102" t="str">
        <f>MID(VLOOKUP($A246,Seqs!$A:$B,2,FALSE),VLOOKUP($A246,'NonXtal_SegEnds_Prot#'!A:AL,10,FALSE)+7,1)</f>
        <v>F</v>
      </c>
      <c r="U246" s="102" t="str">
        <f>MID(VLOOKUP($A246,Seqs!$A:$B,2,FALSE),VLOOKUP($A246,'NonXtal_SegEnds_Prot#'!A:AL,10,FALSE)+8,1)</f>
        <v>P</v>
      </c>
      <c r="V246" s="102" t="str">
        <f>MID(VLOOKUP($A246,Seqs!$A:$B,2,FALSE),VLOOKUP($A246,'NonXtal_SegEnds_Prot#'!A:AL,10,FALSE)+9,1)</f>
        <v>F</v>
      </c>
      <c r="W246" s="71" t="str">
        <f>MID(VLOOKUP($A246,Seqs!$A:$B,2,FALSE),VLOOKUP($A246,'NonXtal_SegEnds_Prot#'!$A:$AL,22,FALSE)+6,1)</f>
        <v>L</v>
      </c>
      <c r="X246" s="102" t="str">
        <f>MID(VLOOKUP($A246,Seqs!$A:$B,2,FALSE),VLOOKUP($A246,'NonXtal_SegEnds_Prot#'!$A:$AL,22,FALSE)+7,1)</f>
        <v>A</v>
      </c>
      <c r="Y246" s="102" t="str">
        <f>MID(VLOOKUP($A246,Seqs!$A:$B,2,FALSE),VLOOKUP($A246,'NonXtal_SegEnds_Prot#'!$A:$AL,22,FALSE)+8,1)</f>
        <v>V</v>
      </c>
      <c r="Z246" s="102" t="str">
        <f>MID(VLOOKUP($A246,Seqs!$A:$B,2,FALSE),VLOOKUP($A246,'NonXtal_SegEnds_Prot#'!$A:$AL,22,FALSE)+9,1)</f>
        <v>P</v>
      </c>
      <c r="AA246" s="102" t="str">
        <f>MID(VLOOKUP($A246,Seqs!$A:$B,2,FALSE),VLOOKUP($A246,'NonXtal_SegEnds_Prot#'!$A:$AL,22,FALSE)+10,1)</f>
        <v>N</v>
      </c>
      <c r="AB246" s="71" t="str">
        <f>MID(VLOOKUP($A246,Seqs!$A:$B,2,FALSE),VLOOKUP($A246,'NonXtal_SegEnds_Prot#'!$A:$AL,28,FALSE)-4,1)</f>
        <v>I</v>
      </c>
      <c r="AC246" s="102" t="str">
        <f>MID(VLOOKUP($A246,Seqs!$A:$B,2,FALSE),VLOOKUP($A246,'NonXtal_SegEnds_Prot#'!$A:$AL,28,FALSE),1)</f>
        <v>V</v>
      </c>
    </row>
    <row r="247" spans="1:29" s="2" customFormat="1" x14ac:dyDescent="0.2">
      <c r="A247" s="2" t="s">
        <v>549</v>
      </c>
      <c r="B247" s="2" t="str">
        <f>LOWER(VLOOKUP(A247,Xtal_Templ!A:B,2,FALSE))</f>
        <v>par1_human</v>
      </c>
      <c r="C247" s="2" t="str">
        <f>VLOOKUP(A247,Classification!A:D,2,FALSE)</f>
        <v>A</v>
      </c>
      <c r="K247" s="2" t="s">
        <v>59</v>
      </c>
      <c r="O247" s="2" t="s">
        <v>1554</v>
      </c>
      <c r="P247" s="4" t="s">
        <v>51</v>
      </c>
      <c r="R247" s="71" t="str">
        <f>MID(VLOOKUP($A247,Seqs!$A:$B,2,FALSE),VLOOKUP($A247,'NonXtal_SegEnds_Prot#'!A:AL,10,FALSE),1)</f>
        <v>D</v>
      </c>
      <c r="S247" s="102" t="str">
        <f>MID(VLOOKUP($A247,Seqs!$A:$B,2,FALSE),VLOOKUP($A247,'NonXtal_SegEnds_Prot#'!A:AL,10,FALSE)+6,1)</f>
        <v>V</v>
      </c>
      <c r="T247" s="102" t="str">
        <f>MID(VLOOKUP($A247,Seqs!$A:$B,2,FALSE),VLOOKUP($A247,'NonXtal_SegEnds_Prot#'!A:AL,10,FALSE)+7,1)</f>
        <v>L</v>
      </c>
      <c r="U247" s="102" t="str">
        <f>MID(VLOOKUP($A247,Seqs!$A:$B,2,FALSE),VLOOKUP($A247,'NonXtal_SegEnds_Prot#'!A:AL,10,FALSE)+8,1)</f>
        <v>P</v>
      </c>
      <c r="V247" s="102" t="str">
        <f>MID(VLOOKUP($A247,Seqs!$A:$B,2,FALSE),VLOOKUP($A247,'NonXtal_SegEnds_Prot#'!A:AL,10,FALSE)+9,1)</f>
        <v>F</v>
      </c>
      <c r="W247" s="71" t="str">
        <f>MID(VLOOKUP($A247,Seqs!$A:$B,2,FALSE),VLOOKUP($A247,'NonXtal_SegEnds_Prot#'!$A:$AL,22,FALSE)+6,1)</f>
        <v>G</v>
      </c>
      <c r="X247" s="102" t="str">
        <f>MID(VLOOKUP($A247,Seqs!$A:$B,2,FALSE),VLOOKUP($A247,'NonXtal_SegEnds_Prot#'!$A:$AL,22,FALSE)+7,1)</f>
        <v>V</v>
      </c>
      <c r="Y247" s="102" t="str">
        <f>MID(VLOOKUP($A247,Seqs!$A:$B,2,FALSE),VLOOKUP($A247,'NonXtal_SegEnds_Prot#'!$A:$AL,22,FALSE)+8,1)</f>
        <v>V</v>
      </c>
      <c r="Z247" s="102" t="str">
        <f>MID(VLOOKUP($A247,Seqs!$A:$B,2,FALSE),VLOOKUP($A247,'NonXtal_SegEnds_Prot#'!$A:$AL,22,FALSE)+9,1)</f>
        <v>P</v>
      </c>
      <c r="AA247" s="102" t="str">
        <f>MID(VLOOKUP($A247,Seqs!$A:$B,2,FALSE),VLOOKUP($A247,'NonXtal_SegEnds_Prot#'!$A:$AL,22,FALSE)+10,1)</f>
        <v>L</v>
      </c>
      <c r="AB247" s="71" t="str">
        <f>MID(VLOOKUP($A247,Seqs!$A:$B,2,FALSE),VLOOKUP($A247,'NonXtal_SegEnds_Prot#'!$A:$AL,28,FALSE)-4,1)</f>
        <v>F</v>
      </c>
      <c r="AC247" s="102" t="str">
        <f>MID(VLOOKUP($A247,Seqs!$A:$B,2,FALSE),VLOOKUP($A247,'NonXtal_SegEnds_Prot#'!$A:$AL,28,FALSE),1)</f>
        <v>P</v>
      </c>
    </row>
    <row r="248" spans="1:29" s="2" customFormat="1" x14ac:dyDescent="0.2">
      <c r="A248" s="2" t="s">
        <v>550</v>
      </c>
      <c r="B248" s="2" t="str">
        <f>LOWER(VLOOKUP(A248,Xtal_Templ!A:B,2,FALSE))</f>
        <v>par1_human</v>
      </c>
      <c r="C248" s="2" t="str">
        <f>VLOOKUP(A248,Classification!A:D,2,FALSE)</f>
        <v>A</v>
      </c>
      <c r="K248" s="2" t="s">
        <v>59</v>
      </c>
      <c r="N248" s="2" t="s">
        <v>43</v>
      </c>
      <c r="O248" s="2" t="s">
        <v>1554</v>
      </c>
      <c r="P248" s="4" t="s">
        <v>51</v>
      </c>
      <c r="R248" s="71" t="str">
        <f>MID(VLOOKUP($A248,Seqs!$A:$B,2,FALSE),VLOOKUP($A248,'NonXtal_SegEnds_Prot#'!A:AL,10,FALSE),1)</f>
        <v>D</v>
      </c>
      <c r="S248" s="102" t="str">
        <f>MID(VLOOKUP($A248,Seqs!$A:$B,2,FALSE),VLOOKUP($A248,'NonXtal_SegEnds_Prot#'!A:AL,10,FALSE)+6,1)</f>
        <v>W</v>
      </c>
      <c r="T248" s="102" t="str">
        <f>MID(VLOOKUP($A248,Seqs!$A:$B,2,FALSE),VLOOKUP($A248,'NonXtal_SegEnds_Prot#'!A:AL,10,FALSE)+7,1)</f>
        <v>F</v>
      </c>
      <c r="U248" s="102" t="str">
        <f>MID(VLOOKUP($A248,Seqs!$A:$B,2,FALSE),VLOOKUP($A248,'NonXtal_SegEnds_Prot#'!A:AL,10,FALSE)+8,1)</f>
        <v>P</v>
      </c>
      <c r="V248" s="102" t="str">
        <f>MID(VLOOKUP($A248,Seqs!$A:$B,2,FALSE),VLOOKUP($A248,'NonXtal_SegEnds_Prot#'!A:AL,10,FALSE)+9,1)</f>
        <v>L</v>
      </c>
      <c r="W248" s="71" t="str">
        <f>MID(VLOOKUP($A248,Seqs!$A:$B,2,FALSE),VLOOKUP($A248,'NonXtal_SegEnds_Prot#'!$A:$AL,22,FALSE)+6,1)</f>
        <v>V</v>
      </c>
      <c r="X248" s="102" t="str">
        <f>MID(VLOOKUP($A248,Seqs!$A:$B,2,FALSE),VLOOKUP($A248,'NonXtal_SegEnds_Prot#'!$A:$AL,22,FALSE)+7,1)</f>
        <v>T</v>
      </c>
      <c r="Y248" s="102" t="str">
        <f>MID(VLOOKUP($A248,Seqs!$A:$B,2,FALSE),VLOOKUP($A248,'NonXtal_SegEnds_Prot#'!$A:$AL,22,FALSE)+8,1)</f>
        <v>I</v>
      </c>
      <c r="Z248" s="102" t="str">
        <f>MID(VLOOKUP($A248,Seqs!$A:$B,2,FALSE),VLOOKUP($A248,'NonXtal_SegEnds_Prot#'!$A:$AL,22,FALSE)+9,1)</f>
        <v>P</v>
      </c>
      <c r="AA248" s="102" t="str">
        <f>MID(VLOOKUP($A248,Seqs!$A:$B,2,FALSE),VLOOKUP($A248,'NonXtal_SegEnds_Prot#'!$A:$AL,22,FALSE)+10,1)</f>
        <v>L</v>
      </c>
      <c r="AB248" s="71" t="str">
        <f>MID(VLOOKUP($A248,Seqs!$A:$B,2,FALSE),VLOOKUP($A248,'NonXtal_SegEnds_Prot#'!$A:$AL,28,FALSE)-4,1)</f>
        <v>V</v>
      </c>
      <c r="AC248" s="102" t="str">
        <f>MID(VLOOKUP($A248,Seqs!$A:$B,2,FALSE),VLOOKUP($A248,'NonXtal_SegEnds_Prot#'!$A:$AL,28,FALSE),1)</f>
        <v>P</v>
      </c>
    </row>
    <row r="249" spans="1:29" s="2" customFormat="1" x14ac:dyDescent="0.2">
      <c r="A249" s="2" t="s">
        <v>551</v>
      </c>
      <c r="B249" s="2" t="str">
        <f>LOWER(VLOOKUP(A249,Xtal_Templ!A:B,2,FALSE))</f>
        <v>par1_human</v>
      </c>
      <c r="C249" s="2" t="str">
        <f>VLOOKUP(A249,Classification!A:D,2,FALSE)</f>
        <v>A</v>
      </c>
      <c r="K249" s="2" t="s">
        <v>59</v>
      </c>
      <c r="N249" s="2" t="s">
        <v>43</v>
      </c>
      <c r="O249" s="2" t="s">
        <v>1554</v>
      </c>
      <c r="P249" s="4" t="s">
        <v>51</v>
      </c>
      <c r="R249" s="71" t="str">
        <f>MID(VLOOKUP($A249,Seqs!$A:$B,2,FALSE),VLOOKUP($A249,'NonXtal_SegEnds_Prot#'!A:AL,10,FALSE),1)</f>
        <v>D</v>
      </c>
      <c r="S249" s="102" t="str">
        <f>MID(VLOOKUP($A249,Seqs!$A:$B,2,FALSE),VLOOKUP($A249,'NonXtal_SegEnds_Prot#'!A:AL,10,FALSE)+6,1)</f>
        <v>T</v>
      </c>
      <c r="T249" s="102" t="str">
        <f>MID(VLOOKUP($A249,Seqs!$A:$B,2,FALSE),VLOOKUP($A249,'NonXtal_SegEnds_Prot#'!A:AL,10,FALSE)+7,1)</f>
        <v>L</v>
      </c>
      <c r="U249" s="102" t="str">
        <f>MID(VLOOKUP($A249,Seqs!$A:$B,2,FALSE),VLOOKUP($A249,'NonXtal_SegEnds_Prot#'!A:AL,10,FALSE)+8,1)</f>
        <v>P</v>
      </c>
      <c r="V249" s="102" t="str">
        <f>MID(VLOOKUP($A249,Seqs!$A:$B,2,FALSE),VLOOKUP($A249,'NonXtal_SegEnds_Prot#'!A:AL,10,FALSE)+9,1)</f>
        <v>F</v>
      </c>
      <c r="W249" s="71" t="str">
        <f>MID(VLOOKUP($A249,Seqs!$A:$B,2,FALSE),VLOOKUP($A249,'NonXtal_SegEnds_Prot#'!$A:$AL,22,FALSE)+6,1)</f>
        <v>Y</v>
      </c>
      <c r="X249" s="102" t="str">
        <f>MID(VLOOKUP($A249,Seqs!$A:$B,2,FALSE),VLOOKUP($A249,'NonXtal_SegEnds_Prot#'!$A:$AL,22,FALSE)+7,1)</f>
        <v>M</v>
      </c>
      <c r="Y249" s="102" t="str">
        <f>MID(VLOOKUP($A249,Seqs!$A:$B,2,FALSE),VLOOKUP($A249,'NonXtal_SegEnds_Prot#'!$A:$AL,22,FALSE)+8,1)</f>
        <v>L</v>
      </c>
      <c r="Z249" s="102" t="str">
        <f>MID(VLOOKUP($A249,Seqs!$A:$B,2,FALSE),VLOOKUP($A249,'NonXtal_SegEnds_Prot#'!$A:$AL,22,FALSE)+9,1)</f>
        <v>P</v>
      </c>
      <c r="AA249" s="102" t="str">
        <f>MID(VLOOKUP($A249,Seqs!$A:$B,2,FALSE),VLOOKUP($A249,'NonXtal_SegEnds_Prot#'!$A:$AL,22,FALSE)+10,1)</f>
        <v>F</v>
      </c>
      <c r="AB249" s="71" t="str">
        <f>MID(VLOOKUP($A249,Seqs!$A:$B,2,FALSE),VLOOKUP($A249,'NonXtal_SegEnds_Prot#'!$A:$AL,28,FALSE)-4,1)</f>
        <v>G</v>
      </c>
      <c r="AC249" s="102" t="str">
        <f>MID(VLOOKUP($A249,Seqs!$A:$B,2,FALSE),VLOOKUP($A249,'NonXtal_SegEnds_Prot#'!$A:$AL,28,FALSE),1)</f>
        <v>P</v>
      </c>
    </row>
    <row r="250" spans="1:29" s="2" customFormat="1" x14ac:dyDescent="0.2">
      <c r="A250" s="2" t="s">
        <v>552</v>
      </c>
      <c r="B250" s="2" t="str">
        <f>LOWER(VLOOKUP(A250,Xtal_Templ!A:B,2,FALSE))</f>
        <v>par1_human</v>
      </c>
      <c r="C250" s="2" t="str">
        <f>VLOOKUP(A250,Classification!A:D,2,FALSE)</f>
        <v>A</v>
      </c>
      <c r="K250" s="2" t="s">
        <v>59</v>
      </c>
      <c r="N250" s="2" t="s">
        <v>43</v>
      </c>
      <c r="O250" s="2" t="s">
        <v>1554</v>
      </c>
      <c r="P250" s="4" t="s">
        <v>51</v>
      </c>
      <c r="R250" s="71" t="str">
        <f>MID(VLOOKUP($A250,Seqs!$A:$B,2,FALSE),VLOOKUP($A250,'NonXtal_SegEnds_Prot#'!A:AL,10,FALSE),1)</f>
        <v>D</v>
      </c>
      <c r="S250" s="102" t="str">
        <f>MID(VLOOKUP($A250,Seqs!$A:$B,2,FALSE),VLOOKUP($A250,'NonXtal_SegEnds_Prot#'!A:AL,10,FALSE)+6,1)</f>
        <v>A</v>
      </c>
      <c r="T250" s="102" t="str">
        <f>MID(VLOOKUP($A250,Seqs!$A:$B,2,FALSE),VLOOKUP($A250,'NonXtal_SegEnds_Prot#'!A:AL,10,FALSE)+7,1)</f>
        <v>L</v>
      </c>
      <c r="U250" s="102" t="str">
        <f>MID(VLOOKUP($A250,Seqs!$A:$B,2,FALSE),VLOOKUP($A250,'NonXtal_SegEnds_Prot#'!A:AL,10,FALSE)+8,1)</f>
        <v>P</v>
      </c>
      <c r="V250" s="102" t="str">
        <f>MID(VLOOKUP($A250,Seqs!$A:$B,2,FALSE),VLOOKUP($A250,'NonXtal_SegEnds_Prot#'!A:AL,10,FALSE)+9,1)</f>
        <v>P</v>
      </c>
      <c r="W250" s="71" t="str">
        <f>MID(VLOOKUP($A250,Seqs!$A:$B,2,FALSE),VLOOKUP($A250,'NonXtal_SegEnds_Prot#'!$A:$AL,22,FALSE)+6,1)</f>
        <v>L</v>
      </c>
      <c r="X250" s="102" t="str">
        <f>MID(VLOOKUP($A250,Seqs!$A:$B,2,FALSE),VLOOKUP($A250,'NonXtal_SegEnds_Prot#'!$A:$AL,22,FALSE)+7,1)</f>
        <v>A</v>
      </c>
      <c r="Y250" s="102" t="str">
        <f>MID(VLOOKUP($A250,Seqs!$A:$B,2,FALSE),VLOOKUP($A250,'NonXtal_SegEnds_Prot#'!$A:$AL,22,FALSE)+8,1)</f>
        <v>L</v>
      </c>
      <c r="Z250" s="102" t="str">
        <f>MID(VLOOKUP($A250,Seqs!$A:$B,2,FALSE),VLOOKUP($A250,'NonXtal_SegEnds_Prot#'!$A:$AL,22,FALSE)+9,1)</f>
        <v>P</v>
      </c>
      <c r="AA250" s="102" t="str">
        <f>MID(VLOOKUP($A250,Seqs!$A:$B,2,FALSE),VLOOKUP($A250,'NonXtal_SegEnds_Prot#'!$A:$AL,22,FALSE)+10,1)</f>
        <v>L</v>
      </c>
      <c r="AB250" s="71" t="str">
        <f>MID(VLOOKUP($A250,Seqs!$A:$B,2,FALSE),VLOOKUP($A250,'NonXtal_SegEnds_Prot#'!$A:$AL,28,FALSE)-4,1)</f>
        <v>G</v>
      </c>
      <c r="AC250" s="102" t="str">
        <f>MID(VLOOKUP($A250,Seqs!$A:$B,2,FALSE),VLOOKUP($A250,'NonXtal_SegEnds_Prot#'!$A:$AL,28,FALSE),1)</f>
        <v>P</v>
      </c>
    </row>
    <row r="251" spans="1:29" s="2" customFormat="1" x14ac:dyDescent="0.2">
      <c r="A251" s="2" t="s">
        <v>553</v>
      </c>
      <c r="B251" s="2" t="str">
        <f>LOWER(VLOOKUP(A251,Xtal_Templ!A:B,2,FALSE))</f>
        <v>ox2r_human</v>
      </c>
      <c r="C251" s="2" t="str">
        <f>VLOOKUP(A251,Classification!A:D,2,FALSE)</f>
        <v>A</v>
      </c>
      <c r="E251" s="2" t="s">
        <v>20</v>
      </c>
      <c r="P251" s="4" t="s">
        <v>51</v>
      </c>
      <c r="R251" s="71" t="str">
        <f>MID(VLOOKUP($A251,Seqs!$A:$B,2,FALSE),VLOOKUP($A251,'NonXtal_SegEnds_Prot#'!A:AL,10,FALSE),1)</f>
        <v>D</v>
      </c>
      <c r="S251" s="102" t="str">
        <f>MID(VLOOKUP($A251,Seqs!$A:$B,2,FALSE),VLOOKUP($A251,'NonXtal_SegEnds_Prot#'!A:AL,10,FALSE)+6,1)</f>
        <v>L</v>
      </c>
      <c r="T251" s="102" t="str">
        <f>MID(VLOOKUP($A251,Seqs!$A:$B,2,FALSE),VLOOKUP($A251,'NonXtal_SegEnds_Prot#'!A:AL,10,FALSE)+7,1)</f>
        <v>L</v>
      </c>
      <c r="U251" s="102" t="str">
        <f>MID(VLOOKUP($A251,Seqs!$A:$B,2,FALSE),VLOOKUP($A251,'NonXtal_SegEnds_Prot#'!A:AL,10,FALSE)+8,1)</f>
        <v>S</v>
      </c>
      <c r="V251" s="102" t="str">
        <f>MID(VLOOKUP($A251,Seqs!$A:$B,2,FALSE),VLOOKUP($A251,'NonXtal_SegEnds_Prot#'!A:AL,10,FALSE)+9,1)</f>
        <v>P</v>
      </c>
      <c r="W251" s="71" t="str">
        <f>MID(VLOOKUP($A251,Seqs!$A:$B,2,FALSE),VLOOKUP($A251,'NonXtal_SegEnds_Prot#'!$A:$AL,22,FALSE)+6,1)</f>
        <v>F</v>
      </c>
      <c r="X251" s="102" t="str">
        <f>MID(VLOOKUP($A251,Seqs!$A:$B,2,FALSE),VLOOKUP($A251,'NonXtal_SegEnds_Prot#'!$A:$AL,22,FALSE)+7,1)</f>
        <v>C</v>
      </c>
      <c r="Y251" s="102" t="str">
        <f>MID(VLOOKUP($A251,Seqs!$A:$B,2,FALSE),VLOOKUP($A251,'NonXtal_SegEnds_Prot#'!$A:$AL,22,FALSE)+8,1)</f>
        <v>A</v>
      </c>
      <c r="Z251" s="102" t="str">
        <f>MID(VLOOKUP($A251,Seqs!$A:$B,2,FALSE),VLOOKUP($A251,'NonXtal_SegEnds_Prot#'!$A:$AL,22,FALSE)+9,1)</f>
        <v>L</v>
      </c>
      <c r="AA251" s="102" t="str">
        <f>MID(VLOOKUP($A251,Seqs!$A:$B,2,FALSE),VLOOKUP($A251,'NonXtal_SegEnds_Prot#'!$A:$AL,22,FALSE)+10,1)</f>
        <v>P</v>
      </c>
      <c r="AB251" s="71" t="str">
        <f>MID(VLOOKUP($A251,Seqs!$A:$B,2,FALSE),VLOOKUP($A251,'NonXtal_SegEnds_Prot#'!$A:$AL,28,FALSE)-4,1)</f>
        <v>A</v>
      </c>
      <c r="AC251" s="102" t="str">
        <f>MID(VLOOKUP($A251,Seqs!$A:$B,2,FALSE),VLOOKUP($A251,'NonXtal_SegEnds_Prot#'!$A:$AL,28,FALSE),1)</f>
        <v>L</v>
      </c>
    </row>
    <row r="252" spans="1:29" s="2" customFormat="1" x14ac:dyDescent="0.2">
      <c r="A252" s="2" t="s">
        <v>554</v>
      </c>
      <c r="B252" s="2" t="str">
        <f>LOWER(VLOOKUP(A252,Xtal_Templ!A:B,2,FALSE))</f>
        <v>oprd_mouse</v>
      </c>
      <c r="C252" s="2" t="str">
        <f>VLOOKUP(A252,Classification!A:D,2,FALSE)</f>
        <v>A</v>
      </c>
      <c r="K252" s="2" t="s">
        <v>59</v>
      </c>
      <c r="N252" s="2" t="s">
        <v>43</v>
      </c>
      <c r="P252" s="4" t="s">
        <v>51</v>
      </c>
      <c r="R252" s="71" t="str">
        <f>MID(VLOOKUP($A252,Seqs!$A:$B,2,FALSE),VLOOKUP($A252,'NonXtal_SegEnds_Prot#'!A:AL,10,FALSE),1)</f>
        <v>D</v>
      </c>
      <c r="S252" s="102" t="str">
        <f>MID(VLOOKUP($A252,Seqs!$A:$B,2,FALSE),VLOOKUP($A252,'NonXtal_SegEnds_Prot#'!A:AL,10,FALSE)+6,1)</f>
        <v>S</v>
      </c>
      <c r="T252" s="102" t="str">
        <f>MID(VLOOKUP($A252,Seqs!$A:$B,2,FALSE),VLOOKUP($A252,'NonXtal_SegEnds_Prot#'!A:AL,10,FALSE)+7,1)</f>
        <v>L</v>
      </c>
      <c r="U252" s="102" t="str">
        <f>MID(VLOOKUP($A252,Seqs!$A:$B,2,FALSE),VLOOKUP($A252,'NonXtal_SegEnds_Prot#'!A:AL,10,FALSE)+8,1)</f>
        <v>P</v>
      </c>
      <c r="V252" s="102" t="str">
        <f>MID(VLOOKUP($A252,Seqs!$A:$B,2,FALSE),VLOOKUP($A252,'NonXtal_SegEnds_Prot#'!A:AL,10,FALSE)+9,1)</f>
        <v>F</v>
      </c>
      <c r="W252" s="71" t="str">
        <f>MID(VLOOKUP($A252,Seqs!$A:$B,2,FALSE),VLOOKUP($A252,'NonXtal_SegEnds_Prot#'!$A:$AL,22,FALSE)+6,1)</f>
        <v>N</v>
      </c>
      <c r="X252" s="102" t="str">
        <f>MID(VLOOKUP($A252,Seqs!$A:$B,2,FALSE),VLOOKUP($A252,'NonXtal_SegEnds_Prot#'!$A:$AL,22,FALSE)+7,1)</f>
        <v>T</v>
      </c>
      <c r="Y252" s="102" t="str">
        <f>MID(VLOOKUP($A252,Seqs!$A:$B,2,FALSE),VLOOKUP($A252,'NonXtal_SegEnds_Prot#'!$A:$AL,22,FALSE)+8,1)</f>
        <v>V</v>
      </c>
      <c r="Z252" s="102" t="str">
        <f>MID(VLOOKUP($A252,Seqs!$A:$B,2,FALSE),VLOOKUP($A252,'NonXtal_SegEnds_Prot#'!$A:$AL,22,FALSE)+9,1)</f>
        <v>P</v>
      </c>
      <c r="AA252" s="102" t="str">
        <f>MID(VLOOKUP($A252,Seqs!$A:$B,2,FALSE),VLOOKUP($A252,'NonXtal_SegEnds_Prot#'!$A:$AL,22,FALSE)+10,1)</f>
        <v>Y</v>
      </c>
      <c r="AB252" s="71" t="str">
        <f>MID(VLOOKUP($A252,Seqs!$A:$B,2,FALSE),VLOOKUP($A252,'NonXtal_SegEnds_Prot#'!$A:$AL,28,FALSE)-4,1)</f>
        <v>A</v>
      </c>
      <c r="AC252" s="102" t="str">
        <f>MID(VLOOKUP($A252,Seqs!$A:$B,2,FALSE),VLOOKUP($A252,'NonXtal_SegEnds_Prot#'!$A:$AL,28,FALSE),1)</f>
        <v>P</v>
      </c>
    </row>
    <row r="253" spans="1:29" s="2" customFormat="1" x14ac:dyDescent="0.2">
      <c r="A253" s="2" t="s">
        <v>555</v>
      </c>
      <c r="B253" s="2" t="str">
        <f>LOWER(VLOOKUP(A253,Xtal_Templ!A:B,2,FALSE))</f>
        <v>aa2ar_human</v>
      </c>
      <c r="C253" s="2" t="str">
        <f>VLOOKUP(A253,Classification!A:D,2,FALSE)</f>
        <v>A</v>
      </c>
      <c r="P253" s="4" t="s">
        <v>51</v>
      </c>
      <c r="R253" s="71" t="str">
        <f>MID(VLOOKUP($A253,Seqs!$A:$B,2,FALSE),VLOOKUP($A253,'NonXtal_SegEnds_Prot#'!A:AL,10,FALSE),1)</f>
        <v>D</v>
      </c>
      <c r="S253" s="102" t="str">
        <f>MID(VLOOKUP($A253,Seqs!$A:$B,2,FALSE),VLOOKUP($A253,'NonXtal_SegEnds_Prot#'!A:AL,10,FALSE)+6,1)</f>
        <v>I</v>
      </c>
      <c r="T253" s="102" t="str">
        <f>MID(VLOOKUP($A253,Seqs!$A:$B,2,FALSE),VLOOKUP($A253,'NonXtal_SegEnds_Prot#'!A:AL,10,FALSE)+7,1)</f>
        <v>P</v>
      </c>
      <c r="U253" s="102" t="str">
        <f>MID(VLOOKUP($A253,Seqs!$A:$B,2,FALSE),VLOOKUP($A253,'NonXtal_SegEnds_Prot#'!A:AL,10,FALSE)+8,1)</f>
        <v>G</v>
      </c>
      <c r="V253" s="102" t="str">
        <f>MID(VLOOKUP($A253,Seqs!$A:$B,2,FALSE),VLOOKUP($A253,'NonXtal_SegEnds_Prot#'!A:AL,10,FALSE)+9,1)</f>
        <v>A</v>
      </c>
      <c r="W253" s="71" t="str">
        <f>MID(VLOOKUP($A253,Seqs!$A:$B,2,FALSE),VLOOKUP($A253,'NonXtal_SegEnds_Prot#'!$A:$AL,22,FALSE)+6,1)</f>
        <v>V</v>
      </c>
      <c r="X253" s="102" t="str">
        <f>MID(VLOOKUP($A253,Seqs!$A:$B,2,FALSE),VLOOKUP($A253,'NonXtal_SegEnds_Prot#'!$A:$AL,22,FALSE)+7,1)</f>
        <v>A</v>
      </c>
      <c r="Y253" s="102" t="str">
        <f>MID(VLOOKUP($A253,Seqs!$A:$B,2,FALSE),VLOOKUP($A253,'NonXtal_SegEnds_Prot#'!$A:$AL,22,FALSE)+8,1)</f>
        <v>L</v>
      </c>
      <c r="Z253" s="102" t="str">
        <f>MID(VLOOKUP($A253,Seqs!$A:$B,2,FALSE),VLOOKUP($A253,'NonXtal_SegEnds_Prot#'!$A:$AL,22,FALSE)+9,1)</f>
        <v>L</v>
      </c>
      <c r="AA253" s="102" t="str">
        <f>MID(VLOOKUP($A253,Seqs!$A:$B,2,FALSE),VLOOKUP($A253,'NonXtal_SegEnds_Prot#'!$A:$AL,22,FALSE)+10,1)</f>
        <v>P</v>
      </c>
      <c r="AB253" s="71" t="str">
        <f>MID(VLOOKUP($A253,Seqs!$A:$B,2,FALSE),VLOOKUP($A253,'NonXtal_SegEnds_Prot#'!$A:$AL,28,FALSE)-4,1)</f>
        <v>L</v>
      </c>
      <c r="AC253" s="102" t="str">
        <f>MID(VLOOKUP($A253,Seqs!$A:$B,2,FALSE),VLOOKUP($A253,'NonXtal_SegEnds_Prot#'!$A:$AL,28,FALSE),1)</f>
        <v>L</v>
      </c>
    </row>
    <row r="254" spans="1:29" s="2" customFormat="1" x14ac:dyDescent="0.2">
      <c r="A254" s="2" t="s">
        <v>556</v>
      </c>
      <c r="B254" s="2" t="str">
        <f>LOWER(VLOOKUP(A254,Xtal_Templ!A:B,2,FALSE))</f>
        <v>ntr1_rat</v>
      </c>
      <c r="C254" s="2" t="str">
        <f>VLOOKUP(A254,Classification!A:D,2,FALSE)</f>
        <v>A</v>
      </c>
      <c r="E254" s="2" t="s">
        <v>20</v>
      </c>
      <c r="P254" s="4" t="s">
        <v>51</v>
      </c>
      <c r="R254" s="71" t="str">
        <f>MID(VLOOKUP($A254,Seqs!$A:$B,2,FALSE),VLOOKUP($A254,'NonXtal_SegEnds_Prot#'!A:AL,10,FALSE),1)</f>
        <v>D</v>
      </c>
      <c r="S254" s="102" t="str">
        <f>MID(VLOOKUP($A254,Seqs!$A:$B,2,FALSE),VLOOKUP($A254,'NonXtal_SegEnds_Prot#'!A:AL,10,FALSE)+6,1)</f>
        <v>L</v>
      </c>
      <c r="T254" s="102" t="str">
        <f>MID(VLOOKUP($A254,Seqs!$A:$B,2,FALSE),VLOOKUP($A254,'NonXtal_SegEnds_Prot#'!A:AL,10,FALSE)+7,1)</f>
        <v>I</v>
      </c>
      <c r="U254" s="102" t="str">
        <f>MID(VLOOKUP($A254,Seqs!$A:$B,2,FALSE),VLOOKUP($A254,'NonXtal_SegEnds_Prot#'!A:AL,10,FALSE)+8,1)</f>
        <v>S</v>
      </c>
      <c r="V254" s="102" t="str">
        <f>MID(VLOOKUP($A254,Seqs!$A:$B,2,FALSE),VLOOKUP($A254,'NonXtal_SegEnds_Prot#'!A:AL,10,FALSE)+9,1)</f>
        <v>P</v>
      </c>
      <c r="W254" s="71" t="str">
        <f>MID(VLOOKUP($A254,Seqs!$A:$B,2,FALSE),VLOOKUP($A254,'NonXtal_SegEnds_Prot#'!$A:$AL,22,FALSE)+6,1)</f>
        <v>F</v>
      </c>
      <c r="X254" s="102" t="str">
        <f>MID(VLOOKUP($A254,Seqs!$A:$B,2,FALSE),VLOOKUP($A254,'NonXtal_SegEnds_Prot#'!$A:$AL,22,FALSE)+7,1)</f>
        <v>C</v>
      </c>
      <c r="Y254" s="102" t="str">
        <f>MID(VLOOKUP($A254,Seqs!$A:$B,2,FALSE),VLOOKUP($A254,'NonXtal_SegEnds_Prot#'!$A:$AL,22,FALSE)+8,1)</f>
        <v>S</v>
      </c>
      <c r="Z254" s="102" t="str">
        <f>MID(VLOOKUP($A254,Seqs!$A:$B,2,FALSE),VLOOKUP($A254,'NonXtal_SegEnds_Prot#'!$A:$AL,22,FALSE)+9,1)</f>
        <v>L</v>
      </c>
      <c r="AA254" s="102" t="str">
        <f>MID(VLOOKUP($A254,Seqs!$A:$B,2,FALSE),VLOOKUP($A254,'NonXtal_SegEnds_Prot#'!$A:$AL,22,FALSE)+10,1)</f>
        <v>P</v>
      </c>
      <c r="AB254" s="71" t="str">
        <f>MID(VLOOKUP($A254,Seqs!$A:$B,2,FALSE),VLOOKUP($A254,'NonXtal_SegEnds_Prot#'!$A:$AL,28,FALSE)-4,1)</f>
        <v>L</v>
      </c>
      <c r="AC254" s="102" t="str">
        <f>MID(VLOOKUP($A254,Seqs!$A:$B,2,FALSE),VLOOKUP($A254,'NonXtal_SegEnds_Prot#'!$A:$AL,28,FALSE),1)</f>
        <v>V</v>
      </c>
    </row>
    <row r="255" spans="1:29" s="2" customFormat="1" x14ac:dyDescent="0.2">
      <c r="A255" s="2" t="s">
        <v>557</v>
      </c>
      <c r="B255" s="2" t="str">
        <f>LOWER(VLOOKUP(A255,Xtal_Templ!A:B,2,FALSE))</f>
        <v>s1pr1_human</v>
      </c>
      <c r="C255" s="2" t="str">
        <f>VLOOKUP(A255,Classification!A:D,2,FALSE)</f>
        <v>A</v>
      </c>
      <c r="E255" s="2" t="s">
        <v>20</v>
      </c>
      <c r="P255" s="4" t="s">
        <v>51</v>
      </c>
      <c r="R255" s="71" t="str">
        <f>MID(VLOOKUP($A255,Seqs!$A:$B,2,FALSE),VLOOKUP($A255,'NonXtal_SegEnds_Prot#'!A:AL,10,FALSE),1)</f>
        <v>D</v>
      </c>
      <c r="S255" s="102" t="str">
        <f>MID(VLOOKUP($A255,Seqs!$A:$B,2,FALSE),VLOOKUP($A255,'NonXtal_SegEnds_Prot#'!A:AL,10,FALSE)+6,1)</f>
        <v>L</v>
      </c>
      <c r="T255" s="102" t="str">
        <f>MID(VLOOKUP($A255,Seqs!$A:$B,2,FALSE),VLOOKUP($A255,'NonXtal_SegEnds_Prot#'!A:AL,10,FALSE)+7,1)</f>
        <v>T</v>
      </c>
      <c r="U255" s="102" t="str">
        <f>MID(VLOOKUP($A255,Seqs!$A:$B,2,FALSE),VLOOKUP($A255,'NonXtal_SegEnds_Prot#'!A:AL,10,FALSE)+8,1)</f>
        <v>T</v>
      </c>
      <c r="V255" s="102" t="str">
        <f>MID(VLOOKUP($A255,Seqs!$A:$B,2,FALSE),VLOOKUP($A255,'NonXtal_SegEnds_Prot#'!A:AL,10,FALSE)+9,1)</f>
        <v>P</v>
      </c>
      <c r="W255" s="71" t="str">
        <f>MID(VLOOKUP($A255,Seqs!$A:$B,2,FALSE),VLOOKUP($A255,'NonXtal_SegEnds_Prot#'!$A:$AL,22,FALSE)+6,1)</f>
        <v>F</v>
      </c>
      <c r="X255" s="102" t="str">
        <f>MID(VLOOKUP($A255,Seqs!$A:$B,2,FALSE),VLOOKUP($A255,'NonXtal_SegEnds_Prot#'!$A:$AL,22,FALSE)+7,1)</f>
        <v>A</v>
      </c>
      <c r="Y255" s="102" t="str">
        <f>MID(VLOOKUP($A255,Seqs!$A:$B,2,FALSE),VLOOKUP($A255,'NonXtal_SegEnds_Prot#'!$A:$AL,22,FALSE)+8,1)</f>
        <v>L</v>
      </c>
      <c r="Z255" s="102" t="str">
        <f>MID(VLOOKUP($A255,Seqs!$A:$B,2,FALSE),VLOOKUP($A255,'NonXtal_SegEnds_Prot#'!$A:$AL,22,FALSE)+9,1)</f>
        <v>L</v>
      </c>
      <c r="AA255" s="102" t="str">
        <f>MID(VLOOKUP($A255,Seqs!$A:$B,2,FALSE),VLOOKUP($A255,'NonXtal_SegEnds_Prot#'!$A:$AL,22,FALSE)+10,1)</f>
        <v>P</v>
      </c>
      <c r="AB255" s="71" t="str">
        <f>MID(VLOOKUP($A255,Seqs!$A:$B,2,FALSE),VLOOKUP($A255,'NonXtal_SegEnds_Prot#'!$A:$AL,28,FALSE)-4,1)</f>
        <v>L</v>
      </c>
      <c r="AC255" s="102" t="str">
        <f>MID(VLOOKUP($A255,Seqs!$A:$B,2,FALSE),VLOOKUP($A255,'NonXtal_SegEnds_Prot#'!$A:$AL,28,FALSE),1)</f>
        <v>T</v>
      </c>
    </row>
    <row r="256" spans="1:29" s="2" customFormat="1" x14ac:dyDescent="0.2">
      <c r="A256" s="2" t="s">
        <v>558</v>
      </c>
      <c r="B256" s="2" t="str">
        <f>LOWER(VLOOKUP(A256,Xtal_Templ!A:B,2,FALSE))</f>
        <v>p2y12_human</v>
      </c>
      <c r="C256" s="2" t="str">
        <f>VLOOKUP(A256,Classification!A:D,2,FALSE)</f>
        <v>A</v>
      </c>
      <c r="E256" s="2" t="s">
        <v>20</v>
      </c>
      <c r="P256" s="4" t="s">
        <v>51</v>
      </c>
      <c r="R256" s="71" t="str">
        <f>MID(VLOOKUP($A256,Seqs!$A:$B,2,FALSE),VLOOKUP($A256,'NonXtal_SegEnds_Prot#'!A:AL,10,FALSE),1)</f>
        <v>D</v>
      </c>
      <c r="S256" s="102" t="str">
        <f>MID(VLOOKUP($A256,Seqs!$A:$B,2,FALSE),VLOOKUP($A256,'NonXtal_SegEnds_Prot#'!A:AL,10,FALSE)+6,1)</f>
        <v>L</v>
      </c>
      <c r="T256" s="102" t="str">
        <f>MID(VLOOKUP($A256,Seqs!$A:$B,2,FALSE),VLOOKUP($A256,'NonXtal_SegEnds_Prot#'!A:AL,10,FALSE)+7,1)</f>
        <v>V</v>
      </c>
      <c r="U256" s="102" t="str">
        <f>MID(VLOOKUP($A256,Seqs!$A:$B,2,FALSE),VLOOKUP($A256,'NonXtal_SegEnds_Prot#'!A:AL,10,FALSE)+8,1)</f>
        <v>S</v>
      </c>
      <c r="V256" s="102" t="str">
        <f>MID(VLOOKUP($A256,Seqs!$A:$B,2,FALSE),VLOOKUP($A256,'NonXtal_SegEnds_Prot#'!A:AL,10,FALSE)+9,1)</f>
        <v>P</v>
      </c>
      <c r="W256" s="71" t="str">
        <f>MID(VLOOKUP($A256,Seqs!$A:$B,2,FALSE),VLOOKUP($A256,'NonXtal_SegEnds_Prot#'!$A:$AL,22,FALSE)+6,1)</f>
        <v>F</v>
      </c>
      <c r="X256" s="102" t="str">
        <f>MID(VLOOKUP($A256,Seqs!$A:$B,2,FALSE),VLOOKUP($A256,'NonXtal_SegEnds_Prot#'!$A:$AL,22,FALSE)+7,1)</f>
        <v>C</v>
      </c>
      <c r="Y256" s="102" t="str">
        <f>MID(VLOOKUP($A256,Seqs!$A:$B,2,FALSE),VLOOKUP($A256,'NonXtal_SegEnds_Prot#'!$A:$AL,22,FALSE)+8,1)</f>
        <v>A</v>
      </c>
      <c r="Z256" s="102" t="str">
        <f>MID(VLOOKUP($A256,Seqs!$A:$B,2,FALSE),VLOOKUP($A256,'NonXtal_SegEnds_Prot#'!$A:$AL,22,FALSE)+9,1)</f>
        <v>L</v>
      </c>
      <c r="AA256" s="102" t="str">
        <f>MID(VLOOKUP($A256,Seqs!$A:$B,2,FALSE),VLOOKUP($A256,'NonXtal_SegEnds_Prot#'!$A:$AL,22,FALSE)+10,1)</f>
        <v>P</v>
      </c>
      <c r="AB256" s="71" t="str">
        <f>MID(VLOOKUP($A256,Seqs!$A:$B,2,FALSE),VLOOKUP($A256,'NonXtal_SegEnds_Prot#'!$A:$AL,28,FALSE)-4,1)</f>
        <v>S</v>
      </c>
      <c r="AC256" s="102" t="str">
        <f>MID(VLOOKUP($A256,Seqs!$A:$B,2,FALSE),VLOOKUP($A256,'NonXtal_SegEnds_Prot#'!$A:$AL,28,FALSE),1)</f>
        <v>L</v>
      </c>
    </row>
    <row r="257" spans="1:29" s="2" customFormat="1" x14ac:dyDescent="0.2">
      <c r="A257" s="2" t="s">
        <v>559</v>
      </c>
      <c r="B257" s="2" t="str">
        <f>LOWER(VLOOKUP(A257,Xtal_Templ!A:B,2,FALSE))</f>
        <v>p2y12_human</v>
      </c>
      <c r="C257" s="2" t="str">
        <f>VLOOKUP(A257,Classification!A:D,2,FALSE)</f>
        <v>A</v>
      </c>
      <c r="P257" s="4" t="s">
        <v>51</v>
      </c>
      <c r="R257" s="71" t="str">
        <f>MID(VLOOKUP($A257,Seqs!$A:$B,2,FALSE),VLOOKUP($A257,'NonXtal_SegEnds_Prot#'!A:AL,10,FALSE),1)</f>
        <v>D</v>
      </c>
      <c r="S257" s="102" t="str">
        <f>MID(VLOOKUP($A257,Seqs!$A:$B,2,FALSE),VLOOKUP($A257,'NonXtal_SegEnds_Prot#'!A:AL,10,FALSE)+6,1)</f>
        <v>I</v>
      </c>
      <c r="T257" s="102" t="str">
        <f>MID(VLOOKUP($A257,Seqs!$A:$B,2,FALSE),VLOOKUP($A257,'NonXtal_SegEnds_Prot#'!A:AL,10,FALSE)+7,1)</f>
        <v>N</v>
      </c>
      <c r="U257" s="102" t="str">
        <f>MID(VLOOKUP($A257,Seqs!$A:$B,2,FALSE),VLOOKUP($A257,'NonXtal_SegEnds_Prot#'!A:AL,10,FALSE)+8,1)</f>
        <v>G</v>
      </c>
      <c r="V257" s="102" t="str">
        <f>MID(VLOOKUP($A257,Seqs!$A:$B,2,FALSE),VLOOKUP($A257,'NonXtal_SegEnds_Prot#'!A:AL,10,FALSE)+9,1)</f>
        <v>A</v>
      </c>
      <c r="W257" s="71" t="str">
        <f>MID(VLOOKUP($A257,Seqs!$A:$B,2,FALSE),VLOOKUP($A257,'NonXtal_SegEnds_Prot#'!$A:$AL,22,FALSE)+6,1)</f>
        <v>I</v>
      </c>
      <c r="X257" s="102" t="str">
        <f>MID(VLOOKUP($A257,Seqs!$A:$B,2,FALSE),VLOOKUP($A257,'NonXtal_SegEnds_Prot#'!$A:$AL,22,FALSE)+7,1)</f>
        <v>A</v>
      </c>
      <c r="Y257" s="102" t="str">
        <f>MID(VLOOKUP($A257,Seqs!$A:$B,2,FALSE),VLOOKUP($A257,'NonXtal_SegEnds_Prot#'!$A:$AL,22,FALSE)+8,1)</f>
        <v>L</v>
      </c>
      <c r="Z257" s="102" t="str">
        <f>MID(VLOOKUP($A257,Seqs!$A:$B,2,FALSE),VLOOKUP($A257,'NonXtal_SegEnds_Prot#'!$A:$AL,22,FALSE)+9,1)</f>
        <v>L</v>
      </c>
      <c r="AA257" s="102" t="str">
        <f>MID(VLOOKUP($A257,Seqs!$A:$B,2,FALSE),VLOOKUP($A257,'NonXtal_SegEnds_Prot#'!$A:$AL,22,FALSE)+10,1)</f>
        <v>P</v>
      </c>
      <c r="AB257" s="71" t="str">
        <f>MID(VLOOKUP($A257,Seqs!$A:$B,2,FALSE),VLOOKUP($A257,'NonXtal_SegEnds_Prot#'!$A:$AL,28,FALSE)-4,1)</f>
        <v>L</v>
      </c>
      <c r="AC257" s="102" t="str">
        <f>MID(VLOOKUP($A257,Seqs!$A:$B,2,FALSE),VLOOKUP($A257,'NonXtal_SegEnds_Prot#'!$A:$AL,28,FALSE),1)</f>
        <v>G</v>
      </c>
    </row>
    <row r="258" spans="1:29" s="2" customFormat="1" x14ac:dyDescent="0.2">
      <c r="A258" s="2" t="s">
        <v>560</v>
      </c>
      <c r="B258" s="2" t="str">
        <f>LOWER(VLOOKUP(A258,Xtal_Templ!A:B,2,FALSE))</f>
        <v>drd3_human</v>
      </c>
      <c r="C258" s="2" t="str">
        <f>VLOOKUP(A258,Classification!A:D,2,FALSE)</f>
        <v>A</v>
      </c>
      <c r="E258" s="2" t="s">
        <v>20</v>
      </c>
      <c r="P258" s="4" t="s">
        <v>51</v>
      </c>
      <c r="R258" s="71" t="str">
        <f>MID(VLOOKUP($A258,Seqs!$A:$B,2,FALSE),VLOOKUP($A258,'NonXtal_SegEnds_Prot#'!A:AL,10,FALSE),1)</f>
        <v>D</v>
      </c>
      <c r="S258" s="102" t="str">
        <f>MID(VLOOKUP($A258,Seqs!$A:$B,2,FALSE),VLOOKUP($A258,'NonXtal_SegEnds_Prot#'!A:AL,10,FALSE)+6,1)</f>
        <v>F</v>
      </c>
      <c r="T258" s="102" t="str">
        <f>MID(VLOOKUP($A258,Seqs!$A:$B,2,FALSE),VLOOKUP($A258,'NonXtal_SegEnds_Prot#'!A:AL,10,FALSE)+7,1)</f>
        <v>L</v>
      </c>
      <c r="U258" s="102" t="str">
        <f>MID(VLOOKUP($A258,Seqs!$A:$B,2,FALSE),VLOOKUP($A258,'NonXtal_SegEnds_Prot#'!A:AL,10,FALSE)+8,1)</f>
        <v>S</v>
      </c>
      <c r="V258" s="102" t="str">
        <f>MID(VLOOKUP($A258,Seqs!$A:$B,2,FALSE),VLOOKUP($A258,'NonXtal_SegEnds_Prot#'!A:AL,10,FALSE)+9,1)</f>
        <v>P</v>
      </c>
      <c r="W258" s="71" t="str">
        <f>MID(VLOOKUP($A258,Seqs!$A:$B,2,FALSE),VLOOKUP($A258,'NonXtal_SegEnds_Prot#'!$A:$AL,22,FALSE)+6,1)</f>
        <v>F</v>
      </c>
      <c r="X258" s="102" t="str">
        <f>MID(VLOOKUP($A258,Seqs!$A:$B,2,FALSE),VLOOKUP($A258,'NonXtal_SegEnds_Prot#'!$A:$AL,22,FALSE)+7,1)</f>
        <v>C</v>
      </c>
      <c r="Y258" s="102" t="str">
        <f>MID(VLOOKUP($A258,Seqs!$A:$B,2,FALSE),VLOOKUP($A258,'NonXtal_SegEnds_Prot#'!$A:$AL,22,FALSE)+8,1)</f>
        <v>A</v>
      </c>
      <c r="Z258" s="102" t="str">
        <f>MID(VLOOKUP($A258,Seqs!$A:$B,2,FALSE),VLOOKUP($A258,'NonXtal_SegEnds_Prot#'!$A:$AL,22,FALSE)+9,1)</f>
        <v>L</v>
      </c>
      <c r="AA258" s="102" t="str">
        <f>MID(VLOOKUP($A258,Seqs!$A:$B,2,FALSE),VLOOKUP($A258,'NonXtal_SegEnds_Prot#'!$A:$AL,22,FALSE)+10,1)</f>
        <v>P</v>
      </c>
      <c r="AB258" s="71" t="str">
        <f>MID(VLOOKUP($A258,Seqs!$A:$B,2,FALSE),VLOOKUP($A258,'NonXtal_SegEnds_Prot#'!$A:$AL,28,FALSE)-4,1)</f>
        <v>A</v>
      </c>
      <c r="AC258" s="102" t="str">
        <f>MID(VLOOKUP($A258,Seqs!$A:$B,2,FALSE),VLOOKUP($A258,'NonXtal_SegEnds_Prot#'!$A:$AL,28,FALSE),1)</f>
        <v>A</v>
      </c>
    </row>
    <row r="259" spans="1:29" s="2" customFormat="1" x14ac:dyDescent="0.2">
      <c r="A259" s="2" t="s">
        <v>561</v>
      </c>
      <c r="B259" s="2" t="str">
        <f>LOWER(VLOOKUP(A259,Xtal_Templ!A:B,2,FALSE))</f>
        <v>ox2r_human</v>
      </c>
      <c r="C259" s="2" t="str">
        <f>VLOOKUP(A259,Classification!A:D,2,FALSE)</f>
        <v>A</v>
      </c>
      <c r="E259" s="2" t="s">
        <v>20</v>
      </c>
      <c r="K259" s="2" t="s">
        <v>59</v>
      </c>
      <c r="N259" s="2" t="s">
        <v>43</v>
      </c>
      <c r="P259" s="4" t="s">
        <v>51</v>
      </c>
      <c r="R259" s="71" t="str">
        <f>MID(VLOOKUP($A259,Seqs!$A:$B,2,FALSE),VLOOKUP($A259,'NonXtal_SegEnds_Prot#'!A:AL,10,FALSE),1)</f>
        <v>D</v>
      </c>
      <c r="S259" s="102" t="str">
        <f>MID(VLOOKUP($A259,Seqs!$A:$B,2,FALSE),VLOOKUP($A259,'NonXtal_SegEnds_Prot#'!A:AL,10,FALSE)+6,1)</f>
        <v>V</v>
      </c>
      <c r="T259" s="102" t="str">
        <f>MID(VLOOKUP($A259,Seqs!$A:$B,2,FALSE),VLOOKUP($A259,'NonXtal_SegEnds_Prot#'!A:AL,10,FALSE)+7,1)</f>
        <v>C</v>
      </c>
      <c r="U259" s="102" t="str">
        <f>MID(VLOOKUP($A259,Seqs!$A:$B,2,FALSE),VLOOKUP($A259,'NonXtal_SegEnds_Prot#'!A:AL,10,FALSE)+8,1)</f>
        <v>C</v>
      </c>
      <c r="V259" s="102" t="str">
        <f>MID(VLOOKUP($A259,Seqs!$A:$B,2,FALSE),VLOOKUP($A259,'NonXtal_SegEnds_Prot#'!A:AL,10,FALSE)+9,1)</f>
        <v>P</v>
      </c>
      <c r="W259" s="71" t="str">
        <f>MID(VLOOKUP($A259,Seqs!$A:$B,2,FALSE),VLOOKUP($A259,'NonXtal_SegEnds_Prot#'!$A:$AL,22,FALSE)+6,1)</f>
        <v>I</v>
      </c>
      <c r="X259" s="102" t="str">
        <f>MID(VLOOKUP($A259,Seqs!$A:$B,2,FALSE),VLOOKUP($A259,'NonXtal_SegEnds_Prot#'!$A:$AL,22,FALSE)+7,1)</f>
        <v>A</v>
      </c>
      <c r="Y259" s="102" t="str">
        <f>MID(VLOOKUP($A259,Seqs!$A:$B,2,FALSE),VLOOKUP($A259,'NonXtal_SegEnds_Prot#'!$A:$AL,22,FALSE)+8,1)</f>
        <v>I</v>
      </c>
      <c r="Z259" s="102" t="str">
        <f>MID(VLOOKUP($A259,Seqs!$A:$B,2,FALSE),VLOOKUP($A259,'NonXtal_SegEnds_Prot#'!$A:$AL,22,FALSE)+9,1)</f>
        <v>P</v>
      </c>
      <c r="AA259" s="102" t="str">
        <f>MID(VLOOKUP($A259,Seqs!$A:$B,2,FALSE),VLOOKUP($A259,'NonXtal_SegEnds_Prot#'!$A:$AL,22,FALSE)+10,1)</f>
        <v>S</v>
      </c>
      <c r="AB259" s="71" t="str">
        <f>MID(VLOOKUP($A259,Seqs!$A:$B,2,FALSE),VLOOKUP($A259,'NonXtal_SegEnds_Prot#'!$A:$AL,28,FALSE)-4,1)</f>
        <v>E</v>
      </c>
      <c r="AC259" s="102" t="str">
        <f>MID(VLOOKUP($A259,Seqs!$A:$B,2,FALSE),VLOOKUP($A259,'NonXtal_SegEnds_Prot#'!$A:$AL,28,FALSE),1)</f>
        <v>P</v>
      </c>
    </row>
    <row r="260" spans="1:29" s="2" customFormat="1" x14ac:dyDescent="0.2">
      <c r="A260" s="2" t="s">
        <v>562</v>
      </c>
      <c r="B260" s="2" t="str">
        <f>LOWER(VLOOKUP(A260,Xtal_Templ!A:B,2,FALSE))</f>
        <v>ox2r_human</v>
      </c>
      <c r="C260" s="2" t="str">
        <f>VLOOKUP(A260,Classification!A:D,2,FALSE)</f>
        <v>A</v>
      </c>
      <c r="E260" s="2" t="s">
        <v>20</v>
      </c>
      <c r="K260" s="2" t="s">
        <v>59</v>
      </c>
      <c r="N260" s="2" t="s">
        <v>43</v>
      </c>
      <c r="P260" s="4" t="s">
        <v>51</v>
      </c>
      <c r="R260" s="71" t="str">
        <f>MID(VLOOKUP($A260,Seqs!$A:$B,2,FALSE),VLOOKUP($A260,'NonXtal_SegEnds_Prot#'!A:AL,10,FALSE),1)</f>
        <v>D</v>
      </c>
      <c r="S260" s="102" t="str">
        <f>MID(VLOOKUP($A260,Seqs!$A:$B,2,FALSE),VLOOKUP($A260,'NonXtal_SegEnds_Prot#'!A:AL,10,FALSE)+6,1)</f>
        <v>I</v>
      </c>
      <c r="T260" s="102" t="str">
        <f>MID(VLOOKUP($A260,Seqs!$A:$B,2,FALSE),VLOOKUP($A260,'NonXtal_SegEnds_Prot#'!A:AL,10,FALSE)+7,1)</f>
        <v>C</v>
      </c>
      <c r="U260" s="102" t="str">
        <f>MID(VLOOKUP($A260,Seqs!$A:$B,2,FALSE),VLOOKUP($A260,'NonXtal_SegEnds_Prot#'!A:AL,10,FALSE)+8,1)</f>
        <v>C</v>
      </c>
      <c r="V260" s="102" t="str">
        <f>MID(VLOOKUP($A260,Seqs!$A:$B,2,FALSE),VLOOKUP($A260,'NonXtal_SegEnds_Prot#'!A:AL,10,FALSE)+9,1)</f>
        <v>P</v>
      </c>
      <c r="W260" s="71" t="str">
        <f>MID(VLOOKUP($A260,Seqs!$A:$B,2,FALSE),VLOOKUP($A260,'NonXtal_SegEnds_Prot#'!$A:$AL,22,FALSE)+6,1)</f>
        <v>I</v>
      </c>
      <c r="X260" s="102" t="str">
        <f>MID(VLOOKUP($A260,Seqs!$A:$B,2,FALSE),VLOOKUP($A260,'NonXtal_SegEnds_Prot#'!$A:$AL,22,FALSE)+7,1)</f>
        <v>A</v>
      </c>
      <c r="Y260" s="102" t="str">
        <f>MID(VLOOKUP($A260,Seqs!$A:$B,2,FALSE),VLOOKUP($A260,'NonXtal_SegEnds_Prot#'!$A:$AL,22,FALSE)+8,1)</f>
        <v>I</v>
      </c>
      <c r="Z260" s="102" t="str">
        <f>MID(VLOOKUP($A260,Seqs!$A:$B,2,FALSE),VLOOKUP($A260,'NonXtal_SegEnds_Prot#'!$A:$AL,22,FALSE)+9,1)</f>
        <v>P</v>
      </c>
      <c r="AA260" s="102" t="str">
        <f>MID(VLOOKUP($A260,Seqs!$A:$B,2,FALSE),VLOOKUP($A260,'NonXtal_SegEnds_Prot#'!$A:$AL,22,FALSE)+10,1)</f>
        <v>S</v>
      </c>
      <c r="AB260" s="71" t="str">
        <f>MID(VLOOKUP($A260,Seqs!$A:$B,2,FALSE),VLOOKUP($A260,'NonXtal_SegEnds_Prot#'!$A:$AL,28,FALSE)-4,1)</f>
        <v>E</v>
      </c>
      <c r="AC260" s="102" t="str">
        <f>MID(VLOOKUP($A260,Seqs!$A:$B,2,FALSE),VLOOKUP($A260,'NonXtal_SegEnds_Prot#'!$A:$AL,28,FALSE),1)</f>
        <v>P</v>
      </c>
    </row>
    <row r="261" spans="1:29" s="2" customFormat="1" x14ac:dyDescent="0.2">
      <c r="A261" s="2" t="s">
        <v>563</v>
      </c>
      <c r="B261" s="2" t="str">
        <f>LOWER(VLOOKUP(A261,Xtal_Templ!A:B,2,FALSE))</f>
        <v>ox2r_human</v>
      </c>
      <c r="C261" s="2" t="str">
        <f>VLOOKUP(A261,Classification!A:D,2,FALSE)</f>
        <v>A</v>
      </c>
      <c r="E261" s="2" t="s">
        <v>20</v>
      </c>
      <c r="K261" s="2" t="s">
        <v>59</v>
      </c>
      <c r="N261" s="2" t="s">
        <v>43</v>
      </c>
      <c r="P261" s="4" t="s">
        <v>51</v>
      </c>
      <c r="R261" s="71" t="str">
        <f>MID(VLOOKUP($A261,Seqs!$A:$B,2,FALSE),VLOOKUP($A261,'NonXtal_SegEnds_Prot#'!A:AL,10,FALSE),1)</f>
        <v>D</v>
      </c>
      <c r="S261" s="102" t="str">
        <f>MID(VLOOKUP($A261,Seqs!$A:$B,2,FALSE),VLOOKUP($A261,'NonXtal_SegEnds_Prot#'!A:AL,10,FALSE)+6,1)</f>
        <v>A</v>
      </c>
      <c r="T261" s="102" t="str">
        <f>MID(VLOOKUP($A261,Seqs!$A:$B,2,FALSE),VLOOKUP($A261,'NonXtal_SegEnds_Prot#'!A:AL,10,FALSE)+7,1)</f>
        <v>C</v>
      </c>
      <c r="U261" s="102" t="str">
        <f>MID(VLOOKUP($A261,Seqs!$A:$B,2,FALSE),VLOOKUP($A261,'NonXtal_SegEnds_Prot#'!A:AL,10,FALSE)+8,1)</f>
        <v>V</v>
      </c>
      <c r="V261" s="102" t="str">
        <f>MID(VLOOKUP($A261,Seqs!$A:$B,2,FALSE),VLOOKUP($A261,'NonXtal_SegEnds_Prot#'!A:AL,10,FALSE)+9,1)</f>
        <v>P</v>
      </c>
      <c r="W261" s="71" t="str">
        <f>MID(VLOOKUP($A261,Seqs!$A:$B,2,FALSE),VLOOKUP($A261,'NonXtal_SegEnds_Prot#'!$A:$AL,22,FALSE)+6,1)</f>
        <v>L</v>
      </c>
      <c r="X261" s="102" t="str">
        <f>MID(VLOOKUP($A261,Seqs!$A:$B,2,FALSE),VLOOKUP($A261,'NonXtal_SegEnds_Prot#'!$A:$AL,22,FALSE)+7,1)</f>
        <v>A</v>
      </c>
      <c r="Y261" s="102" t="str">
        <f>MID(VLOOKUP($A261,Seqs!$A:$B,2,FALSE),VLOOKUP($A261,'NonXtal_SegEnds_Prot#'!$A:$AL,22,FALSE)+8,1)</f>
        <v>L</v>
      </c>
      <c r="Z261" s="102" t="str">
        <f>MID(VLOOKUP($A261,Seqs!$A:$B,2,FALSE),VLOOKUP($A261,'NonXtal_SegEnds_Prot#'!$A:$AL,22,FALSE)+9,1)</f>
        <v>P</v>
      </c>
      <c r="AA261" s="102" t="str">
        <f>MID(VLOOKUP($A261,Seqs!$A:$B,2,FALSE),VLOOKUP($A261,'NonXtal_SegEnds_Prot#'!$A:$AL,22,FALSE)+10,1)</f>
        <v>A</v>
      </c>
      <c r="AB261" s="71" t="str">
        <f>MID(VLOOKUP($A261,Seqs!$A:$B,2,FALSE),VLOOKUP($A261,'NonXtal_SegEnds_Prot#'!$A:$AL,28,FALSE)-4,1)</f>
        <v>T</v>
      </c>
      <c r="AC261" s="102" t="str">
        <f>MID(VLOOKUP($A261,Seqs!$A:$B,2,FALSE),VLOOKUP($A261,'NonXtal_SegEnds_Prot#'!$A:$AL,28,FALSE),1)</f>
        <v>P</v>
      </c>
    </row>
    <row r="262" spans="1:29" s="2" customFormat="1" x14ac:dyDescent="0.2">
      <c r="A262" s="2" t="s">
        <v>564</v>
      </c>
      <c r="B262" s="2" t="str">
        <f>LOWER(VLOOKUP(A262,Xtal_Templ!A:B,2,FALSE))</f>
        <v>p2ry1_human</v>
      </c>
      <c r="C262" s="2" t="str">
        <f>VLOOKUP(A262,Classification!A:D,2,FALSE)</f>
        <v>A</v>
      </c>
      <c r="N262" s="2" t="s">
        <v>43</v>
      </c>
      <c r="P262" s="4" t="s">
        <v>51</v>
      </c>
      <c r="R262" s="71" t="str">
        <f>MID(VLOOKUP($A262,Seqs!$A:$B,2,FALSE),VLOOKUP($A262,'NonXtal_SegEnds_Prot#'!A:AL,10,FALSE),1)</f>
        <v>D</v>
      </c>
      <c r="S262" s="102" t="str">
        <f>MID(VLOOKUP($A262,Seqs!$A:$B,2,FALSE),VLOOKUP($A262,'NonXtal_SegEnds_Prot#'!A:AL,10,FALSE)+6,1)</f>
        <v>T</v>
      </c>
      <c r="T262" s="102" t="str">
        <f>MID(VLOOKUP($A262,Seqs!$A:$B,2,FALSE),VLOOKUP($A262,'NonXtal_SegEnds_Prot#'!A:AL,10,FALSE)+7,1)</f>
        <v>L</v>
      </c>
      <c r="U262" s="102" t="str">
        <f>MID(VLOOKUP($A262,Seqs!$A:$B,2,FALSE),VLOOKUP($A262,'NonXtal_SegEnds_Prot#'!A:AL,10,FALSE)+8,1)</f>
        <v>P</v>
      </c>
      <c r="V262" s="102" t="str">
        <f>MID(VLOOKUP($A262,Seqs!$A:$B,2,FALSE),VLOOKUP($A262,'NonXtal_SegEnds_Prot#'!A:AL,10,FALSE)+9,1)</f>
        <v>L</v>
      </c>
      <c r="W262" s="71" t="str">
        <f>MID(VLOOKUP($A262,Seqs!$A:$B,2,FALSE),VLOOKUP($A262,'NonXtal_SegEnds_Prot#'!$A:$AL,22,FALSE)+6,1)</f>
        <v>F</v>
      </c>
      <c r="X262" s="102" t="str">
        <f>MID(VLOOKUP($A262,Seqs!$A:$B,2,FALSE),VLOOKUP($A262,'NonXtal_SegEnds_Prot#'!$A:$AL,22,FALSE)+7,1)</f>
        <v>N</v>
      </c>
      <c r="Y262" s="102" t="str">
        <f>MID(VLOOKUP($A262,Seqs!$A:$B,2,FALSE),VLOOKUP($A262,'NonXtal_SegEnds_Prot#'!$A:$AL,22,FALSE)+8,1)</f>
        <v>A</v>
      </c>
      <c r="Z262" s="102" t="str">
        <f>MID(VLOOKUP($A262,Seqs!$A:$B,2,FALSE),VLOOKUP($A262,'NonXtal_SegEnds_Prot#'!$A:$AL,22,FALSE)+9,1)</f>
        <v>V</v>
      </c>
      <c r="AA262" s="102" t="str">
        <f>MID(VLOOKUP($A262,Seqs!$A:$B,2,FALSE),VLOOKUP($A262,'NonXtal_SegEnds_Prot#'!$A:$AL,22,FALSE)+10,1)</f>
        <v>M</v>
      </c>
      <c r="AB262" s="71" t="str">
        <f>MID(VLOOKUP($A262,Seqs!$A:$B,2,FALSE),VLOOKUP($A262,'NonXtal_SegEnds_Prot#'!$A:$AL,28,FALSE)-4,1)</f>
        <v>G</v>
      </c>
      <c r="AC262" s="102" t="str">
        <f>MID(VLOOKUP($A262,Seqs!$A:$B,2,FALSE),VLOOKUP($A262,'NonXtal_SegEnds_Prot#'!$A:$AL,28,FALSE),1)</f>
        <v>P</v>
      </c>
    </row>
    <row r="263" spans="1:29" s="2" customFormat="1" x14ac:dyDescent="0.2">
      <c r="A263" s="2" t="s">
        <v>565</v>
      </c>
      <c r="B263" s="2" t="str">
        <f>LOWER(VLOOKUP(A263,Xtal_Templ!A:B,2,FALSE))</f>
        <v>p2y12_human</v>
      </c>
      <c r="C263" s="2" t="str">
        <f>VLOOKUP(A263,Classification!A:D,2,FALSE)</f>
        <v>A</v>
      </c>
      <c r="P263" s="4" t="s">
        <v>51</v>
      </c>
      <c r="R263" s="71" t="str">
        <f>MID(VLOOKUP($A263,Seqs!$A:$B,2,FALSE),VLOOKUP($A263,'NonXtal_SegEnds_Prot#'!A:AL,10,FALSE),1)</f>
        <v>D</v>
      </c>
      <c r="S263" s="102" t="str">
        <f>MID(VLOOKUP($A263,Seqs!$A:$B,2,FALSE),VLOOKUP($A263,'NonXtal_SegEnds_Prot#'!A:AL,10,FALSE)+6,1)</f>
        <v>T</v>
      </c>
      <c r="T263" s="102" t="str">
        <f>MID(VLOOKUP($A263,Seqs!$A:$B,2,FALSE),VLOOKUP($A263,'NonXtal_SegEnds_Prot#'!A:AL,10,FALSE)+7,1)</f>
        <v>L</v>
      </c>
      <c r="U263" s="102" t="str">
        <f>MID(VLOOKUP($A263,Seqs!$A:$B,2,FALSE),VLOOKUP($A263,'NonXtal_SegEnds_Prot#'!A:AL,10,FALSE)+8,1)</f>
        <v>P</v>
      </c>
      <c r="V263" s="102" t="str">
        <f>MID(VLOOKUP($A263,Seqs!$A:$B,2,FALSE),VLOOKUP($A263,'NonXtal_SegEnds_Prot#'!A:AL,10,FALSE)+9,1)</f>
        <v>L</v>
      </c>
      <c r="W263" s="71" t="str">
        <f>MID(VLOOKUP($A263,Seqs!$A:$B,2,FALSE),VLOOKUP($A263,'NonXtal_SegEnds_Prot#'!$A:$AL,22,FALSE)+6,1)</f>
        <v>A</v>
      </c>
      <c r="X263" s="102" t="str">
        <f>MID(VLOOKUP($A263,Seqs!$A:$B,2,FALSE),VLOOKUP($A263,'NonXtal_SegEnds_Prot#'!$A:$AL,22,FALSE)+7,1)</f>
        <v>A</v>
      </c>
      <c r="Y263" s="102" t="str">
        <f>MID(VLOOKUP($A263,Seqs!$A:$B,2,FALSE),VLOOKUP($A263,'NonXtal_SegEnds_Prot#'!$A:$AL,22,FALSE)+8,1)</f>
        <v>S</v>
      </c>
      <c r="Z263" s="102" t="str">
        <f>MID(VLOOKUP($A263,Seqs!$A:$B,2,FALSE),VLOOKUP($A263,'NonXtal_SegEnds_Prot#'!$A:$AL,22,FALSE)+9,1)</f>
        <v>Y</v>
      </c>
      <c r="AA263" s="102" t="str">
        <f>MID(VLOOKUP($A263,Seqs!$A:$B,2,FALSE),VLOOKUP($A263,'NonXtal_SegEnds_Prot#'!$A:$AL,22,FALSE)+10,1)</f>
        <v>F</v>
      </c>
      <c r="AB263" s="71" t="str">
        <f>MID(VLOOKUP($A263,Seqs!$A:$B,2,FALSE),VLOOKUP($A263,'NonXtal_SegEnds_Prot#'!$A:$AL,28,FALSE)-4,1)</f>
        <v>S</v>
      </c>
      <c r="AC263" s="102" t="str">
        <f>MID(VLOOKUP($A263,Seqs!$A:$B,2,FALSE),VLOOKUP($A263,'NonXtal_SegEnds_Prot#'!$A:$AL,28,FALSE),1)</f>
        <v>V</v>
      </c>
    </row>
    <row r="264" spans="1:29" s="2" customFormat="1" x14ac:dyDescent="0.2">
      <c r="A264" s="2" t="s">
        <v>566</v>
      </c>
      <c r="B264" s="2" t="str">
        <f>LOWER(VLOOKUP(A264,Xtal_Templ!A:B,2,FALSE))</f>
        <v>ox2r_human</v>
      </c>
      <c r="C264" s="2" t="str">
        <f>VLOOKUP(A264,Classification!A:D,2,FALSE)</f>
        <v>A</v>
      </c>
      <c r="E264" s="2" t="s">
        <v>20</v>
      </c>
      <c r="N264" s="2" t="s">
        <v>43</v>
      </c>
      <c r="P264" s="4" t="s">
        <v>51</v>
      </c>
      <c r="R264" s="71" t="str">
        <f>MID(VLOOKUP($A264,Seqs!$A:$B,2,FALSE),VLOOKUP($A264,'NonXtal_SegEnds_Prot#'!A:AL,10,FALSE),1)</f>
        <v>D</v>
      </c>
      <c r="S264" s="102" t="str">
        <f>MID(VLOOKUP($A264,Seqs!$A:$B,2,FALSE),VLOOKUP($A264,'NonXtal_SegEnds_Prot#'!A:AL,10,FALSE)+6,1)</f>
        <v>F</v>
      </c>
      <c r="T264" s="102" t="str">
        <f>MID(VLOOKUP($A264,Seqs!$A:$B,2,FALSE),VLOOKUP($A264,'NonXtal_SegEnds_Prot#'!A:AL,10,FALSE)+7,1)</f>
        <v>C</v>
      </c>
      <c r="U264" s="102" t="str">
        <f>MID(VLOOKUP($A264,Seqs!$A:$B,2,FALSE),VLOOKUP($A264,'NonXtal_SegEnds_Prot#'!A:AL,10,FALSE)+8,1)</f>
        <v>I</v>
      </c>
      <c r="V264" s="102" t="str">
        <f>MID(VLOOKUP($A264,Seqs!$A:$B,2,FALSE),VLOOKUP($A264,'NonXtal_SegEnds_Prot#'!A:AL,10,FALSE)+9,1)</f>
        <v>P</v>
      </c>
      <c r="W264" s="71" t="str">
        <f>MID(VLOOKUP($A264,Seqs!$A:$B,2,FALSE),VLOOKUP($A264,'NonXtal_SegEnds_Prot#'!$A:$AL,22,FALSE)+6,1)</f>
        <v>V</v>
      </c>
      <c r="X264" s="102" t="str">
        <f>MID(VLOOKUP($A264,Seqs!$A:$B,2,FALSE),VLOOKUP($A264,'NonXtal_SegEnds_Prot#'!$A:$AL,22,FALSE)+7,1)</f>
        <v>G</v>
      </c>
      <c r="Y264" s="102" t="str">
        <f>MID(VLOOKUP($A264,Seqs!$A:$B,2,FALSE),VLOOKUP($A264,'NonXtal_SegEnds_Prot#'!$A:$AL,22,FALSE)+8,1)</f>
        <v>S</v>
      </c>
      <c r="Z264" s="102" t="str">
        <f>MID(VLOOKUP($A264,Seqs!$A:$B,2,FALSE),VLOOKUP($A264,'NonXtal_SegEnds_Prot#'!$A:$AL,22,FALSE)+9,1)</f>
        <v>P</v>
      </c>
      <c r="AA264" s="102" t="str">
        <f>MID(VLOOKUP($A264,Seqs!$A:$B,2,FALSE),VLOOKUP($A264,'NonXtal_SegEnds_Prot#'!$A:$AL,22,FALSE)+10,1)</f>
        <v>M</v>
      </c>
      <c r="AB264" s="71" t="str">
        <f>MID(VLOOKUP($A264,Seqs!$A:$B,2,FALSE),VLOOKUP($A264,'NonXtal_SegEnds_Prot#'!$A:$AL,28,FALSE)-4,1)</f>
        <v>L</v>
      </c>
      <c r="AC264" s="102" t="str">
        <f>MID(VLOOKUP($A264,Seqs!$A:$B,2,FALSE),VLOOKUP($A264,'NonXtal_SegEnds_Prot#'!$A:$AL,28,FALSE),1)</f>
        <v>P</v>
      </c>
    </row>
    <row r="265" spans="1:29" s="2" customFormat="1" x14ac:dyDescent="0.2">
      <c r="A265" s="2" t="s">
        <v>567</v>
      </c>
      <c r="B265" s="2" t="str">
        <f>LOWER(VLOOKUP(A265,Xtal_Templ!A:B,2,FALSE))</f>
        <v>agtr1_human</v>
      </c>
      <c r="C265" s="2" t="str">
        <f>VLOOKUP(A265,Classification!A:D,2,FALSE)</f>
        <v>A</v>
      </c>
      <c r="K265" s="2" t="s">
        <v>59</v>
      </c>
      <c r="N265" s="2" t="s">
        <v>43</v>
      </c>
      <c r="P265" s="4" t="s">
        <v>51</v>
      </c>
      <c r="R265" s="71" t="str">
        <f>MID(VLOOKUP($A265,Seqs!$A:$B,2,FALSE),VLOOKUP($A265,'NonXtal_SegEnds_Prot#'!A:AL,10,FALSE),1)</f>
        <v>D</v>
      </c>
      <c r="S265" s="102" t="str">
        <f>MID(VLOOKUP($A265,Seqs!$A:$B,2,FALSE),VLOOKUP($A265,'NonXtal_SegEnds_Prot#'!A:AL,10,FALSE)+6,1)</f>
        <v>T</v>
      </c>
      <c r="T265" s="102" t="str">
        <f>MID(VLOOKUP($A265,Seqs!$A:$B,2,FALSE),VLOOKUP($A265,'NonXtal_SegEnds_Prot#'!A:AL,10,FALSE)+7,1)</f>
        <v>L</v>
      </c>
      <c r="U265" s="102" t="str">
        <f>MID(VLOOKUP($A265,Seqs!$A:$B,2,FALSE),VLOOKUP($A265,'NonXtal_SegEnds_Prot#'!A:AL,10,FALSE)+8,1)</f>
        <v>P</v>
      </c>
      <c r="V265" s="102" t="str">
        <f>MID(VLOOKUP($A265,Seqs!$A:$B,2,FALSE),VLOOKUP($A265,'NonXtal_SegEnds_Prot#'!A:AL,10,FALSE)+9,1)</f>
        <v>F</v>
      </c>
      <c r="W265" s="71" t="str">
        <f>MID(VLOOKUP($A265,Seqs!$A:$B,2,FALSE),VLOOKUP($A265,'NonXtal_SegEnds_Prot#'!$A:$AL,22,FALSE)+6,1)</f>
        <v>A</v>
      </c>
      <c r="X265" s="102" t="str">
        <f>MID(VLOOKUP($A265,Seqs!$A:$B,2,FALSE),VLOOKUP($A265,'NonXtal_SegEnds_Prot#'!$A:$AL,22,FALSE)+7,1)</f>
        <v>S</v>
      </c>
      <c r="Y265" s="102" t="str">
        <f>MID(VLOOKUP($A265,Seqs!$A:$B,2,FALSE),VLOOKUP($A265,'NonXtal_SegEnds_Prot#'!$A:$AL,22,FALSE)+8,1)</f>
        <v>L</v>
      </c>
      <c r="Z265" s="102" t="str">
        <f>MID(VLOOKUP($A265,Seqs!$A:$B,2,FALSE),VLOOKUP($A265,'NonXtal_SegEnds_Prot#'!$A:$AL,22,FALSE)+9,1)</f>
        <v>P</v>
      </c>
      <c r="AA265" s="102" t="str">
        <f>MID(VLOOKUP($A265,Seqs!$A:$B,2,FALSE),VLOOKUP($A265,'NonXtal_SegEnds_Prot#'!$A:$AL,22,FALSE)+10,1)</f>
        <v>S</v>
      </c>
      <c r="AB265" s="71" t="str">
        <f>MID(VLOOKUP($A265,Seqs!$A:$B,2,FALSE),VLOOKUP($A265,'NonXtal_SegEnds_Prot#'!$A:$AL,28,FALSE)-4,1)</f>
        <v>G</v>
      </c>
      <c r="AC265" s="102" t="str">
        <f>MID(VLOOKUP($A265,Seqs!$A:$B,2,FALSE),VLOOKUP($A265,'NonXtal_SegEnds_Prot#'!$A:$AL,28,FALSE),1)</f>
        <v>P</v>
      </c>
    </row>
    <row r="266" spans="1:29" s="2" customFormat="1" x14ac:dyDescent="0.2">
      <c r="A266" s="2" t="s">
        <v>568</v>
      </c>
      <c r="B266" s="2" t="str">
        <f>LOWER(VLOOKUP(A266,Xtal_Templ!A:B,2,FALSE))</f>
        <v>agtr1_human</v>
      </c>
      <c r="C266" s="2" t="str">
        <f>VLOOKUP(A266,Classification!A:D,2,FALSE)</f>
        <v>A</v>
      </c>
      <c r="K266" s="2" t="s">
        <v>59</v>
      </c>
      <c r="N266" s="2" t="s">
        <v>43</v>
      </c>
      <c r="P266" s="4" t="s">
        <v>51</v>
      </c>
      <c r="R266" s="71" t="str">
        <f>MID(VLOOKUP($A266,Seqs!$A:$B,2,FALSE),VLOOKUP($A266,'NonXtal_SegEnds_Prot#'!A:AL,10,FALSE),1)</f>
        <v>D</v>
      </c>
      <c r="S266" s="102" t="str">
        <f>MID(VLOOKUP($A266,Seqs!$A:$B,2,FALSE),VLOOKUP($A266,'NonXtal_SegEnds_Prot#'!A:AL,10,FALSE)+6,1)</f>
        <v>T</v>
      </c>
      <c r="T266" s="102" t="str">
        <f>MID(VLOOKUP($A266,Seqs!$A:$B,2,FALSE),VLOOKUP($A266,'NonXtal_SegEnds_Prot#'!A:AL,10,FALSE)+7,1)</f>
        <v>L</v>
      </c>
      <c r="U266" s="102" t="str">
        <f>MID(VLOOKUP($A266,Seqs!$A:$B,2,FALSE),VLOOKUP($A266,'NonXtal_SegEnds_Prot#'!A:AL,10,FALSE)+8,1)</f>
        <v>P</v>
      </c>
      <c r="V266" s="102" t="str">
        <f>MID(VLOOKUP($A266,Seqs!$A:$B,2,FALSE),VLOOKUP($A266,'NonXtal_SegEnds_Prot#'!A:AL,10,FALSE)+9,1)</f>
        <v>F</v>
      </c>
      <c r="W266" s="71" t="str">
        <f>MID(VLOOKUP($A266,Seqs!$A:$B,2,FALSE),VLOOKUP($A266,'NonXtal_SegEnds_Prot#'!$A:$AL,22,FALSE)+6,1)</f>
        <v>V</v>
      </c>
      <c r="X266" s="102" t="str">
        <f>MID(VLOOKUP($A266,Seqs!$A:$B,2,FALSE),VLOOKUP($A266,'NonXtal_SegEnds_Prot#'!$A:$AL,22,FALSE)+7,1)</f>
        <v>T</v>
      </c>
      <c r="Y266" s="102" t="str">
        <f>MID(VLOOKUP($A266,Seqs!$A:$B,2,FALSE),VLOOKUP($A266,'NonXtal_SegEnds_Prot#'!$A:$AL,22,FALSE)+8,1)</f>
        <v>V</v>
      </c>
      <c r="Z266" s="102" t="str">
        <f>MID(VLOOKUP($A266,Seqs!$A:$B,2,FALSE),VLOOKUP($A266,'NonXtal_SegEnds_Prot#'!$A:$AL,22,FALSE)+9,1)</f>
        <v>P</v>
      </c>
      <c r="AA266" s="102" t="str">
        <f>MID(VLOOKUP($A266,Seqs!$A:$B,2,FALSE),VLOOKUP($A266,'NonXtal_SegEnds_Prot#'!$A:$AL,22,FALSE)+10,1)</f>
        <v>T</v>
      </c>
      <c r="AB266" s="71" t="str">
        <f>MID(VLOOKUP($A266,Seqs!$A:$B,2,FALSE),VLOOKUP($A266,'NonXtal_SegEnds_Prot#'!$A:$AL,28,FALSE)-4,1)</f>
        <v>A</v>
      </c>
      <c r="AC266" s="102" t="str">
        <f>MID(VLOOKUP($A266,Seqs!$A:$B,2,FALSE),VLOOKUP($A266,'NonXtal_SegEnds_Prot#'!$A:$AL,28,FALSE),1)</f>
        <v>P</v>
      </c>
    </row>
    <row r="267" spans="1:29" s="2" customFormat="1" x14ac:dyDescent="0.2">
      <c r="A267" s="2" t="s">
        <v>569</v>
      </c>
      <c r="B267" s="2" t="str">
        <f>LOWER(VLOOKUP(A267,Xtal_Templ!A:B,2,FALSE))</f>
        <v>adrb2_human</v>
      </c>
      <c r="C267" s="2" t="str">
        <f>VLOOKUP(A267,Classification!A:D,2,FALSE)</f>
        <v>A</v>
      </c>
      <c r="P267" s="4" t="s">
        <v>51</v>
      </c>
      <c r="R267" s="71" t="str">
        <f>MID(VLOOKUP($A267,Seqs!$A:$B,2,FALSE),VLOOKUP($A267,'NonXtal_SegEnds_Prot#'!A:AL,10,FALSE),1)</f>
        <v>D</v>
      </c>
      <c r="S267" s="102" t="str">
        <f>MID(VLOOKUP($A267,Seqs!$A:$B,2,FALSE),VLOOKUP($A267,'NonXtal_SegEnds_Prot#'!A:AL,10,FALSE)+6,1)</f>
        <v>Y</v>
      </c>
      <c r="T267" s="102" t="str">
        <f>MID(VLOOKUP($A267,Seqs!$A:$B,2,FALSE),VLOOKUP($A267,'NonXtal_SegEnds_Prot#'!A:AL,10,FALSE)+7,1)</f>
        <v>L</v>
      </c>
      <c r="U267" s="102" t="str">
        <f>MID(VLOOKUP($A267,Seqs!$A:$B,2,FALSE),VLOOKUP($A267,'NonXtal_SegEnds_Prot#'!A:AL,10,FALSE)+8,1)</f>
        <v>F</v>
      </c>
      <c r="V267" s="102" t="str">
        <f>MID(VLOOKUP($A267,Seqs!$A:$B,2,FALSE),VLOOKUP($A267,'NonXtal_SegEnds_Prot#'!A:AL,10,FALSE)+9,1)</f>
        <v>V</v>
      </c>
      <c r="W267" s="71" t="str">
        <f>MID(VLOOKUP($A267,Seqs!$A:$B,2,FALSE),VLOOKUP($A267,'NonXtal_SegEnds_Prot#'!$A:$AL,22,FALSE)+6,1)</f>
        <v>V</v>
      </c>
      <c r="X267" s="102" t="str">
        <f>MID(VLOOKUP($A267,Seqs!$A:$B,2,FALSE),VLOOKUP($A267,'NonXtal_SegEnds_Prot#'!$A:$AL,22,FALSE)+7,1)</f>
        <v>A</v>
      </c>
      <c r="Y267" s="102" t="str">
        <f>MID(VLOOKUP($A267,Seqs!$A:$B,2,FALSE),VLOOKUP($A267,'NonXtal_SegEnds_Prot#'!$A:$AL,22,FALSE)+8,1)</f>
        <v>F</v>
      </c>
      <c r="Z267" s="102" t="str">
        <f>MID(VLOOKUP($A267,Seqs!$A:$B,2,FALSE),VLOOKUP($A267,'NonXtal_SegEnds_Prot#'!$A:$AL,22,FALSE)+9,1)</f>
        <v>I</v>
      </c>
      <c r="AA267" s="102" t="str">
        <f>MID(VLOOKUP($A267,Seqs!$A:$B,2,FALSE),VLOOKUP($A267,'NonXtal_SegEnds_Prot#'!$A:$AL,22,FALSE)+10,1)</f>
        <v>P</v>
      </c>
      <c r="AB267" s="71" t="str">
        <f>MID(VLOOKUP($A267,Seqs!$A:$B,2,FALSE),VLOOKUP($A267,'NonXtal_SegEnds_Prot#'!$A:$AL,28,FALSE)-4,1)</f>
        <v>I</v>
      </c>
      <c r="AC267" s="102" t="str">
        <f>MID(VLOOKUP($A267,Seqs!$A:$B,2,FALSE),VLOOKUP($A267,'NonXtal_SegEnds_Prot#'!$A:$AL,28,FALSE),1)</f>
        <v>A</v>
      </c>
    </row>
    <row r="268" spans="1:29" s="2" customFormat="1" x14ac:dyDescent="0.2">
      <c r="A268" s="2" t="s">
        <v>570</v>
      </c>
      <c r="B268" s="2" t="str">
        <f>LOWER(VLOOKUP(A268,Xtal_Templ!A:B,2,FALSE))</f>
        <v>adrb1_melga</v>
      </c>
      <c r="C268" s="2" t="str">
        <f>VLOOKUP(A268,Classification!A:D,2,FALSE)</f>
        <v>A</v>
      </c>
      <c r="P268" s="4" t="s">
        <v>51</v>
      </c>
      <c r="R268" s="71" t="str">
        <f>MID(VLOOKUP($A268,Seqs!$A:$B,2,FALSE),VLOOKUP($A268,'NonXtal_SegEnds_Prot#'!A:AL,10,FALSE),1)</f>
        <v>D</v>
      </c>
      <c r="S268" s="102" t="str">
        <f>MID(VLOOKUP($A268,Seqs!$A:$B,2,FALSE),VLOOKUP($A268,'NonXtal_SegEnds_Prot#'!A:AL,10,FALSE)+6,1)</f>
        <v>Y</v>
      </c>
      <c r="T268" s="102" t="str">
        <f>MID(VLOOKUP($A268,Seqs!$A:$B,2,FALSE),VLOOKUP($A268,'NonXtal_SegEnds_Prot#'!A:AL,10,FALSE)+7,1)</f>
        <v>L</v>
      </c>
      <c r="U268" s="102" t="str">
        <f>MID(VLOOKUP($A268,Seqs!$A:$B,2,FALSE),VLOOKUP($A268,'NonXtal_SegEnds_Prot#'!A:AL,10,FALSE)+8,1)</f>
        <v>F</v>
      </c>
      <c r="V268" s="102" t="str">
        <f>MID(VLOOKUP($A268,Seqs!$A:$B,2,FALSE),VLOOKUP($A268,'NonXtal_SegEnds_Prot#'!A:AL,10,FALSE)+9,1)</f>
        <v>F</v>
      </c>
      <c r="W268" s="71" t="str">
        <f>MID(VLOOKUP($A268,Seqs!$A:$B,2,FALSE),VLOOKUP($A268,'NonXtal_SegEnds_Prot#'!$A:$AL,22,FALSE)+6,1)</f>
        <v>I</v>
      </c>
      <c r="X268" s="102" t="str">
        <f>MID(VLOOKUP($A268,Seqs!$A:$B,2,FALSE),VLOOKUP($A268,'NonXtal_SegEnds_Prot#'!$A:$AL,22,FALSE)+7,1)</f>
        <v>A</v>
      </c>
      <c r="Y268" s="102" t="str">
        <f>MID(VLOOKUP($A268,Seqs!$A:$B,2,FALSE),VLOOKUP($A268,'NonXtal_SegEnds_Prot#'!$A:$AL,22,FALSE)+8,1)</f>
        <v>V</v>
      </c>
      <c r="Z268" s="102" t="str">
        <f>MID(VLOOKUP($A268,Seqs!$A:$B,2,FALSE),VLOOKUP($A268,'NonXtal_SegEnds_Prot#'!$A:$AL,22,FALSE)+9,1)</f>
        <v>I</v>
      </c>
      <c r="AA268" s="102" t="str">
        <f>MID(VLOOKUP($A268,Seqs!$A:$B,2,FALSE),VLOOKUP($A268,'NonXtal_SegEnds_Prot#'!$A:$AL,22,FALSE)+10,1)</f>
        <v>P</v>
      </c>
      <c r="AB268" s="71" t="str">
        <f>MID(VLOOKUP($A268,Seqs!$A:$B,2,FALSE),VLOOKUP($A268,'NonXtal_SegEnds_Prot#'!$A:$AL,28,FALSE)-4,1)</f>
        <v>V</v>
      </c>
      <c r="AC268" s="102" t="str">
        <f>MID(VLOOKUP($A268,Seqs!$A:$B,2,FALSE),VLOOKUP($A268,'NonXtal_SegEnds_Prot#'!$A:$AL,28,FALSE),1)</f>
        <v>A</v>
      </c>
    </row>
    <row r="269" spans="1:29" s="2" customFormat="1" x14ac:dyDescent="0.2">
      <c r="A269" s="2" t="s">
        <v>298</v>
      </c>
      <c r="B269" s="2" t="str">
        <f>LOWER(VLOOKUP(A269,Xtal_Templ!A:B,2,FALSE))</f>
        <v>s1pr1_human</v>
      </c>
      <c r="C269" s="2" t="str">
        <f>VLOOKUP(A269,Classification!A:D,2,FALSE)</f>
        <v>A</v>
      </c>
      <c r="F269" s="2" t="s">
        <v>125</v>
      </c>
      <c r="P269" s="4" t="s">
        <v>51</v>
      </c>
      <c r="R269" s="71" t="str">
        <f>MID(VLOOKUP($A269,Seqs!$A:$B,2,FALSE),VLOOKUP($A269,'NonXtal_SegEnds_Prot#'!A:AL,10,FALSE),1)</f>
        <v>D</v>
      </c>
      <c r="S269" s="102" t="str">
        <f>MID(VLOOKUP($A269,Seqs!$A:$B,2,FALSE),VLOOKUP($A269,'NonXtal_SegEnds_Prot#'!A:AL,10,FALSE)+6,1)</f>
        <v>A</v>
      </c>
      <c r="T269" s="102" t="str">
        <f>MID(VLOOKUP($A269,Seqs!$A:$B,2,FALSE),VLOOKUP($A269,'NonXtal_SegEnds_Prot#'!A:AL,10,FALSE)+7,1)</f>
        <v>Y</v>
      </c>
      <c r="U269" s="102" t="str">
        <f>MID(VLOOKUP($A269,Seqs!$A:$B,2,FALSE),VLOOKUP($A269,'NonXtal_SegEnds_Prot#'!A:AL,10,FALSE)+8,1)</f>
        <v>T</v>
      </c>
      <c r="V269" s="102" t="str">
        <f>MID(VLOOKUP($A269,Seqs!$A:$B,2,FALSE),VLOOKUP($A269,'NonXtal_SegEnds_Prot#'!A:AL,10,FALSE)+9,1)</f>
        <v>A</v>
      </c>
      <c r="W269" s="71" t="str">
        <f>MID(VLOOKUP($A269,Seqs!$A:$B,2,FALSE),VLOOKUP($A269,'NonXtal_SegEnds_Prot#'!$A:$AL,22,FALSE)+6,1)</f>
        <v>L</v>
      </c>
      <c r="X269" s="102" t="str">
        <f>MID(VLOOKUP($A269,Seqs!$A:$B,2,FALSE),VLOOKUP($A269,'NonXtal_SegEnds_Prot#'!$A:$AL,22,FALSE)+7,1)</f>
        <v>G</v>
      </c>
      <c r="Y269" s="102" t="str">
        <f>MID(VLOOKUP($A269,Seqs!$A:$B,2,FALSE),VLOOKUP($A269,'NonXtal_SegEnds_Prot#'!$A:$AL,22,FALSE)+8,1)</f>
        <v>G</v>
      </c>
      <c r="Z269" s="102" t="str">
        <f>MID(VLOOKUP($A269,Seqs!$A:$B,2,FALSE),VLOOKUP($A269,'NonXtal_SegEnds_Prot#'!$A:$AL,22,FALSE)+9,1)</f>
        <v>L</v>
      </c>
      <c r="AA269" s="102" t="str">
        <f>MID(VLOOKUP($A269,Seqs!$A:$B,2,FALSE),VLOOKUP($A269,'NonXtal_SegEnds_Prot#'!$A:$AL,22,FALSE)+10,1)</f>
        <v>P</v>
      </c>
      <c r="AB269" s="71" t="str">
        <f>MID(VLOOKUP($A269,Seqs!$A:$B,2,FALSE),VLOOKUP($A269,'NonXtal_SegEnds_Prot#'!$A:$AL,28,FALSE)-4,1)</f>
        <v>V</v>
      </c>
      <c r="AC269" s="102" t="str">
        <f>MID(VLOOKUP($A269,Seqs!$A:$B,2,FALSE),VLOOKUP($A269,'NonXtal_SegEnds_Prot#'!$A:$AL,28,FALSE),1)</f>
        <v>L</v>
      </c>
    </row>
    <row r="270" spans="1:29" s="2" customFormat="1" x14ac:dyDescent="0.2">
      <c r="A270" s="2" t="s">
        <v>571</v>
      </c>
      <c r="B270" s="2" t="str">
        <f>LOWER(VLOOKUP(A270,Xtal_Templ!A:B,2,FALSE))</f>
        <v>s1pr1_human</v>
      </c>
      <c r="C270" s="2" t="str">
        <f>VLOOKUP(A270,Classification!A:D,2,FALSE)</f>
        <v>A</v>
      </c>
      <c r="F270" s="2" t="s">
        <v>125</v>
      </c>
      <c r="P270" s="4" t="s">
        <v>51</v>
      </c>
      <c r="R270" s="71" t="str">
        <f>MID(VLOOKUP($A270,Seqs!$A:$B,2,FALSE),VLOOKUP($A270,'NonXtal_SegEnds_Prot#'!A:AL,10,FALSE),1)</f>
        <v>D</v>
      </c>
      <c r="S270" s="102" t="str">
        <f>MID(VLOOKUP($A270,Seqs!$A:$B,2,FALSE),VLOOKUP($A270,'NonXtal_SegEnds_Prot#'!A:AL,10,FALSE)+6,1)</f>
        <v>A</v>
      </c>
      <c r="T270" s="102" t="str">
        <f>MID(VLOOKUP($A270,Seqs!$A:$B,2,FALSE),VLOOKUP($A270,'NonXtal_SegEnds_Prot#'!A:AL,10,FALSE)+7,1)</f>
        <v>F</v>
      </c>
      <c r="U270" s="102" t="str">
        <f>MID(VLOOKUP($A270,Seqs!$A:$B,2,FALSE),VLOOKUP($A270,'NonXtal_SegEnds_Prot#'!A:AL,10,FALSE)+8,1)</f>
        <v>V</v>
      </c>
      <c r="V270" s="102" t="str">
        <f>MID(VLOOKUP($A270,Seqs!$A:$B,2,FALSE),VLOOKUP($A270,'NonXtal_SegEnds_Prot#'!A:AL,10,FALSE)+9,1)</f>
        <v>A</v>
      </c>
      <c r="W270" s="71" t="str">
        <f>MID(VLOOKUP($A270,Seqs!$A:$B,2,FALSE),VLOOKUP($A270,'NonXtal_SegEnds_Prot#'!$A:$AL,22,FALSE)+6,1)</f>
        <v>L</v>
      </c>
      <c r="X270" s="102" t="str">
        <f>MID(VLOOKUP($A270,Seqs!$A:$B,2,FALSE),VLOOKUP($A270,'NonXtal_SegEnds_Prot#'!$A:$AL,22,FALSE)+7,1)</f>
        <v>G</v>
      </c>
      <c r="Y270" s="102" t="str">
        <f>MID(VLOOKUP($A270,Seqs!$A:$B,2,FALSE),VLOOKUP($A270,'NonXtal_SegEnds_Prot#'!$A:$AL,22,FALSE)+8,1)</f>
        <v>G</v>
      </c>
      <c r="Z270" s="102" t="str">
        <f>MID(VLOOKUP($A270,Seqs!$A:$B,2,FALSE),VLOOKUP($A270,'NonXtal_SegEnds_Prot#'!$A:$AL,22,FALSE)+9,1)</f>
        <v>L</v>
      </c>
      <c r="AA270" s="102" t="str">
        <f>MID(VLOOKUP($A270,Seqs!$A:$B,2,FALSE),VLOOKUP($A270,'NonXtal_SegEnds_Prot#'!$A:$AL,22,FALSE)+10,1)</f>
        <v>P</v>
      </c>
      <c r="AB270" s="71" t="str">
        <f>MID(VLOOKUP($A270,Seqs!$A:$B,2,FALSE),VLOOKUP($A270,'NonXtal_SegEnds_Prot#'!$A:$AL,28,FALSE)-4,1)</f>
        <v>I</v>
      </c>
      <c r="AC270" s="102" t="str">
        <f>MID(VLOOKUP($A270,Seqs!$A:$B,2,FALSE),VLOOKUP($A270,'NonXtal_SegEnds_Prot#'!$A:$AL,28,FALSE),1)</f>
        <v>I</v>
      </c>
    </row>
    <row r="271" spans="1:29" s="2" customFormat="1" x14ac:dyDescent="0.2">
      <c r="A271" s="2" t="s">
        <v>572</v>
      </c>
      <c r="B271" s="2" t="str">
        <f>LOWER(VLOOKUP(A271,Xtal_Templ!A:B,2,FALSE))</f>
        <v>s1pr1_human</v>
      </c>
      <c r="C271" s="2" t="str">
        <f>VLOOKUP(A271,Classification!A:D,2,FALSE)</f>
        <v>A</v>
      </c>
      <c r="F271" s="2" t="s">
        <v>125</v>
      </c>
      <c r="P271" s="4" t="s">
        <v>51</v>
      </c>
      <c r="R271" s="71" t="str">
        <f>MID(VLOOKUP($A271,Seqs!$A:$B,2,FALSE),VLOOKUP($A271,'NonXtal_SegEnds_Prot#'!A:AL,10,FALSE),1)</f>
        <v>D</v>
      </c>
      <c r="S271" s="102" t="str">
        <f>MID(VLOOKUP($A271,Seqs!$A:$B,2,FALSE),VLOOKUP($A271,'NonXtal_SegEnds_Prot#'!A:AL,10,FALSE)+6,1)</f>
        <v>A</v>
      </c>
      <c r="T271" s="102" t="str">
        <f>MID(VLOOKUP($A271,Seqs!$A:$B,2,FALSE),VLOOKUP($A271,'NonXtal_SegEnds_Prot#'!A:AL,10,FALSE)+7,1)</f>
        <v>Y</v>
      </c>
      <c r="U271" s="102" t="str">
        <f>MID(VLOOKUP($A271,Seqs!$A:$B,2,FALSE),VLOOKUP($A271,'NonXtal_SegEnds_Prot#'!A:AL,10,FALSE)+8,1)</f>
        <v>K</v>
      </c>
      <c r="V271" s="102" t="str">
        <f>MID(VLOOKUP($A271,Seqs!$A:$B,2,FALSE),VLOOKUP($A271,'NonXtal_SegEnds_Prot#'!A:AL,10,FALSE)+9,1)</f>
        <v>V</v>
      </c>
      <c r="W271" s="71" t="str">
        <f>MID(VLOOKUP($A271,Seqs!$A:$B,2,FALSE),VLOOKUP($A271,'NonXtal_SegEnds_Prot#'!$A:$AL,22,FALSE)+6,1)</f>
        <v>L</v>
      </c>
      <c r="X271" s="102" t="str">
        <f>MID(VLOOKUP($A271,Seqs!$A:$B,2,FALSE),VLOOKUP($A271,'NonXtal_SegEnds_Prot#'!$A:$AL,22,FALSE)+7,1)</f>
        <v>G</v>
      </c>
      <c r="Y271" s="102" t="str">
        <f>MID(VLOOKUP($A271,Seqs!$A:$B,2,FALSE),VLOOKUP($A271,'NonXtal_SegEnds_Prot#'!$A:$AL,22,FALSE)+8,1)</f>
        <v>A</v>
      </c>
      <c r="Z271" s="102" t="str">
        <f>MID(VLOOKUP($A271,Seqs!$A:$B,2,FALSE),VLOOKUP($A271,'NonXtal_SegEnds_Prot#'!$A:$AL,22,FALSE)+9,1)</f>
        <v>L</v>
      </c>
      <c r="AA271" s="102" t="str">
        <f>MID(VLOOKUP($A271,Seqs!$A:$B,2,FALSE),VLOOKUP($A271,'NonXtal_SegEnds_Prot#'!$A:$AL,22,FALSE)+10,1)</f>
        <v>P</v>
      </c>
      <c r="AB271" s="71" t="str">
        <f>MID(VLOOKUP($A271,Seqs!$A:$B,2,FALSE),VLOOKUP($A271,'NonXtal_SegEnds_Prot#'!$A:$AL,28,FALSE)-4,1)</f>
        <v>I</v>
      </c>
      <c r="AC271" s="102" t="str">
        <f>MID(VLOOKUP($A271,Seqs!$A:$B,2,FALSE),VLOOKUP($A271,'NonXtal_SegEnds_Prot#'!$A:$AL,28,FALSE),1)</f>
        <v>I</v>
      </c>
    </row>
    <row r="272" spans="1:29" s="2" customFormat="1" x14ac:dyDescent="0.2">
      <c r="A272" s="2" t="s">
        <v>573</v>
      </c>
      <c r="B272" s="2" t="str">
        <f>LOWER(VLOOKUP(A272,Xtal_Templ!A:B,2,FALSE))</f>
        <v>s1pr1_human</v>
      </c>
      <c r="C272" s="2" t="str">
        <f>VLOOKUP(A272,Classification!A:D,2,FALSE)</f>
        <v>A</v>
      </c>
      <c r="F272" s="2" t="s">
        <v>125</v>
      </c>
      <c r="P272" s="4" t="s">
        <v>51</v>
      </c>
      <c r="R272" s="71" t="str">
        <f>MID(VLOOKUP($A272,Seqs!$A:$B,2,FALSE),VLOOKUP($A272,'NonXtal_SegEnds_Prot#'!A:AL,10,FALSE),1)</f>
        <v>D</v>
      </c>
      <c r="S272" s="102" t="str">
        <f>MID(VLOOKUP($A272,Seqs!$A:$B,2,FALSE),VLOOKUP($A272,'NonXtal_SegEnds_Prot#'!A:AL,10,FALSE)+6,1)</f>
        <v>A</v>
      </c>
      <c r="T272" s="102" t="str">
        <f>MID(VLOOKUP($A272,Seqs!$A:$B,2,FALSE),VLOOKUP($A272,'NonXtal_SegEnds_Prot#'!A:AL,10,FALSE)+7,1)</f>
        <v>Y</v>
      </c>
      <c r="U272" s="102" t="str">
        <f>MID(VLOOKUP($A272,Seqs!$A:$B,2,FALSE),VLOOKUP($A272,'NonXtal_SegEnds_Prot#'!A:AL,10,FALSE)+8,1)</f>
        <v>L</v>
      </c>
      <c r="V272" s="102" t="str">
        <f>MID(VLOOKUP($A272,Seqs!$A:$B,2,FALSE),VLOOKUP($A272,'NonXtal_SegEnds_Prot#'!A:AL,10,FALSE)+9,1)</f>
        <v>A</v>
      </c>
      <c r="W272" s="71" t="str">
        <f>MID(VLOOKUP($A272,Seqs!$A:$B,2,FALSE),VLOOKUP($A272,'NonXtal_SegEnds_Prot#'!$A:$AL,22,FALSE)+6,1)</f>
        <v>L</v>
      </c>
      <c r="X272" s="102" t="str">
        <f>MID(VLOOKUP($A272,Seqs!$A:$B,2,FALSE),VLOOKUP($A272,'NonXtal_SegEnds_Prot#'!$A:$AL,22,FALSE)+7,1)</f>
        <v>G</v>
      </c>
      <c r="Y272" s="102" t="str">
        <f>MID(VLOOKUP($A272,Seqs!$A:$B,2,FALSE),VLOOKUP($A272,'NonXtal_SegEnds_Prot#'!$A:$AL,22,FALSE)+8,1)</f>
        <v>M</v>
      </c>
      <c r="Z272" s="102" t="str">
        <f>MID(VLOOKUP($A272,Seqs!$A:$B,2,FALSE),VLOOKUP($A272,'NonXtal_SegEnds_Prot#'!$A:$AL,22,FALSE)+9,1)</f>
        <v>L</v>
      </c>
      <c r="AA272" s="102" t="str">
        <f>MID(VLOOKUP($A272,Seqs!$A:$B,2,FALSE),VLOOKUP($A272,'NonXtal_SegEnds_Prot#'!$A:$AL,22,FALSE)+10,1)</f>
        <v>P</v>
      </c>
      <c r="AB272" s="71" t="str">
        <f>MID(VLOOKUP($A272,Seqs!$A:$B,2,FALSE),VLOOKUP($A272,'NonXtal_SegEnds_Prot#'!$A:$AL,28,FALSE)-4,1)</f>
        <v>I</v>
      </c>
      <c r="AC272" s="102" t="str">
        <f>MID(VLOOKUP($A272,Seqs!$A:$B,2,FALSE),VLOOKUP($A272,'NonXtal_SegEnds_Prot#'!$A:$AL,28,FALSE),1)</f>
        <v>V</v>
      </c>
    </row>
    <row r="273" spans="1:29" s="2" customFormat="1" x14ac:dyDescent="0.2">
      <c r="A273" s="2" t="s">
        <v>574</v>
      </c>
      <c r="B273" s="2" t="str">
        <f>LOWER(VLOOKUP(A273,Xtal_Templ!A:B,2,FALSE))</f>
        <v>s1pr1_human</v>
      </c>
      <c r="C273" s="2" t="str">
        <f>VLOOKUP(A273,Classification!A:D,2,FALSE)</f>
        <v>A</v>
      </c>
      <c r="F273" s="2" t="s">
        <v>125</v>
      </c>
      <c r="P273" s="4" t="s">
        <v>51</v>
      </c>
      <c r="R273" s="71" t="str">
        <f>MID(VLOOKUP($A273,Seqs!$A:$B,2,FALSE),VLOOKUP($A273,'NonXtal_SegEnds_Prot#'!A:AL,10,FALSE),1)</f>
        <v>D</v>
      </c>
      <c r="S273" s="102" t="str">
        <f>MID(VLOOKUP($A273,Seqs!$A:$B,2,FALSE),VLOOKUP($A273,'NonXtal_SegEnds_Prot#'!A:AL,10,FALSE)+6,1)</f>
        <v>A</v>
      </c>
      <c r="T273" s="102" t="str">
        <f>MID(VLOOKUP($A273,Seqs!$A:$B,2,FALSE),VLOOKUP($A273,'NonXtal_SegEnds_Prot#'!A:AL,10,FALSE)+7,1)</f>
        <v>Y</v>
      </c>
      <c r="U273" s="102" t="str">
        <f>MID(VLOOKUP($A273,Seqs!$A:$B,2,FALSE),VLOOKUP($A273,'NonXtal_SegEnds_Prot#'!A:AL,10,FALSE)+8,1)</f>
        <v>A</v>
      </c>
      <c r="V273" s="102" t="str">
        <f>MID(VLOOKUP($A273,Seqs!$A:$B,2,FALSE),VLOOKUP($A273,'NonXtal_SegEnds_Prot#'!A:AL,10,FALSE)+9,1)</f>
        <v>A</v>
      </c>
      <c r="W273" s="71" t="str">
        <f>MID(VLOOKUP($A273,Seqs!$A:$B,2,FALSE),VLOOKUP($A273,'NonXtal_SegEnds_Prot#'!$A:$AL,22,FALSE)+6,1)</f>
        <v>L</v>
      </c>
      <c r="X273" s="102" t="str">
        <f>MID(VLOOKUP($A273,Seqs!$A:$B,2,FALSE),VLOOKUP($A273,'NonXtal_SegEnds_Prot#'!$A:$AL,22,FALSE)+7,1)</f>
        <v>G</v>
      </c>
      <c r="Y273" s="102" t="str">
        <f>MID(VLOOKUP($A273,Seqs!$A:$B,2,FALSE),VLOOKUP($A273,'NonXtal_SegEnds_Prot#'!$A:$AL,22,FALSE)+8,1)</f>
        <v>L</v>
      </c>
      <c r="Z273" s="102" t="str">
        <f>MID(VLOOKUP($A273,Seqs!$A:$B,2,FALSE),VLOOKUP($A273,'NonXtal_SegEnds_Prot#'!$A:$AL,22,FALSE)+9,1)</f>
        <v>L</v>
      </c>
      <c r="AA273" s="102" t="str">
        <f>MID(VLOOKUP($A273,Seqs!$A:$B,2,FALSE),VLOOKUP($A273,'NonXtal_SegEnds_Prot#'!$A:$AL,22,FALSE)+10,1)</f>
        <v>P</v>
      </c>
      <c r="AB273" s="71" t="str">
        <f>MID(VLOOKUP($A273,Seqs!$A:$B,2,FALSE),VLOOKUP($A273,'NonXtal_SegEnds_Prot#'!$A:$AL,28,FALSE)-4,1)</f>
        <v>A</v>
      </c>
      <c r="AC273" s="102" t="str">
        <f>MID(VLOOKUP($A273,Seqs!$A:$B,2,FALSE),VLOOKUP($A273,'NonXtal_SegEnds_Prot#'!$A:$AL,28,FALSE),1)</f>
        <v>I</v>
      </c>
    </row>
    <row r="274" spans="1:29" s="2" customFormat="1" x14ac:dyDescent="0.2">
      <c r="A274" s="2" t="s">
        <v>575</v>
      </c>
      <c r="B274" s="2" t="str">
        <f>LOWER(VLOOKUP(A274,Xtal_Templ!A:B,2,FALSE))</f>
        <v>oprm_mouse</v>
      </c>
      <c r="C274" s="2" t="str">
        <f>VLOOKUP(A274,Classification!A:D,2,FALSE)</f>
        <v>A</v>
      </c>
      <c r="K274" s="2" t="s">
        <v>59</v>
      </c>
      <c r="N274" s="2" t="s">
        <v>43</v>
      </c>
      <c r="P274" s="4" t="s">
        <v>51</v>
      </c>
      <c r="R274" s="71" t="str">
        <f>MID(VLOOKUP($A274,Seqs!$A:$B,2,FALSE),VLOOKUP($A274,'NonXtal_SegEnds_Prot#'!A:AL,10,FALSE),1)</f>
        <v>D</v>
      </c>
      <c r="S274" s="102" t="str">
        <f>MID(VLOOKUP($A274,Seqs!$A:$B,2,FALSE),VLOOKUP($A274,'NonXtal_SegEnds_Prot#'!A:AL,10,FALSE)+6,1)</f>
        <v>S</v>
      </c>
      <c r="T274" s="102" t="str">
        <f>MID(VLOOKUP($A274,Seqs!$A:$B,2,FALSE),VLOOKUP($A274,'NonXtal_SegEnds_Prot#'!A:AL,10,FALSE)+7,1)</f>
        <v>V</v>
      </c>
      <c r="U274" s="102" t="str">
        <f>MID(VLOOKUP($A274,Seqs!$A:$B,2,FALSE),VLOOKUP($A274,'NonXtal_SegEnds_Prot#'!A:AL,10,FALSE)+8,1)</f>
        <v>P</v>
      </c>
      <c r="V274" s="102" t="str">
        <f>MID(VLOOKUP($A274,Seqs!$A:$B,2,FALSE),VLOOKUP($A274,'NonXtal_SegEnds_Prot#'!A:AL,10,FALSE)+9,1)</f>
        <v>F</v>
      </c>
      <c r="W274" s="71" t="str">
        <f>MID(VLOOKUP($A274,Seqs!$A:$B,2,FALSE),VLOOKUP($A274,'NonXtal_SegEnds_Prot#'!$A:$AL,22,FALSE)+6,1)</f>
        <v>V</v>
      </c>
      <c r="X274" s="102" t="str">
        <f>MID(VLOOKUP($A274,Seqs!$A:$B,2,FALSE),VLOOKUP($A274,'NonXtal_SegEnds_Prot#'!$A:$AL,22,FALSE)+7,1)</f>
        <v>I</v>
      </c>
      <c r="Y274" s="102" t="str">
        <f>MID(VLOOKUP($A274,Seqs!$A:$B,2,FALSE),VLOOKUP($A274,'NonXtal_SegEnds_Prot#'!$A:$AL,22,FALSE)+8,1)</f>
        <v>L</v>
      </c>
      <c r="Z274" s="102" t="str">
        <f>MID(VLOOKUP($A274,Seqs!$A:$B,2,FALSE),VLOOKUP($A274,'NonXtal_SegEnds_Prot#'!$A:$AL,22,FALSE)+9,1)</f>
        <v>P</v>
      </c>
      <c r="AA274" s="102" t="str">
        <f>MID(VLOOKUP($A274,Seqs!$A:$B,2,FALSE),VLOOKUP($A274,'NonXtal_SegEnds_Prot#'!$A:$AL,22,FALSE)+10,1)</f>
        <v>I</v>
      </c>
      <c r="AB274" s="71" t="str">
        <f>MID(VLOOKUP($A274,Seqs!$A:$B,2,FALSE),VLOOKUP($A274,'NonXtal_SegEnds_Prot#'!$A:$AL,28,FALSE)-4,1)</f>
        <v>G</v>
      </c>
      <c r="AC274" s="102" t="str">
        <f>MID(VLOOKUP($A274,Seqs!$A:$B,2,FALSE),VLOOKUP($A274,'NonXtal_SegEnds_Prot#'!$A:$AL,28,FALSE),1)</f>
        <v>P</v>
      </c>
    </row>
    <row r="275" spans="1:29" s="2" customFormat="1" x14ac:dyDescent="0.2">
      <c r="A275" s="2" t="s">
        <v>576</v>
      </c>
      <c r="B275" s="2" t="str">
        <f>LOWER(VLOOKUP(A275,Xtal_Templ!A:B,2,FALSE))</f>
        <v>oprm_mouse</v>
      </c>
      <c r="C275" s="2" t="str">
        <f>VLOOKUP(A275,Classification!A:D,2,FALSE)</f>
        <v>A</v>
      </c>
      <c r="K275" s="2" t="s">
        <v>59</v>
      </c>
      <c r="N275" s="2" t="s">
        <v>43</v>
      </c>
      <c r="P275" s="4" t="s">
        <v>51</v>
      </c>
      <c r="R275" s="71" t="str">
        <f>MID(VLOOKUP($A275,Seqs!$A:$B,2,FALSE),VLOOKUP($A275,'NonXtal_SegEnds_Prot#'!A:AL,10,FALSE),1)</f>
        <v>D</v>
      </c>
      <c r="S275" s="102" t="str">
        <f>MID(VLOOKUP($A275,Seqs!$A:$B,2,FALSE),VLOOKUP($A275,'NonXtal_SegEnds_Prot#'!A:AL,10,FALSE)+6,1)</f>
        <v>G</v>
      </c>
      <c r="T275" s="102" t="str">
        <f>MID(VLOOKUP($A275,Seqs!$A:$B,2,FALSE),VLOOKUP($A275,'NonXtal_SegEnds_Prot#'!A:AL,10,FALSE)+7,1)</f>
        <v>L</v>
      </c>
      <c r="U275" s="102" t="str">
        <f>MID(VLOOKUP($A275,Seqs!$A:$B,2,FALSE),VLOOKUP($A275,'NonXtal_SegEnds_Prot#'!A:AL,10,FALSE)+8,1)</f>
        <v>P</v>
      </c>
      <c r="V275" s="102" t="str">
        <f>MID(VLOOKUP($A275,Seqs!$A:$B,2,FALSE),VLOOKUP($A275,'NonXtal_SegEnds_Prot#'!A:AL,10,FALSE)+9,1)</f>
        <v>F</v>
      </c>
      <c r="W275" s="71" t="str">
        <f>MID(VLOOKUP($A275,Seqs!$A:$B,2,FALSE),VLOOKUP($A275,'NonXtal_SegEnds_Prot#'!$A:$AL,22,FALSE)+6,1)</f>
        <v>V</v>
      </c>
      <c r="X275" s="102" t="str">
        <f>MID(VLOOKUP($A275,Seqs!$A:$B,2,FALSE),VLOOKUP($A275,'NonXtal_SegEnds_Prot#'!$A:$AL,22,FALSE)+7,1)</f>
        <v>I</v>
      </c>
      <c r="Y275" s="102" t="str">
        <f>MID(VLOOKUP($A275,Seqs!$A:$B,2,FALSE),VLOOKUP($A275,'NonXtal_SegEnds_Prot#'!$A:$AL,22,FALSE)+8,1)</f>
        <v>L</v>
      </c>
      <c r="Z275" s="102" t="str">
        <f>MID(VLOOKUP($A275,Seqs!$A:$B,2,FALSE),VLOOKUP($A275,'NonXtal_SegEnds_Prot#'!$A:$AL,22,FALSE)+9,1)</f>
        <v>P</v>
      </c>
      <c r="AA275" s="102" t="str">
        <f>MID(VLOOKUP($A275,Seqs!$A:$B,2,FALSE),VLOOKUP($A275,'NonXtal_SegEnds_Prot#'!$A:$AL,22,FALSE)+10,1)</f>
        <v>I</v>
      </c>
      <c r="AB275" s="71" t="str">
        <f>MID(VLOOKUP($A275,Seqs!$A:$B,2,FALSE),VLOOKUP($A275,'NonXtal_SegEnds_Prot#'!$A:$AL,28,FALSE)-4,1)</f>
        <v>G</v>
      </c>
      <c r="AC275" s="102" t="str">
        <f>MID(VLOOKUP($A275,Seqs!$A:$B,2,FALSE),VLOOKUP($A275,'NonXtal_SegEnds_Prot#'!$A:$AL,28,FALSE),1)</f>
        <v>P</v>
      </c>
    </row>
    <row r="276" spans="1:29" s="2" customFormat="1" x14ac:dyDescent="0.2">
      <c r="A276" s="2" t="s">
        <v>577</v>
      </c>
      <c r="B276" s="2" t="str">
        <f>LOWER(VLOOKUP(A276,Xtal_Templ!A:B,2,FALSE))</f>
        <v>oprx_human</v>
      </c>
      <c r="C276" s="2" t="str">
        <f>VLOOKUP(A276,Classification!A:D,2,FALSE)</f>
        <v>A</v>
      </c>
      <c r="K276" s="2" t="s">
        <v>59</v>
      </c>
      <c r="N276" s="2" t="s">
        <v>43</v>
      </c>
      <c r="P276" s="4" t="s">
        <v>51</v>
      </c>
      <c r="R276" s="71" t="str">
        <f>MID(VLOOKUP($A276,Seqs!$A:$B,2,FALSE),VLOOKUP($A276,'NonXtal_SegEnds_Prot#'!A:AL,10,FALSE),1)</f>
        <v>D</v>
      </c>
      <c r="S276" s="102" t="str">
        <f>MID(VLOOKUP($A276,Seqs!$A:$B,2,FALSE),VLOOKUP($A276,'NonXtal_SegEnds_Prot#'!A:AL,10,FALSE)+6,1)</f>
        <v>G</v>
      </c>
      <c r="T276" s="102" t="str">
        <f>MID(VLOOKUP($A276,Seqs!$A:$B,2,FALSE),VLOOKUP($A276,'NonXtal_SegEnds_Prot#'!A:AL,10,FALSE)+7,1)</f>
        <v>L</v>
      </c>
      <c r="U276" s="102" t="str">
        <f>MID(VLOOKUP($A276,Seqs!$A:$B,2,FALSE),VLOOKUP($A276,'NonXtal_SegEnds_Prot#'!A:AL,10,FALSE)+8,1)</f>
        <v>P</v>
      </c>
      <c r="V276" s="102" t="str">
        <f>MID(VLOOKUP($A276,Seqs!$A:$B,2,FALSE),VLOOKUP($A276,'NonXtal_SegEnds_Prot#'!A:AL,10,FALSE)+9,1)</f>
        <v>F</v>
      </c>
      <c r="W276" s="71" t="str">
        <f>MID(VLOOKUP($A276,Seqs!$A:$B,2,FALSE),VLOOKUP($A276,'NonXtal_SegEnds_Prot#'!$A:$AL,22,FALSE)+6,1)</f>
        <v>V</v>
      </c>
      <c r="X276" s="102" t="str">
        <f>MID(VLOOKUP($A276,Seqs!$A:$B,2,FALSE),VLOOKUP($A276,'NonXtal_SegEnds_Prot#'!$A:$AL,22,FALSE)+7,1)</f>
        <v>V</v>
      </c>
      <c r="Y276" s="102" t="str">
        <f>MID(VLOOKUP($A276,Seqs!$A:$B,2,FALSE),VLOOKUP($A276,'NonXtal_SegEnds_Prot#'!$A:$AL,22,FALSE)+8,1)</f>
        <v>L</v>
      </c>
      <c r="Z276" s="102" t="str">
        <f>MID(VLOOKUP($A276,Seqs!$A:$B,2,FALSE),VLOOKUP($A276,'NonXtal_SegEnds_Prot#'!$A:$AL,22,FALSE)+9,1)</f>
        <v>P</v>
      </c>
      <c r="AA276" s="102" t="str">
        <f>MID(VLOOKUP($A276,Seqs!$A:$B,2,FALSE),VLOOKUP($A276,'NonXtal_SegEnds_Prot#'!$A:$AL,22,FALSE)+10,1)</f>
        <v>V</v>
      </c>
      <c r="AB276" s="71" t="str">
        <f>MID(VLOOKUP($A276,Seqs!$A:$B,2,FALSE),VLOOKUP($A276,'NonXtal_SegEnds_Prot#'!$A:$AL,28,FALSE)-4,1)</f>
        <v>G</v>
      </c>
      <c r="AC276" s="102" t="str">
        <f>MID(VLOOKUP($A276,Seqs!$A:$B,2,FALSE),VLOOKUP($A276,'NonXtal_SegEnds_Prot#'!$A:$AL,28,FALSE),1)</f>
        <v>P</v>
      </c>
    </row>
    <row r="277" spans="1:29" s="2" customFormat="1" x14ac:dyDescent="0.2">
      <c r="A277" s="2" t="s">
        <v>578</v>
      </c>
      <c r="B277" s="2" t="str">
        <f>LOWER(VLOOKUP(A277,Xtal_Templ!A:B,2,FALSE))</f>
        <v>oprd_mouse</v>
      </c>
      <c r="C277" s="2" t="str">
        <f>VLOOKUP(A277,Classification!A:D,2,FALSE)</f>
        <v>A</v>
      </c>
      <c r="K277" s="2" t="s">
        <v>59</v>
      </c>
      <c r="N277" s="2" t="s">
        <v>43</v>
      </c>
      <c r="P277" s="4" t="s">
        <v>51</v>
      </c>
      <c r="R277" s="71" t="str">
        <f>MID(VLOOKUP($A277,Seqs!$A:$B,2,FALSE),VLOOKUP($A277,'NonXtal_SegEnds_Prot#'!A:AL,10,FALSE),1)</f>
        <v>D</v>
      </c>
      <c r="S277" s="102" t="str">
        <f>MID(VLOOKUP($A277,Seqs!$A:$B,2,FALSE),VLOOKUP($A277,'NonXtal_SegEnds_Prot#'!A:AL,10,FALSE)+6,1)</f>
        <v>S</v>
      </c>
      <c r="T277" s="102" t="str">
        <f>MID(VLOOKUP($A277,Seqs!$A:$B,2,FALSE),VLOOKUP($A277,'NonXtal_SegEnds_Prot#'!A:AL,10,FALSE)+7,1)</f>
        <v>V</v>
      </c>
      <c r="U277" s="102" t="str">
        <f>MID(VLOOKUP($A277,Seqs!$A:$B,2,FALSE),VLOOKUP($A277,'NonXtal_SegEnds_Prot#'!A:AL,10,FALSE)+8,1)</f>
        <v>P</v>
      </c>
      <c r="V277" s="102" t="str">
        <f>MID(VLOOKUP($A277,Seqs!$A:$B,2,FALSE),VLOOKUP($A277,'NonXtal_SegEnds_Prot#'!A:AL,10,FALSE)+9,1)</f>
        <v>F</v>
      </c>
      <c r="W277" s="71" t="str">
        <f>MID(VLOOKUP($A277,Seqs!$A:$B,2,FALSE),VLOOKUP($A277,'NonXtal_SegEnds_Prot#'!$A:$AL,22,FALSE)+6,1)</f>
        <v>V</v>
      </c>
      <c r="X277" s="102" t="str">
        <f>MID(VLOOKUP($A277,Seqs!$A:$B,2,FALSE),VLOOKUP($A277,'NonXtal_SegEnds_Prot#'!$A:$AL,22,FALSE)+7,1)</f>
        <v>T</v>
      </c>
      <c r="Y277" s="102" t="str">
        <f>MID(VLOOKUP($A277,Seqs!$A:$B,2,FALSE),VLOOKUP($A277,'NonXtal_SegEnds_Prot#'!$A:$AL,22,FALSE)+8,1)</f>
        <v>L</v>
      </c>
      <c r="Z277" s="102" t="str">
        <f>MID(VLOOKUP($A277,Seqs!$A:$B,2,FALSE),VLOOKUP($A277,'NonXtal_SegEnds_Prot#'!$A:$AL,22,FALSE)+9,1)</f>
        <v>P</v>
      </c>
      <c r="AA277" s="102" t="str">
        <f>MID(VLOOKUP($A277,Seqs!$A:$B,2,FALSE),VLOOKUP($A277,'NonXtal_SegEnds_Prot#'!$A:$AL,22,FALSE)+10,1)</f>
        <v>I</v>
      </c>
      <c r="AB277" s="71" t="str">
        <f>MID(VLOOKUP($A277,Seqs!$A:$B,2,FALSE),VLOOKUP($A277,'NonXtal_SegEnds_Prot#'!$A:$AL,28,FALSE)-4,1)</f>
        <v>G</v>
      </c>
      <c r="AC277" s="102" t="str">
        <f>MID(VLOOKUP($A277,Seqs!$A:$B,2,FALSE),VLOOKUP($A277,'NonXtal_SegEnds_Prot#'!$A:$AL,28,FALSE),1)</f>
        <v>P</v>
      </c>
    </row>
    <row r="278" spans="1:29" s="2" customFormat="1" x14ac:dyDescent="0.2">
      <c r="A278" s="2" t="s">
        <v>579</v>
      </c>
      <c r="B278" s="2" t="str">
        <f>LOWER(VLOOKUP(A278,Xtal_Templ!A:B,2,FALSE))</f>
        <v>oprm_mouse</v>
      </c>
      <c r="C278" s="2" t="str">
        <f>VLOOKUP(A278,Classification!A:D,2,FALSE)</f>
        <v>A</v>
      </c>
      <c r="K278" s="2" t="s">
        <v>59</v>
      </c>
      <c r="N278" s="2" t="s">
        <v>43</v>
      </c>
      <c r="P278" s="4" t="s">
        <v>51</v>
      </c>
      <c r="R278" s="71" t="str">
        <f>MID(VLOOKUP($A278,Seqs!$A:$B,2,FALSE),VLOOKUP($A278,'NonXtal_SegEnds_Prot#'!A:AL,10,FALSE),1)</f>
        <v>D</v>
      </c>
      <c r="S278" s="102" t="str">
        <f>MID(VLOOKUP($A278,Seqs!$A:$B,2,FALSE),VLOOKUP($A278,'NonXtal_SegEnds_Prot#'!A:AL,10,FALSE)+6,1)</f>
        <v>G</v>
      </c>
      <c r="T278" s="102" t="str">
        <f>MID(VLOOKUP($A278,Seqs!$A:$B,2,FALSE),VLOOKUP($A278,'NonXtal_SegEnds_Prot#'!A:AL,10,FALSE)+7,1)</f>
        <v>L</v>
      </c>
      <c r="U278" s="102" t="str">
        <f>MID(VLOOKUP($A278,Seqs!$A:$B,2,FALSE),VLOOKUP($A278,'NonXtal_SegEnds_Prot#'!A:AL,10,FALSE)+8,1)</f>
        <v>P</v>
      </c>
      <c r="V278" s="102" t="str">
        <f>MID(VLOOKUP($A278,Seqs!$A:$B,2,FALSE),VLOOKUP($A278,'NonXtal_SegEnds_Prot#'!A:AL,10,FALSE)+9,1)</f>
        <v>F</v>
      </c>
      <c r="W278" s="71" t="str">
        <f>MID(VLOOKUP($A278,Seqs!$A:$B,2,FALSE),VLOOKUP($A278,'NonXtal_SegEnds_Prot#'!$A:$AL,22,FALSE)+6,1)</f>
        <v>M</v>
      </c>
      <c r="X278" s="102" t="str">
        <f>MID(VLOOKUP($A278,Seqs!$A:$B,2,FALSE),VLOOKUP($A278,'NonXtal_SegEnds_Prot#'!$A:$AL,22,FALSE)+7,1)</f>
        <v>S</v>
      </c>
      <c r="Y278" s="102" t="str">
        <f>MID(VLOOKUP($A278,Seqs!$A:$B,2,FALSE),VLOOKUP($A278,'NonXtal_SegEnds_Prot#'!$A:$AL,22,FALSE)+8,1)</f>
        <v>L</v>
      </c>
      <c r="Z278" s="102" t="str">
        <f>MID(VLOOKUP($A278,Seqs!$A:$B,2,FALSE),VLOOKUP($A278,'NonXtal_SegEnds_Prot#'!$A:$AL,22,FALSE)+9,1)</f>
        <v>P</v>
      </c>
      <c r="AA278" s="102" t="str">
        <f>MID(VLOOKUP($A278,Seqs!$A:$B,2,FALSE),VLOOKUP($A278,'NonXtal_SegEnds_Prot#'!$A:$AL,22,FALSE)+10,1)</f>
        <v>L</v>
      </c>
      <c r="AB278" s="71" t="str">
        <f>MID(VLOOKUP($A278,Seqs!$A:$B,2,FALSE),VLOOKUP($A278,'NonXtal_SegEnds_Prot#'!$A:$AL,28,FALSE)-4,1)</f>
        <v>G</v>
      </c>
      <c r="AC278" s="102" t="str">
        <f>MID(VLOOKUP($A278,Seqs!$A:$B,2,FALSE),VLOOKUP($A278,'NonXtal_SegEnds_Prot#'!$A:$AL,28,FALSE),1)</f>
        <v>P</v>
      </c>
    </row>
    <row r="279" spans="1:29" s="2" customFormat="1" x14ac:dyDescent="0.2">
      <c r="A279" s="2" t="s">
        <v>580</v>
      </c>
      <c r="B279" s="2" t="str">
        <f>LOWER(VLOOKUP(A279,Xtal_Templ!A:B,2,FALSE))</f>
        <v>p2ry1_human</v>
      </c>
      <c r="C279" s="2" t="str">
        <f>VLOOKUP(A279,Classification!A:D,2,FALSE)</f>
        <v>A</v>
      </c>
      <c r="K279" s="2" t="s">
        <v>59</v>
      </c>
      <c r="N279" s="2" t="s">
        <v>43</v>
      </c>
      <c r="P279" s="4" t="s">
        <v>51</v>
      </c>
      <c r="R279" s="71" t="str">
        <f>MID(VLOOKUP($A279,Seqs!$A:$B,2,FALSE),VLOOKUP($A279,'NonXtal_SegEnds_Prot#'!A:AL,10,FALSE),1)</f>
        <v>D</v>
      </c>
      <c r="S279" s="102" t="str">
        <f>MID(VLOOKUP($A279,Seqs!$A:$B,2,FALSE),VLOOKUP($A279,'NonXtal_SegEnds_Prot#'!A:AL,10,FALSE)+6,1)</f>
        <v>T</v>
      </c>
      <c r="T279" s="102" t="str">
        <f>MID(VLOOKUP($A279,Seqs!$A:$B,2,FALSE),VLOOKUP($A279,'NonXtal_SegEnds_Prot#'!A:AL,10,FALSE)+7,1)</f>
        <v>L</v>
      </c>
      <c r="U279" s="102" t="str">
        <f>MID(VLOOKUP($A279,Seqs!$A:$B,2,FALSE),VLOOKUP($A279,'NonXtal_SegEnds_Prot#'!A:AL,10,FALSE)+8,1)</f>
        <v>P</v>
      </c>
      <c r="V279" s="102" t="str">
        <f>MID(VLOOKUP($A279,Seqs!$A:$B,2,FALSE),VLOOKUP($A279,'NonXtal_SegEnds_Prot#'!A:AL,10,FALSE)+9,1)</f>
        <v>M</v>
      </c>
      <c r="W279" s="71" t="str">
        <f>MID(VLOOKUP($A279,Seqs!$A:$B,2,FALSE),VLOOKUP($A279,'NonXtal_SegEnds_Prot#'!$A:$AL,22,FALSE)+6,1)</f>
        <v>E</v>
      </c>
      <c r="X279" s="102" t="str">
        <f>MID(VLOOKUP($A279,Seqs!$A:$B,2,FALSE),VLOOKUP($A279,'NonXtal_SegEnds_Prot#'!$A:$AL,22,FALSE)+7,1)</f>
        <v>L</v>
      </c>
      <c r="Y279" s="102" t="str">
        <f>MID(VLOOKUP($A279,Seqs!$A:$B,2,FALSE),VLOOKUP($A279,'NonXtal_SegEnds_Prot#'!$A:$AL,22,FALSE)+8,1)</f>
        <v>L</v>
      </c>
      <c r="Z279" s="102" t="str">
        <f>MID(VLOOKUP($A279,Seqs!$A:$B,2,FALSE),VLOOKUP($A279,'NonXtal_SegEnds_Prot#'!$A:$AL,22,FALSE)+9,1)</f>
        <v>P</v>
      </c>
      <c r="AA279" s="102" t="str">
        <f>MID(VLOOKUP($A279,Seqs!$A:$B,2,FALSE),VLOOKUP($A279,'NonXtal_SegEnds_Prot#'!$A:$AL,22,FALSE)+10,1)</f>
        <v>I</v>
      </c>
      <c r="AB279" s="71" t="str">
        <f>MID(VLOOKUP($A279,Seqs!$A:$B,2,FALSE),VLOOKUP($A279,'NonXtal_SegEnds_Prot#'!$A:$AL,28,FALSE)-4,1)</f>
        <v>G</v>
      </c>
      <c r="AC279" s="102" t="str">
        <f>MID(VLOOKUP($A279,Seqs!$A:$B,2,FALSE),VLOOKUP($A279,'NonXtal_SegEnds_Prot#'!$A:$AL,28,FALSE),1)</f>
        <v>P</v>
      </c>
    </row>
    <row r="280" spans="1:29" s="2" customFormat="1" x14ac:dyDescent="0.2">
      <c r="A280" s="2" t="s">
        <v>668</v>
      </c>
      <c r="B280" s="2" t="str">
        <f>LOWER(VLOOKUP(A280,Xtal_Templ!A:B,2,FALSE))</f>
        <v>s1pr1_human</v>
      </c>
      <c r="C280" s="2" t="str">
        <f>VLOOKUP(A280,Classification!A:D,2,FALSE)</f>
        <v>A</v>
      </c>
      <c r="P280" s="4" t="s">
        <v>51</v>
      </c>
      <c r="R280" s="71" t="str">
        <f>MID(VLOOKUP($A280,Seqs!$A:$B,2,FALSE),VLOOKUP($A280,'NonXtal_SegEnds_Prot#'!A:AL,10,FALSE),1)</f>
        <v>D</v>
      </c>
      <c r="S280" s="102" t="str">
        <f>MID(VLOOKUP($A280,Seqs!$A:$B,2,FALSE),VLOOKUP($A280,'NonXtal_SegEnds_Prot#'!A:AL,10,FALSE)+6,1)</f>
        <v>V</v>
      </c>
      <c r="T280" s="102" t="str">
        <f>MID(VLOOKUP($A280,Seqs!$A:$B,2,FALSE),VLOOKUP($A280,'NonXtal_SegEnds_Prot#'!A:AL,10,FALSE)+7,1)</f>
        <v>T</v>
      </c>
      <c r="U280" s="102" t="str">
        <f>MID(VLOOKUP($A280,Seqs!$A:$B,2,FALSE),VLOOKUP($A280,'NonXtal_SegEnds_Prot#'!A:AL,10,FALSE)+8,1)</f>
        <v>G</v>
      </c>
      <c r="V280" s="102" t="str">
        <f>MID(VLOOKUP($A280,Seqs!$A:$B,2,FALSE),VLOOKUP($A280,'NonXtal_SegEnds_Prot#'!A:AL,10,FALSE)+9,1)</f>
        <v>T</v>
      </c>
      <c r="W280" s="71" t="str">
        <f>MID(VLOOKUP($A280,Seqs!$A:$B,2,FALSE),VLOOKUP($A280,'NonXtal_SegEnds_Prot#'!$A:$AL,22,FALSE)+6,1)</f>
        <v>L</v>
      </c>
      <c r="X280" s="102" t="str">
        <f>MID(VLOOKUP($A280,Seqs!$A:$B,2,FALSE),VLOOKUP($A280,'NonXtal_SegEnds_Prot#'!$A:$AL,22,FALSE)+7,1)</f>
        <v>G</v>
      </c>
      <c r="Y280" s="102" t="str">
        <f>MID(VLOOKUP($A280,Seqs!$A:$B,2,FALSE),VLOOKUP($A280,'NonXtal_SegEnds_Prot#'!$A:$AL,22,FALSE)+8,1)</f>
        <v>L</v>
      </c>
      <c r="Z280" s="102" t="str">
        <f>MID(VLOOKUP($A280,Seqs!$A:$B,2,FALSE),VLOOKUP($A280,'NonXtal_SegEnds_Prot#'!$A:$AL,22,FALSE)+9,1)</f>
        <v>L</v>
      </c>
      <c r="AA280" s="102" t="str">
        <f>MID(VLOOKUP($A280,Seqs!$A:$B,2,FALSE),VLOOKUP($A280,'NonXtal_SegEnds_Prot#'!$A:$AL,22,FALSE)+10,1)</f>
        <v>P</v>
      </c>
      <c r="AB280" s="71" t="str">
        <f>MID(VLOOKUP($A280,Seqs!$A:$B,2,FALSE),VLOOKUP($A280,'NonXtal_SegEnds_Prot#'!$A:$AL,28,FALSE)-4,1)</f>
        <v>L</v>
      </c>
      <c r="AC280" s="102" t="str">
        <f>MID(VLOOKUP($A280,Seqs!$A:$B,2,FALSE),VLOOKUP($A280,'NonXtal_SegEnds_Prot#'!$A:$AL,28,FALSE),1)</f>
        <v>S</v>
      </c>
    </row>
    <row r="281" spans="1:29" s="2" customFormat="1" x14ac:dyDescent="0.2">
      <c r="A281" s="2" t="s">
        <v>581</v>
      </c>
      <c r="B281" s="2" t="str">
        <f>LOWER(VLOOKUP(A281,Xtal_Templ!A:B,2,FALSE))</f>
        <v>adrb1_melga</v>
      </c>
      <c r="C281" s="2" t="str">
        <f>VLOOKUP(A281,Classification!A:D,2,FALSE)</f>
        <v>A</v>
      </c>
      <c r="E281" s="2" t="s">
        <v>20</v>
      </c>
      <c r="N281" s="2" t="s">
        <v>43</v>
      </c>
      <c r="P281" s="4" t="s">
        <v>51</v>
      </c>
      <c r="R281" s="71" t="str">
        <f>MID(VLOOKUP($A281,Seqs!$A:$B,2,FALSE),VLOOKUP($A281,'NonXtal_SegEnds_Prot#'!A:AL,10,FALSE),1)</f>
        <v>D</v>
      </c>
      <c r="S281" s="102" t="str">
        <f>MID(VLOOKUP($A281,Seqs!$A:$B,2,FALSE),VLOOKUP($A281,'NonXtal_SegEnds_Prot#'!A:AL,10,FALSE)+6,1)</f>
        <v>L</v>
      </c>
      <c r="T281" s="102" t="str">
        <f>MID(VLOOKUP($A281,Seqs!$A:$B,2,FALSE),VLOOKUP($A281,'NonXtal_SegEnds_Prot#'!A:AL,10,FALSE)+7,1)</f>
        <v>V</v>
      </c>
      <c r="U281" s="102" t="str">
        <f>MID(VLOOKUP($A281,Seqs!$A:$B,2,FALSE),VLOOKUP($A281,'NonXtal_SegEnds_Prot#'!A:AL,10,FALSE)+8,1)</f>
        <v>M</v>
      </c>
      <c r="V281" s="102" t="str">
        <f>MID(VLOOKUP($A281,Seqs!$A:$B,2,FALSE),VLOOKUP($A281,'NonXtal_SegEnds_Prot#'!A:AL,10,FALSE)+9,1)</f>
        <v>P</v>
      </c>
      <c r="W281" s="71" t="str">
        <f>MID(VLOOKUP($A281,Seqs!$A:$B,2,FALSE),VLOOKUP($A281,'NonXtal_SegEnds_Prot#'!$A:$AL,22,FALSE)+6,1)</f>
        <v>F</v>
      </c>
      <c r="X281" s="102" t="str">
        <f>MID(VLOOKUP($A281,Seqs!$A:$B,2,FALSE),VLOOKUP($A281,'NonXtal_SegEnds_Prot#'!$A:$AL,22,FALSE)+7,1)</f>
        <v>A</v>
      </c>
      <c r="Y281" s="102" t="str">
        <f>MID(VLOOKUP($A281,Seqs!$A:$B,2,FALSE),VLOOKUP($A281,'NonXtal_SegEnds_Prot#'!$A:$AL,22,FALSE)+8,1)</f>
        <v>F</v>
      </c>
      <c r="Z281" s="102" t="str">
        <f>MID(VLOOKUP($A281,Seqs!$A:$B,2,FALSE),VLOOKUP($A281,'NonXtal_SegEnds_Prot#'!$A:$AL,22,FALSE)+9,1)</f>
        <v>G</v>
      </c>
      <c r="AA281" s="102" t="str">
        <f>MID(VLOOKUP($A281,Seqs!$A:$B,2,FALSE),VLOOKUP($A281,'NonXtal_SegEnds_Prot#'!$A:$AL,22,FALSE)+10,1)</f>
        <v>M</v>
      </c>
      <c r="AB281" s="71" t="str">
        <f>MID(VLOOKUP($A281,Seqs!$A:$B,2,FALSE),VLOOKUP($A281,'NonXtal_SegEnds_Prot#'!$A:$AL,28,FALSE)-4,1)</f>
        <v>S</v>
      </c>
      <c r="AC281" s="102" t="str">
        <f>MID(VLOOKUP($A281,Seqs!$A:$B,2,FALSE),VLOOKUP($A281,'NonXtal_SegEnds_Prot#'!$A:$AL,28,FALSE),1)</f>
        <v>P</v>
      </c>
    </row>
    <row r="282" spans="1:29" s="2" customFormat="1" x14ac:dyDescent="0.2">
      <c r="A282" s="2" t="s">
        <v>582</v>
      </c>
      <c r="B282" s="2" t="str">
        <f>LOWER(VLOOKUP(A282,Xtal_Templ!A:B,2,FALSE))</f>
        <v>5ht1b_human</v>
      </c>
      <c r="C282" s="2" t="str">
        <f>VLOOKUP(A282,Classification!A:D,2,FALSE)</f>
        <v>A</v>
      </c>
      <c r="E282" s="2" t="s">
        <v>20</v>
      </c>
      <c r="N282" s="2" t="s">
        <v>43</v>
      </c>
      <c r="P282" s="4" t="s">
        <v>51</v>
      </c>
      <c r="R282" s="71" t="str">
        <f>MID(VLOOKUP($A282,Seqs!$A:$B,2,FALSE),VLOOKUP($A282,'NonXtal_SegEnds_Prot#'!A:AL,10,FALSE),1)</f>
        <v>D</v>
      </c>
      <c r="S282" s="102" t="str">
        <f>MID(VLOOKUP($A282,Seqs!$A:$B,2,FALSE),VLOOKUP($A282,'NonXtal_SegEnds_Prot#'!A:AL,10,FALSE)+6,1)</f>
        <v>T</v>
      </c>
      <c r="T282" s="102" t="str">
        <f>MID(VLOOKUP($A282,Seqs!$A:$B,2,FALSE),VLOOKUP($A282,'NonXtal_SegEnds_Prot#'!A:AL,10,FALSE)+7,1)</f>
        <v>I</v>
      </c>
      <c r="U282" s="102" t="str">
        <f>MID(VLOOKUP($A282,Seqs!$A:$B,2,FALSE),VLOOKUP($A282,'NonXtal_SegEnds_Prot#'!A:AL,10,FALSE)+8,1)</f>
        <v>M</v>
      </c>
      <c r="V282" s="102" t="str">
        <f>MID(VLOOKUP($A282,Seqs!$A:$B,2,FALSE),VLOOKUP($A282,'NonXtal_SegEnds_Prot#'!A:AL,10,FALSE)+9,1)</f>
        <v>P</v>
      </c>
      <c r="W282" s="71" t="str">
        <f>MID(VLOOKUP($A282,Seqs!$A:$B,2,FALSE),VLOOKUP($A282,'NonXtal_SegEnds_Prot#'!$A:$AL,22,FALSE)+6,1)</f>
        <v>F</v>
      </c>
      <c r="X282" s="102" t="str">
        <f>MID(VLOOKUP($A282,Seqs!$A:$B,2,FALSE),VLOOKUP($A282,'NonXtal_SegEnds_Prot#'!$A:$AL,22,FALSE)+7,1)</f>
        <v>A</v>
      </c>
      <c r="Y282" s="102" t="str">
        <f>MID(VLOOKUP($A282,Seqs!$A:$B,2,FALSE),VLOOKUP($A282,'NonXtal_SegEnds_Prot#'!$A:$AL,22,FALSE)+8,1)</f>
        <v>F</v>
      </c>
      <c r="Z282" s="102" t="str">
        <f>MID(VLOOKUP($A282,Seqs!$A:$B,2,FALSE),VLOOKUP($A282,'NonXtal_SegEnds_Prot#'!$A:$AL,22,FALSE)+9,1)</f>
        <v>G</v>
      </c>
      <c r="AA282" s="102" t="str">
        <f>MID(VLOOKUP($A282,Seqs!$A:$B,2,FALSE),VLOOKUP($A282,'NonXtal_SegEnds_Prot#'!$A:$AL,22,FALSE)+10,1)</f>
        <v>V</v>
      </c>
      <c r="AB282" s="71" t="str">
        <f>MID(VLOOKUP($A282,Seqs!$A:$B,2,FALSE),VLOOKUP($A282,'NonXtal_SegEnds_Prot#'!$A:$AL,28,FALSE)-4,1)</f>
        <v>G</v>
      </c>
      <c r="AC282" s="102" t="str">
        <f>MID(VLOOKUP($A282,Seqs!$A:$B,2,FALSE),VLOOKUP($A282,'NonXtal_SegEnds_Prot#'!$A:$AL,28,FALSE),1)</f>
        <v>P</v>
      </c>
    </row>
    <row r="283" spans="1:29" s="2" customFormat="1" x14ac:dyDescent="0.2">
      <c r="A283" s="2" t="s">
        <v>583</v>
      </c>
      <c r="B283" s="2" t="str">
        <f>LOWER(VLOOKUP(A283,Xtal_Templ!A:B,2,FALSE))</f>
        <v>5ht1b_human</v>
      </c>
      <c r="C283" s="2" t="str">
        <f>VLOOKUP(A283,Classification!A:D,2,FALSE)</f>
        <v>A</v>
      </c>
      <c r="E283" s="2" t="s">
        <v>20</v>
      </c>
      <c r="N283" s="2" t="s">
        <v>43</v>
      </c>
      <c r="P283" s="4" t="s">
        <v>51</v>
      </c>
      <c r="R283" s="71" t="str">
        <f>MID(VLOOKUP($A283,Seqs!$A:$B,2,FALSE),VLOOKUP($A283,'NonXtal_SegEnds_Prot#'!A:AL,10,FALSE),1)</f>
        <v>D</v>
      </c>
      <c r="S283" s="102" t="str">
        <f>MID(VLOOKUP($A283,Seqs!$A:$B,2,FALSE),VLOOKUP($A283,'NonXtal_SegEnds_Prot#'!A:AL,10,FALSE)+6,1)</f>
        <v>V</v>
      </c>
      <c r="T283" s="102" t="str">
        <f>MID(VLOOKUP($A283,Seqs!$A:$B,2,FALSE),VLOOKUP($A283,'NonXtal_SegEnds_Prot#'!A:AL,10,FALSE)+7,1)</f>
        <v>I</v>
      </c>
      <c r="U283" s="102" t="str">
        <f>MID(VLOOKUP($A283,Seqs!$A:$B,2,FALSE),VLOOKUP($A283,'NonXtal_SegEnds_Prot#'!A:AL,10,FALSE)+8,1)</f>
        <v>M</v>
      </c>
      <c r="V283" s="102" t="str">
        <f>MID(VLOOKUP($A283,Seqs!$A:$B,2,FALSE),VLOOKUP($A283,'NonXtal_SegEnds_Prot#'!A:AL,10,FALSE)+9,1)</f>
        <v>P</v>
      </c>
      <c r="W283" s="71" t="str">
        <f>MID(VLOOKUP($A283,Seqs!$A:$B,2,FALSE),VLOOKUP($A283,'NonXtal_SegEnds_Prot#'!$A:$AL,22,FALSE)+6,1)</f>
        <v>F</v>
      </c>
      <c r="X283" s="102" t="str">
        <f>MID(VLOOKUP($A283,Seqs!$A:$B,2,FALSE),VLOOKUP($A283,'NonXtal_SegEnds_Prot#'!$A:$AL,22,FALSE)+7,1)</f>
        <v>S</v>
      </c>
      <c r="Y283" s="102" t="str">
        <f>MID(VLOOKUP($A283,Seqs!$A:$B,2,FALSE),VLOOKUP($A283,'NonXtal_SegEnds_Prot#'!$A:$AL,22,FALSE)+8,1)</f>
        <v>F</v>
      </c>
      <c r="Z283" s="102" t="str">
        <f>MID(VLOOKUP($A283,Seqs!$A:$B,2,FALSE),VLOOKUP($A283,'NonXtal_SegEnds_Prot#'!$A:$AL,22,FALSE)+9,1)</f>
        <v>G</v>
      </c>
      <c r="AA283" s="102" t="str">
        <f>MID(VLOOKUP($A283,Seqs!$A:$B,2,FALSE),VLOOKUP($A283,'NonXtal_SegEnds_Prot#'!$A:$AL,22,FALSE)+10,1)</f>
        <v>L</v>
      </c>
      <c r="AB283" s="71" t="str">
        <f>MID(VLOOKUP($A283,Seqs!$A:$B,2,FALSE),VLOOKUP($A283,'NonXtal_SegEnds_Prot#'!$A:$AL,28,FALSE)-4,1)</f>
        <v>C</v>
      </c>
      <c r="AC283" s="102" t="str">
        <f>MID(VLOOKUP($A283,Seqs!$A:$B,2,FALSE),VLOOKUP($A283,'NonXtal_SegEnds_Prot#'!$A:$AL,28,FALSE),1)</f>
        <v>P</v>
      </c>
    </row>
    <row r="284" spans="1:29" s="2" customFormat="1" x14ac:dyDescent="0.2">
      <c r="A284" s="2" t="s">
        <v>584</v>
      </c>
      <c r="B284" s="2" t="str">
        <f>LOWER(VLOOKUP(A284,Xtal_Templ!A:B,2,FALSE))</f>
        <v>5ht1b_human</v>
      </c>
      <c r="C284" s="2" t="str">
        <f>VLOOKUP(A284,Classification!A:D,2,FALSE)</f>
        <v>A</v>
      </c>
      <c r="E284" s="2" t="s">
        <v>20</v>
      </c>
      <c r="N284" s="2" t="s">
        <v>43</v>
      </c>
      <c r="P284" s="4" t="s">
        <v>51</v>
      </c>
      <c r="R284" s="71" t="str">
        <f>MID(VLOOKUP($A284,Seqs!$A:$B,2,FALSE),VLOOKUP($A284,'NonXtal_SegEnds_Prot#'!A:AL,10,FALSE),1)</f>
        <v>D</v>
      </c>
      <c r="S284" s="102" t="str">
        <f>MID(VLOOKUP($A284,Seqs!$A:$B,2,FALSE),VLOOKUP($A284,'NonXtal_SegEnds_Prot#'!A:AL,10,FALSE)+6,1)</f>
        <v>L</v>
      </c>
      <c r="T284" s="102" t="str">
        <f>MID(VLOOKUP($A284,Seqs!$A:$B,2,FALSE),VLOOKUP($A284,'NonXtal_SegEnds_Prot#'!A:AL,10,FALSE)+7,1)</f>
        <v>V</v>
      </c>
      <c r="U284" s="102" t="str">
        <f>MID(VLOOKUP($A284,Seqs!$A:$B,2,FALSE),VLOOKUP($A284,'NonXtal_SegEnds_Prot#'!A:AL,10,FALSE)+8,1)</f>
        <v>L</v>
      </c>
      <c r="V284" s="102" t="str">
        <f>MID(VLOOKUP($A284,Seqs!$A:$B,2,FALSE),VLOOKUP($A284,'NonXtal_SegEnds_Prot#'!A:AL,10,FALSE)+9,1)</f>
        <v>P</v>
      </c>
      <c r="W284" s="71" t="str">
        <f>MID(VLOOKUP($A284,Seqs!$A:$B,2,FALSE),VLOOKUP($A284,'NonXtal_SegEnds_Prot#'!$A:$AL,22,FALSE)+6,1)</f>
        <v>Y</v>
      </c>
      <c r="X284" s="102" t="str">
        <f>MID(VLOOKUP($A284,Seqs!$A:$B,2,FALSE),VLOOKUP($A284,'NonXtal_SegEnds_Prot#'!$A:$AL,22,FALSE)+7,1)</f>
        <v>T</v>
      </c>
      <c r="Y284" s="102" t="str">
        <f>MID(VLOOKUP($A284,Seqs!$A:$B,2,FALSE),VLOOKUP($A284,'NonXtal_SegEnds_Prot#'!$A:$AL,22,FALSE)+8,1)</f>
        <v>S</v>
      </c>
      <c r="Z284" s="102" t="str">
        <f>MID(VLOOKUP($A284,Seqs!$A:$B,2,FALSE),VLOOKUP($A284,'NonXtal_SegEnds_Prot#'!$A:$AL,22,FALSE)+9,1)</f>
        <v>L</v>
      </c>
      <c r="AA284" s="102" t="str">
        <f>MID(VLOOKUP($A284,Seqs!$A:$B,2,FALSE),VLOOKUP($A284,'NonXtal_SegEnds_Prot#'!$A:$AL,22,FALSE)+10,1)</f>
        <v>F</v>
      </c>
      <c r="AB284" s="71" t="str">
        <f>MID(VLOOKUP($A284,Seqs!$A:$B,2,FALSE),VLOOKUP($A284,'NonXtal_SegEnds_Prot#'!$A:$AL,28,FALSE)-4,1)</f>
        <v>L</v>
      </c>
      <c r="AC284" s="102" t="str">
        <f>MID(VLOOKUP($A284,Seqs!$A:$B,2,FALSE),VLOOKUP($A284,'NonXtal_SegEnds_Prot#'!$A:$AL,28,FALSE),1)</f>
        <v>P</v>
      </c>
    </row>
    <row r="285" spans="1:29" s="2" customFormat="1" x14ac:dyDescent="0.2">
      <c r="A285" s="2" t="s">
        <v>585</v>
      </c>
      <c r="B285" s="2" t="str">
        <f>LOWER(VLOOKUP(A285,Xtal_Templ!A:B,2,FALSE))</f>
        <v>5ht1b_human</v>
      </c>
      <c r="C285" s="2" t="str">
        <f>VLOOKUP(A285,Classification!A:D,2,FALSE)</f>
        <v>A</v>
      </c>
      <c r="E285" s="2" t="s">
        <v>20</v>
      </c>
      <c r="N285" s="2" t="s">
        <v>43</v>
      </c>
      <c r="P285" s="4" t="s">
        <v>51</v>
      </c>
      <c r="R285" s="71" t="str">
        <f>MID(VLOOKUP($A285,Seqs!$A:$B,2,FALSE),VLOOKUP($A285,'NonXtal_SegEnds_Prot#'!A:AL,10,FALSE),1)</f>
        <v>D</v>
      </c>
      <c r="S285" s="102" t="str">
        <f>MID(VLOOKUP($A285,Seqs!$A:$B,2,FALSE),VLOOKUP($A285,'NonXtal_SegEnds_Prot#'!A:AL,10,FALSE)+6,1)</f>
        <v>T</v>
      </c>
      <c r="T285" s="102" t="str">
        <f>MID(VLOOKUP($A285,Seqs!$A:$B,2,FALSE),VLOOKUP($A285,'NonXtal_SegEnds_Prot#'!A:AL,10,FALSE)+7,1)</f>
        <v>V</v>
      </c>
      <c r="U285" s="102" t="str">
        <f>MID(VLOOKUP($A285,Seqs!$A:$B,2,FALSE),VLOOKUP($A285,'NonXtal_SegEnds_Prot#'!A:AL,10,FALSE)+8,1)</f>
        <v>M</v>
      </c>
      <c r="V285" s="102" t="str">
        <f>MID(VLOOKUP($A285,Seqs!$A:$B,2,FALSE),VLOOKUP($A285,'NonXtal_SegEnds_Prot#'!A:AL,10,FALSE)+9,1)</f>
        <v>P</v>
      </c>
      <c r="W285" s="71" t="str">
        <f>MID(VLOOKUP($A285,Seqs!$A:$B,2,FALSE),VLOOKUP($A285,'NonXtal_SegEnds_Prot#'!$A:$AL,22,FALSE)+6,1)</f>
        <v>Y</v>
      </c>
      <c r="X285" s="102" t="str">
        <f>MID(VLOOKUP($A285,Seqs!$A:$B,2,FALSE),VLOOKUP($A285,'NonXtal_SegEnds_Prot#'!$A:$AL,22,FALSE)+7,1)</f>
        <v>S</v>
      </c>
      <c r="Y285" s="102" t="str">
        <f>MID(VLOOKUP($A285,Seqs!$A:$B,2,FALSE),VLOOKUP($A285,'NonXtal_SegEnds_Prot#'!$A:$AL,22,FALSE)+8,1)</f>
        <v>G</v>
      </c>
      <c r="Z285" s="102" t="str">
        <f>MID(VLOOKUP($A285,Seqs!$A:$B,2,FALSE),VLOOKUP($A285,'NonXtal_SegEnds_Prot#'!$A:$AL,22,FALSE)+9,1)</f>
        <v>A</v>
      </c>
      <c r="AA285" s="102" t="str">
        <f>MID(VLOOKUP($A285,Seqs!$A:$B,2,FALSE),VLOOKUP($A285,'NonXtal_SegEnds_Prot#'!$A:$AL,22,FALSE)+10,1)</f>
        <v>V</v>
      </c>
      <c r="AB285" s="71" t="str">
        <f>MID(VLOOKUP($A285,Seqs!$A:$B,2,FALSE),VLOOKUP($A285,'NonXtal_SegEnds_Prot#'!$A:$AL,28,FALSE)-4,1)</f>
        <v>S</v>
      </c>
      <c r="AC285" s="102" t="str">
        <f>MID(VLOOKUP($A285,Seqs!$A:$B,2,FALSE),VLOOKUP($A285,'NonXtal_SegEnds_Prot#'!$A:$AL,28,FALSE),1)</f>
        <v>P</v>
      </c>
    </row>
    <row r="286" spans="1:29" s="2" customFormat="1" x14ac:dyDescent="0.2">
      <c r="A286" s="2" t="s">
        <v>586</v>
      </c>
      <c r="B286" s="2" t="str">
        <f>LOWER(VLOOKUP(A286,Xtal_Templ!A:B,2,FALSE))</f>
        <v>5ht1b_human</v>
      </c>
      <c r="C286" s="2" t="str">
        <f>VLOOKUP(A286,Classification!A:D,2,FALSE)</f>
        <v>A</v>
      </c>
      <c r="N286" s="2" t="s">
        <v>43</v>
      </c>
      <c r="P286" s="4" t="s">
        <v>51</v>
      </c>
      <c r="R286" s="71" t="str">
        <f>MID(VLOOKUP($A286,Seqs!$A:$B,2,FALSE),VLOOKUP($A286,'NonXtal_SegEnds_Prot#'!A:AL,10,FALSE),1)</f>
        <v>D</v>
      </c>
      <c r="S286" s="102" t="str">
        <f>MID(VLOOKUP($A286,Seqs!$A:$B,2,FALSE),VLOOKUP($A286,'NonXtal_SegEnds_Prot#'!A:AL,10,FALSE)+6,1)</f>
        <v>T</v>
      </c>
      <c r="T286" s="102" t="str">
        <f>MID(VLOOKUP($A286,Seqs!$A:$B,2,FALSE),VLOOKUP($A286,'NonXtal_SegEnds_Prot#'!A:AL,10,FALSE)+7,1)</f>
        <v>V</v>
      </c>
      <c r="U286" s="102" t="str">
        <f>MID(VLOOKUP($A286,Seqs!$A:$B,2,FALSE),VLOOKUP($A286,'NonXtal_SegEnds_Prot#'!A:AL,10,FALSE)+8,1)</f>
        <v>M</v>
      </c>
      <c r="V286" s="102" t="str">
        <f>MID(VLOOKUP($A286,Seqs!$A:$B,2,FALSE),VLOOKUP($A286,'NonXtal_SegEnds_Prot#'!A:AL,10,FALSE)+9,1)</f>
        <v>L</v>
      </c>
      <c r="W286" s="71" t="str">
        <f>MID(VLOOKUP($A286,Seqs!$A:$B,2,FALSE),VLOOKUP($A286,'NonXtal_SegEnds_Prot#'!$A:$AL,22,FALSE)+6,1)</f>
        <v>Y</v>
      </c>
      <c r="X286" s="102" t="str">
        <f>MID(VLOOKUP($A286,Seqs!$A:$B,2,FALSE),VLOOKUP($A286,'NonXtal_SegEnds_Prot#'!$A:$AL,22,FALSE)+7,1)</f>
        <v>S</v>
      </c>
      <c r="Y286" s="102" t="str">
        <f>MID(VLOOKUP($A286,Seqs!$A:$B,2,FALSE),VLOOKUP($A286,'NonXtal_SegEnds_Prot#'!$A:$AL,22,FALSE)+8,1)</f>
        <v>G</v>
      </c>
      <c r="Z286" s="102" t="str">
        <f>MID(VLOOKUP($A286,Seqs!$A:$B,2,FALSE),VLOOKUP($A286,'NonXtal_SegEnds_Prot#'!$A:$AL,22,FALSE)+9,1)</f>
        <v>A</v>
      </c>
      <c r="AA286" s="102" t="str">
        <f>MID(VLOOKUP($A286,Seqs!$A:$B,2,FALSE),VLOOKUP($A286,'NonXtal_SegEnds_Prot#'!$A:$AL,22,FALSE)+10,1)</f>
        <v>V</v>
      </c>
      <c r="AB286" s="71" t="str">
        <f>MID(VLOOKUP($A286,Seqs!$A:$B,2,FALSE),VLOOKUP($A286,'NonXtal_SegEnds_Prot#'!$A:$AL,28,FALSE)-4,1)</f>
        <v>L</v>
      </c>
      <c r="AC286" s="102" t="str">
        <f>MID(VLOOKUP($A286,Seqs!$A:$B,2,FALSE),VLOOKUP($A286,'NonXtal_SegEnds_Prot#'!$A:$AL,28,FALSE),1)</f>
        <v>P</v>
      </c>
    </row>
    <row r="287" spans="1:29" s="2" customFormat="1" x14ac:dyDescent="0.2">
      <c r="A287" s="2" t="s">
        <v>587</v>
      </c>
      <c r="B287" s="2" t="str">
        <f>LOWER(VLOOKUP(A287,Xtal_Templ!A:B,2,FALSE))</f>
        <v>5ht1b_human</v>
      </c>
      <c r="C287" s="2" t="str">
        <f>VLOOKUP(A287,Classification!A:D,2,FALSE)</f>
        <v>A</v>
      </c>
      <c r="E287" s="2" t="s">
        <v>20</v>
      </c>
      <c r="N287" s="2" t="s">
        <v>43</v>
      </c>
      <c r="P287" s="4" t="s">
        <v>51</v>
      </c>
      <c r="R287" s="71" t="str">
        <f>MID(VLOOKUP($A287,Seqs!$A:$B,2,FALSE),VLOOKUP($A287,'NonXtal_SegEnds_Prot#'!A:AL,10,FALSE),1)</f>
        <v>D</v>
      </c>
      <c r="S287" s="102" t="str">
        <f>MID(VLOOKUP($A287,Seqs!$A:$B,2,FALSE),VLOOKUP($A287,'NonXtal_SegEnds_Prot#'!A:AL,10,FALSE)+6,1)</f>
        <v>T</v>
      </c>
      <c r="T287" s="102" t="str">
        <f>MID(VLOOKUP($A287,Seqs!$A:$B,2,FALSE),VLOOKUP($A287,'NonXtal_SegEnds_Prot#'!A:AL,10,FALSE)+7,1)</f>
        <v>V</v>
      </c>
      <c r="U287" s="102" t="str">
        <f>MID(VLOOKUP($A287,Seqs!$A:$B,2,FALSE),VLOOKUP($A287,'NonXtal_SegEnds_Prot#'!A:AL,10,FALSE)+8,1)</f>
        <v>M</v>
      </c>
      <c r="V287" s="102" t="str">
        <f>MID(VLOOKUP($A287,Seqs!$A:$B,2,FALSE),VLOOKUP($A287,'NonXtal_SegEnds_Prot#'!A:AL,10,FALSE)+9,1)</f>
        <v>P</v>
      </c>
      <c r="W287" s="71" t="str">
        <f>MID(VLOOKUP($A287,Seqs!$A:$B,2,FALSE),VLOOKUP($A287,'NonXtal_SegEnds_Prot#'!$A:$AL,22,FALSE)+6,1)</f>
        <v>Y</v>
      </c>
      <c r="X287" s="102" t="str">
        <f>MID(VLOOKUP($A287,Seqs!$A:$B,2,FALSE),VLOOKUP($A287,'NonXtal_SegEnds_Prot#'!$A:$AL,22,FALSE)+7,1)</f>
        <v>S</v>
      </c>
      <c r="Y287" s="102" t="str">
        <f>MID(VLOOKUP($A287,Seqs!$A:$B,2,FALSE),VLOOKUP($A287,'NonXtal_SegEnds_Prot#'!$A:$AL,22,FALSE)+8,1)</f>
        <v>F</v>
      </c>
      <c r="Z287" s="102" t="str">
        <f>MID(VLOOKUP($A287,Seqs!$A:$B,2,FALSE),VLOOKUP($A287,'NonXtal_SegEnds_Prot#'!$A:$AL,22,FALSE)+9,1)</f>
        <v>S</v>
      </c>
      <c r="AA287" s="102" t="str">
        <f>MID(VLOOKUP($A287,Seqs!$A:$B,2,FALSE),VLOOKUP($A287,'NonXtal_SegEnds_Prot#'!$A:$AL,22,FALSE)+10,1)</f>
        <v>I</v>
      </c>
      <c r="AB287" s="71" t="str">
        <f>MID(VLOOKUP($A287,Seqs!$A:$B,2,FALSE),VLOOKUP($A287,'NonXtal_SegEnds_Prot#'!$A:$AL,28,FALSE)-4,1)</f>
        <v>L</v>
      </c>
      <c r="AC287" s="102" t="str">
        <f>MID(VLOOKUP($A287,Seqs!$A:$B,2,FALSE),VLOOKUP($A287,'NonXtal_SegEnds_Prot#'!$A:$AL,28,FALSE),1)</f>
        <v>P</v>
      </c>
    </row>
    <row r="288" spans="1:29" s="2" customFormat="1" x14ac:dyDescent="0.2">
      <c r="A288" s="2" t="s">
        <v>588</v>
      </c>
      <c r="B288" s="2" t="str">
        <f>LOWER(VLOOKUP(A288,Xtal_Templ!A:B,2,FALSE))</f>
        <v>oprx_human</v>
      </c>
      <c r="C288" s="2" t="str">
        <f>VLOOKUP(A288,Classification!A:D,2,FALSE)</f>
        <v>A</v>
      </c>
      <c r="P288" s="4" t="s">
        <v>51</v>
      </c>
      <c r="R288" s="71" t="str">
        <f>MID(VLOOKUP($A288,Seqs!$A:$B,2,FALSE),VLOOKUP($A288,'NonXtal_SegEnds_Prot#'!A:AL,10,FALSE),1)</f>
        <v>D</v>
      </c>
      <c r="S288" s="102" t="str">
        <f>MID(VLOOKUP($A288,Seqs!$A:$B,2,FALSE),VLOOKUP($A288,'NonXtal_SegEnds_Prot#'!A:AL,10,FALSE)+6,1)</f>
        <v>A</v>
      </c>
      <c r="T288" s="102" t="str">
        <f>MID(VLOOKUP($A288,Seqs!$A:$B,2,FALSE),VLOOKUP($A288,'NonXtal_SegEnds_Prot#'!A:AL,10,FALSE)+7,1)</f>
        <v>A</v>
      </c>
      <c r="U288" s="102" t="str">
        <f>MID(VLOOKUP($A288,Seqs!$A:$B,2,FALSE),VLOOKUP($A288,'NonXtal_SegEnds_Prot#'!A:AL,10,FALSE)+8,1)</f>
        <v>G</v>
      </c>
      <c r="V288" s="102" t="str">
        <f>MID(VLOOKUP($A288,Seqs!$A:$B,2,FALSE),VLOOKUP($A288,'NonXtal_SegEnds_Prot#'!A:AL,10,FALSE)+9,1)</f>
        <v>L</v>
      </c>
      <c r="W288" s="71" t="str">
        <f>MID(VLOOKUP($A288,Seqs!$A:$B,2,FALSE),VLOOKUP($A288,'NonXtal_SegEnds_Prot#'!$A:$AL,22,FALSE)+6,1)</f>
        <v>Y</v>
      </c>
      <c r="X288" s="102" t="str">
        <f>MID(VLOOKUP($A288,Seqs!$A:$B,2,FALSE),VLOOKUP($A288,'NonXtal_SegEnds_Prot#'!$A:$AL,22,FALSE)+7,1)</f>
        <v>C</v>
      </c>
      <c r="Y288" s="102" t="str">
        <f>MID(VLOOKUP($A288,Seqs!$A:$B,2,FALSE),VLOOKUP($A288,'NonXtal_SegEnds_Prot#'!$A:$AL,22,FALSE)+8,1)</f>
        <v>M</v>
      </c>
      <c r="Z288" s="102" t="str">
        <f>MID(VLOOKUP($A288,Seqs!$A:$B,2,FALSE),VLOOKUP($A288,'NonXtal_SegEnds_Prot#'!$A:$AL,22,FALSE)+9,1)</f>
        <v>L</v>
      </c>
      <c r="AA288" s="102" t="str">
        <f>MID(VLOOKUP($A288,Seqs!$A:$B,2,FALSE),VLOOKUP($A288,'NonXtal_SegEnds_Prot#'!$A:$AL,22,FALSE)+10,1)</f>
        <v>W</v>
      </c>
      <c r="AB288" s="71" t="str">
        <f>MID(VLOOKUP($A288,Seqs!$A:$B,2,FALSE),VLOOKUP($A288,'NonXtal_SegEnds_Prot#'!$A:$AL,28,FALSE)-4,1)</f>
        <v>F</v>
      </c>
      <c r="AC288" s="102" t="str">
        <f>MID(VLOOKUP($A288,Seqs!$A:$B,2,FALSE),VLOOKUP($A288,'NonXtal_SegEnds_Prot#'!$A:$AL,28,FALSE),1)</f>
        <v>P</v>
      </c>
    </row>
    <row r="289" spans="1:29" s="2" customFormat="1" x14ac:dyDescent="0.2">
      <c r="A289" s="2" t="s">
        <v>589</v>
      </c>
      <c r="B289" s="2" t="str">
        <f>LOWER(VLOOKUP(A289,Xtal_Templ!A:B,2,FALSE))</f>
        <v>aa2ar_human</v>
      </c>
      <c r="C289" s="2" t="str">
        <f>VLOOKUP(A289,Classification!A:D,2,FALSE)</f>
        <v>A</v>
      </c>
      <c r="P289" s="4" t="s">
        <v>51</v>
      </c>
      <c r="R289" s="71" t="str">
        <f>MID(VLOOKUP($A289,Seqs!$A:$B,2,FALSE),VLOOKUP($A289,'NonXtal_SegEnds_Prot#'!A:AL,10,FALSE),1)</f>
        <v>D</v>
      </c>
      <c r="S289" s="102" t="str">
        <f>MID(VLOOKUP($A289,Seqs!$A:$B,2,FALSE),VLOOKUP($A289,'NonXtal_SegEnds_Prot#'!A:AL,10,FALSE)+6,1)</f>
        <v>Y</v>
      </c>
      <c r="T289" s="102" t="str">
        <f>MID(VLOOKUP($A289,Seqs!$A:$B,2,FALSE),VLOOKUP($A289,'NonXtal_SegEnds_Prot#'!A:AL,10,FALSE)+7,1)</f>
        <v>L</v>
      </c>
      <c r="U289" s="102" t="str">
        <f>MID(VLOOKUP($A289,Seqs!$A:$B,2,FALSE),VLOOKUP($A289,'NonXtal_SegEnds_Prot#'!A:AL,10,FALSE)+8,1)</f>
        <v>L</v>
      </c>
      <c r="V289" s="102" t="str">
        <f>MID(VLOOKUP($A289,Seqs!$A:$B,2,FALSE),VLOOKUP($A289,'NonXtal_SegEnds_Prot#'!A:AL,10,FALSE)+9,1)</f>
        <v>L</v>
      </c>
      <c r="W289" s="71" t="str">
        <f>MID(VLOOKUP($A289,Seqs!$A:$B,2,FALSE),VLOOKUP($A289,'NonXtal_SegEnds_Prot#'!$A:$AL,22,FALSE)+6,1)</f>
        <v>L</v>
      </c>
      <c r="X289" s="102" t="str">
        <f>MID(VLOOKUP($A289,Seqs!$A:$B,2,FALSE),VLOOKUP($A289,'NonXtal_SegEnds_Prot#'!$A:$AL,22,FALSE)+7,1)</f>
        <v>A</v>
      </c>
      <c r="Y289" s="102" t="str">
        <f>MID(VLOOKUP($A289,Seqs!$A:$B,2,FALSE),VLOOKUP($A289,'NonXtal_SegEnds_Prot#'!$A:$AL,22,FALSE)+8,1)</f>
        <v>L</v>
      </c>
      <c r="Z289" s="102" t="str">
        <f>MID(VLOOKUP($A289,Seqs!$A:$B,2,FALSE),VLOOKUP($A289,'NonXtal_SegEnds_Prot#'!$A:$AL,22,FALSE)+9,1)</f>
        <v>L</v>
      </c>
      <c r="AA289" s="102" t="str">
        <f>MID(VLOOKUP($A289,Seqs!$A:$B,2,FALSE),VLOOKUP($A289,'NonXtal_SegEnds_Prot#'!$A:$AL,22,FALSE)+10,1)</f>
        <v>P</v>
      </c>
      <c r="AB289" s="71" t="str">
        <f>MID(VLOOKUP($A289,Seqs!$A:$B,2,FALSE),VLOOKUP($A289,'NonXtal_SegEnds_Prot#'!$A:$AL,28,FALSE)-4,1)</f>
        <v>L</v>
      </c>
      <c r="AC289" s="102" t="str">
        <f>MID(VLOOKUP($A289,Seqs!$A:$B,2,FALSE),VLOOKUP($A289,'NonXtal_SegEnds_Prot#'!$A:$AL,28,FALSE),1)</f>
        <v>A</v>
      </c>
    </row>
    <row r="290" spans="1:29" s="2" customFormat="1" x14ac:dyDescent="0.2">
      <c r="A290" s="2" t="s">
        <v>590</v>
      </c>
      <c r="B290" s="2" t="str">
        <f>LOWER(VLOOKUP(A290,Xtal_Templ!A:B,2,FALSE))</f>
        <v>oprx_human</v>
      </c>
      <c r="C290" s="2" t="str">
        <f>VLOOKUP(A290,Classification!A:D,2,FALSE)</f>
        <v>A</v>
      </c>
      <c r="K290" s="2" t="s">
        <v>59</v>
      </c>
      <c r="N290" s="2" t="s">
        <v>43</v>
      </c>
      <c r="P290" s="4" t="s">
        <v>51</v>
      </c>
      <c r="R290" s="71" t="str">
        <f>MID(VLOOKUP($A290,Seqs!$A:$B,2,FALSE),VLOOKUP($A290,'NonXtal_SegEnds_Prot#'!A:AL,10,FALSE),1)</f>
        <v>D</v>
      </c>
      <c r="S290" s="102" t="str">
        <f>MID(VLOOKUP($A290,Seqs!$A:$B,2,FALSE),VLOOKUP($A290,'NonXtal_SegEnds_Prot#'!A:AL,10,FALSE)+6,1)</f>
        <v>S</v>
      </c>
      <c r="T290" s="102" t="str">
        <f>MID(VLOOKUP($A290,Seqs!$A:$B,2,FALSE),VLOOKUP($A290,'NonXtal_SegEnds_Prot#'!A:AL,10,FALSE)+7,1)</f>
        <v>I</v>
      </c>
      <c r="U290" s="102" t="str">
        <f>MID(VLOOKUP($A290,Seqs!$A:$B,2,FALSE),VLOOKUP($A290,'NonXtal_SegEnds_Prot#'!A:AL,10,FALSE)+8,1)</f>
        <v>P</v>
      </c>
      <c r="V290" s="102" t="str">
        <f>MID(VLOOKUP($A290,Seqs!$A:$B,2,FALSE),VLOOKUP($A290,'NonXtal_SegEnds_Prot#'!A:AL,10,FALSE)+9,1)</f>
        <v>F</v>
      </c>
      <c r="W290" s="71" t="str">
        <f>MID(VLOOKUP($A290,Seqs!$A:$B,2,FALSE),VLOOKUP($A290,'NonXtal_SegEnds_Prot#'!$A:$AL,22,FALSE)+6,1)</f>
        <v>L</v>
      </c>
      <c r="X290" s="102" t="str">
        <f>MID(VLOOKUP($A290,Seqs!$A:$B,2,FALSE),VLOOKUP($A290,'NonXtal_SegEnds_Prot#'!$A:$AL,22,FALSE)+7,1)</f>
        <v>T</v>
      </c>
      <c r="Y290" s="102" t="str">
        <f>MID(VLOOKUP($A290,Seqs!$A:$B,2,FALSE),VLOOKUP($A290,'NonXtal_SegEnds_Prot#'!$A:$AL,22,FALSE)+8,1)</f>
        <v>L</v>
      </c>
      <c r="Z290" s="102" t="str">
        <f>MID(VLOOKUP($A290,Seqs!$A:$B,2,FALSE),VLOOKUP($A290,'NonXtal_SegEnds_Prot#'!$A:$AL,22,FALSE)+9,1)</f>
        <v>P</v>
      </c>
      <c r="AA290" s="102" t="str">
        <f>MID(VLOOKUP($A290,Seqs!$A:$B,2,FALSE),VLOOKUP($A290,'NonXtal_SegEnds_Prot#'!$A:$AL,22,FALSE)+10,1)</f>
        <v>V</v>
      </c>
      <c r="AB290" s="71" t="str">
        <f>MID(VLOOKUP($A290,Seqs!$A:$B,2,FALSE),VLOOKUP($A290,'NonXtal_SegEnds_Prot#'!$A:$AL,28,FALSE)-4,1)</f>
        <v>S</v>
      </c>
      <c r="AC290" s="102" t="str">
        <f>MID(VLOOKUP($A290,Seqs!$A:$B,2,FALSE),VLOOKUP($A290,'NonXtal_SegEnds_Prot#'!$A:$AL,28,FALSE),1)</f>
        <v>P</v>
      </c>
    </row>
    <row r="291" spans="1:29" s="2" customFormat="1" x14ac:dyDescent="0.2">
      <c r="A291" s="2" t="s">
        <v>1120</v>
      </c>
      <c r="B291" s="2" t="str">
        <f>LOWER(VLOOKUP(A291,Xtal_Templ!A:B,2,FALSE))</f>
        <v>us28_hcmva</v>
      </c>
      <c r="C291" s="2" t="str">
        <f>VLOOKUP(A291,Classification!A:D,2,FALSE)</f>
        <v>A</v>
      </c>
      <c r="K291" s="2" t="s">
        <v>59</v>
      </c>
      <c r="N291" s="2" t="s">
        <v>43</v>
      </c>
      <c r="P291" s="4" t="s">
        <v>51</v>
      </c>
      <c r="R291" s="71" t="str">
        <f>MID(VLOOKUP($A291,Seqs!$A:$B,2,FALSE),VLOOKUP($A291,'NonXtal_SegEnds_Prot#'!A:AL,10,FALSE),1)</f>
        <v>D</v>
      </c>
      <c r="S291" s="102" t="str">
        <f>MID(VLOOKUP($A291,Seqs!$A:$B,2,FALSE),VLOOKUP($A291,'NonXtal_SegEnds_Prot#'!A:AL,10,FALSE)+6,1)</f>
        <v>T</v>
      </c>
      <c r="T291" s="102" t="str">
        <f>MID(VLOOKUP($A291,Seqs!$A:$B,2,FALSE),VLOOKUP($A291,'NonXtal_SegEnds_Prot#'!A:AL,10,FALSE)+7,1)</f>
        <v>L</v>
      </c>
      <c r="U291" s="102" t="str">
        <f>MID(VLOOKUP($A291,Seqs!$A:$B,2,FALSE),VLOOKUP($A291,'NonXtal_SegEnds_Prot#'!A:AL,10,FALSE)+8,1)</f>
        <v>P</v>
      </c>
      <c r="V291" s="102" t="str">
        <f>MID(VLOOKUP($A291,Seqs!$A:$B,2,FALSE),VLOOKUP($A291,'NonXtal_SegEnds_Prot#'!A:AL,10,FALSE)+9,1)</f>
        <v>L</v>
      </c>
      <c r="W291" s="71" t="str">
        <f>MID(VLOOKUP($A291,Seqs!$A:$B,2,FALSE),VLOOKUP($A291,'NonXtal_SegEnds_Prot#'!$A:$AL,22,FALSE)+6,1)</f>
        <v>I</v>
      </c>
      <c r="X291" s="102" t="str">
        <f>MID(VLOOKUP($A291,Seqs!$A:$B,2,FALSE),VLOOKUP($A291,'NonXtal_SegEnds_Prot#'!$A:$AL,22,FALSE)+7,1)</f>
        <v>A</v>
      </c>
      <c r="Y291" s="102" t="str">
        <f>MID(VLOOKUP($A291,Seqs!$A:$B,2,FALSE),VLOOKUP($A291,'NonXtal_SegEnds_Prot#'!$A:$AL,22,FALSE)+8,1)</f>
        <v>I</v>
      </c>
      <c r="Z291" s="102" t="str">
        <f>MID(VLOOKUP($A291,Seqs!$A:$B,2,FALSE),VLOOKUP($A291,'NonXtal_SegEnds_Prot#'!$A:$AL,22,FALSE)+9,1)</f>
        <v>P</v>
      </c>
      <c r="AA291" s="102" t="str">
        <f>MID(VLOOKUP($A291,Seqs!$A:$B,2,FALSE),VLOOKUP($A291,'NonXtal_SegEnds_Prot#'!$A:$AL,22,FALSE)+10,1)</f>
        <v>H</v>
      </c>
      <c r="AB291" s="71" t="str">
        <f>MID(VLOOKUP($A291,Seqs!$A:$B,2,FALSE),VLOOKUP($A291,'NonXtal_SegEnds_Prot#'!$A:$AL,28,FALSE)-4,1)</f>
        <v>A</v>
      </c>
      <c r="AC291" s="102" t="str">
        <f>MID(VLOOKUP($A291,Seqs!$A:$B,2,FALSE),VLOOKUP($A291,'NonXtal_SegEnds_Prot#'!$A:$AL,28,FALSE),1)</f>
        <v>P</v>
      </c>
    </row>
    <row r="292" spans="1:29" s="2" customFormat="1" x14ac:dyDescent="0.2">
      <c r="A292" s="2" t="s">
        <v>591</v>
      </c>
      <c r="B292" s="2" t="str">
        <f>LOWER(VLOOKUP(A292,Xtal_Templ!A:B,2,FALSE))</f>
        <v>oprm_mouse</v>
      </c>
      <c r="C292" s="2" t="str">
        <f>VLOOKUP(A292,Classification!A:D,2,FALSE)</f>
        <v>A</v>
      </c>
      <c r="N292" s="2" t="s">
        <v>43</v>
      </c>
      <c r="P292" s="4" t="s">
        <v>51</v>
      </c>
      <c r="R292" s="71" t="str">
        <f>MID(VLOOKUP($A292,Seqs!$A:$B,2,FALSE),VLOOKUP($A292,'NonXtal_SegEnds_Prot#'!A:AL,10,FALSE),1)</f>
        <v>D</v>
      </c>
      <c r="S292" s="102" t="str">
        <f>MID(VLOOKUP($A292,Seqs!$A:$B,2,FALSE),VLOOKUP($A292,'NonXtal_SegEnds_Prot#'!A:AL,10,FALSE)+6,1)</f>
        <v>F</v>
      </c>
      <c r="T292" s="102" t="str">
        <f>MID(VLOOKUP($A292,Seqs!$A:$B,2,FALSE),VLOOKUP($A292,'NonXtal_SegEnds_Prot#'!A:AL,10,FALSE)+7,1)</f>
        <v>Q</v>
      </c>
      <c r="U292" s="102" t="str">
        <f>MID(VLOOKUP($A292,Seqs!$A:$B,2,FALSE),VLOOKUP($A292,'NonXtal_SegEnds_Prot#'!A:AL,10,FALSE)+8,1)</f>
        <v>V</v>
      </c>
      <c r="V292" s="102" t="str">
        <f>MID(VLOOKUP($A292,Seqs!$A:$B,2,FALSE),VLOOKUP($A292,'NonXtal_SegEnds_Prot#'!A:AL,10,FALSE)+9,1)</f>
        <v>L</v>
      </c>
      <c r="W292" s="71" t="str">
        <f>MID(VLOOKUP($A292,Seqs!$A:$B,2,FALSE),VLOOKUP($A292,'NonXtal_SegEnds_Prot#'!$A:$AL,22,FALSE)+6,1)</f>
        <v>L</v>
      </c>
      <c r="X292" s="102" t="str">
        <f>MID(VLOOKUP($A292,Seqs!$A:$B,2,FALSE),VLOOKUP($A292,'NonXtal_SegEnds_Prot#'!$A:$AL,22,FALSE)+7,1)</f>
        <v>S</v>
      </c>
      <c r="Y292" s="102" t="str">
        <f>MID(VLOOKUP($A292,Seqs!$A:$B,2,FALSE),VLOOKUP($A292,'NonXtal_SegEnds_Prot#'!$A:$AL,22,FALSE)+8,1)</f>
        <v>T</v>
      </c>
      <c r="Z292" s="102" t="str">
        <f>MID(VLOOKUP($A292,Seqs!$A:$B,2,FALSE),VLOOKUP($A292,'NonXtal_SegEnds_Prot#'!$A:$AL,22,FALSE)+9,1)</f>
        <v>P</v>
      </c>
      <c r="AA292" s="102" t="str">
        <f>MID(VLOOKUP($A292,Seqs!$A:$B,2,FALSE),VLOOKUP($A292,'NonXtal_SegEnds_Prot#'!$A:$AL,22,FALSE)+10,1)</f>
        <v>Q</v>
      </c>
      <c r="AB292" s="71" t="str">
        <f>MID(VLOOKUP($A292,Seqs!$A:$B,2,FALSE),VLOOKUP($A292,'NonXtal_SegEnds_Prot#'!$A:$AL,28,FALSE)-4,1)</f>
        <v>I</v>
      </c>
      <c r="AC292" s="102" t="str">
        <f>MID(VLOOKUP($A292,Seqs!$A:$B,2,FALSE),VLOOKUP($A292,'NonXtal_SegEnds_Prot#'!$A:$AL,28,FALSE),1)</f>
        <v>P</v>
      </c>
    </row>
    <row r="293" spans="1:29" s="2" customFormat="1" x14ac:dyDescent="0.2">
      <c r="A293" s="2" t="s">
        <v>592</v>
      </c>
      <c r="B293" s="2" t="str">
        <f>LOWER(VLOOKUP(A293,Xtal_Templ!A:B,2,FALSE))</f>
        <v>oprx_human</v>
      </c>
      <c r="C293" s="2" t="str">
        <f>VLOOKUP(A293,Classification!A:D,2,FALSE)</f>
        <v>A</v>
      </c>
      <c r="K293" s="2" t="s">
        <v>59</v>
      </c>
      <c r="N293" s="2" t="s">
        <v>43</v>
      </c>
      <c r="P293" s="4" t="s">
        <v>51</v>
      </c>
      <c r="R293" s="71" t="str">
        <f>MID(VLOOKUP($A293,Seqs!$A:$B,2,FALSE),VLOOKUP($A293,'NonXtal_SegEnds_Prot#'!A:AL,10,FALSE),1)</f>
        <v>D</v>
      </c>
      <c r="S293" s="102" t="str">
        <f>MID(VLOOKUP($A293,Seqs!$A:$B,2,FALSE),VLOOKUP($A293,'NonXtal_SegEnds_Prot#'!A:AL,10,FALSE)+6,1)</f>
        <v>F</v>
      </c>
      <c r="T293" s="102" t="str">
        <f>MID(VLOOKUP($A293,Seqs!$A:$B,2,FALSE),VLOOKUP($A293,'NonXtal_SegEnds_Prot#'!A:AL,10,FALSE)+7,1)</f>
        <v>Q</v>
      </c>
      <c r="U293" s="102" t="str">
        <f>MID(VLOOKUP($A293,Seqs!$A:$B,2,FALSE),VLOOKUP($A293,'NonXtal_SegEnds_Prot#'!A:AL,10,FALSE)+8,1)</f>
        <v>V</v>
      </c>
      <c r="V293" s="102" t="str">
        <f>MID(VLOOKUP($A293,Seqs!$A:$B,2,FALSE),VLOOKUP($A293,'NonXtal_SegEnds_Prot#'!A:AL,10,FALSE)+9,1)</f>
        <v>L</v>
      </c>
      <c r="W293" s="71" t="str">
        <f>MID(VLOOKUP($A293,Seqs!$A:$B,2,FALSE),VLOOKUP($A293,'NonXtal_SegEnds_Prot#'!$A:$AL,22,FALSE)+6,1)</f>
        <v>F</v>
      </c>
      <c r="X293" s="102" t="str">
        <f>MID(VLOOKUP($A293,Seqs!$A:$B,2,FALSE),VLOOKUP($A293,'NonXtal_SegEnds_Prot#'!$A:$AL,22,FALSE)+7,1)</f>
        <v>S</v>
      </c>
      <c r="Y293" s="102" t="str">
        <f>MID(VLOOKUP($A293,Seqs!$A:$B,2,FALSE),VLOOKUP($A293,'NonXtal_SegEnds_Prot#'!$A:$AL,22,FALSE)+8,1)</f>
        <v>L</v>
      </c>
      <c r="Z293" s="102" t="str">
        <f>MID(VLOOKUP($A293,Seqs!$A:$B,2,FALSE),VLOOKUP($A293,'NonXtal_SegEnds_Prot#'!$A:$AL,22,FALSE)+9,1)</f>
        <v>P</v>
      </c>
      <c r="AA293" s="102" t="str">
        <f>MID(VLOOKUP($A293,Seqs!$A:$B,2,FALSE),VLOOKUP($A293,'NonXtal_SegEnds_Prot#'!$A:$AL,22,FALSE)+10,1)</f>
        <v>Q</v>
      </c>
      <c r="AB293" s="71" t="str">
        <f>MID(VLOOKUP($A293,Seqs!$A:$B,2,FALSE),VLOOKUP($A293,'NonXtal_SegEnds_Prot#'!$A:$AL,28,FALSE)-4,1)</f>
        <v>I</v>
      </c>
      <c r="AC293" s="102" t="str">
        <f>MID(VLOOKUP($A293,Seqs!$A:$B,2,FALSE),VLOOKUP($A293,'NonXtal_SegEnds_Prot#'!$A:$AL,28,FALSE),1)</f>
        <v>P</v>
      </c>
    </row>
    <row r="294" spans="1:29" s="2" customFormat="1" x14ac:dyDescent="0.2">
      <c r="A294" s="2" t="s">
        <v>593</v>
      </c>
      <c r="B294" s="2" t="str">
        <f>LOWER(VLOOKUP(A294,Xtal_Templ!A:B,2,FALSE))</f>
        <v>oprx_human</v>
      </c>
      <c r="C294" s="2" t="str">
        <f>VLOOKUP(A294,Classification!A:D,2,FALSE)</f>
        <v>A</v>
      </c>
      <c r="K294" s="2" t="s">
        <v>59</v>
      </c>
      <c r="N294" s="2" t="s">
        <v>43</v>
      </c>
      <c r="P294" s="4" t="s">
        <v>51</v>
      </c>
      <c r="R294" s="71" t="str">
        <f>MID(VLOOKUP($A294,Seqs!$A:$B,2,FALSE),VLOOKUP($A294,'NonXtal_SegEnds_Prot#'!A:AL,10,FALSE),1)</f>
        <v>D</v>
      </c>
      <c r="S294" s="102" t="str">
        <f>MID(VLOOKUP($A294,Seqs!$A:$B,2,FALSE),VLOOKUP($A294,'NonXtal_SegEnds_Prot#'!A:AL,10,FALSE)+6,1)</f>
        <v>F</v>
      </c>
      <c r="T294" s="102" t="str">
        <f>MID(VLOOKUP($A294,Seqs!$A:$B,2,FALSE),VLOOKUP($A294,'NonXtal_SegEnds_Prot#'!A:AL,10,FALSE)+7,1)</f>
        <v>Q</v>
      </c>
      <c r="U294" s="102" t="str">
        <f>MID(VLOOKUP($A294,Seqs!$A:$B,2,FALSE),VLOOKUP($A294,'NonXtal_SegEnds_Prot#'!A:AL,10,FALSE)+8,1)</f>
        <v>V</v>
      </c>
      <c r="V294" s="102" t="str">
        <f>MID(VLOOKUP($A294,Seqs!$A:$B,2,FALSE),VLOOKUP($A294,'NonXtal_SegEnds_Prot#'!A:AL,10,FALSE)+9,1)</f>
        <v>L</v>
      </c>
      <c r="W294" s="71" t="str">
        <f>MID(VLOOKUP($A294,Seqs!$A:$B,2,FALSE),VLOOKUP($A294,'NonXtal_SegEnds_Prot#'!$A:$AL,22,FALSE)+6,1)</f>
        <v>L</v>
      </c>
      <c r="X294" s="102" t="str">
        <f>MID(VLOOKUP($A294,Seqs!$A:$B,2,FALSE),VLOOKUP($A294,'NonXtal_SegEnds_Prot#'!$A:$AL,22,FALSE)+7,1)</f>
        <v>S</v>
      </c>
      <c r="Y294" s="102" t="str">
        <f>MID(VLOOKUP($A294,Seqs!$A:$B,2,FALSE),VLOOKUP($A294,'NonXtal_SegEnds_Prot#'!$A:$AL,22,FALSE)+8,1)</f>
        <v>L</v>
      </c>
      <c r="Z294" s="102" t="str">
        <f>MID(VLOOKUP($A294,Seqs!$A:$B,2,FALSE),VLOOKUP($A294,'NonXtal_SegEnds_Prot#'!$A:$AL,22,FALSE)+9,1)</f>
        <v>P</v>
      </c>
      <c r="AA294" s="102" t="str">
        <f>MID(VLOOKUP($A294,Seqs!$A:$B,2,FALSE),VLOOKUP($A294,'NonXtal_SegEnds_Prot#'!$A:$AL,22,FALSE)+10,1)</f>
        <v>Q</v>
      </c>
      <c r="AB294" s="71" t="str">
        <f>MID(VLOOKUP($A294,Seqs!$A:$B,2,FALSE),VLOOKUP($A294,'NonXtal_SegEnds_Prot#'!$A:$AL,28,FALSE)-4,1)</f>
        <v>V</v>
      </c>
      <c r="AC294" s="102" t="str">
        <f>MID(VLOOKUP($A294,Seqs!$A:$B,2,FALSE),VLOOKUP($A294,'NonXtal_SegEnds_Prot#'!$A:$AL,28,FALSE),1)</f>
        <v>P</v>
      </c>
    </row>
    <row r="295" spans="1:29" s="2" customFormat="1" x14ac:dyDescent="0.2">
      <c r="A295" s="2" t="s">
        <v>594</v>
      </c>
      <c r="B295" s="2" t="str">
        <f>LOWER(VLOOKUP(A295,Xtal_Templ!A:B,2,FALSE))</f>
        <v>ccr5_human</v>
      </c>
      <c r="C295" s="2" t="str">
        <f>VLOOKUP(A295,Classification!A:D,2,FALSE)</f>
        <v>A</v>
      </c>
      <c r="P295" s="4" t="s">
        <v>51</v>
      </c>
      <c r="R295" s="71" t="str">
        <f>MID(VLOOKUP($A295,Seqs!$A:$B,2,FALSE),VLOOKUP($A295,'NonXtal_SegEnds_Prot#'!A:AL,10,FALSE),1)</f>
        <v>D</v>
      </c>
      <c r="S295" s="102" t="str">
        <f>MID(VLOOKUP($A295,Seqs!$A:$B,2,FALSE),VLOOKUP($A295,'NonXtal_SegEnds_Prot#'!A:AL,10,FALSE)+6,1)</f>
        <v>L</v>
      </c>
      <c r="T295" s="102" t="str">
        <f>MID(VLOOKUP($A295,Seqs!$A:$B,2,FALSE),VLOOKUP($A295,'NonXtal_SegEnds_Prot#'!A:AL,10,FALSE)+7,1)</f>
        <v>L</v>
      </c>
      <c r="U295" s="102" t="str">
        <f>MID(VLOOKUP($A295,Seqs!$A:$B,2,FALSE),VLOOKUP($A295,'NonXtal_SegEnds_Prot#'!A:AL,10,FALSE)+8,1)</f>
        <v>P</v>
      </c>
      <c r="V295" s="102" t="str">
        <f>MID(VLOOKUP($A295,Seqs!$A:$B,2,FALSE),VLOOKUP($A295,'NonXtal_SegEnds_Prot#'!A:AL,10,FALSE)+9,1)</f>
        <v>V</v>
      </c>
      <c r="W295" s="71" t="str">
        <f>MID(VLOOKUP($A295,Seqs!$A:$B,2,FALSE),VLOOKUP($A295,'NonXtal_SegEnds_Prot#'!$A:$AL,22,FALSE)+6,1)</f>
        <v>S</v>
      </c>
      <c r="X295" s="102" t="str">
        <f>MID(VLOOKUP($A295,Seqs!$A:$B,2,FALSE),VLOOKUP($A295,'NonXtal_SegEnds_Prot#'!$A:$AL,22,FALSE)+7,1)</f>
        <v>S</v>
      </c>
      <c r="Y295" s="102" t="str">
        <f>MID(VLOOKUP($A295,Seqs!$A:$B,2,FALSE),VLOOKUP($A295,'NonXtal_SegEnds_Prot#'!$A:$AL,22,FALSE)+8,1)</f>
        <v>I</v>
      </c>
      <c r="Z295" s="102" t="str">
        <f>MID(VLOOKUP($A295,Seqs!$A:$B,2,FALSE),VLOOKUP($A295,'NonXtal_SegEnds_Prot#'!$A:$AL,22,FALSE)+9,1)</f>
        <v>L</v>
      </c>
      <c r="AA295" s="102" t="str">
        <f>MID(VLOOKUP($A295,Seqs!$A:$B,2,FALSE),VLOOKUP($A295,'NonXtal_SegEnds_Prot#'!$A:$AL,22,FALSE)+10,1)</f>
        <v>D</v>
      </c>
      <c r="AB295" s="71" t="str">
        <f>MID(VLOOKUP($A295,Seqs!$A:$B,2,FALSE),VLOOKUP($A295,'NonXtal_SegEnds_Prot#'!$A:$AL,28,FALSE)-4,1)</f>
        <v>F</v>
      </c>
      <c r="AC295" s="102" t="str">
        <f>MID(VLOOKUP($A295,Seqs!$A:$B,2,FALSE),VLOOKUP($A295,'NonXtal_SegEnds_Prot#'!$A:$AL,28,FALSE),1)</f>
        <v>S</v>
      </c>
    </row>
    <row r="296" spans="1:29" s="2" customFormat="1" x14ac:dyDescent="0.2">
      <c r="A296" s="2" t="s">
        <v>595</v>
      </c>
      <c r="B296" s="2" t="str">
        <f>LOWER(VLOOKUP(A296,Xtal_Templ!A:B,2,FALSE))</f>
        <v>crfr1_human</v>
      </c>
      <c r="C296" s="2" t="str">
        <f>VLOOKUP(A296,Classification!A:D,2,FALSE)</f>
        <v>B1</v>
      </c>
      <c r="M296" s="2" t="s">
        <v>129</v>
      </c>
      <c r="P296" s="4" t="s">
        <v>51</v>
      </c>
      <c r="R296" s="71" t="str">
        <f>MID(VLOOKUP($A296,Seqs!$A:$B,2,FALSE),VLOOKUP($A296,'NonXtal_SegEnds_Prot#'!A:AL,10,FALSE),1)</f>
        <v>Y</v>
      </c>
      <c r="S296" s="102" t="str">
        <f>MID(VLOOKUP($A296,Seqs!$A:$B,2,FALSE),VLOOKUP($A296,'NonXtal_SegEnds_Prot#'!A:AL,10,FALSE)+6,1)</f>
        <v>I</v>
      </c>
      <c r="T296" s="102" t="str">
        <f>MID(VLOOKUP($A296,Seqs!$A:$B,2,FALSE),VLOOKUP($A296,'NonXtal_SegEnds_Prot#'!A:AL,10,FALSE)+7,1)</f>
        <v>I</v>
      </c>
      <c r="U296" s="102" t="str">
        <f>MID(VLOOKUP($A296,Seqs!$A:$B,2,FALSE),VLOOKUP($A296,'NonXtal_SegEnds_Prot#'!A:AL,10,FALSE)+8,1)</f>
        <v>I</v>
      </c>
      <c r="V296" s="102" t="str">
        <f>MID(VLOOKUP($A296,Seqs!$A:$B,2,FALSE),VLOOKUP($A296,'NonXtal_SegEnds_Prot#'!A:AL,10,FALSE)+9,1)</f>
        <v>I</v>
      </c>
      <c r="W296" s="71" t="str">
        <f>MID(VLOOKUP($A296,Seqs!$A:$B,2,FALSE),VLOOKUP($A296,'NonXtal_SegEnds_Prot#'!$A:$AL,22,FALSE)+6,1)</f>
        <v>P</v>
      </c>
      <c r="X296" s="102" t="str">
        <f>MID(VLOOKUP($A296,Seqs!$A:$B,2,FALSE),VLOOKUP($A296,'NonXtal_SegEnds_Prot#'!$A:$AL,22,FALSE)+7,1)</f>
        <v>T</v>
      </c>
      <c r="Y296" s="102" t="str">
        <f>MID(VLOOKUP($A296,Seqs!$A:$B,2,FALSE),VLOOKUP($A296,'NonXtal_SegEnds_Prot#'!$A:$AL,22,FALSE)+8,1)</f>
        <v>T</v>
      </c>
      <c r="Z296" s="102" t="str">
        <f>MID(VLOOKUP($A296,Seqs!$A:$B,2,FALSE),VLOOKUP($A296,'NonXtal_SegEnds_Prot#'!$A:$AL,22,FALSE)+9,1)</f>
        <v>I</v>
      </c>
      <c r="AA296" s="102" t="str">
        <f>MID(VLOOKUP($A296,Seqs!$A:$B,2,FALSE),VLOOKUP($A296,'NonXtal_SegEnds_Prot#'!$A:$AL,22,FALSE)+10,1)</f>
        <v>H</v>
      </c>
      <c r="AB296" s="71" t="str">
        <f>MID(VLOOKUP($A296,Seqs!$A:$B,2,FALSE),VLOOKUP($A296,'NonXtal_SegEnds_Prot#'!$A:$AL,28,FALSE)-4,1)</f>
        <v>P</v>
      </c>
      <c r="AC296" s="102" t="str">
        <f>MID(VLOOKUP($A296,Seqs!$A:$B,2,FALSE),VLOOKUP($A296,'NonXtal_SegEnds_Prot#'!$A:$AL,28,FALSE),1)</f>
        <v>A</v>
      </c>
    </row>
    <row r="297" spans="1:29" s="2" customFormat="1" x14ac:dyDescent="0.2">
      <c r="A297" s="2" t="s">
        <v>596</v>
      </c>
      <c r="B297" s="2" t="str">
        <f>LOWER(VLOOKUP(A297,Xtal_Templ!A:B,2,FALSE))</f>
        <v>crfr1_human</v>
      </c>
      <c r="C297" s="2" t="str">
        <f>VLOOKUP(A297,Classification!A:D,2,FALSE)</f>
        <v>B1</v>
      </c>
      <c r="M297" s="2" t="s">
        <v>129</v>
      </c>
      <c r="P297" s="4" t="s">
        <v>51</v>
      </c>
      <c r="R297" s="71" t="str">
        <f>MID(VLOOKUP($A297,Seqs!$A:$B,2,FALSE),VLOOKUP($A297,'NonXtal_SegEnds_Prot#'!A:AL,10,FALSE),1)</f>
        <v>F</v>
      </c>
      <c r="S297" s="102" t="str">
        <f>MID(VLOOKUP($A297,Seqs!$A:$B,2,FALSE),VLOOKUP($A297,'NonXtal_SegEnds_Prot#'!A:AL,10,FALSE)+6,1)</f>
        <v>V</v>
      </c>
      <c r="T297" s="102" t="str">
        <f>MID(VLOOKUP($A297,Seqs!$A:$B,2,FALSE),VLOOKUP($A297,'NonXtal_SegEnds_Prot#'!A:AL,10,FALSE)+7,1)</f>
        <v>T</v>
      </c>
      <c r="U297" s="102" t="str">
        <f>MID(VLOOKUP($A297,Seqs!$A:$B,2,FALSE),VLOOKUP($A297,'NonXtal_SegEnds_Prot#'!A:AL,10,FALSE)+8,1)</f>
        <v>I</v>
      </c>
      <c r="V297" s="102" t="str">
        <f>MID(VLOOKUP($A297,Seqs!$A:$B,2,FALSE),VLOOKUP($A297,'NonXtal_SegEnds_Prot#'!A:AL,10,FALSE)+9,1)</f>
        <v>I</v>
      </c>
      <c r="W297" s="71" t="str">
        <f>MID(VLOOKUP($A297,Seqs!$A:$B,2,FALSE),VLOOKUP($A297,'NonXtal_SegEnds_Prot#'!$A:$AL,22,FALSE)+6,1)</f>
        <v>P</v>
      </c>
      <c r="X297" s="102" t="str">
        <f>MID(VLOOKUP($A297,Seqs!$A:$B,2,FALSE),VLOOKUP($A297,'NonXtal_SegEnds_Prot#'!$A:$AL,22,FALSE)+7,1)</f>
        <v>A</v>
      </c>
      <c r="Y297" s="102" t="str">
        <f>MID(VLOOKUP($A297,Seqs!$A:$B,2,FALSE),VLOOKUP($A297,'NonXtal_SegEnds_Prot#'!$A:$AL,22,FALSE)+8,1)</f>
        <v>C</v>
      </c>
      <c r="Z297" s="102" t="str">
        <f>MID(VLOOKUP($A297,Seqs!$A:$B,2,FALSE),VLOOKUP($A297,'NonXtal_SegEnds_Prot#'!$A:$AL,22,FALSE)+9,1)</f>
        <v>I</v>
      </c>
      <c r="AA297" s="102" t="str">
        <f>MID(VLOOKUP($A297,Seqs!$A:$B,2,FALSE),VLOOKUP($A297,'NonXtal_SegEnds_Prot#'!$A:$AL,22,FALSE)+10,1)</f>
        <v>H</v>
      </c>
      <c r="AB297" s="71" t="str">
        <f>MID(VLOOKUP($A297,Seqs!$A:$B,2,FALSE),VLOOKUP($A297,'NonXtal_SegEnds_Prot#'!$A:$AL,28,FALSE)-4,1)</f>
        <v>P</v>
      </c>
      <c r="AC297" s="102" t="str">
        <f>MID(VLOOKUP($A297,Seqs!$A:$B,2,FALSE),VLOOKUP($A297,'NonXtal_SegEnds_Prot#'!$A:$AL,28,FALSE),1)</f>
        <v>A</v>
      </c>
    </row>
    <row r="298" spans="1:29" s="2" customFormat="1" x14ac:dyDescent="0.2">
      <c r="A298" s="2" t="s">
        <v>213</v>
      </c>
      <c r="B298" s="2" t="str">
        <f>LOWER(VLOOKUP(A298,Xtal_Templ!A:B,2,FALSE))</f>
        <v>crfr1_human</v>
      </c>
      <c r="C298" s="2" t="str">
        <f>VLOOKUP(A298,Classification!A:D,2,FALSE)</f>
        <v>B1</v>
      </c>
      <c r="D298" s="102"/>
      <c r="G298" s="106" t="s">
        <v>169</v>
      </c>
      <c r="H298" s="106" t="s">
        <v>170</v>
      </c>
      <c r="M298" s="2" t="s">
        <v>129</v>
      </c>
      <c r="P298" s="4" t="s">
        <v>51</v>
      </c>
      <c r="R298" s="71" t="str">
        <f>MID(VLOOKUP($A298,Seqs!$A:$B,2,FALSE),VLOOKUP($A298,'NonXtal_SegEnds_Prot#'!A:AL,10,FALSE),1)</f>
        <v>F</v>
      </c>
      <c r="S298" s="102" t="str">
        <f>MID(VLOOKUP($A298,Seqs!$A:$B,2,FALSE),VLOOKUP($A298,'NonXtal_SegEnds_Prot#'!A:AL,10,FALSE)+6,1)</f>
        <v>T</v>
      </c>
      <c r="T298" s="102" t="str">
        <f>MID(VLOOKUP($A298,Seqs!$A:$B,2,FALSE),VLOOKUP($A298,'NonXtal_SegEnds_Prot#'!A:AL,10,FALSE)+7,1)</f>
        <v>W</v>
      </c>
      <c r="U298" s="102" t="str">
        <f>MID(VLOOKUP($A298,Seqs!$A:$B,2,FALSE),VLOOKUP($A298,'NonXtal_SegEnds_Prot#'!A:AL,10,FALSE)+8,1)</f>
        <v>F</v>
      </c>
      <c r="V298" s="102" t="str">
        <f>MID(VLOOKUP($A298,Seqs!$A:$B,2,FALSE),VLOOKUP($A298,'NonXtal_SegEnds_Prot#'!A:AL,10,FALSE)+9,1)</f>
        <v>V</v>
      </c>
      <c r="W298" s="71" t="str">
        <f>MID(VLOOKUP($A298,Seqs!$A:$B,2,FALSE),VLOOKUP($A298,'NonXtal_SegEnds_Prot#'!$A:$AL,22,FALSE)+6,1)</f>
        <v>I</v>
      </c>
      <c r="X298" s="102" t="str">
        <f>MID(VLOOKUP($A298,Seqs!$A:$B,2,FALSE),VLOOKUP($A298,'NonXtal_SegEnds_Prot#'!$A:$AL,22,FALSE)+7,1)</f>
        <v>I</v>
      </c>
      <c r="Y298" s="102" t="str">
        <f>MID(VLOOKUP($A298,Seqs!$A:$B,2,FALSE),VLOOKUP($A298,'NonXtal_SegEnds_Prot#'!$A:$AL,22,FALSE)+8,1)</f>
        <v>V</v>
      </c>
      <c r="Z298" s="102" t="str">
        <f>MID(VLOOKUP($A298,Seqs!$A:$B,2,FALSE),VLOOKUP($A298,'NonXtal_SegEnds_Prot#'!$A:$AL,22,FALSE)+9,1)</f>
        <v>A</v>
      </c>
      <c r="AA298" s="102" t="str">
        <f>MID(VLOOKUP($A298,Seqs!$A:$B,2,FALSE),VLOOKUP($A298,'NonXtal_SegEnds_Prot#'!$A:$AL,22,FALSE)+10,1)</f>
        <v>W</v>
      </c>
      <c r="AB298" s="71" t="str">
        <f>MID(VLOOKUP($A298,Seqs!$A:$B,2,FALSE),VLOOKUP($A298,'NonXtal_SegEnds_Prot#'!$A:$AL,28,FALSE)-4,1)</f>
        <v>P</v>
      </c>
      <c r="AC298" s="102" t="str">
        <f>MID(VLOOKUP($A298,Seqs!$A:$B,2,FALSE),VLOOKUP($A298,'NonXtal_SegEnds_Prot#'!$A:$AL,28,FALSE),1)</f>
        <v>V</v>
      </c>
    </row>
    <row r="299" spans="1:29" s="2" customFormat="1" x14ac:dyDescent="0.2">
      <c r="A299" s="2" t="s">
        <v>597</v>
      </c>
      <c r="B299" s="2" t="str">
        <f>LOWER(VLOOKUP(A299,Xtal_Templ!A:B,2,FALSE))</f>
        <v>crfr1_human</v>
      </c>
      <c r="C299" s="2" t="str">
        <f>VLOOKUP(A299,Classification!A:D,2,FALSE)</f>
        <v>B1</v>
      </c>
      <c r="D299" s="102"/>
      <c r="M299" s="2" t="s">
        <v>129</v>
      </c>
      <c r="P299" s="4" t="s">
        <v>51</v>
      </c>
      <c r="R299" s="71" t="str">
        <f>MID(VLOOKUP($A299,Seqs!$A:$B,2,FALSE),VLOOKUP($A299,'NonXtal_SegEnds_Prot#'!A:AL,10,FALSE),1)</f>
        <v>F</v>
      </c>
      <c r="S299" s="102" t="str">
        <f>MID(VLOOKUP($A299,Seqs!$A:$B,2,FALSE),VLOOKUP($A299,'NonXtal_SegEnds_Prot#'!A:AL,10,FALSE)+6,1)</f>
        <v>M</v>
      </c>
      <c r="T299" s="102" t="str">
        <f>MID(VLOOKUP($A299,Seqs!$A:$B,2,FALSE),VLOOKUP($A299,'NonXtal_SegEnds_Prot#'!A:AL,10,FALSE)+7,1)</f>
        <v>W</v>
      </c>
      <c r="U299" s="102" t="str">
        <f>MID(VLOOKUP($A299,Seqs!$A:$B,2,FALSE),VLOOKUP($A299,'NonXtal_SegEnds_Prot#'!A:AL,10,FALSE)+8,1)</f>
        <v>F</v>
      </c>
      <c r="V299" s="102" t="str">
        <f>MID(VLOOKUP($A299,Seqs!$A:$B,2,FALSE),VLOOKUP($A299,'NonXtal_SegEnds_Prot#'!A:AL,10,FALSE)+9,1)</f>
        <v>L</v>
      </c>
      <c r="W299" s="71" t="str">
        <f>MID(VLOOKUP($A299,Seqs!$A:$B,2,FALSE),VLOOKUP($A299,'NonXtal_SegEnds_Prot#'!$A:$AL,22,FALSE)+6,1)</f>
        <v>I</v>
      </c>
      <c r="X299" s="102" t="str">
        <f>MID(VLOOKUP($A299,Seqs!$A:$B,2,FALSE),VLOOKUP($A299,'NonXtal_SegEnds_Prot#'!$A:$AL,22,FALSE)+7,1)</f>
        <v>I</v>
      </c>
      <c r="Y299" s="102" t="str">
        <f>MID(VLOOKUP($A299,Seqs!$A:$B,2,FALSE),VLOOKUP($A299,'NonXtal_SegEnds_Prot#'!$A:$AL,22,FALSE)+8,1)</f>
        <v>V</v>
      </c>
      <c r="Z299" s="102" t="str">
        <f>MID(VLOOKUP($A299,Seqs!$A:$B,2,FALSE),VLOOKUP($A299,'NonXtal_SegEnds_Prot#'!$A:$AL,22,FALSE)+9,1)</f>
        <v>A</v>
      </c>
      <c r="AA299" s="102" t="str">
        <f>MID(VLOOKUP($A299,Seqs!$A:$B,2,FALSE),VLOOKUP($A299,'NonXtal_SegEnds_Prot#'!$A:$AL,22,FALSE)+10,1)</f>
        <v>W</v>
      </c>
      <c r="AB299" s="71" t="str">
        <f>MID(VLOOKUP($A299,Seqs!$A:$B,2,FALSE),VLOOKUP($A299,'NonXtal_SegEnds_Prot#'!$A:$AL,28,FALSE)-4,1)</f>
        <v>P</v>
      </c>
      <c r="AC299" s="102" t="str">
        <f>MID(VLOOKUP($A299,Seqs!$A:$B,2,FALSE),VLOOKUP($A299,'NonXtal_SegEnds_Prot#'!$A:$AL,28,FALSE),1)</f>
        <v>V</v>
      </c>
    </row>
    <row r="300" spans="1:29" s="2" customFormat="1" x14ac:dyDescent="0.2">
      <c r="A300" s="2" t="s">
        <v>598</v>
      </c>
      <c r="B300" s="2" t="str">
        <f>LOWER(VLOOKUP(A300,Xtal_Templ!A:B,2,FALSE))</f>
        <v>glr_human</v>
      </c>
      <c r="C300" s="2" t="str">
        <f>VLOOKUP(A300,Classification!A:D,2,FALSE)</f>
        <v>B1</v>
      </c>
      <c r="M300" s="2" t="s">
        <v>1555</v>
      </c>
      <c r="P300" s="4" t="s">
        <v>51</v>
      </c>
      <c r="R300" s="71" t="str">
        <f>MID(VLOOKUP($A300,Seqs!$A:$B,2,FALSE),VLOOKUP($A300,'NonXtal_SegEnds_Prot#'!A:AL,10,FALSE),1)</f>
        <v>F</v>
      </c>
      <c r="S300" s="102" t="str">
        <f>MID(VLOOKUP($A300,Seqs!$A:$B,2,FALSE),VLOOKUP($A300,'NonXtal_SegEnds_Prot#'!A:AL,10,FALSE)+6,1)</f>
        <v>A</v>
      </c>
      <c r="T300" s="102" t="str">
        <f>MID(VLOOKUP($A300,Seqs!$A:$B,2,FALSE),VLOOKUP($A300,'NonXtal_SegEnds_Prot#'!A:AL,10,FALSE)+7,1)</f>
        <v>V</v>
      </c>
      <c r="U300" s="102" t="str">
        <f>MID(VLOOKUP($A300,Seqs!$A:$B,2,FALSE),VLOOKUP($A300,'NonXtal_SegEnds_Prot#'!A:AL,10,FALSE)+8,1)</f>
        <v>F</v>
      </c>
      <c r="V300" s="102" t="str">
        <f>MID(VLOOKUP($A300,Seqs!$A:$B,2,FALSE),VLOOKUP($A300,'NonXtal_SegEnds_Prot#'!A:AL,10,FALSE)+9,1)</f>
        <v>L</v>
      </c>
      <c r="W300" s="71" t="str">
        <f>MID(VLOOKUP($A300,Seqs!$A:$B,2,FALSE),VLOOKUP($A300,'NonXtal_SegEnds_Prot#'!$A:$AL,22,FALSE)+6,1)</f>
        <v>F</v>
      </c>
      <c r="X300" s="102" t="str">
        <f>MID(VLOOKUP($A300,Seqs!$A:$B,2,FALSE),VLOOKUP($A300,'NonXtal_SegEnds_Prot#'!$A:$AL,22,FALSE)+7,1)</f>
        <v>T</v>
      </c>
      <c r="Y300" s="102" t="str">
        <f>MID(VLOOKUP($A300,Seqs!$A:$B,2,FALSE),VLOOKUP($A300,'NonXtal_SegEnds_Prot#'!$A:$AL,22,FALSE)+8,1)</f>
        <v>G</v>
      </c>
      <c r="Z300" s="102" t="str">
        <f>MID(VLOOKUP($A300,Seqs!$A:$B,2,FALSE),VLOOKUP($A300,'NonXtal_SegEnds_Prot#'!$A:$AL,22,FALSE)+9,1)</f>
        <v>T</v>
      </c>
      <c r="AA300" s="102" t="str">
        <f>MID(VLOOKUP($A300,Seqs!$A:$B,2,FALSE),VLOOKUP($A300,'NonXtal_SegEnds_Prot#'!$A:$AL,22,FALSE)+10,1)</f>
        <v>W</v>
      </c>
      <c r="AB300" s="71" t="str">
        <f>MID(VLOOKUP($A300,Seqs!$A:$B,2,FALSE),VLOOKUP($A300,'NonXtal_SegEnds_Prot#'!$A:$AL,28,FALSE)-4,1)</f>
        <v>P</v>
      </c>
      <c r="AC300" s="102" t="str">
        <f>MID(VLOOKUP($A300,Seqs!$A:$B,2,FALSE),VLOOKUP($A300,'NonXtal_SegEnds_Prot#'!$A:$AL,28,FALSE),1)</f>
        <v>S</v>
      </c>
    </row>
    <row r="301" spans="1:29" s="2" customFormat="1" x14ac:dyDescent="0.2">
      <c r="A301" s="2" t="s">
        <v>599</v>
      </c>
      <c r="B301" s="2" t="str">
        <f>LOWER(VLOOKUP(A301,Xtal_Templ!A:B,2,FALSE))</f>
        <v>glr_human</v>
      </c>
      <c r="C301" s="2" t="str">
        <f>VLOOKUP(A301,Classification!A:D,2,FALSE)</f>
        <v>B1</v>
      </c>
      <c r="M301" s="2" t="s">
        <v>1555</v>
      </c>
      <c r="P301" s="4" t="s">
        <v>51</v>
      </c>
      <c r="R301" s="71" t="str">
        <f>MID(VLOOKUP($A301,Seqs!$A:$B,2,FALSE),VLOOKUP($A301,'NonXtal_SegEnds_Prot#'!A:AL,10,FALSE),1)</f>
        <v>F</v>
      </c>
      <c r="S301" s="102" t="str">
        <f>MID(VLOOKUP($A301,Seqs!$A:$B,2,FALSE),VLOOKUP($A301,'NonXtal_SegEnds_Prot#'!A:AL,10,FALSE)+6,1)</f>
        <v>A</v>
      </c>
      <c r="T301" s="102" t="str">
        <f>MID(VLOOKUP($A301,Seqs!$A:$B,2,FALSE),VLOOKUP($A301,'NonXtal_SegEnds_Prot#'!A:AL,10,FALSE)+7,1)</f>
        <v>I</v>
      </c>
      <c r="U301" s="102" t="str">
        <f>MID(VLOOKUP($A301,Seqs!$A:$B,2,FALSE),VLOOKUP($A301,'NonXtal_SegEnds_Prot#'!A:AL,10,FALSE)+8,1)</f>
        <v>L</v>
      </c>
      <c r="V301" s="102" t="str">
        <f>MID(VLOOKUP($A301,Seqs!$A:$B,2,FALSE),VLOOKUP($A301,'NonXtal_SegEnds_Prot#'!A:AL,10,FALSE)+9,1)</f>
        <v>S</v>
      </c>
      <c r="W301" s="71" t="str">
        <f>MID(VLOOKUP($A301,Seqs!$A:$B,2,FALSE),VLOOKUP($A301,'NonXtal_SegEnds_Prot#'!$A:$AL,22,FALSE)+6,1)</f>
        <v>F</v>
      </c>
      <c r="X301" s="102" t="str">
        <f>MID(VLOOKUP($A301,Seqs!$A:$B,2,FALSE),VLOOKUP($A301,'NonXtal_SegEnds_Prot#'!$A:$AL,22,FALSE)+7,1)</f>
        <v>V</v>
      </c>
      <c r="Y301" s="102" t="str">
        <f>MID(VLOOKUP($A301,Seqs!$A:$B,2,FALSE),VLOOKUP($A301,'NonXtal_SegEnds_Prot#'!$A:$AL,22,FALSE)+8,1)</f>
        <v>I</v>
      </c>
      <c r="Z301" s="102" t="str">
        <f>MID(VLOOKUP($A301,Seqs!$A:$B,2,FALSE),VLOOKUP($A301,'NonXtal_SegEnds_Prot#'!$A:$AL,22,FALSE)+9,1)</f>
        <v>P</v>
      </c>
      <c r="AA301" s="102" t="str">
        <f>MID(VLOOKUP($A301,Seqs!$A:$B,2,FALSE),VLOOKUP($A301,'NonXtal_SegEnds_Prot#'!$A:$AL,22,FALSE)+10,1)</f>
        <v>W</v>
      </c>
      <c r="AB301" s="71" t="str">
        <f>MID(VLOOKUP($A301,Seqs!$A:$B,2,FALSE),VLOOKUP($A301,'NonXtal_SegEnds_Prot#'!$A:$AL,28,FALSE)-4,1)</f>
        <v>P</v>
      </c>
      <c r="AC301" s="102" t="str">
        <f>MID(VLOOKUP($A301,Seqs!$A:$B,2,FALSE),VLOOKUP($A301,'NonXtal_SegEnds_Prot#'!$A:$AL,28,FALSE),1)</f>
        <v>T</v>
      </c>
    </row>
    <row r="302" spans="1:29" s="2" customFormat="1" x14ac:dyDescent="0.2">
      <c r="A302" s="2" t="s">
        <v>600</v>
      </c>
      <c r="B302" s="2" t="str">
        <f>LOWER(VLOOKUP(A302,Xtal_Templ!A:B,2,FALSE))</f>
        <v>glr_human</v>
      </c>
      <c r="C302" s="2" t="str">
        <f>VLOOKUP(A302,Classification!A:D,2,FALSE)</f>
        <v>B1</v>
      </c>
      <c r="M302" s="2" t="s">
        <v>1555</v>
      </c>
      <c r="P302" s="4" t="s">
        <v>51</v>
      </c>
      <c r="R302" s="71" t="str">
        <f>MID(VLOOKUP($A302,Seqs!$A:$B,2,FALSE),VLOOKUP($A302,'NonXtal_SegEnds_Prot#'!A:AL,10,FALSE),1)</f>
        <v>F</v>
      </c>
      <c r="S302" s="102" t="str">
        <f>MID(VLOOKUP($A302,Seqs!$A:$B,2,FALSE),VLOOKUP($A302,'NonXtal_SegEnds_Prot#'!A:AL,10,FALSE)+6,1)</f>
        <v>S</v>
      </c>
      <c r="T302" s="102" t="str">
        <f>MID(VLOOKUP($A302,Seqs!$A:$B,2,FALSE),VLOOKUP($A302,'NonXtal_SegEnds_Prot#'!A:AL,10,FALSE)+7,1)</f>
        <v>V</v>
      </c>
      <c r="U302" s="102" t="str">
        <f>MID(VLOOKUP($A302,Seqs!$A:$B,2,FALSE),VLOOKUP($A302,'NonXtal_SegEnds_Prot#'!A:AL,10,FALSE)+8,1)</f>
        <v>F</v>
      </c>
      <c r="V302" s="102" t="str">
        <f>MID(VLOOKUP($A302,Seqs!$A:$B,2,FALSE),VLOOKUP($A302,'NonXtal_SegEnds_Prot#'!A:AL,10,FALSE)+9,1)</f>
        <v>I</v>
      </c>
      <c r="W302" s="71" t="str">
        <f>MID(VLOOKUP($A302,Seqs!$A:$B,2,FALSE),VLOOKUP($A302,'NonXtal_SegEnds_Prot#'!$A:$AL,22,FALSE)+6,1)</f>
        <v>F</v>
      </c>
      <c r="X302" s="102" t="str">
        <f>MID(VLOOKUP($A302,Seqs!$A:$B,2,FALSE),VLOOKUP($A302,'NonXtal_SegEnds_Prot#'!$A:$AL,22,FALSE)+7,1)</f>
        <v>V</v>
      </c>
      <c r="Y302" s="102" t="str">
        <f>MID(VLOOKUP($A302,Seqs!$A:$B,2,FALSE),VLOOKUP($A302,'NonXtal_SegEnds_Prot#'!$A:$AL,22,FALSE)+8,1)</f>
        <v>V</v>
      </c>
      <c r="Z302" s="102" t="str">
        <f>MID(VLOOKUP($A302,Seqs!$A:$B,2,FALSE),VLOOKUP($A302,'NonXtal_SegEnds_Prot#'!$A:$AL,22,FALSE)+9,1)</f>
        <v>P</v>
      </c>
      <c r="AA302" s="102" t="str">
        <f>MID(VLOOKUP($A302,Seqs!$A:$B,2,FALSE),VLOOKUP($A302,'NonXtal_SegEnds_Prot#'!$A:$AL,22,FALSE)+10,1)</f>
        <v>W</v>
      </c>
      <c r="AB302" s="71" t="str">
        <f>MID(VLOOKUP($A302,Seqs!$A:$B,2,FALSE),VLOOKUP($A302,'NonXtal_SegEnds_Prot#'!$A:$AL,28,FALSE)-4,1)</f>
        <v>P</v>
      </c>
      <c r="AC302" s="102" t="str">
        <f>MID(VLOOKUP($A302,Seqs!$A:$B,2,FALSE),VLOOKUP($A302,'NonXtal_SegEnds_Prot#'!$A:$AL,28,FALSE),1)</f>
        <v>A</v>
      </c>
    </row>
    <row r="303" spans="1:29" s="2" customFormat="1" x14ac:dyDescent="0.2">
      <c r="A303" s="2" t="s">
        <v>601</v>
      </c>
      <c r="B303" s="2" t="str">
        <f>LOWER(VLOOKUP(A303,Xtal_Templ!A:B,2,FALSE))</f>
        <v>glr_human</v>
      </c>
      <c r="C303" s="2" t="str">
        <f>VLOOKUP(A303,Classification!A:D,2,FALSE)</f>
        <v>B1</v>
      </c>
      <c r="M303" s="2" t="s">
        <v>1555</v>
      </c>
      <c r="P303" s="4" t="s">
        <v>51</v>
      </c>
      <c r="R303" s="71" t="str">
        <f>MID(VLOOKUP($A303,Seqs!$A:$B,2,FALSE),VLOOKUP($A303,'NonXtal_SegEnds_Prot#'!A:AL,10,FALSE),1)</f>
        <v>F</v>
      </c>
      <c r="S303" s="102" t="str">
        <f>MID(VLOOKUP($A303,Seqs!$A:$B,2,FALSE),VLOOKUP($A303,'NonXtal_SegEnds_Prot#'!A:AL,10,FALSE)+6,1)</f>
        <v>A</v>
      </c>
      <c r="T303" s="102" t="str">
        <f>MID(VLOOKUP($A303,Seqs!$A:$B,2,FALSE),VLOOKUP($A303,'NonXtal_SegEnds_Prot#'!A:AL,10,FALSE)+7,1)</f>
        <v>V</v>
      </c>
      <c r="U303" s="102" t="str">
        <f>MID(VLOOKUP($A303,Seqs!$A:$B,2,FALSE),VLOOKUP($A303,'NonXtal_SegEnds_Prot#'!A:AL,10,FALSE)+8,1)</f>
        <v>L</v>
      </c>
      <c r="V303" s="102" t="str">
        <f>MID(VLOOKUP($A303,Seqs!$A:$B,2,FALSE),VLOOKUP($A303,'NonXtal_SegEnds_Prot#'!A:AL,10,FALSE)+9,1)</f>
        <v>V</v>
      </c>
      <c r="W303" s="71" t="str">
        <f>MID(VLOOKUP($A303,Seqs!$A:$B,2,FALSE),VLOOKUP($A303,'NonXtal_SegEnds_Prot#'!$A:$AL,22,FALSE)+6,1)</f>
        <v>F</v>
      </c>
      <c r="X303" s="102" t="str">
        <f>MID(VLOOKUP($A303,Seqs!$A:$B,2,FALSE),VLOOKUP($A303,'NonXtal_SegEnds_Prot#'!$A:$AL,22,FALSE)+7,1)</f>
        <v>V</v>
      </c>
      <c r="Y303" s="102" t="str">
        <f>MID(VLOOKUP($A303,Seqs!$A:$B,2,FALSE),VLOOKUP($A303,'NonXtal_SegEnds_Prot#'!$A:$AL,22,FALSE)+8,1)</f>
        <v>V</v>
      </c>
      <c r="Z303" s="102" t="str">
        <f>MID(VLOOKUP($A303,Seqs!$A:$B,2,FALSE),VLOOKUP($A303,'NonXtal_SegEnds_Prot#'!$A:$AL,22,FALSE)+9,1)</f>
        <v>P</v>
      </c>
      <c r="AA303" s="102" t="str">
        <f>MID(VLOOKUP($A303,Seqs!$A:$B,2,FALSE),VLOOKUP($A303,'NonXtal_SegEnds_Prot#'!$A:$AL,22,FALSE)+10,1)</f>
        <v>W</v>
      </c>
      <c r="AB303" s="71" t="str">
        <f>MID(VLOOKUP($A303,Seqs!$A:$B,2,FALSE),VLOOKUP($A303,'NonXtal_SegEnds_Prot#'!$A:$AL,28,FALSE)-4,1)</f>
        <v>P</v>
      </c>
      <c r="AC303" s="102" t="str">
        <f>MID(VLOOKUP($A303,Seqs!$A:$B,2,FALSE),VLOOKUP($A303,'NonXtal_SegEnds_Prot#'!$A:$AL,28,FALSE),1)</f>
        <v>C</v>
      </c>
    </row>
    <row r="304" spans="1:29" s="2" customFormat="1" x14ac:dyDescent="0.2">
      <c r="A304" s="2" t="s">
        <v>206</v>
      </c>
      <c r="B304" s="2" t="str">
        <f>LOWER(VLOOKUP(A304,Xtal_Templ!A:B,2,FALSE))</f>
        <v>glr_human</v>
      </c>
      <c r="C304" s="2" t="str">
        <f>VLOOKUP(A304,Classification!A:D,2,FALSE)</f>
        <v>B1</v>
      </c>
      <c r="M304" s="2" t="s">
        <v>1555</v>
      </c>
      <c r="P304" s="4" t="s">
        <v>51</v>
      </c>
      <c r="R304" s="71" t="str">
        <f>MID(VLOOKUP($A304,Seqs!$A:$B,2,FALSE),VLOOKUP($A304,'NonXtal_SegEnds_Prot#'!A:AL,10,FALSE),1)</f>
        <v>F</v>
      </c>
      <c r="S304" s="102" t="str">
        <f>MID(VLOOKUP($A304,Seqs!$A:$B,2,FALSE),VLOOKUP($A304,'NonXtal_SegEnds_Prot#'!A:AL,10,FALSE)+6,1)</f>
        <v>S</v>
      </c>
      <c r="T304" s="102" t="str">
        <f>MID(VLOOKUP($A304,Seqs!$A:$B,2,FALSE),VLOOKUP($A304,'NonXtal_SegEnds_Prot#'!A:AL,10,FALSE)+7,1)</f>
        <v>V</v>
      </c>
      <c r="U304" s="102" t="str">
        <f>MID(VLOOKUP($A304,Seqs!$A:$B,2,FALSE),VLOOKUP($A304,'NonXtal_SegEnds_Prot#'!A:AL,10,FALSE)+8,1)</f>
        <v>L</v>
      </c>
      <c r="V304" s="102" t="str">
        <f>MID(VLOOKUP($A304,Seqs!$A:$B,2,FALSE),VLOOKUP($A304,'NonXtal_SegEnds_Prot#'!A:AL,10,FALSE)+9,1)</f>
        <v>V</v>
      </c>
      <c r="W304" s="71" t="str">
        <f>MID(VLOOKUP($A304,Seqs!$A:$B,2,FALSE),VLOOKUP($A304,'NonXtal_SegEnds_Prot#'!$A:$AL,22,FALSE)+6,1)</f>
        <v>F</v>
      </c>
      <c r="X304" s="102" t="str">
        <f>MID(VLOOKUP($A304,Seqs!$A:$B,2,FALSE),VLOOKUP($A304,'NonXtal_SegEnds_Prot#'!$A:$AL,22,FALSE)+7,1)</f>
        <v>V</v>
      </c>
      <c r="Y304" s="102" t="str">
        <f>MID(VLOOKUP($A304,Seqs!$A:$B,2,FALSE),VLOOKUP($A304,'NonXtal_SegEnds_Prot#'!$A:$AL,22,FALSE)+8,1)</f>
        <v>V</v>
      </c>
      <c r="Z304" s="102" t="str">
        <f>MID(VLOOKUP($A304,Seqs!$A:$B,2,FALSE),VLOOKUP($A304,'NonXtal_SegEnds_Prot#'!$A:$AL,22,FALSE)+9,1)</f>
        <v>P</v>
      </c>
      <c r="AA304" s="102" t="str">
        <f>MID(VLOOKUP($A304,Seqs!$A:$B,2,FALSE),VLOOKUP($A304,'NonXtal_SegEnds_Prot#'!$A:$AL,22,FALSE)+10,1)</f>
        <v>W</v>
      </c>
      <c r="AB304" s="71" t="str">
        <f>MID(VLOOKUP($A304,Seqs!$A:$B,2,FALSE),VLOOKUP($A304,'NonXtal_SegEnds_Prot#'!$A:$AL,28,FALSE)-4,1)</f>
        <v>P</v>
      </c>
      <c r="AC304" s="102" t="str">
        <f>MID(VLOOKUP($A304,Seqs!$A:$B,2,FALSE),VLOOKUP($A304,'NonXtal_SegEnds_Prot#'!$A:$AL,28,FALSE),1)</f>
        <v>A</v>
      </c>
    </row>
    <row r="305" spans="1:29" s="2" customFormat="1" x14ac:dyDescent="0.2">
      <c r="A305" s="2" t="s">
        <v>602</v>
      </c>
      <c r="B305" s="2" t="str">
        <f>LOWER(VLOOKUP(A305,Xtal_Templ!A:B,2,FALSE))</f>
        <v>glr_human</v>
      </c>
      <c r="C305" s="2" t="str">
        <f>VLOOKUP(A305,Classification!A:D,2,FALSE)</f>
        <v>B1</v>
      </c>
      <c r="M305" s="2" t="s">
        <v>1555</v>
      </c>
      <c r="P305" s="4" t="s">
        <v>51</v>
      </c>
      <c r="R305" s="71" t="str">
        <f>MID(VLOOKUP($A305,Seqs!$A:$B,2,FALSE),VLOOKUP($A305,'NonXtal_SegEnds_Prot#'!A:AL,10,FALSE),1)</f>
        <v>F</v>
      </c>
      <c r="S305" s="102" t="str">
        <f>MID(VLOOKUP($A305,Seqs!$A:$B,2,FALSE),VLOOKUP($A305,'NonXtal_SegEnds_Prot#'!A:AL,10,FALSE)+6,1)</f>
        <v>S</v>
      </c>
      <c r="T305" s="102" t="str">
        <f>MID(VLOOKUP($A305,Seqs!$A:$B,2,FALSE),VLOOKUP($A305,'NonXtal_SegEnds_Prot#'!A:AL,10,FALSE)+7,1)</f>
        <v>V</v>
      </c>
      <c r="U305" s="102" t="str">
        <f>MID(VLOOKUP($A305,Seqs!$A:$B,2,FALSE),VLOOKUP($A305,'NonXtal_SegEnds_Prot#'!A:AL,10,FALSE)+8,1)</f>
        <v>F</v>
      </c>
      <c r="V305" s="102" t="str">
        <f>MID(VLOOKUP($A305,Seqs!$A:$B,2,FALSE),VLOOKUP($A305,'NonXtal_SegEnds_Prot#'!A:AL,10,FALSE)+9,1)</f>
        <v>I</v>
      </c>
      <c r="W305" s="71" t="str">
        <f>MID(VLOOKUP($A305,Seqs!$A:$B,2,FALSE),VLOOKUP($A305,'NonXtal_SegEnds_Prot#'!$A:$AL,22,FALSE)+6,1)</f>
        <v>C</v>
      </c>
      <c r="X305" s="102" t="str">
        <f>MID(VLOOKUP($A305,Seqs!$A:$B,2,FALSE),VLOOKUP($A305,'NonXtal_SegEnds_Prot#'!$A:$AL,22,FALSE)+7,1)</f>
        <v>V</v>
      </c>
      <c r="Y305" s="102" t="str">
        <f>MID(VLOOKUP($A305,Seqs!$A:$B,2,FALSE),VLOOKUP($A305,'NonXtal_SegEnds_Prot#'!$A:$AL,22,FALSE)+8,1)</f>
        <v>T</v>
      </c>
      <c r="Z305" s="102" t="str">
        <f>MID(VLOOKUP($A305,Seqs!$A:$B,2,FALSE),VLOOKUP($A305,'NonXtal_SegEnds_Prot#'!$A:$AL,22,FALSE)+9,1)</f>
        <v>V</v>
      </c>
      <c r="AA305" s="102" t="str">
        <f>MID(VLOOKUP($A305,Seqs!$A:$B,2,FALSE),VLOOKUP($A305,'NonXtal_SegEnds_Prot#'!$A:$AL,22,FALSE)+10,1)</f>
        <v>W</v>
      </c>
      <c r="AB305" s="71" t="str">
        <f>MID(VLOOKUP($A305,Seqs!$A:$B,2,FALSE),VLOOKUP($A305,'NonXtal_SegEnds_Prot#'!$A:$AL,28,FALSE)-4,1)</f>
        <v>P</v>
      </c>
      <c r="AC305" s="102" t="str">
        <f>MID(VLOOKUP($A305,Seqs!$A:$B,2,FALSE),VLOOKUP($A305,'NonXtal_SegEnds_Prot#'!$A:$AL,28,FALSE),1)</f>
        <v>S</v>
      </c>
    </row>
    <row r="306" spans="1:29" s="2" customFormat="1" x14ac:dyDescent="0.2">
      <c r="A306" s="2" t="s">
        <v>603</v>
      </c>
      <c r="B306" s="2" t="str">
        <f>LOWER(VLOOKUP(A306,Xtal_Templ!A:B,2,FALSE))</f>
        <v>glr_human</v>
      </c>
      <c r="C306" s="2" t="str">
        <f>VLOOKUP(A306,Classification!A:D,2,FALSE)</f>
        <v>B1</v>
      </c>
      <c r="M306" s="2" t="s">
        <v>1555</v>
      </c>
      <c r="P306" s="4" t="s">
        <v>51</v>
      </c>
      <c r="R306" s="71" t="str">
        <f>MID(VLOOKUP($A306,Seqs!$A:$B,2,FALSE),VLOOKUP($A306,'NonXtal_SegEnds_Prot#'!A:AL,10,FALSE),1)</f>
        <v>F</v>
      </c>
      <c r="S306" s="102" t="str">
        <f>MID(VLOOKUP($A306,Seqs!$A:$B,2,FALSE),VLOOKUP($A306,'NonXtal_SegEnds_Prot#'!A:AL,10,FALSE)+6,1)</f>
        <v>S</v>
      </c>
      <c r="T306" s="102" t="str">
        <f>MID(VLOOKUP($A306,Seqs!$A:$B,2,FALSE),VLOOKUP($A306,'NonXtal_SegEnds_Prot#'!A:AL,10,FALSE)+7,1)</f>
        <v>I</v>
      </c>
      <c r="U306" s="102" t="str">
        <f>MID(VLOOKUP($A306,Seqs!$A:$B,2,FALSE),VLOOKUP($A306,'NonXtal_SegEnds_Prot#'!A:AL,10,FALSE)+8,1)</f>
        <v>F</v>
      </c>
      <c r="V306" s="102" t="str">
        <f>MID(VLOOKUP($A306,Seqs!$A:$B,2,FALSE),VLOOKUP($A306,'NonXtal_SegEnds_Prot#'!A:AL,10,FALSE)+9,1)</f>
        <v>V</v>
      </c>
      <c r="W306" s="71" t="str">
        <f>MID(VLOOKUP($A306,Seqs!$A:$B,2,FALSE),VLOOKUP($A306,'NonXtal_SegEnds_Prot#'!$A:$AL,22,FALSE)+6,1)</f>
        <v>F</v>
      </c>
      <c r="X306" s="102" t="str">
        <f>MID(VLOOKUP($A306,Seqs!$A:$B,2,FALSE),VLOOKUP($A306,'NonXtal_SegEnds_Prot#'!$A:$AL,22,FALSE)+7,1)</f>
        <v>V</v>
      </c>
      <c r="Y306" s="102" t="str">
        <f>MID(VLOOKUP($A306,Seqs!$A:$B,2,FALSE),VLOOKUP($A306,'NonXtal_SegEnds_Prot#'!$A:$AL,22,FALSE)+8,1)</f>
        <v>A</v>
      </c>
      <c r="Z306" s="102" t="str">
        <f>MID(VLOOKUP($A306,Seqs!$A:$B,2,FALSE),VLOOKUP($A306,'NonXtal_SegEnds_Prot#'!$A:$AL,22,FALSE)+9,1)</f>
        <v>V</v>
      </c>
      <c r="AA306" s="102" t="str">
        <f>MID(VLOOKUP($A306,Seqs!$A:$B,2,FALSE),VLOOKUP($A306,'NonXtal_SegEnds_Prot#'!$A:$AL,22,FALSE)+10,1)</f>
        <v>W</v>
      </c>
      <c r="AB306" s="71" t="str">
        <f>MID(VLOOKUP($A306,Seqs!$A:$B,2,FALSE),VLOOKUP($A306,'NonXtal_SegEnds_Prot#'!$A:$AL,28,FALSE)-4,1)</f>
        <v>P</v>
      </c>
      <c r="AC306" s="102" t="str">
        <f>MID(VLOOKUP($A306,Seqs!$A:$B,2,FALSE),VLOOKUP($A306,'NonXtal_SegEnds_Prot#'!$A:$AL,28,FALSE),1)</f>
        <v>S</v>
      </c>
    </row>
    <row r="307" spans="1:29" s="2" customFormat="1" x14ac:dyDescent="0.2">
      <c r="A307" s="2" t="s">
        <v>604</v>
      </c>
      <c r="B307" s="2" t="str">
        <f>LOWER(VLOOKUP(A307,Xtal_Templ!A:B,2,FALSE))</f>
        <v>glr_human</v>
      </c>
      <c r="C307" s="2" t="str">
        <f>VLOOKUP(A307,Classification!A:D,2,FALSE)</f>
        <v>B1</v>
      </c>
      <c r="M307" s="2" t="s">
        <v>1555</v>
      </c>
      <c r="P307" s="4" t="s">
        <v>51</v>
      </c>
      <c r="R307" s="71" t="str">
        <f>MID(VLOOKUP($A307,Seqs!$A:$B,2,FALSE),VLOOKUP($A307,'NonXtal_SegEnds_Prot#'!A:AL,10,FALSE),1)</f>
        <v>F</v>
      </c>
      <c r="S307" s="102" t="str">
        <f>MID(VLOOKUP($A307,Seqs!$A:$B,2,FALSE),VLOOKUP($A307,'NonXtal_SegEnds_Prot#'!A:AL,10,FALSE)+6,1)</f>
        <v>S</v>
      </c>
      <c r="T307" s="102" t="str">
        <f>MID(VLOOKUP($A307,Seqs!$A:$B,2,FALSE),VLOOKUP($A307,'NonXtal_SegEnds_Prot#'!A:AL,10,FALSE)+7,1)</f>
        <v>I</v>
      </c>
      <c r="U307" s="102" t="str">
        <f>MID(VLOOKUP($A307,Seqs!$A:$B,2,FALSE),VLOOKUP($A307,'NonXtal_SegEnds_Prot#'!A:AL,10,FALSE)+8,1)</f>
        <v>F</v>
      </c>
      <c r="V307" s="102" t="str">
        <f>MID(VLOOKUP($A307,Seqs!$A:$B,2,FALSE),VLOOKUP($A307,'NonXtal_SegEnds_Prot#'!A:AL,10,FALSE)+9,1)</f>
        <v>V</v>
      </c>
      <c r="W307" s="71" t="str">
        <f>MID(VLOOKUP($A307,Seqs!$A:$B,2,FALSE),VLOOKUP($A307,'NonXtal_SegEnds_Prot#'!$A:$AL,22,FALSE)+6,1)</f>
        <v>F</v>
      </c>
      <c r="X307" s="102" t="str">
        <f>MID(VLOOKUP($A307,Seqs!$A:$B,2,FALSE),VLOOKUP($A307,'NonXtal_SegEnds_Prot#'!$A:$AL,22,FALSE)+7,1)</f>
        <v>V</v>
      </c>
      <c r="Y307" s="102" t="str">
        <f>MID(VLOOKUP($A307,Seqs!$A:$B,2,FALSE),VLOOKUP($A307,'NonXtal_SegEnds_Prot#'!$A:$AL,22,FALSE)+8,1)</f>
        <v>A</v>
      </c>
      <c r="Z307" s="102" t="str">
        <f>MID(VLOOKUP($A307,Seqs!$A:$B,2,FALSE),VLOOKUP($A307,'NonXtal_SegEnds_Prot#'!$A:$AL,22,FALSE)+9,1)</f>
        <v>A</v>
      </c>
      <c r="AA307" s="102" t="str">
        <f>MID(VLOOKUP($A307,Seqs!$A:$B,2,FALSE),VLOOKUP($A307,'NonXtal_SegEnds_Prot#'!$A:$AL,22,FALSE)+10,1)</f>
        <v>W</v>
      </c>
      <c r="AB307" s="71" t="str">
        <f>MID(VLOOKUP($A307,Seqs!$A:$B,2,FALSE),VLOOKUP($A307,'NonXtal_SegEnds_Prot#'!$A:$AL,28,FALSE)-4,1)</f>
        <v>P</v>
      </c>
      <c r="AC307" s="102" t="str">
        <f>MID(VLOOKUP($A307,Seqs!$A:$B,2,FALSE),VLOOKUP($A307,'NonXtal_SegEnds_Prot#'!$A:$AL,28,FALSE),1)</f>
        <v>A</v>
      </c>
    </row>
    <row r="308" spans="1:29" s="2" customFormat="1" x14ac:dyDescent="0.2">
      <c r="A308" s="2" t="s">
        <v>605</v>
      </c>
      <c r="B308" s="2" t="str">
        <f>LOWER(VLOOKUP(A308,Xtal_Templ!A:B,2,FALSE))</f>
        <v>glr_human</v>
      </c>
      <c r="C308" s="2" t="str">
        <f>VLOOKUP(A308,Classification!A:D,2,FALSE)</f>
        <v>B1</v>
      </c>
      <c r="M308" s="2" t="s">
        <v>1555</v>
      </c>
      <c r="P308" s="4" t="s">
        <v>51</v>
      </c>
      <c r="R308" s="71" t="str">
        <f>MID(VLOOKUP($A308,Seqs!$A:$B,2,FALSE),VLOOKUP($A308,'NonXtal_SegEnds_Prot#'!A:AL,10,FALSE),1)</f>
        <v>F</v>
      </c>
      <c r="S308" s="102" t="str">
        <f>MID(VLOOKUP($A308,Seqs!$A:$B,2,FALSE),VLOOKUP($A308,'NonXtal_SegEnds_Prot#'!A:AL,10,FALSE)+6,1)</f>
        <v>S</v>
      </c>
      <c r="T308" s="102" t="str">
        <f>MID(VLOOKUP($A308,Seqs!$A:$B,2,FALSE),VLOOKUP($A308,'NonXtal_SegEnds_Prot#'!A:AL,10,FALSE)+7,1)</f>
        <v>N</v>
      </c>
      <c r="U308" s="102" t="str">
        <f>MID(VLOOKUP($A308,Seqs!$A:$B,2,FALSE),VLOOKUP($A308,'NonXtal_SegEnds_Prot#'!A:AL,10,FALSE)+8,1)</f>
        <v>F</v>
      </c>
      <c r="V308" s="102" t="str">
        <f>MID(VLOOKUP($A308,Seqs!$A:$B,2,FALSE),VLOOKUP($A308,'NonXtal_SegEnds_Prot#'!A:AL,10,FALSE)+9,1)</f>
        <v>I</v>
      </c>
      <c r="W308" s="71" t="str">
        <f>MID(VLOOKUP($A308,Seqs!$A:$B,2,FALSE),VLOOKUP($A308,'NonXtal_SegEnds_Prot#'!$A:$AL,22,FALSE)+6,1)</f>
        <v>F</v>
      </c>
      <c r="X308" s="102" t="str">
        <f>MID(VLOOKUP($A308,Seqs!$A:$B,2,FALSE),VLOOKUP($A308,'NonXtal_SegEnds_Prot#'!$A:$AL,22,FALSE)+7,1)</f>
        <v>V</v>
      </c>
      <c r="Y308" s="102" t="str">
        <f>MID(VLOOKUP($A308,Seqs!$A:$B,2,FALSE),VLOOKUP($A308,'NonXtal_SegEnds_Prot#'!$A:$AL,22,FALSE)+8,1)</f>
        <v>A</v>
      </c>
      <c r="Z308" s="102" t="str">
        <f>MID(VLOOKUP($A308,Seqs!$A:$B,2,FALSE),VLOOKUP($A308,'NonXtal_SegEnds_Prot#'!$A:$AL,22,FALSE)+9,1)</f>
        <v>L</v>
      </c>
      <c r="AA308" s="102" t="str">
        <f>MID(VLOOKUP($A308,Seqs!$A:$B,2,FALSE),VLOOKUP($A308,'NonXtal_SegEnds_Prot#'!$A:$AL,22,FALSE)+10,1)</f>
        <v>W</v>
      </c>
      <c r="AB308" s="71" t="str">
        <f>MID(VLOOKUP($A308,Seqs!$A:$B,2,FALSE),VLOOKUP($A308,'NonXtal_SegEnds_Prot#'!$A:$AL,28,FALSE)-4,1)</f>
        <v>P</v>
      </c>
      <c r="AC308" s="102" t="str">
        <f>MID(VLOOKUP($A308,Seqs!$A:$B,2,FALSE),VLOOKUP($A308,'NonXtal_SegEnds_Prot#'!$A:$AL,28,FALSE),1)</f>
        <v>S</v>
      </c>
    </row>
    <row r="309" spans="1:29" s="2" customFormat="1" x14ac:dyDescent="0.2">
      <c r="A309" s="2" t="s">
        <v>606</v>
      </c>
      <c r="B309" s="2" t="str">
        <f>LOWER(VLOOKUP(A309,Xtal_Templ!A:B,2,FALSE))</f>
        <v>glr_human</v>
      </c>
      <c r="C309" s="2" t="str">
        <f>VLOOKUP(A309,Classification!A:D,2,FALSE)</f>
        <v>B1</v>
      </c>
      <c r="M309" s="2" t="s">
        <v>1555</v>
      </c>
      <c r="P309" s="4" t="s">
        <v>51</v>
      </c>
      <c r="R309" s="71" t="str">
        <f>MID(VLOOKUP($A309,Seqs!$A:$B,2,FALSE),VLOOKUP($A309,'NonXtal_SegEnds_Prot#'!A:AL,10,FALSE),1)</f>
        <v>F</v>
      </c>
      <c r="S309" s="102" t="str">
        <f>MID(VLOOKUP($A309,Seqs!$A:$B,2,FALSE),VLOOKUP($A309,'NonXtal_SegEnds_Prot#'!A:AL,10,FALSE)+6,1)</f>
        <v>A</v>
      </c>
      <c r="T309" s="102" t="str">
        <f>MID(VLOOKUP($A309,Seqs!$A:$B,2,FALSE),VLOOKUP($A309,'NonXtal_SegEnds_Prot#'!A:AL,10,FALSE)+7,1)</f>
        <v>V</v>
      </c>
      <c r="U309" s="102" t="str">
        <f>MID(VLOOKUP($A309,Seqs!$A:$B,2,FALSE),VLOOKUP($A309,'NonXtal_SegEnds_Prot#'!A:AL,10,FALSE)+8,1)</f>
        <v>F</v>
      </c>
      <c r="V309" s="102" t="str">
        <f>MID(VLOOKUP($A309,Seqs!$A:$B,2,FALSE),VLOOKUP($A309,'NonXtal_SegEnds_Prot#'!A:AL,10,FALSE)+9,1)</f>
        <v>I</v>
      </c>
      <c r="W309" s="71" t="str">
        <f>MID(VLOOKUP($A309,Seqs!$A:$B,2,FALSE),VLOOKUP($A309,'NonXtal_SegEnds_Prot#'!$A:$AL,22,FALSE)+6,1)</f>
        <v>F</v>
      </c>
      <c r="X309" s="102" t="str">
        <f>MID(VLOOKUP($A309,Seqs!$A:$B,2,FALSE),VLOOKUP($A309,'NonXtal_SegEnds_Prot#'!$A:$AL,22,FALSE)+7,1)</f>
        <v>T</v>
      </c>
      <c r="Y309" s="102" t="str">
        <f>MID(VLOOKUP($A309,Seqs!$A:$B,2,FALSE),VLOOKUP($A309,'NonXtal_SegEnds_Prot#'!$A:$AL,22,FALSE)+8,1)</f>
        <v>M</v>
      </c>
      <c r="Z309" s="102" t="str">
        <f>MID(VLOOKUP($A309,Seqs!$A:$B,2,FALSE),VLOOKUP($A309,'NonXtal_SegEnds_Prot#'!$A:$AL,22,FALSE)+9,1)</f>
        <v>V</v>
      </c>
      <c r="AA309" s="102" t="str">
        <f>MID(VLOOKUP($A309,Seqs!$A:$B,2,FALSE),VLOOKUP($A309,'NonXtal_SegEnds_Prot#'!$A:$AL,22,FALSE)+10,1)</f>
        <v>W</v>
      </c>
      <c r="AB309" s="71" t="str">
        <f>MID(VLOOKUP($A309,Seqs!$A:$B,2,FALSE),VLOOKUP($A309,'NonXtal_SegEnds_Prot#'!$A:$AL,28,FALSE)-4,1)</f>
        <v>P</v>
      </c>
      <c r="AC309" s="102" t="str">
        <f>MID(VLOOKUP($A309,Seqs!$A:$B,2,FALSE),VLOOKUP($A309,'NonXtal_SegEnds_Prot#'!$A:$AL,28,FALSE),1)</f>
        <v>S</v>
      </c>
    </row>
    <row r="310" spans="1:29" s="2" customFormat="1" x14ac:dyDescent="0.2">
      <c r="A310" s="2" t="s">
        <v>607</v>
      </c>
      <c r="B310" s="2" t="str">
        <f>LOWER(VLOOKUP(A310,Xtal_Templ!A:B,2,FALSE))</f>
        <v>glr_human</v>
      </c>
      <c r="C310" s="2" t="str">
        <f>VLOOKUP(A310,Classification!A:D,2,FALSE)</f>
        <v>B1</v>
      </c>
      <c r="M310" s="2" t="s">
        <v>1555</v>
      </c>
      <c r="P310" s="4" t="s">
        <v>51</v>
      </c>
      <c r="R310" s="71" t="str">
        <f>MID(VLOOKUP($A310,Seqs!$A:$B,2,FALSE),VLOOKUP($A310,'NonXtal_SegEnds_Prot#'!A:AL,10,FALSE),1)</f>
        <v>F</v>
      </c>
      <c r="S310" s="102" t="str">
        <f>MID(VLOOKUP($A310,Seqs!$A:$B,2,FALSE),VLOOKUP($A310,'NonXtal_SegEnds_Prot#'!A:AL,10,FALSE)+6,1)</f>
        <v>S</v>
      </c>
      <c r="T310" s="102" t="str">
        <f>MID(VLOOKUP($A310,Seqs!$A:$B,2,FALSE),VLOOKUP($A310,'NonXtal_SegEnds_Prot#'!A:AL,10,FALSE)+7,1)</f>
        <v>V</v>
      </c>
      <c r="U310" s="102" t="str">
        <f>MID(VLOOKUP($A310,Seqs!$A:$B,2,FALSE),VLOOKUP($A310,'NonXtal_SegEnds_Prot#'!A:AL,10,FALSE)+8,1)</f>
        <v>L</v>
      </c>
      <c r="V310" s="102" t="str">
        <f>MID(VLOOKUP($A310,Seqs!$A:$B,2,FALSE),VLOOKUP($A310,'NonXtal_SegEnds_Prot#'!A:AL,10,FALSE)+9,1)</f>
        <v>V</v>
      </c>
      <c r="W310" s="71" t="str">
        <f>MID(VLOOKUP($A310,Seqs!$A:$B,2,FALSE),VLOOKUP($A310,'NonXtal_SegEnds_Prot#'!$A:$AL,22,FALSE)+6,1)</f>
        <v>C</v>
      </c>
      <c r="X310" s="102" t="str">
        <f>MID(VLOOKUP($A310,Seqs!$A:$B,2,FALSE),VLOOKUP($A310,'NonXtal_SegEnds_Prot#'!$A:$AL,22,FALSE)+7,1)</f>
        <v>I</v>
      </c>
      <c r="Y310" s="102" t="str">
        <f>MID(VLOOKUP($A310,Seqs!$A:$B,2,FALSE),VLOOKUP($A310,'NonXtal_SegEnds_Prot#'!$A:$AL,22,FALSE)+8,1)</f>
        <v>G</v>
      </c>
      <c r="Z310" s="102" t="str">
        <f>MID(VLOOKUP($A310,Seqs!$A:$B,2,FALSE),VLOOKUP($A310,'NonXtal_SegEnds_Prot#'!$A:$AL,22,FALSE)+9,1)</f>
        <v>A</v>
      </c>
      <c r="AA310" s="102" t="str">
        <f>MID(VLOOKUP($A310,Seqs!$A:$B,2,FALSE),VLOOKUP($A310,'NonXtal_SegEnds_Prot#'!$A:$AL,22,FALSE)+10,1)</f>
        <v>W</v>
      </c>
      <c r="AB310" s="71" t="str">
        <f>MID(VLOOKUP($A310,Seqs!$A:$B,2,FALSE),VLOOKUP($A310,'NonXtal_SegEnds_Prot#'!$A:$AL,28,FALSE)-4,1)</f>
        <v>P</v>
      </c>
      <c r="AC310" s="102" t="str">
        <f>MID(VLOOKUP($A310,Seqs!$A:$B,2,FALSE),VLOOKUP($A310,'NonXtal_SegEnds_Prot#'!$A:$AL,28,FALSE),1)</f>
        <v>S</v>
      </c>
    </row>
    <row r="311" spans="1:29" s="2" customFormat="1" x14ac:dyDescent="0.2">
      <c r="A311" s="2" t="s">
        <v>1396</v>
      </c>
      <c r="B311" s="2" t="str">
        <f>LOWER(VLOOKUP(A311,Xtal_Templ!A:B,2,FALSE))</f>
        <v>crfr1_human</v>
      </c>
      <c r="C311" s="2" t="str">
        <f>VLOOKUP(A311,Classification!A:D,2,FALSE)</f>
        <v>B2</v>
      </c>
      <c r="P311" s="4" t="s">
        <v>51</v>
      </c>
      <c r="R311" s="71" t="str">
        <f>MID(VLOOKUP($A311,Seqs!$A:$B,2,FALSE),VLOOKUP($A311,'NonXtal_SegEnds_Prot#'!A:AL,10,FALSE),1)</f>
        <v>F</v>
      </c>
      <c r="S311" s="102" t="str">
        <f>MID(VLOOKUP($A311,Seqs!$A:$B,2,FALSE),VLOOKUP($A311,'NonXtal_SegEnds_Prot#'!A:AL,10,FALSE)+6,1)</f>
        <v>F</v>
      </c>
      <c r="T311" s="102" t="str">
        <f>MID(VLOOKUP($A311,Seqs!$A:$B,2,FALSE),VLOOKUP($A311,'NonXtal_SegEnds_Prot#'!A:AL,10,FALSE)+7,1)</f>
        <v>T</v>
      </c>
      <c r="U311" s="102" t="str">
        <f>MID(VLOOKUP($A311,Seqs!$A:$B,2,FALSE),VLOOKUP($A311,'NonXtal_SegEnds_Prot#'!A:AL,10,FALSE)+8,1)</f>
        <v>V</v>
      </c>
      <c r="V311" s="102" t="str">
        <f>MID(VLOOKUP($A311,Seqs!$A:$B,2,FALSE),VLOOKUP($A311,'NonXtal_SegEnds_Prot#'!A:AL,10,FALSE)+9,1)</f>
        <v>F</v>
      </c>
      <c r="W311" s="71" t="str">
        <f>MID(VLOOKUP($A311,Seqs!$A:$B,2,FALSE),VLOOKUP($A311,'NonXtal_SegEnds_Prot#'!$A:$AL,22,FALSE)+6,1)</f>
        <v>I</v>
      </c>
      <c r="X311" s="102" t="str">
        <f>MID(VLOOKUP($A311,Seqs!$A:$B,2,FALSE),VLOOKUP($A311,'NonXtal_SegEnds_Prot#'!$A:$AL,22,FALSE)+7,1)</f>
        <v>C</v>
      </c>
      <c r="Y311" s="102" t="str">
        <f>MID(VLOOKUP($A311,Seqs!$A:$B,2,FALSE),VLOOKUP($A311,'NonXtal_SegEnds_Prot#'!$A:$AL,22,FALSE)+8,1)</f>
        <v>G</v>
      </c>
      <c r="Z311" s="102" t="str">
        <f>MID(VLOOKUP($A311,Seqs!$A:$B,2,FALSE),VLOOKUP($A311,'NonXtal_SegEnds_Prot#'!$A:$AL,22,FALSE)+9,1)</f>
        <v>V</v>
      </c>
      <c r="AA311" s="102" t="str">
        <f>MID(VLOOKUP($A311,Seqs!$A:$B,2,FALSE),VLOOKUP($A311,'NonXtal_SegEnds_Prot#'!$A:$AL,22,FALSE)+10,1)</f>
        <v>T</v>
      </c>
      <c r="AB311" s="71" t="str">
        <f>MID(VLOOKUP($A311,Seqs!$A:$B,2,FALSE),VLOOKUP($A311,'NonXtal_SegEnds_Prot#'!$A:$AL,28,FALSE)-4,1)</f>
        <v>P</v>
      </c>
      <c r="AC311" s="102" t="str">
        <f>MID(VLOOKUP($A311,Seqs!$A:$B,2,FALSE),VLOOKUP($A311,'NonXtal_SegEnds_Prot#'!$A:$AL,28,FALSE),1)</f>
        <v>I</v>
      </c>
    </row>
    <row r="312" spans="1:29" s="2" customFormat="1" x14ac:dyDescent="0.2">
      <c r="A312" s="2" t="s">
        <v>1397</v>
      </c>
      <c r="B312" s="2" t="str">
        <f>LOWER(VLOOKUP(A312,Xtal_Templ!A:B,2,FALSE))</f>
        <v>crfr1_human</v>
      </c>
      <c r="C312" s="2" t="str">
        <f>VLOOKUP(A312,Classification!A:D,2,FALSE)</f>
        <v>B2</v>
      </c>
      <c r="P312" s="4" t="s">
        <v>51</v>
      </c>
      <c r="R312" s="71" t="str">
        <f>MID(VLOOKUP($A312,Seqs!$A:$B,2,FALSE),VLOOKUP($A312,'NonXtal_SegEnds_Prot#'!A:AL,10,FALSE),1)</f>
        <v>F</v>
      </c>
      <c r="S312" s="102" t="str">
        <f>MID(VLOOKUP($A312,Seqs!$A:$B,2,FALSE),VLOOKUP($A312,'NonXtal_SegEnds_Prot#'!A:AL,10,FALSE)+6,1)</f>
        <v>S</v>
      </c>
      <c r="T312" s="102" t="str">
        <f>MID(VLOOKUP($A312,Seqs!$A:$B,2,FALSE),VLOOKUP($A312,'NonXtal_SegEnds_Prot#'!A:AL,10,FALSE)+7,1)</f>
        <v>A</v>
      </c>
      <c r="U312" s="102" t="str">
        <f>MID(VLOOKUP($A312,Seqs!$A:$B,2,FALSE),VLOOKUP($A312,'NonXtal_SegEnds_Prot#'!A:AL,10,FALSE)+8,1)</f>
        <v>V</v>
      </c>
      <c r="V312" s="102" t="str">
        <f>MID(VLOOKUP($A312,Seqs!$A:$B,2,FALSE),VLOOKUP($A312,'NonXtal_SegEnds_Prot#'!A:AL,10,FALSE)+9,1)</f>
        <v>F</v>
      </c>
      <c r="W312" s="71" t="str">
        <f>MID(VLOOKUP($A312,Seqs!$A:$B,2,FALSE),VLOOKUP($A312,'NonXtal_SegEnds_Prot#'!$A:$AL,22,FALSE)+6,1)</f>
        <v>I</v>
      </c>
      <c r="X312" s="102" t="str">
        <f>MID(VLOOKUP($A312,Seqs!$A:$B,2,FALSE),VLOOKUP($A312,'NonXtal_SegEnds_Prot#'!$A:$AL,22,FALSE)+7,1)</f>
        <v>C</v>
      </c>
      <c r="Y312" s="102" t="str">
        <f>MID(VLOOKUP($A312,Seqs!$A:$B,2,FALSE),VLOOKUP($A312,'NonXtal_SegEnds_Prot#'!$A:$AL,22,FALSE)+8,1)</f>
        <v>G</v>
      </c>
      <c r="Z312" s="102" t="str">
        <f>MID(VLOOKUP($A312,Seqs!$A:$B,2,FALSE),VLOOKUP($A312,'NonXtal_SegEnds_Prot#'!$A:$AL,22,FALSE)+9,1)</f>
        <v>I</v>
      </c>
      <c r="AA312" s="102" t="str">
        <f>MID(VLOOKUP($A312,Seqs!$A:$B,2,FALSE),VLOOKUP($A312,'NonXtal_SegEnds_Prot#'!$A:$AL,22,FALSE)+10,1)</f>
        <v>T</v>
      </c>
      <c r="AB312" s="71" t="str">
        <f>MID(VLOOKUP($A312,Seqs!$A:$B,2,FALSE),VLOOKUP($A312,'NonXtal_SegEnds_Prot#'!$A:$AL,28,FALSE)-4,1)</f>
        <v>P</v>
      </c>
      <c r="AC312" s="102" t="str">
        <f>MID(VLOOKUP($A312,Seqs!$A:$B,2,FALSE),VLOOKUP($A312,'NonXtal_SegEnds_Prot#'!$A:$AL,28,FALSE),1)</f>
        <v>I</v>
      </c>
    </row>
    <row r="313" spans="1:29" s="2" customFormat="1" x14ac:dyDescent="0.2">
      <c r="A313" s="2" t="s">
        <v>1398</v>
      </c>
      <c r="B313" s="2" t="str">
        <f>LOWER(VLOOKUP(A313,Xtal_Templ!A:B,2,FALSE))</f>
        <v>crfr1_human</v>
      </c>
      <c r="C313" s="2" t="str">
        <f>VLOOKUP(A313,Classification!A:D,2,FALSE)</f>
        <v>B2</v>
      </c>
      <c r="P313" s="4" t="s">
        <v>51</v>
      </c>
      <c r="R313" s="71" t="str">
        <f>MID(VLOOKUP($A313,Seqs!$A:$B,2,FALSE),VLOOKUP($A313,'NonXtal_SegEnds_Prot#'!A:AL,10,FALSE),1)</f>
        <v>F</v>
      </c>
      <c r="S313" s="102" t="str">
        <f>MID(VLOOKUP($A313,Seqs!$A:$B,2,FALSE),VLOOKUP($A313,'NonXtal_SegEnds_Prot#'!A:AL,10,FALSE)+6,1)</f>
        <v>C</v>
      </c>
      <c r="T313" s="102" t="str">
        <f>MID(VLOOKUP($A313,Seqs!$A:$B,2,FALSE),VLOOKUP($A313,'NonXtal_SegEnds_Prot#'!A:AL,10,FALSE)+7,1)</f>
        <v>V</v>
      </c>
      <c r="U313" s="102" t="str">
        <f>MID(VLOOKUP($A313,Seqs!$A:$B,2,FALSE),VLOOKUP($A313,'NonXtal_SegEnds_Prot#'!A:AL,10,FALSE)+8,1)</f>
        <v>V</v>
      </c>
      <c r="V313" s="102" t="str">
        <f>MID(VLOOKUP($A313,Seqs!$A:$B,2,FALSE),VLOOKUP($A313,'NonXtal_SegEnds_Prot#'!A:AL,10,FALSE)+9,1)</f>
        <v>F</v>
      </c>
      <c r="W313" s="71" t="str">
        <f>MID(VLOOKUP($A313,Seqs!$A:$B,2,FALSE),VLOOKUP($A313,'NonXtal_SegEnds_Prot#'!$A:$AL,22,FALSE)+6,1)</f>
        <v>V</v>
      </c>
      <c r="X313" s="102" t="str">
        <f>MID(VLOOKUP($A313,Seqs!$A:$B,2,FALSE),VLOOKUP($A313,'NonXtal_SegEnds_Prot#'!$A:$AL,22,FALSE)+7,1)</f>
        <v>C</v>
      </c>
      <c r="Y313" s="102" t="str">
        <f>MID(VLOOKUP($A313,Seqs!$A:$B,2,FALSE),VLOOKUP($A313,'NonXtal_SegEnds_Prot#'!$A:$AL,22,FALSE)+8,1)</f>
        <v>G</v>
      </c>
      <c r="Z313" s="102" t="str">
        <f>MID(VLOOKUP($A313,Seqs!$A:$B,2,FALSE),VLOOKUP($A313,'NonXtal_SegEnds_Prot#'!$A:$AL,22,FALSE)+9,1)</f>
        <v>I</v>
      </c>
      <c r="AA313" s="102" t="str">
        <f>MID(VLOOKUP($A313,Seqs!$A:$B,2,FALSE),VLOOKUP($A313,'NonXtal_SegEnds_Prot#'!$A:$AL,22,FALSE)+10,1)</f>
        <v>T</v>
      </c>
      <c r="AB313" s="71" t="str">
        <f>MID(VLOOKUP($A313,Seqs!$A:$B,2,FALSE),VLOOKUP($A313,'NonXtal_SegEnds_Prot#'!$A:$AL,28,FALSE)-4,1)</f>
        <v>P</v>
      </c>
      <c r="AC313" s="102" t="str">
        <f>MID(VLOOKUP($A313,Seqs!$A:$B,2,FALSE),VLOOKUP($A313,'NonXtal_SegEnds_Prot#'!$A:$AL,28,FALSE),1)</f>
        <v>I</v>
      </c>
    </row>
    <row r="314" spans="1:29" s="2" customFormat="1" x14ac:dyDescent="0.2">
      <c r="A314" s="2" t="s">
        <v>1399</v>
      </c>
      <c r="B314" s="2" t="str">
        <f>LOWER(VLOOKUP(A314,Xtal_Templ!A:B,2,FALSE))</f>
        <v>crfr1_human</v>
      </c>
      <c r="C314" s="2" t="str">
        <f>VLOOKUP(A314,Classification!A:D,2,FALSE)</f>
        <v>B2</v>
      </c>
      <c r="P314" s="4" t="s">
        <v>51</v>
      </c>
      <c r="R314" s="71" t="str">
        <f>MID(VLOOKUP($A314,Seqs!$A:$B,2,FALSE),VLOOKUP($A314,'NonXtal_SegEnds_Prot#'!A:AL,10,FALSE),1)</f>
        <v>I</v>
      </c>
      <c r="S314" s="102" t="str">
        <f>MID(VLOOKUP($A314,Seqs!$A:$B,2,FALSE),VLOOKUP($A314,'NonXtal_SegEnds_Prot#'!A:AL,10,FALSE)+6,1)</f>
        <v>L</v>
      </c>
      <c r="T314" s="102" t="str">
        <f>MID(VLOOKUP($A314,Seqs!$A:$B,2,FALSE),VLOOKUP($A314,'NonXtal_SegEnds_Prot#'!A:AL,10,FALSE)+7,1)</f>
        <v>I</v>
      </c>
      <c r="U314" s="102" t="str">
        <f>MID(VLOOKUP($A314,Seqs!$A:$B,2,FALSE),VLOOKUP($A314,'NonXtal_SegEnds_Prot#'!A:AL,10,FALSE)+8,1)</f>
        <v>L</v>
      </c>
      <c r="V314" s="102" t="str">
        <f>MID(VLOOKUP($A314,Seqs!$A:$B,2,FALSE),VLOOKUP($A314,'NonXtal_SegEnds_Prot#'!A:AL,10,FALSE)+9,1)</f>
        <v>V</v>
      </c>
      <c r="W314" s="71" t="str">
        <f>MID(VLOOKUP($A314,Seqs!$A:$B,2,FALSE),VLOOKUP($A314,'NonXtal_SegEnds_Prot#'!$A:$AL,22,FALSE)+6,1)</f>
        <v>V</v>
      </c>
      <c r="X314" s="102" t="str">
        <f>MID(VLOOKUP($A314,Seqs!$A:$B,2,FALSE),VLOOKUP($A314,'NonXtal_SegEnds_Prot#'!$A:$AL,22,FALSE)+7,1)</f>
        <v>V</v>
      </c>
      <c r="Y314" s="102" t="str">
        <f>MID(VLOOKUP($A314,Seqs!$A:$B,2,FALSE),VLOOKUP($A314,'NonXtal_SegEnds_Prot#'!$A:$AL,22,FALSE)+8,1)</f>
        <v>A</v>
      </c>
      <c r="Z314" s="102" t="str">
        <f>MID(VLOOKUP($A314,Seqs!$A:$B,2,FALSE),VLOOKUP($A314,'NonXtal_SegEnds_Prot#'!$A:$AL,22,FALSE)+9,1)</f>
        <v>V</v>
      </c>
      <c r="AA314" s="102" t="str">
        <f>MID(VLOOKUP($A314,Seqs!$A:$B,2,FALSE),VLOOKUP($A314,'NonXtal_SegEnds_Prot#'!$A:$AL,22,FALSE)+10,1)</f>
        <v>S</v>
      </c>
      <c r="AB314" s="71" t="str">
        <f>MID(VLOOKUP($A314,Seqs!$A:$B,2,FALSE),VLOOKUP($A314,'NonXtal_SegEnds_Prot#'!$A:$AL,28,FALSE)-4,1)</f>
        <v>P</v>
      </c>
      <c r="AC314" s="102" t="str">
        <f>MID(VLOOKUP($A314,Seqs!$A:$B,2,FALSE),VLOOKUP($A314,'NonXtal_SegEnds_Prot#'!$A:$AL,28,FALSE),1)</f>
        <v>I</v>
      </c>
    </row>
    <row r="315" spans="1:29" s="2" customFormat="1" x14ac:dyDescent="0.2">
      <c r="A315" s="2" t="s">
        <v>1400</v>
      </c>
      <c r="B315" s="2" t="str">
        <f>LOWER(VLOOKUP(A315,Xtal_Templ!A:B,2,FALSE))</f>
        <v>crfr1_human</v>
      </c>
      <c r="C315" s="2" t="str">
        <f>VLOOKUP(A315,Classification!A:D,2,FALSE)</f>
        <v>B2</v>
      </c>
      <c r="P315" s="4" t="s">
        <v>51</v>
      </c>
      <c r="R315" s="71" t="str">
        <f>MID(VLOOKUP($A315,Seqs!$A:$B,2,FALSE),VLOOKUP($A315,'NonXtal_SegEnds_Prot#'!A:AL,10,FALSE),1)</f>
        <v>I</v>
      </c>
      <c r="S315" s="102" t="str">
        <f>MID(VLOOKUP($A315,Seqs!$A:$B,2,FALSE),VLOOKUP($A315,'NonXtal_SegEnds_Prot#'!A:AL,10,FALSE)+6,1)</f>
        <v>L</v>
      </c>
      <c r="T315" s="102" t="str">
        <f>MID(VLOOKUP($A315,Seqs!$A:$B,2,FALSE),VLOOKUP($A315,'NonXtal_SegEnds_Prot#'!A:AL,10,FALSE)+7,1)</f>
        <v>I</v>
      </c>
      <c r="U315" s="102" t="str">
        <f>MID(VLOOKUP($A315,Seqs!$A:$B,2,FALSE),VLOOKUP($A315,'NonXtal_SegEnds_Prot#'!A:AL,10,FALSE)+8,1)</f>
        <v>L</v>
      </c>
      <c r="V315" s="102" t="str">
        <f>MID(VLOOKUP($A315,Seqs!$A:$B,2,FALSE),VLOOKUP($A315,'NonXtal_SegEnds_Prot#'!A:AL,10,FALSE)+9,1)</f>
        <v>V</v>
      </c>
      <c r="W315" s="71" t="str">
        <f>MID(VLOOKUP($A315,Seqs!$A:$B,2,FALSE),VLOOKUP($A315,'NonXtal_SegEnds_Prot#'!$A:$AL,22,FALSE)+6,1)</f>
        <v>V</v>
      </c>
      <c r="X315" s="102" t="str">
        <f>MID(VLOOKUP($A315,Seqs!$A:$B,2,FALSE),VLOOKUP($A315,'NonXtal_SegEnds_Prot#'!$A:$AL,22,FALSE)+7,1)</f>
        <v>V</v>
      </c>
      <c r="Y315" s="102" t="str">
        <f>MID(VLOOKUP($A315,Seqs!$A:$B,2,FALSE),VLOOKUP($A315,'NonXtal_SegEnds_Prot#'!$A:$AL,22,FALSE)+8,1)</f>
        <v>A</v>
      </c>
      <c r="Z315" s="102" t="str">
        <f>MID(VLOOKUP($A315,Seqs!$A:$B,2,FALSE),VLOOKUP($A315,'NonXtal_SegEnds_Prot#'!$A:$AL,22,FALSE)+9,1)</f>
        <v>T</v>
      </c>
      <c r="AA315" s="102" t="str">
        <f>MID(VLOOKUP($A315,Seqs!$A:$B,2,FALSE),VLOOKUP($A315,'NonXtal_SegEnds_Prot#'!$A:$AL,22,FALSE)+10,1)</f>
        <v>S</v>
      </c>
      <c r="AB315" s="71" t="str">
        <f>MID(VLOOKUP($A315,Seqs!$A:$B,2,FALSE),VLOOKUP($A315,'NonXtal_SegEnds_Prot#'!$A:$AL,28,FALSE)-4,1)</f>
        <v>P</v>
      </c>
      <c r="AC315" s="102" t="str">
        <f>MID(VLOOKUP($A315,Seqs!$A:$B,2,FALSE),VLOOKUP($A315,'NonXtal_SegEnds_Prot#'!$A:$AL,28,FALSE),1)</f>
        <v>V</v>
      </c>
    </row>
    <row r="316" spans="1:29" s="2" customFormat="1" x14ac:dyDescent="0.2">
      <c r="A316" s="2" t="s">
        <v>1401</v>
      </c>
      <c r="B316" s="2" t="str">
        <f>LOWER(VLOOKUP(A316,Xtal_Templ!A:B,2,FALSE))</f>
        <v>crfr1_human</v>
      </c>
      <c r="C316" s="2" t="str">
        <f>VLOOKUP(A316,Classification!A:D,2,FALSE)</f>
        <v>B2</v>
      </c>
      <c r="P316" s="4" t="s">
        <v>51</v>
      </c>
      <c r="R316" s="71" t="str">
        <f>MID(VLOOKUP($A316,Seqs!$A:$B,2,FALSE),VLOOKUP($A316,'NonXtal_SegEnds_Prot#'!A:AL,10,FALSE),1)</f>
        <v>V</v>
      </c>
      <c r="S316" s="102" t="str">
        <f>MID(VLOOKUP($A316,Seqs!$A:$B,2,FALSE),VLOOKUP($A316,'NonXtal_SegEnds_Prot#'!A:AL,10,FALSE)+6,1)</f>
        <v>L</v>
      </c>
      <c r="T316" s="102" t="str">
        <f>MID(VLOOKUP($A316,Seqs!$A:$B,2,FALSE),VLOOKUP($A316,'NonXtal_SegEnds_Prot#'!A:AL,10,FALSE)+7,1)</f>
        <v>L</v>
      </c>
      <c r="U316" s="102" t="str">
        <f>MID(VLOOKUP($A316,Seqs!$A:$B,2,FALSE),VLOOKUP($A316,'NonXtal_SegEnds_Prot#'!A:AL,10,FALSE)+8,1)</f>
        <v>L</v>
      </c>
      <c r="V316" s="102" t="str">
        <f>MID(VLOOKUP($A316,Seqs!$A:$B,2,FALSE),VLOOKUP($A316,'NonXtal_SegEnds_Prot#'!A:AL,10,FALSE)+9,1)</f>
        <v>I</v>
      </c>
      <c r="W316" s="71" t="str">
        <f>MID(VLOOKUP($A316,Seqs!$A:$B,2,FALSE),VLOOKUP($A316,'NonXtal_SegEnds_Prot#'!$A:$AL,22,FALSE)+6,1)</f>
        <v>I</v>
      </c>
      <c r="X316" s="102" t="str">
        <f>MID(VLOOKUP($A316,Seqs!$A:$B,2,FALSE),VLOOKUP($A316,'NonXtal_SegEnds_Prot#'!$A:$AL,22,FALSE)+7,1)</f>
        <v>C</v>
      </c>
      <c r="Y316" s="102" t="str">
        <f>MID(VLOOKUP($A316,Seqs!$A:$B,2,FALSE),VLOOKUP($A316,'NonXtal_SegEnds_Prot#'!$A:$AL,22,FALSE)+8,1)</f>
        <v>I</v>
      </c>
      <c r="Z316" s="102" t="str">
        <f>MID(VLOOKUP($A316,Seqs!$A:$B,2,FALSE),VLOOKUP($A316,'NonXtal_SegEnds_Prot#'!$A:$AL,22,FALSE)+9,1)</f>
        <v>I</v>
      </c>
      <c r="AA316" s="102" t="str">
        <f>MID(VLOOKUP($A316,Seqs!$A:$B,2,FALSE),VLOOKUP($A316,'NonXtal_SegEnds_Prot#'!$A:$AL,22,FALSE)+10,1)</f>
        <v>S</v>
      </c>
      <c r="AB316" s="71" t="str">
        <f>MID(VLOOKUP($A316,Seqs!$A:$B,2,FALSE),VLOOKUP($A316,'NonXtal_SegEnds_Prot#'!$A:$AL,28,FALSE)-4,1)</f>
        <v>P</v>
      </c>
      <c r="AC316" s="102" t="str">
        <f>MID(VLOOKUP($A316,Seqs!$A:$B,2,FALSE),VLOOKUP($A316,'NonXtal_SegEnds_Prot#'!$A:$AL,28,FALSE),1)</f>
        <v>V</v>
      </c>
    </row>
    <row r="317" spans="1:29" s="2" customFormat="1" x14ac:dyDescent="0.2">
      <c r="A317" s="2" t="s">
        <v>1402</v>
      </c>
      <c r="B317" s="2" t="str">
        <f>LOWER(VLOOKUP(A317,Xtal_Templ!A:B,2,FALSE))</f>
        <v>crfr1_human</v>
      </c>
      <c r="C317" s="2" t="str">
        <f>VLOOKUP(A317,Classification!A:D,2,FALSE)</f>
        <v>B2</v>
      </c>
      <c r="P317" s="4" t="s">
        <v>51</v>
      </c>
      <c r="R317" s="71" t="str">
        <f>MID(VLOOKUP($A317,Seqs!$A:$B,2,FALSE),VLOOKUP($A317,'NonXtal_SegEnds_Prot#'!A:AL,10,FALSE),1)</f>
        <v>L</v>
      </c>
      <c r="S317" s="102" t="str">
        <f>MID(VLOOKUP($A317,Seqs!$A:$B,2,FALSE),VLOOKUP($A317,'NonXtal_SegEnds_Prot#'!A:AL,10,FALSE)+6,1)</f>
        <v>F</v>
      </c>
      <c r="T317" s="102" t="str">
        <f>MID(VLOOKUP($A317,Seqs!$A:$B,2,FALSE),VLOOKUP($A317,'NonXtal_SegEnds_Prot#'!A:AL,10,FALSE)+7,1)</f>
        <v>L</v>
      </c>
      <c r="U317" s="102" t="str">
        <f>MID(VLOOKUP($A317,Seqs!$A:$B,2,FALSE),VLOOKUP($A317,'NonXtal_SegEnds_Prot#'!A:AL,10,FALSE)+8,1)</f>
        <v>M</v>
      </c>
      <c r="V317" s="102" t="str">
        <f>MID(VLOOKUP($A317,Seqs!$A:$B,2,FALSE),VLOOKUP($A317,'NonXtal_SegEnds_Prot#'!A:AL,10,FALSE)+9,1)</f>
        <v>T</v>
      </c>
      <c r="W317" s="71" t="str">
        <f>MID(VLOOKUP($A317,Seqs!$A:$B,2,FALSE),VLOOKUP($A317,'NonXtal_SegEnds_Prot#'!$A:$AL,22,FALSE)+6,1)</f>
        <v>I</v>
      </c>
      <c r="X317" s="102" t="str">
        <f>MID(VLOOKUP($A317,Seqs!$A:$B,2,FALSE),VLOOKUP($A317,'NonXtal_SegEnds_Prot#'!$A:$AL,22,FALSE)+7,1)</f>
        <v>V</v>
      </c>
      <c r="Y317" s="102" t="str">
        <f>MID(VLOOKUP($A317,Seqs!$A:$B,2,FALSE),VLOOKUP($A317,'NonXtal_SegEnds_Prot#'!$A:$AL,22,FALSE)+8,1)</f>
        <v>A</v>
      </c>
      <c r="Z317" s="102" t="str">
        <f>MID(VLOOKUP($A317,Seqs!$A:$B,2,FALSE),VLOOKUP($A317,'NonXtal_SegEnds_Prot#'!$A:$AL,22,FALSE)+9,1)</f>
        <v>V</v>
      </c>
      <c r="AA317" s="102" t="str">
        <f>MID(VLOOKUP($A317,Seqs!$A:$B,2,FALSE),VLOOKUP($A317,'NonXtal_SegEnds_Prot#'!$A:$AL,22,FALSE)+10,1)</f>
        <v>T</v>
      </c>
      <c r="AB317" s="71" t="str">
        <f>MID(VLOOKUP($A317,Seqs!$A:$B,2,FALSE),VLOOKUP($A317,'NonXtal_SegEnds_Prot#'!$A:$AL,28,FALSE)-4,1)</f>
        <v>P</v>
      </c>
      <c r="AC317" s="102" t="str">
        <f>MID(VLOOKUP($A317,Seqs!$A:$B,2,FALSE),VLOOKUP($A317,'NonXtal_SegEnds_Prot#'!$A:$AL,28,FALSE),1)</f>
        <v>V</v>
      </c>
    </row>
    <row r="318" spans="1:29" s="2" customFormat="1" x14ac:dyDescent="0.2">
      <c r="A318" s="2" t="s">
        <v>1403</v>
      </c>
      <c r="B318" s="2" t="str">
        <f>LOWER(VLOOKUP(A318,Xtal_Templ!A:B,2,FALSE))</f>
        <v>crfr1_human</v>
      </c>
      <c r="C318" s="2" t="str">
        <f>VLOOKUP(A318,Classification!A:D,2,FALSE)</f>
        <v>B2</v>
      </c>
      <c r="P318" s="4" t="s">
        <v>51</v>
      </c>
      <c r="R318" s="71" t="str">
        <f>MID(VLOOKUP($A318,Seqs!$A:$B,2,FALSE),VLOOKUP($A318,'NonXtal_SegEnds_Prot#'!A:AL,10,FALSE),1)</f>
        <v>L</v>
      </c>
      <c r="S318" s="102" t="str">
        <f>MID(VLOOKUP($A318,Seqs!$A:$B,2,FALSE),VLOOKUP($A318,'NonXtal_SegEnds_Prot#'!A:AL,10,FALSE)+6,1)</f>
        <v>L</v>
      </c>
      <c r="T318" s="102" t="str">
        <f>MID(VLOOKUP($A318,Seqs!$A:$B,2,FALSE),VLOOKUP($A318,'NonXtal_SegEnds_Prot#'!A:AL,10,FALSE)+7,1)</f>
        <v>F</v>
      </c>
      <c r="U318" s="102" t="str">
        <f>MID(VLOOKUP($A318,Seqs!$A:$B,2,FALSE),VLOOKUP($A318,'NonXtal_SegEnds_Prot#'!A:AL,10,FALSE)+8,1)</f>
        <v>L</v>
      </c>
      <c r="V318" s="102" t="str">
        <f>MID(VLOOKUP($A318,Seqs!$A:$B,2,FALSE),VLOOKUP($A318,'NonXtal_SegEnds_Prot#'!A:AL,10,FALSE)+9,1)</f>
        <v>A</v>
      </c>
      <c r="W318" s="71" t="str">
        <f>MID(VLOOKUP($A318,Seqs!$A:$B,2,FALSE),VLOOKUP($A318,'NonXtal_SegEnds_Prot#'!$A:$AL,22,FALSE)+6,1)</f>
        <v>V</v>
      </c>
      <c r="X318" s="102" t="str">
        <f>MID(VLOOKUP($A318,Seqs!$A:$B,2,FALSE),VLOOKUP($A318,'NonXtal_SegEnds_Prot#'!$A:$AL,22,FALSE)+7,1)</f>
        <v>V</v>
      </c>
      <c r="Y318" s="102" t="str">
        <f>MID(VLOOKUP($A318,Seqs!$A:$B,2,FALSE),VLOOKUP($A318,'NonXtal_SegEnds_Prot#'!$A:$AL,22,FALSE)+8,1)</f>
        <v>V</v>
      </c>
      <c r="Z318" s="102" t="str">
        <f>MID(VLOOKUP($A318,Seqs!$A:$B,2,FALSE),VLOOKUP($A318,'NonXtal_SegEnds_Prot#'!$A:$AL,22,FALSE)+9,1)</f>
        <v>I</v>
      </c>
      <c r="AA318" s="102" t="str">
        <f>MID(VLOOKUP($A318,Seqs!$A:$B,2,FALSE),VLOOKUP($A318,'NonXtal_SegEnds_Prot#'!$A:$AL,22,FALSE)+10,1)</f>
        <v>S</v>
      </c>
      <c r="AB318" s="71" t="str">
        <f>MID(VLOOKUP($A318,Seqs!$A:$B,2,FALSE),VLOOKUP($A318,'NonXtal_SegEnds_Prot#'!$A:$AL,28,FALSE)-4,1)</f>
        <v>P</v>
      </c>
      <c r="AC318" s="102" t="str">
        <f>MID(VLOOKUP($A318,Seqs!$A:$B,2,FALSE),VLOOKUP($A318,'NonXtal_SegEnds_Prot#'!$A:$AL,28,FALSE),1)</f>
        <v>V</v>
      </c>
    </row>
    <row r="319" spans="1:29" s="2" customFormat="1" x14ac:dyDescent="0.2">
      <c r="A319" s="2" t="s">
        <v>1404</v>
      </c>
      <c r="B319" s="2" t="str">
        <f>LOWER(VLOOKUP(A319,Xtal_Templ!A:B,2,FALSE))</f>
        <v>crfr1_human</v>
      </c>
      <c r="C319" s="2" t="str">
        <f>VLOOKUP(A319,Classification!A:D,2,FALSE)</f>
        <v>B2</v>
      </c>
      <c r="P319" s="4" t="s">
        <v>51</v>
      </c>
      <c r="R319" s="71" t="str">
        <f>MID(VLOOKUP($A319,Seqs!$A:$B,2,FALSE),VLOOKUP($A319,'NonXtal_SegEnds_Prot#'!A:AL,10,FALSE),1)</f>
        <v>L</v>
      </c>
      <c r="S319" s="102" t="str">
        <f>MID(VLOOKUP($A319,Seqs!$A:$B,2,FALSE),VLOOKUP($A319,'NonXtal_SegEnds_Prot#'!A:AL,10,FALSE)+6,1)</f>
        <v>L</v>
      </c>
      <c r="T319" s="102" t="str">
        <f>MID(VLOOKUP($A319,Seqs!$A:$B,2,FALSE),VLOOKUP($A319,'NonXtal_SegEnds_Prot#'!A:AL,10,FALSE)+7,1)</f>
        <v>F</v>
      </c>
      <c r="U319" s="102" t="str">
        <f>MID(VLOOKUP($A319,Seqs!$A:$B,2,FALSE),VLOOKUP($A319,'NonXtal_SegEnds_Prot#'!A:AL,10,FALSE)+8,1)</f>
        <v>L</v>
      </c>
      <c r="V319" s="102" t="str">
        <f>MID(VLOOKUP($A319,Seqs!$A:$B,2,FALSE),VLOOKUP($A319,'NonXtal_SegEnds_Prot#'!A:AL,10,FALSE)+9,1)</f>
        <v>V</v>
      </c>
      <c r="W319" s="71" t="str">
        <f>MID(VLOOKUP($A319,Seqs!$A:$B,2,FALSE),VLOOKUP($A319,'NonXtal_SegEnds_Prot#'!$A:$AL,22,FALSE)+6,1)</f>
        <v>T</v>
      </c>
      <c r="X319" s="102" t="str">
        <f>MID(VLOOKUP($A319,Seqs!$A:$B,2,FALSE),VLOOKUP($A319,'NonXtal_SegEnds_Prot#'!$A:$AL,22,FALSE)+7,1)</f>
        <v>V</v>
      </c>
      <c r="Y319" s="102" t="str">
        <f>MID(VLOOKUP($A319,Seqs!$A:$B,2,FALSE),VLOOKUP($A319,'NonXtal_SegEnds_Prot#'!$A:$AL,22,FALSE)+8,1)</f>
        <v>A</v>
      </c>
      <c r="Z319" s="102" t="str">
        <f>MID(VLOOKUP($A319,Seqs!$A:$B,2,FALSE),VLOOKUP($A319,'NonXtal_SegEnds_Prot#'!$A:$AL,22,FALSE)+9,1)</f>
        <v>I</v>
      </c>
      <c r="AA319" s="102" t="str">
        <f>MID(VLOOKUP($A319,Seqs!$A:$B,2,FALSE),VLOOKUP($A319,'NonXtal_SegEnds_Prot#'!$A:$AL,22,FALSE)+10,1)</f>
        <v>S</v>
      </c>
      <c r="AB319" s="71" t="str">
        <f>MID(VLOOKUP($A319,Seqs!$A:$B,2,FALSE),VLOOKUP($A319,'NonXtal_SegEnds_Prot#'!$A:$AL,28,FALSE)-4,1)</f>
        <v>P</v>
      </c>
      <c r="AC319" s="102" t="str">
        <f>MID(VLOOKUP($A319,Seqs!$A:$B,2,FALSE),VLOOKUP($A319,'NonXtal_SegEnds_Prot#'!$A:$AL,28,FALSE),1)</f>
        <v>I</v>
      </c>
    </row>
    <row r="320" spans="1:29" s="2" customFormat="1" x14ac:dyDescent="0.2">
      <c r="A320" s="2" t="s">
        <v>1405</v>
      </c>
      <c r="B320" s="2" t="str">
        <f>LOWER(VLOOKUP(A320,Xtal_Templ!A:B,2,FALSE))</f>
        <v>crfr1_human</v>
      </c>
      <c r="C320" s="2" t="str">
        <f>VLOOKUP(A320,Classification!A:D,2,FALSE)</f>
        <v>B2</v>
      </c>
      <c r="P320" s="4" t="s">
        <v>51</v>
      </c>
      <c r="R320" s="71" t="str">
        <f>MID(VLOOKUP($A320,Seqs!$A:$B,2,FALSE),VLOOKUP($A320,'NonXtal_SegEnds_Prot#'!A:AL,10,FALSE),1)</f>
        <v>L</v>
      </c>
      <c r="S320" s="102" t="str">
        <f>MID(VLOOKUP($A320,Seqs!$A:$B,2,FALSE),VLOOKUP($A320,'NonXtal_SegEnds_Prot#'!A:AL,10,FALSE)+6,1)</f>
        <v>L</v>
      </c>
      <c r="T320" s="102" t="str">
        <f>MID(VLOOKUP($A320,Seqs!$A:$B,2,FALSE),VLOOKUP($A320,'NonXtal_SegEnds_Prot#'!A:AL,10,FALSE)+7,1)</f>
        <v>F</v>
      </c>
      <c r="U320" s="102" t="str">
        <f>MID(VLOOKUP($A320,Seqs!$A:$B,2,FALSE),VLOOKUP($A320,'NonXtal_SegEnds_Prot#'!A:AL,10,FALSE)+8,1)</f>
        <v>L</v>
      </c>
      <c r="V320" s="102" t="str">
        <f>MID(VLOOKUP($A320,Seqs!$A:$B,2,FALSE),VLOOKUP($A320,'NonXtal_SegEnds_Prot#'!A:AL,10,FALSE)+9,1)</f>
        <v>V</v>
      </c>
      <c r="W320" s="71" t="str">
        <f>MID(VLOOKUP($A320,Seqs!$A:$B,2,FALSE),VLOOKUP($A320,'NonXtal_SegEnds_Prot#'!$A:$AL,22,FALSE)+6,1)</f>
        <v>T</v>
      </c>
      <c r="X320" s="102" t="str">
        <f>MID(VLOOKUP($A320,Seqs!$A:$B,2,FALSE),VLOOKUP($A320,'NonXtal_SegEnds_Prot#'!$A:$AL,22,FALSE)+7,1)</f>
        <v>V</v>
      </c>
      <c r="Y320" s="102" t="str">
        <f>MID(VLOOKUP($A320,Seqs!$A:$B,2,FALSE),VLOOKUP($A320,'NonXtal_SegEnds_Prot#'!$A:$AL,22,FALSE)+8,1)</f>
        <v>A</v>
      </c>
      <c r="Z320" s="102" t="str">
        <f>MID(VLOOKUP($A320,Seqs!$A:$B,2,FALSE),VLOOKUP($A320,'NonXtal_SegEnds_Prot#'!$A:$AL,22,FALSE)+9,1)</f>
        <v>I</v>
      </c>
      <c r="AA320" s="102" t="str">
        <f>MID(VLOOKUP($A320,Seqs!$A:$B,2,FALSE),VLOOKUP($A320,'NonXtal_SegEnds_Prot#'!$A:$AL,22,FALSE)+10,1)</f>
        <v>S</v>
      </c>
      <c r="AB320" s="71" t="str">
        <f>MID(VLOOKUP($A320,Seqs!$A:$B,2,FALSE),VLOOKUP($A320,'NonXtal_SegEnds_Prot#'!$A:$AL,28,FALSE)-4,1)</f>
        <v>P</v>
      </c>
      <c r="AC320" s="102" t="str">
        <f>MID(VLOOKUP($A320,Seqs!$A:$B,2,FALSE),VLOOKUP($A320,'NonXtal_SegEnds_Prot#'!$A:$AL,28,FALSE),1)</f>
        <v>I</v>
      </c>
    </row>
    <row r="321" spans="1:29" s="2" customFormat="1" x14ac:dyDescent="0.2">
      <c r="A321" s="2" t="s">
        <v>1406</v>
      </c>
      <c r="B321" s="2" t="str">
        <f>LOWER(VLOOKUP(A321,Xtal_Templ!A:B,2,FALSE))</f>
        <v>crfr1_human</v>
      </c>
      <c r="C321" s="2" t="str">
        <f>VLOOKUP(A321,Classification!A:D,2,FALSE)</f>
        <v>B2</v>
      </c>
      <c r="P321" s="4" t="s">
        <v>51</v>
      </c>
      <c r="R321" s="71" t="str">
        <f>MID(VLOOKUP($A321,Seqs!$A:$B,2,FALSE),VLOOKUP($A321,'NonXtal_SegEnds_Prot#'!A:AL,10,FALSE),1)</f>
        <v>L</v>
      </c>
      <c r="S321" s="102" t="str">
        <f>MID(VLOOKUP($A321,Seqs!$A:$B,2,FALSE),VLOOKUP($A321,'NonXtal_SegEnds_Prot#'!A:AL,10,FALSE)+6,1)</f>
        <v>L</v>
      </c>
      <c r="T321" s="102" t="str">
        <f>MID(VLOOKUP($A321,Seqs!$A:$B,2,FALSE),VLOOKUP($A321,'NonXtal_SegEnds_Prot#'!A:AL,10,FALSE)+7,1)</f>
        <v>F</v>
      </c>
      <c r="U321" s="102" t="str">
        <f>MID(VLOOKUP($A321,Seqs!$A:$B,2,FALSE),VLOOKUP($A321,'NonXtal_SegEnds_Prot#'!A:AL,10,FALSE)+8,1)</f>
        <v>L</v>
      </c>
      <c r="V321" s="102" t="str">
        <f>MID(VLOOKUP($A321,Seqs!$A:$B,2,FALSE),VLOOKUP($A321,'NonXtal_SegEnds_Prot#'!A:AL,10,FALSE)+9,1)</f>
        <v>T</v>
      </c>
      <c r="W321" s="71" t="str">
        <f>MID(VLOOKUP($A321,Seqs!$A:$B,2,FALSE),VLOOKUP($A321,'NonXtal_SegEnds_Prot#'!$A:$AL,22,FALSE)+6,1)</f>
        <v>I</v>
      </c>
      <c r="X321" s="102" t="str">
        <f>MID(VLOOKUP($A321,Seqs!$A:$B,2,FALSE),VLOOKUP($A321,'NonXtal_SegEnds_Prot#'!$A:$AL,22,FALSE)+7,1)</f>
        <v>I</v>
      </c>
      <c r="Y321" s="102" t="str">
        <f>MID(VLOOKUP($A321,Seqs!$A:$B,2,FALSE),VLOOKUP($A321,'NonXtal_SegEnds_Prot#'!$A:$AL,22,FALSE)+8,1)</f>
        <v>A</v>
      </c>
      <c r="Z321" s="102" t="str">
        <f>MID(VLOOKUP($A321,Seqs!$A:$B,2,FALSE),VLOOKUP($A321,'NonXtal_SegEnds_Prot#'!$A:$AL,22,FALSE)+9,1)</f>
        <v>V</v>
      </c>
      <c r="AA321" s="102" t="str">
        <f>MID(VLOOKUP($A321,Seqs!$A:$B,2,FALSE),VLOOKUP($A321,'NonXtal_SegEnds_Prot#'!$A:$AL,22,FALSE)+10,1)</f>
        <v>S</v>
      </c>
      <c r="AB321" s="71" t="str">
        <f>MID(VLOOKUP($A321,Seqs!$A:$B,2,FALSE),VLOOKUP($A321,'NonXtal_SegEnds_Prot#'!$A:$AL,28,FALSE)-4,1)</f>
        <v>P</v>
      </c>
      <c r="AC321" s="102" t="str">
        <f>MID(VLOOKUP($A321,Seqs!$A:$B,2,FALSE),VLOOKUP($A321,'NonXtal_SegEnds_Prot#'!$A:$AL,28,FALSE),1)</f>
        <v>I</v>
      </c>
    </row>
    <row r="322" spans="1:29" s="2" customFormat="1" x14ac:dyDescent="0.2">
      <c r="A322" s="2" t="s">
        <v>1407</v>
      </c>
      <c r="B322" s="2" t="str">
        <f>LOWER(VLOOKUP(A322,Xtal_Templ!A:B,2,FALSE))</f>
        <v>crfr1_human</v>
      </c>
      <c r="C322" s="2" t="str">
        <f>VLOOKUP(A322,Classification!A:D,2,FALSE)</f>
        <v>B2</v>
      </c>
      <c r="P322" s="4" t="s">
        <v>51</v>
      </c>
      <c r="R322" s="71" t="str">
        <f>MID(VLOOKUP($A322,Seqs!$A:$B,2,FALSE),VLOOKUP($A322,'NonXtal_SegEnds_Prot#'!A:AL,10,FALSE),1)</f>
        <v>A</v>
      </c>
      <c r="S322" s="102" t="str">
        <f>MID(VLOOKUP($A322,Seqs!$A:$B,2,FALSE),VLOOKUP($A322,'NonXtal_SegEnds_Prot#'!A:AL,10,FALSE)+6,1)</f>
        <v>A</v>
      </c>
      <c r="T322" s="102" t="str">
        <f>MID(VLOOKUP($A322,Seqs!$A:$B,2,FALSE),VLOOKUP($A322,'NonXtal_SegEnds_Prot#'!A:AL,10,FALSE)+7,1)</f>
        <v>D</v>
      </c>
      <c r="U322" s="102" t="str">
        <f>MID(VLOOKUP($A322,Seqs!$A:$B,2,FALSE),VLOOKUP($A322,'NonXtal_SegEnds_Prot#'!A:AL,10,FALSE)+8,1)</f>
        <v>V</v>
      </c>
      <c r="V322" s="102" t="str">
        <f>MID(VLOOKUP($A322,Seqs!$A:$B,2,FALSE),VLOOKUP($A322,'NonXtal_SegEnds_Prot#'!A:AL,10,FALSE)+9,1)</f>
        <v>W</v>
      </c>
      <c r="W322" s="71" t="str">
        <f>MID(VLOOKUP($A322,Seqs!$A:$B,2,FALSE),VLOOKUP($A322,'NonXtal_SegEnds_Prot#'!$A:$AL,22,FALSE)+6,1)</f>
        <v>I</v>
      </c>
      <c r="X322" s="102" t="str">
        <f>MID(VLOOKUP($A322,Seqs!$A:$B,2,FALSE),VLOOKUP($A322,'NonXtal_SegEnds_Prot#'!$A:$AL,22,FALSE)+7,1)</f>
        <v>S</v>
      </c>
      <c r="Y322" s="102" t="str">
        <f>MID(VLOOKUP($A322,Seqs!$A:$B,2,FALSE),VLOOKUP($A322,'NonXtal_SegEnds_Prot#'!$A:$AL,22,FALSE)+8,1)</f>
        <v>V</v>
      </c>
      <c r="Z322" s="102" t="str">
        <f>MID(VLOOKUP($A322,Seqs!$A:$B,2,FALSE),VLOOKUP($A322,'NonXtal_SegEnds_Prot#'!$A:$AL,22,FALSE)+9,1)</f>
        <v>I</v>
      </c>
      <c r="AA322" s="102" t="str">
        <f>MID(VLOOKUP($A322,Seqs!$A:$B,2,FALSE),VLOOKUP($A322,'NonXtal_SegEnds_Prot#'!$A:$AL,22,FALSE)+10,1)</f>
        <v>T</v>
      </c>
      <c r="AB322" s="71" t="str">
        <f>MID(VLOOKUP($A322,Seqs!$A:$B,2,FALSE),VLOOKUP($A322,'NonXtal_SegEnds_Prot#'!$A:$AL,28,FALSE)-4,1)</f>
        <v>P</v>
      </c>
      <c r="AC322" s="102" t="str">
        <f>MID(VLOOKUP($A322,Seqs!$A:$B,2,FALSE),VLOOKUP($A322,'NonXtal_SegEnds_Prot#'!$A:$AL,28,FALSE),1)</f>
        <v>I</v>
      </c>
    </row>
    <row r="323" spans="1:29" s="2" customFormat="1" x14ac:dyDescent="0.2">
      <c r="A323" s="2" t="s">
        <v>1408</v>
      </c>
      <c r="B323" s="2" t="str">
        <f>LOWER(VLOOKUP(A323,Xtal_Templ!A:B,2,FALSE))</f>
        <v>crfr1_human</v>
      </c>
      <c r="C323" s="2" t="str">
        <f>VLOOKUP(A323,Classification!A:D,2,FALSE)</f>
        <v>B2</v>
      </c>
      <c r="P323" s="4" t="s">
        <v>51</v>
      </c>
      <c r="R323" s="71" t="str">
        <f>MID(VLOOKUP($A323,Seqs!$A:$B,2,FALSE),VLOOKUP($A323,'NonXtal_SegEnds_Prot#'!A:AL,10,FALSE),1)</f>
        <v>A</v>
      </c>
      <c r="S323" s="102" t="str">
        <f>MID(VLOOKUP($A323,Seqs!$A:$B,2,FALSE),VLOOKUP($A323,'NonXtal_SegEnds_Prot#'!A:AL,10,FALSE)+6,1)</f>
        <v>A</v>
      </c>
      <c r="T323" s="102" t="str">
        <f>MID(VLOOKUP($A323,Seqs!$A:$B,2,FALSE),VLOOKUP($A323,'NonXtal_SegEnds_Prot#'!A:AL,10,FALSE)+7,1)</f>
        <v>D</v>
      </c>
      <c r="U323" s="102" t="str">
        <f>MID(VLOOKUP($A323,Seqs!$A:$B,2,FALSE),VLOOKUP($A323,'NonXtal_SegEnds_Prot#'!A:AL,10,FALSE)+8,1)</f>
        <v>V</v>
      </c>
      <c r="V323" s="102" t="str">
        <f>MID(VLOOKUP($A323,Seqs!$A:$B,2,FALSE),VLOOKUP($A323,'NonXtal_SegEnds_Prot#'!A:AL,10,FALSE)+9,1)</f>
        <v>W</v>
      </c>
      <c r="W323" s="71" t="str">
        <f>MID(VLOOKUP($A323,Seqs!$A:$B,2,FALSE),VLOOKUP($A323,'NonXtal_SegEnds_Prot#'!$A:$AL,22,FALSE)+6,1)</f>
        <v>I</v>
      </c>
      <c r="X323" s="102" t="str">
        <f>MID(VLOOKUP($A323,Seqs!$A:$B,2,FALSE),VLOOKUP($A323,'NonXtal_SegEnds_Prot#'!$A:$AL,22,FALSE)+7,1)</f>
        <v>A</v>
      </c>
      <c r="Y323" s="102" t="str">
        <f>MID(VLOOKUP($A323,Seqs!$A:$B,2,FALSE),VLOOKUP($A323,'NonXtal_SegEnds_Prot#'!$A:$AL,22,FALSE)+8,1)</f>
        <v>A</v>
      </c>
      <c r="Z323" s="102" t="str">
        <f>MID(VLOOKUP($A323,Seqs!$A:$B,2,FALSE),VLOOKUP($A323,'NonXtal_SegEnds_Prot#'!$A:$AL,22,FALSE)+9,1)</f>
        <v>I</v>
      </c>
      <c r="AA323" s="102" t="str">
        <f>MID(VLOOKUP($A323,Seqs!$A:$B,2,FALSE),VLOOKUP($A323,'NonXtal_SegEnds_Prot#'!$A:$AL,22,FALSE)+10,1)</f>
        <v>T</v>
      </c>
      <c r="AB323" s="71" t="str">
        <f>MID(VLOOKUP($A323,Seqs!$A:$B,2,FALSE),VLOOKUP($A323,'NonXtal_SegEnds_Prot#'!$A:$AL,28,FALSE)-4,1)</f>
        <v>P</v>
      </c>
      <c r="AC323" s="102" t="str">
        <f>MID(VLOOKUP($A323,Seqs!$A:$B,2,FALSE),VLOOKUP($A323,'NonXtal_SegEnds_Prot#'!$A:$AL,28,FALSE),1)</f>
        <v>I</v>
      </c>
    </row>
    <row r="324" spans="1:29" s="2" customFormat="1" x14ac:dyDescent="0.2">
      <c r="A324" s="2" t="s">
        <v>1409</v>
      </c>
      <c r="B324" s="2" t="str">
        <f>LOWER(VLOOKUP(A324,Xtal_Templ!A:B,2,FALSE))</f>
        <v>crfr1_human</v>
      </c>
      <c r="C324" s="2" t="str">
        <f>VLOOKUP(A324,Classification!A:D,2,FALSE)</f>
        <v>B2</v>
      </c>
      <c r="P324" s="4" t="s">
        <v>51</v>
      </c>
      <c r="R324" s="71" t="str">
        <f>MID(VLOOKUP($A324,Seqs!$A:$B,2,FALSE),VLOOKUP($A324,'NonXtal_SegEnds_Prot#'!A:AL,10,FALSE),1)</f>
        <v>V</v>
      </c>
      <c r="S324" s="102" t="str">
        <f>MID(VLOOKUP($A324,Seqs!$A:$B,2,FALSE),VLOOKUP($A324,'NonXtal_SegEnds_Prot#'!A:AL,10,FALSE)+6,1)</f>
        <v>A</v>
      </c>
      <c r="T324" s="102" t="str">
        <f>MID(VLOOKUP($A324,Seqs!$A:$B,2,FALSE),VLOOKUP($A324,'NonXtal_SegEnds_Prot#'!A:AL,10,FALSE)+7,1)</f>
        <v>D</v>
      </c>
      <c r="U324" s="102" t="str">
        <f>MID(VLOOKUP($A324,Seqs!$A:$B,2,FALSE),VLOOKUP($A324,'NonXtal_SegEnds_Prot#'!A:AL,10,FALSE)+8,1)</f>
        <v>T</v>
      </c>
      <c r="V324" s="102" t="str">
        <f>MID(VLOOKUP($A324,Seqs!$A:$B,2,FALSE),VLOOKUP($A324,'NonXtal_SegEnds_Prot#'!A:AL,10,FALSE)+9,1)</f>
        <v>C</v>
      </c>
      <c r="W324" s="71" t="str">
        <f>MID(VLOOKUP($A324,Seqs!$A:$B,2,FALSE),VLOOKUP($A324,'NonXtal_SegEnds_Prot#'!$A:$AL,22,FALSE)+6,1)</f>
        <v>L</v>
      </c>
      <c r="X324" s="102" t="str">
        <f>MID(VLOOKUP($A324,Seqs!$A:$B,2,FALSE),VLOOKUP($A324,'NonXtal_SegEnds_Prot#'!$A:$AL,22,FALSE)+7,1)</f>
        <v>A</v>
      </c>
      <c r="Y324" s="102" t="str">
        <f>MID(VLOOKUP($A324,Seqs!$A:$B,2,FALSE),VLOOKUP($A324,'NonXtal_SegEnds_Prot#'!$A:$AL,22,FALSE)+8,1)</f>
        <v>G</v>
      </c>
      <c r="Z324" s="102" t="str">
        <f>MID(VLOOKUP($A324,Seqs!$A:$B,2,FALSE),VLOOKUP($A324,'NonXtal_SegEnds_Prot#'!$A:$AL,22,FALSE)+9,1)</f>
        <v>V</v>
      </c>
      <c r="AA324" s="102" t="str">
        <f>MID(VLOOKUP($A324,Seqs!$A:$B,2,FALSE),VLOOKUP($A324,'NonXtal_SegEnds_Prot#'!$A:$AL,22,FALSE)+10,1)</f>
        <v>T</v>
      </c>
      <c r="AB324" s="71" t="str">
        <f>MID(VLOOKUP($A324,Seqs!$A:$B,2,FALSE),VLOOKUP($A324,'NonXtal_SegEnds_Prot#'!$A:$AL,28,FALSE)-4,1)</f>
        <v>P</v>
      </c>
      <c r="AC324" s="102" t="str">
        <f>MID(VLOOKUP($A324,Seqs!$A:$B,2,FALSE),VLOOKUP($A324,'NonXtal_SegEnds_Prot#'!$A:$AL,28,FALSE),1)</f>
        <v>I</v>
      </c>
    </row>
    <row r="325" spans="1:29" s="2" customFormat="1" x14ac:dyDescent="0.2">
      <c r="A325" s="2" t="s">
        <v>1410</v>
      </c>
      <c r="B325" s="2" t="str">
        <f>LOWER(VLOOKUP(A325,Xtal_Templ!A:B,2,FALSE))</f>
        <v>crfr1_human</v>
      </c>
      <c r="C325" s="2" t="str">
        <f>VLOOKUP(A325,Classification!A:D,2,FALSE)</f>
        <v>B2</v>
      </c>
      <c r="P325" s="4" t="s">
        <v>51</v>
      </c>
      <c r="R325" s="71" t="str">
        <f>MID(VLOOKUP($A325,Seqs!$A:$B,2,FALSE),VLOOKUP($A325,'NonXtal_SegEnds_Prot#'!A:AL,10,FALSE),1)</f>
        <v>A</v>
      </c>
      <c r="S325" s="102" t="str">
        <f>MID(VLOOKUP($A325,Seqs!$A:$B,2,FALSE),VLOOKUP($A325,'NonXtal_SegEnds_Prot#'!A:AL,10,FALSE)+6,1)</f>
        <v>A</v>
      </c>
      <c r="T325" s="102" t="str">
        <f>MID(VLOOKUP($A325,Seqs!$A:$B,2,FALSE),VLOOKUP($A325,'NonXtal_SegEnds_Prot#'!A:AL,10,FALSE)+7,1)</f>
        <v>N</v>
      </c>
      <c r="U325" s="102" t="str">
        <f>MID(VLOOKUP($A325,Seqs!$A:$B,2,FALSE),VLOOKUP($A325,'NonXtal_SegEnds_Prot#'!A:AL,10,FALSE)+8,1)</f>
        <v>V</v>
      </c>
      <c r="V325" s="102" t="str">
        <f>MID(VLOOKUP($A325,Seqs!$A:$B,2,FALSE),VLOOKUP($A325,'NonXtal_SegEnds_Prot#'!A:AL,10,FALSE)+9,1)</f>
        <v>W</v>
      </c>
      <c r="W325" s="71" t="str">
        <f>MID(VLOOKUP($A325,Seqs!$A:$B,2,FALSE),VLOOKUP($A325,'NonXtal_SegEnds_Prot#'!$A:$AL,22,FALSE)+6,1)</f>
        <v>I</v>
      </c>
      <c r="X325" s="102" t="str">
        <f>MID(VLOOKUP($A325,Seqs!$A:$B,2,FALSE),VLOOKUP($A325,'NonXtal_SegEnds_Prot#'!$A:$AL,22,FALSE)+7,1)</f>
        <v>A</v>
      </c>
      <c r="Y325" s="102" t="str">
        <f>MID(VLOOKUP($A325,Seqs!$A:$B,2,FALSE),VLOOKUP($A325,'NonXtal_SegEnds_Prot#'!$A:$AL,22,FALSE)+8,1)</f>
        <v>V</v>
      </c>
      <c r="Z325" s="102" t="str">
        <f>MID(VLOOKUP($A325,Seqs!$A:$B,2,FALSE),VLOOKUP($A325,'NonXtal_SegEnds_Prot#'!$A:$AL,22,FALSE)+9,1)</f>
        <v>T</v>
      </c>
      <c r="AA325" s="102" t="str">
        <f>MID(VLOOKUP($A325,Seqs!$A:$B,2,FALSE),VLOOKUP($A325,'NonXtal_SegEnds_Prot#'!$A:$AL,22,FALSE)+10,1)</f>
        <v>T</v>
      </c>
      <c r="AB325" s="71" t="str">
        <f>MID(VLOOKUP($A325,Seqs!$A:$B,2,FALSE),VLOOKUP($A325,'NonXtal_SegEnds_Prot#'!$A:$AL,28,FALSE)-4,1)</f>
        <v>P</v>
      </c>
      <c r="AC325" s="102" t="str">
        <f>MID(VLOOKUP($A325,Seqs!$A:$B,2,FALSE),VLOOKUP($A325,'NonXtal_SegEnds_Prot#'!$A:$AL,28,FALSE),1)</f>
        <v>I</v>
      </c>
    </row>
    <row r="326" spans="1:29" s="2" customFormat="1" x14ac:dyDescent="0.2">
      <c r="A326" s="2" t="s">
        <v>1411</v>
      </c>
      <c r="B326" s="2" t="str">
        <f>LOWER(VLOOKUP(A326,Xtal_Templ!A:B,2,FALSE))</f>
        <v>crfr1_human</v>
      </c>
      <c r="C326" s="2" t="str">
        <f>VLOOKUP(A326,Classification!A:D,2,FALSE)</f>
        <v>B2</v>
      </c>
      <c r="P326" s="4" t="s">
        <v>51</v>
      </c>
      <c r="R326" s="71" t="str">
        <f>MID(VLOOKUP($A326,Seqs!$A:$B,2,FALSE),VLOOKUP($A326,'NonXtal_SegEnds_Prot#'!A:AL,10,FALSE),1)</f>
        <v>A</v>
      </c>
      <c r="S326" s="102" t="str">
        <f>MID(VLOOKUP($A326,Seqs!$A:$B,2,FALSE),VLOOKUP($A326,'NonXtal_SegEnds_Prot#'!A:AL,10,FALSE)+6,1)</f>
        <v>A</v>
      </c>
      <c r="T326" s="102" t="str">
        <f>MID(VLOOKUP($A326,Seqs!$A:$B,2,FALSE),VLOOKUP($A326,'NonXtal_SegEnds_Prot#'!A:AL,10,FALSE)+7,1)</f>
        <v>N</v>
      </c>
      <c r="U326" s="102" t="str">
        <f>MID(VLOOKUP($A326,Seqs!$A:$B,2,FALSE),VLOOKUP($A326,'NonXtal_SegEnds_Prot#'!A:AL,10,FALSE)+8,1)</f>
        <v>T</v>
      </c>
      <c r="V326" s="102" t="str">
        <f>MID(VLOOKUP($A326,Seqs!$A:$B,2,FALSE),VLOOKUP($A326,'NonXtal_SegEnds_Prot#'!A:AL,10,FALSE)+9,1)</f>
        <v>W</v>
      </c>
      <c r="W326" s="71" t="str">
        <f>MID(VLOOKUP($A326,Seqs!$A:$B,2,FALSE),VLOOKUP($A326,'NonXtal_SegEnds_Prot#'!$A:$AL,22,FALSE)+6,1)</f>
        <v>I</v>
      </c>
      <c r="X326" s="102" t="str">
        <f>MID(VLOOKUP($A326,Seqs!$A:$B,2,FALSE),VLOOKUP($A326,'NonXtal_SegEnds_Prot#'!$A:$AL,22,FALSE)+7,1)</f>
        <v>S</v>
      </c>
      <c r="Y326" s="102" t="str">
        <f>MID(VLOOKUP($A326,Seqs!$A:$B,2,FALSE),VLOOKUP($A326,'NonXtal_SegEnds_Prot#'!$A:$AL,22,FALSE)+8,1)</f>
        <v>V</v>
      </c>
      <c r="Z326" s="102" t="str">
        <f>MID(VLOOKUP($A326,Seqs!$A:$B,2,FALSE),VLOOKUP($A326,'NonXtal_SegEnds_Prot#'!$A:$AL,22,FALSE)+9,1)</f>
        <v>I</v>
      </c>
      <c r="AA326" s="102" t="str">
        <f>MID(VLOOKUP($A326,Seqs!$A:$B,2,FALSE),VLOOKUP($A326,'NonXtal_SegEnds_Prot#'!$A:$AL,22,FALSE)+10,1)</f>
        <v>T</v>
      </c>
      <c r="AB326" s="71" t="str">
        <f>MID(VLOOKUP($A326,Seqs!$A:$B,2,FALSE),VLOOKUP($A326,'NonXtal_SegEnds_Prot#'!$A:$AL,28,FALSE)-4,1)</f>
        <v>P</v>
      </c>
      <c r="AC326" s="102" t="str">
        <f>MID(VLOOKUP($A326,Seqs!$A:$B,2,FALSE),VLOOKUP($A326,'NonXtal_SegEnds_Prot#'!$A:$AL,28,FALSE),1)</f>
        <v>I</v>
      </c>
    </row>
    <row r="327" spans="1:29" s="2" customFormat="1" x14ac:dyDescent="0.2">
      <c r="A327" s="2" t="s">
        <v>1412</v>
      </c>
      <c r="B327" s="2" t="str">
        <f>LOWER(VLOOKUP(A327,Xtal_Templ!A:B,2,FALSE))</f>
        <v>crfr1_human</v>
      </c>
      <c r="C327" s="2" t="str">
        <f>VLOOKUP(A327,Classification!A:D,2,FALSE)</f>
        <v>B2</v>
      </c>
      <c r="P327" s="4" t="s">
        <v>51</v>
      </c>
      <c r="R327" s="71" t="str">
        <f>MID(VLOOKUP($A327,Seqs!$A:$B,2,FALSE),VLOOKUP($A327,'NonXtal_SegEnds_Prot#'!A:AL,10,FALSE),1)</f>
        <v>V</v>
      </c>
      <c r="S327" s="102" t="str">
        <f>MID(VLOOKUP($A327,Seqs!$A:$B,2,FALSE),VLOOKUP($A327,'NonXtal_SegEnds_Prot#'!A:AL,10,FALSE)+6,1)</f>
        <v>S</v>
      </c>
      <c r="T327" s="102" t="str">
        <f>MID(VLOOKUP($A327,Seqs!$A:$B,2,FALSE),VLOOKUP($A327,'NonXtal_SegEnds_Prot#'!A:AL,10,FALSE)+7,1)</f>
        <v>F</v>
      </c>
      <c r="U327" s="102" t="str">
        <f>MID(VLOOKUP($A327,Seqs!$A:$B,2,FALSE),VLOOKUP($A327,'NonXtal_SegEnds_Prot#'!A:AL,10,FALSE)+8,1)</f>
        <v>L</v>
      </c>
      <c r="V327" s="102" t="str">
        <f>MID(VLOOKUP($A327,Seqs!$A:$B,2,FALSE),VLOOKUP($A327,'NonXtal_SegEnds_Prot#'!A:AL,10,FALSE)+9,1)</f>
        <v>L</v>
      </c>
      <c r="W327" s="71" t="str">
        <f>MID(VLOOKUP($A327,Seqs!$A:$B,2,FALSE),VLOOKUP($A327,'NonXtal_SegEnds_Prot#'!$A:$AL,22,FALSE)+6,1)</f>
        <v>L</v>
      </c>
      <c r="X327" s="102" t="str">
        <f>MID(VLOOKUP($A327,Seqs!$A:$B,2,FALSE),VLOOKUP($A327,'NonXtal_SegEnds_Prot#'!$A:$AL,22,FALSE)+7,1)</f>
        <v>V</v>
      </c>
      <c r="Y327" s="102" t="str">
        <f>MID(VLOOKUP($A327,Seqs!$A:$B,2,FALSE),VLOOKUP($A327,'NonXtal_SegEnds_Prot#'!$A:$AL,22,FALSE)+8,1)</f>
        <v>T</v>
      </c>
      <c r="Z327" s="102" t="str">
        <f>MID(VLOOKUP($A327,Seqs!$A:$B,2,FALSE),VLOOKUP($A327,'NonXtal_SegEnds_Prot#'!$A:$AL,22,FALSE)+9,1)</f>
        <v>L</v>
      </c>
      <c r="AA327" s="102" t="str">
        <f>MID(VLOOKUP($A327,Seqs!$A:$B,2,FALSE),VLOOKUP($A327,'NonXtal_SegEnds_Prot#'!$A:$AL,22,FALSE)+10,1)</f>
        <v>V</v>
      </c>
      <c r="AB327" s="71" t="str">
        <f>MID(VLOOKUP($A327,Seqs!$A:$B,2,FALSE),VLOOKUP($A327,'NonXtal_SegEnds_Prot#'!$A:$AL,28,FALSE)-4,1)</f>
        <v>L</v>
      </c>
      <c r="AC327" s="102" t="str">
        <f>MID(VLOOKUP($A327,Seqs!$A:$B,2,FALSE),VLOOKUP($A327,'NonXtal_SegEnds_Prot#'!$A:$AL,28,FALSE),1)</f>
        <v>V</v>
      </c>
    </row>
    <row r="328" spans="1:29" s="2" customFormat="1" x14ac:dyDescent="0.2">
      <c r="A328" s="2" t="s">
        <v>1413</v>
      </c>
      <c r="B328" s="2" t="str">
        <f>LOWER(VLOOKUP(A328,Xtal_Templ!A:B,2,FALSE))</f>
        <v>crfr1_human</v>
      </c>
      <c r="C328" s="2" t="str">
        <f>VLOOKUP(A328,Classification!A:D,2,FALSE)</f>
        <v>B2</v>
      </c>
      <c r="P328" s="4" t="s">
        <v>51</v>
      </c>
      <c r="R328" s="71" t="str">
        <f>MID(VLOOKUP($A328,Seqs!$A:$B,2,FALSE),VLOOKUP($A328,'NonXtal_SegEnds_Prot#'!A:AL,10,FALSE),1)</f>
        <v>L</v>
      </c>
      <c r="S328" s="102" t="str">
        <f>MID(VLOOKUP($A328,Seqs!$A:$B,2,FALSE),VLOOKUP($A328,'NonXtal_SegEnds_Prot#'!A:AL,10,FALSE)+6,1)</f>
        <v>V</v>
      </c>
      <c r="T328" s="102" t="str">
        <f>MID(VLOOKUP($A328,Seqs!$A:$B,2,FALSE),VLOOKUP($A328,'NonXtal_SegEnds_Prot#'!A:AL,10,FALSE)+7,1)</f>
        <v>F</v>
      </c>
      <c r="U328" s="102" t="str">
        <f>MID(VLOOKUP($A328,Seqs!$A:$B,2,FALSE),VLOOKUP($A328,'NonXtal_SegEnds_Prot#'!A:AL,10,FALSE)+8,1)</f>
        <v>L</v>
      </c>
      <c r="V328" s="102" t="str">
        <f>MID(VLOOKUP($A328,Seqs!$A:$B,2,FALSE),VLOOKUP($A328,'NonXtal_SegEnds_Prot#'!A:AL,10,FALSE)+9,1)</f>
        <v>L</v>
      </c>
      <c r="W328" s="71" t="str">
        <f>MID(VLOOKUP($A328,Seqs!$A:$B,2,FALSE),VLOOKUP($A328,'NonXtal_SegEnds_Prot#'!$A:$AL,22,FALSE)+6,1)</f>
        <v>V</v>
      </c>
      <c r="X328" s="102" t="str">
        <f>MID(VLOOKUP($A328,Seqs!$A:$B,2,FALSE),VLOOKUP($A328,'NonXtal_SegEnds_Prot#'!$A:$AL,22,FALSE)+7,1)</f>
        <v>V</v>
      </c>
      <c r="Y328" s="102" t="str">
        <f>MID(VLOOKUP($A328,Seqs!$A:$B,2,FALSE),VLOOKUP($A328,'NonXtal_SegEnds_Prot#'!$A:$AL,22,FALSE)+8,1)</f>
        <v>T</v>
      </c>
      <c r="Z328" s="102" t="str">
        <f>MID(VLOOKUP($A328,Seqs!$A:$B,2,FALSE),VLOOKUP($A328,'NonXtal_SegEnds_Prot#'!$A:$AL,22,FALSE)+9,1)</f>
        <v>I</v>
      </c>
      <c r="AA328" s="102" t="str">
        <f>MID(VLOOKUP($A328,Seqs!$A:$B,2,FALSE),VLOOKUP($A328,'NonXtal_SegEnds_Prot#'!$A:$AL,22,FALSE)+10,1)</f>
        <v>I</v>
      </c>
      <c r="AB328" s="71" t="str">
        <f>MID(VLOOKUP($A328,Seqs!$A:$B,2,FALSE),VLOOKUP($A328,'NonXtal_SegEnds_Prot#'!$A:$AL,28,FALSE)-4,1)</f>
        <v>Y</v>
      </c>
      <c r="AC328" s="102" t="str">
        <f>MID(VLOOKUP($A328,Seqs!$A:$B,2,FALSE),VLOOKUP($A328,'NonXtal_SegEnds_Prot#'!$A:$AL,28,FALSE),1)</f>
        <v>I</v>
      </c>
    </row>
    <row r="329" spans="1:29" s="2" customFormat="1" x14ac:dyDescent="0.2">
      <c r="A329" s="2" t="s">
        <v>1414</v>
      </c>
      <c r="B329" s="2" t="str">
        <f>LOWER(VLOOKUP(A329,Xtal_Templ!A:B,2,FALSE))</f>
        <v>crfr1_human</v>
      </c>
      <c r="C329" s="2" t="str">
        <f>VLOOKUP(A329,Classification!A:D,2,FALSE)</f>
        <v>B2</v>
      </c>
      <c r="P329" s="4" t="s">
        <v>51</v>
      </c>
      <c r="R329" s="71" t="str">
        <f>MID(VLOOKUP($A329,Seqs!$A:$B,2,FALSE),VLOOKUP($A329,'NonXtal_SegEnds_Prot#'!A:AL,10,FALSE),1)</f>
        <v>L</v>
      </c>
      <c r="S329" s="102" t="str">
        <f>MID(VLOOKUP($A329,Seqs!$A:$B,2,FALSE),VLOOKUP($A329,'NonXtal_SegEnds_Prot#'!A:AL,10,FALSE)+6,1)</f>
        <v>A</v>
      </c>
      <c r="T329" s="102" t="str">
        <f>MID(VLOOKUP($A329,Seqs!$A:$B,2,FALSE),VLOOKUP($A329,'NonXtal_SegEnds_Prot#'!A:AL,10,FALSE)+7,1)</f>
        <v>F</v>
      </c>
      <c r="U329" s="102" t="str">
        <f>MID(VLOOKUP($A329,Seqs!$A:$B,2,FALSE),VLOOKUP($A329,'NonXtal_SegEnds_Prot#'!A:AL,10,FALSE)+8,1)</f>
        <v>L</v>
      </c>
      <c r="V329" s="102" t="str">
        <f>MID(VLOOKUP($A329,Seqs!$A:$B,2,FALSE),VLOOKUP($A329,'NonXtal_SegEnds_Prot#'!A:AL,10,FALSE)+9,1)</f>
        <v>V</v>
      </c>
      <c r="W329" s="71" t="str">
        <f>MID(VLOOKUP($A329,Seqs!$A:$B,2,FALSE),VLOOKUP($A329,'NonXtal_SegEnds_Prot#'!$A:$AL,22,FALSE)+6,1)</f>
        <v>M</v>
      </c>
      <c r="X329" s="102" t="str">
        <f>MID(VLOOKUP($A329,Seqs!$A:$B,2,FALSE),VLOOKUP($A329,'NonXtal_SegEnds_Prot#'!$A:$AL,22,FALSE)+7,1)</f>
        <v>V</v>
      </c>
      <c r="Y329" s="102" t="str">
        <f>MID(VLOOKUP($A329,Seqs!$A:$B,2,FALSE),VLOOKUP($A329,'NonXtal_SegEnds_Prot#'!$A:$AL,22,FALSE)+8,1)</f>
        <v>I</v>
      </c>
      <c r="Z329" s="102" t="str">
        <f>MID(VLOOKUP($A329,Seqs!$A:$B,2,FALSE),VLOOKUP($A329,'NonXtal_SegEnds_Prot#'!$A:$AL,22,FALSE)+9,1)</f>
        <v>G</v>
      </c>
      <c r="AA329" s="102" t="str">
        <f>MID(VLOOKUP($A329,Seqs!$A:$B,2,FALSE),VLOOKUP($A329,'NonXtal_SegEnds_Prot#'!$A:$AL,22,FALSE)+10,1)</f>
        <v>T</v>
      </c>
      <c r="AB329" s="71" t="str">
        <f>MID(VLOOKUP($A329,Seqs!$A:$B,2,FALSE),VLOOKUP($A329,'NonXtal_SegEnds_Prot#'!$A:$AL,28,FALSE)-4,1)</f>
        <v>T</v>
      </c>
      <c r="AC329" s="102" t="str">
        <f>MID(VLOOKUP($A329,Seqs!$A:$B,2,FALSE),VLOOKUP($A329,'NonXtal_SegEnds_Prot#'!$A:$AL,28,FALSE),1)</f>
        <v>Y</v>
      </c>
    </row>
    <row r="330" spans="1:29" s="2" customFormat="1" x14ac:dyDescent="0.2">
      <c r="A330" s="2" t="s">
        <v>1415</v>
      </c>
      <c r="B330" s="2" t="str">
        <f>LOWER(VLOOKUP(A330,Xtal_Templ!A:B,2,FALSE))</f>
        <v>crfr1_human</v>
      </c>
      <c r="C330" s="2" t="str">
        <f>VLOOKUP(A330,Classification!A:D,2,FALSE)</f>
        <v>B2</v>
      </c>
      <c r="P330" s="4" t="s">
        <v>51</v>
      </c>
      <c r="R330" s="71" t="str">
        <f>MID(VLOOKUP($A330,Seqs!$A:$B,2,FALSE),VLOOKUP($A330,'NonXtal_SegEnds_Prot#'!A:AL,10,FALSE),1)</f>
        <v>L</v>
      </c>
      <c r="S330" s="102" t="str">
        <f>MID(VLOOKUP($A330,Seqs!$A:$B,2,FALSE),VLOOKUP($A330,'NonXtal_SegEnds_Prot#'!A:AL,10,FALSE)+6,1)</f>
        <v>V</v>
      </c>
      <c r="T330" s="102" t="str">
        <f>MID(VLOOKUP($A330,Seqs!$A:$B,2,FALSE),VLOOKUP($A330,'NonXtal_SegEnds_Prot#'!A:AL,10,FALSE)+7,1)</f>
        <v>F</v>
      </c>
      <c r="U330" s="102" t="str">
        <f>MID(VLOOKUP($A330,Seqs!$A:$B,2,FALSE),VLOOKUP($A330,'NonXtal_SegEnds_Prot#'!A:AL,10,FALSE)+8,1)</f>
        <v>L</v>
      </c>
      <c r="V330" s="102" t="str">
        <f>MID(VLOOKUP($A330,Seqs!$A:$B,2,FALSE),VLOOKUP($A330,'NonXtal_SegEnds_Prot#'!A:AL,10,FALSE)+9,1)</f>
        <v>I</v>
      </c>
      <c r="W330" s="71" t="str">
        <f>MID(VLOOKUP($A330,Seqs!$A:$B,2,FALSE),VLOOKUP($A330,'NonXtal_SegEnds_Prot#'!$A:$AL,22,FALSE)+6,1)</f>
        <v>M</v>
      </c>
      <c r="X330" s="102" t="str">
        <f>MID(VLOOKUP($A330,Seqs!$A:$B,2,FALSE),VLOOKUP($A330,'NonXtal_SegEnds_Prot#'!$A:$AL,22,FALSE)+7,1)</f>
        <v>V</v>
      </c>
      <c r="Y330" s="102" t="str">
        <f>MID(VLOOKUP($A330,Seqs!$A:$B,2,FALSE),VLOOKUP($A330,'NonXtal_SegEnds_Prot#'!$A:$AL,22,FALSE)+8,1)</f>
        <v>A</v>
      </c>
      <c r="Z330" s="102" t="str">
        <f>MID(VLOOKUP($A330,Seqs!$A:$B,2,FALSE),VLOOKUP($A330,'NonXtal_SegEnds_Prot#'!$A:$AL,22,FALSE)+9,1)</f>
        <v>I</v>
      </c>
      <c r="AA330" s="102" t="str">
        <f>MID(VLOOKUP($A330,Seqs!$A:$B,2,FALSE),VLOOKUP($A330,'NonXtal_SegEnds_Prot#'!$A:$AL,22,FALSE)+10,1)</f>
        <v>T</v>
      </c>
      <c r="AB330" s="71" t="str">
        <f>MID(VLOOKUP($A330,Seqs!$A:$B,2,FALSE),VLOOKUP($A330,'NonXtal_SegEnds_Prot#'!$A:$AL,28,FALSE)-4,1)</f>
        <v>Y</v>
      </c>
      <c r="AC330" s="102" t="str">
        <f>MID(VLOOKUP($A330,Seqs!$A:$B,2,FALSE),VLOOKUP($A330,'NonXtal_SegEnds_Prot#'!$A:$AL,28,FALSE),1)</f>
        <v>I</v>
      </c>
    </row>
    <row r="331" spans="1:29" s="2" customFormat="1" x14ac:dyDescent="0.2">
      <c r="A331" s="2" t="s">
        <v>1416</v>
      </c>
      <c r="B331" s="2" t="str">
        <f>LOWER(VLOOKUP(A331,Xtal_Templ!A:B,2,FALSE))</f>
        <v>crfr1_human</v>
      </c>
      <c r="C331" s="2" t="str">
        <f>VLOOKUP(A331,Classification!A:D,2,FALSE)</f>
        <v>B2</v>
      </c>
      <c r="P331" s="4" t="s">
        <v>51</v>
      </c>
      <c r="R331" s="71" t="str">
        <f>MID(VLOOKUP($A331,Seqs!$A:$B,2,FALSE),VLOOKUP($A331,'NonXtal_SegEnds_Prot#'!A:AL,10,FALSE),1)</f>
        <v>V</v>
      </c>
      <c r="S331" s="102" t="str">
        <f>MID(VLOOKUP($A331,Seqs!$A:$B,2,FALSE),VLOOKUP($A331,'NonXtal_SegEnds_Prot#'!A:AL,10,FALSE)+6,1)</f>
        <v>A</v>
      </c>
      <c r="T331" s="102" t="str">
        <f>MID(VLOOKUP($A331,Seqs!$A:$B,2,FALSE),VLOOKUP($A331,'NonXtal_SegEnds_Prot#'!A:AL,10,FALSE)+7,1)</f>
        <v>F</v>
      </c>
      <c r="U331" s="102" t="str">
        <f>MID(VLOOKUP($A331,Seqs!$A:$B,2,FALSE),VLOOKUP($A331,'NonXtal_SegEnds_Prot#'!A:AL,10,FALSE)+8,1)</f>
        <v>L</v>
      </c>
      <c r="V331" s="102" t="str">
        <f>MID(VLOOKUP($A331,Seqs!$A:$B,2,FALSE),VLOOKUP($A331,'NonXtal_SegEnds_Prot#'!A:AL,10,FALSE)+9,1)</f>
        <v>L</v>
      </c>
      <c r="W331" s="71" t="str">
        <f>MID(VLOOKUP($A331,Seqs!$A:$B,2,FALSE),VLOOKUP($A331,'NonXtal_SegEnds_Prot#'!$A:$AL,22,FALSE)+6,1)</f>
        <v>L</v>
      </c>
      <c r="X331" s="102" t="str">
        <f>MID(VLOOKUP($A331,Seqs!$A:$B,2,FALSE),VLOOKUP($A331,'NonXtal_SegEnds_Prot#'!$A:$AL,22,FALSE)+7,1)</f>
        <v>V</v>
      </c>
      <c r="Y331" s="102" t="str">
        <f>MID(VLOOKUP($A331,Seqs!$A:$B,2,FALSE),VLOOKUP($A331,'NonXtal_SegEnds_Prot#'!$A:$AL,22,FALSE)+8,1)</f>
        <v>L</v>
      </c>
      <c r="Z331" s="102" t="str">
        <f>MID(VLOOKUP($A331,Seqs!$A:$B,2,FALSE),VLOOKUP($A331,'NonXtal_SegEnds_Prot#'!$A:$AL,22,FALSE)+9,1)</f>
        <v>L</v>
      </c>
      <c r="AA331" s="102" t="str">
        <f>MID(VLOOKUP($A331,Seqs!$A:$B,2,FALSE),VLOOKUP($A331,'NonXtal_SegEnds_Prot#'!$A:$AL,22,FALSE)+10,1)</f>
        <v>S</v>
      </c>
      <c r="AB331" s="71" t="str">
        <f>MID(VLOOKUP($A331,Seqs!$A:$B,2,FALSE),VLOOKUP($A331,'NonXtal_SegEnds_Prot#'!$A:$AL,28,FALSE)-4,1)</f>
        <v>Y</v>
      </c>
      <c r="AC331" s="102" t="str">
        <f>MID(VLOOKUP($A331,Seqs!$A:$B,2,FALSE),VLOOKUP($A331,'NonXtal_SegEnds_Prot#'!$A:$AL,28,FALSE),1)</f>
        <v>T</v>
      </c>
    </row>
    <row r="332" spans="1:29" s="2" customFormat="1" x14ac:dyDescent="0.2">
      <c r="A332" s="2" t="s">
        <v>1417</v>
      </c>
      <c r="B332" s="2" t="str">
        <f>LOWER(VLOOKUP(A332,Xtal_Templ!A:B,2,FALSE))</f>
        <v>crfr1_human</v>
      </c>
      <c r="C332" s="2" t="str">
        <f>VLOOKUP(A332,Classification!A:D,2,FALSE)</f>
        <v>B2</v>
      </c>
      <c r="P332" s="4" t="s">
        <v>51</v>
      </c>
      <c r="R332" s="71" t="str">
        <f>MID(VLOOKUP($A332,Seqs!$A:$B,2,FALSE),VLOOKUP($A332,'NonXtal_SegEnds_Prot#'!A:AL,10,FALSE),1)</f>
        <v>M</v>
      </c>
      <c r="S332" s="102" t="str">
        <f>MID(VLOOKUP($A332,Seqs!$A:$B,2,FALSE),VLOOKUP($A332,'NonXtal_SegEnds_Prot#'!A:AL,10,FALSE)+6,1)</f>
        <v>L</v>
      </c>
      <c r="T332" s="102" t="str">
        <f>MID(VLOOKUP($A332,Seqs!$A:$B,2,FALSE),VLOOKUP($A332,'NonXtal_SegEnds_Prot#'!A:AL,10,FALSE)+7,1)</f>
        <v>F</v>
      </c>
      <c r="U332" s="102" t="str">
        <f>MID(VLOOKUP($A332,Seqs!$A:$B,2,FALSE),VLOOKUP($A332,'NonXtal_SegEnds_Prot#'!A:AL,10,FALSE)+8,1)</f>
        <v>V</v>
      </c>
      <c r="V332" s="102" t="str">
        <f>MID(VLOOKUP($A332,Seqs!$A:$B,2,FALSE),VLOOKUP($A332,'NonXtal_SegEnds_Prot#'!A:AL,10,FALSE)+9,1)</f>
        <v>F</v>
      </c>
      <c r="W332" s="71" t="str">
        <f>MID(VLOOKUP($A332,Seqs!$A:$B,2,FALSE),VLOOKUP($A332,'NonXtal_SegEnds_Prot#'!$A:$AL,22,FALSE)+6,1)</f>
        <v>V</v>
      </c>
      <c r="X332" s="102" t="str">
        <f>MID(VLOOKUP($A332,Seqs!$A:$B,2,FALSE),VLOOKUP($A332,'NonXtal_SegEnds_Prot#'!$A:$AL,22,FALSE)+7,1)</f>
        <v>V</v>
      </c>
      <c r="Y332" s="102" t="str">
        <f>MID(VLOOKUP($A332,Seqs!$A:$B,2,FALSE),VLOOKUP($A332,'NonXtal_SegEnds_Prot#'!$A:$AL,22,FALSE)+8,1)</f>
        <v>A</v>
      </c>
      <c r="Z332" s="102" t="str">
        <f>MID(VLOOKUP($A332,Seqs!$A:$B,2,FALSE),VLOOKUP($A332,'NonXtal_SegEnds_Prot#'!$A:$AL,22,FALSE)+9,1)</f>
        <v>I</v>
      </c>
      <c r="AA332" s="102" t="str">
        <f>MID(VLOOKUP($A332,Seqs!$A:$B,2,FALSE),VLOOKUP($A332,'NonXtal_SegEnds_Prot#'!$A:$AL,22,FALSE)+10,1)</f>
        <v>T</v>
      </c>
      <c r="AB332" s="71" t="str">
        <f>MID(VLOOKUP($A332,Seqs!$A:$B,2,FALSE),VLOOKUP($A332,'NonXtal_SegEnds_Prot#'!$A:$AL,28,FALSE)-4,1)</f>
        <v>P</v>
      </c>
      <c r="AC332" s="102" t="str">
        <f>MID(VLOOKUP($A332,Seqs!$A:$B,2,FALSE),VLOOKUP($A332,'NonXtal_SegEnds_Prot#'!$A:$AL,28,FALSE),1)</f>
        <v>I</v>
      </c>
    </row>
    <row r="333" spans="1:29" s="2" customFormat="1" x14ac:dyDescent="0.2">
      <c r="A333" s="2" t="s">
        <v>1418</v>
      </c>
      <c r="B333" s="2" t="str">
        <f>LOWER(VLOOKUP(A333,Xtal_Templ!A:B,2,FALSE))</f>
        <v>crfr1_human</v>
      </c>
      <c r="C333" s="2" t="str">
        <f>VLOOKUP(A333,Classification!A:D,2,FALSE)</f>
        <v>B2</v>
      </c>
      <c r="P333" s="4" t="s">
        <v>51</v>
      </c>
      <c r="R333" s="71" t="str">
        <f>MID(VLOOKUP($A333,Seqs!$A:$B,2,FALSE),VLOOKUP($A333,'NonXtal_SegEnds_Prot#'!A:AL,10,FALSE),1)</f>
        <v>L</v>
      </c>
      <c r="S333" s="102" t="str">
        <f>MID(VLOOKUP($A333,Seqs!$A:$B,2,FALSE),VLOOKUP($A333,'NonXtal_SegEnds_Prot#'!A:AL,10,FALSE)+6,1)</f>
        <v>L</v>
      </c>
      <c r="T333" s="102" t="str">
        <f>MID(VLOOKUP($A333,Seqs!$A:$B,2,FALSE),VLOOKUP($A333,'NonXtal_SegEnds_Prot#'!A:AL,10,FALSE)+7,1)</f>
        <v>F</v>
      </c>
      <c r="U333" s="102" t="str">
        <f>MID(VLOOKUP($A333,Seqs!$A:$B,2,FALSE),VLOOKUP($A333,'NonXtal_SegEnds_Prot#'!A:AL,10,FALSE)+8,1)</f>
        <v>L</v>
      </c>
      <c r="V333" s="102" t="str">
        <f>MID(VLOOKUP($A333,Seqs!$A:$B,2,FALSE),VLOOKUP($A333,'NonXtal_SegEnds_Prot#'!A:AL,10,FALSE)+9,1)</f>
        <v>V</v>
      </c>
      <c r="W333" s="71" t="str">
        <f>MID(VLOOKUP($A333,Seqs!$A:$B,2,FALSE),VLOOKUP($A333,'NonXtal_SegEnds_Prot#'!$A:$AL,22,FALSE)+6,1)</f>
        <v>V</v>
      </c>
      <c r="X333" s="102" t="str">
        <f>MID(VLOOKUP($A333,Seqs!$A:$B,2,FALSE),VLOOKUP($A333,'NonXtal_SegEnds_Prot#'!$A:$AL,22,FALSE)+7,1)</f>
        <v>V</v>
      </c>
      <c r="Y333" s="102" t="str">
        <f>MID(VLOOKUP($A333,Seqs!$A:$B,2,FALSE),VLOOKUP($A333,'NonXtal_SegEnds_Prot#'!$A:$AL,22,FALSE)+8,1)</f>
        <v>G</v>
      </c>
      <c r="Z333" s="102" t="str">
        <f>MID(VLOOKUP($A333,Seqs!$A:$B,2,FALSE),VLOOKUP($A333,'NonXtal_SegEnds_Prot#'!$A:$AL,22,FALSE)+9,1)</f>
        <v>I</v>
      </c>
      <c r="AA333" s="102" t="str">
        <f>MID(VLOOKUP($A333,Seqs!$A:$B,2,FALSE),VLOOKUP($A333,'NonXtal_SegEnds_Prot#'!$A:$AL,22,FALSE)+10,1)</f>
        <v>A</v>
      </c>
      <c r="AB333" s="71" t="str">
        <f>MID(VLOOKUP($A333,Seqs!$A:$B,2,FALSE),VLOOKUP($A333,'NonXtal_SegEnds_Prot#'!$A:$AL,28,FALSE)-4,1)</f>
        <v>P</v>
      </c>
      <c r="AC333" s="102" t="str">
        <f>MID(VLOOKUP($A333,Seqs!$A:$B,2,FALSE),VLOOKUP($A333,'NonXtal_SegEnds_Prot#'!$A:$AL,28,FALSE),1)</f>
        <v>V</v>
      </c>
    </row>
    <row r="334" spans="1:29" s="2" customFormat="1" x14ac:dyDescent="0.2">
      <c r="A334" s="2" t="s">
        <v>1419</v>
      </c>
      <c r="B334" s="2" t="str">
        <f>LOWER(VLOOKUP(A334,Xtal_Templ!A:B,2,FALSE))</f>
        <v>crfr1_human</v>
      </c>
      <c r="C334" s="2" t="str">
        <f>VLOOKUP(A334,Classification!A:D,2,FALSE)</f>
        <v>B2</v>
      </c>
      <c r="P334" s="4" t="s">
        <v>51</v>
      </c>
      <c r="R334" s="71" t="str">
        <f>MID(VLOOKUP($A334,Seqs!$A:$B,2,FALSE),VLOOKUP($A334,'NonXtal_SegEnds_Prot#'!A:AL,10,FALSE),1)</f>
        <v>L</v>
      </c>
      <c r="S334" s="102" t="str">
        <f>MID(VLOOKUP($A334,Seqs!$A:$B,2,FALSE),VLOOKUP($A334,'NonXtal_SegEnds_Prot#'!A:AL,10,FALSE)+6,1)</f>
        <v>I</v>
      </c>
      <c r="T334" s="102" t="str">
        <f>MID(VLOOKUP($A334,Seqs!$A:$B,2,FALSE),VLOOKUP($A334,'NonXtal_SegEnds_Prot#'!A:AL,10,FALSE)+7,1)</f>
        <v>F</v>
      </c>
      <c r="U334" s="102" t="str">
        <f>MID(VLOOKUP($A334,Seqs!$A:$B,2,FALSE),VLOOKUP($A334,'NonXtal_SegEnds_Prot#'!A:AL,10,FALSE)+8,1)</f>
        <v>L</v>
      </c>
      <c r="V334" s="102" t="str">
        <f>MID(VLOOKUP($A334,Seqs!$A:$B,2,FALSE),VLOOKUP($A334,'NonXtal_SegEnds_Prot#'!A:AL,10,FALSE)+9,1)</f>
        <v>I</v>
      </c>
      <c r="W334" s="71" t="str">
        <f>MID(VLOOKUP($A334,Seqs!$A:$B,2,FALSE),VLOOKUP($A334,'NonXtal_SegEnds_Prot#'!$A:$AL,22,FALSE)+6,1)</f>
        <v>V</v>
      </c>
      <c r="X334" s="102" t="str">
        <f>MID(VLOOKUP($A334,Seqs!$A:$B,2,FALSE),VLOOKUP($A334,'NonXtal_SegEnds_Prot#'!$A:$AL,22,FALSE)+7,1)</f>
        <v>V</v>
      </c>
      <c r="Y334" s="102" t="str">
        <f>MID(VLOOKUP($A334,Seqs!$A:$B,2,FALSE),VLOOKUP($A334,'NonXtal_SegEnds_Prot#'!$A:$AL,22,FALSE)+8,1)</f>
        <v>G</v>
      </c>
      <c r="Z334" s="102" t="str">
        <f>MID(VLOOKUP($A334,Seqs!$A:$B,2,FALSE),VLOOKUP($A334,'NonXtal_SegEnds_Prot#'!$A:$AL,22,FALSE)+9,1)</f>
        <v>V</v>
      </c>
      <c r="AA334" s="102" t="str">
        <f>MID(VLOOKUP($A334,Seqs!$A:$B,2,FALSE),VLOOKUP($A334,'NonXtal_SegEnds_Prot#'!$A:$AL,22,FALSE)+10,1)</f>
        <v>S</v>
      </c>
      <c r="AB334" s="71" t="str">
        <f>MID(VLOOKUP($A334,Seqs!$A:$B,2,FALSE),VLOOKUP($A334,'NonXtal_SegEnds_Prot#'!$A:$AL,28,FALSE)-4,1)</f>
        <v>P</v>
      </c>
      <c r="AC334" s="102" t="str">
        <f>MID(VLOOKUP($A334,Seqs!$A:$B,2,FALSE),VLOOKUP($A334,'NonXtal_SegEnds_Prot#'!$A:$AL,28,FALSE),1)</f>
        <v>I</v>
      </c>
    </row>
    <row r="335" spans="1:29" s="2" customFormat="1" x14ac:dyDescent="0.2">
      <c r="A335" s="2" t="s">
        <v>1420</v>
      </c>
      <c r="B335" s="2" t="str">
        <f>LOWER(VLOOKUP(A335,Xtal_Templ!A:B,2,FALSE))</f>
        <v>crfr1_human</v>
      </c>
      <c r="C335" s="2" t="str">
        <f>VLOOKUP(A335,Classification!A:D,2,FALSE)</f>
        <v>B2</v>
      </c>
      <c r="P335" s="4" t="s">
        <v>51</v>
      </c>
      <c r="R335" s="71" t="str">
        <f>MID(VLOOKUP($A335,Seqs!$A:$B,2,FALSE),VLOOKUP($A335,'NonXtal_SegEnds_Prot#'!A:AL,10,FALSE),1)</f>
        <v>L</v>
      </c>
      <c r="S335" s="102" t="str">
        <f>MID(VLOOKUP($A335,Seqs!$A:$B,2,FALSE),VLOOKUP($A335,'NonXtal_SegEnds_Prot#'!A:AL,10,FALSE)+6,1)</f>
        <v>L</v>
      </c>
      <c r="T335" s="102" t="str">
        <f>MID(VLOOKUP($A335,Seqs!$A:$B,2,FALSE),VLOOKUP($A335,'NonXtal_SegEnds_Prot#'!A:AL,10,FALSE)+7,1)</f>
        <v>F</v>
      </c>
      <c r="U335" s="102" t="str">
        <f>MID(VLOOKUP($A335,Seqs!$A:$B,2,FALSE),VLOOKUP($A335,'NonXtal_SegEnds_Prot#'!A:AL,10,FALSE)+8,1)</f>
        <v>L</v>
      </c>
      <c r="V335" s="102" t="str">
        <f>MID(VLOOKUP($A335,Seqs!$A:$B,2,FALSE),VLOOKUP($A335,'NonXtal_SegEnds_Prot#'!A:AL,10,FALSE)+9,1)</f>
        <v>I</v>
      </c>
      <c r="W335" s="71" t="str">
        <f>MID(VLOOKUP($A335,Seqs!$A:$B,2,FALSE),VLOOKUP($A335,'NonXtal_SegEnds_Prot#'!$A:$AL,22,FALSE)+6,1)</f>
        <v>I</v>
      </c>
      <c r="X335" s="102" t="str">
        <f>MID(VLOOKUP($A335,Seqs!$A:$B,2,FALSE),VLOOKUP($A335,'NonXtal_SegEnds_Prot#'!$A:$AL,22,FALSE)+7,1)</f>
        <v>V</v>
      </c>
      <c r="Y335" s="102" t="str">
        <f>MID(VLOOKUP($A335,Seqs!$A:$B,2,FALSE),VLOOKUP($A335,'NonXtal_SegEnds_Prot#'!$A:$AL,22,FALSE)+8,1)</f>
        <v>A</v>
      </c>
      <c r="Z335" s="102" t="str">
        <f>MID(VLOOKUP($A335,Seqs!$A:$B,2,FALSE),VLOOKUP($A335,'NonXtal_SegEnds_Prot#'!$A:$AL,22,FALSE)+9,1)</f>
        <v>V</v>
      </c>
      <c r="AA335" s="102" t="str">
        <f>MID(VLOOKUP($A335,Seqs!$A:$B,2,FALSE),VLOOKUP($A335,'NonXtal_SegEnds_Prot#'!$A:$AL,22,FALSE)+10,1)</f>
        <v>S</v>
      </c>
      <c r="AB335" s="71" t="str">
        <f>MID(VLOOKUP($A335,Seqs!$A:$B,2,FALSE),VLOOKUP($A335,'NonXtal_SegEnds_Prot#'!$A:$AL,28,FALSE)-4,1)</f>
        <v>P</v>
      </c>
      <c r="AC335" s="102" t="str">
        <f>MID(VLOOKUP($A335,Seqs!$A:$B,2,FALSE),VLOOKUP($A335,'NonXtal_SegEnds_Prot#'!$A:$AL,28,FALSE),1)</f>
        <v>I</v>
      </c>
    </row>
    <row r="336" spans="1:29" s="2" customFormat="1" x14ac:dyDescent="0.2">
      <c r="A336" s="2" t="s">
        <v>1421</v>
      </c>
      <c r="B336" s="2" t="str">
        <f>LOWER(VLOOKUP(A336,Xtal_Templ!A:B,2,FALSE))</f>
        <v>crfr1_human</v>
      </c>
      <c r="C336" s="2" t="str">
        <f>VLOOKUP(A336,Classification!A:D,2,FALSE)</f>
        <v>B2</v>
      </c>
      <c r="P336" s="4" t="s">
        <v>51</v>
      </c>
      <c r="R336" s="71" t="str">
        <f>MID(VLOOKUP($A336,Seqs!$A:$B,2,FALSE),VLOOKUP($A336,'NonXtal_SegEnds_Prot#'!A:AL,10,FALSE),1)</f>
        <v>L</v>
      </c>
      <c r="S336" s="102" t="str">
        <f>MID(VLOOKUP($A336,Seqs!$A:$B,2,FALSE),VLOOKUP($A336,'NonXtal_SegEnds_Prot#'!A:AL,10,FALSE)+6,1)</f>
        <v>V</v>
      </c>
      <c r="T336" s="102" t="str">
        <f>MID(VLOOKUP($A336,Seqs!$A:$B,2,FALSE),VLOOKUP($A336,'NonXtal_SegEnds_Prot#'!A:AL,10,FALSE)+7,1)</f>
        <v>F</v>
      </c>
      <c r="U336" s="102" t="str">
        <f>MID(VLOOKUP($A336,Seqs!$A:$B,2,FALSE),VLOOKUP($A336,'NonXtal_SegEnds_Prot#'!A:AL,10,FALSE)+8,1)</f>
        <v>L</v>
      </c>
      <c r="V336" s="102" t="str">
        <f>MID(VLOOKUP($A336,Seqs!$A:$B,2,FALSE),VLOOKUP($A336,'NonXtal_SegEnds_Prot#'!A:AL,10,FALSE)+9,1)</f>
        <v>V</v>
      </c>
      <c r="W336" s="71" t="str">
        <f>MID(VLOOKUP($A336,Seqs!$A:$B,2,FALSE),VLOOKUP($A336,'NonXtal_SegEnds_Prot#'!$A:$AL,22,FALSE)+6,1)</f>
        <v>V</v>
      </c>
      <c r="X336" s="102" t="str">
        <f>MID(VLOOKUP($A336,Seqs!$A:$B,2,FALSE),VLOOKUP($A336,'NonXtal_SegEnds_Prot#'!$A:$AL,22,FALSE)+7,1)</f>
        <v>V</v>
      </c>
      <c r="Y336" s="102" t="str">
        <f>MID(VLOOKUP($A336,Seqs!$A:$B,2,FALSE),VLOOKUP($A336,'NonXtal_SegEnds_Prot#'!$A:$AL,22,FALSE)+8,1)</f>
        <v>G</v>
      </c>
      <c r="Z336" s="102" t="str">
        <f>MID(VLOOKUP($A336,Seqs!$A:$B,2,FALSE),VLOOKUP($A336,'NonXtal_SegEnds_Prot#'!$A:$AL,22,FALSE)+9,1)</f>
        <v>F</v>
      </c>
      <c r="AA336" s="102" t="str">
        <f>MID(VLOOKUP($A336,Seqs!$A:$B,2,FALSE),VLOOKUP($A336,'NonXtal_SegEnds_Prot#'!$A:$AL,22,FALSE)+10,1)</f>
        <v>S</v>
      </c>
      <c r="AB336" s="71" t="str">
        <f>MID(VLOOKUP($A336,Seqs!$A:$B,2,FALSE),VLOOKUP($A336,'NonXtal_SegEnds_Prot#'!$A:$AL,28,FALSE)-4,1)</f>
        <v>P</v>
      </c>
      <c r="AC336" s="102" t="str">
        <f>MID(VLOOKUP($A336,Seqs!$A:$B,2,FALSE),VLOOKUP($A336,'NonXtal_SegEnds_Prot#'!$A:$AL,28,FALSE),1)</f>
        <v>I</v>
      </c>
    </row>
    <row r="337" spans="1:29" s="2" customFormat="1" x14ac:dyDescent="0.2">
      <c r="A337" s="2" t="s">
        <v>608</v>
      </c>
      <c r="B337" s="2" t="str">
        <f>LOWER(VLOOKUP(A337,Xtal_Templ!A:B,2,FALSE))</f>
        <v>crfr1_human</v>
      </c>
      <c r="C337" s="2" t="str">
        <f>VLOOKUP(A337,Classification!A:D,2,FALSE)</f>
        <v>B2</v>
      </c>
      <c r="P337" s="4" t="s">
        <v>51</v>
      </c>
      <c r="R337" s="71" t="str">
        <f>MID(VLOOKUP($A337,Seqs!$A:$B,2,FALSE),VLOOKUP($A337,'NonXtal_SegEnds_Prot#'!A:AL,10,FALSE),1)</f>
        <v>I</v>
      </c>
      <c r="S337" s="102" t="str">
        <f>MID(VLOOKUP($A337,Seqs!$A:$B,2,FALSE),VLOOKUP($A337,'NonXtal_SegEnds_Prot#'!A:AL,10,FALSE)+6,1)</f>
        <v>L</v>
      </c>
      <c r="T337" s="102" t="str">
        <f>MID(VLOOKUP($A337,Seqs!$A:$B,2,FALSE),VLOOKUP($A337,'NonXtal_SegEnds_Prot#'!A:AL,10,FALSE)+7,1)</f>
        <v>I</v>
      </c>
      <c r="U337" s="102" t="str">
        <f>MID(VLOOKUP($A337,Seqs!$A:$B,2,FALSE),VLOOKUP($A337,'NonXtal_SegEnds_Prot#'!A:AL,10,FALSE)+8,1)</f>
        <v>L</v>
      </c>
      <c r="V337" s="102" t="str">
        <f>MID(VLOOKUP($A337,Seqs!$A:$B,2,FALSE),VLOOKUP($A337,'NonXtal_SegEnds_Prot#'!A:AL,10,FALSE)+9,1)</f>
        <v>I</v>
      </c>
      <c r="W337" s="71" t="str">
        <f>MID(VLOOKUP($A337,Seqs!$A:$B,2,FALSE),VLOOKUP($A337,'NonXtal_SegEnds_Prot#'!$A:$AL,22,FALSE)+6,1)</f>
        <v>V</v>
      </c>
      <c r="X337" s="102" t="str">
        <f>MID(VLOOKUP($A337,Seqs!$A:$B,2,FALSE),VLOOKUP($A337,'NonXtal_SegEnds_Prot#'!$A:$AL,22,FALSE)+7,1)</f>
        <v>V</v>
      </c>
      <c r="Y337" s="102" t="str">
        <f>MID(VLOOKUP($A337,Seqs!$A:$B,2,FALSE),VLOOKUP($A337,'NonXtal_SegEnds_Prot#'!$A:$AL,22,FALSE)+8,1)</f>
        <v>A</v>
      </c>
      <c r="Z337" s="102" t="str">
        <f>MID(VLOOKUP($A337,Seqs!$A:$B,2,FALSE),VLOOKUP($A337,'NonXtal_SegEnds_Prot#'!$A:$AL,22,FALSE)+9,1)</f>
        <v>I</v>
      </c>
      <c r="AA337" s="102" t="str">
        <f>MID(VLOOKUP($A337,Seqs!$A:$B,2,FALSE),VLOOKUP($A337,'NonXtal_SegEnds_Prot#'!$A:$AL,22,FALSE)+10,1)</f>
        <v>S</v>
      </c>
      <c r="AB337" s="71" t="str">
        <f>MID(VLOOKUP($A337,Seqs!$A:$B,2,FALSE),VLOOKUP($A337,'NonXtal_SegEnds_Prot#'!$A:$AL,28,FALSE)-4,1)</f>
        <v>P</v>
      </c>
      <c r="AC337" s="102" t="str">
        <f>MID(VLOOKUP($A337,Seqs!$A:$B,2,FALSE),VLOOKUP($A337,'NonXtal_SegEnds_Prot#'!$A:$AL,28,FALSE),1)</f>
        <v>V</v>
      </c>
    </row>
    <row r="338" spans="1:29" s="2" customFormat="1" x14ac:dyDescent="0.2">
      <c r="A338" s="2" t="s">
        <v>611</v>
      </c>
      <c r="B338" s="2" t="str">
        <f>LOWER(VLOOKUP(A338,Xtal_Templ!A:B,2,FALSE))</f>
        <v>glr_human</v>
      </c>
      <c r="C338" s="2" t="str">
        <f>VLOOKUP(A338,Classification!A:D,2,FALSE)</f>
        <v>B2</v>
      </c>
      <c r="P338" s="4" t="s">
        <v>51</v>
      </c>
      <c r="R338" s="71" t="str">
        <f>MID(VLOOKUP($A338,Seqs!$A:$B,2,FALSE),VLOOKUP($A338,'NonXtal_SegEnds_Prot#'!A:AL,10,FALSE),1)</f>
        <v>L</v>
      </c>
      <c r="S338" s="102" t="str">
        <f>MID(VLOOKUP($A338,Seqs!$A:$B,2,FALSE),VLOOKUP($A338,'NonXtal_SegEnds_Prot#'!A:AL,10,FALSE)+6,1)</f>
        <v>I</v>
      </c>
      <c r="T338" s="102" t="str">
        <f>MID(VLOOKUP($A338,Seqs!$A:$B,2,FALSE),VLOOKUP($A338,'NonXtal_SegEnds_Prot#'!A:AL,10,FALSE)+7,1)</f>
        <v>F</v>
      </c>
      <c r="U338" s="102" t="str">
        <f>MID(VLOOKUP($A338,Seqs!$A:$B,2,FALSE),VLOOKUP($A338,'NonXtal_SegEnds_Prot#'!A:AL,10,FALSE)+8,1)</f>
        <v>L</v>
      </c>
      <c r="V338" s="102" t="str">
        <f>MID(VLOOKUP($A338,Seqs!$A:$B,2,FALSE),VLOOKUP($A338,'NonXtal_SegEnds_Prot#'!A:AL,10,FALSE)+9,1)</f>
        <v>A</v>
      </c>
      <c r="W338" s="71" t="str">
        <f>MID(VLOOKUP($A338,Seqs!$A:$B,2,FALSE),VLOOKUP($A338,'NonXtal_SegEnds_Prot#'!$A:$AL,22,FALSE)+6,1)</f>
        <v>I</v>
      </c>
      <c r="X338" s="102" t="str">
        <f>MID(VLOOKUP($A338,Seqs!$A:$B,2,FALSE),VLOOKUP($A338,'NonXtal_SegEnds_Prot#'!$A:$AL,22,FALSE)+7,1)</f>
        <v>V</v>
      </c>
      <c r="Y338" s="102" t="str">
        <f>MID(VLOOKUP($A338,Seqs!$A:$B,2,FALSE),VLOOKUP($A338,'NonXtal_SegEnds_Prot#'!$A:$AL,22,FALSE)+8,1)</f>
        <v>G</v>
      </c>
      <c r="Z338" s="102" t="str">
        <f>MID(VLOOKUP($A338,Seqs!$A:$B,2,FALSE),VLOOKUP($A338,'NonXtal_SegEnds_Prot#'!$A:$AL,22,FALSE)+9,1)</f>
        <v>V</v>
      </c>
      <c r="AA338" s="102" t="str">
        <f>MID(VLOOKUP($A338,Seqs!$A:$B,2,FALSE),VLOOKUP($A338,'NonXtal_SegEnds_Prot#'!$A:$AL,22,FALSE)+10,1)</f>
        <v>S</v>
      </c>
      <c r="AB338" s="71" t="str">
        <f>MID(VLOOKUP($A338,Seqs!$A:$B,2,FALSE),VLOOKUP($A338,'NonXtal_SegEnds_Prot#'!$A:$AL,28,FALSE)-4,1)</f>
        <v>P</v>
      </c>
      <c r="AC338" s="102" t="str">
        <f>MID(VLOOKUP($A338,Seqs!$A:$B,2,FALSE),VLOOKUP($A338,'NonXtal_SegEnds_Prot#'!$A:$AL,28,FALSE),1)</f>
        <v>I</v>
      </c>
    </row>
    <row r="339" spans="1:29" s="2" customFormat="1" x14ac:dyDescent="0.2">
      <c r="A339" s="2" t="s">
        <v>612</v>
      </c>
      <c r="B339" s="2" t="str">
        <f>LOWER(VLOOKUP(A339,Xtal_Templ!A:B,2,FALSE))</f>
        <v>crfr1_human</v>
      </c>
      <c r="C339" s="2" t="str">
        <f>VLOOKUP(A339,Classification!A:D,2,FALSE)</f>
        <v>B2</v>
      </c>
      <c r="P339" s="4" t="s">
        <v>51</v>
      </c>
      <c r="R339" s="71" t="str">
        <f>MID(VLOOKUP($A339,Seqs!$A:$B,2,FALSE),VLOOKUP($A339,'NonXtal_SegEnds_Prot#'!A:AL,10,FALSE),1)</f>
        <v>L</v>
      </c>
      <c r="S339" s="102" t="str">
        <f>MID(VLOOKUP($A339,Seqs!$A:$B,2,FALSE),VLOOKUP($A339,'NonXtal_SegEnds_Prot#'!A:AL,10,FALSE)+6,1)</f>
        <v>V</v>
      </c>
      <c r="T339" s="102" t="str">
        <f>MID(VLOOKUP($A339,Seqs!$A:$B,2,FALSE),VLOOKUP($A339,'NonXtal_SegEnds_Prot#'!A:AL,10,FALSE)+7,1)</f>
        <v>F</v>
      </c>
      <c r="U339" s="102" t="str">
        <f>MID(VLOOKUP($A339,Seqs!$A:$B,2,FALSE),VLOOKUP($A339,'NonXtal_SegEnds_Prot#'!A:AL,10,FALSE)+8,1)</f>
        <v>V</v>
      </c>
      <c r="V339" s="102" t="str">
        <f>MID(VLOOKUP($A339,Seqs!$A:$B,2,FALSE),VLOOKUP($A339,'NonXtal_SegEnds_Prot#'!A:AL,10,FALSE)+9,1)</f>
        <v>I</v>
      </c>
      <c r="W339" s="71" t="str">
        <f>MID(VLOOKUP($A339,Seqs!$A:$B,2,FALSE),VLOOKUP($A339,'NonXtal_SegEnds_Prot#'!$A:$AL,22,FALSE)+6,1)</f>
        <v>V</v>
      </c>
      <c r="X339" s="102" t="str">
        <f>MID(VLOOKUP($A339,Seqs!$A:$B,2,FALSE),VLOOKUP($A339,'NonXtal_SegEnds_Prot#'!$A:$AL,22,FALSE)+7,1)</f>
        <v>T</v>
      </c>
      <c r="Y339" s="102" t="str">
        <f>MID(VLOOKUP($A339,Seqs!$A:$B,2,FALSE),VLOOKUP($A339,'NonXtal_SegEnds_Prot#'!$A:$AL,22,FALSE)+8,1)</f>
        <v>G</v>
      </c>
      <c r="Z339" s="102" t="str">
        <f>MID(VLOOKUP($A339,Seqs!$A:$B,2,FALSE),VLOOKUP($A339,'NonXtal_SegEnds_Prot#'!$A:$AL,22,FALSE)+9,1)</f>
        <v>L</v>
      </c>
      <c r="AA339" s="102" t="str">
        <f>MID(VLOOKUP($A339,Seqs!$A:$B,2,FALSE),VLOOKUP($A339,'NonXtal_SegEnds_Prot#'!$A:$AL,22,FALSE)+10,1)</f>
        <v>A</v>
      </c>
      <c r="AB339" s="71" t="str">
        <f>MID(VLOOKUP($A339,Seqs!$A:$B,2,FALSE),VLOOKUP($A339,'NonXtal_SegEnds_Prot#'!$A:$AL,28,FALSE)-4,1)</f>
        <v>P</v>
      </c>
      <c r="AC339" s="102" t="str">
        <f>MID(VLOOKUP($A339,Seqs!$A:$B,2,FALSE),VLOOKUP($A339,'NonXtal_SegEnds_Prot#'!$A:$AL,28,FALSE),1)</f>
        <v>V</v>
      </c>
    </row>
    <row r="340" spans="1:29" s="2" customFormat="1" x14ac:dyDescent="0.2">
      <c r="A340" s="2" t="s">
        <v>613</v>
      </c>
      <c r="B340" s="2" t="str">
        <f>LOWER(VLOOKUP(A340,Xtal_Templ!A:B,2,FALSE))</f>
        <v>crfr1_human</v>
      </c>
      <c r="C340" s="2" t="str">
        <f>VLOOKUP(A340,Classification!A:D,2,FALSE)</f>
        <v>B2</v>
      </c>
      <c r="P340" s="4" t="s">
        <v>51</v>
      </c>
      <c r="R340" s="71" t="str">
        <f>MID(VLOOKUP($A340,Seqs!$A:$B,2,FALSE),VLOOKUP($A340,'NonXtal_SegEnds_Prot#'!A:AL,10,FALSE),1)</f>
        <v>L</v>
      </c>
      <c r="S340" s="102" t="str">
        <f>MID(VLOOKUP($A340,Seqs!$A:$B,2,FALSE),VLOOKUP($A340,'NonXtal_SegEnds_Prot#'!A:AL,10,FALSE)+6,1)</f>
        <v>V</v>
      </c>
      <c r="T340" s="102" t="str">
        <f>MID(VLOOKUP($A340,Seqs!$A:$B,2,FALSE),VLOOKUP($A340,'NonXtal_SegEnds_Prot#'!A:AL,10,FALSE)+7,1)</f>
        <v>F</v>
      </c>
      <c r="U340" s="102" t="str">
        <f>MID(VLOOKUP($A340,Seqs!$A:$B,2,FALSE),VLOOKUP($A340,'NonXtal_SegEnds_Prot#'!A:AL,10,FALSE)+8,1)</f>
        <v>L</v>
      </c>
      <c r="V340" s="102" t="str">
        <f>MID(VLOOKUP($A340,Seqs!$A:$B,2,FALSE),VLOOKUP($A340,'NonXtal_SegEnds_Prot#'!A:AL,10,FALSE)+9,1)</f>
        <v>L</v>
      </c>
      <c r="W340" s="71" t="str">
        <f>MID(VLOOKUP($A340,Seqs!$A:$B,2,FALSE),VLOOKUP($A340,'NonXtal_SegEnds_Prot#'!$A:$AL,22,FALSE)+6,1)</f>
        <v>I</v>
      </c>
      <c r="X340" s="102" t="str">
        <f>MID(VLOOKUP($A340,Seqs!$A:$B,2,FALSE),VLOOKUP($A340,'NonXtal_SegEnds_Prot#'!$A:$AL,22,FALSE)+7,1)</f>
        <v>T</v>
      </c>
      <c r="Y340" s="102" t="str">
        <f>MID(VLOOKUP($A340,Seqs!$A:$B,2,FALSE),VLOOKUP($A340,'NonXtal_SegEnds_Prot#'!$A:$AL,22,FALSE)+8,1)</f>
        <v>G</v>
      </c>
      <c r="Z340" s="102" t="str">
        <f>MID(VLOOKUP($A340,Seqs!$A:$B,2,FALSE),VLOOKUP($A340,'NonXtal_SegEnds_Prot#'!$A:$AL,22,FALSE)+9,1)</f>
        <v>L</v>
      </c>
      <c r="AA340" s="102" t="str">
        <f>MID(VLOOKUP($A340,Seqs!$A:$B,2,FALSE),VLOOKUP($A340,'NonXtal_SegEnds_Prot#'!$A:$AL,22,FALSE)+10,1)</f>
        <v>A</v>
      </c>
      <c r="AB340" s="71" t="str">
        <f>MID(VLOOKUP($A340,Seqs!$A:$B,2,FALSE),VLOOKUP($A340,'NonXtal_SegEnds_Prot#'!$A:$AL,28,FALSE)-4,1)</f>
        <v>P</v>
      </c>
      <c r="AC340" s="102" t="str">
        <f>MID(VLOOKUP($A340,Seqs!$A:$B,2,FALSE),VLOOKUP($A340,'NonXtal_SegEnds_Prot#'!$A:$AL,28,FALSE),1)</f>
        <v>A</v>
      </c>
    </row>
    <row r="341" spans="1:29" s="2" customFormat="1" x14ac:dyDescent="0.2">
      <c r="A341" s="2" t="s">
        <v>614</v>
      </c>
      <c r="B341" s="2" t="str">
        <f>LOWER(VLOOKUP(A341,Xtal_Templ!A:B,2,FALSE))</f>
        <v>glr_human</v>
      </c>
      <c r="C341" s="2" t="str">
        <f>VLOOKUP(A341,Classification!A:D,2,FALSE)</f>
        <v>B2</v>
      </c>
      <c r="P341" s="4" t="s">
        <v>51</v>
      </c>
      <c r="R341" s="71" t="str">
        <f>MID(VLOOKUP($A341,Seqs!$A:$B,2,FALSE),VLOOKUP($A341,'NonXtal_SegEnds_Prot#'!A:AL,10,FALSE),1)</f>
        <v>L</v>
      </c>
      <c r="S341" s="102" t="str">
        <f>MID(VLOOKUP($A341,Seqs!$A:$B,2,FALSE),VLOOKUP($A341,'NonXtal_SegEnds_Prot#'!A:AL,10,FALSE)+6,1)</f>
        <v>L</v>
      </c>
      <c r="T341" s="102" t="str">
        <f>MID(VLOOKUP($A341,Seqs!$A:$B,2,FALSE),VLOOKUP($A341,'NonXtal_SegEnds_Prot#'!A:AL,10,FALSE)+7,1)</f>
        <v>F</v>
      </c>
      <c r="U341" s="102" t="str">
        <f>MID(VLOOKUP($A341,Seqs!$A:$B,2,FALSE),VLOOKUP($A341,'NonXtal_SegEnds_Prot#'!A:AL,10,FALSE)+8,1)</f>
        <v>L</v>
      </c>
      <c r="V341" s="102" t="str">
        <f>MID(VLOOKUP($A341,Seqs!$A:$B,2,FALSE),VLOOKUP($A341,'NonXtal_SegEnds_Prot#'!A:AL,10,FALSE)+9,1)</f>
        <v>L</v>
      </c>
      <c r="W341" s="71" t="str">
        <f>MID(VLOOKUP($A341,Seqs!$A:$B,2,FALSE),VLOOKUP($A341,'NonXtal_SegEnds_Prot#'!$A:$AL,22,FALSE)+6,1)</f>
        <v>L</v>
      </c>
      <c r="X341" s="102" t="str">
        <f>MID(VLOOKUP($A341,Seqs!$A:$B,2,FALSE),VLOOKUP($A341,'NonXtal_SegEnds_Prot#'!$A:$AL,22,FALSE)+7,1)</f>
        <v>L</v>
      </c>
      <c r="Y341" s="102" t="str">
        <f>MID(VLOOKUP($A341,Seqs!$A:$B,2,FALSE),VLOOKUP($A341,'NonXtal_SegEnds_Prot#'!$A:$AL,22,FALSE)+8,1)</f>
        <v>G</v>
      </c>
      <c r="Z341" s="102" t="str">
        <f>MID(VLOOKUP($A341,Seqs!$A:$B,2,FALSE),VLOOKUP($A341,'NonXtal_SegEnds_Prot#'!$A:$AL,22,FALSE)+9,1)</f>
        <v>L</v>
      </c>
      <c r="AA341" s="102" t="str">
        <f>MID(VLOOKUP($A341,Seqs!$A:$B,2,FALSE),VLOOKUP($A341,'NonXtal_SegEnds_Prot#'!$A:$AL,22,FALSE)+10,1)</f>
        <v>A</v>
      </c>
      <c r="AB341" s="71" t="str">
        <f>MID(VLOOKUP($A341,Seqs!$A:$B,2,FALSE),VLOOKUP($A341,'NonXtal_SegEnds_Prot#'!$A:$AL,28,FALSE)-4,1)</f>
        <v>P</v>
      </c>
      <c r="AC341" s="102" t="str">
        <f>MID(VLOOKUP($A341,Seqs!$A:$B,2,FALSE),VLOOKUP($A341,'NonXtal_SegEnds_Prot#'!$A:$AL,28,FALSE),1)</f>
        <v>V</v>
      </c>
    </row>
    <row r="342" spans="1:29" s="2" customFormat="1" x14ac:dyDescent="0.2">
      <c r="A342" s="2" t="s">
        <v>630</v>
      </c>
      <c r="B342" s="2" t="str">
        <f>LOWER(VLOOKUP(A342,Xtal_Templ!A:B,2,FALSE))</f>
        <v>crfr1_human</v>
      </c>
      <c r="C342" s="2" t="str">
        <f>VLOOKUP(A342,Classification!A:D,2,FALSE)</f>
        <v>B2</v>
      </c>
      <c r="P342" s="4" t="s">
        <v>51</v>
      </c>
      <c r="R342" s="71" t="str">
        <f>MID(VLOOKUP($A342,Seqs!$A:$B,2,FALSE),VLOOKUP($A342,'NonXtal_SegEnds_Prot#'!A:AL,10,FALSE),1)</f>
        <v>L</v>
      </c>
      <c r="S342" s="102" t="str">
        <f>MID(VLOOKUP($A342,Seqs!$A:$B,2,FALSE),VLOOKUP($A342,'NonXtal_SegEnds_Prot#'!A:AL,10,FALSE)+6,1)</f>
        <v>L</v>
      </c>
      <c r="T342" s="102" t="str">
        <f>MID(VLOOKUP($A342,Seqs!$A:$B,2,FALSE),VLOOKUP($A342,'NonXtal_SegEnds_Prot#'!A:AL,10,FALSE)+7,1)</f>
        <v>F</v>
      </c>
      <c r="U342" s="102" t="str">
        <f>MID(VLOOKUP($A342,Seqs!$A:$B,2,FALSE),VLOOKUP($A342,'NonXtal_SegEnds_Prot#'!A:AL,10,FALSE)+8,1)</f>
        <v>L</v>
      </c>
      <c r="V342" s="102" t="str">
        <f>MID(VLOOKUP($A342,Seqs!$A:$B,2,FALSE),VLOOKUP($A342,'NonXtal_SegEnds_Prot#'!A:AL,10,FALSE)+9,1)</f>
        <v>L</v>
      </c>
      <c r="W342" s="71" t="str">
        <f>MID(VLOOKUP($A342,Seqs!$A:$B,2,FALSE),VLOOKUP($A342,'NonXtal_SegEnds_Prot#'!$A:$AL,22,FALSE)+6,1)</f>
        <v>V</v>
      </c>
      <c r="X342" s="102" t="str">
        <f>MID(VLOOKUP($A342,Seqs!$A:$B,2,FALSE),VLOOKUP($A342,'NonXtal_SegEnds_Prot#'!$A:$AL,22,FALSE)+7,1)</f>
        <v>V</v>
      </c>
      <c r="Y342" s="102" t="str">
        <f>MID(VLOOKUP($A342,Seqs!$A:$B,2,FALSE),VLOOKUP($A342,'NonXtal_SegEnds_Prot#'!$A:$AL,22,FALSE)+8,1)</f>
        <v>S</v>
      </c>
      <c r="Z342" s="102" t="str">
        <f>MID(VLOOKUP($A342,Seqs!$A:$B,2,FALSE),VLOOKUP($A342,'NonXtal_SegEnds_Prot#'!$A:$AL,22,FALSE)+9,1)</f>
        <v>V</v>
      </c>
      <c r="AA342" s="102" t="str">
        <f>MID(VLOOKUP($A342,Seqs!$A:$B,2,FALSE),VLOOKUP($A342,'NonXtal_SegEnds_Prot#'!$A:$AL,22,FALSE)+10,1)</f>
        <v>V</v>
      </c>
      <c r="AB342" s="71" t="str">
        <f>MID(VLOOKUP($A342,Seqs!$A:$B,2,FALSE),VLOOKUP($A342,'NonXtal_SegEnds_Prot#'!$A:$AL,28,FALSE)-4,1)</f>
        <v>Y</v>
      </c>
      <c r="AC342" s="102" t="str">
        <f>MID(VLOOKUP($A342,Seqs!$A:$B,2,FALSE),VLOOKUP($A342,'NonXtal_SegEnds_Prot#'!$A:$AL,28,FALSE),1)</f>
        <v>M</v>
      </c>
    </row>
    <row r="343" spans="1:29" s="2" customFormat="1" x14ac:dyDescent="0.2">
      <c r="A343" s="2" t="s">
        <v>637</v>
      </c>
      <c r="B343" s="2" t="str">
        <f>LOWER(VLOOKUP(A343,Xtal_Templ!A:B,2,FALSE))</f>
        <v>crfr1_human</v>
      </c>
      <c r="C343" s="2" t="str">
        <f>VLOOKUP(A343,Classification!A:D,2,FALSE)</f>
        <v>B2</v>
      </c>
      <c r="P343" s="4" t="s">
        <v>51</v>
      </c>
      <c r="R343" s="71" t="str">
        <f>MID(VLOOKUP($A343,Seqs!$A:$B,2,FALSE),VLOOKUP($A343,'NonXtal_SegEnds_Prot#'!A:AL,10,FALSE),1)</f>
        <v>S</v>
      </c>
      <c r="S343" s="102" t="str">
        <f>MID(VLOOKUP($A343,Seqs!$A:$B,2,FALSE),VLOOKUP($A343,'NonXtal_SegEnds_Prot#'!A:AL,10,FALSE)+6,1)</f>
        <v>L</v>
      </c>
      <c r="T343" s="102" t="str">
        <f>MID(VLOOKUP($A343,Seqs!$A:$B,2,FALSE),VLOOKUP($A343,'NonXtal_SegEnds_Prot#'!A:AL,10,FALSE)+7,1)</f>
        <v>F</v>
      </c>
      <c r="U343" s="102" t="str">
        <f>MID(VLOOKUP($A343,Seqs!$A:$B,2,FALSE),VLOOKUP($A343,'NonXtal_SegEnds_Prot#'!A:AL,10,FALSE)+8,1)</f>
        <v>L</v>
      </c>
      <c r="V343" s="102" t="str">
        <f>MID(VLOOKUP($A343,Seqs!$A:$B,2,FALSE),VLOOKUP($A343,'NonXtal_SegEnds_Prot#'!A:AL,10,FALSE)+9,1)</f>
        <v>A</v>
      </c>
      <c r="W343" s="71" t="str">
        <f>MID(VLOOKUP($A343,Seqs!$A:$B,2,FALSE),VLOOKUP($A343,'NonXtal_SegEnds_Prot#'!$A:$AL,22,FALSE)+6,1)</f>
        <v>V</v>
      </c>
      <c r="X343" s="102" t="str">
        <f>MID(VLOOKUP($A343,Seqs!$A:$B,2,FALSE),VLOOKUP($A343,'NonXtal_SegEnds_Prot#'!$A:$AL,22,FALSE)+7,1)</f>
        <v>V</v>
      </c>
      <c r="Y343" s="102" t="str">
        <f>MID(VLOOKUP($A343,Seqs!$A:$B,2,FALSE),VLOOKUP($A343,'NonXtal_SegEnds_Prot#'!$A:$AL,22,FALSE)+8,1)</f>
        <v>I</v>
      </c>
      <c r="Z343" s="102" t="str">
        <f>MID(VLOOKUP($A343,Seqs!$A:$B,2,FALSE),VLOOKUP($A343,'NonXtal_SegEnds_Prot#'!$A:$AL,22,FALSE)+9,1)</f>
        <v>L</v>
      </c>
      <c r="AA343" s="102" t="str">
        <f>MID(VLOOKUP($A343,Seqs!$A:$B,2,FALSE),VLOOKUP($A343,'NonXtal_SegEnds_Prot#'!$A:$AL,22,FALSE)+10,1)</f>
        <v>L</v>
      </c>
      <c r="AB343" s="71" t="str">
        <f>MID(VLOOKUP($A343,Seqs!$A:$B,2,FALSE),VLOOKUP($A343,'NonXtal_SegEnds_Prot#'!$A:$AL,28,FALSE)-4,1)</f>
        <v>P</v>
      </c>
      <c r="AC343" s="102" t="str">
        <f>MID(VLOOKUP($A343,Seqs!$A:$B,2,FALSE),VLOOKUP($A343,'NonXtal_SegEnds_Prot#'!$A:$AL,28,FALSE),1)</f>
        <v>L</v>
      </c>
    </row>
    <row r="344" spans="1:29" s="2" customFormat="1" x14ac:dyDescent="0.2">
      <c r="A344" s="2" t="s">
        <v>299</v>
      </c>
      <c r="B344" s="2" t="str">
        <f>LOWER(VLOOKUP(A344,Xtal_Templ!A:B,2,FALSE))</f>
        <v>grm5_human</v>
      </c>
      <c r="C344" s="2" t="str">
        <f>VLOOKUP(A344,Classification!A:D,2,FALSE)</f>
        <v>C</v>
      </c>
      <c r="Q344" s="2" t="s">
        <v>1556</v>
      </c>
      <c r="R344" s="71" t="str">
        <f>MID(VLOOKUP($A344,Seqs!$A:$B,2,FALSE),VLOOKUP($A344,'NonXtal_SegEnds_Prot#'!A:AL,10,FALSE),1)</f>
        <v>L</v>
      </c>
      <c r="S344" s="102" t="str">
        <f>MID(VLOOKUP($A344,Seqs!$A:$B,2,FALSE),VLOOKUP($A344,'NonXtal_SegEnds_Prot#'!A:AL,10,FALSE)+6,1)</f>
        <v>S</v>
      </c>
      <c r="T344" s="102" t="str">
        <f>MID(VLOOKUP($A344,Seqs!$A:$B,2,FALSE),VLOOKUP($A344,'NonXtal_SegEnds_Prot#'!A:AL,10,FALSE)+7,1)</f>
        <v>S</v>
      </c>
      <c r="U344" s="102" t="str">
        <f>MID(VLOOKUP($A344,Seqs!$A:$B,2,FALSE),VLOOKUP($A344,'NonXtal_SegEnds_Prot#'!A:AL,10,FALSE)+8,1)</f>
        <v>L</v>
      </c>
      <c r="V344" s="102" t="str">
        <f>MID(VLOOKUP($A344,Seqs!$A:$B,2,FALSE),VLOOKUP($A344,'NonXtal_SegEnds_Prot#'!A:AL,10,FALSE)+9,1)</f>
        <v>F</v>
      </c>
      <c r="W344" s="71" t="str">
        <f>MID(VLOOKUP($A344,Seqs!$A:$B,2,FALSE),VLOOKUP($A344,'NonXtal_SegEnds_Prot#'!$A:$AL,22,FALSE)+6,1)</f>
        <v>I</v>
      </c>
      <c r="X344" s="102" t="str">
        <f>MID(VLOOKUP($A344,Seqs!$A:$B,2,FALSE),VLOOKUP($A344,'NonXtal_SegEnds_Prot#'!$A:$AL,22,FALSE)+7,1)</f>
        <v>C</v>
      </c>
      <c r="Y344" s="102" t="str">
        <f>MID(VLOOKUP($A344,Seqs!$A:$B,2,FALSE),VLOOKUP($A344,'NonXtal_SegEnds_Prot#'!$A:$AL,22,FALSE)+8,1)</f>
        <v>V</v>
      </c>
      <c r="Z344" s="102" t="str">
        <f>MID(VLOOKUP($A344,Seqs!$A:$B,2,FALSE),VLOOKUP($A344,'NonXtal_SegEnds_Prot#'!$A:$AL,22,FALSE)+9,1)</f>
        <v>I</v>
      </c>
      <c r="AA344" s="102" t="str">
        <f>MID(VLOOKUP($A344,Seqs!$A:$B,2,FALSE),VLOOKUP($A344,'NonXtal_SegEnds_Prot#'!$A:$AL,22,FALSE)+10,1)</f>
        <v>W</v>
      </c>
      <c r="AB344" s="71" t="str">
        <f>MID(VLOOKUP($A344,Seqs!$A:$B,2,FALSE),VLOOKUP($A344,'NonXtal_SegEnds_Prot#'!$A:$AL,28,FALSE)-4,1)</f>
        <v>Y</v>
      </c>
      <c r="AC344" s="102" t="str">
        <f>MID(VLOOKUP($A344,Seqs!$A:$B,2,FALSE),VLOOKUP($A344,'NonXtal_SegEnds_Prot#'!$A:$AL,28,FALSE),1)</f>
        <v>L</v>
      </c>
    </row>
    <row r="345" spans="1:29" s="2" customFormat="1" x14ac:dyDescent="0.2">
      <c r="A345" s="2" t="s">
        <v>300</v>
      </c>
      <c r="B345" s="2" t="str">
        <f>LOWER(VLOOKUP(A345,Xtal_Templ!A:B,2,FALSE))</f>
        <v>grm1_human</v>
      </c>
      <c r="C345" s="2" t="str">
        <f>VLOOKUP(A345,Classification!A:D,2,FALSE)</f>
        <v>C</v>
      </c>
      <c r="Q345" s="2" t="s">
        <v>1556</v>
      </c>
      <c r="R345" s="71" t="str">
        <f>MID(VLOOKUP($A345,Seqs!$A:$B,2,FALSE),VLOOKUP($A345,'NonXtal_SegEnds_Prot#'!A:AL,10,FALSE),1)</f>
        <v>C</v>
      </c>
      <c r="S345" s="102" t="str">
        <f>MID(VLOOKUP($A345,Seqs!$A:$B,2,FALSE),VLOOKUP($A345,'NonXtal_SegEnds_Prot#'!A:AL,10,FALSE)+6,1)</f>
        <v>A</v>
      </c>
      <c r="T345" s="102" t="str">
        <f>MID(VLOOKUP($A345,Seqs!$A:$B,2,FALSE),VLOOKUP($A345,'NonXtal_SegEnds_Prot#'!A:AL,10,FALSE)+7,1)</f>
        <v>V</v>
      </c>
      <c r="U345" s="102" t="str">
        <f>MID(VLOOKUP($A345,Seqs!$A:$B,2,FALSE),VLOOKUP($A345,'NonXtal_SegEnds_Prot#'!A:AL,10,FALSE)+8,1)</f>
        <v>F</v>
      </c>
      <c r="V345" s="102" t="str">
        <f>MID(VLOOKUP($A345,Seqs!$A:$B,2,FALSE),VLOOKUP($A345,'NonXtal_SegEnds_Prot#'!A:AL,10,FALSE)+9,1)</f>
        <v>P</v>
      </c>
      <c r="W345" s="71" t="str">
        <f>MID(VLOOKUP($A345,Seqs!$A:$B,2,FALSE),VLOOKUP($A345,'NonXtal_SegEnds_Prot#'!$A:$AL,22,FALSE)+6,1)</f>
        <v>T</v>
      </c>
      <c r="X345" s="102" t="str">
        <f>MID(VLOOKUP($A345,Seqs!$A:$B,2,FALSE),VLOOKUP($A345,'NonXtal_SegEnds_Prot#'!$A:$AL,22,FALSE)+7,1)</f>
        <v>L</v>
      </c>
      <c r="Y345" s="102" t="str">
        <f>MID(VLOOKUP($A345,Seqs!$A:$B,2,FALSE),VLOOKUP($A345,'NonXtal_SegEnds_Prot#'!$A:$AL,22,FALSE)+8,1)</f>
        <v>A</v>
      </c>
      <c r="Z345" s="102" t="str">
        <f>MID(VLOOKUP($A345,Seqs!$A:$B,2,FALSE),VLOOKUP($A345,'NonXtal_SegEnds_Prot#'!$A:$AL,22,FALSE)+9,1)</f>
        <v>I</v>
      </c>
      <c r="AA345" s="102" t="str">
        <f>MID(VLOOKUP($A345,Seqs!$A:$B,2,FALSE),VLOOKUP($A345,'NonXtal_SegEnds_Prot#'!$A:$AL,22,FALSE)+10,1)</f>
        <v>W</v>
      </c>
      <c r="AB345" s="71" t="str">
        <f>MID(VLOOKUP($A345,Seqs!$A:$B,2,FALSE),VLOOKUP($A345,'NonXtal_SegEnds_Prot#'!$A:$AL,28,FALSE)-4,1)</f>
        <v>Y</v>
      </c>
      <c r="AC345" s="102" t="str">
        <f>MID(VLOOKUP($A345,Seqs!$A:$B,2,FALSE),VLOOKUP($A345,'NonXtal_SegEnds_Prot#'!$A:$AL,28,FALSE),1)</f>
        <v>L</v>
      </c>
    </row>
    <row r="346" spans="1:29" s="2" customFormat="1" x14ac:dyDescent="0.2">
      <c r="A346" s="2" t="s">
        <v>301</v>
      </c>
      <c r="B346" s="2" t="str">
        <f>LOWER(VLOOKUP(A346,Xtal_Templ!A:B,2,FALSE))</f>
        <v>grm5_human</v>
      </c>
      <c r="C346" s="2" t="str">
        <f>VLOOKUP(A346,Classification!A:D,2,FALSE)</f>
        <v>C</v>
      </c>
      <c r="Q346" s="2" t="s">
        <v>1556</v>
      </c>
      <c r="R346" s="71" t="str">
        <f>MID(VLOOKUP($A346,Seqs!$A:$B,2,FALSE),VLOOKUP($A346,'NonXtal_SegEnds_Prot#'!A:AL,10,FALSE),1)</f>
        <v>G</v>
      </c>
      <c r="S346" s="102" t="str">
        <f>MID(VLOOKUP($A346,Seqs!$A:$B,2,FALSE),VLOOKUP($A346,'NonXtal_SegEnds_Prot#'!A:AL,10,FALSE)+6,1)</f>
        <v>S</v>
      </c>
      <c r="T346" s="102" t="str">
        <f>MID(VLOOKUP($A346,Seqs!$A:$B,2,FALSE),VLOOKUP($A346,'NonXtal_SegEnds_Prot#'!A:AL,10,FALSE)+7,1)</f>
        <v>I</v>
      </c>
      <c r="U346" s="102" t="str">
        <f>MID(VLOOKUP($A346,Seqs!$A:$B,2,FALSE),VLOOKUP($A346,'NonXtal_SegEnds_Prot#'!A:AL,10,FALSE)+8,1)</f>
        <v>F</v>
      </c>
      <c r="V346" s="102" t="str">
        <f>MID(VLOOKUP($A346,Seqs!$A:$B,2,FALSE),VLOOKUP($A346,'NonXtal_SegEnds_Prot#'!A:AL,10,FALSE)+9,1)</f>
        <v>L</v>
      </c>
      <c r="W346" s="71" t="str">
        <f>MID(VLOOKUP($A346,Seqs!$A:$B,2,FALSE),VLOOKUP($A346,'NonXtal_SegEnds_Prot#'!$A:$AL,22,FALSE)+6,1)</f>
        <v>I</v>
      </c>
      <c r="X346" s="102" t="str">
        <f>MID(VLOOKUP($A346,Seqs!$A:$B,2,FALSE),VLOOKUP($A346,'NonXtal_SegEnds_Prot#'!$A:$AL,22,FALSE)+7,1)</f>
        <v>L</v>
      </c>
      <c r="Y346" s="102" t="str">
        <f>MID(VLOOKUP($A346,Seqs!$A:$B,2,FALSE),VLOOKUP($A346,'NonXtal_SegEnds_Prot#'!$A:$AL,22,FALSE)+8,1)</f>
        <v>I</v>
      </c>
      <c r="Z346" s="102" t="str">
        <f>MID(VLOOKUP($A346,Seqs!$A:$B,2,FALSE),VLOOKUP($A346,'NonXtal_SegEnds_Prot#'!$A:$AL,22,FALSE)+9,1)</f>
        <v>C</v>
      </c>
      <c r="AA346" s="102" t="str">
        <f>MID(VLOOKUP($A346,Seqs!$A:$B,2,FALSE),VLOOKUP($A346,'NonXtal_SegEnds_Prot#'!$A:$AL,22,FALSE)+10,1)</f>
        <v>W</v>
      </c>
      <c r="AB346" s="71" t="str">
        <f>MID(VLOOKUP($A346,Seqs!$A:$B,2,FALSE),VLOOKUP($A346,'NonXtal_SegEnds_Prot#'!$A:$AL,28,FALSE)-4,1)</f>
        <v>Y</v>
      </c>
      <c r="AC346" s="102" t="str">
        <f>MID(VLOOKUP($A346,Seqs!$A:$B,2,FALSE),VLOOKUP($A346,'NonXtal_SegEnds_Prot#'!$A:$AL,28,FALSE),1)</f>
        <v>L</v>
      </c>
    </row>
    <row r="347" spans="1:29" s="2" customFormat="1" x14ac:dyDescent="0.2">
      <c r="A347" s="2" t="s">
        <v>302</v>
      </c>
      <c r="B347" s="2" t="str">
        <f>LOWER(VLOOKUP(A347,Xtal_Templ!A:B,2,FALSE))</f>
        <v>grm1_human</v>
      </c>
      <c r="C347" s="2" t="str">
        <f>VLOOKUP(A347,Classification!A:D,2,FALSE)</f>
        <v>C</v>
      </c>
      <c r="Q347" s="2" t="s">
        <v>1556</v>
      </c>
      <c r="R347" s="71" t="str">
        <f>MID(VLOOKUP($A347,Seqs!$A:$B,2,FALSE),VLOOKUP($A347,'NonXtal_SegEnds_Prot#'!A:AL,10,FALSE),1)</f>
        <v>S</v>
      </c>
      <c r="S347" s="102" t="str">
        <f>MID(VLOOKUP($A347,Seqs!$A:$B,2,FALSE),VLOOKUP($A347,'NonXtal_SegEnds_Prot#'!A:AL,10,FALSE)+6,1)</f>
        <v>S</v>
      </c>
      <c r="T347" s="102" t="str">
        <f>MID(VLOOKUP($A347,Seqs!$A:$B,2,FALSE),VLOOKUP($A347,'NonXtal_SegEnds_Prot#'!A:AL,10,FALSE)+7,1)</f>
        <v>A</v>
      </c>
      <c r="U347" s="102" t="str">
        <f>MID(VLOOKUP($A347,Seqs!$A:$B,2,FALSE),VLOOKUP($A347,'NonXtal_SegEnds_Prot#'!A:AL,10,FALSE)+8,1)</f>
        <v>Y</v>
      </c>
      <c r="V347" s="102" t="str">
        <f>MID(VLOOKUP($A347,Seqs!$A:$B,2,FALSE),VLOOKUP($A347,'NonXtal_SegEnds_Prot#'!A:AL,10,FALSE)+9,1)</f>
        <v>L</v>
      </c>
      <c r="W347" s="71" t="str">
        <f>MID(VLOOKUP($A347,Seqs!$A:$B,2,FALSE),VLOOKUP($A347,'NonXtal_SegEnds_Prot#'!$A:$AL,22,FALSE)+6,1)</f>
        <v>L</v>
      </c>
      <c r="X347" s="102" t="str">
        <f>MID(VLOOKUP($A347,Seqs!$A:$B,2,FALSE),VLOOKUP($A347,'NonXtal_SegEnds_Prot#'!$A:$AL,22,FALSE)+7,1)</f>
        <v>L</v>
      </c>
      <c r="Y347" s="102" t="str">
        <f>MID(VLOOKUP($A347,Seqs!$A:$B,2,FALSE),VLOOKUP($A347,'NonXtal_SegEnds_Prot#'!$A:$AL,22,FALSE)+8,1)</f>
        <v>M</v>
      </c>
      <c r="Z347" s="102" t="str">
        <f>MID(VLOOKUP($A347,Seqs!$A:$B,2,FALSE),VLOOKUP($A347,'NonXtal_SegEnds_Prot#'!$A:$AL,22,FALSE)+9,1)</f>
        <v>T</v>
      </c>
      <c r="AA347" s="102" t="str">
        <f>MID(VLOOKUP($A347,Seqs!$A:$B,2,FALSE),VLOOKUP($A347,'NonXtal_SegEnds_Prot#'!$A:$AL,22,FALSE)+10,1)</f>
        <v>W</v>
      </c>
      <c r="AB347" s="71" t="str">
        <f>MID(VLOOKUP($A347,Seqs!$A:$B,2,FALSE),VLOOKUP($A347,'NonXtal_SegEnds_Prot#'!$A:$AL,28,FALSE)-4,1)</f>
        <v>C</v>
      </c>
      <c r="AC347" s="102" t="str">
        <f>MID(VLOOKUP($A347,Seqs!$A:$B,2,FALSE),VLOOKUP($A347,'NonXtal_SegEnds_Prot#'!$A:$AL,28,FALSE),1)</f>
        <v>L</v>
      </c>
    </row>
    <row r="348" spans="1:29" s="2" customFormat="1" x14ac:dyDescent="0.2">
      <c r="A348" s="2" t="s">
        <v>303</v>
      </c>
      <c r="B348" s="2" t="str">
        <f>LOWER(VLOOKUP(A348,Xtal_Templ!A:B,2,FALSE))</f>
        <v>grm1_human</v>
      </c>
      <c r="C348" s="2" t="str">
        <f>VLOOKUP(A348,Classification!A:D,2,FALSE)</f>
        <v>C</v>
      </c>
      <c r="Q348" s="2" t="s">
        <v>1556</v>
      </c>
      <c r="R348" s="71" t="str">
        <f>MID(VLOOKUP($A348,Seqs!$A:$B,2,FALSE),VLOOKUP($A348,'NonXtal_SegEnds_Prot#'!A:AL,10,FALSE),1)</f>
        <v>S</v>
      </c>
      <c r="S348" s="102" t="str">
        <f>MID(VLOOKUP($A348,Seqs!$A:$B,2,FALSE),VLOOKUP($A348,'NonXtal_SegEnds_Prot#'!A:AL,10,FALSE)+6,1)</f>
        <v>P</v>
      </c>
      <c r="T348" s="102" t="str">
        <f>MID(VLOOKUP($A348,Seqs!$A:$B,2,FALSE),VLOOKUP($A348,'NonXtal_SegEnds_Prot#'!A:AL,10,FALSE)+7,1)</f>
        <v>V</v>
      </c>
      <c r="U348" s="102" t="str">
        <f>MID(VLOOKUP($A348,Seqs!$A:$B,2,FALSE),VLOOKUP($A348,'NonXtal_SegEnds_Prot#'!A:AL,10,FALSE)+8,1)</f>
        <v>V</v>
      </c>
      <c r="V348" s="102" t="str">
        <f>MID(VLOOKUP($A348,Seqs!$A:$B,2,FALSE),VLOOKUP($A348,'NonXtal_SegEnds_Prot#'!A:AL,10,FALSE)+9,1)</f>
        <v>I</v>
      </c>
      <c r="W348" s="71" t="str">
        <f>MID(VLOOKUP($A348,Seqs!$A:$B,2,FALSE),VLOOKUP($A348,'NonXtal_SegEnds_Prot#'!$A:$AL,22,FALSE)+6,1)</f>
        <v>L</v>
      </c>
      <c r="X348" s="102" t="str">
        <f>MID(VLOOKUP($A348,Seqs!$A:$B,2,FALSE),VLOOKUP($A348,'NonXtal_SegEnds_Prot#'!$A:$AL,22,FALSE)+7,1)</f>
        <v>A</v>
      </c>
      <c r="Y348" s="102" t="str">
        <f>MID(VLOOKUP($A348,Seqs!$A:$B,2,FALSE),VLOOKUP($A348,'NonXtal_SegEnds_Prot#'!$A:$AL,22,FALSE)+8,1)</f>
        <v>V</v>
      </c>
      <c r="Z348" s="102" t="str">
        <f>MID(VLOOKUP($A348,Seqs!$A:$B,2,FALSE),VLOOKUP($A348,'NonXtal_SegEnds_Prot#'!$A:$AL,22,FALSE)+9,1)</f>
        <v>I</v>
      </c>
      <c r="AA348" s="102" t="str">
        <f>MID(VLOOKUP($A348,Seqs!$A:$B,2,FALSE),VLOOKUP($A348,'NonXtal_SegEnds_Prot#'!$A:$AL,22,FALSE)+10,1)</f>
        <v>L</v>
      </c>
      <c r="AB348" s="71" t="str">
        <f>MID(VLOOKUP($A348,Seqs!$A:$B,2,FALSE),VLOOKUP($A348,'NonXtal_SegEnds_Prot#'!$A:$AL,28,FALSE)-4,1)</f>
        <v>A</v>
      </c>
      <c r="AC348" s="102" t="str">
        <f>MID(VLOOKUP($A348,Seqs!$A:$B,2,FALSE),VLOOKUP($A348,'NonXtal_SegEnds_Prot#'!$A:$AL,28,FALSE),1)</f>
        <v>F</v>
      </c>
    </row>
    <row r="349" spans="1:29" s="2" customFormat="1" x14ac:dyDescent="0.2">
      <c r="A349" s="2" t="s">
        <v>304</v>
      </c>
      <c r="B349" s="2" t="str">
        <f>LOWER(VLOOKUP(A349,Xtal_Templ!A:B,2,FALSE))</f>
        <v>grm1_human</v>
      </c>
      <c r="C349" s="2" t="str">
        <f>VLOOKUP(A349,Classification!A:D,2,FALSE)</f>
        <v>C</v>
      </c>
      <c r="Q349" s="2" t="s">
        <v>1556</v>
      </c>
      <c r="R349" s="71" t="str">
        <f>MID(VLOOKUP($A349,Seqs!$A:$B,2,FALSE),VLOOKUP($A349,'NonXtal_SegEnds_Prot#'!A:AL,10,FALSE),1)</f>
        <v>F</v>
      </c>
      <c r="S349" s="102" t="str">
        <f>MID(VLOOKUP($A349,Seqs!$A:$B,2,FALSE),VLOOKUP($A349,'NonXtal_SegEnds_Prot#'!A:AL,10,FALSE)+6,1)</f>
        <v>P</v>
      </c>
      <c r="T349" s="102" t="str">
        <f>MID(VLOOKUP($A349,Seqs!$A:$B,2,FALSE),VLOOKUP($A349,'NonXtal_SegEnds_Prot#'!A:AL,10,FALSE)+7,1)</f>
        <v>V</v>
      </c>
      <c r="U349" s="102" t="str">
        <f>MID(VLOOKUP($A349,Seqs!$A:$B,2,FALSE),VLOOKUP($A349,'NonXtal_SegEnds_Prot#'!A:AL,10,FALSE)+8,1)</f>
        <v>F</v>
      </c>
      <c r="V349" s="102" t="str">
        <f>MID(VLOOKUP($A349,Seqs!$A:$B,2,FALSE),VLOOKUP($A349,'NonXtal_SegEnds_Prot#'!A:AL,10,FALSE)+9,1)</f>
        <v>I</v>
      </c>
      <c r="W349" s="71" t="str">
        <f>MID(VLOOKUP($A349,Seqs!$A:$B,2,FALSE),VLOOKUP($A349,'NonXtal_SegEnds_Prot#'!$A:$AL,22,FALSE)+6,1)</f>
        <v>L</v>
      </c>
      <c r="X349" s="102" t="str">
        <f>MID(VLOOKUP($A349,Seqs!$A:$B,2,FALSE),VLOOKUP($A349,'NonXtal_SegEnds_Prot#'!$A:$AL,22,FALSE)+7,1)</f>
        <v>G</v>
      </c>
      <c r="Y349" s="102" t="str">
        <f>MID(VLOOKUP($A349,Seqs!$A:$B,2,FALSE),VLOOKUP($A349,'NonXtal_SegEnds_Prot#'!$A:$AL,22,FALSE)+8,1)</f>
        <v>L</v>
      </c>
      <c r="Z349" s="102" t="str">
        <f>MID(VLOOKUP($A349,Seqs!$A:$B,2,FALSE),VLOOKUP($A349,'NonXtal_SegEnds_Prot#'!$A:$AL,22,FALSE)+9,1)</f>
        <v>L</v>
      </c>
      <c r="AA349" s="102" t="str">
        <f>MID(VLOOKUP($A349,Seqs!$A:$B,2,FALSE),VLOOKUP($A349,'NonXtal_SegEnds_Prot#'!$A:$AL,22,FALSE)+10,1)</f>
        <v>L</v>
      </c>
      <c r="AB349" s="71" t="str">
        <f>MID(VLOOKUP($A349,Seqs!$A:$B,2,FALSE),VLOOKUP($A349,'NonXtal_SegEnds_Prot#'!$A:$AL,28,FALSE)-4,1)</f>
        <v>A</v>
      </c>
      <c r="AC349" s="102" t="str">
        <f>MID(VLOOKUP($A349,Seqs!$A:$B,2,FALSE),VLOOKUP($A349,'NonXtal_SegEnds_Prot#'!$A:$AL,28,FALSE),1)</f>
        <v>L</v>
      </c>
    </row>
    <row r="350" spans="1:29" s="2" customFormat="1" x14ac:dyDescent="0.2">
      <c r="A350" s="2" t="s">
        <v>305</v>
      </c>
      <c r="B350" s="2" t="str">
        <f>LOWER(VLOOKUP(A350,Xtal_Templ!A:B,2,FALSE))</f>
        <v>grm1_human</v>
      </c>
      <c r="C350" s="2" t="str">
        <f>VLOOKUP(A350,Classification!A:D,2,FALSE)</f>
        <v>C</v>
      </c>
      <c r="Q350" s="2" t="s">
        <v>1556</v>
      </c>
      <c r="R350" s="71" t="str">
        <f>MID(VLOOKUP($A350,Seqs!$A:$B,2,FALSE),VLOOKUP($A350,'NonXtal_SegEnds_Prot#'!A:AL,10,FALSE),1)</f>
        <v>T</v>
      </c>
      <c r="S350" s="102" t="str">
        <f>MID(VLOOKUP($A350,Seqs!$A:$B,2,FALSE),VLOOKUP($A350,'NonXtal_SegEnds_Prot#'!A:AL,10,FALSE)+6,1)</f>
        <v>L</v>
      </c>
      <c r="T350" s="102" t="str">
        <f>MID(VLOOKUP($A350,Seqs!$A:$B,2,FALSE),VLOOKUP($A350,'NonXtal_SegEnds_Prot#'!A:AL,10,FALSE)+7,1)</f>
        <v>T</v>
      </c>
      <c r="U350" s="102" t="str">
        <f>MID(VLOOKUP($A350,Seqs!$A:$B,2,FALSE),VLOOKUP($A350,'NonXtal_SegEnds_Prot#'!A:AL,10,FALSE)+8,1)</f>
        <v>F</v>
      </c>
      <c r="V350" s="102" t="str">
        <f>MID(VLOOKUP($A350,Seqs!$A:$B,2,FALSE),VLOOKUP($A350,'NonXtal_SegEnds_Prot#'!A:AL,10,FALSE)+9,1)</f>
        <v>A</v>
      </c>
      <c r="W350" s="71" t="str">
        <f>MID(VLOOKUP($A350,Seqs!$A:$B,2,FALSE),VLOOKUP($A350,'NonXtal_SegEnds_Prot#'!$A:$AL,22,FALSE)+6,1)</f>
        <v>I</v>
      </c>
      <c r="X350" s="102" t="str">
        <f>MID(VLOOKUP($A350,Seqs!$A:$B,2,FALSE),VLOOKUP($A350,'NonXtal_SegEnds_Prot#'!$A:$AL,22,FALSE)+7,1)</f>
        <v>A</v>
      </c>
      <c r="Y350" s="102" t="str">
        <f>MID(VLOOKUP($A350,Seqs!$A:$B,2,FALSE),VLOOKUP($A350,'NonXtal_SegEnds_Prot#'!$A:$AL,22,FALSE)+8,1)</f>
        <v>V</v>
      </c>
      <c r="Z350" s="102" t="str">
        <f>MID(VLOOKUP($A350,Seqs!$A:$B,2,FALSE),VLOOKUP($A350,'NonXtal_SegEnds_Prot#'!$A:$AL,22,FALSE)+9,1)</f>
        <v>E</v>
      </c>
      <c r="AA350" s="102" t="str">
        <f>MID(VLOOKUP($A350,Seqs!$A:$B,2,FALSE),VLOOKUP($A350,'NonXtal_SegEnds_Prot#'!$A:$AL,22,FALSE)+10,1)</f>
        <v>W</v>
      </c>
      <c r="AB350" s="71" t="str">
        <f>MID(VLOOKUP($A350,Seqs!$A:$B,2,FALSE),VLOOKUP($A350,'NonXtal_SegEnds_Prot#'!$A:$AL,28,FALSE)-4,1)</f>
        <v>Y</v>
      </c>
      <c r="AC350" s="102" t="str">
        <f>MID(VLOOKUP($A350,Seqs!$A:$B,2,FALSE),VLOOKUP($A350,'NonXtal_SegEnds_Prot#'!$A:$AL,28,FALSE),1)</f>
        <v>L</v>
      </c>
    </row>
    <row r="351" spans="1:29" s="2" customFormat="1" x14ac:dyDescent="0.2">
      <c r="A351" s="2" t="s">
        <v>306</v>
      </c>
      <c r="B351" s="2" t="str">
        <f>LOWER(VLOOKUP(A351,Xtal_Templ!A:B,2,FALSE))</f>
        <v>grm1_human</v>
      </c>
      <c r="C351" s="2" t="str">
        <f>VLOOKUP(A351,Classification!A:D,2,FALSE)</f>
        <v>C</v>
      </c>
      <c r="Q351" s="2" t="s">
        <v>1556</v>
      </c>
      <c r="R351" s="71" t="str">
        <f>MID(VLOOKUP($A351,Seqs!$A:$B,2,FALSE),VLOOKUP($A351,'NonXtal_SegEnds_Prot#'!A:AL,10,FALSE),1)</f>
        <v>T</v>
      </c>
      <c r="S351" s="102" t="str">
        <f>MID(VLOOKUP($A351,Seqs!$A:$B,2,FALSE),VLOOKUP($A351,'NonXtal_SegEnds_Prot#'!A:AL,10,FALSE)+6,1)</f>
        <v>L</v>
      </c>
      <c r="T351" s="102" t="str">
        <f>MID(VLOOKUP($A351,Seqs!$A:$B,2,FALSE),VLOOKUP($A351,'NonXtal_SegEnds_Prot#'!A:AL,10,FALSE)+7,1)</f>
        <v>V</v>
      </c>
      <c r="U351" s="102" t="str">
        <f>MID(VLOOKUP($A351,Seqs!$A:$B,2,FALSE),VLOOKUP($A351,'NonXtal_SegEnds_Prot#'!A:AL,10,FALSE)+8,1)</f>
        <v>F</v>
      </c>
      <c r="V351" s="102" t="str">
        <f>MID(VLOOKUP($A351,Seqs!$A:$B,2,FALSE),VLOOKUP($A351,'NonXtal_SegEnds_Prot#'!A:AL,10,FALSE)+9,1)</f>
        <v>A</v>
      </c>
      <c r="W351" s="71" t="str">
        <f>MID(VLOOKUP($A351,Seqs!$A:$B,2,FALSE),VLOOKUP($A351,'NonXtal_SegEnds_Prot#'!$A:$AL,22,FALSE)+6,1)</f>
        <v>I</v>
      </c>
      <c r="X351" s="102" t="str">
        <f>MID(VLOOKUP($A351,Seqs!$A:$B,2,FALSE),VLOOKUP($A351,'NonXtal_SegEnds_Prot#'!$A:$AL,22,FALSE)+7,1)</f>
        <v>N</v>
      </c>
      <c r="Y351" s="102" t="str">
        <f>MID(VLOOKUP($A351,Seqs!$A:$B,2,FALSE),VLOOKUP($A351,'NonXtal_SegEnds_Prot#'!$A:$AL,22,FALSE)+8,1)</f>
        <v>T</v>
      </c>
      <c r="Z351" s="102" t="str">
        <f>MID(VLOOKUP($A351,Seqs!$A:$B,2,FALSE),VLOOKUP($A351,'NonXtal_SegEnds_Prot#'!$A:$AL,22,FALSE)+9,1)</f>
        <v>E</v>
      </c>
      <c r="AA351" s="102" t="str">
        <f>MID(VLOOKUP($A351,Seqs!$A:$B,2,FALSE),VLOOKUP($A351,'NonXtal_SegEnds_Prot#'!$A:$AL,22,FALSE)+10,1)</f>
        <v>W</v>
      </c>
      <c r="AB351" s="71" t="str">
        <f>MID(VLOOKUP($A351,Seqs!$A:$B,2,FALSE),VLOOKUP($A351,'NonXtal_SegEnds_Prot#'!$A:$AL,28,FALSE)-4,1)</f>
        <v>Y</v>
      </c>
      <c r="AC351" s="102" t="str">
        <f>MID(VLOOKUP($A351,Seqs!$A:$B,2,FALSE),VLOOKUP($A351,'NonXtal_SegEnds_Prot#'!$A:$AL,28,FALSE),1)</f>
        <v>L</v>
      </c>
    </row>
    <row r="352" spans="1:29" s="2" customFormat="1" x14ac:dyDescent="0.2">
      <c r="A352" s="2" t="s">
        <v>307</v>
      </c>
      <c r="B352" s="2" t="str">
        <f>LOWER(VLOOKUP(A352,Xtal_Templ!A:B,2,FALSE))</f>
        <v>grm1_human</v>
      </c>
      <c r="C352" s="2" t="str">
        <f>VLOOKUP(A352,Classification!A:D,2,FALSE)</f>
        <v>C</v>
      </c>
      <c r="Q352" s="2" t="s">
        <v>1556</v>
      </c>
      <c r="R352" s="71" t="str">
        <f>MID(VLOOKUP($A352,Seqs!$A:$B,2,FALSE),VLOOKUP($A352,'NonXtal_SegEnds_Prot#'!A:AL,10,FALSE),1)</f>
        <v>V</v>
      </c>
      <c r="S352" s="102" t="str">
        <f>MID(VLOOKUP($A352,Seqs!$A:$B,2,FALSE),VLOOKUP($A352,'NonXtal_SegEnds_Prot#'!A:AL,10,FALSE)+6,1)</f>
        <v>L</v>
      </c>
      <c r="T352" s="102" t="str">
        <f>MID(VLOOKUP($A352,Seqs!$A:$B,2,FALSE),VLOOKUP($A352,'NonXtal_SegEnds_Prot#'!A:AL,10,FALSE)+7,1)</f>
        <v>A</v>
      </c>
      <c r="U352" s="102" t="str">
        <f>MID(VLOOKUP($A352,Seqs!$A:$B,2,FALSE),VLOOKUP($A352,'NonXtal_SegEnds_Prot#'!A:AL,10,FALSE)+8,1)</f>
        <v>F</v>
      </c>
      <c r="V352" s="102" t="str">
        <f>MID(VLOOKUP($A352,Seqs!$A:$B,2,FALSE),VLOOKUP($A352,'NonXtal_SegEnds_Prot#'!A:AL,10,FALSE)+9,1)</f>
        <v>A</v>
      </c>
      <c r="W352" s="71" t="str">
        <f>MID(VLOOKUP($A352,Seqs!$A:$B,2,FALSE),VLOOKUP($A352,'NonXtal_SegEnds_Prot#'!$A:$AL,22,FALSE)+6,1)</f>
        <v>I</v>
      </c>
      <c r="X352" s="102" t="str">
        <f>MID(VLOOKUP($A352,Seqs!$A:$B,2,FALSE),VLOOKUP($A352,'NonXtal_SegEnds_Prot#'!$A:$AL,22,FALSE)+7,1)</f>
        <v>A</v>
      </c>
      <c r="Y352" s="102" t="str">
        <f>MID(VLOOKUP($A352,Seqs!$A:$B,2,FALSE),VLOOKUP($A352,'NonXtal_SegEnds_Prot#'!$A:$AL,22,FALSE)+8,1)</f>
        <v>T</v>
      </c>
      <c r="Z352" s="102" t="str">
        <f>MID(VLOOKUP($A352,Seqs!$A:$B,2,FALSE),VLOOKUP($A352,'NonXtal_SegEnds_Prot#'!$A:$AL,22,FALSE)+9,1)</f>
        <v>E</v>
      </c>
      <c r="AA352" s="102" t="str">
        <f>MID(VLOOKUP($A352,Seqs!$A:$B,2,FALSE),VLOOKUP($A352,'NonXtal_SegEnds_Prot#'!$A:$AL,22,FALSE)+10,1)</f>
        <v>Y</v>
      </c>
      <c r="AB352" s="71" t="str">
        <f>MID(VLOOKUP($A352,Seqs!$A:$B,2,FALSE),VLOOKUP($A352,'NonXtal_SegEnds_Prot#'!$A:$AL,28,FALSE)-4,1)</f>
        <v>Y</v>
      </c>
      <c r="AC352" s="102" t="str">
        <f>MID(VLOOKUP($A352,Seqs!$A:$B,2,FALSE),VLOOKUP($A352,'NonXtal_SegEnds_Prot#'!$A:$AL,28,FALSE),1)</f>
        <v>L</v>
      </c>
    </row>
    <row r="353" spans="1:29" s="2" customFormat="1" x14ac:dyDescent="0.2">
      <c r="A353" s="2" t="s">
        <v>308</v>
      </c>
      <c r="B353" s="2" t="str">
        <f>LOWER(VLOOKUP(A353,Xtal_Templ!A:B,2,FALSE))</f>
        <v>grm1_human</v>
      </c>
      <c r="C353" s="2" t="str">
        <f>VLOOKUP(A353,Classification!A:D,2,FALSE)</f>
        <v>C</v>
      </c>
      <c r="Q353" s="2" t="s">
        <v>1556</v>
      </c>
      <c r="R353" s="71" t="str">
        <f>MID(VLOOKUP($A353,Seqs!$A:$B,2,FALSE),VLOOKUP($A353,'NonXtal_SegEnds_Prot#'!A:AL,10,FALSE),1)</f>
        <v>H</v>
      </c>
      <c r="S353" s="102" t="str">
        <f>MID(VLOOKUP($A353,Seqs!$A:$B,2,FALSE),VLOOKUP($A353,'NonXtal_SegEnds_Prot#'!A:AL,10,FALSE)+6,1)</f>
        <v>S</v>
      </c>
      <c r="T353" s="102" t="str">
        <f>MID(VLOOKUP($A353,Seqs!$A:$B,2,FALSE),VLOOKUP($A353,'NonXtal_SegEnds_Prot#'!A:AL,10,FALSE)+7,1)</f>
        <v>T</v>
      </c>
      <c r="U353" s="102" t="str">
        <f>MID(VLOOKUP($A353,Seqs!$A:$B,2,FALSE),VLOOKUP($A353,'NonXtal_SegEnds_Prot#'!A:AL,10,FALSE)+8,1)</f>
        <v>S</v>
      </c>
      <c r="V353" s="102" t="str">
        <f>MID(VLOOKUP($A353,Seqs!$A:$B,2,FALSE),VLOOKUP($A353,'NonXtal_SegEnds_Prot#'!A:AL,10,FALSE)+9,1)</f>
        <v>F</v>
      </c>
      <c r="W353" s="71" t="str">
        <f>MID(VLOOKUP($A353,Seqs!$A:$B,2,FALSE),VLOOKUP($A353,'NonXtal_SegEnds_Prot#'!$A:$AL,22,FALSE)+6,1)</f>
        <v>I</v>
      </c>
      <c r="X353" s="102" t="str">
        <f>MID(VLOOKUP($A353,Seqs!$A:$B,2,FALSE),VLOOKUP($A353,'NonXtal_SegEnds_Prot#'!$A:$AL,22,FALSE)+7,1)</f>
        <v>C</v>
      </c>
      <c r="Y353" s="102" t="str">
        <f>MID(VLOOKUP($A353,Seqs!$A:$B,2,FALSE),VLOOKUP($A353,'NonXtal_SegEnds_Prot#'!$A:$AL,22,FALSE)+8,1)</f>
        <v>T</v>
      </c>
      <c r="Z353" s="102" t="str">
        <f>MID(VLOOKUP($A353,Seqs!$A:$B,2,FALSE),VLOOKUP($A353,'NonXtal_SegEnds_Prot#'!$A:$AL,22,FALSE)+9,1)</f>
        <v>L</v>
      </c>
      <c r="AA353" s="102" t="str">
        <f>MID(VLOOKUP($A353,Seqs!$A:$B,2,FALSE),VLOOKUP($A353,'NonXtal_SegEnds_Prot#'!$A:$AL,22,FALSE)+10,1)</f>
        <v>W</v>
      </c>
      <c r="AB353" s="71" t="str">
        <f>MID(VLOOKUP($A353,Seqs!$A:$B,2,FALSE),VLOOKUP($A353,'NonXtal_SegEnds_Prot#'!$A:$AL,28,FALSE)-4,1)</f>
        <v>Y</v>
      </c>
      <c r="AC353" s="102" t="str">
        <f>MID(VLOOKUP($A353,Seqs!$A:$B,2,FALSE),VLOOKUP($A353,'NonXtal_SegEnds_Prot#'!$A:$AL,28,FALSE),1)</f>
        <v>L</v>
      </c>
    </row>
    <row r="354" spans="1:29" s="2" customFormat="1" x14ac:dyDescent="0.2">
      <c r="A354" s="2" t="s">
        <v>223</v>
      </c>
      <c r="B354" s="2" t="str">
        <f>LOWER(VLOOKUP(A354,Xtal_Templ!A:B,2,FALSE))</f>
        <v>grm1_human</v>
      </c>
      <c r="C354" s="2" t="str">
        <f>VLOOKUP(A354,Classification!A:D,2,FALSE)</f>
        <v>C</v>
      </c>
      <c r="Q354" s="2" t="s">
        <v>1556</v>
      </c>
      <c r="R354" s="71" t="str">
        <f>MID(VLOOKUP($A354,Seqs!$A:$B,2,FALSE),VLOOKUP($A354,'NonXtal_SegEnds_Prot#'!A:AL,10,FALSE),1)</f>
        <v>I</v>
      </c>
      <c r="S354" s="102" t="str">
        <f>MID(VLOOKUP($A354,Seqs!$A:$B,2,FALSE),VLOOKUP($A354,'NonXtal_SegEnds_Prot#'!A:AL,10,FALSE)+6,1)</f>
        <v>C</v>
      </c>
      <c r="T354" s="102" t="str">
        <f>MID(VLOOKUP($A354,Seqs!$A:$B,2,FALSE),VLOOKUP($A354,'NonXtal_SegEnds_Prot#'!A:AL,10,FALSE)+7,1)</f>
        <v>P</v>
      </c>
      <c r="U354" s="102" t="str">
        <f>MID(VLOOKUP($A354,Seqs!$A:$B,2,FALSE),VLOOKUP($A354,'NonXtal_SegEnds_Prot#'!A:AL,10,FALSE)+8,1)</f>
        <v>F</v>
      </c>
      <c r="V354" s="102" t="str">
        <f>MID(VLOOKUP($A354,Seqs!$A:$B,2,FALSE),VLOOKUP($A354,'NonXtal_SegEnds_Prot#'!A:AL,10,FALSE)+9,1)</f>
        <v>T</v>
      </c>
      <c r="W354" s="71" t="str">
        <f>MID(VLOOKUP($A354,Seqs!$A:$B,2,FALSE),VLOOKUP($A354,'NonXtal_SegEnds_Prot#'!$A:$AL,22,FALSE)+6,1)</f>
        <v>L</v>
      </c>
      <c r="X354" s="102" t="str">
        <f>MID(VLOOKUP($A354,Seqs!$A:$B,2,FALSE),VLOOKUP($A354,'NonXtal_SegEnds_Prot#'!$A:$AL,22,FALSE)+7,1)</f>
        <v>V</v>
      </c>
      <c r="Y354" s="102" t="str">
        <f>MID(VLOOKUP($A354,Seqs!$A:$B,2,FALSE),VLOOKUP($A354,'NonXtal_SegEnds_Prot#'!$A:$AL,22,FALSE)+8,1)</f>
        <v>V</v>
      </c>
      <c r="Z354" s="102" t="str">
        <f>MID(VLOOKUP($A354,Seqs!$A:$B,2,FALSE),VLOOKUP($A354,'NonXtal_SegEnds_Prot#'!$A:$AL,22,FALSE)+9,1)</f>
        <v>T</v>
      </c>
      <c r="AA354" s="102" t="str">
        <f>MID(VLOOKUP($A354,Seqs!$A:$B,2,FALSE),VLOOKUP($A354,'NonXtal_SegEnds_Prot#'!$A:$AL,22,FALSE)+10,1)</f>
        <v>L</v>
      </c>
      <c r="AB354" s="71" t="str">
        <f>MID(VLOOKUP($A354,Seqs!$A:$B,2,FALSE),VLOOKUP($A354,'NonXtal_SegEnds_Prot#'!$A:$AL,28,FALSE)-4,1)</f>
        <v>Y</v>
      </c>
      <c r="AC354" s="102" t="str">
        <f>MID(VLOOKUP($A354,Seqs!$A:$B,2,FALSE),VLOOKUP($A354,'NonXtal_SegEnds_Prot#'!$A:$AL,28,FALSE),1)</f>
        <v>L</v>
      </c>
    </row>
    <row r="355" spans="1:29" s="2" customFormat="1" x14ac:dyDescent="0.2">
      <c r="A355" s="2" t="s">
        <v>309</v>
      </c>
      <c r="B355" s="2" t="str">
        <f>LOWER(VLOOKUP(A355,Xtal_Templ!A:B,2,FALSE))</f>
        <v>grm5_human</v>
      </c>
      <c r="C355" s="2" t="str">
        <f>VLOOKUP(A355,Classification!A:D,2,FALSE)</f>
        <v>C</v>
      </c>
      <c r="Q355" s="2" t="s">
        <v>1556</v>
      </c>
      <c r="R355" s="71" t="str">
        <f>MID(VLOOKUP($A355,Seqs!$A:$B,2,FALSE),VLOOKUP($A355,'NonXtal_SegEnds_Prot#'!A:AL,10,FALSE),1)</f>
        <v>V</v>
      </c>
      <c r="S355" s="102" t="str">
        <f>MID(VLOOKUP($A355,Seqs!$A:$B,2,FALSE),VLOOKUP($A355,'NonXtal_SegEnds_Prot#'!A:AL,10,FALSE)+6,1)</f>
        <v>M</v>
      </c>
      <c r="T355" s="102" t="str">
        <f>MID(VLOOKUP($A355,Seqs!$A:$B,2,FALSE),VLOOKUP($A355,'NonXtal_SegEnds_Prot#'!A:AL,10,FALSE)+7,1)</f>
        <v>T</v>
      </c>
      <c r="U355" s="102" t="str">
        <f>MID(VLOOKUP($A355,Seqs!$A:$B,2,FALSE),VLOOKUP($A355,'NonXtal_SegEnds_Prot#'!A:AL,10,FALSE)+8,1)</f>
        <v>F</v>
      </c>
      <c r="V355" s="102" t="str">
        <f>MID(VLOOKUP($A355,Seqs!$A:$B,2,FALSE),VLOOKUP($A355,'NonXtal_SegEnds_Prot#'!A:AL,10,FALSE)+9,1)</f>
        <v>I</v>
      </c>
      <c r="W355" s="71" t="str">
        <f>MID(VLOOKUP($A355,Seqs!$A:$B,2,FALSE),VLOOKUP($A355,'NonXtal_SegEnds_Prot#'!$A:$AL,22,FALSE)+6,1)</f>
        <v>I</v>
      </c>
      <c r="X355" s="102" t="str">
        <f>MID(VLOOKUP($A355,Seqs!$A:$B,2,FALSE),VLOOKUP($A355,'NonXtal_SegEnds_Prot#'!$A:$AL,22,FALSE)+7,1)</f>
        <v>V</v>
      </c>
      <c r="Y355" s="102" t="str">
        <f>MID(VLOOKUP($A355,Seqs!$A:$B,2,FALSE),VLOOKUP($A355,'NonXtal_SegEnds_Prot#'!$A:$AL,22,FALSE)+8,1)</f>
        <v>V</v>
      </c>
      <c r="Z355" s="102" t="str">
        <f>MID(VLOOKUP($A355,Seqs!$A:$B,2,FALSE),VLOOKUP($A355,'NonXtal_SegEnds_Prot#'!$A:$AL,22,FALSE)+9,1)</f>
        <v>A</v>
      </c>
      <c r="AA355" s="102" t="str">
        <f>MID(VLOOKUP($A355,Seqs!$A:$B,2,FALSE),VLOOKUP($A355,'NonXtal_SegEnds_Prot#'!$A:$AL,22,FALSE)+10,1)</f>
        <v>W</v>
      </c>
      <c r="AB355" s="71" t="str">
        <f>MID(VLOOKUP($A355,Seqs!$A:$B,2,FALSE),VLOOKUP($A355,'NonXtal_SegEnds_Prot#'!$A:$AL,28,FALSE)-4,1)</f>
        <v>Y</v>
      </c>
      <c r="AC355" s="102" t="str">
        <f>MID(VLOOKUP($A355,Seqs!$A:$B,2,FALSE),VLOOKUP($A355,'NonXtal_SegEnds_Prot#'!$A:$AL,28,FALSE),1)</f>
        <v>L</v>
      </c>
    </row>
    <row r="356" spans="1:29" s="2" customFormat="1" x14ac:dyDescent="0.2">
      <c r="A356" s="2" t="s">
        <v>310</v>
      </c>
      <c r="B356" s="2" t="str">
        <f>LOWER(VLOOKUP(A356,Xtal_Templ!A:B,2,FALSE))</f>
        <v>grm5_human</v>
      </c>
      <c r="C356" s="2" t="str">
        <f>VLOOKUP(A356,Classification!A:D,2,FALSE)</f>
        <v>C</v>
      </c>
      <c r="Q356" s="2" t="s">
        <v>1556</v>
      </c>
      <c r="R356" s="71" t="str">
        <f>MID(VLOOKUP($A356,Seqs!$A:$B,2,FALSE),VLOOKUP($A356,'NonXtal_SegEnds_Prot#'!A:AL,10,FALSE),1)</f>
        <v>V</v>
      </c>
      <c r="S356" s="102" t="str">
        <f>MID(VLOOKUP($A356,Seqs!$A:$B,2,FALSE),VLOOKUP($A356,'NonXtal_SegEnds_Prot#'!A:AL,10,FALSE)+6,1)</f>
        <v>M</v>
      </c>
      <c r="T356" s="102" t="str">
        <f>MID(VLOOKUP($A356,Seqs!$A:$B,2,FALSE),VLOOKUP($A356,'NonXtal_SegEnds_Prot#'!A:AL,10,FALSE)+7,1)</f>
        <v>T</v>
      </c>
      <c r="U356" s="102" t="str">
        <f>MID(VLOOKUP($A356,Seqs!$A:$B,2,FALSE),VLOOKUP($A356,'NonXtal_SegEnds_Prot#'!A:AL,10,FALSE)+8,1)</f>
        <v>F</v>
      </c>
      <c r="V356" s="102" t="str">
        <f>MID(VLOOKUP($A356,Seqs!$A:$B,2,FALSE),VLOOKUP($A356,'NonXtal_SegEnds_Prot#'!A:AL,10,FALSE)+9,1)</f>
        <v>F</v>
      </c>
      <c r="W356" s="71" t="str">
        <f>MID(VLOOKUP($A356,Seqs!$A:$B,2,FALSE),VLOOKUP($A356,'NonXtal_SegEnds_Prot#'!$A:$AL,22,FALSE)+6,1)</f>
        <v>M</v>
      </c>
      <c r="X356" s="102" t="str">
        <f>MID(VLOOKUP($A356,Seqs!$A:$B,2,FALSE),VLOOKUP($A356,'NonXtal_SegEnds_Prot#'!$A:$AL,22,FALSE)+7,1)</f>
        <v>V</v>
      </c>
      <c r="Y356" s="102" t="str">
        <f>MID(VLOOKUP($A356,Seqs!$A:$B,2,FALSE),VLOOKUP($A356,'NonXtal_SegEnds_Prot#'!$A:$AL,22,FALSE)+8,1)</f>
        <v>S</v>
      </c>
      <c r="Z356" s="102" t="str">
        <f>MID(VLOOKUP($A356,Seqs!$A:$B,2,FALSE),VLOOKUP($A356,'NonXtal_SegEnds_Prot#'!$A:$AL,22,FALSE)+9,1)</f>
        <v>V</v>
      </c>
      <c r="AA356" s="102" t="str">
        <f>MID(VLOOKUP($A356,Seqs!$A:$B,2,FALSE),VLOOKUP($A356,'NonXtal_SegEnds_Prot#'!$A:$AL,22,FALSE)+10,1)</f>
        <v>W</v>
      </c>
      <c r="AB356" s="71" t="str">
        <f>MID(VLOOKUP($A356,Seqs!$A:$B,2,FALSE),VLOOKUP($A356,'NonXtal_SegEnds_Prot#'!$A:$AL,28,FALSE)-4,1)</f>
        <v>Y</v>
      </c>
      <c r="AC356" s="102" t="str">
        <f>MID(VLOOKUP($A356,Seqs!$A:$B,2,FALSE),VLOOKUP($A356,'NonXtal_SegEnds_Prot#'!$A:$AL,28,FALSE),1)</f>
        <v>L</v>
      </c>
    </row>
    <row r="357" spans="1:29" s="2" customFormat="1" x14ac:dyDescent="0.2">
      <c r="A357" s="2" t="s">
        <v>311</v>
      </c>
      <c r="B357" s="2" t="str">
        <f>LOWER(VLOOKUP(A357,Xtal_Templ!A:B,2,FALSE))</f>
        <v>grm5_human</v>
      </c>
      <c r="C357" s="2" t="str">
        <f>VLOOKUP(A357,Classification!A:D,2,FALSE)</f>
        <v>C</v>
      </c>
      <c r="Q357" s="2" t="s">
        <v>1556</v>
      </c>
      <c r="R357" s="71" t="str">
        <f>MID(VLOOKUP($A357,Seqs!$A:$B,2,FALSE),VLOOKUP($A357,'NonXtal_SegEnds_Prot#'!A:AL,10,FALSE),1)</f>
        <v>I</v>
      </c>
      <c r="S357" s="102" t="str">
        <f>MID(VLOOKUP($A357,Seqs!$A:$B,2,FALSE),VLOOKUP($A357,'NonXtal_SegEnds_Prot#'!A:AL,10,FALSE)+6,1)</f>
        <v>T</v>
      </c>
      <c r="T357" s="102" t="str">
        <f>MID(VLOOKUP($A357,Seqs!$A:$B,2,FALSE),VLOOKUP($A357,'NonXtal_SegEnds_Prot#'!A:AL,10,FALSE)+7,1)</f>
        <v>T</v>
      </c>
      <c r="U357" s="102" t="str">
        <f>MID(VLOOKUP($A357,Seqs!$A:$B,2,FALSE),VLOOKUP($A357,'NonXtal_SegEnds_Prot#'!A:AL,10,FALSE)+8,1)</f>
        <v>F</v>
      </c>
      <c r="V357" s="102" t="str">
        <f>MID(VLOOKUP($A357,Seqs!$A:$B,2,FALSE),VLOOKUP($A357,'NonXtal_SegEnds_Prot#'!A:AL,10,FALSE)+9,1)</f>
        <v>L</v>
      </c>
      <c r="W357" s="71" t="str">
        <f>MID(VLOOKUP($A357,Seqs!$A:$B,2,FALSE),VLOOKUP($A357,'NonXtal_SegEnds_Prot#'!$A:$AL,22,FALSE)+6,1)</f>
        <v>G</v>
      </c>
      <c r="X357" s="102" t="str">
        <f>MID(VLOOKUP($A357,Seqs!$A:$B,2,FALSE),VLOOKUP($A357,'NonXtal_SegEnds_Prot#'!$A:$AL,22,FALSE)+7,1)</f>
        <v>I</v>
      </c>
      <c r="Y357" s="102" t="str">
        <f>MID(VLOOKUP($A357,Seqs!$A:$B,2,FALSE),VLOOKUP($A357,'NonXtal_SegEnds_Prot#'!$A:$AL,22,FALSE)+8,1)</f>
        <v>C</v>
      </c>
      <c r="Z357" s="102" t="str">
        <f>MID(VLOOKUP($A357,Seqs!$A:$B,2,FALSE),VLOOKUP($A357,'NonXtal_SegEnds_Prot#'!$A:$AL,22,FALSE)+9,1)</f>
        <v>V</v>
      </c>
      <c r="AA357" s="102" t="str">
        <f>MID(VLOOKUP($A357,Seqs!$A:$B,2,FALSE),VLOOKUP($A357,'NonXtal_SegEnds_Prot#'!$A:$AL,22,FALSE)+10,1)</f>
        <v>W</v>
      </c>
      <c r="AB357" s="71" t="str">
        <f>MID(VLOOKUP($A357,Seqs!$A:$B,2,FALSE),VLOOKUP($A357,'NonXtal_SegEnds_Prot#'!$A:$AL,28,FALSE)-4,1)</f>
        <v>Y</v>
      </c>
      <c r="AC357" s="102" t="str">
        <f>MID(VLOOKUP($A357,Seqs!$A:$B,2,FALSE),VLOOKUP($A357,'NonXtal_SegEnds_Prot#'!$A:$AL,28,FALSE),1)</f>
        <v>L</v>
      </c>
    </row>
    <row r="358" spans="1:29" s="2" customFormat="1" x14ac:dyDescent="0.2">
      <c r="A358" s="2" t="s">
        <v>224</v>
      </c>
      <c r="B358" s="2" t="str">
        <f>LOWER(VLOOKUP(A358,Xtal_Templ!A:B,2,FALSE))</f>
        <v>grm5_human</v>
      </c>
      <c r="C358" s="2" t="str">
        <f>VLOOKUP(A358,Classification!A:D,2,FALSE)</f>
        <v>C</v>
      </c>
      <c r="Q358" s="2" t="s">
        <v>1556</v>
      </c>
      <c r="R358" s="71" t="str">
        <f>MID(VLOOKUP($A358,Seqs!$A:$B,2,FALSE),VLOOKUP($A358,'NonXtal_SegEnds_Prot#'!A:AL,10,FALSE),1)</f>
        <v>I</v>
      </c>
      <c r="S358" s="102" t="str">
        <f>MID(VLOOKUP($A358,Seqs!$A:$B,2,FALSE),VLOOKUP($A358,'NonXtal_SegEnds_Prot#'!A:AL,10,FALSE)+6,1)</f>
        <v>C</v>
      </c>
      <c r="T358" s="102" t="str">
        <f>MID(VLOOKUP($A358,Seqs!$A:$B,2,FALSE),VLOOKUP($A358,'NonXtal_SegEnds_Prot#'!A:AL,10,FALSE)+7,1)</f>
        <v>T</v>
      </c>
      <c r="U358" s="102" t="str">
        <f>MID(VLOOKUP($A358,Seqs!$A:$B,2,FALSE),VLOOKUP($A358,'NonXtal_SegEnds_Prot#'!A:AL,10,FALSE)+8,1)</f>
        <v>F</v>
      </c>
      <c r="V358" s="102" t="str">
        <f>MID(VLOOKUP($A358,Seqs!$A:$B,2,FALSE),VLOOKUP($A358,'NonXtal_SegEnds_Prot#'!A:AL,10,FALSE)+9,1)</f>
        <v>C</v>
      </c>
      <c r="W358" s="71" t="str">
        <f>MID(VLOOKUP($A358,Seqs!$A:$B,2,FALSE),VLOOKUP($A358,'NonXtal_SegEnds_Prot#'!$A:$AL,22,FALSE)+6,1)</f>
        <v>I</v>
      </c>
      <c r="X358" s="102" t="str">
        <f>MID(VLOOKUP($A358,Seqs!$A:$B,2,FALSE),VLOOKUP($A358,'NonXtal_SegEnds_Prot#'!$A:$AL,22,FALSE)+7,1)</f>
        <v>I</v>
      </c>
      <c r="Y358" s="102" t="str">
        <f>MID(VLOOKUP($A358,Seqs!$A:$B,2,FALSE),VLOOKUP($A358,'NonXtal_SegEnds_Prot#'!$A:$AL,22,FALSE)+8,1)</f>
        <v>V</v>
      </c>
      <c r="Z358" s="102" t="str">
        <f>MID(VLOOKUP($A358,Seqs!$A:$B,2,FALSE),VLOOKUP($A358,'NonXtal_SegEnds_Prot#'!$A:$AL,22,FALSE)+9,1)</f>
        <v>A</v>
      </c>
      <c r="AA358" s="102" t="str">
        <f>MID(VLOOKUP($A358,Seqs!$A:$B,2,FALSE),VLOOKUP($A358,'NonXtal_SegEnds_Prot#'!$A:$AL,22,FALSE)+10,1)</f>
        <v>L</v>
      </c>
      <c r="AB358" s="71" t="str">
        <f>MID(VLOOKUP($A358,Seqs!$A:$B,2,FALSE),VLOOKUP($A358,'NonXtal_SegEnds_Prot#'!$A:$AL,28,FALSE)-4,1)</f>
        <v>Y</v>
      </c>
      <c r="AC358" s="102" t="str">
        <f>MID(VLOOKUP($A358,Seqs!$A:$B,2,FALSE),VLOOKUP($A358,'NonXtal_SegEnds_Prot#'!$A:$AL,28,FALSE),1)</f>
        <v>L</v>
      </c>
    </row>
    <row r="359" spans="1:29" s="2" customFormat="1" x14ac:dyDescent="0.2">
      <c r="A359" s="2" t="s">
        <v>312</v>
      </c>
      <c r="B359" s="2" t="str">
        <f>LOWER(VLOOKUP(A359,Xtal_Templ!A:B,2,FALSE))</f>
        <v>grm5_human</v>
      </c>
      <c r="C359" s="2" t="str">
        <f>VLOOKUP(A359,Classification!A:D,2,FALSE)</f>
        <v>C</v>
      </c>
      <c r="Q359" s="2" t="s">
        <v>1556</v>
      </c>
      <c r="R359" s="71" t="str">
        <f>MID(VLOOKUP($A359,Seqs!$A:$B,2,FALSE),VLOOKUP($A359,'NonXtal_SegEnds_Prot#'!A:AL,10,FALSE),1)</f>
        <v>I</v>
      </c>
      <c r="S359" s="102" t="str">
        <f>MID(VLOOKUP($A359,Seqs!$A:$B,2,FALSE),VLOOKUP($A359,'NonXtal_SegEnds_Prot#'!A:AL,10,FALSE)+6,1)</f>
        <v>I</v>
      </c>
      <c r="T359" s="102" t="str">
        <f>MID(VLOOKUP($A359,Seqs!$A:$B,2,FALSE),VLOOKUP($A359,'NonXtal_SegEnds_Prot#'!A:AL,10,FALSE)+7,1)</f>
        <v>T</v>
      </c>
      <c r="U359" s="102" t="str">
        <f>MID(VLOOKUP($A359,Seqs!$A:$B,2,FALSE),VLOOKUP($A359,'NonXtal_SegEnds_Prot#'!A:AL,10,FALSE)+8,1)</f>
        <v>F</v>
      </c>
      <c r="V359" s="102" t="str">
        <f>MID(VLOOKUP($A359,Seqs!$A:$B,2,FALSE),VLOOKUP($A359,'NonXtal_SegEnds_Prot#'!A:AL,10,FALSE)+9,1)</f>
        <v>L</v>
      </c>
      <c r="W359" s="71" t="str">
        <f>MID(VLOOKUP($A359,Seqs!$A:$B,2,FALSE),VLOOKUP($A359,'NonXtal_SegEnds_Prot#'!$A:$AL,22,FALSE)+6,1)</f>
        <v>G</v>
      </c>
      <c r="X359" s="102" t="str">
        <f>MID(VLOOKUP($A359,Seqs!$A:$B,2,FALSE),VLOOKUP($A359,'NonXtal_SegEnds_Prot#'!$A:$AL,22,FALSE)+7,1)</f>
        <v>M</v>
      </c>
      <c r="Y359" s="102" t="str">
        <f>MID(VLOOKUP($A359,Seqs!$A:$B,2,FALSE),VLOOKUP($A359,'NonXtal_SegEnds_Prot#'!$A:$AL,22,FALSE)+8,1)</f>
        <v>I</v>
      </c>
      <c r="Z359" s="102" t="str">
        <f>MID(VLOOKUP($A359,Seqs!$A:$B,2,FALSE),VLOOKUP($A359,'NonXtal_SegEnds_Prot#'!$A:$AL,22,FALSE)+9,1)</f>
        <v>A</v>
      </c>
      <c r="AA359" s="102" t="str">
        <f>MID(VLOOKUP($A359,Seqs!$A:$B,2,FALSE),VLOOKUP($A359,'NonXtal_SegEnds_Prot#'!$A:$AL,22,FALSE)+10,1)</f>
        <v>W</v>
      </c>
      <c r="AB359" s="71" t="str">
        <f>MID(VLOOKUP($A359,Seqs!$A:$B,2,FALSE),VLOOKUP($A359,'NonXtal_SegEnds_Prot#'!$A:$AL,28,FALSE)-4,1)</f>
        <v>Y</v>
      </c>
      <c r="AC359" s="102" t="str">
        <f>MID(VLOOKUP($A359,Seqs!$A:$B,2,FALSE),VLOOKUP($A359,'NonXtal_SegEnds_Prot#'!$A:$AL,28,FALSE),1)</f>
        <v>L</v>
      </c>
    </row>
    <row r="360" spans="1:29" s="2" customFormat="1" x14ac:dyDescent="0.2">
      <c r="A360" s="2" t="s">
        <v>313</v>
      </c>
      <c r="B360" s="2" t="str">
        <f>LOWER(VLOOKUP(A360,Xtal_Templ!A:B,2,FALSE))</f>
        <v>grm5_human</v>
      </c>
      <c r="C360" s="2" t="str">
        <f>VLOOKUP(A360,Classification!A:D,2,FALSE)</f>
        <v>C</v>
      </c>
      <c r="Q360" s="2" t="s">
        <v>1556</v>
      </c>
      <c r="R360" s="71" t="str">
        <f>MID(VLOOKUP($A360,Seqs!$A:$B,2,FALSE),VLOOKUP($A360,'NonXtal_SegEnds_Prot#'!A:AL,10,FALSE),1)</f>
        <v>I</v>
      </c>
      <c r="S360" s="102" t="str">
        <f>MID(VLOOKUP($A360,Seqs!$A:$B,2,FALSE),VLOOKUP($A360,'NonXtal_SegEnds_Prot#'!A:AL,10,FALSE)+6,1)</f>
        <v>I</v>
      </c>
      <c r="T360" s="102" t="str">
        <f>MID(VLOOKUP($A360,Seqs!$A:$B,2,FALSE),VLOOKUP($A360,'NonXtal_SegEnds_Prot#'!A:AL,10,FALSE)+7,1)</f>
        <v>T</v>
      </c>
      <c r="U360" s="102" t="str">
        <f>MID(VLOOKUP($A360,Seqs!$A:$B,2,FALSE),VLOOKUP($A360,'NonXtal_SegEnds_Prot#'!A:AL,10,FALSE)+8,1)</f>
        <v>F</v>
      </c>
      <c r="V360" s="102" t="str">
        <f>MID(VLOOKUP($A360,Seqs!$A:$B,2,FALSE),VLOOKUP($A360,'NonXtal_SegEnds_Prot#'!A:AL,10,FALSE)+9,1)</f>
        <v>L</v>
      </c>
      <c r="W360" s="71" t="str">
        <f>MID(VLOOKUP($A360,Seqs!$A:$B,2,FALSE),VLOOKUP($A360,'NonXtal_SegEnds_Prot#'!$A:$AL,22,FALSE)+6,1)</f>
        <v>G</v>
      </c>
      <c r="X360" s="102" t="str">
        <f>MID(VLOOKUP($A360,Seqs!$A:$B,2,FALSE),VLOOKUP($A360,'NonXtal_SegEnds_Prot#'!$A:$AL,22,FALSE)+7,1)</f>
        <v>V</v>
      </c>
      <c r="Y360" s="102" t="str">
        <f>MID(VLOOKUP($A360,Seqs!$A:$B,2,FALSE),VLOOKUP($A360,'NonXtal_SegEnds_Prot#'!$A:$AL,22,FALSE)+8,1)</f>
        <v>F</v>
      </c>
      <c r="Z360" s="102" t="str">
        <f>MID(VLOOKUP($A360,Seqs!$A:$B,2,FALSE),VLOOKUP($A360,'NonXtal_SegEnds_Prot#'!$A:$AL,22,FALSE)+9,1)</f>
        <v>I</v>
      </c>
      <c r="AA360" s="102" t="str">
        <f>MID(VLOOKUP($A360,Seqs!$A:$B,2,FALSE),VLOOKUP($A360,'NonXtal_SegEnds_Prot#'!$A:$AL,22,FALSE)+10,1)</f>
        <v>W</v>
      </c>
      <c r="AB360" s="71" t="str">
        <f>MID(VLOOKUP($A360,Seqs!$A:$B,2,FALSE),VLOOKUP($A360,'NonXtal_SegEnds_Prot#'!$A:$AL,28,FALSE)-4,1)</f>
        <v>Y</v>
      </c>
      <c r="AC360" s="102" t="str">
        <f>MID(VLOOKUP($A360,Seqs!$A:$B,2,FALSE),VLOOKUP($A360,'NonXtal_SegEnds_Prot#'!$A:$AL,28,FALSE),1)</f>
        <v>L</v>
      </c>
    </row>
    <row r="361" spans="1:29" s="2" customFormat="1" x14ac:dyDescent="0.2">
      <c r="A361" s="2" t="s">
        <v>314</v>
      </c>
      <c r="B361" s="2" t="str">
        <f>LOWER(VLOOKUP(A361,Xtal_Templ!A:B,2,FALSE))</f>
        <v>grm5_human</v>
      </c>
      <c r="C361" s="2" t="str">
        <f>VLOOKUP(A361,Classification!A:D,2,FALSE)</f>
        <v>C</v>
      </c>
      <c r="Q361" s="2" t="s">
        <v>1556</v>
      </c>
      <c r="R361" s="71" t="str">
        <f>MID(VLOOKUP($A361,Seqs!$A:$B,2,FALSE),VLOOKUP($A361,'NonXtal_SegEnds_Prot#'!A:AL,10,FALSE),1)</f>
        <v>I</v>
      </c>
      <c r="S361" s="102" t="str">
        <f>MID(VLOOKUP($A361,Seqs!$A:$B,2,FALSE),VLOOKUP($A361,'NonXtal_SegEnds_Prot#'!A:AL,10,FALSE)+6,1)</f>
        <v>I</v>
      </c>
      <c r="T361" s="102" t="str">
        <f>MID(VLOOKUP($A361,Seqs!$A:$B,2,FALSE),VLOOKUP($A361,'NonXtal_SegEnds_Prot#'!A:AL,10,FALSE)+7,1)</f>
        <v>T</v>
      </c>
      <c r="U361" s="102" t="str">
        <f>MID(VLOOKUP($A361,Seqs!$A:$B,2,FALSE),VLOOKUP($A361,'NonXtal_SegEnds_Prot#'!A:AL,10,FALSE)+8,1)</f>
        <v>F</v>
      </c>
      <c r="V361" s="102" t="str">
        <f>MID(VLOOKUP($A361,Seqs!$A:$B,2,FALSE),VLOOKUP($A361,'NonXtal_SegEnds_Prot#'!A:AL,10,FALSE)+9,1)</f>
        <v>L</v>
      </c>
      <c r="W361" s="71" t="str">
        <f>MID(VLOOKUP($A361,Seqs!$A:$B,2,FALSE),VLOOKUP($A361,'NonXtal_SegEnds_Prot#'!$A:$AL,22,FALSE)+6,1)</f>
        <v>G</v>
      </c>
      <c r="X361" s="102" t="str">
        <f>MID(VLOOKUP($A361,Seqs!$A:$B,2,FALSE),VLOOKUP($A361,'NonXtal_SegEnds_Prot#'!$A:$AL,22,FALSE)+7,1)</f>
        <v>V</v>
      </c>
      <c r="Y361" s="102" t="str">
        <f>MID(VLOOKUP($A361,Seqs!$A:$B,2,FALSE),VLOOKUP($A361,'NonXtal_SegEnds_Prot#'!$A:$AL,22,FALSE)+8,1)</f>
        <v>F</v>
      </c>
      <c r="Z361" s="102" t="str">
        <f>MID(VLOOKUP($A361,Seqs!$A:$B,2,FALSE),VLOOKUP($A361,'NonXtal_SegEnds_Prot#'!$A:$AL,22,FALSE)+9,1)</f>
        <v>V</v>
      </c>
      <c r="AA361" s="102" t="str">
        <f>MID(VLOOKUP($A361,Seqs!$A:$B,2,FALSE),VLOOKUP($A361,'NonXtal_SegEnds_Prot#'!$A:$AL,22,FALSE)+10,1)</f>
        <v>W</v>
      </c>
      <c r="AB361" s="71" t="str">
        <f>MID(VLOOKUP($A361,Seqs!$A:$B,2,FALSE),VLOOKUP($A361,'NonXtal_SegEnds_Prot#'!$A:$AL,28,FALSE)-4,1)</f>
        <v>Y</v>
      </c>
      <c r="AC361" s="102" t="str">
        <f>MID(VLOOKUP($A361,Seqs!$A:$B,2,FALSE),VLOOKUP($A361,'NonXtal_SegEnds_Prot#'!$A:$AL,28,FALSE),1)</f>
        <v>L</v>
      </c>
    </row>
    <row r="362" spans="1:29" s="2" customFormat="1" x14ac:dyDescent="0.2">
      <c r="A362" s="2" t="s">
        <v>315</v>
      </c>
      <c r="B362" s="2" t="str">
        <f>LOWER(VLOOKUP(A362,Xtal_Templ!A:B,2,FALSE))</f>
        <v>grm1_human</v>
      </c>
      <c r="C362" s="2" t="str">
        <f>VLOOKUP(A362,Classification!A:D,2,FALSE)</f>
        <v>C</v>
      </c>
      <c r="Q362" s="2" t="s">
        <v>1556</v>
      </c>
      <c r="R362" s="71" t="str">
        <f>MID(VLOOKUP($A362,Seqs!$A:$B,2,FALSE),VLOOKUP($A362,'NonXtal_SegEnds_Prot#'!A:AL,10,FALSE),1)</f>
        <v>V</v>
      </c>
      <c r="S362" s="102" t="str">
        <f>MID(VLOOKUP($A362,Seqs!$A:$B,2,FALSE),VLOOKUP($A362,'NonXtal_SegEnds_Prot#'!A:AL,10,FALSE)+6,1)</f>
        <v>L</v>
      </c>
      <c r="T362" s="102" t="str">
        <f>MID(VLOOKUP($A362,Seqs!$A:$B,2,FALSE),VLOOKUP($A362,'NonXtal_SegEnds_Prot#'!A:AL,10,FALSE)+7,1)</f>
        <v>T</v>
      </c>
      <c r="U362" s="102" t="str">
        <f>MID(VLOOKUP($A362,Seqs!$A:$B,2,FALSE),VLOOKUP($A362,'NonXtal_SegEnds_Prot#'!A:AL,10,FALSE)+8,1)</f>
        <v>F</v>
      </c>
      <c r="V362" s="102" t="str">
        <f>MID(VLOOKUP($A362,Seqs!$A:$B,2,FALSE),VLOOKUP($A362,'NonXtal_SegEnds_Prot#'!A:AL,10,FALSE)+9,1)</f>
        <v>A</v>
      </c>
      <c r="W362" s="71" t="str">
        <f>MID(VLOOKUP($A362,Seqs!$A:$B,2,FALSE),VLOOKUP($A362,'NonXtal_SegEnds_Prot#'!$A:$AL,22,FALSE)+6,1)</f>
        <v>I</v>
      </c>
      <c r="X362" s="102" t="str">
        <f>MID(VLOOKUP($A362,Seqs!$A:$B,2,FALSE),VLOOKUP($A362,'NonXtal_SegEnds_Prot#'!$A:$AL,22,FALSE)+7,1)</f>
        <v>A</v>
      </c>
      <c r="Y362" s="102" t="str">
        <f>MID(VLOOKUP($A362,Seqs!$A:$B,2,FALSE),VLOOKUP($A362,'NonXtal_SegEnds_Prot#'!$A:$AL,22,FALSE)+8,1)</f>
        <v>I</v>
      </c>
      <c r="Z362" s="102" t="str">
        <f>MID(VLOOKUP($A362,Seqs!$A:$B,2,FALSE),VLOOKUP($A362,'NonXtal_SegEnds_Prot#'!$A:$AL,22,FALSE)+9,1)</f>
        <v>E</v>
      </c>
      <c r="AA362" s="102" t="str">
        <f>MID(VLOOKUP($A362,Seqs!$A:$B,2,FALSE),VLOOKUP($A362,'NonXtal_SegEnds_Prot#'!$A:$AL,22,FALSE)+10,1)</f>
        <v>Y</v>
      </c>
      <c r="AB362" s="71" t="str">
        <f>MID(VLOOKUP($A362,Seqs!$A:$B,2,FALSE),VLOOKUP($A362,'NonXtal_SegEnds_Prot#'!$A:$AL,28,FALSE)-4,1)</f>
        <v>Y</v>
      </c>
      <c r="AC362" s="102" t="str">
        <f>MID(VLOOKUP($A362,Seqs!$A:$B,2,FALSE),VLOOKUP($A362,'NonXtal_SegEnds_Prot#'!$A:$AL,28,FALSE),1)</f>
        <v>L</v>
      </c>
    </row>
    <row r="363" spans="1:29" s="2" customFormat="1" x14ac:dyDescent="0.2">
      <c r="A363" s="2" t="s">
        <v>316</v>
      </c>
      <c r="B363" s="2" t="str">
        <f>LOWER(VLOOKUP(A363,Xtal_Templ!A:B,2,FALSE))</f>
        <v>grm1_human</v>
      </c>
      <c r="C363" s="2" t="str">
        <f>VLOOKUP(A363,Classification!A:D,2,FALSE)</f>
        <v>C</v>
      </c>
      <c r="Q363" s="2" t="s">
        <v>1556</v>
      </c>
      <c r="R363" s="71" t="str">
        <f>MID(VLOOKUP($A363,Seqs!$A:$B,2,FALSE),VLOOKUP($A363,'NonXtal_SegEnds_Prot#'!A:AL,10,FALSE),1)</f>
        <v>L</v>
      </c>
      <c r="S363" s="102" t="str">
        <f>MID(VLOOKUP($A363,Seqs!$A:$B,2,FALSE),VLOOKUP($A363,'NonXtal_SegEnds_Prot#'!A:AL,10,FALSE)+6,1)</f>
        <v>S</v>
      </c>
      <c r="T363" s="102" t="str">
        <f>MID(VLOOKUP($A363,Seqs!$A:$B,2,FALSE),VLOOKUP($A363,'NonXtal_SegEnds_Prot#'!A:AL,10,FALSE)+7,1)</f>
        <v>L</v>
      </c>
      <c r="U363" s="102" t="str">
        <f>MID(VLOOKUP($A363,Seqs!$A:$B,2,FALSE),VLOOKUP($A363,'NonXtal_SegEnds_Prot#'!A:AL,10,FALSE)+8,1)</f>
        <v>Y</v>
      </c>
      <c r="V363" s="102" t="str">
        <f>MID(VLOOKUP($A363,Seqs!$A:$B,2,FALSE),VLOOKUP($A363,'NonXtal_SegEnds_Prot#'!A:AL,10,FALSE)+9,1)</f>
        <v>G</v>
      </c>
      <c r="W363" s="71" t="str">
        <f>MID(VLOOKUP($A363,Seqs!$A:$B,2,FALSE),VLOOKUP($A363,'NonXtal_SegEnds_Prot#'!$A:$AL,22,FALSE)+6,1)</f>
        <v>I</v>
      </c>
      <c r="X363" s="102" t="str">
        <f>MID(VLOOKUP($A363,Seqs!$A:$B,2,FALSE),VLOOKUP($A363,'NonXtal_SegEnds_Prot#'!$A:$AL,22,FALSE)+7,1)</f>
        <v>C</v>
      </c>
      <c r="Y363" s="102" t="str">
        <f>MID(VLOOKUP($A363,Seqs!$A:$B,2,FALSE),VLOOKUP($A363,'NonXtal_SegEnds_Prot#'!$A:$AL,22,FALSE)+8,1)</f>
        <v>L</v>
      </c>
      <c r="Z363" s="102" t="str">
        <f>MID(VLOOKUP($A363,Seqs!$A:$B,2,FALSE),VLOOKUP($A363,'NonXtal_SegEnds_Prot#'!$A:$AL,22,FALSE)+9,1)</f>
        <v>T</v>
      </c>
      <c r="AA363" s="102" t="str">
        <f>MID(VLOOKUP($A363,Seqs!$A:$B,2,FALSE),VLOOKUP($A363,'NonXtal_SegEnds_Prot#'!$A:$AL,22,FALSE)+10,1)</f>
        <v>W</v>
      </c>
      <c r="AB363" s="71" t="str">
        <f>MID(VLOOKUP($A363,Seqs!$A:$B,2,FALSE),VLOOKUP($A363,'NonXtal_SegEnds_Prot#'!$A:$AL,28,FALSE)-4,1)</f>
        <v>Y</v>
      </c>
      <c r="AC363" s="102" t="str">
        <f>MID(VLOOKUP($A363,Seqs!$A:$B,2,FALSE),VLOOKUP($A363,'NonXtal_SegEnds_Prot#'!$A:$AL,28,FALSE),1)</f>
        <v>L</v>
      </c>
    </row>
    <row r="364" spans="1:29" s="2" customFormat="1" ht="17" customHeight="1" x14ac:dyDescent="0.2">
      <c r="A364" s="2" t="s">
        <v>317</v>
      </c>
      <c r="B364" s="2" t="str">
        <f>LOWER(VLOOKUP(A364,Xtal_Templ!A:B,2,FALSE))</f>
        <v>grm1_human</v>
      </c>
      <c r="C364" s="2" t="str">
        <f>VLOOKUP(A364,Classification!A:D,2,FALSE)</f>
        <v>C</v>
      </c>
      <c r="Q364" s="2" t="s">
        <v>1556</v>
      </c>
      <c r="R364" s="71" t="str">
        <f>MID(VLOOKUP($A364,Seqs!$A:$B,2,FALSE),VLOOKUP($A364,'NonXtal_SegEnds_Prot#'!A:AL,10,FALSE),1)</f>
        <v>L</v>
      </c>
      <c r="S364" s="102" t="str">
        <f>MID(VLOOKUP($A364,Seqs!$A:$B,2,FALSE),VLOOKUP($A364,'NonXtal_SegEnds_Prot#'!A:AL,10,FALSE)+6,1)</f>
        <v>V</v>
      </c>
      <c r="T364" s="102" t="str">
        <f>MID(VLOOKUP($A364,Seqs!$A:$B,2,FALSE),VLOOKUP($A364,'NonXtal_SegEnds_Prot#'!A:AL,10,FALSE)+7,1)</f>
        <v>V</v>
      </c>
      <c r="U364" s="102" t="str">
        <f>MID(VLOOKUP($A364,Seqs!$A:$B,2,FALSE),VLOOKUP($A364,'NonXtal_SegEnds_Prot#'!A:AL,10,FALSE)+8,1)</f>
        <v>P</v>
      </c>
      <c r="V364" s="102" t="str">
        <f>MID(VLOOKUP($A364,Seqs!$A:$B,2,FALSE),VLOOKUP($A364,'NonXtal_SegEnds_Prot#'!A:AL,10,FALSE)+9,1)</f>
        <v>V</v>
      </c>
      <c r="W364" s="71" t="str">
        <f>MID(VLOOKUP($A364,Seqs!$A:$B,2,FALSE),VLOOKUP($A364,'NonXtal_SegEnds_Prot#'!$A:$AL,22,FALSE)+6,1)</f>
        <v>I</v>
      </c>
      <c r="X364" s="102" t="str">
        <f>MID(VLOOKUP($A364,Seqs!$A:$B,2,FALSE),VLOOKUP($A364,'NonXtal_SegEnds_Prot#'!$A:$AL,22,FALSE)+7,1)</f>
        <v>V</v>
      </c>
      <c r="Y364" s="102" t="str">
        <f>MID(VLOOKUP($A364,Seqs!$A:$B,2,FALSE),VLOOKUP($A364,'NonXtal_SegEnds_Prot#'!$A:$AL,22,FALSE)+8,1)</f>
        <v>V</v>
      </c>
      <c r="Z364" s="102" t="str">
        <f>MID(VLOOKUP($A364,Seqs!$A:$B,2,FALSE),VLOOKUP($A364,'NonXtal_SegEnds_Prot#'!$A:$AL,22,FALSE)+9,1)</f>
        <v>I</v>
      </c>
      <c r="AA364" s="102" t="str">
        <f>MID(VLOOKUP($A364,Seqs!$A:$B,2,FALSE),VLOOKUP($A364,'NonXtal_SegEnds_Prot#'!$A:$AL,22,FALSE)+10,1)</f>
        <v>G</v>
      </c>
      <c r="AB364" s="71" t="str">
        <f>MID(VLOOKUP($A364,Seqs!$A:$B,2,FALSE),VLOOKUP($A364,'NonXtal_SegEnds_Prot#'!$A:$AL,28,FALSE)-4,1)</f>
        <v>L</v>
      </c>
      <c r="AC364" s="102" t="str">
        <f>MID(VLOOKUP($A364,Seqs!$A:$B,2,FALSE),VLOOKUP($A364,'NonXtal_SegEnds_Prot#'!$A:$AL,28,FALSE),1)</f>
        <v>L</v>
      </c>
    </row>
    <row r="365" spans="1:29" s="2" customFormat="1" x14ac:dyDescent="0.2">
      <c r="A365" s="2" t="s">
        <v>318</v>
      </c>
      <c r="B365" s="2" t="str">
        <f>LOWER(VLOOKUP(A365,Xtal_Templ!A:B,2,FALSE))</f>
        <v>grm1_human</v>
      </c>
      <c r="C365" s="2" t="str">
        <f>VLOOKUP(A365,Classification!A:D,2,FALSE)</f>
        <v>C</v>
      </c>
      <c r="Q365" s="2" t="s">
        <v>1556</v>
      </c>
      <c r="R365" s="71" t="str">
        <f>MID(VLOOKUP($A365,Seqs!$A:$B,2,FALSE),VLOOKUP($A365,'NonXtal_SegEnds_Prot#'!A:AL,10,FALSE),1)</f>
        <v>L</v>
      </c>
      <c r="S365" s="102" t="str">
        <f>MID(VLOOKUP($A365,Seqs!$A:$B,2,FALSE),VLOOKUP($A365,'NonXtal_SegEnds_Prot#'!A:AL,10,FALSE)+6,1)</f>
        <v>S</v>
      </c>
      <c r="T365" s="102" t="str">
        <f>MID(VLOOKUP($A365,Seqs!$A:$B,2,FALSE),VLOOKUP($A365,'NonXtal_SegEnds_Prot#'!A:AL,10,FALSE)+7,1)</f>
        <v>V</v>
      </c>
      <c r="U365" s="102" t="str">
        <f>MID(VLOOKUP($A365,Seqs!$A:$B,2,FALSE),VLOOKUP($A365,'NonXtal_SegEnds_Prot#'!A:AL,10,FALSE)+8,1)</f>
        <v>L</v>
      </c>
      <c r="V365" s="102" t="str">
        <f>MID(VLOOKUP($A365,Seqs!$A:$B,2,FALSE),VLOOKUP($A365,'NonXtal_SegEnds_Prot#'!A:AL,10,FALSE)+9,1)</f>
        <v>L</v>
      </c>
      <c r="W365" s="71" t="str">
        <f>MID(VLOOKUP($A365,Seqs!$A:$B,2,FALSE),VLOOKUP($A365,'NonXtal_SegEnds_Prot#'!$A:$AL,22,FALSE)+6,1)</f>
        <v>L</v>
      </c>
      <c r="X365" s="102" t="str">
        <f>MID(VLOOKUP($A365,Seqs!$A:$B,2,FALSE),VLOOKUP($A365,'NonXtal_SegEnds_Prot#'!$A:$AL,22,FALSE)+7,1)</f>
        <v>C</v>
      </c>
      <c r="Y365" s="102" t="str">
        <f>MID(VLOOKUP($A365,Seqs!$A:$B,2,FALSE),VLOOKUP($A365,'NonXtal_SegEnds_Prot#'!$A:$AL,22,FALSE)+8,1)</f>
        <v>T</v>
      </c>
      <c r="Z365" s="102" t="str">
        <f>MID(VLOOKUP($A365,Seqs!$A:$B,2,FALSE),VLOOKUP($A365,'NonXtal_SegEnds_Prot#'!$A:$AL,22,FALSE)+9,1)</f>
        <v>W</v>
      </c>
      <c r="AA365" s="102" t="str">
        <f>MID(VLOOKUP($A365,Seqs!$A:$B,2,FALSE),VLOOKUP($A365,'NonXtal_SegEnds_Prot#'!$A:$AL,22,FALSE)+10,1)</f>
        <v>Y</v>
      </c>
      <c r="AB365" s="71" t="str">
        <f>MID(VLOOKUP($A365,Seqs!$A:$B,2,FALSE),VLOOKUP($A365,'NonXtal_SegEnds_Prot#'!$A:$AL,28,FALSE)-4,1)</f>
        <v>T</v>
      </c>
      <c r="AC365" s="102" t="str">
        <f>MID(VLOOKUP($A365,Seqs!$A:$B,2,FALSE),VLOOKUP($A365,'NonXtal_SegEnds_Prot#'!$A:$AL,28,FALSE),1)</f>
        <v>L</v>
      </c>
    </row>
    <row r="366" spans="1:29" s="2" customFormat="1" x14ac:dyDescent="0.2">
      <c r="A366" s="2" t="s">
        <v>641</v>
      </c>
      <c r="B366" s="2" t="str">
        <f>LOWER(VLOOKUP(A366,Xtal_Templ!A:B,2,FALSE))</f>
        <v>smo_human</v>
      </c>
      <c r="C366" s="2" t="str">
        <f>VLOOKUP(A366,Classification!A:D,2,FALSE)</f>
        <v>F</v>
      </c>
      <c r="M366" s="2" t="s">
        <v>1555</v>
      </c>
      <c r="R366" s="71" t="str">
        <f>MID(VLOOKUP($A366,Seqs!$A:$B,2,FALSE),VLOOKUP($A366,'NonXtal_SegEnds_Prot#'!A:AL,10,FALSE),1)</f>
        <v>G</v>
      </c>
      <c r="S366" s="102" t="str">
        <f>MID(VLOOKUP($A366,Seqs!$A:$B,2,FALSE),VLOOKUP($A366,'NonXtal_SegEnds_Prot#'!A:AL,10,FALSE)+6,1)</f>
        <v>A</v>
      </c>
      <c r="T366" s="102" t="str">
        <f>MID(VLOOKUP($A366,Seqs!$A:$B,2,FALSE),VLOOKUP($A366,'NonXtal_SegEnds_Prot#'!A:AL,10,FALSE)+7,1)</f>
        <v>V</v>
      </c>
      <c r="U366" s="102" t="str">
        <f>MID(VLOOKUP($A366,Seqs!$A:$B,2,FALSE),VLOOKUP($A366,'NonXtal_SegEnds_Prot#'!A:AL,10,FALSE)+8,1)</f>
        <v>A</v>
      </c>
      <c r="V366" s="102" t="str">
        <f>MID(VLOOKUP($A366,Seqs!$A:$B,2,FALSE),VLOOKUP($A366,'NonXtal_SegEnds_Prot#'!A:AL,10,FALSE)+9,1)</f>
        <v>Y</v>
      </c>
      <c r="W366" s="71" t="str">
        <f>MID(VLOOKUP($A366,Seqs!$A:$B,2,FALSE),VLOOKUP($A366,'NonXtal_SegEnds_Prot#'!$A:$AL,22,FALSE)+6,1)</f>
        <v>K</v>
      </c>
      <c r="X366" s="102" t="str">
        <f>MID(VLOOKUP($A366,Seqs!$A:$B,2,FALSE),VLOOKUP($A366,'NonXtal_SegEnds_Prot#'!$A:$AL,22,FALSE)+7,1)</f>
        <v>T</v>
      </c>
      <c r="Y366" s="102" t="str">
        <f>MID(VLOOKUP($A366,Seqs!$A:$B,2,FALSE),VLOOKUP($A366,'NonXtal_SegEnds_Prot#'!$A:$AL,22,FALSE)+8,1)</f>
        <v>I</v>
      </c>
      <c r="Z366" s="102" t="str">
        <f>MID(VLOOKUP($A366,Seqs!$A:$B,2,FALSE),VLOOKUP($A366,'NonXtal_SegEnds_Prot#'!$A:$AL,22,FALSE)+9,1)</f>
        <v>T</v>
      </c>
      <c r="AA366" s="102" t="str">
        <f>MID(VLOOKUP($A366,Seqs!$A:$B,2,FALSE),VLOOKUP($A366,'NonXtal_SegEnds_Prot#'!$A:$AL,22,FALSE)+10,1)</f>
        <v>I</v>
      </c>
      <c r="AB366" s="71" t="str">
        <f>MID(VLOOKUP($A366,Seqs!$A:$B,2,FALSE),VLOOKUP($A366,'NonXtal_SegEnds_Prot#'!$A:$AL,28,FALSE)-4,1)</f>
        <v>P</v>
      </c>
      <c r="AC366" s="102" t="str">
        <f>MID(VLOOKUP($A366,Seqs!$A:$B,2,FALSE),VLOOKUP($A366,'NonXtal_SegEnds_Prot#'!$A:$AL,28,FALSE),1)</f>
        <v>Y</v>
      </c>
    </row>
    <row r="367" spans="1:29" s="2" customFormat="1" x14ac:dyDescent="0.2">
      <c r="A367" s="2" t="s">
        <v>642</v>
      </c>
      <c r="B367" s="2" t="str">
        <f>LOWER(VLOOKUP(A367,Xtal_Templ!A:B,2,FALSE))</f>
        <v>smo_human</v>
      </c>
      <c r="C367" s="2" t="str">
        <f>VLOOKUP(A367,Classification!A:D,2,FALSE)</f>
        <v>F</v>
      </c>
      <c r="M367" s="2" t="s">
        <v>1555</v>
      </c>
      <c r="R367" s="71" t="str">
        <f>MID(VLOOKUP($A367,Seqs!$A:$B,2,FALSE),VLOOKUP($A367,'NonXtal_SegEnds_Prot#'!A:AL,10,FALSE),1)</f>
        <v>M</v>
      </c>
      <c r="S367" s="102" t="str">
        <f>MID(VLOOKUP($A367,Seqs!$A:$B,2,FALSE),VLOOKUP($A367,'NonXtal_SegEnds_Prot#'!A:AL,10,FALSE)+6,1)</f>
        <v>S</v>
      </c>
      <c r="T367" s="102" t="str">
        <f>MID(VLOOKUP($A367,Seqs!$A:$B,2,FALSE),VLOOKUP($A367,'NonXtal_SegEnds_Prot#'!A:AL,10,FALSE)+7,1)</f>
        <v>V</v>
      </c>
      <c r="U367" s="102" t="str">
        <f>MID(VLOOKUP($A367,Seqs!$A:$B,2,FALSE),VLOOKUP($A367,'NonXtal_SegEnds_Prot#'!A:AL,10,FALSE)+8,1)</f>
        <v>G</v>
      </c>
      <c r="V367" s="102" t="str">
        <f>MID(VLOOKUP($A367,Seqs!$A:$B,2,FALSE),VLOOKUP($A367,'NonXtal_SegEnds_Prot#'!A:AL,10,FALSE)+9,1)</f>
        <v>Y</v>
      </c>
      <c r="W367" s="71" t="str">
        <f>MID(VLOOKUP($A367,Seqs!$A:$B,2,FALSE),VLOOKUP($A367,'NonXtal_SegEnds_Prot#'!$A:$AL,22,FALSE)+6,1)</f>
        <v>K</v>
      </c>
      <c r="X367" s="102" t="str">
        <f>MID(VLOOKUP($A367,Seqs!$A:$B,2,FALSE),VLOOKUP($A367,'NonXtal_SegEnds_Prot#'!$A:$AL,22,FALSE)+7,1)</f>
        <v>T</v>
      </c>
      <c r="Y367" s="102" t="str">
        <f>MID(VLOOKUP($A367,Seqs!$A:$B,2,FALSE),VLOOKUP($A367,'NonXtal_SegEnds_Prot#'!$A:$AL,22,FALSE)+8,1)</f>
        <v>I</v>
      </c>
      <c r="Z367" s="102" t="str">
        <f>MID(VLOOKUP($A367,Seqs!$A:$B,2,FALSE),VLOOKUP($A367,'NonXtal_SegEnds_Prot#'!$A:$AL,22,FALSE)+9,1)</f>
        <v>L</v>
      </c>
      <c r="AA367" s="102" t="str">
        <f>MID(VLOOKUP($A367,Seqs!$A:$B,2,FALSE),VLOOKUP($A367,'NonXtal_SegEnds_Prot#'!$A:$AL,22,FALSE)+10,1)</f>
        <v>I</v>
      </c>
      <c r="AB367" s="71" t="str">
        <f>MID(VLOOKUP($A367,Seqs!$A:$B,2,FALSE),VLOOKUP($A367,'NonXtal_SegEnds_Prot#'!$A:$AL,28,FALSE)-4,1)</f>
        <v>P</v>
      </c>
      <c r="AC367" s="102" t="str">
        <f>MID(VLOOKUP($A367,Seqs!$A:$B,2,FALSE),VLOOKUP($A367,'NonXtal_SegEnds_Prot#'!$A:$AL,28,FALSE),1)</f>
        <v>Y</v>
      </c>
    </row>
    <row r="368" spans="1:29" s="2" customFormat="1" x14ac:dyDescent="0.2">
      <c r="A368" s="2" t="s">
        <v>643</v>
      </c>
      <c r="B368" s="2" t="str">
        <f>LOWER(VLOOKUP(A368,Xtal_Templ!A:B,2,FALSE))</f>
        <v>smo_human</v>
      </c>
      <c r="C368" s="2" t="str">
        <f>VLOOKUP(A368,Classification!A:D,2,FALSE)</f>
        <v>F</v>
      </c>
      <c r="M368" s="2" t="s">
        <v>1555</v>
      </c>
      <c r="R368" s="71" t="str">
        <f>MID(VLOOKUP($A368,Seqs!$A:$B,2,FALSE),VLOOKUP($A368,'NonXtal_SegEnds_Prot#'!A:AL,10,FALSE),1)</f>
        <v>G</v>
      </c>
      <c r="S368" s="102" t="str">
        <f>MID(VLOOKUP($A368,Seqs!$A:$B,2,FALSE),VLOOKUP($A368,'NonXtal_SegEnds_Prot#'!A:AL,10,FALSE)+6,1)</f>
        <v>S</v>
      </c>
      <c r="T368" s="102" t="str">
        <f>MID(VLOOKUP($A368,Seqs!$A:$B,2,FALSE),VLOOKUP($A368,'NonXtal_SegEnds_Prot#'!A:AL,10,FALSE)+7,1)</f>
        <v>V</v>
      </c>
      <c r="U368" s="102" t="str">
        <f>MID(VLOOKUP($A368,Seqs!$A:$B,2,FALSE),VLOOKUP($A368,'NonXtal_SegEnds_Prot#'!A:AL,10,FALSE)+8,1)</f>
        <v>A</v>
      </c>
      <c r="V368" s="102" t="str">
        <f>MID(VLOOKUP($A368,Seqs!$A:$B,2,FALSE),VLOOKUP($A368,'NonXtal_SegEnds_Prot#'!A:AL,10,FALSE)+9,1)</f>
        <v>Y</v>
      </c>
      <c r="W368" s="71" t="str">
        <f>MID(VLOOKUP($A368,Seqs!$A:$B,2,FALSE),VLOOKUP($A368,'NonXtal_SegEnds_Prot#'!$A:$AL,22,FALSE)+6,1)</f>
        <v>K</v>
      </c>
      <c r="X368" s="102" t="str">
        <f>MID(VLOOKUP($A368,Seqs!$A:$B,2,FALSE),VLOOKUP($A368,'NonXtal_SegEnds_Prot#'!$A:$AL,22,FALSE)+7,1)</f>
        <v>T</v>
      </c>
      <c r="Y368" s="102" t="str">
        <f>MID(VLOOKUP($A368,Seqs!$A:$B,2,FALSE),VLOOKUP($A368,'NonXtal_SegEnds_Prot#'!$A:$AL,22,FALSE)+8,1)</f>
        <v>I</v>
      </c>
      <c r="Z368" s="102" t="str">
        <f>MID(VLOOKUP($A368,Seqs!$A:$B,2,FALSE),VLOOKUP($A368,'NonXtal_SegEnds_Prot#'!$A:$AL,22,FALSE)+9,1)</f>
        <v>T</v>
      </c>
      <c r="AA368" s="102" t="str">
        <f>MID(VLOOKUP($A368,Seqs!$A:$B,2,FALSE),VLOOKUP($A368,'NonXtal_SegEnds_Prot#'!$A:$AL,22,FALSE)+10,1)</f>
        <v>I</v>
      </c>
      <c r="AB368" s="71" t="str">
        <f>MID(VLOOKUP($A368,Seqs!$A:$B,2,FALSE),VLOOKUP($A368,'NonXtal_SegEnds_Prot#'!$A:$AL,28,FALSE)-4,1)</f>
        <v>P</v>
      </c>
      <c r="AC368" s="102" t="str">
        <f>MID(VLOOKUP($A368,Seqs!$A:$B,2,FALSE),VLOOKUP($A368,'NonXtal_SegEnds_Prot#'!$A:$AL,28,FALSE),1)</f>
        <v>Y</v>
      </c>
    </row>
    <row r="369" spans="1:29" s="2" customFormat="1" x14ac:dyDescent="0.2">
      <c r="A369" s="2" t="s">
        <v>644</v>
      </c>
      <c r="B369" s="2" t="str">
        <f>LOWER(VLOOKUP(A369,Xtal_Templ!A:B,2,FALSE))</f>
        <v>smo_human</v>
      </c>
      <c r="C369" s="2" t="str">
        <f>VLOOKUP(A369,Classification!A:D,2,FALSE)</f>
        <v>F</v>
      </c>
      <c r="M369" s="2" t="s">
        <v>1555</v>
      </c>
      <c r="R369" s="71" t="str">
        <f>MID(VLOOKUP($A369,Seqs!$A:$B,2,FALSE),VLOOKUP($A369,'NonXtal_SegEnds_Prot#'!A:AL,10,FALSE),1)</f>
        <v>V</v>
      </c>
      <c r="S369" s="102" t="str">
        <f>MID(VLOOKUP($A369,Seqs!$A:$B,2,FALSE),VLOOKUP($A369,'NonXtal_SegEnds_Prot#'!A:AL,10,FALSE)+6,1)</f>
        <v>S</v>
      </c>
      <c r="T369" s="102" t="str">
        <f>MID(VLOOKUP($A369,Seqs!$A:$B,2,FALSE),VLOOKUP($A369,'NonXtal_SegEnds_Prot#'!A:AL,10,FALSE)+7,1)</f>
        <v>L</v>
      </c>
      <c r="U369" s="102" t="str">
        <f>MID(VLOOKUP($A369,Seqs!$A:$B,2,FALSE),VLOOKUP($A369,'NonXtal_SegEnds_Prot#'!A:AL,10,FALSE)+8,1)</f>
        <v>I</v>
      </c>
      <c r="V369" s="102" t="str">
        <f>MID(VLOOKUP($A369,Seqs!$A:$B,2,FALSE),VLOOKUP($A369,'NonXtal_SegEnds_Prot#'!A:AL,10,FALSE)+9,1)</f>
        <v>F</v>
      </c>
      <c r="W369" s="71" t="str">
        <f>MID(VLOOKUP($A369,Seqs!$A:$B,2,FALSE),VLOOKUP($A369,'NonXtal_SegEnds_Prot#'!$A:$AL,22,FALSE)+6,1)</f>
        <v>L</v>
      </c>
      <c r="X369" s="102" t="str">
        <f>MID(VLOOKUP($A369,Seqs!$A:$B,2,FALSE),VLOOKUP($A369,'NonXtal_SegEnds_Prot#'!$A:$AL,22,FALSE)+7,1)</f>
        <v>T</v>
      </c>
      <c r="Y369" s="102" t="str">
        <f>MID(VLOOKUP($A369,Seqs!$A:$B,2,FALSE),VLOOKUP($A369,'NonXtal_SegEnds_Prot#'!$A:$AL,22,FALSE)+8,1)</f>
        <v>I</v>
      </c>
      <c r="Z369" s="102" t="str">
        <f>MID(VLOOKUP($A369,Seqs!$A:$B,2,FALSE),VLOOKUP($A369,'NonXtal_SegEnds_Prot#'!$A:$AL,22,FALSE)+9,1)</f>
        <v>I</v>
      </c>
      <c r="AA369" s="102" t="str">
        <f>MID(VLOOKUP($A369,Seqs!$A:$B,2,FALSE),VLOOKUP($A369,'NonXtal_SegEnds_Prot#'!$A:$AL,22,FALSE)+10,1)</f>
        <v>L</v>
      </c>
      <c r="AB369" s="71" t="str">
        <f>MID(VLOOKUP($A369,Seqs!$A:$B,2,FALSE),VLOOKUP($A369,'NonXtal_SegEnds_Prot#'!$A:$AL,28,FALSE)-4,1)</f>
        <v>P</v>
      </c>
      <c r="AC369" s="102" t="str">
        <f>MID(VLOOKUP($A369,Seqs!$A:$B,2,FALSE),VLOOKUP($A369,'NonXtal_SegEnds_Prot#'!$A:$AL,28,FALSE),1)</f>
        <v>Y</v>
      </c>
    </row>
    <row r="370" spans="1:29" s="2" customFormat="1" x14ac:dyDescent="0.2">
      <c r="A370" s="2" t="s">
        <v>645</v>
      </c>
      <c r="B370" s="2" t="str">
        <f>LOWER(VLOOKUP(A370,Xtal_Templ!A:B,2,FALSE))</f>
        <v>smo_human</v>
      </c>
      <c r="C370" s="2" t="str">
        <f>VLOOKUP(A370,Classification!A:D,2,FALSE)</f>
        <v>F</v>
      </c>
      <c r="M370" s="2" t="s">
        <v>1555</v>
      </c>
      <c r="R370" s="71" t="str">
        <f>MID(VLOOKUP($A370,Seqs!$A:$B,2,FALSE),VLOOKUP($A370,'NonXtal_SegEnds_Prot#'!A:AL,10,FALSE),1)</f>
        <v>M</v>
      </c>
      <c r="S370" s="102" t="str">
        <f>MID(VLOOKUP($A370,Seqs!$A:$B,2,FALSE),VLOOKUP($A370,'NonXtal_SegEnds_Prot#'!A:AL,10,FALSE)+6,1)</f>
        <v>S</v>
      </c>
      <c r="T370" s="102" t="str">
        <f>MID(VLOOKUP($A370,Seqs!$A:$B,2,FALSE),VLOOKUP($A370,'NonXtal_SegEnds_Prot#'!A:AL,10,FALSE)+7,1)</f>
        <v>I</v>
      </c>
      <c r="U370" s="102" t="str">
        <f>MID(VLOOKUP($A370,Seqs!$A:$B,2,FALSE),VLOOKUP($A370,'NonXtal_SegEnds_Prot#'!A:AL,10,FALSE)+8,1)</f>
        <v>A</v>
      </c>
      <c r="V370" s="102" t="str">
        <f>MID(VLOOKUP($A370,Seqs!$A:$B,2,FALSE),VLOOKUP($A370,'NonXtal_SegEnds_Prot#'!A:AL,10,FALSE)+9,1)</f>
        <v>Y</v>
      </c>
      <c r="W370" s="71" t="str">
        <f>MID(VLOOKUP($A370,Seqs!$A:$B,2,FALSE),VLOOKUP($A370,'NonXtal_SegEnds_Prot#'!$A:$AL,22,FALSE)+6,1)</f>
        <v>K</v>
      </c>
      <c r="X370" s="102" t="str">
        <f>MID(VLOOKUP($A370,Seqs!$A:$B,2,FALSE),VLOOKUP($A370,'NonXtal_SegEnds_Prot#'!$A:$AL,22,FALSE)+7,1)</f>
        <v>T</v>
      </c>
      <c r="Y370" s="102" t="str">
        <f>MID(VLOOKUP($A370,Seqs!$A:$B,2,FALSE),VLOOKUP($A370,'NonXtal_SegEnds_Prot#'!$A:$AL,22,FALSE)+8,1)</f>
        <v>I</v>
      </c>
      <c r="Z370" s="102" t="str">
        <f>MID(VLOOKUP($A370,Seqs!$A:$B,2,FALSE),VLOOKUP($A370,'NonXtal_SegEnds_Prot#'!$A:$AL,22,FALSE)+9,1)</f>
        <v>V</v>
      </c>
      <c r="AA370" s="102" t="str">
        <f>MID(VLOOKUP($A370,Seqs!$A:$B,2,FALSE),VLOOKUP($A370,'NonXtal_SegEnds_Prot#'!$A:$AL,22,FALSE)+10,1)</f>
        <v>I</v>
      </c>
      <c r="AB370" s="71" t="str">
        <f>MID(VLOOKUP($A370,Seqs!$A:$B,2,FALSE),VLOOKUP($A370,'NonXtal_SegEnds_Prot#'!$A:$AL,28,FALSE)-4,1)</f>
        <v>P</v>
      </c>
      <c r="AC370" s="102" t="str">
        <f>MID(VLOOKUP($A370,Seqs!$A:$B,2,FALSE),VLOOKUP($A370,'NonXtal_SegEnds_Prot#'!$A:$AL,28,FALSE),1)</f>
        <v>Y</v>
      </c>
    </row>
    <row r="371" spans="1:29" s="2" customFormat="1" x14ac:dyDescent="0.2">
      <c r="A371" s="2" t="s">
        <v>646</v>
      </c>
      <c r="B371" s="2" t="str">
        <f>LOWER(VLOOKUP(A371,Xtal_Templ!A:B,2,FALSE))</f>
        <v>smo_human</v>
      </c>
      <c r="C371" s="2" t="str">
        <f>VLOOKUP(A371,Classification!A:D,2,FALSE)</f>
        <v>F</v>
      </c>
      <c r="M371" s="2" t="s">
        <v>1555</v>
      </c>
      <c r="R371" s="71" t="str">
        <f>MID(VLOOKUP($A371,Seqs!$A:$B,2,FALSE),VLOOKUP($A371,'NonXtal_SegEnds_Prot#'!A:AL,10,FALSE),1)</f>
        <v>A</v>
      </c>
      <c r="S371" s="102" t="str">
        <f>MID(VLOOKUP($A371,Seqs!$A:$B,2,FALSE),VLOOKUP($A371,'NonXtal_SegEnds_Prot#'!A:AL,10,FALSE)+6,1)</f>
        <v>S</v>
      </c>
      <c r="T371" s="102" t="str">
        <f>MID(VLOOKUP($A371,Seqs!$A:$B,2,FALSE),VLOOKUP($A371,'NonXtal_SegEnds_Prot#'!A:AL,10,FALSE)+7,1)</f>
        <v>L</v>
      </c>
      <c r="U371" s="102" t="str">
        <f>MID(VLOOKUP($A371,Seqs!$A:$B,2,FALSE),VLOOKUP($A371,'NonXtal_SegEnds_Prot#'!A:AL,10,FALSE)+8,1)</f>
        <v>G</v>
      </c>
      <c r="V371" s="102" t="str">
        <f>MID(VLOOKUP($A371,Seqs!$A:$B,2,FALSE),VLOOKUP($A371,'NonXtal_SegEnds_Prot#'!A:AL,10,FALSE)+9,1)</f>
        <v>F</v>
      </c>
      <c r="W371" s="71" t="str">
        <f>MID(VLOOKUP($A371,Seqs!$A:$B,2,FALSE),VLOOKUP($A371,'NonXtal_SegEnds_Prot#'!$A:$AL,22,FALSE)+6,1)</f>
        <v>K</v>
      </c>
      <c r="X371" s="102" t="str">
        <f>MID(VLOOKUP($A371,Seqs!$A:$B,2,FALSE),VLOOKUP($A371,'NonXtal_SegEnds_Prot#'!$A:$AL,22,FALSE)+7,1)</f>
        <v>S</v>
      </c>
      <c r="Y371" s="102" t="str">
        <f>MID(VLOOKUP($A371,Seqs!$A:$B,2,FALSE),VLOOKUP($A371,'NonXtal_SegEnds_Prot#'!$A:$AL,22,FALSE)+8,1)</f>
        <v>I</v>
      </c>
      <c r="Z371" s="102" t="str">
        <f>MID(VLOOKUP($A371,Seqs!$A:$B,2,FALSE),VLOOKUP($A371,'NonXtal_SegEnds_Prot#'!$A:$AL,22,FALSE)+9,1)</f>
        <v>T</v>
      </c>
      <c r="AA371" s="102" t="str">
        <f>MID(VLOOKUP($A371,Seqs!$A:$B,2,FALSE),VLOOKUP($A371,'NonXtal_SegEnds_Prot#'!$A:$AL,22,FALSE)+10,1)</f>
        <v>A</v>
      </c>
      <c r="AB371" s="71" t="str">
        <f>MID(VLOOKUP($A371,Seqs!$A:$B,2,FALSE),VLOOKUP($A371,'NonXtal_SegEnds_Prot#'!$A:$AL,28,FALSE)-4,1)</f>
        <v>P</v>
      </c>
      <c r="AC371" s="102" t="str">
        <f>MID(VLOOKUP($A371,Seqs!$A:$B,2,FALSE),VLOOKUP($A371,'NonXtal_SegEnds_Prot#'!$A:$AL,28,FALSE),1)</f>
        <v>Y</v>
      </c>
    </row>
    <row r="372" spans="1:29" s="2" customFormat="1" x14ac:dyDescent="0.2">
      <c r="A372" s="2" t="s">
        <v>647</v>
      </c>
      <c r="B372" s="2" t="str">
        <f>LOWER(VLOOKUP(A372,Xtal_Templ!A:B,2,FALSE))</f>
        <v>smo_human</v>
      </c>
      <c r="C372" s="2" t="str">
        <f>VLOOKUP(A372,Classification!A:D,2,FALSE)</f>
        <v>F</v>
      </c>
      <c r="M372" s="2" t="s">
        <v>1555</v>
      </c>
      <c r="R372" s="71" t="str">
        <f>MID(VLOOKUP($A372,Seqs!$A:$B,2,FALSE),VLOOKUP($A372,'NonXtal_SegEnds_Prot#'!A:AL,10,FALSE),1)</f>
        <v>V</v>
      </c>
      <c r="S372" s="102" t="str">
        <f>MID(VLOOKUP($A372,Seqs!$A:$B,2,FALSE),VLOOKUP($A372,'NonXtal_SegEnds_Prot#'!A:AL,10,FALSE)+6,1)</f>
        <v>S</v>
      </c>
      <c r="T372" s="102" t="str">
        <f>MID(VLOOKUP($A372,Seqs!$A:$B,2,FALSE),VLOOKUP($A372,'NonXtal_SegEnds_Prot#'!A:AL,10,FALSE)+7,1)</f>
        <v>L</v>
      </c>
      <c r="U372" s="102" t="str">
        <f>MID(VLOOKUP($A372,Seqs!$A:$B,2,FALSE),VLOOKUP($A372,'NonXtal_SegEnds_Prot#'!A:AL,10,FALSE)+8,1)</f>
        <v>M</v>
      </c>
      <c r="V372" s="102" t="str">
        <f>MID(VLOOKUP($A372,Seqs!$A:$B,2,FALSE),VLOOKUP($A372,'NonXtal_SegEnds_Prot#'!A:AL,10,FALSE)+9,1)</f>
        <v>Y</v>
      </c>
      <c r="W372" s="71" t="str">
        <f>MID(VLOOKUP($A372,Seqs!$A:$B,2,FALSE),VLOOKUP($A372,'NonXtal_SegEnds_Prot#'!$A:$AL,22,FALSE)+6,1)</f>
        <v>L</v>
      </c>
      <c r="X372" s="102" t="str">
        <f>MID(VLOOKUP($A372,Seqs!$A:$B,2,FALSE),VLOOKUP($A372,'NonXtal_SegEnds_Prot#'!$A:$AL,22,FALSE)+7,1)</f>
        <v>T</v>
      </c>
      <c r="Y372" s="102" t="str">
        <f>MID(VLOOKUP($A372,Seqs!$A:$B,2,FALSE),VLOOKUP($A372,'NonXtal_SegEnds_Prot#'!$A:$AL,22,FALSE)+8,1)</f>
        <v>V</v>
      </c>
      <c r="Z372" s="102" t="str">
        <f>MID(VLOOKUP($A372,Seqs!$A:$B,2,FALSE),VLOOKUP($A372,'NonXtal_SegEnds_Prot#'!$A:$AL,22,FALSE)+9,1)</f>
        <v>M</v>
      </c>
      <c r="AA372" s="102" t="str">
        <f>MID(VLOOKUP($A372,Seqs!$A:$B,2,FALSE),VLOOKUP($A372,'NonXtal_SegEnds_Prot#'!$A:$AL,22,FALSE)+10,1)</f>
        <v>L</v>
      </c>
      <c r="AB372" s="71" t="str">
        <f>MID(VLOOKUP($A372,Seqs!$A:$B,2,FALSE),VLOOKUP($A372,'NonXtal_SegEnds_Prot#'!$A:$AL,28,FALSE)-4,1)</f>
        <v>P</v>
      </c>
      <c r="AC372" s="102" t="str">
        <f>MID(VLOOKUP($A372,Seqs!$A:$B,2,FALSE),VLOOKUP($A372,'NonXtal_SegEnds_Prot#'!$A:$AL,28,FALSE),1)</f>
        <v>C</v>
      </c>
    </row>
    <row r="373" spans="1:29" s="2" customFormat="1" x14ac:dyDescent="0.2">
      <c r="A373" s="2" t="s">
        <v>648</v>
      </c>
      <c r="B373" s="2" t="str">
        <f>LOWER(VLOOKUP(A373,Xtal_Templ!A:B,2,FALSE))</f>
        <v>smo_human</v>
      </c>
      <c r="C373" s="2" t="str">
        <f>VLOOKUP(A373,Classification!A:D,2,FALSE)</f>
        <v>F</v>
      </c>
      <c r="M373" s="2" t="s">
        <v>1555</v>
      </c>
      <c r="R373" s="71" t="str">
        <f>MID(VLOOKUP($A373,Seqs!$A:$B,2,FALSE),VLOOKUP($A373,'NonXtal_SegEnds_Prot#'!A:AL,10,FALSE),1)</f>
        <v>G</v>
      </c>
      <c r="S373" s="102" t="str">
        <f>MID(VLOOKUP($A373,Seqs!$A:$B,2,FALSE),VLOOKUP($A373,'NonXtal_SegEnds_Prot#'!A:AL,10,FALSE)+6,1)</f>
        <v>A</v>
      </c>
      <c r="T373" s="102" t="str">
        <f>MID(VLOOKUP($A373,Seqs!$A:$B,2,FALSE),VLOOKUP($A373,'NonXtal_SegEnds_Prot#'!A:AL,10,FALSE)+7,1)</f>
        <v>V</v>
      </c>
      <c r="U373" s="102" t="str">
        <f>MID(VLOOKUP($A373,Seqs!$A:$B,2,FALSE),VLOOKUP($A373,'NonXtal_SegEnds_Prot#'!A:AL,10,FALSE)+8,1)</f>
        <v>A</v>
      </c>
      <c r="V373" s="102" t="str">
        <f>MID(VLOOKUP($A373,Seqs!$A:$B,2,FALSE),VLOOKUP($A373,'NonXtal_SegEnds_Prot#'!A:AL,10,FALSE)+9,1)</f>
        <v>H</v>
      </c>
      <c r="W373" s="71" t="str">
        <f>MID(VLOOKUP($A373,Seqs!$A:$B,2,FALSE),VLOOKUP($A373,'NonXtal_SegEnds_Prot#'!$A:$AL,22,FALSE)+6,1)</f>
        <v>K</v>
      </c>
      <c r="X373" s="102" t="str">
        <f>MID(VLOOKUP($A373,Seqs!$A:$B,2,FALSE),VLOOKUP($A373,'NonXtal_SegEnds_Prot#'!$A:$AL,22,FALSE)+7,1)</f>
        <v>T</v>
      </c>
      <c r="Y373" s="102" t="str">
        <f>MID(VLOOKUP($A373,Seqs!$A:$B,2,FALSE),VLOOKUP($A373,'NonXtal_SegEnds_Prot#'!$A:$AL,22,FALSE)+8,1)</f>
        <v>I</v>
      </c>
      <c r="Z373" s="102" t="str">
        <f>MID(VLOOKUP($A373,Seqs!$A:$B,2,FALSE),VLOOKUP($A373,'NonXtal_SegEnds_Prot#'!$A:$AL,22,FALSE)+9,1)</f>
        <v>T</v>
      </c>
      <c r="AA373" s="102" t="str">
        <f>MID(VLOOKUP($A373,Seqs!$A:$B,2,FALSE),VLOOKUP($A373,'NonXtal_SegEnds_Prot#'!$A:$AL,22,FALSE)+10,1)</f>
        <v>I</v>
      </c>
      <c r="AB373" s="71" t="str">
        <f>MID(VLOOKUP($A373,Seqs!$A:$B,2,FALSE),VLOOKUP($A373,'NonXtal_SegEnds_Prot#'!$A:$AL,28,FALSE)-4,1)</f>
        <v>P</v>
      </c>
      <c r="AC373" s="102" t="str">
        <f>MID(VLOOKUP($A373,Seqs!$A:$B,2,FALSE),VLOOKUP($A373,'NonXtal_SegEnds_Prot#'!$A:$AL,28,FALSE),1)</f>
        <v>Y</v>
      </c>
    </row>
    <row r="374" spans="1:29" s="2" customFormat="1" x14ac:dyDescent="0.2">
      <c r="A374" s="2" t="s">
        <v>649</v>
      </c>
      <c r="B374" s="2" t="str">
        <f>LOWER(VLOOKUP(A374,Xtal_Templ!A:B,2,FALSE))</f>
        <v>smo_human</v>
      </c>
      <c r="C374" s="2" t="str">
        <f>VLOOKUP(A374,Classification!A:D,2,FALSE)</f>
        <v>F</v>
      </c>
      <c r="M374" s="2" t="s">
        <v>1555</v>
      </c>
      <c r="R374" s="71" t="str">
        <f>MID(VLOOKUP($A374,Seqs!$A:$B,2,FALSE),VLOOKUP($A374,'NonXtal_SegEnds_Prot#'!A:AL,10,FALSE),1)</f>
        <v>A</v>
      </c>
      <c r="S374" s="102" t="str">
        <f>MID(VLOOKUP($A374,Seqs!$A:$B,2,FALSE),VLOOKUP($A374,'NonXtal_SegEnds_Prot#'!A:AL,10,FALSE)+6,1)</f>
        <v>S</v>
      </c>
      <c r="T374" s="102" t="str">
        <f>MID(VLOOKUP($A374,Seqs!$A:$B,2,FALSE),VLOOKUP($A374,'NonXtal_SegEnds_Prot#'!A:AL,10,FALSE)+7,1)</f>
        <v>V</v>
      </c>
      <c r="U374" s="102" t="str">
        <f>MID(VLOOKUP($A374,Seqs!$A:$B,2,FALSE),VLOOKUP($A374,'NonXtal_SegEnds_Prot#'!A:AL,10,FALSE)+8,1)</f>
        <v>G</v>
      </c>
      <c r="V374" s="102" t="str">
        <f>MID(VLOOKUP($A374,Seqs!$A:$B,2,FALSE),VLOOKUP($A374,'NonXtal_SegEnds_Prot#'!A:AL,10,FALSE)+9,1)</f>
        <v>Y</v>
      </c>
      <c r="W374" s="71" t="str">
        <f>MID(VLOOKUP($A374,Seqs!$A:$B,2,FALSE),VLOOKUP($A374,'NonXtal_SegEnds_Prot#'!$A:$AL,22,FALSE)+6,1)</f>
        <v>K</v>
      </c>
      <c r="X374" s="102" t="str">
        <f>MID(VLOOKUP($A374,Seqs!$A:$B,2,FALSE),VLOOKUP($A374,'NonXtal_SegEnds_Prot#'!$A:$AL,22,FALSE)+7,1)</f>
        <v>S</v>
      </c>
      <c r="Y374" s="102" t="str">
        <f>MID(VLOOKUP($A374,Seqs!$A:$B,2,FALSE),VLOOKUP($A374,'NonXtal_SegEnds_Prot#'!$A:$AL,22,FALSE)+8,1)</f>
        <v>I</v>
      </c>
      <c r="Z374" s="102" t="str">
        <f>MID(VLOOKUP($A374,Seqs!$A:$B,2,FALSE),VLOOKUP($A374,'NonXtal_SegEnds_Prot#'!$A:$AL,22,FALSE)+9,1)</f>
        <v>A</v>
      </c>
      <c r="AA374" s="102" t="str">
        <f>MID(VLOOKUP($A374,Seqs!$A:$B,2,FALSE),VLOOKUP($A374,'NonXtal_SegEnds_Prot#'!$A:$AL,22,FALSE)+10,1)</f>
        <v>V</v>
      </c>
      <c r="AB374" s="71" t="str">
        <f>MID(VLOOKUP($A374,Seqs!$A:$B,2,FALSE),VLOOKUP($A374,'NonXtal_SegEnds_Prot#'!$A:$AL,28,FALSE)-4,1)</f>
        <v>P</v>
      </c>
      <c r="AC374" s="102" t="str">
        <f>MID(VLOOKUP($A374,Seqs!$A:$B,2,FALSE),VLOOKUP($A374,'NonXtal_SegEnds_Prot#'!$A:$AL,28,FALSE),1)</f>
        <v>Y</v>
      </c>
    </row>
    <row r="375" spans="1:29" s="2" customFormat="1" x14ac:dyDescent="0.2">
      <c r="A375" s="2" t="s">
        <v>650</v>
      </c>
      <c r="B375" s="2" t="str">
        <f>LOWER(VLOOKUP(A375,Xtal_Templ!A:B,2,FALSE))</f>
        <v>smo_human</v>
      </c>
      <c r="C375" s="2" t="str">
        <f>VLOOKUP(A375,Classification!A:D,2,FALSE)</f>
        <v>F</v>
      </c>
      <c r="M375" s="2" t="s">
        <v>1555</v>
      </c>
      <c r="R375" s="71" t="str">
        <f>MID(VLOOKUP($A375,Seqs!$A:$B,2,FALSE),VLOOKUP($A375,'NonXtal_SegEnds_Prot#'!A:AL,10,FALSE),1)</f>
        <v>M</v>
      </c>
      <c r="S375" s="102" t="str">
        <f>MID(VLOOKUP($A375,Seqs!$A:$B,2,FALSE),VLOOKUP($A375,'NonXtal_SegEnds_Prot#'!A:AL,10,FALSE)+6,1)</f>
        <v>S</v>
      </c>
      <c r="T375" s="102" t="str">
        <f>MID(VLOOKUP($A375,Seqs!$A:$B,2,FALSE),VLOOKUP($A375,'NonXtal_SegEnds_Prot#'!A:AL,10,FALSE)+7,1)</f>
        <v>L</v>
      </c>
      <c r="U375" s="102" t="str">
        <f>MID(VLOOKUP($A375,Seqs!$A:$B,2,FALSE),VLOOKUP($A375,'NonXtal_SegEnds_Prot#'!A:AL,10,FALSE)+8,1)</f>
        <v>A</v>
      </c>
      <c r="V375" s="102" t="str">
        <f>MID(VLOOKUP($A375,Seqs!$A:$B,2,FALSE),VLOOKUP($A375,'NonXtal_SegEnds_Prot#'!A:AL,10,FALSE)+9,1)</f>
        <v>F</v>
      </c>
      <c r="W375" s="71" t="str">
        <f>MID(VLOOKUP($A375,Seqs!$A:$B,2,FALSE),VLOOKUP($A375,'NonXtal_SegEnds_Prot#'!$A:$AL,22,FALSE)+6,1)</f>
        <v>K</v>
      </c>
      <c r="X375" s="102" t="str">
        <f>MID(VLOOKUP($A375,Seqs!$A:$B,2,FALSE),VLOOKUP($A375,'NonXtal_SegEnds_Prot#'!$A:$AL,22,FALSE)+7,1)</f>
        <v>T</v>
      </c>
      <c r="Y375" s="102" t="str">
        <f>MID(VLOOKUP($A375,Seqs!$A:$B,2,FALSE),VLOOKUP($A375,'NonXtal_SegEnds_Prot#'!$A:$AL,22,FALSE)+8,1)</f>
        <v>I</v>
      </c>
      <c r="Z375" s="102" t="str">
        <f>MID(VLOOKUP($A375,Seqs!$A:$B,2,FALSE),VLOOKUP($A375,'NonXtal_SegEnds_Prot#'!$A:$AL,22,FALSE)+9,1)</f>
        <v>V</v>
      </c>
      <c r="AA375" s="102" t="str">
        <f>MID(VLOOKUP($A375,Seqs!$A:$B,2,FALSE),VLOOKUP($A375,'NonXtal_SegEnds_Prot#'!$A:$AL,22,FALSE)+10,1)</f>
        <v>I</v>
      </c>
      <c r="AB375" s="71" t="str">
        <f>MID(VLOOKUP($A375,Seqs!$A:$B,2,FALSE),VLOOKUP($A375,'NonXtal_SegEnds_Prot#'!$A:$AL,28,FALSE)-4,1)</f>
        <v>P</v>
      </c>
      <c r="AC375" s="102" t="str">
        <f>MID(VLOOKUP($A375,Seqs!$A:$B,2,FALSE),VLOOKUP($A375,'NonXtal_SegEnds_Prot#'!$A:$AL,28,FALSE),1)</f>
        <v>Y</v>
      </c>
    </row>
    <row r="376" spans="1:29" s="2" customFormat="1" x14ac:dyDescent="0.2">
      <c r="A376" s="2" t="s">
        <v>207</v>
      </c>
      <c r="B376" s="2" t="str">
        <f>LOWER(VLOOKUP(A376,Xtal_Templ!A:B,2,FALSE))</f>
        <v>smo_human</v>
      </c>
      <c r="C376" s="2" t="str">
        <f>VLOOKUP(A376,Classification!A:D,2,FALSE)</f>
        <v>F</v>
      </c>
      <c r="M376" s="2" t="s">
        <v>1555</v>
      </c>
      <c r="R376" s="71" t="str">
        <f>MID(VLOOKUP($A376,Seqs!$A:$B,2,FALSE),VLOOKUP($A376,'NonXtal_SegEnds_Prot#'!A:AL,10,FALSE),1)</f>
        <v>A</v>
      </c>
      <c r="S376" s="102" t="str">
        <f>MID(VLOOKUP($A376,Seqs!$A:$B,2,FALSE),VLOOKUP($A376,'NonXtal_SegEnds_Prot#'!A:AL,10,FALSE)+6,1)</f>
        <v>S</v>
      </c>
      <c r="T376" s="102" t="str">
        <f>MID(VLOOKUP($A376,Seqs!$A:$B,2,FALSE),VLOOKUP($A376,'NonXtal_SegEnds_Prot#'!A:AL,10,FALSE)+7,1)</f>
        <v>I</v>
      </c>
      <c r="U376" s="102" t="str">
        <f>MID(VLOOKUP($A376,Seqs!$A:$B,2,FALSE),VLOOKUP($A376,'NonXtal_SegEnds_Prot#'!A:AL,10,FALSE)+8,1)</f>
        <v>G</v>
      </c>
      <c r="V376" s="102" t="str">
        <f>MID(VLOOKUP($A376,Seqs!$A:$B,2,FALSE),VLOOKUP($A376,'NonXtal_SegEnds_Prot#'!A:AL,10,FALSE)+9,1)</f>
        <v>W</v>
      </c>
      <c r="W376" s="71" t="str">
        <f>MID(VLOOKUP($A376,Seqs!$A:$B,2,FALSE),VLOOKUP($A376,'NonXtal_SegEnds_Prot#'!$A:$AL,22,FALSE)+6,1)</f>
        <v>L</v>
      </c>
      <c r="X376" s="102" t="str">
        <f>MID(VLOOKUP($A376,Seqs!$A:$B,2,FALSE),VLOOKUP($A376,'NonXtal_SegEnds_Prot#'!$A:$AL,22,FALSE)+7,1)</f>
        <v>T</v>
      </c>
      <c r="Y376" s="102" t="str">
        <f>MID(VLOOKUP($A376,Seqs!$A:$B,2,FALSE),VLOOKUP($A376,'NonXtal_SegEnds_Prot#'!$A:$AL,22,FALSE)+8,1)</f>
        <v>V</v>
      </c>
      <c r="Z376" s="102" t="str">
        <f>MID(VLOOKUP($A376,Seqs!$A:$B,2,FALSE),VLOOKUP($A376,'NonXtal_SegEnds_Prot#'!$A:$AL,22,FALSE)+9,1)</f>
        <v>A</v>
      </c>
      <c r="AA376" s="102" t="str">
        <f>MID(VLOOKUP($A376,Seqs!$A:$B,2,FALSE),VLOOKUP($A376,'NonXtal_SegEnds_Prot#'!$A:$AL,22,FALSE)+10,1)</f>
        <v>I</v>
      </c>
      <c r="AB376" s="71" t="str">
        <f>MID(VLOOKUP($A376,Seqs!$A:$B,2,FALSE),VLOOKUP($A376,'NonXtal_SegEnds_Prot#'!$A:$AL,28,FALSE)-4,1)</f>
        <v>P</v>
      </c>
      <c r="AC376" s="102" t="str">
        <f>MID(VLOOKUP($A376,Seqs!$A:$B,2,FALSE),VLOOKUP($A376,'NonXtal_SegEnds_Prot#'!$A:$AL,28,FALSE),1)</f>
        <v>V</v>
      </c>
    </row>
    <row r="377" spans="1:29" s="2" customFormat="1" x14ac:dyDescent="0.2">
      <c r="A377" s="2" t="s">
        <v>676</v>
      </c>
      <c r="B377" s="2" t="str">
        <f>LOWER(VLOOKUP(A377,Xtal_Templ!A:B,2,FALSE))</f>
        <v>cxcr4_human</v>
      </c>
      <c r="C377" s="2" t="str">
        <f>VLOOKUP(A377,Classification!A:D,2,FALSE)</f>
        <v>O</v>
      </c>
      <c r="R377" s="71" t="str">
        <f>MID(VLOOKUP($A377,Seqs!$A:$B,2,FALSE),VLOOKUP($A377,'NonXtal_SegEnds_Prot#'!A:AL,10,FALSE),1)</f>
        <v>A</v>
      </c>
      <c r="S377" s="102" t="str">
        <f>MID(VLOOKUP($A377,Seqs!$A:$B,2,FALSE),VLOOKUP($A377,'NonXtal_SegEnds_Prot#'!A:AL,10,FALSE)+6,1)</f>
        <v>F</v>
      </c>
      <c r="T377" s="102" t="str">
        <f>MID(VLOOKUP($A377,Seqs!$A:$B,2,FALSE),VLOOKUP($A377,'NonXtal_SegEnds_Prot#'!A:AL,10,FALSE)+7,1)</f>
        <v>S</v>
      </c>
      <c r="U377" s="102" t="str">
        <f>MID(VLOOKUP($A377,Seqs!$A:$B,2,FALSE),VLOOKUP($A377,'NonXtal_SegEnds_Prot#'!A:AL,10,FALSE)+8,1)</f>
        <v>F</v>
      </c>
      <c r="V377" s="102" t="str">
        <f>MID(VLOOKUP($A377,Seqs!$A:$B,2,FALSE),VLOOKUP($A377,'NonXtal_SegEnds_Prot#'!A:AL,10,FALSE)+9,1)</f>
        <v>Y</v>
      </c>
      <c r="W377" s="71" t="str">
        <f>MID(VLOOKUP($A377,Seqs!$A:$B,2,FALSE),VLOOKUP($A377,'NonXtal_SegEnds_Prot#'!$A:$AL,22,FALSE)+6,1)</f>
        <v>A</v>
      </c>
      <c r="X377" s="102" t="str">
        <f>MID(VLOOKUP($A377,Seqs!$A:$B,2,FALSE),VLOOKUP($A377,'NonXtal_SegEnds_Prot#'!$A:$AL,22,FALSE)+7,1)</f>
        <v>A</v>
      </c>
      <c r="Y377" s="102" t="str">
        <f>MID(VLOOKUP($A377,Seqs!$A:$B,2,FALSE),VLOOKUP($A377,'NonXtal_SegEnds_Prot#'!$A:$AL,22,FALSE)+8,1)</f>
        <v>C</v>
      </c>
      <c r="Z377" s="102" t="str">
        <f>MID(VLOOKUP($A377,Seqs!$A:$B,2,FALSE),VLOOKUP($A377,'NonXtal_SegEnds_Prot#'!$A:$AL,22,FALSE)+9,1)</f>
        <v>L</v>
      </c>
      <c r="AA377" s="102" t="str">
        <f>MID(VLOOKUP($A377,Seqs!$A:$B,2,FALSE),VLOOKUP($A377,'NonXtal_SegEnds_Prot#'!$A:$AL,22,FALSE)+10,1)</f>
        <v>C</v>
      </c>
      <c r="AB377" s="71" t="str">
        <f>MID(VLOOKUP($A377,Seqs!$A:$B,2,FALSE),VLOOKUP($A377,'NonXtal_SegEnds_Prot#'!$A:$AL,28,FALSE)-4,1)</f>
        <v>L</v>
      </c>
      <c r="AC377" s="102" t="str">
        <f>MID(VLOOKUP($A377,Seqs!$A:$B,2,FALSE),VLOOKUP($A377,'NonXtal_SegEnds_Prot#'!$A:$AL,28,FALSE),1)</f>
        <v>L</v>
      </c>
    </row>
    <row r="378" spans="1:29" s="2" customFormat="1" x14ac:dyDescent="0.2">
      <c r="A378" s="2" t="s">
        <v>677</v>
      </c>
      <c r="B378" s="2" t="str">
        <f>LOWER(VLOOKUP(A378,Xtal_Templ!A:B,2,FALSE))</f>
        <v>p2y12_human</v>
      </c>
      <c r="C378" s="2" t="str">
        <f>VLOOKUP(A378,Classification!A:D,2,FALSE)</f>
        <v>O</v>
      </c>
      <c r="R378" s="71" t="str">
        <f>MID(VLOOKUP($A378,Seqs!$A:$B,2,FALSE),VLOOKUP($A378,'NonXtal_SegEnds_Prot#'!A:AL,10,FALSE),1)</f>
        <v>W</v>
      </c>
      <c r="S378" s="102" t="str">
        <f>MID(VLOOKUP($A378,Seqs!$A:$B,2,FALSE),VLOOKUP($A378,'NonXtal_SegEnds_Prot#'!A:AL,10,FALSE)+6,1)</f>
        <v>K</v>
      </c>
      <c r="T378" s="102" t="str">
        <f>MID(VLOOKUP($A378,Seqs!$A:$B,2,FALSE),VLOOKUP($A378,'NonXtal_SegEnds_Prot#'!A:AL,10,FALSE)+7,1)</f>
        <v>R</v>
      </c>
      <c r="U378" s="102" t="str">
        <f>MID(VLOOKUP($A378,Seqs!$A:$B,2,FALSE),VLOOKUP($A378,'NonXtal_SegEnds_Prot#'!A:AL,10,FALSE)+8,1)</f>
        <v>R</v>
      </c>
      <c r="V378" s="102" t="str">
        <f>MID(VLOOKUP($A378,Seqs!$A:$B,2,FALSE),VLOOKUP($A378,'NonXtal_SegEnds_Prot#'!A:AL,10,FALSE)+9,1)</f>
        <v>N</v>
      </c>
      <c r="W378" s="71" t="str">
        <f>MID(VLOOKUP($A378,Seqs!$A:$B,2,FALSE),VLOOKUP($A378,'NonXtal_SegEnds_Prot#'!$A:$AL,22,FALSE)+6,1)</f>
        <v>Y</v>
      </c>
      <c r="X378" s="102" t="str">
        <f>MID(VLOOKUP($A378,Seqs!$A:$B,2,FALSE),VLOOKUP($A378,'NonXtal_SegEnds_Prot#'!$A:$AL,22,FALSE)+7,1)</f>
        <v>G</v>
      </c>
      <c r="Y378" s="102" t="str">
        <f>MID(VLOOKUP($A378,Seqs!$A:$B,2,FALSE),VLOOKUP($A378,'NonXtal_SegEnds_Prot#'!$A:$AL,22,FALSE)+8,1)</f>
        <v>L</v>
      </c>
      <c r="Z378" s="102" t="str">
        <f>MID(VLOOKUP($A378,Seqs!$A:$B,2,FALSE),VLOOKUP($A378,'NonXtal_SegEnds_Prot#'!$A:$AL,22,FALSE)+9,1)</f>
        <v>W</v>
      </c>
      <c r="AA378" s="102" t="str">
        <f>MID(VLOOKUP($A378,Seqs!$A:$B,2,FALSE),VLOOKUP($A378,'NonXtal_SegEnds_Prot#'!$A:$AL,22,FALSE)+10,1)</f>
        <v>K</v>
      </c>
      <c r="AB378" s="71" t="str">
        <f>MID(VLOOKUP($A378,Seqs!$A:$B,2,FALSE),VLOOKUP($A378,'NonXtal_SegEnds_Prot#'!$A:$AL,28,FALSE)-4,1)</f>
        <v>A</v>
      </c>
      <c r="AC378" s="102" t="str">
        <f>MID(VLOOKUP($A378,Seqs!$A:$B,2,FALSE),VLOOKUP($A378,'NonXtal_SegEnds_Prot#'!$A:$AL,28,FALSE),1)</f>
        <v>P</v>
      </c>
    </row>
    <row r="379" spans="1:29" s="2" customFormat="1" x14ac:dyDescent="0.2">
      <c r="A379" s="2" t="s">
        <v>680</v>
      </c>
      <c r="B379" s="2" t="str">
        <f>LOWER(VLOOKUP(A379,Xtal_Templ!A:B,2,FALSE))</f>
        <v>agtr1_human</v>
      </c>
      <c r="C379" s="2" t="str">
        <f>VLOOKUP(A379,Classification!A:D,2,FALSE)</f>
        <v>O</v>
      </c>
      <c r="R379" s="71" t="str">
        <f>MID(VLOOKUP($A379,Seqs!$A:$B,2,FALSE),VLOOKUP($A379,'NonXtal_SegEnds_Prot#'!A:AL,10,FALSE),1)</f>
        <v>D</v>
      </c>
      <c r="S379" s="102" t="str">
        <f>MID(VLOOKUP($A379,Seqs!$A:$B,2,FALSE),VLOOKUP($A379,'NonXtal_SegEnds_Prot#'!A:AL,10,FALSE)+6,1)</f>
        <v>G</v>
      </c>
      <c r="T379" s="102" t="str">
        <f>MID(VLOOKUP($A379,Seqs!$A:$B,2,FALSE),VLOOKUP($A379,'NonXtal_SegEnds_Prot#'!A:AL,10,FALSE)+7,1)</f>
        <v>M</v>
      </c>
      <c r="U379" s="102" t="str">
        <f>MID(VLOOKUP($A379,Seqs!$A:$B,2,FALSE),VLOOKUP($A379,'NonXtal_SegEnds_Prot#'!A:AL,10,FALSE)+8,1)</f>
        <v>V</v>
      </c>
      <c r="V379" s="102" t="str">
        <f>MID(VLOOKUP($A379,Seqs!$A:$B,2,FALSE),VLOOKUP($A379,'NonXtal_SegEnds_Prot#'!A:AL,10,FALSE)+9,1)</f>
        <v>I</v>
      </c>
      <c r="W379" s="71" t="str">
        <f>MID(VLOOKUP($A379,Seqs!$A:$B,2,FALSE),VLOOKUP($A379,'NonXtal_SegEnds_Prot#'!$A:$AL,22,FALSE)+6,1)</f>
        <v>L</v>
      </c>
      <c r="X379" s="102" t="str">
        <f>MID(VLOOKUP($A379,Seqs!$A:$B,2,FALSE),VLOOKUP($A379,'NonXtal_SegEnds_Prot#'!$A:$AL,22,FALSE)+7,1)</f>
        <v>C</v>
      </c>
      <c r="Y379" s="102" t="str">
        <f>MID(VLOOKUP($A379,Seqs!$A:$B,2,FALSE),VLOOKUP($A379,'NonXtal_SegEnds_Prot#'!$A:$AL,22,FALSE)+8,1)</f>
        <v>V</v>
      </c>
      <c r="Z379" s="102" t="str">
        <f>MID(VLOOKUP($A379,Seqs!$A:$B,2,FALSE),VLOOKUP($A379,'NonXtal_SegEnds_Prot#'!$A:$AL,22,FALSE)+9,1)</f>
        <v>E</v>
      </c>
      <c r="AA379" s="102" t="str">
        <f>MID(VLOOKUP($A379,Seqs!$A:$B,2,FALSE),VLOOKUP($A379,'NonXtal_SegEnds_Prot#'!$A:$AL,22,FALSE)+10,1)</f>
        <v>G</v>
      </c>
      <c r="AB379" s="71" t="str">
        <f>MID(VLOOKUP($A379,Seqs!$A:$B,2,FALSE),VLOOKUP($A379,'NonXtal_SegEnds_Prot#'!$A:$AL,28,FALSE)-4,1)</f>
        <v>T</v>
      </c>
      <c r="AC379" s="102" t="str">
        <f>MID(VLOOKUP($A379,Seqs!$A:$B,2,FALSE),VLOOKUP($A379,'NonXtal_SegEnds_Prot#'!$A:$AL,28,FALSE),1)</f>
        <v>P</v>
      </c>
    </row>
    <row r="380" spans="1:29" s="2" customFormat="1" x14ac:dyDescent="0.2">
      <c r="A380" s="2" t="s">
        <v>681</v>
      </c>
      <c r="B380" s="2" t="str">
        <f>LOWER(VLOOKUP(A380,Xtal_Templ!A:B,2,FALSE))</f>
        <v>grm1_human</v>
      </c>
      <c r="C380" s="2" t="str">
        <f>VLOOKUP(A380,Classification!A:D,2,FALSE)</f>
        <v>O</v>
      </c>
      <c r="R380" s="71" t="str">
        <f>MID(VLOOKUP($A380,Seqs!$A:$B,2,FALSE),VLOOKUP($A380,'NonXtal_SegEnds_Prot#'!A:AL,10,FALSE),1)</f>
        <v>D</v>
      </c>
      <c r="S380" s="102" t="str">
        <f>MID(VLOOKUP($A380,Seqs!$A:$B,2,FALSE),VLOOKUP($A380,'NonXtal_SegEnds_Prot#'!A:AL,10,FALSE)+6,1)</f>
        <v>S</v>
      </c>
      <c r="T380" s="102" t="str">
        <f>MID(VLOOKUP($A380,Seqs!$A:$B,2,FALSE),VLOOKUP($A380,'NonXtal_SegEnds_Prot#'!A:AL,10,FALSE)+7,1)</f>
        <v>Y</v>
      </c>
      <c r="U380" s="102" t="str">
        <f>MID(VLOOKUP($A380,Seqs!$A:$B,2,FALSE),VLOOKUP($A380,'NonXtal_SegEnds_Prot#'!A:AL,10,FALSE)+8,1)</f>
        <v>F</v>
      </c>
      <c r="V380" s="102" t="str">
        <f>MID(VLOOKUP($A380,Seqs!$A:$B,2,FALSE),VLOOKUP($A380,'NonXtal_SegEnds_Prot#'!A:AL,10,FALSE)+9,1)</f>
        <v>Y</v>
      </c>
      <c r="W380" s="71" t="str">
        <f>MID(VLOOKUP($A380,Seqs!$A:$B,2,FALSE),VLOOKUP($A380,'NonXtal_SegEnds_Prot#'!$A:$AL,22,FALSE)+6,1)</f>
        <v>A</v>
      </c>
      <c r="X380" s="102" t="str">
        <f>MID(VLOOKUP($A380,Seqs!$A:$B,2,FALSE),VLOOKUP($A380,'NonXtal_SegEnds_Prot#'!$A:$AL,22,FALSE)+7,1)</f>
        <v>L</v>
      </c>
      <c r="Y380" s="102" t="str">
        <f>MID(VLOOKUP($A380,Seqs!$A:$B,2,FALSE),VLOOKUP($A380,'NonXtal_SegEnds_Prot#'!$A:$AL,22,FALSE)+8,1)</f>
        <v>K</v>
      </c>
      <c r="Z380" s="102" t="str">
        <f>MID(VLOOKUP($A380,Seqs!$A:$B,2,FALSE),VLOOKUP($A380,'NonXtal_SegEnds_Prot#'!$A:$AL,22,FALSE)+9,1)</f>
        <v>K</v>
      </c>
      <c r="AA380" s="102" t="str">
        <f>MID(VLOOKUP($A380,Seqs!$A:$B,2,FALSE),VLOOKUP($A380,'NonXtal_SegEnds_Prot#'!$A:$AL,22,FALSE)+10,1)</f>
        <v>I</v>
      </c>
      <c r="AB380" s="71" t="str">
        <f>MID(VLOOKUP($A380,Seqs!$A:$B,2,FALSE),VLOOKUP($A380,'NonXtal_SegEnds_Prot#'!$A:$AL,28,FALSE)-4,1)</f>
        <v>D</v>
      </c>
      <c r="AC380" s="102" t="str">
        <f>MID(VLOOKUP($A380,Seqs!$A:$B,2,FALSE),VLOOKUP($A380,'NonXtal_SegEnds_Prot#'!$A:$AL,28,FALSE),1)</f>
        <v>K</v>
      </c>
    </row>
    <row r="381" spans="1:29" s="2" customFormat="1" x14ac:dyDescent="0.2">
      <c r="A381" s="2" t="s">
        <v>679</v>
      </c>
      <c r="B381" s="2" t="str">
        <f>LOWER(VLOOKUP(A381,Xtal_Templ!A:B,2,FALSE))</f>
        <v>cxcr4_human</v>
      </c>
      <c r="C381" s="2" t="str">
        <f>VLOOKUP(A381,Classification!A:D,2,FALSE)</f>
        <v>O</v>
      </c>
      <c r="R381" s="71" t="str">
        <f>MID(VLOOKUP($A381,Seqs!$A:$B,2,FALSE),VLOOKUP($A381,'NonXtal_SegEnds_Prot#'!A:AL,10,FALSE),1)</f>
        <v>A</v>
      </c>
      <c r="S381" s="102" t="str">
        <f>MID(VLOOKUP($A381,Seqs!$A:$B,2,FALSE),VLOOKUP($A381,'NonXtal_SegEnds_Prot#'!A:AL,10,FALSE)+6,1)</f>
        <v>M</v>
      </c>
      <c r="T381" s="102" t="str">
        <f>MID(VLOOKUP($A381,Seqs!$A:$B,2,FALSE),VLOOKUP($A381,'NonXtal_SegEnds_Prot#'!A:AL,10,FALSE)+7,1)</f>
        <v>T</v>
      </c>
      <c r="U381" s="102" t="str">
        <f>MID(VLOOKUP($A381,Seqs!$A:$B,2,FALSE),VLOOKUP($A381,'NonXtal_SegEnds_Prot#'!A:AL,10,FALSE)+8,1)</f>
        <v>V</v>
      </c>
      <c r="V381" s="102" t="str">
        <f>MID(VLOOKUP($A381,Seqs!$A:$B,2,FALSE),VLOOKUP($A381,'NonXtal_SegEnds_Prot#'!A:AL,10,FALSE)+9,1)</f>
        <v>S</v>
      </c>
      <c r="W381" s="71" t="str">
        <f>MID(VLOOKUP($A381,Seqs!$A:$B,2,FALSE),VLOOKUP($A381,'NonXtal_SegEnds_Prot#'!$A:$AL,22,FALSE)+6,1)</f>
        <v>L</v>
      </c>
      <c r="X381" s="102" t="str">
        <f>MID(VLOOKUP($A381,Seqs!$A:$B,2,FALSE),VLOOKUP($A381,'NonXtal_SegEnds_Prot#'!$A:$AL,22,FALSE)+7,1)</f>
        <v>S</v>
      </c>
      <c r="Y381" s="102" t="str">
        <f>MID(VLOOKUP($A381,Seqs!$A:$B,2,FALSE),VLOOKUP($A381,'NonXtal_SegEnds_Prot#'!$A:$AL,22,FALSE)+8,1)</f>
        <v>A</v>
      </c>
      <c r="Z381" s="102" t="str">
        <f>MID(VLOOKUP($A381,Seqs!$A:$B,2,FALSE),VLOOKUP($A381,'NonXtal_SegEnds_Prot#'!$A:$AL,22,FALSE)+9,1)</f>
        <v>E</v>
      </c>
      <c r="AA381" s="102" t="str">
        <f>MID(VLOOKUP($A381,Seqs!$A:$B,2,FALSE),VLOOKUP($A381,'NonXtal_SegEnds_Prot#'!$A:$AL,22,FALSE)+10,1)</f>
        <v>D</v>
      </c>
      <c r="AB381" s="71" t="str">
        <f>MID(VLOOKUP($A381,Seqs!$A:$B,2,FALSE),VLOOKUP($A381,'NonXtal_SegEnds_Prot#'!$A:$AL,28,FALSE)-4,1)</f>
        <v>F</v>
      </c>
      <c r="AC381" s="102" t="str">
        <f>MID(VLOOKUP($A381,Seqs!$A:$B,2,FALSE),VLOOKUP($A381,'NonXtal_SegEnds_Prot#'!$A:$AL,28,FALSE),1)</f>
        <v>S</v>
      </c>
    </row>
    <row r="382" spans="1:29" s="2" customFormat="1" x14ac:dyDescent="0.2">
      <c r="A382" s="2" t="s">
        <v>651</v>
      </c>
      <c r="B382" s="2" t="str">
        <f>LOWER(VLOOKUP(A382,Xtal_Templ!A:B,2,FALSE))</f>
        <v>s1pr1_human</v>
      </c>
      <c r="C382" s="2" t="str">
        <f>VLOOKUP(A382,Classification!A:D,2,FALSE)</f>
        <v>T</v>
      </c>
      <c r="R382" s="71" t="str">
        <f>MID(VLOOKUP($A382,Seqs!$A:$B,2,FALSE),VLOOKUP($A382,'NonXtal_SegEnds_Prot#'!A:AL,10,FALSE),1)</f>
        <v>R</v>
      </c>
      <c r="S382" s="102" t="str">
        <f>MID(VLOOKUP($A382,Seqs!$A:$B,2,FALSE),VLOOKUP($A382,'NonXtal_SegEnds_Prot#'!A:AL,10,FALSE)+6,1)</f>
        <v>I</v>
      </c>
      <c r="T382" s="102" t="str">
        <f>MID(VLOOKUP($A382,Seqs!$A:$B,2,FALSE),VLOOKUP($A382,'NonXtal_SegEnds_Prot#'!A:AL,10,FALSE)+7,1)</f>
        <v>I</v>
      </c>
      <c r="U382" s="102" t="str">
        <f>MID(VLOOKUP($A382,Seqs!$A:$B,2,FALSE),VLOOKUP($A382,'NonXtal_SegEnds_Prot#'!A:AL,10,FALSE)+8,1)</f>
        <v>I</v>
      </c>
      <c r="V382" s="102" t="str">
        <f>MID(VLOOKUP($A382,Seqs!$A:$B,2,FALSE),VLOOKUP($A382,'NonXtal_SegEnds_Prot#'!A:AL,10,FALSE)+9,1)</f>
        <v>T</v>
      </c>
      <c r="W382" s="71" t="str">
        <f>MID(VLOOKUP($A382,Seqs!$A:$B,2,FALSE),VLOOKUP($A382,'NonXtal_SegEnds_Prot#'!$A:$AL,22,FALSE)+6,1)</f>
        <v>L</v>
      </c>
      <c r="X382" s="102" t="str">
        <f>MID(VLOOKUP($A382,Seqs!$A:$B,2,FALSE),VLOOKUP($A382,'NonXtal_SegEnds_Prot#'!$A:$AL,22,FALSE)+7,1)</f>
        <v>L</v>
      </c>
      <c r="Y382" s="102" t="str">
        <f>MID(VLOOKUP($A382,Seqs!$A:$B,2,FALSE),VLOOKUP($A382,'NonXtal_SegEnds_Prot#'!$A:$AL,22,FALSE)+8,1)</f>
        <v>N</v>
      </c>
      <c r="Z382" s="102" t="str">
        <f>MID(VLOOKUP($A382,Seqs!$A:$B,2,FALSE),VLOOKUP($A382,'NonXtal_SegEnds_Prot#'!$A:$AL,22,FALSE)+9,1)</f>
        <v>F</v>
      </c>
      <c r="AA382" s="102" t="str">
        <f>MID(VLOOKUP($A382,Seqs!$A:$B,2,FALSE),VLOOKUP($A382,'NonXtal_SegEnds_Prot#'!$A:$AL,22,FALSE)+10,1)</f>
        <v>A</v>
      </c>
      <c r="AB382" s="71" t="str">
        <f>MID(VLOOKUP($A382,Seqs!$A:$B,2,FALSE),VLOOKUP($A382,'NonXtal_SegEnds_Prot#'!$A:$AL,28,FALSE)-4,1)</f>
        <v>G</v>
      </c>
      <c r="AC382" s="102" t="str">
        <f>MID(VLOOKUP($A382,Seqs!$A:$B,2,FALSE),VLOOKUP($A382,'NonXtal_SegEnds_Prot#'!$A:$AL,28,FALSE),1)</f>
        <v>F</v>
      </c>
    </row>
    <row r="383" spans="1:29" s="2" customFormat="1" x14ac:dyDescent="0.2">
      <c r="A383" s="2" t="s">
        <v>652</v>
      </c>
      <c r="B383" s="2" t="str">
        <f>LOWER(VLOOKUP(A383,Xtal_Templ!A:B,2,FALSE))</f>
        <v>5ht2b_human</v>
      </c>
      <c r="C383" s="2" t="str">
        <f>VLOOKUP(A383,Classification!A:D,2,FALSE)</f>
        <v>T</v>
      </c>
      <c r="R383" s="71" t="str">
        <f>MID(VLOOKUP($A383,Seqs!$A:$B,2,FALSE),VLOOKUP($A383,'NonXtal_SegEnds_Prot#'!A:AL,10,FALSE),1)</f>
        <v>R</v>
      </c>
      <c r="S383" s="102" t="str">
        <f>MID(VLOOKUP($A383,Seqs!$A:$B,2,FALSE),VLOOKUP($A383,'NonXtal_SegEnds_Prot#'!A:AL,10,FALSE)+6,1)</f>
        <v>E</v>
      </c>
      <c r="T383" s="102" t="str">
        <f>MID(VLOOKUP($A383,Seqs!$A:$B,2,FALSE),VLOOKUP($A383,'NonXtal_SegEnds_Prot#'!A:AL,10,FALSE)+7,1)</f>
        <v>I</v>
      </c>
      <c r="U383" s="102" t="str">
        <f>MID(VLOOKUP($A383,Seqs!$A:$B,2,FALSE),VLOOKUP($A383,'NonXtal_SegEnds_Prot#'!A:AL,10,FALSE)+8,1)</f>
        <v>L</v>
      </c>
      <c r="V383" s="102" t="str">
        <f>MID(VLOOKUP($A383,Seqs!$A:$B,2,FALSE),VLOOKUP($A383,'NonXtal_SegEnds_Prot#'!A:AL,10,FALSE)+9,1)</f>
        <v>V</v>
      </c>
      <c r="W383" s="71" t="str">
        <f>MID(VLOOKUP($A383,Seqs!$A:$B,2,FALSE),VLOOKUP($A383,'NonXtal_SegEnds_Prot#'!$A:$AL,22,FALSE)+6,1)</f>
        <v>F</v>
      </c>
      <c r="X383" s="102" t="str">
        <f>MID(VLOOKUP($A383,Seqs!$A:$B,2,FALSE),VLOOKUP($A383,'NonXtal_SegEnds_Prot#'!$A:$AL,22,FALSE)+7,1)</f>
        <v>L</v>
      </c>
      <c r="Y383" s="102" t="str">
        <f>MID(VLOOKUP($A383,Seqs!$A:$B,2,FALSE),VLOOKUP($A383,'NonXtal_SegEnds_Prot#'!$A:$AL,22,FALSE)+8,1)</f>
        <v>N</v>
      </c>
      <c r="Z383" s="102" t="str">
        <f>MID(VLOOKUP($A383,Seqs!$A:$B,2,FALSE),VLOOKUP($A383,'NonXtal_SegEnds_Prot#'!$A:$AL,22,FALSE)+9,1)</f>
        <v>L</v>
      </c>
      <c r="AA383" s="102" t="str">
        <f>MID(VLOOKUP($A383,Seqs!$A:$B,2,FALSE),VLOOKUP($A383,'NonXtal_SegEnds_Prot#'!$A:$AL,22,FALSE)+10,1)</f>
        <v>I</v>
      </c>
      <c r="AB383" s="71" t="str">
        <f>MID(VLOOKUP($A383,Seqs!$A:$B,2,FALSE),VLOOKUP($A383,'NonXtal_SegEnds_Prot#'!$A:$AL,28,FALSE)-4,1)</f>
        <v>F</v>
      </c>
      <c r="AC383" s="102" t="str">
        <f>MID(VLOOKUP($A383,Seqs!$A:$B,2,FALSE),VLOOKUP($A383,'NonXtal_SegEnds_Prot#'!$A:$AL,28,FALSE),1)</f>
        <v>P</v>
      </c>
    </row>
    <row r="384" spans="1:29" s="2" customFormat="1" x14ac:dyDescent="0.2">
      <c r="A384" s="2" t="s">
        <v>653</v>
      </c>
      <c r="B384" s="2" t="str">
        <f>LOWER(VLOOKUP(A384,Xtal_Templ!A:B,2,FALSE))</f>
        <v>p2ry1_human</v>
      </c>
      <c r="C384" s="2" t="str">
        <f>VLOOKUP(A384,Classification!A:D,2,FALSE)</f>
        <v>T</v>
      </c>
      <c r="R384" s="71" t="str">
        <f>MID(VLOOKUP($A384,Seqs!$A:$B,2,FALSE),VLOOKUP($A384,'NonXtal_SegEnds_Prot#'!A:AL,10,FALSE),1)</f>
        <v>R</v>
      </c>
      <c r="S384" s="102" t="str">
        <f>MID(VLOOKUP($A384,Seqs!$A:$B,2,FALSE),VLOOKUP($A384,'NonXtal_SegEnds_Prot#'!A:AL,10,FALSE)+6,1)</f>
        <v>L</v>
      </c>
      <c r="T384" s="102" t="str">
        <f>MID(VLOOKUP($A384,Seqs!$A:$B,2,FALSE),VLOOKUP($A384,'NonXtal_SegEnds_Prot#'!A:AL,10,FALSE)+7,1)</f>
        <v>I</v>
      </c>
      <c r="U384" s="102" t="str">
        <f>MID(VLOOKUP($A384,Seqs!$A:$B,2,FALSE),VLOOKUP($A384,'NonXtal_SegEnds_Prot#'!A:AL,10,FALSE)+8,1)</f>
        <v>F</v>
      </c>
      <c r="V384" s="102" t="str">
        <f>MID(VLOOKUP($A384,Seqs!$A:$B,2,FALSE),VLOOKUP($A384,'NonXtal_SegEnds_Prot#'!A:AL,10,FALSE)+9,1)</f>
        <v>G</v>
      </c>
      <c r="W384" s="71" t="str">
        <f>MID(VLOOKUP($A384,Seqs!$A:$B,2,FALSE),VLOOKUP($A384,'NonXtal_SegEnds_Prot#'!$A:$AL,22,FALSE)+6,1)</f>
        <v>F</v>
      </c>
      <c r="X384" s="102" t="str">
        <f>MID(VLOOKUP($A384,Seqs!$A:$B,2,FALSE),VLOOKUP($A384,'NonXtal_SegEnds_Prot#'!$A:$AL,22,FALSE)+7,1)</f>
        <v>L</v>
      </c>
      <c r="Y384" s="102" t="str">
        <f>MID(VLOOKUP($A384,Seqs!$A:$B,2,FALSE),VLOOKUP($A384,'NonXtal_SegEnds_Prot#'!$A:$AL,22,FALSE)+8,1)</f>
        <v>N</v>
      </c>
      <c r="Z384" s="102" t="str">
        <f>MID(VLOOKUP($A384,Seqs!$A:$B,2,FALSE),VLOOKUP($A384,'NonXtal_SegEnds_Prot#'!$A:$AL,22,FALSE)+9,1)</f>
        <v>I</v>
      </c>
      <c r="AA384" s="102" t="str">
        <f>MID(VLOOKUP($A384,Seqs!$A:$B,2,FALSE),VLOOKUP($A384,'NonXtal_SegEnds_Prot#'!$A:$AL,22,FALSE)+10,1)</f>
        <v>A</v>
      </c>
      <c r="AB384" s="71" t="str">
        <f>MID(VLOOKUP($A384,Seqs!$A:$B,2,FALSE),VLOOKUP($A384,'NonXtal_SegEnds_Prot#'!$A:$AL,28,FALSE)-4,1)</f>
        <v>F</v>
      </c>
      <c r="AC384" s="102" t="str">
        <f>MID(VLOOKUP($A384,Seqs!$A:$B,2,FALSE),VLOOKUP($A384,'NonXtal_SegEnds_Prot#'!$A:$AL,28,FALSE),1)</f>
        <v>P</v>
      </c>
    </row>
    <row r="385" spans="1:29" s="2" customFormat="1" x14ac:dyDescent="0.2">
      <c r="A385" s="2" t="s">
        <v>654</v>
      </c>
      <c r="B385" s="2" t="str">
        <f>LOWER(VLOOKUP(A385,Xtal_Templ!A:B,2,FALSE))</f>
        <v>ox2r_human</v>
      </c>
      <c r="C385" s="2" t="str">
        <f>VLOOKUP(A385,Classification!A:D,2,FALSE)</f>
        <v>T</v>
      </c>
      <c r="R385" s="71" t="str">
        <f>MID(VLOOKUP($A385,Seqs!$A:$B,2,FALSE),VLOOKUP($A385,'NonXtal_SegEnds_Prot#'!A:AL,10,FALSE),1)</f>
        <v>R</v>
      </c>
      <c r="S385" s="102" t="str">
        <f>MID(VLOOKUP($A385,Seqs!$A:$B,2,FALSE),VLOOKUP($A385,'NonXtal_SegEnds_Prot#'!A:AL,10,FALSE)+6,1)</f>
        <v>A</v>
      </c>
      <c r="T385" s="102" t="str">
        <f>MID(VLOOKUP($A385,Seqs!$A:$B,2,FALSE),VLOOKUP($A385,'NonXtal_SegEnds_Prot#'!A:AL,10,FALSE)+7,1)</f>
        <v>S</v>
      </c>
      <c r="U385" s="102" t="str">
        <f>MID(VLOOKUP($A385,Seqs!$A:$B,2,FALSE),VLOOKUP($A385,'NonXtal_SegEnds_Prot#'!A:AL,10,FALSE)+8,1)</f>
        <v>M</v>
      </c>
      <c r="V385" s="102" t="str">
        <f>MID(VLOOKUP($A385,Seqs!$A:$B,2,FALSE),VLOOKUP($A385,'NonXtal_SegEnds_Prot#'!A:AL,10,FALSE)+9,1)</f>
        <v>L</v>
      </c>
      <c r="W385" s="71" t="str">
        <f>MID(VLOOKUP($A385,Seqs!$A:$B,2,FALSE),VLOOKUP($A385,'NonXtal_SegEnds_Prot#'!$A:$AL,22,FALSE)+6,1)</f>
        <v>C</v>
      </c>
      <c r="X385" s="102" t="str">
        <f>MID(VLOOKUP($A385,Seqs!$A:$B,2,FALSE),VLOOKUP($A385,'NonXtal_SegEnds_Prot#'!$A:$AL,22,FALSE)+7,1)</f>
        <v>V</v>
      </c>
      <c r="Y385" s="102" t="str">
        <f>MID(VLOOKUP($A385,Seqs!$A:$B,2,FALSE),VLOOKUP($A385,'NonXtal_SegEnds_Prot#'!$A:$AL,22,FALSE)+8,1)</f>
        <v>T</v>
      </c>
      <c r="Z385" s="102" t="str">
        <f>MID(VLOOKUP($A385,Seqs!$A:$B,2,FALSE),VLOOKUP($A385,'NonXtal_SegEnds_Prot#'!$A:$AL,22,FALSE)+9,1)</f>
        <v>I</v>
      </c>
      <c r="AA385" s="102" t="str">
        <f>MID(VLOOKUP($A385,Seqs!$A:$B,2,FALSE),VLOOKUP($A385,'NonXtal_SegEnds_Prot#'!$A:$AL,22,FALSE)+10,1)</f>
        <v>I</v>
      </c>
      <c r="AB385" s="71" t="str">
        <f>MID(VLOOKUP($A385,Seqs!$A:$B,2,FALSE),VLOOKUP($A385,'NonXtal_SegEnds_Prot#'!$A:$AL,28,FALSE)-4,1)</f>
        <v>A</v>
      </c>
      <c r="AC385" s="102" t="str">
        <f>MID(VLOOKUP($A385,Seqs!$A:$B,2,FALSE),VLOOKUP($A385,'NonXtal_SegEnds_Prot#'!$A:$AL,28,FALSE),1)</f>
        <v>P</v>
      </c>
    </row>
    <row r="386" spans="1:29" s="2" customFormat="1" x14ac:dyDescent="0.2">
      <c r="A386" s="2" t="s">
        <v>655</v>
      </c>
      <c r="B386" s="2" t="str">
        <f>LOWER(VLOOKUP(A386,Xtal_Templ!A:B,2,FALSE))</f>
        <v>agtr1_human</v>
      </c>
      <c r="C386" s="2" t="str">
        <f>VLOOKUP(A386,Classification!A:D,2,FALSE)</f>
        <v>T</v>
      </c>
      <c r="R386" s="71" t="str">
        <f>MID(VLOOKUP($A386,Seqs!$A:$B,2,FALSE),VLOOKUP($A386,'NonXtal_SegEnds_Prot#'!A:AL,10,FALSE),1)</f>
        <v>R</v>
      </c>
      <c r="S386" s="102" t="str">
        <f>MID(VLOOKUP($A386,Seqs!$A:$B,2,FALSE),VLOOKUP($A386,'NonXtal_SegEnds_Prot#'!A:AL,10,FALSE)+6,1)</f>
        <v>V</v>
      </c>
      <c r="T386" s="102" t="str">
        <f>MID(VLOOKUP($A386,Seqs!$A:$B,2,FALSE),VLOOKUP($A386,'NonXtal_SegEnds_Prot#'!A:AL,10,FALSE)+7,1)</f>
        <v>M</v>
      </c>
      <c r="U386" s="102" t="str">
        <f>MID(VLOOKUP($A386,Seqs!$A:$B,2,FALSE),VLOOKUP($A386,'NonXtal_SegEnds_Prot#'!A:AL,10,FALSE)+8,1)</f>
        <v>L</v>
      </c>
      <c r="V386" s="102" t="str">
        <f>MID(VLOOKUP($A386,Seqs!$A:$B,2,FALSE),VLOOKUP($A386,'NonXtal_SegEnds_Prot#'!A:AL,10,FALSE)+9,1)</f>
        <v>F</v>
      </c>
      <c r="W386" s="71" t="str">
        <f>MID(VLOOKUP($A386,Seqs!$A:$B,2,FALSE),VLOOKUP($A386,'NonXtal_SegEnds_Prot#'!$A:$AL,22,FALSE)+6,1)</f>
        <v>I</v>
      </c>
      <c r="X386" s="102" t="str">
        <f>MID(VLOOKUP($A386,Seqs!$A:$B,2,FALSE),VLOOKUP($A386,'NonXtal_SegEnds_Prot#'!$A:$AL,22,FALSE)+7,1)</f>
        <v>C</v>
      </c>
      <c r="Y386" s="102" t="str">
        <f>MID(VLOOKUP($A386,Seqs!$A:$B,2,FALSE),VLOOKUP($A386,'NonXtal_SegEnds_Prot#'!$A:$AL,22,FALSE)+8,1)</f>
        <v>N</v>
      </c>
      <c r="Z386" s="102" t="str">
        <f>MID(VLOOKUP($A386,Seqs!$A:$B,2,FALSE),VLOOKUP($A386,'NonXtal_SegEnds_Prot#'!$A:$AL,22,FALSE)+9,1)</f>
        <v>L</v>
      </c>
      <c r="AA386" s="102" t="str">
        <f>MID(VLOOKUP($A386,Seqs!$A:$B,2,FALSE),VLOOKUP($A386,'NonXtal_SegEnds_Prot#'!$A:$AL,22,FALSE)+10,1)</f>
        <v>A</v>
      </c>
      <c r="AB386" s="71" t="str">
        <f>MID(VLOOKUP($A386,Seqs!$A:$B,2,FALSE),VLOOKUP($A386,'NonXtal_SegEnds_Prot#'!$A:$AL,28,FALSE)-4,1)</f>
        <v>A</v>
      </c>
      <c r="AC386" s="102" t="str">
        <f>MID(VLOOKUP($A386,Seqs!$A:$B,2,FALSE),VLOOKUP($A386,'NonXtal_SegEnds_Prot#'!$A:$AL,28,FALSE),1)</f>
        <v>P</v>
      </c>
    </row>
    <row r="387" spans="1:29" s="2" customFormat="1" x14ac:dyDescent="0.2">
      <c r="A387" s="2" t="s">
        <v>656</v>
      </c>
      <c r="B387" s="2" t="str">
        <f>LOWER(VLOOKUP(A387,Xtal_Templ!A:B,2,FALSE))</f>
        <v>agtr1_human</v>
      </c>
      <c r="C387" s="2" t="str">
        <f>VLOOKUP(A387,Classification!A:D,2,FALSE)</f>
        <v>T</v>
      </c>
      <c r="R387" s="71" t="str">
        <f>MID(VLOOKUP($A387,Seqs!$A:$B,2,FALSE),VLOOKUP($A387,'NonXtal_SegEnds_Prot#'!A:AL,10,FALSE),1)</f>
        <v>R</v>
      </c>
      <c r="S387" s="102" t="str">
        <f>MID(VLOOKUP($A387,Seqs!$A:$B,2,FALSE),VLOOKUP($A387,'NonXtal_SegEnds_Prot#'!A:AL,10,FALSE)+6,1)</f>
        <v>V</v>
      </c>
      <c r="T387" s="102" t="str">
        <f>MID(VLOOKUP($A387,Seqs!$A:$B,2,FALSE),VLOOKUP($A387,'NonXtal_SegEnds_Prot#'!A:AL,10,FALSE)+7,1)</f>
        <v>I</v>
      </c>
      <c r="U387" s="102" t="str">
        <f>MID(VLOOKUP($A387,Seqs!$A:$B,2,FALSE),VLOOKUP($A387,'NonXtal_SegEnds_Prot#'!A:AL,10,FALSE)+8,1)</f>
        <v>L</v>
      </c>
      <c r="V387" s="102" t="str">
        <f>MID(VLOOKUP($A387,Seqs!$A:$B,2,FALSE),VLOOKUP($A387,'NonXtal_SegEnds_Prot#'!A:AL,10,FALSE)+9,1)</f>
        <v>L</v>
      </c>
      <c r="W387" s="71" t="str">
        <f>MID(VLOOKUP($A387,Seqs!$A:$B,2,FALSE),VLOOKUP($A387,'NonXtal_SegEnds_Prot#'!$A:$AL,22,FALSE)+6,1)</f>
        <v>V</v>
      </c>
      <c r="X387" s="102" t="str">
        <f>MID(VLOOKUP($A387,Seqs!$A:$B,2,FALSE),VLOOKUP($A387,'NonXtal_SegEnds_Prot#'!$A:$AL,22,FALSE)+7,1)</f>
        <v>C</v>
      </c>
      <c r="Y387" s="102" t="str">
        <f>MID(VLOOKUP($A387,Seqs!$A:$B,2,FALSE),VLOOKUP($A387,'NonXtal_SegEnds_Prot#'!$A:$AL,22,FALSE)+8,1)</f>
        <v>H</v>
      </c>
      <c r="Z387" s="102" t="str">
        <f>MID(VLOOKUP($A387,Seqs!$A:$B,2,FALSE),VLOOKUP($A387,'NonXtal_SegEnds_Prot#'!$A:$AL,22,FALSE)+9,1)</f>
        <v>L</v>
      </c>
      <c r="AA387" s="102" t="str">
        <f>MID(VLOOKUP($A387,Seqs!$A:$B,2,FALSE),VLOOKUP($A387,'NonXtal_SegEnds_Prot#'!$A:$AL,22,FALSE)+10,1)</f>
        <v>V</v>
      </c>
      <c r="AB387" s="71" t="str">
        <f>MID(VLOOKUP($A387,Seqs!$A:$B,2,FALSE),VLOOKUP($A387,'NonXtal_SegEnds_Prot#'!$A:$AL,28,FALSE)-4,1)</f>
        <v>A</v>
      </c>
      <c r="AC387" s="102" t="str">
        <f>MID(VLOOKUP($A387,Seqs!$A:$B,2,FALSE),VLOOKUP($A387,'NonXtal_SegEnds_Prot#'!$A:$AL,28,FALSE),1)</f>
        <v>P</v>
      </c>
    </row>
    <row r="388" spans="1:29" s="2" customFormat="1" x14ac:dyDescent="0.2">
      <c r="A388" s="2" t="s">
        <v>657</v>
      </c>
      <c r="B388" s="2" t="str">
        <f>LOWER(VLOOKUP(A388,Xtal_Templ!A:B,2,FALSE))</f>
        <v>agtr1_human</v>
      </c>
      <c r="C388" s="2" t="str">
        <f>VLOOKUP(A388,Classification!A:D,2,FALSE)</f>
        <v>T</v>
      </c>
      <c r="R388" s="71" t="str">
        <f>MID(VLOOKUP($A388,Seqs!$A:$B,2,FALSE),VLOOKUP($A388,'NonXtal_SegEnds_Prot#'!A:AL,10,FALSE),1)</f>
        <v>R</v>
      </c>
      <c r="S388" s="102" t="str">
        <f>MID(VLOOKUP($A388,Seqs!$A:$B,2,FALSE),VLOOKUP($A388,'NonXtal_SegEnds_Prot#'!A:AL,10,FALSE)+6,1)</f>
        <v>V</v>
      </c>
      <c r="T388" s="102" t="str">
        <f>MID(VLOOKUP($A388,Seqs!$A:$B,2,FALSE),VLOOKUP($A388,'NonXtal_SegEnds_Prot#'!A:AL,10,FALSE)+7,1)</f>
        <v>L</v>
      </c>
      <c r="U388" s="102" t="str">
        <f>MID(VLOOKUP($A388,Seqs!$A:$B,2,FALSE),VLOOKUP($A388,'NonXtal_SegEnds_Prot#'!A:AL,10,FALSE)+8,1)</f>
        <v>L</v>
      </c>
      <c r="V388" s="102" t="str">
        <f>MID(VLOOKUP($A388,Seqs!$A:$B,2,FALSE),VLOOKUP($A388,'NonXtal_SegEnds_Prot#'!A:AL,10,FALSE)+9,1)</f>
        <v>L</v>
      </c>
      <c r="W388" s="71" t="str">
        <f>MID(VLOOKUP($A388,Seqs!$A:$B,2,FALSE),VLOOKUP($A388,'NonXtal_SegEnds_Prot#'!$A:$AL,22,FALSE)+6,1)</f>
        <v>V</v>
      </c>
      <c r="X388" s="102" t="str">
        <f>MID(VLOOKUP($A388,Seqs!$A:$B,2,FALSE),VLOOKUP($A388,'NonXtal_SegEnds_Prot#'!$A:$AL,22,FALSE)+7,1)</f>
        <v>C</v>
      </c>
      <c r="Y388" s="102" t="str">
        <f>MID(VLOOKUP($A388,Seqs!$A:$B,2,FALSE),VLOOKUP($A388,'NonXtal_SegEnds_Prot#'!$A:$AL,22,FALSE)+8,1)</f>
        <v>H</v>
      </c>
      <c r="Z388" s="102" t="str">
        <f>MID(VLOOKUP($A388,Seqs!$A:$B,2,FALSE),VLOOKUP($A388,'NonXtal_SegEnds_Prot#'!$A:$AL,22,FALSE)+9,1)</f>
        <v>L</v>
      </c>
      <c r="AA388" s="102" t="str">
        <f>MID(VLOOKUP($A388,Seqs!$A:$B,2,FALSE),VLOOKUP($A388,'NonXtal_SegEnds_Prot#'!$A:$AL,22,FALSE)+10,1)</f>
        <v>F</v>
      </c>
      <c r="AB388" s="71" t="str">
        <f>MID(VLOOKUP($A388,Seqs!$A:$B,2,FALSE),VLOOKUP($A388,'NonXtal_SegEnds_Prot#'!$A:$AL,28,FALSE)-4,1)</f>
        <v>A</v>
      </c>
      <c r="AC388" s="102" t="str">
        <f>MID(VLOOKUP($A388,Seqs!$A:$B,2,FALSE),VLOOKUP($A388,'NonXtal_SegEnds_Prot#'!$A:$AL,28,FALSE),1)</f>
        <v>P</v>
      </c>
    </row>
    <row r="389" spans="1:29" s="2" customFormat="1" x14ac:dyDescent="0.2">
      <c r="A389" s="2" t="s">
        <v>658</v>
      </c>
      <c r="B389" s="2" t="str">
        <f>LOWER(VLOOKUP(A389,Xtal_Templ!A:B,2,FALSE))</f>
        <v>agtr1_human</v>
      </c>
      <c r="C389" s="2" t="str">
        <f>VLOOKUP(A389,Classification!A:D,2,FALSE)</f>
        <v>T</v>
      </c>
      <c r="R389" s="71" t="str">
        <f>MID(VLOOKUP($A389,Seqs!$A:$B,2,FALSE),VLOOKUP($A389,'NonXtal_SegEnds_Prot#'!A:AL,10,FALSE),1)</f>
        <v>R</v>
      </c>
      <c r="S389" s="102" t="str">
        <f>MID(VLOOKUP($A389,Seqs!$A:$B,2,FALSE),VLOOKUP($A389,'NonXtal_SegEnds_Prot#'!A:AL,10,FALSE)+6,1)</f>
        <v>V</v>
      </c>
      <c r="T389" s="102" t="str">
        <f>MID(VLOOKUP($A389,Seqs!$A:$B,2,FALSE),VLOOKUP($A389,'NonXtal_SegEnds_Prot#'!A:AL,10,FALSE)+7,1)</f>
        <v>L</v>
      </c>
      <c r="U389" s="102" t="str">
        <f>MID(VLOOKUP($A389,Seqs!$A:$B,2,FALSE),VLOOKUP($A389,'NonXtal_SegEnds_Prot#'!A:AL,10,FALSE)+8,1)</f>
        <v>L</v>
      </c>
      <c r="V389" s="102" t="str">
        <f>MID(VLOOKUP($A389,Seqs!$A:$B,2,FALSE),VLOOKUP($A389,'NonXtal_SegEnds_Prot#'!A:AL,10,FALSE)+9,1)</f>
        <v>L</v>
      </c>
      <c r="W389" s="71" t="str">
        <f>MID(VLOOKUP($A389,Seqs!$A:$B,2,FALSE),VLOOKUP($A389,'NonXtal_SegEnds_Prot#'!$A:$AL,22,FALSE)+6,1)</f>
        <v>A</v>
      </c>
      <c r="X389" s="102" t="str">
        <f>MID(VLOOKUP($A389,Seqs!$A:$B,2,FALSE),VLOOKUP($A389,'NonXtal_SegEnds_Prot#'!$A:$AL,22,FALSE)+7,1)</f>
        <v>C</v>
      </c>
      <c r="Y389" s="102" t="str">
        <f>MID(VLOOKUP($A389,Seqs!$A:$B,2,FALSE),VLOOKUP($A389,'NonXtal_SegEnds_Prot#'!$A:$AL,22,FALSE)+8,1)</f>
        <v>Q</v>
      </c>
      <c r="Z389" s="102" t="str">
        <f>MID(VLOOKUP($A389,Seqs!$A:$B,2,FALSE),VLOOKUP($A389,'NonXtal_SegEnds_Prot#'!$A:$AL,22,FALSE)+9,1)</f>
        <v>L</v>
      </c>
      <c r="AA389" s="102" t="str">
        <f>MID(VLOOKUP($A389,Seqs!$A:$B,2,FALSE),VLOOKUP($A389,'NonXtal_SegEnds_Prot#'!$A:$AL,22,FALSE)+10,1)</f>
        <v>F</v>
      </c>
      <c r="AB389" s="71" t="str">
        <f>MID(VLOOKUP($A389,Seqs!$A:$B,2,FALSE),VLOOKUP($A389,'NonXtal_SegEnds_Prot#'!$A:$AL,28,FALSE)-4,1)</f>
        <v>G</v>
      </c>
      <c r="AC389" s="102" t="str">
        <f>MID(VLOOKUP($A389,Seqs!$A:$B,2,FALSE),VLOOKUP($A389,'NonXtal_SegEnds_Prot#'!$A:$AL,28,FALSE),1)</f>
        <v>P</v>
      </c>
    </row>
    <row r="390" spans="1:29" s="2" customFormat="1" x14ac:dyDescent="0.2">
      <c r="A390" s="2" t="s">
        <v>659</v>
      </c>
      <c r="B390" s="2" t="str">
        <f>LOWER(VLOOKUP(A390,Xtal_Templ!A:B,2,FALSE))</f>
        <v>agtr1_human</v>
      </c>
      <c r="C390" s="2" t="str">
        <f>VLOOKUP(A390,Classification!A:D,2,FALSE)</f>
        <v>T</v>
      </c>
      <c r="R390" s="71" t="str">
        <f>MID(VLOOKUP($A390,Seqs!$A:$B,2,FALSE),VLOOKUP($A390,'NonXtal_SegEnds_Prot#'!A:AL,10,FALSE),1)</f>
        <v>R</v>
      </c>
      <c r="S390" s="102" t="str">
        <f>MID(VLOOKUP($A390,Seqs!$A:$B,2,FALSE),VLOOKUP($A390,'NonXtal_SegEnds_Prot#'!A:AL,10,FALSE)+6,1)</f>
        <v>L</v>
      </c>
      <c r="T390" s="102" t="str">
        <f>MID(VLOOKUP($A390,Seqs!$A:$B,2,FALSE),VLOOKUP($A390,'NonXtal_SegEnds_Prot#'!A:AL,10,FALSE)+7,1)</f>
        <v>L</v>
      </c>
      <c r="U390" s="102" t="str">
        <f>MID(VLOOKUP($A390,Seqs!$A:$B,2,FALSE),VLOOKUP($A390,'NonXtal_SegEnds_Prot#'!A:AL,10,FALSE)+8,1)</f>
        <v>F</v>
      </c>
      <c r="V390" s="102" t="str">
        <f>MID(VLOOKUP($A390,Seqs!$A:$B,2,FALSE),VLOOKUP($A390,'NonXtal_SegEnds_Prot#'!A:AL,10,FALSE)+9,1)</f>
        <v>L</v>
      </c>
      <c r="W390" s="71" t="str">
        <f>MID(VLOOKUP($A390,Seqs!$A:$B,2,FALSE),VLOOKUP($A390,'NonXtal_SegEnds_Prot#'!$A:$AL,22,FALSE)+6,1)</f>
        <v>C</v>
      </c>
      <c r="X390" s="102" t="str">
        <f>MID(VLOOKUP($A390,Seqs!$A:$B,2,FALSE),VLOOKUP($A390,'NonXtal_SegEnds_Prot#'!$A:$AL,22,FALSE)+7,1)</f>
        <v>I</v>
      </c>
      <c r="Y390" s="102" t="str">
        <f>MID(VLOOKUP($A390,Seqs!$A:$B,2,FALSE),VLOOKUP($A390,'NonXtal_SegEnds_Prot#'!$A:$AL,22,FALSE)+8,1)</f>
        <v>C</v>
      </c>
      <c r="Z390" s="102" t="str">
        <f>MID(VLOOKUP($A390,Seqs!$A:$B,2,FALSE),VLOOKUP($A390,'NonXtal_SegEnds_Prot#'!$A:$AL,22,FALSE)+9,1)</f>
        <v>T</v>
      </c>
      <c r="AA390" s="102" t="str">
        <f>MID(VLOOKUP($A390,Seqs!$A:$B,2,FALSE),VLOOKUP($A390,'NonXtal_SegEnds_Prot#'!$A:$AL,22,FALSE)+10,1)</f>
        <v>V</v>
      </c>
      <c r="AB390" s="71" t="str">
        <f>MID(VLOOKUP($A390,Seqs!$A:$B,2,FALSE),VLOOKUP($A390,'NonXtal_SegEnds_Prot#'!$A:$AL,28,FALSE)-4,1)</f>
        <v>W</v>
      </c>
      <c r="AC390" s="102" t="str">
        <f>MID(VLOOKUP($A390,Seqs!$A:$B,2,FALSE),VLOOKUP($A390,'NonXtal_SegEnds_Prot#'!$A:$AL,28,FALSE),1)</f>
        <v>P</v>
      </c>
    </row>
    <row r="391" spans="1:29" s="2" customFormat="1" x14ac:dyDescent="0.2">
      <c r="A391" s="2" t="s">
        <v>660</v>
      </c>
      <c r="B391" s="2" t="str">
        <f>LOWER(VLOOKUP(A391,Xtal_Templ!A:B,2,FALSE))</f>
        <v>acm3_rat</v>
      </c>
      <c r="C391" s="2" t="str">
        <f>VLOOKUP(A391,Classification!A:D,2,FALSE)</f>
        <v>T</v>
      </c>
      <c r="R391" s="71" t="str">
        <f>MID(VLOOKUP($A391,Seqs!$A:$B,2,FALSE),VLOOKUP($A391,'NonXtal_SegEnds_Prot#'!A:AL,10,FALSE),1)</f>
        <v>R</v>
      </c>
      <c r="S391" s="102" t="str">
        <f>MID(VLOOKUP($A391,Seqs!$A:$B,2,FALSE),VLOOKUP($A391,'NonXtal_SegEnds_Prot#'!A:AL,10,FALSE)+6,1)</f>
        <v>L</v>
      </c>
      <c r="T391" s="102" t="str">
        <f>MID(VLOOKUP($A391,Seqs!$A:$B,2,FALSE),VLOOKUP($A391,'NonXtal_SegEnds_Prot#'!A:AL,10,FALSE)+7,1)</f>
        <v>M</v>
      </c>
      <c r="U391" s="102" t="str">
        <f>MID(VLOOKUP($A391,Seqs!$A:$B,2,FALSE),VLOOKUP($A391,'NonXtal_SegEnds_Prot#'!A:AL,10,FALSE)+8,1)</f>
        <v>M</v>
      </c>
      <c r="V391" s="102" t="str">
        <f>MID(VLOOKUP($A391,Seqs!$A:$B,2,FALSE),VLOOKUP($A391,'NonXtal_SegEnds_Prot#'!A:AL,10,FALSE)+9,1)</f>
        <v>L</v>
      </c>
      <c r="W391" s="71" t="str">
        <f>MID(VLOOKUP($A391,Seqs!$A:$B,2,FALSE),VLOOKUP($A391,'NonXtal_SegEnds_Prot#'!$A:$AL,22,FALSE)+6,1)</f>
        <v>F</v>
      </c>
      <c r="X391" s="102" t="str">
        <f>MID(VLOOKUP($A391,Seqs!$A:$B,2,FALSE),VLOOKUP($A391,'NonXtal_SegEnds_Prot#'!$A:$AL,22,FALSE)+7,1)</f>
        <v>S</v>
      </c>
      <c r="Y391" s="102" t="str">
        <f>MID(VLOOKUP($A391,Seqs!$A:$B,2,FALSE),VLOOKUP($A391,'NonXtal_SegEnds_Prot#'!$A:$AL,22,FALSE)+8,1)</f>
        <v>H</v>
      </c>
      <c r="Z391" s="102" t="str">
        <f>MID(VLOOKUP($A391,Seqs!$A:$B,2,FALSE),VLOOKUP($A391,'NonXtal_SegEnds_Prot#'!$A:$AL,22,FALSE)+9,1)</f>
        <v>S</v>
      </c>
      <c r="AA391" s="102" t="str">
        <f>MID(VLOOKUP($A391,Seqs!$A:$B,2,FALSE),VLOOKUP($A391,'NonXtal_SegEnds_Prot#'!$A:$AL,22,FALSE)+10,1)</f>
        <v>M</v>
      </c>
      <c r="AB391" s="71" t="str">
        <f>MID(VLOOKUP($A391,Seqs!$A:$B,2,FALSE),VLOOKUP($A391,'NonXtal_SegEnds_Prot#'!$A:$AL,28,FALSE)-4,1)</f>
        <v>G</v>
      </c>
      <c r="AC391" s="102" t="str">
        <f>MID(VLOOKUP($A391,Seqs!$A:$B,2,FALSE),VLOOKUP($A391,'NonXtal_SegEnds_Prot#'!$A:$AL,28,FALSE),1)</f>
        <v>P</v>
      </c>
    </row>
    <row r="392" spans="1:29" s="2" customFormat="1" x14ac:dyDescent="0.2">
      <c r="A392" s="2" t="s">
        <v>661</v>
      </c>
      <c r="B392" s="2" t="str">
        <f>LOWER(VLOOKUP(A392,Xtal_Templ!A:B,2,FALSE))</f>
        <v>oprm_mouse</v>
      </c>
      <c r="C392" s="2" t="str">
        <f>VLOOKUP(A392,Classification!A:D,2,FALSE)</f>
        <v>T</v>
      </c>
      <c r="R392" s="71" t="str">
        <f>MID(VLOOKUP($A392,Seqs!$A:$B,2,FALSE),VLOOKUP($A392,'NonXtal_SegEnds_Prot#'!A:AL,10,FALSE),1)</f>
        <v>R</v>
      </c>
      <c r="S392" s="102" t="str">
        <f>MID(VLOOKUP($A392,Seqs!$A:$B,2,FALSE),VLOOKUP($A392,'NonXtal_SegEnds_Prot#'!A:AL,10,FALSE)+6,1)</f>
        <v>W</v>
      </c>
      <c r="T392" s="102" t="str">
        <f>MID(VLOOKUP($A392,Seqs!$A:$B,2,FALSE),VLOOKUP($A392,'NonXtal_SegEnds_Prot#'!A:AL,10,FALSE)+7,1)</f>
        <v>M</v>
      </c>
      <c r="U392" s="102" t="str">
        <f>MID(VLOOKUP($A392,Seqs!$A:$B,2,FALSE),VLOOKUP($A392,'NonXtal_SegEnds_Prot#'!A:AL,10,FALSE)+8,1)</f>
        <v>M</v>
      </c>
      <c r="V392" s="102" t="str">
        <f>MID(VLOOKUP($A392,Seqs!$A:$B,2,FALSE),VLOOKUP($A392,'NonXtal_SegEnds_Prot#'!A:AL,10,FALSE)+9,1)</f>
        <v>L</v>
      </c>
      <c r="W392" s="71" t="str">
        <f>MID(VLOOKUP($A392,Seqs!$A:$B,2,FALSE),VLOOKUP($A392,'NonXtal_SegEnds_Prot#'!$A:$AL,22,FALSE)+6,1)</f>
        <v>L</v>
      </c>
      <c r="X392" s="102" t="str">
        <f>MID(VLOOKUP($A392,Seqs!$A:$B,2,FALSE),VLOOKUP($A392,'NonXtal_SegEnds_Prot#'!$A:$AL,22,FALSE)+7,1)</f>
        <v>S</v>
      </c>
      <c r="Y392" s="102" t="str">
        <f>MID(VLOOKUP($A392,Seqs!$A:$B,2,FALSE),VLOOKUP($A392,'NonXtal_SegEnds_Prot#'!$A:$AL,22,FALSE)+8,1)</f>
        <v>F</v>
      </c>
      <c r="Z392" s="102" t="str">
        <f>MID(VLOOKUP($A392,Seqs!$A:$B,2,FALSE),VLOOKUP($A392,'NonXtal_SegEnds_Prot#'!$A:$AL,22,FALSE)+9,1)</f>
        <v>S</v>
      </c>
      <c r="AA392" s="102" t="str">
        <f>MID(VLOOKUP($A392,Seqs!$A:$B,2,FALSE),VLOOKUP($A392,'NonXtal_SegEnds_Prot#'!$A:$AL,22,FALSE)+10,1)</f>
        <v>F</v>
      </c>
      <c r="AB392" s="71" t="str">
        <f>MID(VLOOKUP($A392,Seqs!$A:$B,2,FALSE),VLOOKUP($A392,'NonXtal_SegEnds_Prot#'!$A:$AL,28,FALSE)-4,1)</f>
        <v>G</v>
      </c>
      <c r="AC392" s="102" t="str">
        <f>MID(VLOOKUP($A392,Seqs!$A:$B,2,FALSE),VLOOKUP($A392,'NonXtal_SegEnds_Prot#'!$A:$AL,28,FALSE),1)</f>
        <v>P</v>
      </c>
    </row>
    <row r="393" spans="1:29" s="2" customFormat="1" x14ac:dyDescent="0.2">
      <c r="A393" s="2" t="s">
        <v>662</v>
      </c>
      <c r="B393" s="2" t="str">
        <f>LOWER(VLOOKUP(A393,Xtal_Templ!A:B,2,FALSE))</f>
        <v>agtr1_human</v>
      </c>
      <c r="C393" s="2" t="str">
        <f>VLOOKUP(A393,Classification!A:D,2,FALSE)</f>
        <v>T</v>
      </c>
      <c r="R393" s="71" t="str">
        <f>MID(VLOOKUP($A393,Seqs!$A:$B,2,FALSE),VLOOKUP($A393,'NonXtal_SegEnds_Prot#'!A:AL,10,FALSE),1)</f>
        <v>R</v>
      </c>
      <c r="S393" s="102" t="str">
        <f>MID(VLOOKUP($A393,Seqs!$A:$B,2,FALSE),VLOOKUP($A393,'NonXtal_SegEnds_Prot#'!A:AL,10,FALSE)+6,1)</f>
        <v>V</v>
      </c>
      <c r="T393" s="102" t="str">
        <f>MID(VLOOKUP($A393,Seqs!$A:$B,2,FALSE),VLOOKUP($A393,'NonXtal_SegEnds_Prot#'!A:AL,10,FALSE)+7,1)</f>
        <v>G</v>
      </c>
      <c r="U393" s="102" t="str">
        <f>MID(VLOOKUP($A393,Seqs!$A:$B,2,FALSE),VLOOKUP($A393,'NonXtal_SegEnds_Prot#'!A:AL,10,FALSE)+8,1)</f>
        <v>T</v>
      </c>
      <c r="V393" s="102" t="str">
        <f>MID(VLOOKUP($A393,Seqs!$A:$B,2,FALSE),VLOOKUP($A393,'NonXtal_SegEnds_Prot#'!A:AL,10,FALSE)+9,1)</f>
        <v>V</v>
      </c>
      <c r="W393" s="71" t="str">
        <f>MID(VLOOKUP($A393,Seqs!$A:$B,2,FALSE),VLOOKUP($A393,'NonXtal_SegEnds_Prot#'!$A:$AL,22,FALSE)+6,1)</f>
        <v>F</v>
      </c>
      <c r="X393" s="102" t="str">
        <f>MID(VLOOKUP($A393,Seqs!$A:$B,2,FALSE),VLOOKUP($A393,'NonXtal_SegEnds_Prot#'!$A:$AL,22,FALSE)+7,1)</f>
        <v>I</v>
      </c>
      <c r="Y393" s="102" t="str">
        <f>MID(VLOOKUP($A393,Seqs!$A:$B,2,FALSE),VLOOKUP($A393,'NonXtal_SegEnds_Prot#'!$A:$AL,22,FALSE)+8,1)</f>
        <v>I</v>
      </c>
      <c r="Z393" s="102" t="str">
        <f>MID(VLOOKUP($A393,Seqs!$A:$B,2,FALSE),VLOOKUP($A393,'NonXtal_SegEnds_Prot#'!$A:$AL,22,FALSE)+9,1)</f>
        <v>T</v>
      </c>
      <c r="AA393" s="102" t="str">
        <f>MID(VLOOKUP($A393,Seqs!$A:$B,2,FALSE),VLOOKUP($A393,'NonXtal_SegEnds_Prot#'!$A:$AL,22,FALSE)+10,1)</f>
        <v>L</v>
      </c>
      <c r="AB393" s="71" t="str">
        <f>MID(VLOOKUP($A393,Seqs!$A:$B,2,FALSE),VLOOKUP($A393,'NonXtal_SegEnds_Prot#'!$A:$AL,28,FALSE)-4,1)</f>
        <v>I</v>
      </c>
      <c r="AC393" s="102" t="str">
        <f>MID(VLOOKUP($A393,Seqs!$A:$B,2,FALSE),VLOOKUP($A393,'NonXtal_SegEnds_Prot#'!$A:$AL,28,FALSE),1)</f>
        <v>P</v>
      </c>
    </row>
    <row r="394" spans="1:29" s="2" customFormat="1" x14ac:dyDescent="0.2">
      <c r="A394" s="2" t="s">
        <v>663</v>
      </c>
      <c r="B394" s="2" t="str">
        <f>LOWER(VLOOKUP(A394,Xtal_Templ!A:B,2,FALSE))</f>
        <v>agtr1_human</v>
      </c>
      <c r="C394" s="2" t="str">
        <f>VLOOKUP(A394,Classification!A:D,2,FALSE)</f>
        <v>T</v>
      </c>
      <c r="R394" s="71" t="str">
        <f>MID(VLOOKUP($A394,Seqs!$A:$B,2,FALSE),VLOOKUP($A394,'NonXtal_SegEnds_Prot#'!A:AL,10,FALSE),1)</f>
        <v>T</v>
      </c>
      <c r="S394" s="102" t="str">
        <f>MID(VLOOKUP($A394,Seqs!$A:$B,2,FALSE),VLOOKUP($A394,'NonXtal_SegEnds_Prot#'!A:AL,10,FALSE)+6,1)</f>
        <v>V</v>
      </c>
      <c r="T394" s="102" t="str">
        <f>MID(VLOOKUP($A394,Seqs!$A:$B,2,FALSE),VLOOKUP($A394,'NonXtal_SegEnds_Prot#'!A:AL,10,FALSE)+7,1)</f>
        <v>I</v>
      </c>
      <c r="U394" s="102" t="str">
        <f>MID(VLOOKUP($A394,Seqs!$A:$B,2,FALSE),VLOOKUP($A394,'NonXtal_SegEnds_Prot#'!A:AL,10,FALSE)+8,1)</f>
        <v>L</v>
      </c>
      <c r="V394" s="102" t="str">
        <f>MID(VLOOKUP($A394,Seqs!$A:$B,2,FALSE),VLOOKUP($A394,'NonXtal_SegEnds_Prot#'!A:AL,10,FALSE)+9,1)</f>
        <v>F</v>
      </c>
      <c r="W394" s="71" t="str">
        <f>MID(VLOOKUP($A394,Seqs!$A:$B,2,FALSE),VLOOKUP($A394,'NonXtal_SegEnds_Prot#'!$A:$AL,22,FALSE)+6,1)</f>
        <v>I</v>
      </c>
      <c r="X394" s="102" t="str">
        <f>MID(VLOOKUP($A394,Seqs!$A:$B,2,FALSE),VLOOKUP($A394,'NonXtal_SegEnds_Prot#'!$A:$AL,22,FALSE)+7,1)</f>
        <v>F</v>
      </c>
      <c r="Y394" s="102" t="str">
        <f>MID(VLOOKUP($A394,Seqs!$A:$B,2,FALSE),VLOOKUP($A394,'NonXtal_SegEnds_Prot#'!$A:$AL,22,FALSE)+8,1)</f>
        <v>D</v>
      </c>
      <c r="Z394" s="102" t="str">
        <f>MID(VLOOKUP($A394,Seqs!$A:$B,2,FALSE),VLOOKUP($A394,'NonXtal_SegEnds_Prot#'!$A:$AL,22,FALSE)+9,1)</f>
        <v>S</v>
      </c>
      <c r="AA394" s="102" t="str">
        <f>MID(VLOOKUP($A394,Seqs!$A:$B,2,FALSE),VLOOKUP($A394,'NonXtal_SegEnds_Prot#'!$A:$AL,22,FALSE)+10,1)</f>
        <v>L</v>
      </c>
      <c r="AB394" s="71" t="str">
        <f>MID(VLOOKUP($A394,Seqs!$A:$B,2,FALSE),VLOOKUP($A394,'NonXtal_SegEnds_Prot#'!$A:$AL,28,FALSE)-4,1)</f>
        <v>T</v>
      </c>
      <c r="AC394" s="102" t="str">
        <f>MID(VLOOKUP($A394,Seqs!$A:$B,2,FALSE),VLOOKUP($A394,'NonXtal_SegEnds_Prot#'!$A:$AL,28,FALSE),1)</f>
        <v>P</v>
      </c>
    </row>
    <row r="395" spans="1:29" s="2" customFormat="1" x14ac:dyDescent="0.2">
      <c r="A395" s="2" t="s">
        <v>664</v>
      </c>
      <c r="B395" s="2" t="str">
        <f>LOWER(VLOOKUP(A395,Xtal_Templ!A:B,2,FALSE))</f>
        <v>agtr1_human</v>
      </c>
      <c r="C395" s="2" t="str">
        <f>VLOOKUP(A395,Classification!A:D,2,FALSE)</f>
        <v>T</v>
      </c>
      <c r="R395" s="71" t="str">
        <f>MID(VLOOKUP($A395,Seqs!$A:$B,2,FALSE),VLOOKUP($A395,'NonXtal_SegEnds_Prot#'!A:AL,10,FALSE),1)</f>
        <v>R</v>
      </c>
      <c r="S395" s="102" t="str">
        <f>MID(VLOOKUP($A395,Seqs!$A:$B,2,FALSE),VLOOKUP($A395,'NonXtal_SegEnds_Prot#'!A:AL,10,FALSE)+6,1)</f>
        <v>V</v>
      </c>
      <c r="T395" s="102" t="str">
        <f>MID(VLOOKUP($A395,Seqs!$A:$B,2,FALSE),VLOOKUP($A395,'NonXtal_SegEnds_Prot#'!A:AL,10,FALSE)+7,1)</f>
        <v>L</v>
      </c>
      <c r="U395" s="102" t="str">
        <f>MID(VLOOKUP($A395,Seqs!$A:$B,2,FALSE),VLOOKUP($A395,'NonXtal_SegEnds_Prot#'!A:AL,10,FALSE)+8,1)</f>
        <v>L</v>
      </c>
      <c r="V395" s="102" t="str">
        <f>MID(VLOOKUP($A395,Seqs!$A:$B,2,FALSE),VLOOKUP($A395,'NonXtal_SegEnds_Prot#'!A:AL,10,FALSE)+9,1)</f>
        <v>L</v>
      </c>
      <c r="W395" s="71" t="str">
        <f>MID(VLOOKUP($A395,Seqs!$A:$B,2,FALSE),VLOOKUP($A395,'NonXtal_SegEnds_Prot#'!$A:$AL,22,FALSE)+6,1)</f>
        <v>A</v>
      </c>
      <c r="X395" s="102" t="str">
        <f>MID(VLOOKUP($A395,Seqs!$A:$B,2,FALSE),VLOOKUP($A395,'NonXtal_SegEnds_Prot#'!$A:$AL,22,FALSE)+7,1)</f>
        <v>C</v>
      </c>
      <c r="Y395" s="102" t="str">
        <f>MID(VLOOKUP($A395,Seqs!$A:$B,2,FALSE),VLOOKUP($A395,'NonXtal_SegEnds_Prot#'!$A:$AL,22,FALSE)+8,1)</f>
        <v>H</v>
      </c>
      <c r="Z395" s="102" t="str">
        <f>MID(VLOOKUP($A395,Seqs!$A:$B,2,FALSE),VLOOKUP($A395,'NonXtal_SegEnds_Prot#'!$A:$AL,22,FALSE)+9,1)</f>
        <v>L</v>
      </c>
      <c r="AA395" s="102" t="str">
        <f>MID(VLOOKUP($A395,Seqs!$A:$B,2,FALSE),VLOOKUP($A395,'NonXtal_SegEnds_Prot#'!$A:$AL,22,FALSE)+10,1)</f>
        <v>F</v>
      </c>
      <c r="AB395" s="71" t="str">
        <f>MID(VLOOKUP($A395,Seqs!$A:$B,2,FALSE),VLOOKUP($A395,'NonXtal_SegEnds_Prot#'!$A:$AL,28,FALSE)-4,1)</f>
        <v>A</v>
      </c>
      <c r="AC395" s="102" t="str">
        <f>MID(VLOOKUP($A395,Seqs!$A:$B,2,FALSE),VLOOKUP($A395,'NonXtal_SegEnds_Prot#'!$A:$AL,28,FALSE),1)</f>
        <v>P</v>
      </c>
    </row>
    <row r="396" spans="1:29" s="2" customFormat="1" x14ac:dyDescent="0.2">
      <c r="A396" s="2" t="s">
        <v>1126</v>
      </c>
      <c r="B396" s="2" t="str">
        <f>LOWER(VLOOKUP(A396,Xtal_Templ!A:B,2,FALSE))</f>
        <v>agtr1_human</v>
      </c>
      <c r="C396" s="2" t="str">
        <f>VLOOKUP(A396,Classification!A:D,2,FALSE)</f>
        <v>T</v>
      </c>
      <c r="R396" s="71" t="str">
        <f>MID(VLOOKUP($A396,Seqs!$A:$B,2,FALSE),VLOOKUP($A396,'NonXtal_SegEnds_Prot#'!A:AL,10,FALSE),1)</f>
        <v>R</v>
      </c>
      <c r="S396" s="102" t="str">
        <f>MID(VLOOKUP($A396,Seqs!$A:$B,2,FALSE),VLOOKUP($A396,'NonXtal_SegEnds_Prot#'!A:AL,10,FALSE)+6,1)</f>
        <v>V</v>
      </c>
      <c r="T396" s="102" t="str">
        <f>MID(VLOOKUP($A396,Seqs!$A:$B,2,FALSE),VLOOKUP($A396,'NonXtal_SegEnds_Prot#'!A:AL,10,FALSE)+7,1)</f>
        <v>L</v>
      </c>
      <c r="U396" s="102" t="str">
        <f>MID(VLOOKUP($A396,Seqs!$A:$B,2,FALSE),VLOOKUP($A396,'NonXtal_SegEnds_Prot#'!A:AL,10,FALSE)+8,1)</f>
        <v>L</v>
      </c>
      <c r="V396" s="102" t="str">
        <f>MID(VLOOKUP($A396,Seqs!$A:$B,2,FALSE),VLOOKUP($A396,'NonXtal_SegEnds_Prot#'!A:AL,10,FALSE)+9,1)</f>
        <v>L</v>
      </c>
      <c r="W396" s="71" t="str">
        <f>MID(VLOOKUP($A396,Seqs!$A:$B,2,FALSE),VLOOKUP($A396,'NonXtal_SegEnds_Prot#'!$A:$AL,22,FALSE)+6,1)</f>
        <v>A</v>
      </c>
      <c r="X396" s="102" t="str">
        <f>MID(VLOOKUP($A396,Seqs!$A:$B,2,FALSE),VLOOKUP($A396,'NonXtal_SegEnds_Prot#'!$A:$AL,22,FALSE)+7,1)</f>
        <v>C</v>
      </c>
      <c r="Y396" s="102" t="str">
        <f>MID(VLOOKUP($A396,Seqs!$A:$B,2,FALSE),VLOOKUP($A396,'NonXtal_SegEnds_Prot#'!$A:$AL,22,FALSE)+8,1)</f>
        <v>H</v>
      </c>
      <c r="Z396" s="102" t="str">
        <f>MID(VLOOKUP($A396,Seqs!$A:$B,2,FALSE),VLOOKUP($A396,'NonXtal_SegEnds_Prot#'!$A:$AL,22,FALSE)+9,1)</f>
        <v>L</v>
      </c>
      <c r="AA396" s="102" t="str">
        <f>MID(VLOOKUP($A396,Seqs!$A:$B,2,FALSE),VLOOKUP($A396,'NonXtal_SegEnds_Prot#'!$A:$AL,22,FALSE)+10,1)</f>
        <v>F</v>
      </c>
      <c r="AB396" s="71" t="str">
        <f>MID(VLOOKUP($A396,Seqs!$A:$B,2,FALSE),VLOOKUP($A396,'NonXtal_SegEnds_Prot#'!$A:$AL,28,FALSE)-4,1)</f>
        <v>A</v>
      </c>
      <c r="AC396" s="102" t="str">
        <f>MID(VLOOKUP($A396,Seqs!$A:$B,2,FALSE),VLOOKUP($A396,'NonXtal_SegEnds_Prot#'!$A:$AL,28,FALSE),1)</f>
        <v>P</v>
      </c>
    </row>
    <row r="397" spans="1:29" s="2" customFormat="1" x14ac:dyDescent="0.2">
      <c r="A397" s="2" t="s">
        <v>665</v>
      </c>
      <c r="B397" s="2" t="str">
        <f>LOWER(VLOOKUP(A397,Xtal_Templ!A:B,2,FALSE))</f>
        <v>agtr1_human</v>
      </c>
      <c r="C397" s="2" t="str">
        <f>VLOOKUP(A397,Classification!A:D,2,FALSE)</f>
        <v>T</v>
      </c>
      <c r="R397" s="71" t="str">
        <f>MID(VLOOKUP($A397,Seqs!$A:$B,2,FALSE),VLOOKUP($A397,'NonXtal_SegEnds_Prot#'!A:AL,10,FALSE),1)</f>
        <v>R</v>
      </c>
      <c r="S397" s="102" t="str">
        <f>MID(VLOOKUP($A397,Seqs!$A:$B,2,FALSE),VLOOKUP($A397,'NonXtal_SegEnds_Prot#'!A:AL,10,FALSE)+6,1)</f>
        <v>V</v>
      </c>
      <c r="T397" s="102" t="str">
        <f>MID(VLOOKUP($A397,Seqs!$A:$B,2,FALSE),VLOOKUP($A397,'NonXtal_SegEnds_Prot#'!A:AL,10,FALSE)+7,1)</f>
        <v>L</v>
      </c>
      <c r="U397" s="102" t="str">
        <f>MID(VLOOKUP($A397,Seqs!$A:$B,2,FALSE),VLOOKUP($A397,'NonXtal_SegEnds_Prot#'!A:AL,10,FALSE)+8,1)</f>
        <v>V</v>
      </c>
      <c r="V397" s="102" t="str">
        <f>MID(VLOOKUP($A397,Seqs!$A:$B,2,FALSE),VLOOKUP($A397,'NonXtal_SegEnds_Prot#'!A:AL,10,FALSE)+9,1)</f>
        <v>L</v>
      </c>
      <c r="W397" s="71" t="str">
        <f>MID(VLOOKUP($A397,Seqs!$A:$B,2,FALSE),VLOOKUP($A397,'NonXtal_SegEnds_Prot#'!$A:$AL,22,FALSE)+6,1)</f>
        <v>V</v>
      </c>
      <c r="X397" s="102" t="str">
        <f>MID(VLOOKUP($A397,Seqs!$A:$B,2,FALSE),VLOOKUP($A397,'NonXtal_SegEnds_Prot#'!$A:$AL,22,FALSE)+7,1)</f>
        <v>C</v>
      </c>
      <c r="Y397" s="102" t="str">
        <f>MID(VLOOKUP($A397,Seqs!$A:$B,2,FALSE),VLOOKUP($A397,'NonXtal_SegEnds_Prot#'!$A:$AL,22,FALSE)+8,1)</f>
        <v>H</v>
      </c>
      <c r="Z397" s="102" t="str">
        <f>MID(VLOOKUP($A397,Seqs!$A:$B,2,FALSE),VLOOKUP($A397,'NonXtal_SegEnds_Prot#'!$A:$AL,22,FALSE)+9,1)</f>
        <v>L</v>
      </c>
      <c r="AA397" s="102" t="str">
        <f>MID(VLOOKUP($A397,Seqs!$A:$B,2,FALSE),VLOOKUP($A397,'NonXtal_SegEnds_Prot#'!$A:$AL,22,FALSE)+10,1)</f>
        <v>F</v>
      </c>
      <c r="AB397" s="71" t="str">
        <f>MID(VLOOKUP($A397,Seqs!$A:$B,2,FALSE),VLOOKUP($A397,'NonXtal_SegEnds_Prot#'!$A:$AL,28,FALSE)-4,1)</f>
        <v>A</v>
      </c>
      <c r="AC397" s="102" t="str">
        <f>MID(VLOOKUP($A397,Seqs!$A:$B,2,FALSE),VLOOKUP($A397,'NonXtal_SegEnds_Prot#'!$A:$AL,28,FALSE),1)</f>
        <v>P</v>
      </c>
    </row>
    <row r="398" spans="1:29" s="2" customFormat="1" x14ac:dyDescent="0.2">
      <c r="A398" s="2" t="s">
        <v>666</v>
      </c>
      <c r="B398" s="2" t="str">
        <f>LOWER(VLOOKUP(A398,Xtal_Templ!A:B,2,FALSE))</f>
        <v>agtr1_human</v>
      </c>
      <c r="C398" s="2" t="str">
        <f>VLOOKUP(A398,Classification!A:D,2,FALSE)</f>
        <v>T</v>
      </c>
      <c r="R398" s="71" t="str">
        <f>MID(VLOOKUP($A398,Seqs!$A:$B,2,FALSE),VLOOKUP($A398,'NonXtal_SegEnds_Prot#'!A:AL,10,FALSE),1)</f>
        <v>R</v>
      </c>
      <c r="S398" s="102" t="str">
        <f>MID(VLOOKUP($A398,Seqs!$A:$B,2,FALSE),VLOOKUP($A398,'NonXtal_SegEnds_Prot#'!A:AL,10,FALSE)+6,1)</f>
        <v>A</v>
      </c>
      <c r="T398" s="102" t="str">
        <f>MID(VLOOKUP($A398,Seqs!$A:$B,2,FALSE),VLOOKUP($A398,'NonXtal_SegEnds_Prot#'!A:AL,10,FALSE)+7,1)</f>
        <v>L</v>
      </c>
      <c r="U398" s="102" t="str">
        <f>MID(VLOOKUP($A398,Seqs!$A:$B,2,FALSE),VLOOKUP($A398,'NonXtal_SegEnds_Prot#'!A:AL,10,FALSE)+8,1)</f>
        <v>L</v>
      </c>
      <c r="V398" s="102" t="str">
        <f>MID(VLOOKUP($A398,Seqs!$A:$B,2,FALSE),VLOOKUP($A398,'NonXtal_SegEnds_Prot#'!A:AL,10,FALSE)+9,1)</f>
        <v>L</v>
      </c>
      <c r="W398" s="71" t="str">
        <f>MID(VLOOKUP($A398,Seqs!$A:$B,2,FALSE),VLOOKUP($A398,'NonXtal_SegEnds_Prot#'!$A:$AL,22,FALSE)+6,1)</f>
        <v>V</v>
      </c>
      <c r="X398" s="102" t="str">
        <f>MID(VLOOKUP($A398,Seqs!$A:$B,2,FALSE),VLOOKUP($A398,'NonXtal_SegEnds_Prot#'!$A:$AL,22,FALSE)+7,1)</f>
        <v>C</v>
      </c>
      <c r="Y398" s="102" t="str">
        <f>MID(VLOOKUP($A398,Seqs!$A:$B,2,FALSE),VLOOKUP($A398,'NonXtal_SegEnds_Prot#'!$A:$AL,22,FALSE)+8,1)</f>
        <v>H</v>
      </c>
      <c r="Z398" s="102" t="str">
        <f>MID(VLOOKUP($A398,Seqs!$A:$B,2,FALSE),VLOOKUP($A398,'NonXtal_SegEnds_Prot#'!$A:$AL,22,FALSE)+9,1)</f>
        <v>L</v>
      </c>
      <c r="AA398" s="102" t="str">
        <f>MID(VLOOKUP($A398,Seqs!$A:$B,2,FALSE),VLOOKUP($A398,'NonXtal_SegEnds_Prot#'!$A:$AL,22,FALSE)+10,1)</f>
        <v>L</v>
      </c>
      <c r="AB398" s="71" t="str">
        <f>MID(VLOOKUP($A398,Seqs!$A:$B,2,FALSE),VLOOKUP($A398,'NonXtal_SegEnds_Prot#'!$A:$AL,28,FALSE)-4,1)</f>
        <v>W</v>
      </c>
      <c r="AC398" s="102" t="str">
        <f>MID(VLOOKUP($A398,Seqs!$A:$B,2,FALSE),VLOOKUP($A398,'NonXtal_SegEnds_Prot#'!$A:$AL,28,FALSE),1)</f>
        <v>P</v>
      </c>
    </row>
    <row r="399" spans="1:29" s="2" customFormat="1" x14ac:dyDescent="0.2">
      <c r="A399" s="2" t="s">
        <v>667</v>
      </c>
      <c r="B399" s="2" t="str">
        <f>LOWER(VLOOKUP(A399,Xtal_Templ!A:B,2,FALSE))</f>
        <v>5ht1b_human</v>
      </c>
      <c r="C399" s="2" t="str">
        <f>VLOOKUP(A399,Classification!A:D,2,FALSE)</f>
        <v>T</v>
      </c>
      <c r="R399" s="71" t="str">
        <f>MID(VLOOKUP($A399,Seqs!$A:$B,2,FALSE),VLOOKUP($A399,'NonXtal_SegEnds_Prot#'!A:AL,10,FALSE),1)</f>
        <v>R</v>
      </c>
      <c r="S399" s="102" t="str">
        <f>MID(VLOOKUP($A399,Seqs!$A:$B,2,FALSE),VLOOKUP($A399,'NonXtal_SegEnds_Prot#'!A:AL,10,FALSE)+6,1)</f>
        <v>V</v>
      </c>
      <c r="T399" s="102" t="str">
        <f>MID(VLOOKUP($A399,Seqs!$A:$B,2,FALSE),VLOOKUP($A399,'NonXtal_SegEnds_Prot#'!A:AL,10,FALSE)+7,1)</f>
        <v>V</v>
      </c>
      <c r="U399" s="102" t="str">
        <f>MID(VLOOKUP($A399,Seqs!$A:$B,2,FALSE),VLOOKUP($A399,'NonXtal_SegEnds_Prot#'!A:AL,10,FALSE)+8,1)</f>
        <v>M</v>
      </c>
      <c r="V399" s="102" t="str">
        <f>MID(VLOOKUP($A399,Seqs!$A:$B,2,FALSE),VLOOKUP($A399,'NonXtal_SegEnds_Prot#'!A:AL,10,FALSE)+9,1)</f>
        <v>G</v>
      </c>
      <c r="W399" s="71" t="str">
        <f>MID(VLOOKUP($A399,Seqs!$A:$B,2,FALSE),VLOOKUP($A399,'NonXtal_SegEnds_Prot#'!$A:$AL,22,FALSE)+6,1)</f>
        <v>S</v>
      </c>
      <c r="X399" s="102" t="str">
        <f>MID(VLOOKUP($A399,Seqs!$A:$B,2,FALSE),VLOOKUP($A399,'NonXtal_SegEnds_Prot#'!$A:$AL,22,FALSE)+7,1)</f>
        <v>F</v>
      </c>
      <c r="Y399" s="102" t="str">
        <f>MID(VLOOKUP($A399,Seqs!$A:$B,2,FALSE),VLOOKUP($A399,'NonXtal_SegEnds_Prot#'!$A:$AL,22,FALSE)+8,1)</f>
        <v>T</v>
      </c>
      <c r="Z399" s="102" t="str">
        <f>MID(VLOOKUP($A399,Seqs!$A:$B,2,FALSE),VLOOKUP($A399,'NonXtal_SegEnds_Prot#'!$A:$AL,22,FALSE)+9,1)</f>
        <v>T</v>
      </c>
      <c r="AA399" s="102" t="str">
        <f>MID(VLOOKUP($A399,Seqs!$A:$B,2,FALSE),VLOOKUP($A399,'NonXtal_SegEnds_Prot#'!$A:$AL,22,FALSE)+10,1)</f>
        <v>I</v>
      </c>
      <c r="AB399" s="71" t="str">
        <f>MID(VLOOKUP($A399,Seqs!$A:$B,2,FALSE),VLOOKUP($A399,'NonXtal_SegEnds_Prot#'!$A:$AL,28,FALSE)-4,1)</f>
        <v>T</v>
      </c>
      <c r="AC399" s="102" t="str">
        <f>MID(VLOOKUP($A399,Seqs!$A:$B,2,FALSE),VLOOKUP($A399,'NonXtal_SegEnds_Prot#'!$A:$AL,28,FALSE),1)</f>
        <v>P</v>
      </c>
    </row>
    <row r="400" spans="1:29" s="2" customFormat="1" x14ac:dyDescent="0.2">
      <c r="A400" s="2" t="s">
        <v>669</v>
      </c>
      <c r="B400" s="2" t="str">
        <f>LOWER(VLOOKUP(A400,Xtal_Templ!A:B,2,FALSE))</f>
        <v>opsd_human</v>
      </c>
      <c r="C400" s="2" t="str">
        <f>VLOOKUP(A400,Classification!A:D,2,FALSE)</f>
        <v>T</v>
      </c>
      <c r="R400" s="71" t="str">
        <f>MID(VLOOKUP($A400,Seqs!$A:$B,2,FALSE),VLOOKUP($A400,'NonXtal_SegEnds_Prot#'!A:AL,10,FALSE),1)</f>
        <v>R</v>
      </c>
      <c r="S400" s="102" t="str">
        <f>MID(VLOOKUP($A400,Seqs!$A:$B,2,FALSE),VLOOKUP($A400,'NonXtal_SegEnds_Prot#'!A:AL,10,FALSE)+6,1)</f>
        <v>F</v>
      </c>
      <c r="T400" s="102" t="str">
        <f>MID(VLOOKUP($A400,Seqs!$A:$B,2,FALSE),VLOOKUP($A400,'NonXtal_SegEnds_Prot#'!A:AL,10,FALSE)+7,1)</f>
        <v>I</v>
      </c>
      <c r="U400" s="102" t="str">
        <f>MID(VLOOKUP($A400,Seqs!$A:$B,2,FALSE),VLOOKUP($A400,'NonXtal_SegEnds_Prot#'!A:AL,10,FALSE)+8,1)</f>
        <v>F</v>
      </c>
      <c r="V400" s="102" t="str">
        <f>MID(VLOOKUP($A400,Seqs!$A:$B,2,FALSE),VLOOKUP($A400,'NonXtal_SegEnds_Prot#'!A:AL,10,FALSE)+9,1)</f>
        <v>Y</v>
      </c>
      <c r="W400" s="71" t="str">
        <f>MID(VLOOKUP($A400,Seqs!$A:$B,2,FALSE),VLOOKUP($A400,'NonXtal_SegEnds_Prot#'!$A:$AL,22,FALSE)+6,1)</f>
        <v>S</v>
      </c>
      <c r="X400" s="102" t="str">
        <f>MID(VLOOKUP($A400,Seqs!$A:$B,2,FALSE),VLOOKUP($A400,'NonXtal_SegEnds_Prot#'!$A:$AL,22,FALSE)+7,1)</f>
        <v>M</v>
      </c>
      <c r="Y400" s="102" t="str">
        <f>MID(VLOOKUP($A400,Seqs!$A:$B,2,FALSE),VLOOKUP($A400,'NonXtal_SegEnds_Prot#'!$A:$AL,22,FALSE)+8,1)</f>
        <v>I</v>
      </c>
      <c r="Z400" s="102" t="str">
        <f>MID(VLOOKUP($A400,Seqs!$A:$B,2,FALSE),VLOOKUP($A400,'NonXtal_SegEnds_Prot#'!$A:$AL,22,FALSE)+9,1)</f>
        <v>C</v>
      </c>
      <c r="AA400" s="102" t="str">
        <f>MID(VLOOKUP($A400,Seqs!$A:$B,2,FALSE),VLOOKUP($A400,'NonXtal_SegEnds_Prot#'!$A:$AL,22,FALSE)+10,1)</f>
        <v>V</v>
      </c>
      <c r="AB400" s="71" t="str">
        <f>MID(VLOOKUP($A400,Seqs!$A:$B,2,FALSE),VLOOKUP($A400,'NonXtal_SegEnds_Prot#'!$A:$AL,28,FALSE)-4,1)</f>
        <v>E</v>
      </c>
      <c r="AC400" s="102" t="str">
        <f>MID(VLOOKUP($A400,Seqs!$A:$B,2,FALSE),VLOOKUP($A400,'NonXtal_SegEnds_Prot#'!$A:$AL,28,FALSE),1)</f>
        <v>P</v>
      </c>
    </row>
    <row r="401" spans="1:29" s="2" customFormat="1" x14ac:dyDescent="0.2">
      <c r="A401" s="2" t="s">
        <v>670</v>
      </c>
      <c r="B401" s="2" t="str">
        <f>LOWER(VLOOKUP(A401,Xtal_Templ!A:B,2,FALSE))</f>
        <v>agtr1_human</v>
      </c>
      <c r="C401" s="2" t="str">
        <f>VLOOKUP(A401,Classification!A:D,2,FALSE)</f>
        <v>T</v>
      </c>
      <c r="R401" s="71" t="str">
        <f>MID(VLOOKUP($A401,Seqs!$A:$B,2,FALSE),VLOOKUP($A401,'NonXtal_SegEnds_Prot#'!A:AL,10,FALSE),1)</f>
        <v>R</v>
      </c>
      <c r="S401" s="102" t="str">
        <f>MID(VLOOKUP($A401,Seqs!$A:$B,2,FALSE),VLOOKUP($A401,'NonXtal_SegEnds_Prot#'!A:AL,10,FALSE)+6,1)</f>
        <v>I</v>
      </c>
      <c r="T401" s="102" t="str">
        <f>MID(VLOOKUP($A401,Seqs!$A:$B,2,FALSE),VLOOKUP($A401,'NonXtal_SegEnds_Prot#'!A:AL,10,FALSE)+7,1)</f>
        <v>I</v>
      </c>
      <c r="U401" s="102" t="str">
        <f>MID(VLOOKUP($A401,Seqs!$A:$B,2,FALSE),VLOOKUP($A401,'NonXtal_SegEnds_Prot#'!A:AL,10,FALSE)+8,1)</f>
        <v>L</v>
      </c>
      <c r="V401" s="102" t="str">
        <f>MID(VLOOKUP($A401,Seqs!$A:$B,2,FALSE),VLOOKUP($A401,'NonXtal_SegEnds_Prot#'!A:AL,10,FALSE)+9,1)</f>
        <v>T</v>
      </c>
      <c r="W401" s="71" t="str">
        <f>MID(VLOOKUP($A401,Seqs!$A:$B,2,FALSE),VLOOKUP($A401,'NonXtal_SegEnds_Prot#'!$A:$AL,22,FALSE)+6,1)</f>
        <v>C</v>
      </c>
      <c r="X401" s="102" t="str">
        <f>MID(VLOOKUP($A401,Seqs!$A:$B,2,FALSE),VLOOKUP($A401,'NonXtal_SegEnds_Prot#'!$A:$AL,22,FALSE)+7,1)</f>
        <v>G</v>
      </c>
      <c r="Y401" s="102" t="str">
        <f>MID(VLOOKUP($A401,Seqs!$A:$B,2,FALSE),VLOOKUP($A401,'NonXtal_SegEnds_Prot#'!$A:$AL,22,FALSE)+8,1)</f>
        <v>S</v>
      </c>
      <c r="Z401" s="102" t="str">
        <f>MID(VLOOKUP($A401,Seqs!$A:$B,2,FALSE),VLOOKUP($A401,'NonXtal_SegEnds_Prot#'!$A:$AL,22,FALSE)+9,1)</f>
        <v>T</v>
      </c>
      <c r="AA401" s="102" t="str">
        <f>MID(VLOOKUP($A401,Seqs!$A:$B,2,FALSE),VLOOKUP($A401,'NonXtal_SegEnds_Prot#'!$A:$AL,22,FALSE)+10,1)</f>
        <v>A</v>
      </c>
      <c r="AB401" s="71" t="str">
        <f>MID(VLOOKUP($A401,Seqs!$A:$B,2,FALSE),VLOOKUP($A401,'NonXtal_SegEnds_Prot#'!$A:$AL,28,FALSE)-4,1)</f>
        <v>W</v>
      </c>
      <c r="AC401" s="102" t="str">
        <f>MID(VLOOKUP($A401,Seqs!$A:$B,2,FALSE),VLOOKUP($A401,'NonXtal_SegEnds_Prot#'!$A:$AL,28,FALSE),1)</f>
        <v>P</v>
      </c>
    </row>
    <row r="402" spans="1:29" s="2" customFormat="1" x14ac:dyDescent="0.2">
      <c r="A402" s="2" t="s">
        <v>671</v>
      </c>
      <c r="B402" s="2" t="str">
        <f>LOWER(VLOOKUP(A402,Xtal_Templ!A:B,2,FALSE))</f>
        <v>acm2_human</v>
      </c>
      <c r="C402" s="2" t="str">
        <f>VLOOKUP(A402,Classification!A:D,2,FALSE)</f>
        <v>T</v>
      </c>
      <c r="R402" s="71" t="str">
        <f>MID(VLOOKUP($A402,Seqs!$A:$B,2,FALSE),VLOOKUP($A402,'NonXtal_SegEnds_Prot#'!A:AL,10,FALSE),1)</f>
        <v>R</v>
      </c>
      <c r="S402" s="102" t="str">
        <f>MID(VLOOKUP($A402,Seqs!$A:$B,2,FALSE),VLOOKUP($A402,'NonXtal_SegEnds_Prot#'!A:AL,10,FALSE)+6,1)</f>
        <v>L</v>
      </c>
      <c r="T402" s="102" t="str">
        <f>MID(VLOOKUP($A402,Seqs!$A:$B,2,FALSE),VLOOKUP($A402,'NonXtal_SegEnds_Prot#'!A:AL,10,FALSE)+7,1)</f>
        <v>F</v>
      </c>
      <c r="U402" s="102" t="str">
        <f>MID(VLOOKUP($A402,Seqs!$A:$B,2,FALSE),VLOOKUP($A402,'NonXtal_SegEnds_Prot#'!A:AL,10,FALSE)+8,1)</f>
        <v>L</v>
      </c>
      <c r="V402" s="102" t="str">
        <f>MID(VLOOKUP($A402,Seqs!$A:$B,2,FALSE),VLOOKUP($A402,'NonXtal_SegEnds_Prot#'!A:AL,10,FALSE)+9,1)</f>
        <v>V</v>
      </c>
      <c r="W402" s="71" t="str">
        <f>MID(VLOOKUP($A402,Seqs!$A:$B,2,FALSE),VLOOKUP($A402,'NonXtal_SegEnds_Prot#'!$A:$AL,22,FALSE)+6,1)</f>
        <v>A</v>
      </c>
      <c r="X402" s="102" t="str">
        <f>MID(VLOOKUP($A402,Seqs!$A:$B,2,FALSE),VLOOKUP($A402,'NonXtal_SegEnds_Prot#'!$A:$AL,22,FALSE)+7,1)</f>
        <v>F</v>
      </c>
      <c r="Y402" s="102" t="str">
        <f>MID(VLOOKUP($A402,Seqs!$A:$B,2,FALSE),VLOOKUP($A402,'NonXtal_SegEnds_Prot#'!$A:$AL,22,FALSE)+8,1)</f>
        <v>T</v>
      </c>
      <c r="Z402" s="102" t="str">
        <f>MID(VLOOKUP($A402,Seqs!$A:$B,2,FALSE),VLOOKUP($A402,'NonXtal_SegEnds_Prot#'!$A:$AL,22,FALSE)+9,1)</f>
        <v>T</v>
      </c>
      <c r="AA402" s="102" t="str">
        <f>MID(VLOOKUP($A402,Seqs!$A:$B,2,FALSE),VLOOKUP($A402,'NonXtal_SegEnds_Prot#'!$A:$AL,22,FALSE)+10,1)</f>
        <v>C</v>
      </c>
      <c r="AB402" s="71" t="str">
        <f>MID(VLOOKUP($A402,Seqs!$A:$B,2,FALSE),VLOOKUP($A402,'NonXtal_SegEnds_Prot#'!$A:$AL,28,FALSE)-4,1)</f>
        <v>S</v>
      </c>
      <c r="AC402" s="102" t="str">
        <f>MID(VLOOKUP($A402,Seqs!$A:$B,2,FALSE),VLOOKUP($A402,'NonXtal_SegEnds_Prot#'!$A:$AL,28,FALSE),1)</f>
        <v>Q</v>
      </c>
    </row>
    <row r="403" spans="1:29" s="2" customFormat="1" x14ac:dyDescent="0.2">
      <c r="A403" s="2" t="s">
        <v>672</v>
      </c>
      <c r="B403" s="2" t="str">
        <f>LOWER(VLOOKUP(A403,Xtal_Templ!A:B,2,FALSE))</f>
        <v>us28_hcmva</v>
      </c>
      <c r="C403" s="2" t="str">
        <f>VLOOKUP(A403,Classification!A:D,2,FALSE)</f>
        <v>T</v>
      </c>
      <c r="R403" s="71" t="str">
        <f>MID(VLOOKUP($A403,Seqs!$A:$B,2,FALSE),VLOOKUP($A403,'NonXtal_SegEnds_Prot#'!A:AL,10,FALSE),1)</f>
        <v>R</v>
      </c>
      <c r="S403" s="102" t="str">
        <f>MID(VLOOKUP($A403,Seqs!$A:$B,2,FALSE),VLOOKUP($A403,'NonXtal_SegEnds_Prot#'!A:AL,10,FALSE)+6,1)</f>
        <v>L</v>
      </c>
      <c r="T403" s="102" t="str">
        <f>MID(VLOOKUP($A403,Seqs!$A:$B,2,FALSE),VLOOKUP($A403,'NonXtal_SegEnds_Prot#'!A:AL,10,FALSE)+7,1)</f>
        <v>I</v>
      </c>
      <c r="U403" s="102" t="str">
        <f>MID(VLOOKUP($A403,Seqs!$A:$B,2,FALSE),VLOOKUP($A403,'NonXtal_SegEnds_Prot#'!A:AL,10,FALSE)+8,1)</f>
        <v>I</v>
      </c>
      <c r="V403" s="102" t="str">
        <f>MID(VLOOKUP($A403,Seqs!$A:$B,2,FALSE),VLOOKUP($A403,'NonXtal_SegEnds_Prot#'!A:AL,10,FALSE)+9,1)</f>
        <v>L</v>
      </c>
      <c r="W403" s="71" t="str">
        <f>MID(VLOOKUP($A403,Seqs!$A:$B,2,FALSE),VLOOKUP($A403,'NonXtal_SegEnds_Prot#'!$A:$AL,22,FALSE)+6,1)</f>
        <v>L</v>
      </c>
      <c r="X403" s="102" t="str">
        <f>MID(VLOOKUP($A403,Seqs!$A:$B,2,FALSE),VLOOKUP($A403,'NonXtal_SegEnds_Prot#'!$A:$AL,22,FALSE)+7,1)</f>
        <v>L</v>
      </c>
      <c r="Y403" s="102" t="str">
        <f>MID(VLOOKUP($A403,Seqs!$A:$B,2,FALSE),VLOOKUP($A403,'NonXtal_SegEnds_Prot#'!$A:$AL,22,FALSE)+8,1)</f>
        <v>L</v>
      </c>
      <c r="Z403" s="102" t="str">
        <f>MID(VLOOKUP($A403,Seqs!$A:$B,2,FALSE),VLOOKUP($A403,'NonXtal_SegEnds_Prot#'!$A:$AL,22,FALSE)+9,1)</f>
        <v>T</v>
      </c>
      <c r="AA403" s="102" t="str">
        <f>MID(VLOOKUP($A403,Seqs!$A:$B,2,FALSE),VLOOKUP($A403,'NonXtal_SegEnds_Prot#'!$A:$AL,22,FALSE)+10,1)</f>
        <v>V</v>
      </c>
      <c r="AB403" s="71" t="str">
        <f>MID(VLOOKUP($A403,Seqs!$A:$B,2,FALSE),VLOOKUP($A403,'NonXtal_SegEnds_Prot#'!$A:$AL,28,FALSE)-4,1)</f>
        <v>G</v>
      </c>
      <c r="AC403" s="102" t="str">
        <f>MID(VLOOKUP($A403,Seqs!$A:$B,2,FALSE),VLOOKUP($A403,'NonXtal_SegEnds_Prot#'!$A:$AL,28,FALSE),1)</f>
        <v>P</v>
      </c>
    </row>
    <row r="404" spans="1:29" s="2" customFormat="1" x14ac:dyDescent="0.2">
      <c r="A404" s="2" t="s">
        <v>673</v>
      </c>
      <c r="B404" s="2" t="str">
        <f>LOWER(VLOOKUP(A404,Xtal_Templ!A:B,2,FALSE))</f>
        <v>agtr1_human</v>
      </c>
      <c r="C404" s="2" t="str">
        <f>VLOOKUP(A404,Classification!A:D,2,FALSE)</f>
        <v>T</v>
      </c>
      <c r="R404" s="71" t="str">
        <f>MID(VLOOKUP($A404,Seqs!$A:$B,2,FALSE),VLOOKUP($A404,'NonXtal_SegEnds_Prot#'!A:AL,10,FALSE),1)</f>
        <v>R</v>
      </c>
      <c r="S404" s="102" t="str">
        <f>MID(VLOOKUP($A404,Seqs!$A:$B,2,FALSE),VLOOKUP($A404,'NonXtal_SegEnds_Prot#'!A:AL,10,FALSE)+6,1)</f>
        <v>V</v>
      </c>
      <c r="T404" s="102" t="str">
        <f>MID(VLOOKUP($A404,Seqs!$A:$B,2,FALSE),VLOOKUP($A404,'NonXtal_SegEnds_Prot#'!A:AL,10,FALSE)+7,1)</f>
        <v>I</v>
      </c>
      <c r="U404" s="102" t="str">
        <f>MID(VLOOKUP($A404,Seqs!$A:$B,2,FALSE),VLOOKUP($A404,'NonXtal_SegEnds_Prot#'!A:AL,10,FALSE)+8,1)</f>
        <v>L</v>
      </c>
      <c r="V404" s="102" t="str">
        <f>MID(VLOOKUP($A404,Seqs!$A:$B,2,FALSE),VLOOKUP($A404,'NonXtal_SegEnds_Prot#'!A:AL,10,FALSE)+9,1)</f>
        <v>L</v>
      </c>
      <c r="W404" s="71" t="str">
        <f>MID(VLOOKUP($A404,Seqs!$A:$B,2,FALSE),VLOOKUP($A404,'NonXtal_SegEnds_Prot#'!$A:$AL,22,FALSE)+6,1)</f>
        <v>V</v>
      </c>
      <c r="X404" s="102" t="str">
        <f>MID(VLOOKUP($A404,Seqs!$A:$B,2,FALSE),VLOOKUP($A404,'NonXtal_SegEnds_Prot#'!$A:$AL,22,FALSE)+7,1)</f>
        <v>F</v>
      </c>
      <c r="Y404" s="102" t="str">
        <f>MID(VLOOKUP($A404,Seqs!$A:$B,2,FALSE),VLOOKUP($A404,'NonXtal_SegEnds_Prot#'!$A:$AL,22,FALSE)+8,1)</f>
        <v>I</v>
      </c>
      <c r="Z404" s="102" t="str">
        <f>MID(VLOOKUP($A404,Seqs!$A:$B,2,FALSE),VLOOKUP($A404,'NonXtal_SegEnds_Prot#'!$A:$AL,22,FALSE)+9,1)</f>
        <v>S</v>
      </c>
      <c r="AA404" s="102" t="str">
        <f>MID(VLOOKUP($A404,Seqs!$A:$B,2,FALSE),VLOOKUP($A404,'NonXtal_SegEnds_Prot#'!$A:$AL,22,FALSE)+10,1)</f>
        <v>L</v>
      </c>
      <c r="AB404" s="71" t="str">
        <f>MID(VLOOKUP($A404,Seqs!$A:$B,2,FALSE),VLOOKUP($A404,'NonXtal_SegEnds_Prot#'!$A:$AL,28,FALSE)-4,1)</f>
        <v>A</v>
      </c>
      <c r="AC404" s="102" t="str">
        <f>MID(VLOOKUP($A404,Seqs!$A:$B,2,FALSE),VLOOKUP($A404,'NonXtal_SegEnds_Prot#'!$A:$AL,28,FALSE),1)</f>
        <v>P</v>
      </c>
    </row>
    <row r="405" spans="1:29" s="2" customFormat="1" x14ac:dyDescent="0.2">
      <c r="A405" s="2" t="s">
        <v>674</v>
      </c>
      <c r="B405" s="2" t="str">
        <f>LOWER(VLOOKUP(A405,Xtal_Templ!A:B,2,FALSE))</f>
        <v>agtr1_human</v>
      </c>
      <c r="C405" s="2" t="str">
        <f>VLOOKUP(A405,Classification!A:D,2,FALSE)</f>
        <v>T</v>
      </c>
      <c r="R405" s="71" t="str">
        <f>MID(VLOOKUP($A405,Seqs!$A:$B,2,FALSE),VLOOKUP($A405,'NonXtal_SegEnds_Prot#'!A:AL,10,FALSE),1)</f>
        <v>R</v>
      </c>
      <c r="S405" s="102" t="str">
        <f>MID(VLOOKUP($A405,Seqs!$A:$B,2,FALSE),VLOOKUP($A405,'NonXtal_SegEnds_Prot#'!A:AL,10,FALSE)+6,1)</f>
        <v>V</v>
      </c>
      <c r="T405" s="102" t="str">
        <f>MID(VLOOKUP($A405,Seqs!$A:$B,2,FALSE),VLOOKUP($A405,'NonXtal_SegEnds_Prot#'!A:AL,10,FALSE)+7,1)</f>
        <v>M</v>
      </c>
      <c r="U405" s="102" t="str">
        <f>MID(VLOOKUP($A405,Seqs!$A:$B,2,FALSE),VLOOKUP($A405,'NonXtal_SegEnds_Prot#'!A:AL,10,FALSE)+8,1)</f>
        <v>V</v>
      </c>
      <c r="V405" s="102" t="str">
        <f>MID(VLOOKUP($A405,Seqs!$A:$B,2,FALSE),VLOOKUP($A405,'NonXtal_SegEnds_Prot#'!A:AL,10,FALSE)+9,1)</f>
        <v>V</v>
      </c>
      <c r="W405" s="71" t="str">
        <f>MID(VLOOKUP($A405,Seqs!$A:$B,2,FALSE),VLOOKUP($A405,'NonXtal_SegEnds_Prot#'!$A:$AL,22,FALSE)+6,1)</f>
        <v>L</v>
      </c>
      <c r="X405" s="102" t="str">
        <f>MID(VLOOKUP($A405,Seqs!$A:$B,2,FALSE),VLOOKUP($A405,'NonXtal_SegEnds_Prot#'!$A:$AL,22,FALSE)+7,1)</f>
        <v>L</v>
      </c>
      <c r="Y405" s="102" t="str">
        <f>MID(VLOOKUP($A405,Seqs!$A:$B,2,FALSE),VLOOKUP($A405,'NonXtal_SegEnds_Prot#'!$A:$AL,22,FALSE)+8,1)</f>
        <v>V</v>
      </c>
      <c r="Z405" s="102" t="str">
        <f>MID(VLOOKUP($A405,Seqs!$A:$B,2,FALSE),VLOOKUP($A405,'NonXtal_SegEnds_Prot#'!$A:$AL,22,FALSE)+9,1)</f>
        <v>S</v>
      </c>
      <c r="AA405" s="102" t="str">
        <f>MID(VLOOKUP($A405,Seqs!$A:$B,2,FALSE),VLOOKUP($A405,'NonXtal_SegEnds_Prot#'!$A:$AL,22,FALSE)+10,1)</f>
        <v>L</v>
      </c>
      <c r="AB405" s="71" t="str">
        <f>MID(VLOOKUP($A405,Seqs!$A:$B,2,FALSE),VLOOKUP($A405,'NonXtal_SegEnds_Prot#'!$A:$AL,28,FALSE)-4,1)</f>
        <v>F</v>
      </c>
      <c r="AC405" s="102" t="str">
        <f>MID(VLOOKUP($A405,Seqs!$A:$B,2,FALSE),VLOOKUP($A405,'NonXtal_SegEnds_Prot#'!$A:$AL,28,FALSE),1)</f>
        <v>P</v>
      </c>
    </row>
    <row r="406" spans="1:29" s="2" customFormat="1" x14ac:dyDescent="0.2">
      <c r="A406" s="2" t="s">
        <v>675</v>
      </c>
      <c r="B406" s="2" t="str">
        <f>LOWER(VLOOKUP(A406,Xtal_Templ!A:B,2,FALSE))</f>
        <v>agtr1_human</v>
      </c>
      <c r="C406" s="2" t="str">
        <f>VLOOKUP(A406,Classification!A:D,2,FALSE)</f>
        <v>T</v>
      </c>
      <c r="R406" s="71" t="str">
        <f>MID(VLOOKUP($A406,Seqs!$A:$B,2,FALSE),VLOOKUP($A406,'NonXtal_SegEnds_Prot#'!A:AL,10,FALSE),1)</f>
        <v>R</v>
      </c>
      <c r="S406" s="102" t="str">
        <f>MID(VLOOKUP($A406,Seqs!$A:$B,2,FALSE),VLOOKUP($A406,'NonXtal_SegEnds_Prot#'!A:AL,10,FALSE)+6,1)</f>
        <v>V</v>
      </c>
      <c r="T406" s="102" t="str">
        <f>MID(VLOOKUP($A406,Seqs!$A:$B,2,FALSE),VLOOKUP($A406,'NonXtal_SegEnds_Prot#'!A:AL,10,FALSE)+7,1)</f>
        <v>I</v>
      </c>
      <c r="U406" s="102" t="str">
        <f>MID(VLOOKUP($A406,Seqs!$A:$B,2,FALSE),VLOOKUP($A406,'NonXtal_SegEnds_Prot#'!A:AL,10,FALSE)+8,1)</f>
        <v>S</v>
      </c>
      <c r="V406" s="102" t="str">
        <f>MID(VLOOKUP($A406,Seqs!$A:$B,2,FALSE),VLOOKUP($A406,'NonXtal_SegEnds_Prot#'!A:AL,10,FALSE)+9,1)</f>
        <v>L</v>
      </c>
      <c r="W406" s="71" t="str">
        <f>MID(VLOOKUP($A406,Seqs!$A:$B,2,FALSE),VLOOKUP($A406,'NonXtal_SegEnds_Prot#'!$A:$AL,22,FALSE)+6,1)</f>
        <v>L</v>
      </c>
      <c r="X406" s="102" t="str">
        <f>MID(VLOOKUP($A406,Seqs!$A:$B,2,FALSE),VLOOKUP($A406,'NonXtal_SegEnds_Prot#'!$A:$AL,22,FALSE)+7,1)</f>
        <v>I</v>
      </c>
      <c r="Y406" s="102" t="str">
        <f>MID(VLOOKUP($A406,Seqs!$A:$B,2,FALSE),VLOOKUP($A406,'NonXtal_SegEnds_Prot#'!$A:$AL,22,FALSE)+8,1)</f>
        <v>I</v>
      </c>
      <c r="Z406" s="102" t="str">
        <f>MID(VLOOKUP($A406,Seqs!$A:$B,2,FALSE),VLOOKUP($A406,'NonXtal_SegEnds_Prot#'!$A:$AL,22,FALSE)+9,1)</f>
        <v>S</v>
      </c>
      <c r="AA406" s="102" t="str">
        <f>MID(VLOOKUP($A406,Seqs!$A:$B,2,FALSE),VLOOKUP($A406,'NonXtal_SegEnds_Prot#'!$A:$AL,22,FALSE)+10,1)</f>
        <v>V</v>
      </c>
      <c r="AB406" s="71" t="str">
        <f>MID(VLOOKUP($A406,Seqs!$A:$B,2,FALSE),VLOOKUP($A406,'NonXtal_SegEnds_Prot#'!$A:$AL,28,FALSE)-4,1)</f>
        <v>G</v>
      </c>
      <c r="AC406" s="102" t="str">
        <f>MID(VLOOKUP($A406,Seqs!$A:$B,2,FALSE),VLOOKUP($A406,'NonXtal_SegEnds_Prot#'!$A:$AL,28,FALSE),1)</f>
        <v>P</v>
      </c>
    </row>
    <row r="407" spans="1:29" s="2" customFormat="1" x14ac:dyDescent="0.2">
      <c r="R407" s="71"/>
      <c r="S407" s="102"/>
      <c r="T407" s="102"/>
      <c r="U407" s="102"/>
      <c r="V407" s="102"/>
      <c r="W407" s="71"/>
      <c r="X407" s="102"/>
      <c r="Y407" s="102"/>
      <c r="Z407" s="102"/>
      <c r="AB407" s="35"/>
    </row>
    <row r="408" spans="1:29" s="2" customFormat="1" x14ac:dyDescent="0.2">
      <c r="R408" s="71"/>
      <c r="S408" s="102"/>
      <c r="T408" s="102"/>
      <c r="U408" s="102"/>
      <c r="V408" s="102"/>
      <c r="W408" s="71"/>
      <c r="X408" s="102"/>
      <c r="Y408" s="102"/>
      <c r="Z408" s="102"/>
      <c r="AB408" s="35"/>
    </row>
    <row r="409" spans="1:29" s="2" customFormat="1" x14ac:dyDescent="0.2">
      <c r="R409" s="71"/>
      <c r="S409" s="102"/>
      <c r="T409" s="102"/>
      <c r="U409" s="102"/>
      <c r="V409" s="102"/>
      <c r="W409" s="71"/>
      <c r="X409" s="102"/>
      <c r="Y409" s="102"/>
      <c r="Z409" s="102"/>
      <c r="AB409" s="35"/>
    </row>
  </sheetData>
  <sortState ref="A2:AC409">
    <sortCondition ref="C2:C409"/>
    <sortCondition ref="A2:A409"/>
  </sortState>
  <customSheetViews>
    <customSheetView guid="{3E3401AF-8459-8641-BD70-AD04F80E86ED}" scale="120">
      <pane ySplit="1" topLeftCell="A191" activePane="bottomLeft" state="frozenSplit"/>
      <selection pane="bottomLeft" activeCell="P142" sqref="P142"/>
      <pageMargins left="0.7" right="0.7" top="0.75" bottom="0.75" header="0.3" footer="0.3"/>
      <pageSetup paperSize="9" orientation="portrait" horizontalDpi="0" verticalDpi="0"/>
    </customSheetView>
  </customSheetViews>
  <conditionalFormatting sqref="Z1:AA1048576">
    <cfRule type="cellIs" dxfId="4" priority="4" operator="equal">
      <formula>"P"</formula>
    </cfRule>
  </conditionalFormatting>
  <conditionalFormatting sqref="X1:X1048576">
    <cfRule type="cellIs" dxfId="3" priority="2" operator="equal">
      <formula>"W"</formula>
    </cfRule>
    <cfRule type="cellIs" dxfId="2" priority="3" operator="equal">
      <formula>"G"</formula>
    </cfRule>
  </conditionalFormatting>
  <conditionalFormatting sqref="AB2:AC406">
    <cfRule type="cellIs" dxfId="1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171" activePane="bottomLeft" state="frozenSplit"/>
      <selection pane="bottomLeft" activeCell="B189" sqref="B189"/>
    </sheetView>
  </sheetViews>
  <sheetFormatPr baseColWidth="10" defaultRowHeight="16" x14ac:dyDescent="0.2"/>
  <cols>
    <col min="1" max="2" width="11.664062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10" customFormat="1" x14ac:dyDescent="0.2">
      <c r="A1" s="11" t="s">
        <v>205</v>
      </c>
      <c r="B1" s="11" t="s">
        <v>1445</v>
      </c>
      <c r="C1" s="74" t="s">
        <v>1446</v>
      </c>
      <c r="D1" s="73" t="s">
        <v>292</v>
      </c>
      <c r="E1" s="62" t="s">
        <v>1444</v>
      </c>
      <c r="F1" s="62" t="s">
        <v>11</v>
      </c>
      <c r="G1" s="73" t="s">
        <v>1428</v>
      </c>
      <c r="H1" s="73" t="s">
        <v>17</v>
      </c>
      <c r="I1" s="73" t="s">
        <v>1430</v>
      </c>
      <c r="J1" s="73" t="s">
        <v>25</v>
      </c>
      <c r="K1" s="73" t="s">
        <v>1429</v>
      </c>
      <c r="L1" s="73" t="s">
        <v>31</v>
      </c>
      <c r="M1" s="73" t="s">
        <v>1431</v>
      </c>
      <c r="N1" s="73" t="s">
        <v>39</v>
      </c>
      <c r="O1" s="73" t="s">
        <v>44</v>
      </c>
      <c r="P1" s="73" t="s">
        <v>48</v>
      </c>
      <c r="Q1" s="73" t="s">
        <v>1427</v>
      </c>
      <c r="R1" s="62" t="s">
        <v>1267</v>
      </c>
      <c r="S1" s="11" t="s">
        <v>1284</v>
      </c>
      <c r="T1" s="11" t="s">
        <v>1269</v>
      </c>
      <c r="U1" s="11" t="s">
        <v>1286</v>
      </c>
      <c r="V1" s="11" t="s">
        <v>1271</v>
      </c>
      <c r="W1" s="11" t="s">
        <v>1299</v>
      </c>
      <c r="X1" s="11" t="s">
        <v>1273</v>
      </c>
      <c r="Y1" s="11" t="s">
        <v>1302</v>
      </c>
      <c r="Z1" s="11" t="s">
        <v>1275</v>
      </c>
      <c r="AA1" s="11" t="s">
        <v>1277</v>
      </c>
      <c r="AB1" s="11" t="s">
        <v>1279</v>
      </c>
      <c r="AC1" s="11" t="s">
        <v>1281</v>
      </c>
      <c r="AD1" s="62" t="s">
        <v>1268</v>
      </c>
      <c r="AE1" s="11" t="s">
        <v>1285</v>
      </c>
      <c r="AF1" s="11" t="s">
        <v>1270</v>
      </c>
      <c r="AG1" s="11" t="s">
        <v>1287</v>
      </c>
      <c r="AH1" s="11" t="s">
        <v>1272</v>
      </c>
      <c r="AI1" s="11" t="s">
        <v>1300</v>
      </c>
      <c r="AJ1" s="11" t="s">
        <v>1274</v>
      </c>
      <c r="AK1" s="11" t="s">
        <v>1303</v>
      </c>
      <c r="AL1" s="11" t="s">
        <v>1276</v>
      </c>
      <c r="AM1" s="11" t="s">
        <v>1278</v>
      </c>
      <c r="AN1" s="11" t="s">
        <v>1280</v>
      </c>
      <c r="AO1" s="11" t="s">
        <v>1282</v>
      </c>
      <c r="AP1" s="62" t="s">
        <v>1432</v>
      </c>
      <c r="AQ1" s="73" t="s">
        <v>1433</v>
      </c>
      <c r="AR1" s="73" t="s">
        <v>1434</v>
      </c>
      <c r="AS1" s="73" t="s">
        <v>1435</v>
      </c>
      <c r="AT1" s="73" t="s">
        <v>1436</v>
      </c>
      <c r="AU1" s="73" t="s">
        <v>1437</v>
      </c>
      <c r="AV1" s="73" t="s">
        <v>1438</v>
      </c>
      <c r="AW1" s="73" t="s">
        <v>1439</v>
      </c>
      <c r="AX1" s="73" t="s">
        <v>1440</v>
      </c>
      <c r="AY1" s="73" t="s">
        <v>1441</v>
      </c>
      <c r="AZ1" s="73" t="s">
        <v>1442</v>
      </c>
      <c r="BA1" s="73" t="s">
        <v>1443</v>
      </c>
    </row>
    <row r="2" spans="1:53" x14ac:dyDescent="0.2">
      <c r="A2" s="1" t="str">
        <f>'NonXtal_SegEnds_Prot#'!A5</f>
        <v>gpr63_human</v>
      </c>
      <c r="B2" s="1" t="str">
        <f t="shared" ref="B2:B65" si="0">F2&amp;H2&amp;J2&amp;L2&amp;N2&amp;O2&amp;P2&amp;Q2</f>
        <v>LPLQITLSAIMIFILFVSFLGNLVVCLMVYQKSAINILLASLAFADMLLAVLNMPFALVTILTGKFFCRVSAMFFWLFVIEGVAILLIISIDRFLIIVQPYRAKVLIAVSWATSFCVAFPLAVGYQAYVILISLISFFIPFLVILYSFMGILNTLRHNALRIHSYPSIDMGFKTRAFTTILILFAVFIVCWAPFTTYSLVATFSQHNFFEISTWLLWLCYLKSALNPLIYYWRIKKFHDACLDMM</v>
      </c>
      <c r="C2" s="72" t="str">
        <f>IF(ISERROR(MATCH(A2,'Xtal_SegEnds_Prot#'!B:B, 0)), "NoXtal", "Xtal")</f>
        <v>NoXtal</v>
      </c>
      <c r="D2" s="4" t="str">
        <f>VLOOKUP(A2,Classification!A:D,2,FALSE)</f>
        <v>A</v>
      </c>
      <c r="E2" s="5" t="str">
        <f>VLOOKUP(A2,Seqs!A:B,2,FALSE)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" s="5" t="str">
        <f t="shared" ref="F2:F65" si="1">IFERROR(MID($E2,R2,(AP2+1)),"")</f>
        <v>LPLQITLSAIMIFILFVSFLGNLVVCLMVYQK</v>
      </c>
      <c r="G2" s="4" t="str">
        <f t="shared" ref="G2:G65" si="2">IFERROR(MID($E2,S2,(AQ2+1)),"")</f>
        <v>AAMR</v>
      </c>
      <c r="H2" s="4" t="str">
        <f t="shared" ref="H2:H65" si="3">IFERROR(MID($E2,T2,(AR2+1)),"")</f>
        <v>SAINILLASLAFADMLLAVLNMPFALVTILT</v>
      </c>
      <c r="I2" s="4" t="str">
        <f t="shared" ref="I2:I65" si="4">IFERROR(MID($E2,U2,(AS2+1)),"")</f>
        <v>RWIF</v>
      </c>
      <c r="J2" s="4" t="str">
        <f t="shared" ref="J2:J65" si="5">IFERROR(MID($E2,V2,(AT2+1)),"")</f>
        <v>GKFFCRVSAMFFWLFVIEGVAILLIISIDRFLIIVQ</v>
      </c>
      <c r="K2" s="4" t="str">
        <f t="shared" ref="K2:K65" si="6">IFERROR(MID($E2,W2,(AU2+1)),"")</f>
        <v/>
      </c>
      <c r="L2" s="4" t="str">
        <f t="shared" ref="L2:L65" si="7">IFERROR(MID($E2,X2,(AV2+1)),"")</f>
        <v>PYRAKVLIAVSWATSFCVAFPLAVG</v>
      </c>
      <c r="M2" s="4" t="str">
        <f t="shared" ref="M2:M65" si="8">IFERROR(MID($E2,Y2,(AW2+1)),"")</f>
        <v>CVF</v>
      </c>
      <c r="N2" s="4" t="str">
        <f t="shared" ref="N2:N65" si="9">IFERROR(MID($E2,Z2,(AX2+1)),"")</f>
        <v>YQAYVILISLISFFIPFLVILYSFMGILNTLRHNALRIHSYP</v>
      </c>
      <c r="O2" s="4" t="str">
        <f t="shared" ref="O2:O65" si="10">IFERROR(MID($E2,AA2,(AY2+1)),"")</f>
        <v>SIDMGFKTRAFTTILILFAVFIVCWAPFTTYSLVATFS</v>
      </c>
      <c r="P2" s="4" t="str">
        <f t="shared" ref="P2:P65" si="11">IFERROR(MID($E2,AB2,(AZ2+1)),"")</f>
        <v>QHNFFEISTWLLWLCYLKSALNPLIYYWR</v>
      </c>
      <c r="Q2" s="4" t="str">
        <f t="shared" ref="Q2:Q65" si="12">IFERROR(MID($E2,AC2,(BA2+1)),"")</f>
        <v>IKKFHDACLDMM</v>
      </c>
      <c r="R2" s="5">
        <f>VLOOKUP($A2,'NonXtal_SegEnds_Prot#'!$A:$AL,3,FALSE)</f>
        <v>78</v>
      </c>
      <c r="S2" s="5">
        <f>VLOOKUP($A2,'NonXtal_SegEnds_Prot#'!$A:$AL,6,FALSE)</f>
        <v>110</v>
      </c>
      <c r="T2" s="5">
        <f>VLOOKUP($A2,'NonXtal_SegEnds_Prot#'!$A:$AL,9,FALSE)</f>
        <v>114</v>
      </c>
      <c r="U2" s="5">
        <f>VLOOKUP($A2,'NonXtal_SegEnds_Prot#'!$A:$AL,12,FALSE)</f>
        <v>146</v>
      </c>
      <c r="V2" s="5">
        <f>VLOOKUP($A2,'NonXtal_SegEnds_Prot#'!$A:$AL,15,FALSE)</f>
        <v>150</v>
      </c>
      <c r="W2" s="5" t="str">
        <f>VLOOKUP($A2,'NonXtal_SegEnds_Prot#'!$A:$AL,18,FALSE)</f>
        <v>-</v>
      </c>
      <c r="X2" s="5">
        <f>VLOOKUP($A2,'NonXtal_SegEnds_Prot#'!$A:$AL,21,FALSE)</f>
        <v>192</v>
      </c>
      <c r="Y2" s="5">
        <f>VLOOKUP($A2,'NonXtal_SegEnds_Prot#'!$A:$AL,24,FALSE)</f>
        <v>229</v>
      </c>
      <c r="Z2" s="5">
        <f>VLOOKUP($A2,'NonXtal_SegEnds_Prot#'!$A:$AL,27,FALSE)</f>
        <v>239</v>
      </c>
      <c r="AA2" s="5">
        <f>VLOOKUP($A2,'NonXtal_SegEnds_Prot#'!$A:$AL,30,FALSE)</f>
        <v>303</v>
      </c>
      <c r="AB2" s="5">
        <f>VLOOKUP($A2,'NonXtal_SegEnds_Prot#'!$A:$AL,33,FALSE)</f>
        <v>346</v>
      </c>
      <c r="AC2" s="5">
        <f>VLOOKUP($A2,'NonXtal_SegEnds_Prot#'!$A:$AL,36,FALSE)</f>
        <v>375</v>
      </c>
      <c r="AD2" s="5">
        <f>VLOOKUP($A2,'NonXtal_SegEnds_Prot#'!$A:$AL,5,FALSE)</f>
        <v>109</v>
      </c>
      <c r="AE2" s="5">
        <f>VLOOKUP($A2,'NonXtal_SegEnds_Prot#'!$A:$AL,8,FALSE)</f>
        <v>113</v>
      </c>
      <c r="AF2" s="5">
        <f>VLOOKUP($A2,'NonXtal_SegEnds_Prot#'!$A:$AL,11,FALSE)</f>
        <v>144</v>
      </c>
      <c r="AG2" s="5">
        <f>VLOOKUP($A2,'NonXtal_SegEnds_Prot#'!$A:$AL,14,FALSE)</f>
        <v>149</v>
      </c>
      <c r="AH2" s="5">
        <f>VLOOKUP($A2,'NonXtal_SegEnds_Prot#'!$A:$AL,17,FALSE)</f>
        <v>185</v>
      </c>
      <c r="AI2" s="5" t="str">
        <f>VLOOKUP($A2,'NonXtal_SegEnds_Prot#'!$A:$AL,20,FALSE)</f>
        <v>-</v>
      </c>
      <c r="AJ2" s="5">
        <f>VLOOKUP($A2,'NonXtal_SegEnds_Prot#'!$A:$AL,23,FALSE)</f>
        <v>216</v>
      </c>
      <c r="AK2" s="5">
        <f>VLOOKUP($A2,'NonXtal_SegEnds_Prot#'!$A:$AL,26,FALSE)</f>
        <v>231</v>
      </c>
      <c r="AL2" s="5">
        <f>VLOOKUP($A2,'NonXtal_SegEnds_Prot#'!$A:$AL,29,FALSE)</f>
        <v>280</v>
      </c>
      <c r="AM2" s="5">
        <f>VLOOKUP($A2,'NonXtal_SegEnds_Prot#'!$A:$AL,32,FALSE)</f>
        <v>340</v>
      </c>
      <c r="AN2" s="5">
        <f>VLOOKUP($A2,'NonXtal_SegEnds_Prot#'!$A:$AL,35,FALSE)</f>
        <v>374</v>
      </c>
      <c r="AO2" s="5">
        <f>VLOOKUP($A2,'NonXtal_SegEnds_Prot#'!$A:$AL,38,FALSE)</f>
        <v>386</v>
      </c>
      <c r="AP2" s="5">
        <f t="shared" ref="AP2:AP65" si="13">IFERROR(AD2-R2,"-")</f>
        <v>31</v>
      </c>
      <c r="AQ2" s="4">
        <f t="shared" ref="AQ2:AQ65" si="14">IFERROR(AE2-S2,"-")</f>
        <v>3</v>
      </c>
      <c r="AR2" s="4">
        <f t="shared" ref="AR2:AR65" si="15">IFERROR(AF2-T2,"-")</f>
        <v>30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 t="str">
        <f t="shared" ref="AU2:AU65" si="18">IFERROR(AI2-W2,"-")</f>
        <v>-</v>
      </c>
      <c r="AV2" s="4">
        <f t="shared" ref="AV2:AV65" si="19">IFERROR(AJ2-X2,"-")</f>
        <v>24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11</v>
      </c>
    </row>
    <row r="3" spans="1:53" x14ac:dyDescent="0.2">
      <c r="A3" s="1" t="str">
        <f>'NonXtal_SegEnds_Prot#'!A12</f>
        <v>taar9_human</v>
      </c>
      <c r="B3" s="1" t="str">
        <f t="shared" si="0"/>
        <v>PGPRSILYAVLGFGAVLAAFGNLLVMIAILHFTPTNFLIASLACADFLVGVTVMPFSTVRSVEGDSYCKFHTCFDTSFCFASLFHLCCISVDRYIAVTDVSVSGICIVLSWFFSVTYSFSIFYTLNQNWVLLCFLLFFIPNVAMVFIYSKIFLVAKHQARKIESSYKERVAKRERKAAKTLGIAMAAFLVSWLPYLVDAVIDAYMPPYVYEILVWCVYYNSAMNPLIYAFFYQWFGKAIKLIV</v>
      </c>
      <c r="C3" s="72" t="str">
        <f>IF(ISERROR(MATCH(A3,'Xtal_SegEnds_Prot#'!B:B, 0)), "NoXtal", "Xtal")</f>
        <v>NoXtal</v>
      </c>
      <c r="D3" s="4" t="str">
        <f>VLOOKUP(A3,Classification!A:D,2,FALSE)</f>
        <v>A</v>
      </c>
      <c r="E3" s="5" t="str">
        <f>VLOOKUP(A3,Seqs!A:B,2,FALSE)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3" s="5" t="str">
        <f t="shared" si="1"/>
        <v>PGPRSILYAVLGFGAVLAAFGNLLVMIAILHF</v>
      </c>
      <c r="G3" s="4" t="str">
        <f t="shared" si="2"/>
        <v>KQLH</v>
      </c>
      <c r="H3" s="4" t="str">
        <f t="shared" si="3"/>
        <v>TPTNFLIASLACADFLVGVTVMPFSTVRSVE</v>
      </c>
      <c r="I3" s="4" t="str">
        <f t="shared" si="4"/>
        <v>CWYF</v>
      </c>
      <c r="J3" s="4" t="str">
        <f t="shared" si="5"/>
        <v>GDSYCKFHTCFDTSFCFASLFHLCCISVDRYIAVTD</v>
      </c>
      <c r="K3" s="4" t="str">
        <f t="shared" si="6"/>
        <v>PLTYPTKF</v>
      </c>
      <c r="L3" s="4" t="str">
        <f t="shared" si="7"/>
        <v>VSVSGICIVLSWFFSVTYSFSIFYT</v>
      </c>
      <c r="M3" s="4" t="str">
        <f t="shared" si="8"/>
        <v>CQA</v>
      </c>
      <c r="N3" s="4" t="str">
        <f t="shared" si="9"/>
        <v>LNQNWVLLCFLLFFIPNVAMVFIYSKIFLVAKHQARKIES</v>
      </c>
      <c r="O3" s="4" t="str">
        <f t="shared" si="10"/>
        <v>SYKERVAKRERKAAKTLGIAMAAFLVSWLPYLVDAVIDAYM</v>
      </c>
      <c r="P3" s="4" t="str">
        <f t="shared" si="11"/>
        <v>PPYVYEILVWCVYYNSAMNPLIYAFF</v>
      </c>
      <c r="Q3" s="4" t="str">
        <f t="shared" si="12"/>
        <v>YQWFGKAIKLIV</v>
      </c>
      <c r="R3" s="5">
        <f>VLOOKUP($A3,'NonXtal_SegEnds_Prot#'!$A:$AL,3,FALSE)</f>
        <v>29</v>
      </c>
      <c r="S3" s="5">
        <f>VLOOKUP($A3,'NonXtal_SegEnds_Prot#'!$A:$AL,6,FALSE)</f>
        <v>61</v>
      </c>
      <c r="T3" s="5">
        <f>VLOOKUP($A3,'NonXtal_SegEnds_Prot#'!$A:$AL,9,FALSE)</f>
        <v>65</v>
      </c>
      <c r="U3" s="5">
        <f>VLOOKUP($A3,'NonXtal_SegEnds_Prot#'!$A:$AL,12,FALSE)</f>
        <v>97</v>
      </c>
      <c r="V3" s="5">
        <f>VLOOKUP($A3,'NonXtal_SegEnds_Prot#'!$A:$AL,15,FALSE)</f>
        <v>101</v>
      </c>
      <c r="W3" s="5">
        <f>VLOOKUP($A3,'NonXtal_SegEnds_Prot#'!$A:$AL,18,FALSE)</f>
        <v>137</v>
      </c>
      <c r="X3" s="5">
        <f>VLOOKUP($A3,'NonXtal_SegEnds_Prot#'!$A:$AL,21,FALSE)</f>
        <v>146</v>
      </c>
      <c r="Y3" s="5">
        <f>VLOOKUP($A3,'NonXtal_SegEnds_Prot#'!$A:$AL,24,FALSE)</f>
        <v>190</v>
      </c>
      <c r="Z3" s="5">
        <f>VLOOKUP($A3,'NonXtal_SegEnds_Prot#'!$A:$AL,27,FALSE)</f>
        <v>194</v>
      </c>
      <c r="AA3" s="5">
        <f>VLOOKUP($A3,'NonXtal_SegEnds_Prot#'!$A:$AL,30,FALSE)</f>
        <v>244</v>
      </c>
      <c r="AB3" s="5">
        <f>VLOOKUP($A3,'NonXtal_SegEnds_Prot#'!$A:$AL,33,FALSE)</f>
        <v>289</v>
      </c>
      <c r="AC3" s="5">
        <f>VLOOKUP($A3,'NonXtal_SegEnds_Prot#'!$A:$AL,36,FALSE)</f>
        <v>315</v>
      </c>
      <c r="AD3" s="5">
        <f>VLOOKUP($A3,'NonXtal_SegEnds_Prot#'!$A:$AL,5,FALSE)</f>
        <v>60</v>
      </c>
      <c r="AE3" s="5">
        <f>VLOOKUP($A3,'NonXtal_SegEnds_Prot#'!$A:$AL,8,FALSE)</f>
        <v>64</v>
      </c>
      <c r="AF3" s="5">
        <f>VLOOKUP($A3,'NonXtal_SegEnds_Prot#'!$A:$AL,11,FALSE)</f>
        <v>95</v>
      </c>
      <c r="AG3" s="5">
        <f>VLOOKUP($A3,'NonXtal_SegEnds_Prot#'!$A:$AL,14,FALSE)</f>
        <v>100</v>
      </c>
      <c r="AH3" s="5">
        <f>VLOOKUP($A3,'NonXtal_SegEnds_Prot#'!$A:$AL,17,FALSE)</f>
        <v>136</v>
      </c>
      <c r="AI3" s="5">
        <f>VLOOKUP($A3,'NonXtal_SegEnds_Prot#'!$A:$AL,20,FALSE)</f>
        <v>144</v>
      </c>
      <c r="AJ3" s="5">
        <f>VLOOKUP($A3,'NonXtal_SegEnds_Prot#'!$A:$AL,23,FALSE)</f>
        <v>170</v>
      </c>
      <c r="AK3" s="5">
        <f>VLOOKUP($A3,'NonXtal_SegEnds_Prot#'!$A:$AL,26,FALSE)</f>
        <v>192</v>
      </c>
      <c r="AL3" s="5">
        <f>VLOOKUP($A3,'NonXtal_SegEnds_Prot#'!$A:$AL,29,FALSE)</f>
        <v>233</v>
      </c>
      <c r="AM3" s="5">
        <f>VLOOKUP($A3,'NonXtal_SegEnds_Prot#'!$A:$AL,32,FALSE)</f>
        <v>284</v>
      </c>
      <c r="AN3" s="5">
        <f>VLOOKUP($A3,'NonXtal_SegEnds_Prot#'!$A:$AL,35,FALSE)</f>
        <v>314</v>
      </c>
      <c r="AO3" s="5">
        <f>VLOOKUP($A3,'NonXtal_SegEnds_Prot#'!$A:$AL,38,FALSE)</f>
        <v>326</v>
      </c>
      <c r="AP3" s="5">
        <f t="shared" si="13"/>
        <v>31</v>
      </c>
      <c r="AQ3" s="4">
        <f t="shared" si="14"/>
        <v>3</v>
      </c>
      <c r="AR3" s="4">
        <f t="shared" si="15"/>
        <v>30</v>
      </c>
      <c r="AS3" s="4">
        <f t="shared" si="16"/>
        <v>3</v>
      </c>
      <c r="AT3" s="4">
        <f t="shared" si="17"/>
        <v>35</v>
      </c>
      <c r="AU3" s="4">
        <f t="shared" si="18"/>
        <v>7</v>
      </c>
      <c r="AV3" s="4">
        <f t="shared" si="19"/>
        <v>24</v>
      </c>
      <c r="AW3" s="4">
        <f t="shared" si="20"/>
        <v>2</v>
      </c>
      <c r="AX3" s="4">
        <f t="shared" si="21"/>
        <v>39</v>
      </c>
      <c r="AY3" s="4">
        <f t="shared" si="22"/>
        <v>40</v>
      </c>
      <c r="AZ3" s="4">
        <f t="shared" si="23"/>
        <v>25</v>
      </c>
      <c r="BA3" s="4">
        <f t="shared" si="24"/>
        <v>11</v>
      </c>
    </row>
    <row r="4" spans="1:53" x14ac:dyDescent="0.2">
      <c r="A4" s="1" t="str">
        <f>'NonXtal_SegEnds_Prot#'!A26</f>
        <v>gp173_human</v>
      </c>
      <c r="B4" s="1" t="str">
        <f t="shared" si="0"/>
        <v>AYVKLVLLGLIMCVSLAGNAILSLLVLKEKAPYYFLLDLCLADGIRSAVCFPFVLASVRHSALSCKIVAFMAVLFCFHAAFMLFCISVTRYMAIAHLWTCAAVICMAWTLSVAMAFPPVFDVVQMVPAISQNWTFHGPGATGQAAANWIAGFGRGPMPPTLLLLGMDEVKGEKQLGRMFYAITLLFLLLWSPYIVACYWRVFVPHRYLATAVWMSFAQAAVNPIVCFLLNKDLKKCLRTHA</v>
      </c>
      <c r="C4" s="72" t="str">
        <f>IF(ISERROR(MATCH(A4,'Xtal_SegEnds_Prot#'!B:B, 0)), "NoXtal", "Xtal")</f>
        <v>NoXtal</v>
      </c>
      <c r="D4" s="4" t="str">
        <f>VLOOKUP(A4,Classification!A:D,2,FALSE)</f>
        <v>A</v>
      </c>
      <c r="E4" s="5" t="str">
        <f>VLOOKUP(A4,Seqs!A:B,2,FALSE)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4" s="5" t="str">
        <f t="shared" si="1"/>
        <v>AYVKLVLLGLIMCVSLAGNAILSLLVLKE</v>
      </c>
      <c r="G4" s="4" t="str">
        <f t="shared" si="2"/>
        <v>RALH</v>
      </c>
      <c r="H4" s="4" t="str">
        <f t="shared" si="3"/>
        <v>KAPYYFLLDLCLADGIRSAVCFPFVLASVRH</v>
      </c>
      <c r="I4" s="4" t="str">
        <f t="shared" si="4"/>
        <v>SWTF</v>
      </c>
      <c r="J4" s="4" t="str">
        <f t="shared" si="5"/>
        <v>SALSCKIVAFMAVLFCFHAAFMLFCISVTRYMAIAH</v>
      </c>
      <c r="K4" s="4" t="str">
        <f t="shared" si="6"/>
        <v>HRFYAKRM</v>
      </c>
      <c r="L4" s="4" t="str">
        <f t="shared" si="7"/>
        <v>LWTCAAVICMAWTLSVAMAFPPVFDV</v>
      </c>
      <c r="M4" s="4" t="str">
        <f t="shared" si="8"/>
        <v>CIF</v>
      </c>
      <c r="N4" s="4" t="str">
        <f t="shared" si="9"/>
        <v>VQMVPAISQNWTFHGPGATGQAAANWIAGFGRGPMPPTLL</v>
      </c>
      <c r="O4" s="4" t="str">
        <f t="shared" si="10"/>
        <v>LLGMDEVKGEKQLGRMFYAITLLFLLLWSPYIVACYWRVFV</v>
      </c>
      <c r="P4" s="4" t="str">
        <f t="shared" si="11"/>
        <v>PHRYLATAVWMSFAQAAVNPIVCFLL</v>
      </c>
      <c r="Q4" s="4" t="str">
        <f t="shared" si="12"/>
        <v>NKDLKKCLRTHA</v>
      </c>
      <c r="R4" s="5">
        <f>VLOOKUP($A4,'NonXtal_SegEnds_Prot#'!$A:$AL,3,FALSE)</f>
        <v>22</v>
      </c>
      <c r="S4" s="5">
        <f>VLOOKUP($A4,'NonXtal_SegEnds_Prot#'!$A:$AL,6,FALSE)</f>
        <v>51</v>
      </c>
      <c r="T4" s="5">
        <f>VLOOKUP($A4,'NonXtal_SegEnds_Prot#'!$A:$AL,9,FALSE)</f>
        <v>55</v>
      </c>
      <c r="U4" s="5">
        <f>VLOOKUP($A4,'NonXtal_SegEnds_Prot#'!$A:$AL,12,FALSE)</f>
        <v>88</v>
      </c>
      <c r="V4" s="5">
        <f>VLOOKUP($A4,'NonXtal_SegEnds_Prot#'!$A:$AL,15,FALSE)</f>
        <v>92</v>
      </c>
      <c r="W4" s="5">
        <f>VLOOKUP($A4,'NonXtal_SegEnds_Prot#'!$A:$AL,18,FALSE)</f>
        <v>128</v>
      </c>
      <c r="X4" s="5">
        <f>VLOOKUP($A4,'NonXtal_SegEnds_Prot#'!$A:$AL,21,FALSE)</f>
        <v>137</v>
      </c>
      <c r="Y4" s="5">
        <f>VLOOKUP($A4,'NonXtal_SegEnds_Prot#'!$A:$AL,24,FALSE)</f>
        <v>174</v>
      </c>
      <c r="Z4" s="5">
        <f>VLOOKUP($A4,'NonXtal_SegEnds_Prot#'!$A:$AL,27,FALSE)</f>
        <v>220</v>
      </c>
      <c r="AA4" s="5">
        <f>VLOOKUP($A4,'NonXtal_SegEnds_Prot#'!$A:$AL,30,FALSE)</f>
        <v>272</v>
      </c>
      <c r="AB4" s="5">
        <f>VLOOKUP($A4,'NonXtal_SegEnds_Prot#'!$A:$AL,33,FALSE)</f>
        <v>318</v>
      </c>
      <c r="AC4" s="5">
        <f>VLOOKUP($A4,'NonXtal_SegEnds_Prot#'!$A:$AL,36,FALSE)</f>
        <v>344</v>
      </c>
      <c r="AD4" s="5">
        <f>VLOOKUP($A4,'NonXtal_SegEnds_Prot#'!$A:$AL,5,FALSE)</f>
        <v>50</v>
      </c>
      <c r="AE4" s="5">
        <f>VLOOKUP($A4,'NonXtal_SegEnds_Prot#'!$A:$AL,8,FALSE)</f>
        <v>54</v>
      </c>
      <c r="AF4" s="5">
        <f>VLOOKUP($A4,'NonXtal_SegEnds_Prot#'!$A:$AL,11,FALSE)</f>
        <v>85</v>
      </c>
      <c r="AG4" s="5">
        <f>VLOOKUP($A4,'NonXtal_SegEnds_Prot#'!$A:$AL,14,FALSE)</f>
        <v>91</v>
      </c>
      <c r="AH4" s="5">
        <f>VLOOKUP($A4,'NonXtal_SegEnds_Prot#'!$A:$AL,17,FALSE)</f>
        <v>127</v>
      </c>
      <c r="AI4" s="5">
        <f>VLOOKUP($A4,'NonXtal_SegEnds_Prot#'!$A:$AL,20,FALSE)</f>
        <v>135</v>
      </c>
      <c r="AJ4" s="5">
        <f>VLOOKUP($A4,'NonXtal_SegEnds_Prot#'!$A:$AL,23,FALSE)</f>
        <v>162</v>
      </c>
      <c r="AK4" s="5">
        <f>VLOOKUP($A4,'NonXtal_SegEnds_Prot#'!$A:$AL,26,FALSE)</f>
        <v>176</v>
      </c>
      <c r="AL4" s="5">
        <f>VLOOKUP($A4,'NonXtal_SegEnds_Prot#'!$A:$AL,29,FALSE)</f>
        <v>259</v>
      </c>
      <c r="AM4" s="5">
        <f>VLOOKUP($A4,'NonXtal_SegEnds_Prot#'!$A:$AL,32,FALSE)</f>
        <v>312</v>
      </c>
      <c r="AN4" s="5">
        <f>VLOOKUP($A4,'NonXtal_SegEnds_Prot#'!$A:$AL,35,FALSE)</f>
        <v>343</v>
      </c>
      <c r="AO4" s="5">
        <f>VLOOKUP($A4,'NonXtal_SegEnds_Prot#'!$A:$AL,38,FALSE)</f>
        <v>355</v>
      </c>
      <c r="AP4" s="5">
        <f t="shared" si="13"/>
        <v>28</v>
      </c>
      <c r="AQ4" s="4">
        <f t="shared" si="14"/>
        <v>3</v>
      </c>
      <c r="AR4" s="4">
        <f t="shared" si="15"/>
        <v>30</v>
      </c>
      <c r="AS4" s="4">
        <f t="shared" si="16"/>
        <v>3</v>
      </c>
      <c r="AT4" s="4">
        <f t="shared" si="17"/>
        <v>35</v>
      </c>
      <c r="AU4" s="4">
        <f t="shared" si="18"/>
        <v>7</v>
      </c>
      <c r="AV4" s="4">
        <f t="shared" si="19"/>
        <v>25</v>
      </c>
      <c r="AW4" s="4">
        <f t="shared" si="20"/>
        <v>2</v>
      </c>
      <c r="AX4" s="4">
        <f t="shared" si="21"/>
        <v>39</v>
      </c>
      <c r="AY4" s="4">
        <f t="shared" si="22"/>
        <v>40</v>
      </c>
      <c r="AZ4" s="4">
        <f t="shared" si="23"/>
        <v>25</v>
      </c>
      <c r="BA4" s="4">
        <f t="shared" si="24"/>
        <v>11</v>
      </c>
    </row>
    <row r="5" spans="1:53" x14ac:dyDescent="0.2">
      <c r="A5" s="1" t="str">
        <f>'NonXtal_SegEnds_Prot#'!A29</f>
        <v>mc5r_human</v>
      </c>
      <c r="B5" s="1" t="str">
        <f t="shared" si="0"/>
        <v>PCEDMGIAVEVFLTLGVISLLENILVIGAIVKNSPMYFFVCSLAVADMLVSMSSAWETITIYLLDAFVRHIDNVFDSMICISVVASMCSLLAIAVDRYVTIFYARRSGAIIAGIWAFCTGCGIVFILYSESTYVILCLISMFFAMLFLLVSLYIHMFLLARTHVKRIAASSARQRTSMQGAVTVTMLLGVFTVCWAPFFLHLTLMLSCCSRFMSHFNMYLILIMCNSVMDPLIYAFRSQEMRKTFKEIICCRGFRIACSF</v>
      </c>
      <c r="C5" s="72" t="str">
        <f>IF(ISERROR(MATCH(A5,'Xtal_SegEnds_Prot#'!B:B, 0)), "NoXtal", "Xtal")</f>
        <v>NoXtal</v>
      </c>
      <c r="D5" s="4" t="str">
        <f>VLOOKUP(A5,Classification!A:D,2,FALSE)</f>
        <v>A</v>
      </c>
      <c r="E5" s="5" t="str">
        <f>VLOOKUP(A5,Seqs!A:B,2,FALSE)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5" s="5" t="str">
        <f t="shared" si="1"/>
        <v>PCEDMGIAVEVFLTLGVISLLENILVIGAIVKN</v>
      </c>
      <c r="G5" s="4" t="str">
        <f t="shared" si="2"/>
        <v>KNLH</v>
      </c>
      <c r="H5" s="4" t="str">
        <f t="shared" si="3"/>
        <v>SPMYFFVCSLAVADMLVSMSSAWETITIYLL</v>
      </c>
      <c r="I5" s="4" t="str">
        <f t="shared" si="4"/>
        <v/>
      </c>
      <c r="J5" s="4" t="str">
        <f t="shared" si="5"/>
        <v>DAFVRHIDNVFDSMICISVVASMCSLLAIAVDRYVTIFY</v>
      </c>
      <c r="K5" s="4" t="str">
        <f t="shared" si="6"/>
        <v>ALRYHHIM</v>
      </c>
      <c r="L5" s="4" t="str">
        <f t="shared" si="7"/>
        <v>ARRSGAIIAGIWAFCTGCGIVFILY</v>
      </c>
      <c r="M5" s="4" t="str">
        <f t="shared" si="8"/>
        <v/>
      </c>
      <c r="N5" s="4" t="str">
        <f t="shared" si="9"/>
        <v>SESTYVILCLISMFFAMLFLLVSLYIHMFLLARTHVKRIA</v>
      </c>
      <c r="O5" s="4" t="str">
        <f t="shared" si="10"/>
        <v>ASSARQRTSMQGAVTVTMLLGVFTVCWAPFFLHLTLMLSC</v>
      </c>
      <c r="P5" s="4" t="str">
        <f t="shared" si="11"/>
        <v>CSRFMSHFNMYLILIMCNSVMDPLIYAFR</v>
      </c>
      <c r="Q5" s="4" t="str">
        <f t="shared" si="12"/>
        <v>SQEMRKTFKEIICCRGFRIACSF</v>
      </c>
      <c r="R5" s="5">
        <f>VLOOKUP($A5,'NonXtal_SegEnds_Prot#'!$A:$AL,3,FALSE)</f>
        <v>32</v>
      </c>
      <c r="S5" s="5">
        <f>VLOOKUP($A5,'NonXtal_SegEnds_Prot#'!$A:$AL,6,FALSE)</f>
        <v>65</v>
      </c>
      <c r="T5" s="5">
        <f>VLOOKUP($A5,'NonXtal_SegEnds_Prot#'!$A:$AL,9,FALSE)</f>
        <v>69</v>
      </c>
      <c r="U5" s="5" t="str">
        <f>VLOOKUP($A5,'NonXtal_SegEnds_Prot#'!$A:$AL,12,FALSE)</f>
        <v>-</v>
      </c>
      <c r="V5" s="5">
        <f>VLOOKUP($A5,'NonXtal_SegEnds_Prot#'!$A:$AL,15,FALSE)</f>
        <v>108</v>
      </c>
      <c r="W5" s="5">
        <f>VLOOKUP($A5,'NonXtal_SegEnds_Prot#'!$A:$AL,18,FALSE)</f>
        <v>147</v>
      </c>
      <c r="X5" s="5">
        <f>VLOOKUP($A5,'NonXtal_SegEnds_Prot#'!$A:$AL,21,FALSE)</f>
        <v>156</v>
      </c>
      <c r="Y5" s="5" t="str">
        <f>VLOOKUP($A5,'NonXtal_SegEnds_Prot#'!$A:$AL,24,FALSE)</f>
        <v>-</v>
      </c>
      <c r="Z5" s="5">
        <f>VLOOKUP($A5,'NonXtal_SegEnds_Prot#'!$A:$AL,27,FALSE)</f>
        <v>181</v>
      </c>
      <c r="AA5" s="5">
        <f>VLOOKUP($A5,'NonXtal_SegEnds_Prot#'!$A:$AL,30,FALSE)</f>
        <v>225</v>
      </c>
      <c r="AB5" s="5">
        <f>VLOOKUP($A5,'NonXtal_SegEnds_Prot#'!$A:$AL,33,FALSE)</f>
        <v>270</v>
      </c>
      <c r="AC5" s="5">
        <f>VLOOKUP($A5,'NonXtal_SegEnds_Prot#'!$A:$AL,36,FALSE)</f>
        <v>299</v>
      </c>
      <c r="AD5" s="5">
        <f>VLOOKUP($A5,'NonXtal_SegEnds_Prot#'!$A:$AL,5,FALSE)</f>
        <v>64</v>
      </c>
      <c r="AE5" s="5">
        <f>VLOOKUP($A5,'NonXtal_SegEnds_Prot#'!$A:$AL,8,FALSE)</f>
        <v>68</v>
      </c>
      <c r="AF5" s="5">
        <f>VLOOKUP($A5,'NonXtal_SegEnds_Prot#'!$A:$AL,11,FALSE)</f>
        <v>99</v>
      </c>
      <c r="AG5" s="5" t="str">
        <f>VLOOKUP($A5,'NonXtal_SegEnds_Prot#'!$A:$AL,14,FALSE)</f>
        <v>-</v>
      </c>
      <c r="AH5" s="5">
        <f>VLOOKUP($A5,'NonXtal_SegEnds_Prot#'!$A:$AL,17,FALSE)</f>
        <v>146</v>
      </c>
      <c r="AI5" s="5">
        <f>VLOOKUP($A5,'NonXtal_SegEnds_Prot#'!$A:$AL,20,FALSE)</f>
        <v>154</v>
      </c>
      <c r="AJ5" s="5">
        <f>VLOOKUP($A5,'NonXtal_SegEnds_Prot#'!$A:$AL,23,FALSE)</f>
        <v>180</v>
      </c>
      <c r="AK5" s="5" t="str">
        <f>VLOOKUP($A5,'NonXtal_SegEnds_Prot#'!$A:$AL,26,FALSE)</f>
        <v>-</v>
      </c>
      <c r="AL5" s="5">
        <f>VLOOKUP($A5,'NonXtal_SegEnds_Prot#'!$A:$AL,29,FALSE)</f>
        <v>220</v>
      </c>
      <c r="AM5" s="5">
        <f>VLOOKUP($A5,'NonXtal_SegEnds_Prot#'!$A:$AL,32,FALSE)</f>
        <v>264</v>
      </c>
      <c r="AN5" s="5">
        <f>VLOOKUP($A5,'NonXtal_SegEnds_Prot#'!$A:$AL,35,FALSE)</f>
        <v>298</v>
      </c>
      <c r="AO5" s="5">
        <f>VLOOKUP($A5,'NonXtal_SegEnds_Prot#'!$A:$AL,38,FALSE)</f>
        <v>321</v>
      </c>
      <c r="AP5" s="5">
        <f t="shared" si="13"/>
        <v>32</v>
      </c>
      <c r="AQ5" s="4">
        <f t="shared" si="14"/>
        <v>3</v>
      </c>
      <c r="AR5" s="4">
        <f t="shared" si="15"/>
        <v>30</v>
      </c>
      <c r="AS5" s="4" t="str">
        <f t="shared" si="16"/>
        <v>-</v>
      </c>
      <c r="AT5" s="4">
        <f t="shared" si="17"/>
        <v>38</v>
      </c>
      <c r="AU5" s="4">
        <f t="shared" si="18"/>
        <v>7</v>
      </c>
      <c r="AV5" s="4">
        <f t="shared" si="19"/>
        <v>24</v>
      </c>
      <c r="AW5" s="4" t="str">
        <f t="shared" si="20"/>
        <v>-</v>
      </c>
      <c r="AX5" s="4">
        <f t="shared" si="21"/>
        <v>39</v>
      </c>
      <c r="AY5" s="4">
        <f t="shared" si="22"/>
        <v>39</v>
      </c>
      <c r="AZ5" s="4">
        <f t="shared" si="23"/>
        <v>28</v>
      </c>
      <c r="BA5" s="4">
        <f t="shared" si="24"/>
        <v>22</v>
      </c>
    </row>
    <row r="6" spans="1:53" x14ac:dyDescent="0.2">
      <c r="A6" s="1" t="str">
        <f>'NonXtal_SegEnds_Prot#'!A46</f>
        <v>acm3_rat</v>
      </c>
      <c r="B6" s="1" t="str">
        <f t="shared" si="0"/>
        <v>IWQVVFIAFLTGFLALVTIIGNILVIVAFKVNTVNNYFLLSLACADLIIGVISMNLFTTYIIMGNLACDLWLSIDYVASNASVMNLLVISFDRYFSITRTKRAGVMIGLAWVISFVLWAPAILFWQYFVGEPTITFGTAIAAFYMPVTIMTILYWRIYKETEKRTKELAGLRMSLIKEKKAAQTLSAILLAFIITWTPYNIMVLVNTFCPKTYWNLGYWLCYINSTVNPVCYALCNKTFRTTFKTLL</v>
      </c>
      <c r="C6" s="72" t="str">
        <f>IF(ISERROR(MATCH(A6,'Xtal_SegEnds_Prot#'!B:B, 0)), "NoXtal", "Xtal")</f>
        <v>Xtal</v>
      </c>
      <c r="D6" s="4" t="str">
        <f>VLOOKUP(A6,Classification!A:D,2,FALSE)</f>
        <v>A</v>
      </c>
      <c r="E6" s="5" t="str">
        <f>VLOOKUP(A6,Seqs!A:B,2,FALSE)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6" s="5" t="str">
        <f t="shared" si="1"/>
        <v>IWQVVFIAFLTGFLALVTIIGNILVIVAFKVN</v>
      </c>
      <c r="G6" s="4" t="str">
        <f t="shared" si="2"/>
        <v>KQLK</v>
      </c>
      <c r="H6" s="4" t="str">
        <f t="shared" si="3"/>
        <v>TVNNYFLLSLACADLIIGVISMNLFTTYIIM</v>
      </c>
      <c r="I6" s="4" t="str">
        <f t="shared" si="4"/>
        <v>RWAL</v>
      </c>
      <c r="J6" s="4" t="str">
        <f t="shared" si="5"/>
        <v>GNLACDLWLSIDYVASNASVMNLLVISFDRYFSITR</v>
      </c>
      <c r="K6" s="4" t="str">
        <f t="shared" si="6"/>
        <v>PLTYRAKR</v>
      </c>
      <c r="L6" s="4" t="str">
        <f t="shared" si="7"/>
        <v>TKRAGVMIGLAWVISFVLWAPAILFWQYFVG</v>
      </c>
      <c r="M6" s="4" t="str">
        <f t="shared" si="8"/>
        <v>CFI</v>
      </c>
      <c r="N6" s="4" t="str">
        <f t="shared" si="9"/>
        <v>EPTITFGTAIAAFYMPVTIMTILYWRIYKETEKRTKELAGL</v>
      </c>
      <c r="O6" s="4" t="str">
        <f t="shared" si="10"/>
        <v>RMSLIKEKKAAQTLSAILLAFIITWTPYNIMVLVNTFC</v>
      </c>
      <c r="P6" s="4" t="str">
        <f t="shared" si="11"/>
        <v>PKTYWNLGYWLCYINSTVNPVCYALC</v>
      </c>
      <c r="Q6" s="4" t="str">
        <f t="shared" si="12"/>
        <v>NKTFRTTFKTLL</v>
      </c>
      <c r="R6" s="5">
        <f>VLOOKUP($A6,'NonXtal_SegEnds_Prot#'!$A:$AL,3,FALSE)</f>
        <v>64</v>
      </c>
      <c r="S6" s="5">
        <f>VLOOKUP($A6,'NonXtal_SegEnds_Prot#'!$A:$AL,6,FALSE)</f>
        <v>96</v>
      </c>
      <c r="T6" s="5">
        <f>VLOOKUP($A6,'NonXtal_SegEnds_Prot#'!$A:$AL,9,FALSE)</f>
        <v>100</v>
      </c>
      <c r="U6" s="5">
        <f>VLOOKUP($A6,'NonXtal_SegEnds_Prot#'!$A:$AL,12,FALSE)</f>
        <v>132</v>
      </c>
      <c r="V6" s="5">
        <f>VLOOKUP($A6,'NonXtal_SegEnds_Prot#'!$A:$AL,15,FALSE)</f>
        <v>136</v>
      </c>
      <c r="W6" s="5">
        <f>VLOOKUP($A6,'NonXtal_SegEnds_Prot#'!$A:$AL,18,FALSE)</f>
        <v>172</v>
      </c>
      <c r="X6" s="5">
        <f>VLOOKUP($A6,'NonXtal_SegEnds_Prot#'!$A:$AL,21,FALSE)</f>
        <v>181</v>
      </c>
      <c r="Y6" s="5">
        <f>VLOOKUP($A6,'NonXtal_SegEnds_Prot#'!$A:$AL,24,FALSE)</f>
        <v>220</v>
      </c>
      <c r="Z6" s="5">
        <f>VLOOKUP($A6,'NonXtal_SegEnds_Prot#'!$A:$AL,27,FALSE)</f>
        <v>227</v>
      </c>
      <c r="AA6" s="5">
        <f>VLOOKUP($A6,'NonXtal_SegEnds_Prot#'!$A:$AL,30,FALSE)</f>
        <v>479</v>
      </c>
      <c r="AB6" s="5">
        <f>VLOOKUP($A6,'NonXtal_SegEnds_Prot#'!$A:$AL,33,FALSE)</f>
        <v>521</v>
      </c>
      <c r="AC6" s="5">
        <f>VLOOKUP($A6,'NonXtal_SegEnds_Prot#'!$A:$AL,36,FALSE)</f>
        <v>547</v>
      </c>
      <c r="AD6" s="5">
        <f>VLOOKUP($A6,'NonXtal_SegEnds_Prot#'!$A:$AL,5,FALSE)</f>
        <v>95</v>
      </c>
      <c r="AE6" s="5">
        <f>VLOOKUP($A6,'NonXtal_SegEnds_Prot#'!$A:$AL,8,FALSE)</f>
        <v>99</v>
      </c>
      <c r="AF6" s="5">
        <f>VLOOKUP($A6,'NonXtal_SegEnds_Prot#'!$A:$AL,11,FALSE)</f>
        <v>130</v>
      </c>
      <c r="AG6" s="5">
        <f>VLOOKUP($A6,'NonXtal_SegEnds_Prot#'!$A:$AL,14,FALSE)</f>
        <v>135</v>
      </c>
      <c r="AH6" s="5">
        <f>VLOOKUP($A6,'NonXtal_SegEnds_Prot#'!$A:$AL,17,FALSE)</f>
        <v>171</v>
      </c>
      <c r="AI6" s="5">
        <f>VLOOKUP($A6,'NonXtal_SegEnds_Prot#'!$A:$AL,20,FALSE)</f>
        <v>179</v>
      </c>
      <c r="AJ6" s="5">
        <f>VLOOKUP($A6,'NonXtal_SegEnds_Prot#'!$A:$AL,23,FALSE)</f>
        <v>211</v>
      </c>
      <c r="AK6" s="5">
        <f>VLOOKUP($A6,'NonXtal_SegEnds_Prot#'!$A:$AL,26,FALSE)</f>
        <v>222</v>
      </c>
      <c r="AL6" s="5">
        <f>VLOOKUP($A6,'NonXtal_SegEnds_Prot#'!$A:$AL,29,FALSE)</f>
        <v>267</v>
      </c>
      <c r="AM6" s="5">
        <f>VLOOKUP($A6,'NonXtal_SegEnds_Prot#'!$A:$AL,32,FALSE)</f>
        <v>516</v>
      </c>
      <c r="AN6" s="5">
        <f>VLOOKUP($A6,'NonXtal_SegEnds_Prot#'!$A:$AL,35,FALSE)</f>
        <v>546</v>
      </c>
      <c r="AO6" s="5">
        <f>VLOOKUP($A6,'NonXtal_SegEnds_Prot#'!$A:$AL,38,FALSE)</f>
        <v>558</v>
      </c>
      <c r="AP6" s="5">
        <f t="shared" si="13"/>
        <v>31</v>
      </c>
      <c r="AQ6" s="4">
        <f t="shared" si="14"/>
        <v>3</v>
      </c>
      <c r="AR6" s="4">
        <f t="shared" si="15"/>
        <v>30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30</v>
      </c>
      <c r="AW6" s="4">
        <f t="shared" si="20"/>
        <v>2</v>
      </c>
      <c r="AX6" s="4">
        <f t="shared" si="21"/>
        <v>40</v>
      </c>
      <c r="AY6" s="4">
        <f t="shared" si="22"/>
        <v>37</v>
      </c>
      <c r="AZ6" s="4">
        <f t="shared" si="23"/>
        <v>25</v>
      </c>
      <c r="BA6" s="4">
        <f t="shared" si="24"/>
        <v>11</v>
      </c>
    </row>
    <row r="7" spans="1:53" x14ac:dyDescent="0.2">
      <c r="A7" s="1" t="str">
        <f>'NonXtal_SegEnds_Prot#'!A47</f>
        <v>acm5_human</v>
      </c>
      <c r="B7" s="1" t="str">
        <f t="shared" si="0"/>
        <v>LWEVITIAAVTAVVSLITIVGNVLVMISFKVNTVNNYYLLSLACADLIIGIFSMNLYTTYILMGSLACDLWLALDYVASNASVMNLLVISFDRYFSITRPKRAGIMIGLAWLISFILWAPAILCWQYLVGEPTITFGTAIAAFYIPVSVMTILYCRIYRETEKRTKDLADLRVVLVKERKAAQTLSAILLAFIITWTPYNIMVLVSTFCPVTLWHLGYWLCYVNSTVNPICYALCNRTFRKTFKMLL</v>
      </c>
      <c r="C7" s="72" t="str">
        <f>IF(ISERROR(MATCH(A7,'Xtal_SegEnds_Prot#'!B:B, 0)), "NoXtal", "Xtal")</f>
        <v>NoXtal</v>
      </c>
      <c r="D7" s="4" t="str">
        <f>VLOOKUP(A7,Classification!A:D,2,FALSE)</f>
        <v>A</v>
      </c>
      <c r="E7" s="5" t="str">
        <f>VLOOKUP(A7,Seqs!A:B,2,FALSE)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7" s="5" t="str">
        <f t="shared" si="1"/>
        <v>LWEVITIAAVTAVVSLITIVGNVLVMISFKVN</v>
      </c>
      <c r="G7" s="4" t="str">
        <f t="shared" si="2"/>
        <v>SQLK</v>
      </c>
      <c r="H7" s="4" t="str">
        <f t="shared" si="3"/>
        <v>TVNNYYLLSLACADLIIGIFSMNLYTTYILM</v>
      </c>
      <c r="I7" s="4" t="str">
        <f t="shared" si="4"/>
        <v>RWAL</v>
      </c>
      <c r="J7" s="4" t="str">
        <f t="shared" si="5"/>
        <v>GSLACDLWLALDYVASNASVMNLLVISFDRYFSITR</v>
      </c>
      <c r="K7" s="4" t="str">
        <f t="shared" si="6"/>
        <v>PLTYRAKR</v>
      </c>
      <c r="L7" s="4" t="str">
        <f t="shared" si="7"/>
        <v>PKRAGIMIGLAWLISFILWAPAILCWQYLVG</v>
      </c>
      <c r="M7" s="4" t="str">
        <f t="shared" si="8"/>
        <v>CQI</v>
      </c>
      <c r="N7" s="4" t="str">
        <f t="shared" si="9"/>
        <v>EPTITFGTAIAAFYIPVSVMTILYCRIYRETEKRTKDLADL</v>
      </c>
      <c r="O7" s="4" t="str">
        <f t="shared" si="10"/>
        <v>RVVLVKERKAAQTLSAILLAFIITWTPYNIMVLVSTFC</v>
      </c>
      <c r="P7" s="4" t="str">
        <f t="shared" si="11"/>
        <v>PVTLWHLGYWLCYVNSTVNPICYALC</v>
      </c>
      <c r="Q7" s="4" t="str">
        <f t="shared" si="12"/>
        <v>NRTFRKTFKMLL</v>
      </c>
      <c r="R7" s="5">
        <f>VLOOKUP($A7,'NonXtal_SegEnds_Prot#'!$A:$AL,3,FALSE)</f>
        <v>27</v>
      </c>
      <c r="S7" s="5">
        <f>VLOOKUP($A7,'NonXtal_SegEnds_Prot#'!$A:$AL,6,FALSE)</f>
        <v>59</v>
      </c>
      <c r="T7" s="5">
        <f>VLOOKUP($A7,'NonXtal_SegEnds_Prot#'!$A:$AL,9,FALSE)</f>
        <v>63</v>
      </c>
      <c r="U7" s="5">
        <f>VLOOKUP($A7,'NonXtal_SegEnds_Prot#'!$A:$AL,12,FALSE)</f>
        <v>95</v>
      </c>
      <c r="V7" s="5">
        <f>VLOOKUP($A7,'NonXtal_SegEnds_Prot#'!$A:$AL,15,FALSE)</f>
        <v>99</v>
      </c>
      <c r="W7" s="5">
        <f>VLOOKUP($A7,'NonXtal_SegEnds_Prot#'!$A:$AL,18,FALSE)</f>
        <v>135</v>
      </c>
      <c r="X7" s="5">
        <f>VLOOKUP($A7,'NonXtal_SegEnds_Prot#'!$A:$AL,21,FALSE)</f>
        <v>144</v>
      </c>
      <c r="Y7" s="5">
        <f>VLOOKUP($A7,'NonXtal_SegEnds_Prot#'!$A:$AL,24,FALSE)</f>
        <v>183</v>
      </c>
      <c r="Z7" s="5">
        <f>VLOOKUP($A7,'NonXtal_SegEnds_Prot#'!$A:$AL,27,FALSE)</f>
        <v>190</v>
      </c>
      <c r="AA7" s="5">
        <f>VLOOKUP($A7,'NonXtal_SegEnds_Prot#'!$A:$AL,30,FALSE)</f>
        <v>431</v>
      </c>
      <c r="AB7" s="5">
        <f>VLOOKUP($A7,'NonXtal_SegEnds_Prot#'!$A:$AL,33,FALSE)</f>
        <v>473</v>
      </c>
      <c r="AC7" s="5">
        <f>VLOOKUP($A7,'NonXtal_SegEnds_Prot#'!$A:$AL,36,FALSE)</f>
        <v>499</v>
      </c>
      <c r="AD7" s="5">
        <f>VLOOKUP($A7,'NonXtal_SegEnds_Prot#'!$A:$AL,5,FALSE)</f>
        <v>58</v>
      </c>
      <c r="AE7" s="5">
        <f>VLOOKUP($A7,'NonXtal_SegEnds_Prot#'!$A:$AL,8,FALSE)</f>
        <v>62</v>
      </c>
      <c r="AF7" s="5">
        <f>VLOOKUP($A7,'NonXtal_SegEnds_Prot#'!$A:$AL,11,FALSE)</f>
        <v>93</v>
      </c>
      <c r="AG7" s="5">
        <f>VLOOKUP($A7,'NonXtal_SegEnds_Prot#'!$A:$AL,14,FALSE)</f>
        <v>98</v>
      </c>
      <c r="AH7" s="5">
        <f>VLOOKUP($A7,'NonXtal_SegEnds_Prot#'!$A:$AL,17,FALSE)</f>
        <v>134</v>
      </c>
      <c r="AI7" s="5">
        <f>VLOOKUP($A7,'NonXtal_SegEnds_Prot#'!$A:$AL,20,FALSE)</f>
        <v>142</v>
      </c>
      <c r="AJ7" s="5">
        <f>VLOOKUP($A7,'NonXtal_SegEnds_Prot#'!$A:$AL,23,FALSE)</f>
        <v>174</v>
      </c>
      <c r="AK7" s="5">
        <f>VLOOKUP($A7,'NonXtal_SegEnds_Prot#'!$A:$AL,26,FALSE)</f>
        <v>185</v>
      </c>
      <c r="AL7" s="5">
        <f>VLOOKUP($A7,'NonXtal_SegEnds_Prot#'!$A:$AL,29,FALSE)</f>
        <v>230</v>
      </c>
      <c r="AM7" s="5">
        <f>VLOOKUP($A7,'NonXtal_SegEnds_Prot#'!$A:$AL,32,FALSE)</f>
        <v>468</v>
      </c>
      <c r="AN7" s="5">
        <f>VLOOKUP($A7,'NonXtal_SegEnds_Prot#'!$A:$AL,35,FALSE)</f>
        <v>498</v>
      </c>
      <c r="AO7" s="5">
        <f>VLOOKUP($A7,'NonXtal_SegEnds_Prot#'!$A:$AL,38,FALSE)</f>
        <v>510</v>
      </c>
      <c r="AP7" s="5">
        <f t="shared" si="13"/>
        <v>31</v>
      </c>
      <c r="AQ7" s="4">
        <f t="shared" si="14"/>
        <v>3</v>
      </c>
      <c r="AR7" s="4">
        <f t="shared" si="15"/>
        <v>30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30</v>
      </c>
      <c r="AW7" s="4">
        <f t="shared" si="20"/>
        <v>2</v>
      </c>
      <c r="AX7" s="4">
        <f t="shared" si="21"/>
        <v>40</v>
      </c>
      <c r="AY7" s="4">
        <f t="shared" si="22"/>
        <v>37</v>
      </c>
      <c r="AZ7" s="4">
        <f t="shared" si="23"/>
        <v>25</v>
      </c>
      <c r="BA7" s="4">
        <f t="shared" si="24"/>
        <v>11</v>
      </c>
    </row>
    <row r="8" spans="1:53" x14ac:dyDescent="0.2">
      <c r="A8" s="1" t="str">
        <f>'NonXtal_SegEnds_Prot#'!A111</f>
        <v>ccr10_human</v>
      </c>
      <c r="B8" s="1" t="str">
        <f t="shared" si="0"/>
        <v>VQAFSRAFQPSVSLTVAALGLAGNGLVLATHLAARSPTSAHLLQLALADLLLALTLPFAAAGALQGSATCRTISGLYSASFHAGFLFLACISADRYVAIARPGRAHLVSVIVWLLSLLLALPALLFSTQTVKGASAVAQVALGFALPLGVMVACYALLGRTLLAARRRALRVVVALVAAFVVLQLPYSLALLLDTADLLAASCPASKRKDVALLVTSGLALARCGLNPVLYAFLGLRFRQDLRRLLR</v>
      </c>
      <c r="C8" s="72" t="str">
        <f>IF(ISERROR(MATCH(A8,'Xtal_SegEnds_Prot#'!B:B, 0)), "NoXtal", "Xtal")</f>
        <v>NoXtal</v>
      </c>
      <c r="D8" s="4" t="str">
        <f>VLOOKUP(A8,Classification!A:D,2,FALSE)</f>
        <v>A</v>
      </c>
      <c r="E8" s="5" t="str">
        <f>VLOOKUP(A8,Seqs!A:B,2,FALSE)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8" s="5" t="str">
        <f t="shared" si="1"/>
        <v>VQAFSRAFQPSVSLTVAALGLAGNGLVLATHLAA</v>
      </c>
      <c r="G8" s="4" t="str">
        <f t="shared" si="2"/>
        <v>RRAA</v>
      </c>
      <c r="H8" s="4" t="str">
        <f t="shared" si="3"/>
        <v>RSPTSAHLLQLALADLLLALTLPFAAAGALQ</v>
      </c>
      <c r="I8" s="4" t="str">
        <f t="shared" si="4"/>
        <v>GWSL</v>
      </c>
      <c r="J8" s="4" t="str">
        <f t="shared" si="5"/>
        <v>GSATCRTISGLYSASFHAGFLFLACISADRYVAIAR</v>
      </c>
      <c r="K8" s="4" t="str">
        <f t="shared" si="6"/>
        <v/>
      </c>
      <c r="L8" s="4" t="str">
        <f t="shared" si="7"/>
        <v>PGRAHLVSVIVWLLSLLLALPALLFS</v>
      </c>
      <c r="M8" s="4" t="str">
        <f t="shared" si="8"/>
        <v>CRL</v>
      </c>
      <c r="N8" s="4" t="str">
        <f t="shared" si="9"/>
        <v>TQTVKGASAVAQVALGFALPLGVMVACYALLGRTLLAA</v>
      </c>
      <c r="O8" s="4" t="str">
        <f t="shared" si="10"/>
        <v>RRRALRVVVALVAAFVVLQLPYSLALLLDTADLLAA</v>
      </c>
      <c r="P8" s="4" t="str">
        <f t="shared" si="11"/>
        <v>SCPASKRKDVALLVTSGLALARCGLNPVLYAFL</v>
      </c>
      <c r="Q8" s="4" t="str">
        <f t="shared" si="12"/>
        <v>GLRFRQDLRRLLR</v>
      </c>
      <c r="R8" s="5">
        <f>VLOOKUP($A8,'NonXtal_SegEnds_Prot#'!$A:$AL,3,FALSE)</f>
        <v>36</v>
      </c>
      <c r="S8" s="5">
        <f>VLOOKUP($A8,'NonXtal_SegEnds_Prot#'!$A:$AL,6,FALSE)</f>
        <v>70</v>
      </c>
      <c r="T8" s="5">
        <f>VLOOKUP($A8,'NonXtal_SegEnds_Prot#'!$A:$AL,9,FALSE)</f>
        <v>74</v>
      </c>
      <c r="U8" s="5">
        <f>VLOOKUP($A8,'NonXtal_SegEnds_Prot#'!$A:$AL,12,FALSE)</f>
        <v>105</v>
      </c>
      <c r="V8" s="5">
        <f>VLOOKUP($A8,'NonXtal_SegEnds_Prot#'!$A:$AL,15,FALSE)</f>
        <v>109</v>
      </c>
      <c r="W8" s="5" t="str">
        <f>VLOOKUP($A8,'NonXtal_SegEnds_Prot#'!$A:$AL,18,FALSE)</f>
        <v>-</v>
      </c>
      <c r="X8" s="5">
        <f>VLOOKUP($A8,'NonXtal_SegEnds_Prot#'!$A:$AL,21,FALSE)</f>
        <v>155</v>
      </c>
      <c r="Y8" s="5">
        <f>VLOOKUP($A8,'NonXtal_SegEnds_Prot#'!$A:$AL,24,FALSE)</f>
        <v>191</v>
      </c>
      <c r="Z8" s="5">
        <f>VLOOKUP($A8,'NonXtal_SegEnds_Prot#'!$A:$AL,27,FALSE)</f>
        <v>200</v>
      </c>
      <c r="AA8" s="5">
        <f>VLOOKUP($A8,'NonXtal_SegEnds_Prot#'!$A:$AL,30,FALSE)</f>
        <v>242</v>
      </c>
      <c r="AB8" s="5">
        <f>VLOOKUP($A8,'NonXtal_SegEnds_Prot#'!$A:$AL,33,FALSE)</f>
        <v>281</v>
      </c>
      <c r="AC8" s="5">
        <f>VLOOKUP($A8,'NonXtal_SegEnds_Prot#'!$A:$AL,36,FALSE)</f>
        <v>314</v>
      </c>
      <c r="AD8" s="5">
        <f>VLOOKUP($A8,'NonXtal_SegEnds_Prot#'!$A:$AL,5,FALSE)</f>
        <v>69</v>
      </c>
      <c r="AE8" s="5">
        <f>VLOOKUP($A8,'NonXtal_SegEnds_Prot#'!$A:$AL,8,FALSE)</f>
        <v>73</v>
      </c>
      <c r="AF8" s="5">
        <f>VLOOKUP($A8,'NonXtal_SegEnds_Prot#'!$A:$AL,11,FALSE)</f>
        <v>104</v>
      </c>
      <c r="AG8" s="5">
        <f>VLOOKUP($A8,'NonXtal_SegEnds_Prot#'!$A:$AL,14,FALSE)</f>
        <v>108</v>
      </c>
      <c r="AH8" s="5">
        <f>VLOOKUP($A8,'NonXtal_SegEnds_Prot#'!$A:$AL,17,FALSE)</f>
        <v>144</v>
      </c>
      <c r="AI8" s="5" t="str">
        <f>VLOOKUP($A8,'NonXtal_SegEnds_Prot#'!$A:$AL,20,FALSE)</f>
        <v>-</v>
      </c>
      <c r="AJ8" s="5">
        <f>VLOOKUP($A8,'NonXtal_SegEnds_Prot#'!$A:$AL,23,FALSE)</f>
        <v>180</v>
      </c>
      <c r="AK8" s="5">
        <f>VLOOKUP($A8,'NonXtal_SegEnds_Prot#'!$A:$AL,26,FALSE)</f>
        <v>193</v>
      </c>
      <c r="AL8" s="5">
        <f>VLOOKUP($A8,'NonXtal_SegEnds_Prot#'!$A:$AL,29,FALSE)</f>
        <v>237</v>
      </c>
      <c r="AM8" s="5">
        <f>VLOOKUP($A8,'NonXtal_SegEnds_Prot#'!$A:$AL,32,FALSE)</f>
        <v>277</v>
      </c>
      <c r="AN8" s="5">
        <f>VLOOKUP($A8,'NonXtal_SegEnds_Prot#'!$A:$AL,35,FALSE)</f>
        <v>313</v>
      </c>
      <c r="AO8" s="5">
        <f>VLOOKUP($A8,'NonXtal_SegEnds_Prot#'!$A:$AL,38,FALSE)</f>
        <v>326</v>
      </c>
      <c r="AP8" s="5">
        <f t="shared" si="13"/>
        <v>33</v>
      </c>
      <c r="AQ8" s="4">
        <f t="shared" si="14"/>
        <v>3</v>
      </c>
      <c r="AR8" s="4">
        <f t="shared" si="15"/>
        <v>30</v>
      </c>
      <c r="AS8" s="4">
        <f t="shared" si="16"/>
        <v>3</v>
      </c>
      <c r="AT8" s="4">
        <f t="shared" si="17"/>
        <v>35</v>
      </c>
      <c r="AU8" s="4" t="str">
        <f t="shared" si="18"/>
        <v>-</v>
      </c>
      <c r="AV8" s="4">
        <f t="shared" si="19"/>
        <v>25</v>
      </c>
      <c r="AW8" s="4">
        <f t="shared" si="20"/>
        <v>2</v>
      </c>
      <c r="AX8" s="4">
        <f t="shared" si="21"/>
        <v>37</v>
      </c>
      <c r="AY8" s="4">
        <f t="shared" si="22"/>
        <v>35</v>
      </c>
      <c r="AZ8" s="4">
        <f t="shared" si="23"/>
        <v>32</v>
      </c>
      <c r="BA8" s="4">
        <f t="shared" si="24"/>
        <v>12</v>
      </c>
    </row>
    <row r="9" spans="1:53" x14ac:dyDescent="0.2">
      <c r="A9" s="1" t="str">
        <f>'NonXtal_SegEnds_Prot#'!A121</f>
        <v>ccr5_human</v>
      </c>
      <c r="B9" s="1" t="str">
        <f t="shared" si="0"/>
        <v>VKQIAARLLPPLYSLVFIFGFVGNMLVILILINCSMTDIYLLNLAISDLFFLLTVPFWAHYAAAGNTMCQLLTGLYFIGFFSGIFFIILLTIDRYLAVVHVTFGVVTSVITWVVAVFASLPGIIFTYQFWKNFQTLKIVILGLVLPLLVMVICYSGILKTLLRCRHRAVRLIFTIMIVYFLFWAPYNIVLLLNTFQEFFGNCSSSNRLDQAMQVTETLGMTHCCINPIIYAFVGEKFRNYLLVFFQ</v>
      </c>
      <c r="C9" s="72" t="str">
        <f>IF(ISERROR(MATCH(A9,'Xtal_SegEnds_Prot#'!B:B, 0)), "NoXtal", "Xtal")</f>
        <v>Xtal</v>
      </c>
      <c r="D9" s="4" t="str">
        <f>VLOOKUP(A9,Classification!A:D,2,FALSE)</f>
        <v>A</v>
      </c>
      <c r="E9" s="5" t="str">
        <f>VLOOKUP(A9,Seqs!A:B,2,FALSE)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9" s="5" t="str">
        <f t="shared" si="1"/>
        <v>VKQIAARLLPPLYSLVFIFGFVGNMLVILILINC</v>
      </c>
      <c r="G9" s="4" t="str">
        <f t="shared" si="2"/>
        <v>KRLK</v>
      </c>
      <c r="H9" s="4" t="str">
        <f t="shared" si="3"/>
        <v>SMTDIYLLNLAISDLFFLLTVPFWAHYAAA</v>
      </c>
      <c r="I9" s="4" t="str">
        <f t="shared" si="4"/>
        <v>QWDF</v>
      </c>
      <c r="J9" s="4" t="str">
        <f t="shared" si="5"/>
        <v>GNTMCQLLTGLYFIGFFSGIFFIILLTIDRYLAVVH</v>
      </c>
      <c r="K9" s="4" t="str">
        <f t="shared" si="6"/>
        <v>AVFALKAR</v>
      </c>
      <c r="L9" s="4" t="str">
        <f t="shared" si="7"/>
        <v>VTFGVVTSVITWVVAVFASLPGIIFT</v>
      </c>
      <c r="M9" s="4" t="str">
        <f t="shared" si="8"/>
        <v>CSS</v>
      </c>
      <c r="N9" s="4" t="str">
        <f t="shared" si="9"/>
        <v>YQFWKNFQTLKIVILGLVLPLLVMVICYSGILKTLLRC</v>
      </c>
      <c r="O9" s="4" t="str">
        <f t="shared" si="10"/>
        <v>RHRAVRLIFTIMIVYFLFWAPYNIVLLLNTFQEFFG</v>
      </c>
      <c r="P9" s="4" t="str">
        <f t="shared" si="11"/>
        <v>NCSSSNRLDQAMQVTETLGMTHCCINPIIYAFV</v>
      </c>
      <c r="Q9" s="4" t="str">
        <f t="shared" si="12"/>
        <v>GEKFRNYLLVFFQ</v>
      </c>
      <c r="R9" s="5">
        <f>VLOOKUP($A9,'NonXtal_SegEnds_Prot#'!$A:$AL,3,FALSE)</f>
        <v>25</v>
      </c>
      <c r="S9" s="5">
        <f>VLOOKUP($A9,'NonXtal_SegEnds_Prot#'!$A:$AL,6,FALSE)</f>
        <v>59</v>
      </c>
      <c r="T9" s="5">
        <f>VLOOKUP($A9,'NonXtal_SegEnds_Prot#'!$A:$AL,9,FALSE)</f>
        <v>63</v>
      </c>
      <c r="U9" s="5">
        <f>VLOOKUP($A9,'NonXtal_SegEnds_Prot#'!$A:$AL,12,FALSE)</f>
        <v>93</v>
      </c>
      <c r="V9" s="5">
        <f>VLOOKUP($A9,'NonXtal_SegEnds_Prot#'!$A:$AL,15,FALSE)</f>
        <v>97</v>
      </c>
      <c r="W9" s="5">
        <f>VLOOKUP($A9,'NonXtal_SegEnds_Prot#'!$A:$AL,18,FALSE)</f>
        <v>133</v>
      </c>
      <c r="X9" s="5">
        <f>VLOOKUP($A9,'NonXtal_SegEnds_Prot#'!$A:$AL,21,FALSE)</f>
        <v>142</v>
      </c>
      <c r="Y9" s="5">
        <f>VLOOKUP($A9,'NonXtal_SegEnds_Prot#'!$A:$AL,24,FALSE)</f>
        <v>178</v>
      </c>
      <c r="Z9" s="5">
        <f>VLOOKUP($A9,'NonXtal_SegEnds_Prot#'!$A:$AL,27,FALSE)</f>
        <v>187</v>
      </c>
      <c r="AA9" s="5">
        <f>VLOOKUP($A9,'NonXtal_SegEnds_Prot#'!$A:$AL,30,FALSE)</f>
        <v>230</v>
      </c>
      <c r="AB9" s="5">
        <f>VLOOKUP($A9,'NonXtal_SegEnds_Prot#'!$A:$AL,33,FALSE)</f>
        <v>268</v>
      </c>
      <c r="AC9" s="5">
        <f>VLOOKUP($A9,'NonXtal_SegEnds_Prot#'!$A:$AL,36,FALSE)</f>
        <v>301</v>
      </c>
      <c r="AD9" s="5">
        <f>VLOOKUP($A9,'NonXtal_SegEnds_Prot#'!$A:$AL,5,FALSE)</f>
        <v>58</v>
      </c>
      <c r="AE9" s="5">
        <f>VLOOKUP($A9,'NonXtal_SegEnds_Prot#'!$A:$AL,8,FALSE)</f>
        <v>62</v>
      </c>
      <c r="AF9" s="5">
        <f>VLOOKUP($A9,'NonXtal_SegEnds_Prot#'!$A:$AL,11,FALSE)</f>
        <v>92</v>
      </c>
      <c r="AG9" s="5">
        <f>VLOOKUP($A9,'NonXtal_SegEnds_Prot#'!$A:$AL,14,FALSE)</f>
        <v>96</v>
      </c>
      <c r="AH9" s="5">
        <f>VLOOKUP($A9,'NonXtal_SegEnds_Prot#'!$A:$AL,17,FALSE)</f>
        <v>132</v>
      </c>
      <c r="AI9" s="5">
        <f>VLOOKUP($A9,'NonXtal_SegEnds_Prot#'!$A:$AL,20,FALSE)</f>
        <v>140</v>
      </c>
      <c r="AJ9" s="5">
        <f>VLOOKUP($A9,'NonXtal_SegEnds_Prot#'!$A:$AL,23,FALSE)</f>
        <v>167</v>
      </c>
      <c r="AK9" s="5">
        <f>VLOOKUP($A9,'NonXtal_SegEnds_Prot#'!$A:$AL,26,FALSE)</f>
        <v>180</v>
      </c>
      <c r="AL9" s="5">
        <f>VLOOKUP($A9,'NonXtal_SegEnds_Prot#'!$A:$AL,29,FALSE)</f>
        <v>224</v>
      </c>
      <c r="AM9" s="5">
        <f>VLOOKUP($A9,'NonXtal_SegEnds_Prot#'!$A:$AL,32,FALSE)</f>
        <v>265</v>
      </c>
      <c r="AN9" s="5">
        <f>VLOOKUP($A9,'NonXtal_SegEnds_Prot#'!$A:$AL,35,FALSE)</f>
        <v>300</v>
      </c>
      <c r="AO9" s="5">
        <f>VLOOKUP($A9,'NonXtal_SegEnds_Prot#'!$A:$AL,38,FALSE)</f>
        <v>313</v>
      </c>
      <c r="AP9" s="5">
        <f t="shared" si="13"/>
        <v>33</v>
      </c>
      <c r="AQ9" s="4">
        <f t="shared" si="14"/>
        <v>3</v>
      </c>
      <c r="AR9" s="4">
        <f t="shared" si="15"/>
        <v>29</v>
      </c>
      <c r="AS9" s="4">
        <f t="shared" si="16"/>
        <v>3</v>
      </c>
      <c r="AT9" s="4">
        <f t="shared" si="17"/>
        <v>35</v>
      </c>
      <c r="AU9" s="4">
        <f t="shared" si="18"/>
        <v>7</v>
      </c>
      <c r="AV9" s="4">
        <f t="shared" si="19"/>
        <v>25</v>
      </c>
      <c r="AW9" s="4">
        <f t="shared" si="20"/>
        <v>2</v>
      </c>
      <c r="AX9" s="4">
        <f t="shared" si="21"/>
        <v>37</v>
      </c>
      <c r="AY9" s="4">
        <f t="shared" si="22"/>
        <v>35</v>
      </c>
      <c r="AZ9" s="4">
        <f t="shared" si="23"/>
        <v>32</v>
      </c>
      <c r="BA9" s="4">
        <f t="shared" si="24"/>
        <v>12</v>
      </c>
    </row>
    <row r="10" spans="1:53" x14ac:dyDescent="0.2">
      <c r="A10" s="1" t="str">
        <f>'NonXtal_SegEnds_Prot#'!A122</f>
        <v>cx3c1_human</v>
      </c>
      <c r="B10" s="1" t="str">
        <f t="shared" si="0"/>
        <v>IVVFGTVFLSIFYSVIFAIGLVGNLLVVFALTNSSVTDIYLLNLALSDLLFVATLPFWTHYLINMCKFTTAFFFIGFFGSIFFITVISIDRYLAIVLVQHGVTISLGVWAAAILVAAPQFMFTQEIWPVLRNVETNFLGFLLPLLIMSYCYFRIIQTLFSCKAKAIKLILLVVIVFFLFWTPYNVMIFLETLKLYDSCDMRKDLRLALSVTETVAFSHCCLNPLIYAFAGEKFRRYLYHLYG</v>
      </c>
      <c r="C10" s="72" t="str">
        <f>IF(ISERROR(MATCH(A10,'Xtal_SegEnds_Prot#'!B:B, 0)), "NoXtal", "Xtal")</f>
        <v>NoXtal</v>
      </c>
      <c r="D10" s="4" t="str">
        <f>VLOOKUP(A10,Classification!A:D,2,FALSE)</f>
        <v>A</v>
      </c>
      <c r="E10" s="5" t="str">
        <f>VLOOKUP(A10,Seqs!A:B,2,FALSE)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0" s="5" t="str">
        <f t="shared" si="1"/>
        <v>IVVFGTVFLSIFYSVIFAIGLVGNLLVVFALTNS</v>
      </c>
      <c r="G10" s="4" t="str">
        <f t="shared" si="2"/>
        <v>KKPK</v>
      </c>
      <c r="H10" s="4" t="str">
        <f t="shared" si="3"/>
        <v>SVTDIYLLNLALSDLLFVATLPFWTHYLIN</v>
      </c>
      <c r="I10" s="4" t="str">
        <f t="shared" si="4"/>
        <v/>
      </c>
      <c r="J10" s="4" t="str">
        <f t="shared" si="5"/>
        <v>MCKFTTAFFFIGFFGSIFFITVISIDRYLAIVL</v>
      </c>
      <c r="K10" s="4" t="str">
        <f t="shared" si="6"/>
        <v>AANSMNNR</v>
      </c>
      <c r="L10" s="4" t="str">
        <f t="shared" si="7"/>
        <v>VQHGVTISLGVWAAAILVAAPQFMFT</v>
      </c>
      <c r="M10" s="4" t="str">
        <f t="shared" si="8"/>
        <v>CLG</v>
      </c>
      <c r="N10" s="4" t="str">
        <f t="shared" si="9"/>
        <v>QEIWPVLRNVETNFLGFLLPLLIMSYCYFRIIQTLFSC</v>
      </c>
      <c r="O10" s="4" t="str">
        <f t="shared" si="10"/>
        <v>KAKAIKLILLVVIVFFLFWTPYNVMIFLETLKLYD</v>
      </c>
      <c r="P10" s="4" t="str">
        <f t="shared" si="11"/>
        <v>SCDMRKDLRLALSVTETVAFSHCCLNPLIYAFA</v>
      </c>
      <c r="Q10" s="4" t="str">
        <f t="shared" si="12"/>
        <v>GEKFRRYLYHLYG</v>
      </c>
      <c r="R10" s="5">
        <f>VLOOKUP($A10,'NonXtal_SegEnds_Prot#'!$A:$AL,3,FALSE)</f>
        <v>26</v>
      </c>
      <c r="S10" s="5">
        <f>VLOOKUP($A10,'NonXtal_SegEnds_Prot#'!$A:$AL,6,FALSE)</f>
        <v>60</v>
      </c>
      <c r="T10" s="5">
        <f>VLOOKUP($A10,'NonXtal_SegEnds_Prot#'!$A:$AL,9,FALSE)</f>
        <v>64</v>
      </c>
      <c r="U10" s="5" t="str">
        <f>VLOOKUP($A10,'NonXtal_SegEnds_Prot#'!$A:$AL,12,FALSE)</f>
        <v>-</v>
      </c>
      <c r="V10" s="5">
        <f>VLOOKUP($A10,'NonXtal_SegEnds_Prot#'!$A:$AL,15,FALSE)</f>
        <v>101</v>
      </c>
      <c r="W10" s="5">
        <f>VLOOKUP($A10,'NonXtal_SegEnds_Prot#'!$A:$AL,18,FALSE)</f>
        <v>134</v>
      </c>
      <c r="X10" s="5">
        <f>VLOOKUP($A10,'NonXtal_SegEnds_Prot#'!$A:$AL,21,FALSE)</f>
        <v>143</v>
      </c>
      <c r="Y10" s="5">
        <f>VLOOKUP($A10,'NonXtal_SegEnds_Prot#'!$A:$AL,24,FALSE)</f>
        <v>175</v>
      </c>
      <c r="Z10" s="5">
        <f>VLOOKUP($A10,'NonXtal_SegEnds_Prot#'!$A:$AL,27,FALSE)</f>
        <v>184</v>
      </c>
      <c r="AA10" s="5">
        <f>VLOOKUP($A10,'NonXtal_SegEnds_Prot#'!$A:$AL,30,FALSE)</f>
        <v>226</v>
      </c>
      <c r="AB10" s="5">
        <f>VLOOKUP($A10,'NonXtal_SegEnds_Prot#'!$A:$AL,33,FALSE)</f>
        <v>264</v>
      </c>
      <c r="AC10" s="5">
        <f>VLOOKUP($A10,'NonXtal_SegEnds_Prot#'!$A:$AL,36,FALSE)</f>
        <v>297</v>
      </c>
      <c r="AD10" s="5">
        <f>VLOOKUP($A10,'NonXtal_SegEnds_Prot#'!$A:$AL,5,FALSE)</f>
        <v>59</v>
      </c>
      <c r="AE10" s="5">
        <f>VLOOKUP($A10,'NonXtal_SegEnds_Prot#'!$A:$AL,8,FALSE)</f>
        <v>63</v>
      </c>
      <c r="AF10" s="5">
        <f>VLOOKUP($A10,'NonXtal_SegEnds_Prot#'!$A:$AL,11,FALSE)</f>
        <v>93</v>
      </c>
      <c r="AG10" s="5" t="str">
        <f>VLOOKUP($A10,'NonXtal_SegEnds_Prot#'!$A:$AL,14,FALSE)</f>
        <v>-</v>
      </c>
      <c r="AH10" s="5">
        <f>VLOOKUP($A10,'NonXtal_SegEnds_Prot#'!$A:$AL,17,FALSE)</f>
        <v>133</v>
      </c>
      <c r="AI10" s="5">
        <f>VLOOKUP($A10,'NonXtal_SegEnds_Prot#'!$A:$AL,20,FALSE)</f>
        <v>141</v>
      </c>
      <c r="AJ10" s="5">
        <f>VLOOKUP($A10,'NonXtal_SegEnds_Prot#'!$A:$AL,23,FALSE)</f>
        <v>168</v>
      </c>
      <c r="AK10" s="5">
        <f>VLOOKUP($A10,'NonXtal_SegEnds_Prot#'!$A:$AL,26,FALSE)</f>
        <v>177</v>
      </c>
      <c r="AL10" s="5">
        <f>VLOOKUP($A10,'NonXtal_SegEnds_Prot#'!$A:$AL,29,FALSE)</f>
        <v>221</v>
      </c>
      <c r="AM10" s="5">
        <f>VLOOKUP($A10,'NonXtal_SegEnds_Prot#'!$A:$AL,32,FALSE)</f>
        <v>260</v>
      </c>
      <c r="AN10" s="5">
        <f>VLOOKUP($A10,'NonXtal_SegEnds_Prot#'!$A:$AL,35,FALSE)</f>
        <v>296</v>
      </c>
      <c r="AO10" s="5">
        <f>VLOOKUP($A10,'NonXtal_SegEnds_Prot#'!$A:$AL,38,FALSE)</f>
        <v>309</v>
      </c>
      <c r="AP10" s="5">
        <f t="shared" si="13"/>
        <v>33</v>
      </c>
      <c r="AQ10" s="4">
        <f t="shared" si="14"/>
        <v>3</v>
      </c>
      <c r="AR10" s="4">
        <f t="shared" si="15"/>
        <v>29</v>
      </c>
      <c r="AS10" s="4" t="str">
        <f t="shared" si="16"/>
        <v>-</v>
      </c>
      <c r="AT10" s="4">
        <f t="shared" si="17"/>
        <v>32</v>
      </c>
      <c r="AU10" s="4">
        <f t="shared" si="18"/>
        <v>7</v>
      </c>
      <c r="AV10" s="4">
        <f t="shared" si="19"/>
        <v>25</v>
      </c>
      <c r="AW10" s="4">
        <f t="shared" si="20"/>
        <v>2</v>
      </c>
      <c r="AX10" s="4">
        <f t="shared" si="21"/>
        <v>37</v>
      </c>
      <c r="AY10" s="4">
        <f t="shared" si="22"/>
        <v>34</v>
      </c>
      <c r="AZ10" s="4">
        <f t="shared" si="23"/>
        <v>32</v>
      </c>
      <c r="BA10" s="4">
        <f t="shared" si="24"/>
        <v>12</v>
      </c>
    </row>
    <row r="11" spans="1:53" x14ac:dyDescent="0.2">
      <c r="A11" s="1" t="str">
        <f>'NonXtal_SegEnds_Prot#'!A123</f>
        <v>xcr1_human</v>
      </c>
      <c r="B11" s="1" t="str">
        <f t="shared" si="0"/>
        <v>AWVFATLATTVLYCLVFLLSLVGNSLVLWVLVKYSLTNIFILNLCLSDLVFACLLPVWISPYHWGDFLCKLLNMIFSISLYSSIFFLTIMTIHRYLSVVSLRCRVLVTMAVWVASILSSILDTIFHWYLTSVYQHNLFFLLSLGIILFCYVEILRTLFRSRHRTVKLIFAIVVAYFLSWGPYNFTLFLQTLFRTQSCEAKQQLEYALLICRNLAFSHCCFNPVLYVFVGVKFRTHLKHVLR</v>
      </c>
      <c r="C11" s="72" t="str">
        <f>IF(ISERROR(MATCH(A11,'Xtal_SegEnds_Prot#'!B:B, 0)), "NoXtal", "Xtal")</f>
        <v>NoXtal</v>
      </c>
      <c r="D11" s="4" t="str">
        <f>VLOOKUP(A11,Classification!A:D,2,FALSE)</f>
        <v>A</v>
      </c>
      <c r="E11" s="5" t="str">
        <f>VLOOKUP(A11,Seqs!A:B,2,FALSE)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11" s="5" t="str">
        <f t="shared" si="1"/>
        <v>AWVFATLATTVLYCLVFLLSLVGNSLVLWVLVKY</v>
      </c>
      <c r="G11" s="4" t="str">
        <f t="shared" si="2"/>
        <v>ESLE</v>
      </c>
      <c r="H11" s="4" t="str">
        <f t="shared" si="3"/>
        <v>SLTNIFILNLCLSDLVFACLLPVWISPYHW</v>
      </c>
      <c r="I11" s="4" t="str">
        <f t="shared" si="4"/>
        <v>GWVL</v>
      </c>
      <c r="J11" s="4" t="str">
        <f t="shared" si="5"/>
        <v>GDFLCKLLNMIFSISLYSSIFFLTIMTIHRYLSVVS</v>
      </c>
      <c r="K11" s="4" t="str">
        <f t="shared" si="6"/>
        <v>PLSTLRVP</v>
      </c>
      <c r="L11" s="4" t="str">
        <f t="shared" si="7"/>
        <v>LRCRVLVTMAVWVASILSSILDTIFH</v>
      </c>
      <c r="M11" s="4" t="str">
        <f t="shared" si="8"/>
        <v>CDY</v>
      </c>
      <c r="N11" s="4" t="str">
        <f t="shared" si="9"/>
        <v>WYLTSVYQHNLFFLLSLGIILFCYVEILRTLFRS</v>
      </c>
      <c r="O11" s="4" t="str">
        <f t="shared" si="10"/>
        <v>RHRTVKLIFAIVVAYFLSWGPYNFTLFLQTLFRTQ</v>
      </c>
      <c r="P11" s="4" t="str">
        <f t="shared" si="11"/>
        <v>SCEAKQQLEYALLICRNLAFSHCCFNPVLYVFV</v>
      </c>
      <c r="Q11" s="4" t="str">
        <f t="shared" si="12"/>
        <v>GVKFRTHLKHVLR</v>
      </c>
      <c r="R11" s="5">
        <f>VLOOKUP($A11,'NonXtal_SegEnds_Prot#'!$A:$AL,3,FALSE)</f>
        <v>26</v>
      </c>
      <c r="S11" s="5">
        <f>VLOOKUP($A11,'NonXtal_SegEnds_Prot#'!$A:$AL,6,FALSE)</f>
        <v>60</v>
      </c>
      <c r="T11" s="5">
        <f>VLOOKUP($A11,'NonXtal_SegEnds_Prot#'!$A:$AL,9,FALSE)</f>
        <v>64</v>
      </c>
      <c r="U11" s="5">
        <f>VLOOKUP($A11,'NonXtal_SegEnds_Prot#'!$A:$AL,12,FALSE)</f>
        <v>94</v>
      </c>
      <c r="V11" s="5">
        <f>VLOOKUP($A11,'NonXtal_SegEnds_Prot#'!$A:$AL,15,FALSE)</f>
        <v>98</v>
      </c>
      <c r="W11" s="5">
        <f>VLOOKUP($A11,'NonXtal_SegEnds_Prot#'!$A:$AL,18,FALSE)</f>
        <v>134</v>
      </c>
      <c r="X11" s="5">
        <f>VLOOKUP($A11,'NonXtal_SegEnds_Prot#'!$A:$AL,21,FALSE)</f>
        <v>143</v>
      </c>
      <c r="Y11" s="5">
        <f>VLOOKUP($A11,'NonXtal_SegEnds_Prot#'!$A:$AL,24,FALSE)</f>
        <v>175</v>
      </c>
      <c r="Z11" s="5">
        <f>VLOOKUP($A11,'NonXtal_SegEnds_Prot#'!$A:$AL,27,FALSE)</f>
        <v>182</v>
      </c>
      <c r="AA11" s="5">
        <f>VLOOKUP($A11,'NonXtal_SegEnds_Prot#'!$A:$AL,30,FALSE)</f>
        <v>220</v>
      </c>
      <c r="AB11" s="5">
        <f>VLOOKUP($A11,'NonXtal_SegEnds_Prot#'!$A:$AL,33,FALSE)</f>
        <v>258</v>
      </c>
      <c r="AC11" s="5">
        <f>VLOOKUP($A11,'NonXtal_SegEnds_Prot#'!$A:$AL,36,FALSE)</f>
        <v>291</v>
      </c>
      <c r="AD11" s="5">
        <f>VLOOKUP($A11,'NonXtal_SegEnds_Prot#'!$A:$AL,5,FALSE)</f>
        <v>59</v>
      </c>
      <c r="AE11" s="5">
        <f>VLOOKUP($A11,'NonXtal_SegEnds_Prot#'!$A:$AL,8,FALSE)</f>
        <v>63</v>
      </c>
      <c r="AF11" s="5">
        <f>VLOOKUP($A11,'NonXtal_SegEnds_Prot#'!$A:$AL,11,FALSE)</f>
        <v>93</v>
      </c>
      <c r="AG11" s="5">
        <f>VLOOKUP($A11,'NonXtal_SegEnds_Prot#'!$A:$AL,14,FALSE)</f>
        <v>97</v>
      </c>
      <c r="AH11" s="5">
        <f>VLOOKUP($A11,'NonXtal_SegEnds_Prot#'!$A:$AL,17,FALSE)</f>
        <v>133</v>
      </c>
      <c r="AI11" s="5">
        <f>VLOOKUP($A11,'NonXtal_SegEnds_Prot#'!$A:$AL,20,FALSE)</f>
        <v>141</v>
      </c>
      <c r="AJ11" s="5">
        <f>VLOOKUP($A11,'NonXtal_SegEnds_Prot#'!$A:$AL,23,FALSE)</f>
        <v>168</v>
      </c>
      <c r="AK11" s="5">
        <f>VLOOKUP($A11,'NonXtal_SegEnds_Prot#'!$A:$AL,26,FALSE)</f>
        <v>177</v>
      </c>
      <c r="AL11" s="5">
        <f>VLOOKUP($A11,'NonXtal_SegEnds_Prot#'!$A:$AL,29,FALSE)</f>
        <v>215</v>
      </c>
      <c r="AM11" s="5">
        <f>VLOOKUP($A11,'NonXtal_SegEnds_Prot#'!$A:$AL,32,FALSE)</f>
        <v>254</v>
      </c>
      <c r="AN11" s="5">
        <f>VLOOKUP($A11,'NonXtal_SegEnds_Prot#'!$A:$AL,35,FALSE)</f>
        <v>290</v>
      </c>
      <c r="AO11" s="5">
        <f>VLOOKUP($A11,'NonXtal_SegEnds_Prot#'!$A:$AL,38,FALSE)</f>
        <v>303</v>
      </c>
      <c r="AP11" s="5">
        <f t="shared" si="13"/>
        <v>33</v>
      </c>
      <c r="AQ11" s="4">
        <f t="shared" si="14"/>
        <v>3</v>
      </c>
      <c r="AR11" s="4">
        <f t="shared" si="15"/>
        <v>29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25</v>
      </c>
      <c r="AW11" s="4">
        <f t="shared" si="20"/>
        <v>2</v>
      </c>
      <c r="AX11" s="4">
        <f t="shared" si="21"/>
        <v>33</v>
      </c>
      <c r="AY11" s="4">
        <f t="shared" si="22"/>
        <v>34</v>
      </c>
      <c r="AZ11" s="4">
        <f t="shared" si="23"/>
        <v>32</v>
      </c>
      <c r="BA11" s="4">
        <f t="shared" si="24"/>
        <v>12</v>
      </c>
    </row>
    <row r="12" spans="1:53" x14ac:dyDescent="0.2">
      <c r="A12" s="1" t="str">
        <f>'NonXtal_SegEnds_Prot#'!A146</f>
        <v>agrf2_human</v>
      </c>
      <c r="B12" s="1" t="str">
        <f t="shared" si="0"/>
        <v>ILMSPHILESLILTYITYVGLGISICSLILCLSIEVLVEITYLRHVCIVNIAATLLMADVWFIVAKGCVAATFFVHFFYLSVFFWMLAKALLILYGIMIVLVASLFSVGYGCPLAIAAITVAATEPGKMTKALLAFVIPALAIVVVNLITVTLVIVKTQRAAKNIAILTPLLGLTWGFGVATVIDDRSLAFHIIFSLLNAFQVSPDASDQVQS</v>
      </c>
      <c r="C12" s="72" t="str">
        <f>IF(ISERROR(MATCH(A12,'Xtal_SegEnds_Prot#'!B:B, 0)), "NoXtal", "Xtal")</f>
        <v>NoXtal</v>
      </c>
      <c r="D12" s="4" t="str">
        <f>VLOOKUP(A12,Classification!A:D,2,FALSE)</f>
        <v>B2</v>
      </c>
      <c r="E12" s="5" t="str">
        <f>VLOOKUP(A12,Seqs!A:B,2,FALSE)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12" s="5" t="str">
        <f t="shared" si="1"/>
        <v>ILMSPHILESLILTYITYVGLGISICSLILCLSIEVLV</v>
      </c>
      <c r="G12" s="4" t="str">
        <f t="shared" si="2"/>
        <v/>
      </c>
      <c r="H12" s="4" t="str">
        <f t="shared" si="3"/>
        <v>EITYLRHVCIVNIAATLLMADVWFIVA</v>
      </c>
      <c r="I12" s="4" t="str">
        <f t="shared" si="4"/>
        <v/>
      </c>
      <c r="J12" s="4" t="str">
        <f t="shared" si="5"/>
        <v>KGCVAATFFVHFFYLSVFFWMLAKALLILYGIMI</v>
      </c>
      <c r="K12" s="4" t="str">
        <f t="shared" si="6"/>
        <v/>
      </c>
      <c r="L12" s="4" t="str">
        <f t="shared" si="7"/>
        <v>VLVASLFSVGYGCPLAIAAITVAATEPGK</v>
      </c>
      <c r="M12" s="4" t="str">
        <f t="shared" si="8"/>
        <v>CWL</v>
      </c>
      <c r="N12" s="4" t="str">
        <f t="shared" si="9"/>
        <v>MTKALLAFVIPALAIVVVNLITVTLVIVKTQRAA</v>
      </c>
      <c r="O12" s="4" t="str">
        <f t="shared" si="10"/>
        <v>KNIAILTPLLGLTWGFGVATVIDDR</v>
      </c>
      <c r="P12" s="4" t="str">
        <f t="shared" si="11"/>
        <v>SLAFHIIFSLLNAFQVSPDASDQVQS</v>
      </c>
      <c r="Q12" s="4" t="str">
        <f t="shared" si="12"/>
        <v/>
      </c>
      <c r="R12" s="5">
        <f>VLOOKUP($A12,'NonXtal_SegEnds_Prot#'!$A:$AL,3,FALSE)</f>
        <v>434</v>
      </c>
      <c r="S12" s="5" t="str">
        <f>VLOOKUP($A12,'NonXtal_SegEnds_Prot#'!$A:$AL,6,FALSE)</f>
        <v>-</v>
      </c>
      <c r="T12" s="5">
        <f>VLOOKUP($A12,'NonXtal_SegEnds_Prot#'!$A:$AL,9,FALSE)</f>
        <v>479</v>
      </c>
      <c r="U12" s="5" t="str">
        <f>VLOOKUP($A12,'NonXtal_SegEnds_Prot#'!$A:$AL,12,FALSE)</f>
        <v>-</v>
      </c>
      <c r="V12" s="5">
        <f>VLOOKUP($A12,'NonXtal_SegEnds_Prot#'!$A:$AL,15,FALSE)</f>
        <v>516</v>
      </c>
      <c r="W12" s="5" t="str">
        <f>VLOOKUP($A12,'NonXtal_SegEnds_Prot#'!$A:$AL,18,FALSE)</f>
        <v>-</v>
      </c>
      <c r="X12" s="5">
        <f>VLOOKUP($A12,'NonXtal_SegEnds_Prot#'!$A:$AL,21,FALSE)</f>
        <v>558</v>
      </c>
      <c r="Y12" s="5">
        <f>VLOOKUP($A12,'NonXtal_SegEnds_Prot#'!$A:$AL,24,FALSE)</f>
        <v>594</v>
      </c>
      <c r="Z12" s="5">
        <f>VLOOKUP($A12,'NonXtal_SegEnds_Prot#'!$A:$AL,27,FALSE)</f>
        <v>600</v>
      </c>
      <c r="AA12" s="5">
        <f>VLOOKUP($A12,'NonXtal_SegEnds_Prot#'!$A:$AL,30,FALSE)</f>
        <v>650</v>
      </c>
      <c r="AB12" s="5">
        <f>VLOOKUP($A12,'NonXtal_SegEnds_Prot#'!$A:$AL,33,FALSE)</f>
        <v>675</v>
      </c>
      <c r="AC12" s="5" t="str">
        <f>VLOOKUP($A12,'NonXtal_SegEnds_Prot#'!$A:$AL,36,FALSE)</f>
        <v>-</v>
      </c>
      <c r="AD12" s="5">
        <f>VLOOKUP($A12,'NonXtal_SegEnds_Prot#'!$A:$AL,5,FALSE)</f>
        <v>471</v>
      </c>
      <c r="AE12" s="5" t="str">
        <f>VLOOKUP($A12,'NonXtal_SegEnds_Prot#'!$A:$AL,8,FALSE)</f>
        <v>-</v>
      </c>
      <c r="AF12" s="5">
        <f>VLOOKUP($A12,'NonXtal_SegEnds_Prot#'!$A:$AL,11,FALSE)</f>
        <v>505</v>
      </c>
      <c r="AG12" s="5" t="str">
        <f>VLOOKUP($A12,'NonXtal_SegEnds_Prot#'!$A:$AL,14,FALSE)</f>
        <v>-</v>
      </c>
      <c r="AH12" s="5">
        <f>VLOOKUP($A12,'NonXtal_SegEnds_Prot#'!$A:$AL,17,FALSE)</f>
        <v>549</v>
      </c>
      <c r="AI12" s="5" t="str">
        <f>VLOOKUP($A12,'NonXtal_SegEnds_Prot#'!$A:$AL,20,FALSE)</f>
        <v>-</v>
      </c>
      <c r="AJ12" s="5">
        <f>VLOOKUP($A12,'NonXtal_SegEnds_Prot#'!$A:$AL,23,FALSE)</f>
        <v>586</v>
      </c>
      <c r="AK12" s="5">
        <f>VLOOKUP($A12,'NonXtal_SegEnds_Prot#'!$A:$AL,26,FALSE)</f>
        <v>596</v>
      </c>
      <c r="AL12" s="5">
        <f>VLOOKUP($A12,'NonXtal_SegEnds_Prot#'!$A:$AL,29,FALSE)</f>
        <v>633</v>
      </c>
      <c r="AM12" s="5">
        <f>VLOOKUP($A12,'NonXtal_SegEnds_Prot#'!$A:$AL,32,FALSE)</f>
        <v>674</v>
      </c>
      <c r="AN12" s="5">
        <f>VLOOKUP($A12,'NonXtal_SegEnds_Prot#'!$A:$AL,35,FALSE)</f>
        <v>700</v>
      </c>
      <c r="AO12" s="5" t="str">
        <f>VLOOKUP($A12,'NonXtal_SegEnds_Prot#'!$A:$AL,38,FALSE)</f>
        <v>-</v>
      </c>
      <c r="AP12" s="5">
        <f t="shared" si="13"/>
        <v>37</v>
      </c>
      <c r="AQ12" s="4" t="str">
        <f t="shared" si="14"/>
        <v>-</v>
      </c>
      <c r="AR12" s="4">
        <f t="shared" si="15"/>
        <v>26</v>
      </c>
      <c r="AS12" s="4" t="str">
        <f t="shared" si="16"/>
        <v>-</v>
      </c>
      <c r="AT12" s="4">
        <f t="shared" si="17"/>
        <v>33</v>
      </c>
      <c r="AU12" s="4" t="str">
        <f t="shared" si="18"/>
        <v>-</v>
      </c>
      <c r="AV12" s="4">
        <f t="shared" si="19"/>
        <v>28</v>
      </c>
      <c r="AW12" s="4">
        <f t="shared" si="20"/>
        <v>2</v>
      </c>
      <c r="AX12" s="4">
        <f t="shared" si="21"/>
        <v>33</v>
      </c>
      <c r="AY12" s="4">
        <f t="shared" si="22"/>
        <v>24</v>
      </c>
      <c r="AZ12" s="4">
        <f t="shared" si="23"/>
        <v>25</v>
      </c>
      <c r="BA12" s="4" t="str">
        <f t="shared" si="24"/>
        <v>-</v>
      </c>
    </row>
    <row r="13" spans="1:53" x14ac:dyDescent="0.2">
      <c r="A13" s="1" t="str">
        <f>'NonXtal_SegEnds_Prot#'!A157</f>
        <v>crfr2_human</v>
      </c>
      <c r="B13" s="1" t="str">
        <f t="shared" si="0"/>
        <v>PILDDKQRKYDLHYRIALVVNYLGHCVSVAALVAAFLLFLALCLRNVIHWNLITTFILRNVMWFLLQLVVWCRCITTIFNYFVVTNFFWMFVEGCYLHTAIVMLRKCLFLFIGWCIPFPIIVAWAIGKLYYEVDYIYQGPIILVLLINFVFLFNIVRILMTKLSETIQYRKAVKATLVLLPLLGITYMLFFVLSQIMFIYFNSFLQSFQGFFVSVFYCFFNGEVRSAVRKRWHRWQDHHSLRVPMA</v>
      </c>
      <c r="C13" s="72" t="str">
        <f>IF(ISERROR(MATCH(A13,'Xtal_SegEnds_Prot#'!B:B, 0)), "NoXtal", "Xtal")</f>
        <v>NoXtal</v>
      </c>
      <c r="D13" s="4" t="str">
        <f>VLOOKUP(A13,Classification!A:D,2,FALSE)</f>
        <v>B1</v>
      </c>
      <c r="E13" s="5" t="str">
        <f>VLOOKUP(A13,Seqs!A:B,2,FALSE)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13" s="5" t="str">
        <f t="shared" si="1"/>
        <v>PILDDKQRKYDLHYRIALVVNYLGHCVSVAALVAAFLLFLAL</v>
      </c>
      <c r="G13" s="4" t="str">
        <f t="shared" si="2"/>
        <v>RSIR</v>
      </c>
      <c r="H13" s="4" t="str">
        <f t="shared" si="3"/>
        <v>CLRNVIHWNLITTFILRNVMWFLLQLV</v>
      </c>
      <c r="I13" s="4" t="str">
        <f t="shared" si="4"/>
        <v/>
      </c>
      <c r="J13" s="4" t="str">
        <f t="shared" si="5"/>
        <v>VWCRCITTIFNYFVVTNFFWMFVEGCYLHTAIVM</v>
      </c>
      <c r="K13" s="4" t="str">
        <f t="shared" si="6"/>
        <v/>
      </c>
      <c r="L13" s="4" t="str">
        <f t="shared" si="7"/>
        <v>LRKCLFLFIGWCIPFPIIVAWAIGKLYYE</v>
      </c>
      <c r="M13" s="4" t="str">
        <f t="shared" si="8"/>
        <v>CWF</v>
      </c>
      <c r="N13" s="4" t="str">
        <f t="shared" si="9"/>
        <v>VDYIYQGPIILVLLINFVFLFNIVRILMTKL</v>
      </c>
      <c r="O13" s="4" t="str">
        <f t="shared" si="10"/>
        <v>SETIQYRKAVKATLVLLPLLGITYMLFFV</v>
      </c>
      <c r="P13" s="4" t="str">
        <f t="shared" si="11"/>
        <v>LSQIMFIYFNSFLQSFQGFFVSVFYCFF</v>
      </c>
      <c r="Q13" s="4" t="str">
        <f t="shared" si="12"/>
        <v>NGEVRSAVRKRWHRWQDHHSLRVPMA</v>
      </c>
      <c r="R13" s="5">
        <f>VLOOKUP($A13,'NonXtal_SegEnds_Prot#'!$A:$AL,3,FALSE)</f>
        <v>100</v>
      </c>
      <c r="S13" s="5">
        <f>VLOOKUP($A13,'NonXtal_SegEnds_Prot#'!$A:$AL,6,FALSE)</f>
        <v>142</v>
      </c>
      <c r="T13" s="5">
        <f>VLOOKUP($A13,'NonXtal_SegEnds_Prot#'!$A:$AL,9,FALSE)</f>
        <v>146</v>
      </c>
      <c r="U13" s="5" t="str">
        <f>VLOOKUP($A13,'NonXtal_SegEnds_Prot#'!$A:$AL,12,FALSE)</f>
        <v>-</v>
      </c>
      <c r="V13" s="5">
        <f>VLOOKUP($A13,'NonXtal_SegEnds_Prot#'!$A:$AL,15,FALSE)</f>
        <v>182</v>
      </c>
      <c r="W13" s="5" t="str">
        <f>VLOOKUP($A13,'NonXtal_SegEnds_Prot#'!$A:$AL,18,FALSE)</f>
        <v>-</v>
      </c>
      <c r="X13" s="5">
        <f>VLOOKUP($A13,'NonXtal_SegEnds_Prot#'!$A:$AL,21,FALSE)</f>
        <v>222</v>
      </c>
      <c r="Y13" s="5">
        <f>VLOOKUP($A13,'NonXtal_SegEnds_Prot#'!$A:$AL,24,FALSE)</f>
        <v>254</v>
      </c>
      <c r="Z13" s="5">
        <f>VLOOKUP($A13,'NonXtal_SegEnds_Prot#'!$A:$AL,27,FALSE)</f>
        <v>264</v>
      </c>
      <c r="AA13" s="5">
        <f>VLOOKUP($A13,'NonXtal_SegEnds_Prot#'!$A:$AL,30,FALSE)</f>
        <v>300</v>
      </c>
      <c r="AB13" s="5">
        <f>VLOOKUP($A13,'NonXtal_SegEnds_Prot#'!$A:$AL,33,FALSE)</f>
        <v>335</v>
      </c>
      <c r="AC13" s="5">
        <f>VLOOKUP($A13,'NonXtal_SegEnds_Prot#'!$A:$AL,36,FALSE)</f>
        <v>363</v>
      </c>
      <c r="AD13" s="5">
        <f>VLOOKUP($A13,'NonXtal_SegEnds_Prot#'!$A:$AL,5,FALSE)</f>
        <v>141</v>
      </c>
      <c r="AE13" s="5">
        <f>VLOOKUP($A13,'NonXtal_SegEnds_Prot#'!$A:$AL,8,FALSE)</f>
        <v>145</v>
      </c>
      <c r="AF13" s="5">
        <f>VLOOKUP($A13,'NonXtal_SegEnds_Prot#'!$A:$AL,11,FALSE)</f>
        <v>172</v>
      </c>
      <c r="AG13" s="5" t="str">
        <f>VLOOKUP($A13,'NonXtal_SegEnds_Prot#'!$A:$AL,14,FALSE)</f>
        <v>-</v>
      </c>
      <c r="AH13" s="5">
        <f>VLOOKUP($A13,'NonXtal_SegEnds_Prot#'!$A:$AL,17,FALSE)</f>
        <v>215</v>
      </c>
      <c r="AI13" s="5" t="str">
        <f>VLOOKUP($A13,'NonXtal_SegEnds_Prot#'!$A:$AL,20,FALSE)</f>
        <v>-</v>
      </c>
      <c r="AJ13" s="5">
        <f>VLOOKUP($A13,'NonXtal_SegEnds_Prot#'!$A:$AL,23,FALSE)</f>
        <v>250</v>
      </c>
      <c r="AK13" s="5">
        <f>VLOOKUP($A13,'NonXtal_SegEnds_Prot#'!$A:$AL,26,FALSE)</f>
        <v>256</v>
      </c>
      <c r="AL13" s="5">
        <f>VLOOKUP($A13,'NonXtal_SegEnds_Prot#'!$A:$AL,29,FALSE)</f>
        <v>294</v>
      </c>
      <c r="AM13" s="5">
        <f>VLOOKUP($A13,'NonXtal_SegEnds_Prot#'!$A:$AL,32,FALSE)</f>
        <v>328</v>
      </c>
      <c r="AN13" s="5">
        <f>VLOOKUP($A13,'NonXtal_SegEnds_Prot#'!$A:$AL,35,FALSE)</f>
        <v>362</v>
      </c>
      <c r="AO13" s="5">
        <f>VLOOKUP($A13,'NonXtal_SegEnds_Prot#'!$A:$AL,38,FALSE)</f>
        <v>388</v>
      </c>
      <c r="AP13" s="5">
        <f t="shared" si="13"/>
        <v>41</v>
      </c>
      <c r="AQ13" s="4">
        <f t="shared" si="14"/>
        <v>3</v>
      </c>
      <c r="AR13" s="4">
        <f t="shared" si="15"/>
        <v>26</v>
      </c>
      <c r="AS13" s="4" t="str">
        <f t="shared" si="16"/>
        <v>-</v>
      </c>
      <c r="AT13" s="4">
        <f t="shared" si="17"/>
        <v>33</v>
      </c>
      <c r="AU13" s="4" t="str">
        <f t="shared" si="18"/>
        <v>-</v>
      </c>
      <c r="AV13" s="4">
        <f t="shared" si="19"/>
        <v>28</v>
      </c>
      <c r="AW13" s="4">
        <f t="shared" si="20"/>
        <v>2</v>
      </c>
      <c r="AX13" s="4">
        <f t="shared" si="21"/>
        <v>30</v>
      </c>
      <c r="AY13" s="4">
        <f t="shared" si="22"/>
        <v>28</v>
      </c>
      <c r="AZ13" s="4">
        <f t="shared" si="23"/>
        <v>27</v>
      </c>
      <c r="BA13" s="4">
        <f t="shared" si="24"/>
        <v>25</v>
      </c>
    </row>
    <row r="14" spans="1:53" x14ac:dyDescent="0.2">
      <c r="A14" s="1" t="str">
        <f>'NonXtal_SegEnds_Prot#'!A170</f>
        <v>gpr61_human</v>
      </c>
      <c r="B14" s="1" t="str">
        <f t="shared" si="0"/>
        <v>VASESVALFFMLLLDLTAVAGNAAVMAVIAKTLRKFVFVFHLCLVDLLAALTLMPLAMLSSSAFGEVACRLYLFLSVCFVSLAILSVSAINVERYYYVVHLGLVASVLVGVWVKALAMASVPVLGCQLFVVVFAVLYFLLPLLLILVVYCSMFRVARVAAMQHGPLPPHRTFGGGKAAVVLLAVGGQFLLCWLPYFSFHLYVALSTGQVESVVTWIGYFCFTSNPFFYGCLNRQIRGELSKQFV</v>
      </c>
      <c r="C14" s="72" t="str">
        <f>IF(ISERROR(MATCH(A14,'Xtal_SegEnds_Prot#'!B:B, 0)), "NoXtal", "Xtal")</f>
        <v>NoXtal</v>
      </c>
      <c r="D14" s="4" t="str">
        <f>VLOOKUP(A14,Classification!A:D,2,FALSE)</f>
        <v>A</v>
      </c>
      <c r="E14" s="5" t="str">
        <f>VLOOKUP(A14,Seqs!A:B,2,FALSE)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4" s="5" t="str">
        <f t="shared" si="1"/>
        <v>VASESVALFFMLLLDLTAVAGNAAVMAVIAKT</v>
      </c>
      <c r="G14" s="4" t="str">
        <f t="shared" si="2"/>
        <v/>
      </c>
      <c r="H14" s="4" t="str">
        <f t="shared" si="3"/>
        <v>LRKFVFVFHLCLVDLLAALTLMPLAMLSSSA</v>
      </c>
      <c r="I14" s="4" t="str">
        <f t="shared" si="4"/>
        <v>DHAL</v>
      </c>
      <c r="J14" s="4" t="str">
        <f t="shared" si="5"/>
        <v>FGEVACRLYLFLSVCFVSLAILSVSAINVERYYYVVH</v>
      </c>
      <c r="K14" s="4" t="str">
        <f t="shared" si="6"/>
        <v>PMRYEVRM</v>
      </c>
      <c r="L14" s="4" t="str">
        <f t="shared" si="7"/>
        <v>LGLVASVLVGVWVKALAMASVPVLG</v>
      </c>
      <c r="M14" s="4" t="str">
        <f t="shared" si="8"/>
        <v>CSL</v>
      </c>
      <c r="N14" s="4" t="str">
        <f t="shared" si="9"/>
        <v>CQLFVVVFAVLYFLLPLLLILVVYCSMFRVARVAAMQHGPLP</v>
      </c>
      <c r="O14" s="4" t="str">
        <f t="shared" si="10"/>
        <v>PHRTFGGGKAAVVLLAVGGQFLLCWLPYFSFHLYVALS</v>
      </c>
      <c r="P14" s="4" t="str">
        <f t="shared" si="11"/>
        <v>TGQVESVVTWIGYFCFTSNPFFYGCL</v>
      </c>
      <c r="Q14" s="4" t="str">
        <f t="shared" si="12"/>
        <v>NRQIRGELSKQFV</v>
      </c>
      <c r="R14" s="5">
        <f>VLOOKUP($A14,'NonXtal_SegEnds_Prot#'!$A:$AL,3,FALSE)</f>
        <v>39</v>
      </c>
      <c r="S14" s="5" t="str">
        <f>VLOOKUP($A14,'NonXtal_SegEnds_Prot#'!$A:$AL,6,FALSE)</f>
        <v>-</v>
      </c>
      <c r="T14" s="5">
        <f>VLOOKUP($A14,'NonXtal_SegEnds_Prot#'!$A:$AL,9,FALSE)</f>
        <v>73</v>
      </c>
      <c r="U14" s="5">
        <f>VLOOKUP($A14,'NonXtal_SegEnds_Prot#'!$A:$AL,12,FALSE)</f>
        <v>106</v>
      </c>
      <c r="V14" s="5">
        <f>VLOOKUP($A14,'NonXtal_SegEnds_Prot#'!$A:$AL,15,FALSE)</f>
        <v>110</v>
      </c>
      <c r="W14" s="5">
        <f>VLOOKUP($A14,'NonXtal_SegEnds_Prot#'!$A:$AL,18,FALSE)</f>
        <v>147</v>
      </c>
      <c r="X14" s="5">
        <f>VLOOKUP($A14,'NonXtal_SegEnds_Prot#'!$A:$AL,21,FALSE)</f>
        <v>156</v>
      </c>
      <c r="Y14" s="5">
        <f>VLOOKUP($A14,'NonXtal_SegEnds_Prot#'!$A:$AL,24,FALSE)</f>
        <v>195</v>
      </c>
      <c r="Z14" s="5">
        <f>VLOOKUP($A14,'NonXtal_SegEnds_Prot#'!$A:$AL,27,FALSE)</f>
        <v>205</v>
      </c>
      <c r="AA14" s="5">
        <f>VLOOKUP($A14,'NonXtal_SegEnds_Prot#'!$A:$AL,30,FALSE)</f>
        <v>276</v>
      </c>
      <c r="AB14" s="5">
        <f>VLOOKUP($A14,'NonXtal_SegEnds_Prot#'!$A:$AL,33,FALSE)</f>
        <v>319</v>
      </c>
      <c r="AC14" s="5">
        <f>VLOOKUP($A14,'NonXtal_SegEnds_Prot#'!$A:$AL,36,FALSE)</f>
        <v>345</v>
      </c>
      <c r="AD14" s="5">
        <f>VLOOKUP($A14,'NonXtal_SegEnds_Prot#'!$A:$AL,5,FALSE)</f>
        <v>70</v>
      </c>
      <c r="AE14" s="5" t="str">
        <f>VLOOKUP($A14,'NonXtal_SegEnds_Prot#'!$A:$AL,8,FALSE)</f>
        <v>-</v>
      </c>
      <c r="AF14" s="5">
        <f>VLOOKUP($A14,'NonXtal_SegEnds_Prot#'!$A:$AL,11,FALSE)</f>
        <v>103</v>
      </c>
      <c r="AG14" s="5">
        <f>VLOOKUP($A14,'NonXtal_SegEnds_Prot#'!$A:$AL,14,FALSE)</f>
        <v>109</v>
      </c>
      <c r="AH14" s="5">
        <f>VLOOKUP($A14,'NonXtal_SegEnds_Prot#'!$A:$AL,17,FALSE)</f>
        <v>146</v>
      </c>
      <c r="AI14" s="5">
        <f>VLOOKUP($A14,'NonXtal_SegEnds_Prot#'!$A:$AL,20,FALSE)</f>
        <v>154</v>
      </c>
      <c r="AJ14" s="5">
        <f>VLOOKUP($A14,'NonXtal_SegEnds_Prot#'!$A:$AL,23,FALSE)</f>
        <v>180</v>
      </c>
      <c r="AK14" s="5">
        <f>VLOOKUP($A14,'NonXtal_SegEnds_Prot#'!$A:$AL,26,FALSE)</f>
        <v>197</v>
      </c>
      <c r="AL14" s="5">
        <f>VLOOKUP($A14,'NonXtal_SegEnds_Prot#'!$A:$AL,29,FALSE)</f>
        <v>246</v>
      </c>
      <c r="AM14" s="5">
        <f>VLOOKUP($A14,'NonXtal_SegEnds_Prot#'!$A:$AL,32,FALSE)</f>
        <v>313</v>
      </c>
      <c r="AN14" s="5">
        <f>VLOOKUP($A14,'NonXtal_SegEnds_Prot#'!$A:$AL,35,FALSE)</f>
        <v>344</v>
      </c>
      <c r="AO14" s="5">
        <f>VLOOKUP($A14,'NonXtal_SegEnds_Prot#'!$A:$AL,38,FALSE)</f>
        <v>357</v>
      </c>
      <c r="AP14" s="5">
        <f t="shared" si="13"/>
        <v>31</v>
      </c>
      <c r="AQ14" s="4" t="str">
        <f t="shared" si="14"/>
        <v>-</v>
      </c>
      <c r="AR14" s="4">
        <f t="shared" si="15"/>
        <v>30</v>
      </c>
      <c r="AS14" s="4">
        <f t="shared" si="16"/>
        <v>3</v>
      </c>
      <c r="AT14" s="4">
        <f t="shared" si="17"/>
        <v>36</v>
      </c>
      <c r="AU14" s="4">
        <f t="shared" si="18"/>
        <v>7</v>
      </c>
      <c r="AV14" s="4">
        <f t="shared" si="19"/>
        <v>24</v>
      </c>
      <c r="AW14" s="4">
        <f t="shared" si="20"/>
        <v>2</v>
      </c>
      <c r="AX14" s="4">
        <f t="shared" si="21"/>
        <v>41</v>
      </c>
      <c r="AY14" s="4">
        <f t="shared" si="22"/>
        <v>37</v>
      </c>
      <c r="AZ14" s="4">
        <f t="shared" si="23"/>
        <v>25</v>
      </c>
      <c r="BA14" s="4">
        <f t="shared" si="24"/>
        <v>12</v>
      </c>
    </row>
    <row r="15" spans="1:53" x14ac:dyDescent="0.2">
      <c r="A15" s="1" t="str">
        <f>'NonXtal_SegEnds_Prot#'!A178</f>
        <v>gpr37_human</v>
      </c>
      <c r="B15" s="1" t="str">
        <f t="shared" si="0"/>
        <v>FYPLTQESYGAYAVMCLSVVIFGTGIIGNLAVMCIVCHNSISNSLLANLAFWDFLIIFFCLPLVIFHELTEDFSCKIVPYIEVASLGVTTFTLCALCIDRFRAATNCSSTTAKLAVIWVGALLLALPEVVLRVLALTYDSARLWWYFGCYFCLPTLFTITCSLVTARKIRKAEKACKRQIQLESQMNCTVVALTILYGFCIIPENICNIVTAYMQQTMDLLNIISQFLLFFKSCVTPVLLFCLCKPFSRAFMECCCC</v>
      </c>
      <c r="C15" s="72" t="str">
        <f>IF(ISERROR(MATCH(A15,'Xtal_SegEnds_Prot#'!B:B, 0)), "NoXtal", "Xtal")</f>
        <v>NoXtal</v>
      </c>
      <c r="D15" s="4" t="str">
        <f>VLOOKUP(A15,Classification!A:D,2,FALSE)</f>
        <v>A</v>
      </c>
      <c r="E15" s="5" t="str">
        <f>VLOOKUP(A15,Seqs!A:B,2,FALSE)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5" s="5" t="str">
        <f t="shared" si="1"/>
        <v>FYPLTQESYGAYAVMCLSVVIFGTGIIGNLAVMCIVCHN</v>
      </c>
      <c r="G15" s="4" t="str">
        <f t="shared" si="2"/>
        <v>YYMR</v>
      </c>
      <c r="H15" s="4" t="str">
        <f t="shared" si="3"/>
        <v>SISNSLLANLAFWDFLIIFFCLPLVIFHELT</v>
      </c>
      <c r="I15" s="4" t="str">
        <f t="shared" si="4"/>
        <v>KWLL</v>
      </c>
      <c r="J15" s="4" t="str">
        <f t="shared" si="5"/>
        <v>EDFSCKIVPYIEVASLGVTTFTLCALCIDRFRAATN</v>
      </c>
      <c r="K15" s="4" t="str">
        <f t="shared" si="6"/>
        <v>QMYYEMIE</v>
      </c>
      <c r="L15" s="4" t="str">
        <f t="shared" si="7"/>
        <v>CSSTTAKLAVIWVGALLLALPEVVLR</v>
      </c>
      <c r="M15" s="4" t="str">
        <f t="shared" si="8"/>
        <v>CII</v>
      </c>
      <c r="N15" s="4" t="str">
        <f t="shared" si="9"/>
        <v>VLALTYDSARLWWYFGCYFCLPTLFTITCSLVTARKIRKAEKAC</v>
      </c>
      <c r="O15" s="4" t="str">
        <f t="shared" si="10"/>
        <v>KRQIQLESQMNCTVVALTILYGFCIIPENICNIVTAYM</v>
      </c>
      <c r="P15" s="4" t="str">
        <f t="shared" si="11"/>
        <v>QQTMDLLNIISQFLLFFKSCVTPVLLFCL</v>
      </c>
      <c r="Q15" s="4" t="str">
        <f t="shared" si="12"/>
        <v>CKPFSRAFMECCCC</v>
      </c>
      <c r="R15" s="5">
        <f>VLOOKUP($A15,'NonXtal_SegEnds_Prot#'!$A:$AL,3,FALSE)</f>
        <v>251</v>
      </c>
      <c r="S15" s="5">
        <f>VLOOKUP($A15,'NonXtal_SegEnds_Prot#'!$A:$AL,6,FALSE)</f>
        <v>290</v>
      </c>
      <c r="T15" s="5">
        <f>VLOOKUP($A15,'NonXtal_SegEnds_Prot#'!$A:$AL,9,FALSE)</f>
        <v>294</v>
      </c>
      <c r="U15" s="5">
        <f>VLOOKUP($A15,'NonXtal_SegEnds_Prot#'!$A:$AL,12,FALSE)</f>
        <v>326</v>
      </c>
      <c r="V15" s="5">
        <f>VLOOKUP($A15,'NonXtal_SegEnds_Prot#'!$A:$AL,15,FALSE)</f>
        <v>330</v>
      </c>
      <c r="W15" s="5">
        <f>VLOOKUP($A15,'NonXtal_SegEnds_Prot#'!$A:$AL,18,FALSE)</f>
        <v>367</v>
      </c>
      <c r="X15" s="5">
        <f>VLOOKUP($A15,'NonXtal_SegEnds_Prot#'!$A:$AL,21,FALSE)</f>
        <v>376</v>
      </c>
      <c r="Y15" s="5">
        <f>VLOOKUP($A15,'NonXtal_SegEnds_Prot#'!$A:$AL,24,FALSE)</f>
        <v>419</v>
      </c>
      <c r="Z15" s="5">
        <f>VLOOKUP($A15,'NonXtal_SegEnds_Prot#'!$A:$AL,27,FALSE)</f>
        <v>433</v>
      </c>
      <c r="AA15" s="5">
        <f>VLOOKUP($A15,'NonXtal_SegEnds_Prot#'!$A:$AL,30,FALSE)</f>
        <v>481</v>
      </c>
      <c r="AB15" s="5">
        <f>VLOOKUP($A15,'NonXtal_SegEnds_Prot#'!$A:$AL,33,FALSE)</f>
        <v>524</v>
      </c>
      <c r="AC15" s="5">
        <f>VLOOKUP($A15,'NonXtal_SegEnds_Prot#'!$A:$AL,36,FALSE)</f>
        <v>553</v>
      </c>
      <c r="AD15" s="5">
        <f>VLOOKUP($A15,'NonXtal_SegEnds_Prot#'!$A:$AL,5,FALSE)</f>
        <v>289</v>
      </c>
      <c r="AE15" s="5">
        <f>VLOOKUP($A15,'NonXtal_SegEnds_Prot#'!$A:$AL,8,FALSE)</f>
        <v>293</v>
      </c>
      <c r="AF15" s="5">
        <f>VLOOKUP($A15,'NonXtal_SegEnds_Prot#'!$A:$AL,11,FALSE)</f>
        <v>324</v>
      </c>
      <c r="AG15" s="5">
        <f>VLOOKUP($A15,'NonXtal_SegEnds_Prot#'!$A:$AL,14,FALSE)</f>
        <v>329</v>
      </c>
      <c r="AH15" s="5">
        <f>VLOOKUP($A15,'NonXtal_SegEnds_Prot#'!$A:$AL,17,FALSE)</f>
        <v>365</v>
      </c>
      <c r="AI15" s="5">
        <f>VLOOKUP($A15,'NonXtal_SegEnds_Prot#'!$A:$AL,20,FALSE)</f>
        <v>374</v>
      </c>
      <c r="AJ15" s="5">
        <f>VLOOKUP($A15,'NonXtal_SegEnds_Prot#'!$A:$AL,23,FALSE)</f>
        <v>401</v>
      </c>
      <c r="AK15" s="5">
        <f>VLOOKUP($A15,'NonXtal_SegEnds_Prot#'!$A:$AL,26,FALSE)</f>
        <v>421</v>
      </c>
      <c r="AL15" s="5">
        <f>VLOOKUP($A15,'NonXtal_SegEnds_Prot#'!$A:$AL,29,FALSE)</f>
        <v>476</v>
      </c>
      <c r="AM15" s="5">
        <f>VLOOKUP($A15,'NonXtal_SegEnds_Prot#'!$A:$AL,32,FALSE)</f>
        <v>518</v>
      </c>
      <c r="AN15" s="5">
        <f>VLOOKUP($A15,'NonXtal_SegEnds_Prot#'!$A:$AL,35,FALSE)</f>
        <v>552</v>
      </c>
      <c r="AO15" s="5">
        <f>VLOOKUP($A15,'NonXtal_SegEnds_Prot#'!$A:$AL,38,FALSE)</f>
        <v>566</v>
      </c>
      <c r="AP15" s="5">
        <f t="shared" si="13"/>
        <v>38</v>
      </c>
      <c r="AQ15" s="4">
        <f t="shared" si="14"/>
        <v>3</v>
      </c>
      <c r="AR15" s="4">
        <f t="shared" si="15"/>
        <v>30</v>
      </c>
      <c r="AS15" s="4">
        <f t="shared" si="16"/>
        <v>3</v>
      </c>
      <c r="AT15" s="4">
        <f t="shared" si="17"/>
        <v>35</v>
      </c>
      <c r="AU15" s="4">
        <f t="shared" si="18"/>
        <v>7</v>
      </c>
      <c r="AV15" s="4">
        <f t="shared" si="19"/>
        <v>25</v>
      </c>
      <c r="AW15" s="4">
        <f t="shared" si="20"/>
        <v>2</v>
      </c>
      <c r="AX15" s="4">
        <f t="shared" si="21"/>
        <v>43</v>
      </c>
      <c r="AY15" s="4">
        <f t="shared" si="22"/>
        <v>37</v>
      </c>
      <c r="AZ15" s="4">
        <f t="shared" si="23"/>
        <v>28</v>
      </c>
      <c r="BA15" s="4">
        <f t="shared" si="24"/>
        <v>13</v>
      </c>
    </row>
    <row r="16" spans="1:53" x14ac:dyDescent="0.2">
      <c r="A16" s="1" t="str">
        <f>'NonXtal_SegEnds_Prot#'!A181</f>
        <v>ednra_human</v>
      </c>
      <c r="B16" s="1" t="str">
        <f t="shared" si="0"/>
        <v>PQQTKITSAFKYINTVISCTIFIVGMVGNATLLRIIYQNGPNALIASLALGDLIYVVIDLPINVFKLLADHNDFGVFLCKLFPFLQKSSVGITVLNLCALSVDRYRAVASPLVTAIEIVSIWILSFILAIPEAIGFKFMEFYQDVKDWWLFGFYFCMPLVCTAIFYTLMTCEMLNRRNGSSEHLKQRREVAKTVFCLVVIFALCWFPLHLSRILKKTVYRCELLSFLLLMDYIGINLATMNSCINPIALYFVSKKFKNCFQSCLCC</v>
      </c>
      <c r="C16" s="72" t="str">
        <f>IF(ISERROR(MATCH(A16,'Xtal_SegEnds_Prot#'!B:B, 0)), "NoXtal", "Xtal")</f>
        <v>NoXtal</v>
      </c>
      <c r="D16" s="4" t="str">
        <f>VLOOKUP(A16,Classification!A:D,2,FALSE)</f>
        <v>A</v>
      </c>
      <c r="E16" s="5" t="str">
        <f>VLOOKUP(A16,Seqs!A:B,2,FALSE)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6" s="5" t="str">
        <f t="shared" si="1"/>
        <v>PQQTKITSAFKYINTVISCTIFIVGMVGNATLLRIIYQN</v>
      </c>
      <c r="G16" s="4" t="str">
        <f t="shared" si="2"/>
        <v>KCMRN</v>
      </c>
      <c r="H16" s="4" t="str">
        <f t="shared" si="3"/>
        <v>GPNALIASLALGDLIYVVIDLPINVFKLLA</v>
      </c>
      <c r="I16" s="4" t="str">
        <f t="shared" si="4"/>
        <v>RWPF</v>
      </c>
      <c r="J16" s="4" t="str">
        <f t="shared" si="5"/>
        <v>DHNDFGVFLCKLFPFLQKSSVGITVLNLCALSVDRYRAVAS</v>
      </c>
      <c r="K16" s="4" t="str">
        <f t="shared" si="6"/>
        <v>WSRVQGIG</v>
      </c>
      <c r="L16" s="4" t="str">
        <f t="shared" si="7"/>
        <v>PLVTAIEIVSIWILSFILAIPEAIGF</v>
      </c>
      <c r="M16" s="4" t="str">
        <f t="shared" si="8"/>
        <v>CML</v>
      </c>
      <c r="N16" s="4" t="str">
        <f t="shared" si="9"/>
        <v>KFMEFYQDVKDWWLFGFYFCMPLVCTAIFYTLMTCEMLNRRNGS</v>
      </c>
      <c r="O16" s="4" t="str">
        <f t="shared" si="10"/>
        <v>SEHLKQRREVAKTVFCLVVIFALCWFPLHLSRILKKTVY</v>
      </c>
      <c r="P16" s="4" t="str">
        <f t="shared" si="11"/>
        <v>RCELLSFLLLMDYIGINLATMNSCINPIALYFV</v>
      </c>
      <c r="Q16" s="4" t="str">
        <f t="shared" si="12"/>
        <v>SKKFKNCFQSCLCC</v>
      </c>
      <c r="R16" s="5">
        <f>VLOOKUP($A16,'NonXtal_SegEnds_Prot#'!$A:$AL,3,FALSE)</f>
        <v>70</v>
      </c>
      <c r="S16" s="5">
        <f>VLOOKUP($A16,'NonXtal_SegEnds_Prot#'!$A:$AL,6,FALSE)</f>
        <v>109</v>
      </c>
      <c r="T16" s="5">
        <f>VLOOKUP($A16,'NonXtal_SegEnds_Prot#'!$A:$AL,9,FALSE)</f>
        <v>114</v>
      </c>
      <c r="U16" s="5">
        <f>VLOOKUP($A16,'NonXtal_SegEnds_Prot#'!$A:$AL,12,FALSE)</f>
        <v>145</v>
      </c>
      <c r="V16" s="5">
        <f>VLOOKUP($A16,'NonXtal_SegEnds_Prot#'!$A:$AL,15,FALSE)</f>
        <v>149</v>
      </c>
      <c r="W16" s="5">
        <f>VLOOKUP($A16,'NonXtal_SegEnds_Prot#'!$A:$AL,18,FALSE)</f>
        <v>190</v>
      </c>
      <c r="X16" s="5">
        <f>VLOOKUP($A16,'NonXtal_SegEnds_Prot#'!$A:$AL,21,FALSE)</f>
        <v>199</v>
      </c>
      <c r="Y16" s="5">
        <f>VLOOKUP($A16,'NonXtal_SegEnds_Prot#'!$A:$AL,24,FALSE)</f>
        <v>239</v>
      </c>
      <c r="Z16" s="5">
        <f>VLOOKUP($A16,'NonXtal_SegEnds_Prot#'!$A:$AL,27,FALSE)</f>
        <v>246</v>
      </c>
      <c r="AA16" s="5">
        <f>VLOOKUP($A16,'NonXtal_SegEnds_Prot#'!$A:$AL,30,FALSE)</f>
        <v>295</v>
      </c>
      <c r="AB16" s="5">
        <f>VLOOKUP($A16,'NonXtal_SegEnds_Prot#'!$A:$AL,33,FALSE)</f>
        <v>340</v>
      </c>
      <c r="AC16" s="5">
        <f>VLOOKUP($A16,'NonXtal_SegEnds_Prot#'!$A:$AL,36,FALSE)</f>
        <v>373</v>
      </c>
      <c r="AD16" s="5">
        <f>VLOOKUP($A16,'NonXtal_SegEnds_Prot#'!$A:$AL,5,FALSE)</f>
        <v>108</v>
      </c>
      <c r="AE16" s="5">
        <f>VLOOKUP($A16,'NonXtal_SegEnds_Prot#'!$A:$AL,8,FALSE)</f>
        <v>113</v>
      </c>
      <c r="AF16" s="5">
        <f>VLOOKUP($A16,'NonXtal_SegEnds_Prot#'!$A:$AL,11,FALSE)</f>
        <v>143</v>
      </c>
      <c r="AG16" s="5">
        <f>VLOOKUP($A16,'NonXtal_SegEnds_Prot#'!$A:$AL,14,FALSE)</f>
        <v>148</v>
      </c>
      <c r="AH16" s="5">
        <f>VLOOKUP($A16,'NonXtal_SegEnds_Prot#'!$A:$AL,17,FALSE)</f>
        <v>189</v>
      </c>
      <c r="AI16" s="5">
        <f>VLOOKUP($A16,'NonXtal_SegEnds_Prot#'!$A:$AL,20,FALSE)</f>
        <v>197</v>
      </c>
      <c r="AJ16" s="5">
        <f>VLOOKUP($A16,'NonXtal_SegEnds_Prot#'!$A:$AL,23,FALSE)</f>
        <v>224</v>
      </c>
      <c r="AK16" s="5">
        <f>VLOOKUP($A16,'NonXtal_SegEnds_Prot#'!$A:$AL,26,FALSE)</f>
        <v>241</v>
      </c>
      <c r="AL16" s="5">
        <f>VLOOKUP($A16,'NonXtal_SegEnds_Prot#'!$A:$AL,29,FALSE)</f>
        <v>289</v>
      </c>
      <c r="AM16" s="5">
        <f>VLOOKUP($A16,'NonXtal_SegEnds_Prot#'!$A:$AL,32,FALSE)</f>
        <v>333</v>
      </c>
      <c r="AN16" s="5">
        <f>VLOOKUP($A16,'NonXtal_SegEnds_Prot#'!$A:$AL,35,FALSE)</f>
        <v>372</v>
      </c>
      <c r="AO16" s="5">
        <f>VLOOKUP($A16,'NonXtal_SegEnds_Prot#'!$A:$AL,38,FALSE)</f>
        <v>386</v>
      </c>
      <c r="AP16" s="5">
        <f t="shared" si="13"/>
        <v>38</v>
      </c>
      <c r="AQ16" s="4">
        <f t="shared" si="14"/>
        <v>4</v>
      </c>
      <c r="AR16" s="4">
        <f t="shared" si="15"/>
        <v>29</v>
      </c>
      <c r="AS16" s="4">
        <f t="shared" si="16"/>
        <v>3</v>
      </c>
      <c r="AT16" s="4">
        <f t="shared" si="17"/>
        <v>40</v>
      </c>
      <c r="AU16" s="4">
        <f t="shared" si="18"/>
        <v>7</v>
      </c>
      <c r="AV16" s="4">
        <f t="shared" si="19"/>
        <v>25</v>
      </c>
      <c r="AW16" s="4">
        <f t="shared" si="20"/>
        <v>2</v>
      </c>
      <c r="AX16" s="4">
        <f t="shared" si="21"/>
        <v>43</v>
      </c>
      <c r="AY16" s="4">
        <f t="shared" si="22"/>
        <v>38</v>
      </c>
      <c r="AZ16" s="4">
        <f t="shared" si="23"/>
        <v>32</v>
      </c>
      <c r="BA16" s="4">
        <f t="shared" si="24"/>
        <v>13</v>
      </c>
    </row>
    <row r="17" spans="1:53" x14ac:dyDescent="0.2">
      <c r="A17" s="1" t="str">
        <f>'NonXtal_SegEnds_Prot#'!A188</f>
        <v>pth1r_human</v>
      </c>
      <c r="B17" s="1" t="str">
        <f t="shared" si="0"/>
        <v>VKFLTNETREREVFDRLGMIYTVGYSVSLASLTVAVLILAYFCTRNYIHMHLFLSFMLRAVSIFVKDAVLYAAAGYAGCRVAVTFFLYFLATNYYWILVEGLYLHSLIFMKYLWGFTVFGWGLPAVFVAVWVSVRATLASGNKKWIIQVPILASIVLNFILFINIVRVLATKLDTRQQYRKLLKSTLVLMPLFGVHYIVFMASGTLWQVQMHYEMLFNSFQGFFVAIIYCFCNGEVQAEIKKSWSRWTLALDFKRKAR</v>
      </c>
      <c r="C17" s="72" t="str">
        <f>IF(ISERROR(MATCH(A17,'Xtal_SegEnds_Prot#'!B:B, 0)), "NoXtal", "Xtal")</f>
        <v>NoXtal</v>
      </c>
      <c r="D17" s="4" t="str">
        <f>VLOOKUP(A17,Classification!A:D,2,FALSE)</f>
        <v>B1</v>
      </c>
      <c r="E17" s="5" t="str">
        <f>VLOOKUP(A17,Seqs!A:B,2,FALSE)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17" s="5" t="str">
        <f t="shared" si="1"/>
        <v>VKFLTNETREREVFDRLGMIYTVGYSVSLASLTVAVLILAYF</v>
      </c>
      <c r="G17" s="4" t="str">
        <f t="shared" si="2"/>
        <v>RRLH</v>
      </c>
      <c r="H17" s="4" t="str">
        <f t="shared" si="3"/>
        <v>CTRNYIHMHLFLSFMLRAVSIFVKDAVLY</v>
      </c>
      <c r="I17" s="4" t="str">
        <f t="shared" si="4"/>
        <v/>
      </c>
      <c r="J17" s="4" t="str">
        <f t="shared" si="5"/>
        <v>AAAGYAGCRVAVTFFLYFLATNYYWILVEGLYLHSLIFM</v>
      </c>
      <c r="K17" s="4" t="str">
        <f t="shared" si="6"/>
        <v/>
      </c>
      <c r="L17" s="4" t="str">
        <f t="shared" si="7"/>
        <v>KYLWGFTVFGWGLPAVFVAVWVSVRATLA</v>
      </c>
      <c r="M17" s="4" t="str">
        <f t="shared" si="8"/>
        <v>CWD</v>
      </c>
      <c r="N17" s="4" t="str">
        <f t="shared" si="9"/>
        <v>SGNKKWIIQVPILASIVLNFILFINIVRVLATKL</v>
      </c>
      <c r="O17" s="4" t="str">
        <f t="shared" si="10"/>
        <v>DTRQQYRKLLKSTLVLMPLFGVHYIVFMA</v>
      </c>
      <c r="P17" s="4" t="str">
        <f t="shared" si="11"/>
        <v>SGTLWQVQMHYEMLFNSFQGFFVAIIYCFC</v>
      </c>
      <c r="Q17" s="4" t="str">
        <f t="shared" si="12"/>
        <v>NGEVQAEIKKSWSRWTLALDFKRKAR</v>
      </c>
      <c r="R17" s="5">
        <f>VLOOKUP($A17,'NonXtal_SegEnds_Prot#'!$A:$AL,3,FALSE)</f>
        <v>171</v>
      </c>
      <c r="S17" s="5">
        <f>VLOOKUP($A17,'NonXtal_SegEnds_Prot#'!$A:$AL,6,FALSE)</f>
        <v>213</v>
      </c>
      <c r="T17" s="5">
        <f>VLOOKUP($A17,'NonXtal_SegEnds_Prot#'!$A:$AL,9,FALSE)</f>
        <v>217</v>
      </c>
      <c r="U17" s="5" t="str">
        <f>VLOOKUP($A17,'NonXtal_SegEnds_Prot#'!$A:$AL,12,FALSE)</f>
        <v>-</v>
      </c>
      <c r="V17" s="5">
        <f>VLOOKUP($A17,'NonXtal_SegEnds_Prot#'!$A:$AL,15,FALSE)</f>
        <v>274</v>
      </c>
      <c r="W17" s="5" t="str">
        <f>VLOOKUP($A17,'NonXtal_SegEnds_Prot#'!$A:$AL,18,FALSE)</f>
        <v>-</v>
      </c>
      <c r="X17" s="5">
        <f>VLOOKUP($A17,'NonXtal_SegEnds_Prot#'!$A:$AL,21,FALSE)</f>
        <v>319</v>
      </c>
      <c r="Y17" s="5">
        <f>VLOOKUP($A17,'NonXtal_SegEnds_Prot#'!$A:$AL,24,FALSE)</f>
        <v>351</v>
      </c>
      <c r="Z17" s="5">
        <f>VLOOKUP($A17,'NonXtal_SegEnds_Prot#'!$A:$AL,27,FALSE)</f>
        <v>356</v>
      </c>
      <c r="AA17" s="5">
        <f>VLOOKUP($A17,'NonXtal_SegEnds_Prot#'!$A:$AL,30,FALSE)</f>
        <v>398</v>
      </c>
      <c r="AB17" s="5">
        <f>VLOOKUP($A17,'NonXtal_SegEnds_Prot#'!$A:$AL,33,FALSE)</f>
        <v>433</v>
      </c>
      <c r="AC17" s="5">
        <f>VLOOKUP($A17,'NonXtal_SegEnds_Prot#'!$A:$AL,36,FALSE)</f>
        <v>463</v>
      </c>
      <c r="AD17" s="5">
        <f>VLOOKUP($A17,'NonXtal_SegEnds_Prot#'!$A:$AL,5,FALSE)</f>
        <v>212</v>
      </c>
      <c r="AE17" s="5">
        <f>VLOOKUP($A17,'NonXtal_SegEnds_Prot#'!$A:$AL,8,FALSE)</f>
        <v>216</v>
      </c>
      <c r="AF17" s="5">
        <f>VLOOKUP($A17,'NonXtal_SegEnds_Prot#'!$A:$AL,11,FALSE)</f>
        <v>245</v>
      </c>
      <c r="AG17" s="5" t="str">
        <f>VLOOKUP($A17,'NonXtal_SegEnds_Prot#'!$A:$AL,14,FALSE)</f>
        <v>-</v>
      </c>
      <c r="AH17" s="5">
        <f>VLOOKUP($A17,'NonXtal_SegEnds_Prot#'!$A:$AL,17,FALSE)</f>
        <v>312</v>
      </c>
      <c r="AI17" s="5" t="str">
        <f>VLOOKUP($A17,'NonXtal_SegEnds_Prot#'!$A:$AL,20,FALSE)</f>
        <v>-</v>
      </c>
      <c r="AJ17" s="5">
        <f>VLOOKUP($A17,'NonXtal_SegEnds_Prot#'!$A:$AL,23,FALSE)</f>
        <v>347</v>
      </c>
      <c r="AK17" s="5">
        <f>VLOOKUP($A17,'NonXtal_SegEnds_Prot#'!$A:$AL,26,FALSE)</f>
        <v>353</v>
      </c>
      <c r="AL17" s="5">
        <f>VLOOKUP($A17,'NonXtal_SegEnds_Prot#'!$A:$AL,29,FALSE)</f>
        <v>389</v>
      </c>
      <c r="AM17" s="5">
        <f>VLOOKUP($A17,'NonXtal_SegEnds_Prot#'!$A:$AL,32,FALSE)</f>
        <v>426</v>
      </c>
      <c r="AN17" s="5">
        <f>VLOOKUP($A17,'NonXtal_SegEnds_Prot#'!$A:$AL,35,FALSE)</f>
        <v>462</v>
      </c>
      <c r="AO17" s="5">
        <f>VLOOKUP($A17,'NonXtal_SegEnds_Prot#'!$A:$AL,38,FALSE)</f>
        <v>488</v>
      </c>
      <c r="AP17" s="5">
        <f t="shared" si="13"/>
        <v>41</v>
      </c>
      <c r="AQ17" s="4">
        <f t="shared" si="14"/>
        <v>3</v>
      </c>
      <c r="AR17" s="4">
        <f t="shared" si="15"/>
        <v>28</v>
      </c>
      <c r="AS17" s="4" t="str">
        <f t="shared" si="16"/>
        <v>-</v>
      </c>
      <c r="AT17" s="4">
        <f t="shared" si="17"/>
        <v>38</v>
      </c>
      <c r="AU17" s="4" t="str">
        <f t="shared" si="18"/>
        <v>-</v>
      </c>
      <c r="AV17" s="4">
        <f t="shared" si="19"/>
        <v>28</v>
      </c>
      <c r="AW17" s="4">
        <f t="shared" si="20"/>
        <v>2</v>
      </c>
      <c r="AX17" s="4">
        <f t="shared" si="21"/>
        <v>33</v>
      </c>
      <c r="AY17" s="4">
        <f t="shared" si="22"/>
        <v>28</v>
      </c>
      <c r="AZ17" s="4">
        <f t="shared" si="23"/>
        <v>29</v>
      </c>
      <c r="BA17" s="4">
        <f t="shared" si="24"/>
        <v>25</v>
      </c>
    </row>
    <row r="18" spans="1:53" x14ac:dyDescent="0.2">
      <c r="A18" s="1" t="str">
        <f>'NonXtal_SegEnds_Prot#'!A198</f>
        <v>vipr2_human</v>
      </c>
      <c r="B18" s="1" t="str">
        <f t="shared" si="0"/>
        <v>GYSDPEDESKITFYILVKAIYTLGYSVSLMSLATGSIILCLFCTRNYIHLNLFLSFILRAISVLVKDDVLYQPSSWVGCKLSLVFLQYCIMANFFWLLVEGLYLHTLLVARCFLAYLLIGWGLPTVCIGAWTAARLYLEHSVPWWVIRIPILISIIVNFVLFISIIRILLQKLNDQSQYKRLAKSTLLLIPLFGVHYMVFAVSKYQILFELCLGSFQGLVVAVLYCFLNSEVQCELKRKWRSRCPTPSASRDYR</v>
      </c>
      <c r="C18" s="72" t="str">
        <f>IF(ISERROR(MATCH(A18,'Xtal_SegEnds_Prot#'!B:B, 0)), "NoXtal", "Xtal")</f>
        <v>NoXtal</v>
      </c>
      <c r="D18" s="4" t="str">
        <f>VLOOKUP(A18,Classification!A:D,2,FALSE)</f>
        <v>B1</v>
      </c>
      <c r="E18" s="5" t="str">
        <f>VLOOKUP(A18,Seqs!A:B,2,FALSE)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18" s="5" t="str">
        <f t="shared" si="1"/>
        <v>GYSDPEDESKITFYILVKAIYTLGYSVSLMSLATGSIILCLF</v>
      </c>
      <c r="G18" s="4" t="str">
        <f t="shared" si="2"/>
        <v>RKLH</v>
      </c>
      <c r="H18" s="4" t="str">
        <f t="shared" si="3"/>
        <v>CTRNYIHLNLFLSFILRAISVLVKDDVLY</v>
      </c>
      <c r="I18" s="4" t="str">
        <f t="shared" si="4"/>
        <v/>
      </c>
      <c r="J18" s="4" t="str">
        <f t="shared" si="5"/>
        <v>QPSSWVGCKLSLVFLQYCIMANFFWLLVEGLYLHTLLVA</v>
      </c>
      <c r="K18" s="4" t="str">
        <f t="shared" si="6"/>
        <v/>
      </c>
      <c r="L18" s="4" t="str">
        <f t="shared" si="7"/>
        <v>RCFLAYLLIGWGLPTVCIGAWTAARLYLE</v>
      </c>
      <c r="M18" s="4" t="str">
        <f t="shared" si="8"/>
        <v>CWD</v>
      </c>
      <c r="N18" s="4" t="str">
        <f t="shared" si="9"/>
        <v>HSVPWWVIRIPILISIIVNFVLFISIIRILLQKL</v>
      </c>
      <c r="O18" s="4" t="str">
        <f t="shared" si="10"/>
        <v>NDQSQYKRLAKSTLLLIPLFGVHYMVFAV</v>
      </c>
      <c r="P18" s="4" t="str">
        <f t="shared" si="11"/>
        <v>SKYQILFELCLGSFQGLVVAVLYCFL</v>
      </c>
      <c r="Q18" s="4" t="str">
        <f t="shared" si="12"/>
        <v>NSEVQCELKRKWRSRCPTPSASRDYR</v>
      </c>
      <c r="R18" s="5">
        <f>VLOOKUP($A18,'NonXtal_SegEnds_Prot#'!$A:$AL,3,FALSE)</f>
        <v>110</v>
      </c>
      <c r="S18" s="5">
        <f>VLOOKUP($A18,'NonXtal_SegEnds_Prot#'!$A:$AL,6,FALSE)</f>
        <v>152</v>
      </c>
      <c r="T18" s="5">
        <f>VLOOKUP($A18,'NonXtal_SegEnds_Prot#'!$A:$AL,9,FALSE)</f>
        <v>156</v>
      </c>
      <c r="U18" s="5" t="str">
        <f>VLOOKUP($A18,'NonXtal_SegEnds_Prot#'!$A:$AL,12,FALSE)</f>
        <v>-</v>
      </c>
      <c r="V18" s="5">
        <f>VLOOKUP($A18,'NonXtal_SegEnds_Prot#'!$A:$AL,15,FALSE)</f>
        <v>195</v>
      </c>
      <c r="W18" s="5" t="str">
        <f>VLOOKUP($A18,'NonXtal_SegEnds_Prot#'!$A:$AL,18,FALSE)</f>
        <v>-</v>
      </c>
      <c r="X18" s="5">
        <f>VLOOKUP($A18,'NonXtal_SegEnds_Prot#'!$A:$AL,21,FALSE)</f>
        <v>239</v>
      </c>
      <c r="Y18" s="5">
        <f>VLOOKUP($A18,'NonXtal_SegEnds_Prot#'!$A:$AL,24,FALSE)</f>
        <v>271</v>
      </c>
      <c r="Z18" s="5">
        <f>VLOOKUP($A18,'NonXtal_SegEnds_Prot#'!$A:$AL,27,FALSE)</f>
        <v>277</v>
      </c>
      <c r="AA18" s="5">
        <f>VLOOKUP($A18,'NonXtal_SegEnds_Prot#'!$A:$AL,30,FALSE)</f>
        <v>318</v>
      </c>
      <c r="AB18" s="5">
        <f>VLOOKUP($A18,'NonXtal_SegEnds_Prot#'!$A:$AL,33,FALSE)</f>
        <v>353</v>
      </c>
      <c r="AC18" s="5">
        <f>VLOOKUP($A18,'NonXtal_SegEnds_Prot#'!$A:$AL,36,FALSE)</f>
        <v>379</v>
      </c>
      <c r="AD18" s="5">
        <f>VLOOKUP($A18,'NonXtal_SegEnds_Prot#'!$A:$AL,5,FALSE)</f>
        <v>151</v>
      </c>
      <c r="AE18" s="5">
        <f>VLOOKUP($A18,'NonXtal_SegEnds_Prot#'!$A:$AL,8,FALSE)</f>
        <v>155</v>
      </c>
      <c r="AF18" s="5">
        <f>VLOOKUP($A18,'NonXtal_SegEnds_Prot#'!$A:$AL,11,FALSE)</f>
        <v>184</v>
      </c>
      <c r="AG18" s="5" t="str">
        <f>VLOOKUP($A18,'NonXtal_SegEnds_Prot#'!$A:$AL,14,FALSE)</f>
        <v>-</v>
      </c>
      <c r="AH18" s="5">
        <f>VLOOKUP($A18,'NonXtal_SegEnds_Prot#'!$A:$AL,17,FALSE)</f>
        <v>233</v>
      </c>
      <c r="AI18" s="5" t="str">
        <f>VLOOKUP($A18,'NonXtal_SegEnds_Prot#'!$A:$AL,20,FALSE)</f>
        <v>-</v>
      </c>
      <c r="AJ18" s="5">
        <f>VLOOKUP($A18,'NonXtal_SegEnds_Prot#'!$A:$AL,23,FALSE)</f>
        <v>267</v>
      </c>
      <c r="AK18" s="5">
        <f>VLOOKUP($A18,'NonXtal_SegEnds_Prot#'!$A:$AL,26,FALSE)</f>
        <v>273</v>
      </c>
      <c r="AL18" s="5">
        <f>VLOOKUP($A18,'NonXtal_SegEnds_Prot#'!$A:$AL,29,FALSE)</f>
        <v>310</v>
      </c>
      <c r="AM18" s="5">
        <f>VLOOKUP($A18,'NonXtal_SegEnds_Prot#'!$A:$AL,32,FALSE)</f>
        <v>346</v>
      </c>
      <c r="AN18" s="5">
        <f>VLOOKUP($A18,'NonXtal_SegEnds_Prot#'!$A:$AL,35,FALSE)</f>
        <v>378</v>
      </c>
      <c r="AO18" s="5">
        <f>VLOOKUP($A18,'NonXtal_SegEnds_Prot#'!$A:$AL,38,FALSE)</f>
        <v>404</v>
      </c>
      <c r="AP18" s="5">
        <f t="shared" si="13"/>
        <v>41</v>
      </c>
      <c r="AQ18" s="4">
        <f t="shared" si="14"/>
        <v>3</v>
      </c>
      <c r="AR18" s="4">
        <f t="shared" si="15"/>
        <v>28</v>
      </c>
      <c r="AS18" s="4" t="str">
        <f t="shared" si="16"/>
        <v>-</v>
      </c>
      <c r="AT18" s="4">
        <f t="shared" si="17"/>
        <v>38</v>
      </c>
      <c r="AU18" s="4" t="str">
        <f t="shared" si="18"/>
        <v>-</v>
      </c>
      <c r="AV18" s="4">
        <f t="shared" si="19"/>
        <v>28</v>
      </c>
      <c r="AW18" s="4">
        <f t="shared" si="20"/>
        <v>2</v>
      </c>
      <c r="AX18" s="4">
        <f t="shared" si="21"/>
        <v>33</v>
      </c>
      <c r="AY18" s="4">
        <f t="shared" si="22"/>
        <v>28</v>
      </c>
      <c r="AZ18" s="4">
        <f t="shared" si="23"/>
        <v>25</v>
      </c>
      <c r="BA18" s="4">
        <f t="shared" si="24"/>
        <v>25</v>
      </c>
    </row>
    <row r="19" spans="1:53" x14ac:dyDescent="0.2">
      <c r="A19" s="1" t="str">
        <f>'NonXtal_SegEnds_Prot#'!A201</f>
        <v>rai3_human</v>
      </c>
      <c r="B19" s="1" t="str">
        <f t="shared" si="0"/>
        <v>AWGIVLETVATAGVVTSVAFMLTLPILNRRKMLPTQFLFLLGVLGIFGLTFAFIGSTGPTRFFLFGILFSICFSCLLAHAVSLTKLVLLVILGLAVGFSLVQDVIAIEYIVLTNEDFVLLLTYVLFLMALTFLMSSFTHGAHIYLTMLLSIAIWVAWITLLMLDDTILSSALAANGWVFLLAYVSPEFWLLTKNPMDYPVEDAFCK</v>
      </c>
      <c r="C19" s="72" t="str">
        <f>IF(ISERROR(MATCH(A19,'Xtal_SegEnds_Prot#'!B:B, 0)), "NoXtal", "Xtal")</f>
        <v>NoXtal</v>
      </c>
      <c r="D19" s="4" t="str">
        <f>VLOOKUP(A19,Classification!A:D,2,FALSE)</f>
        <v>C</v>
      </c>
      <c r="E19" s="5" t="str">
        <f>VLOOKUP(A19,Seqs!A:B,2,FALSE)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19" s="5" t="str">
        <f t="shared" si="1"/>
        <v>AWGIVLETVATAGVVTSVAFMLTLPIL</v>
      </c>
      <c r="G19" s="4" t="str">
        <f t="shared" si="2"/>
        <v>VCKVQDS</v>
      </c>
      <c r="H19" s="4" t="str">
        <f t="shared" si="3"/>
        <v>NRRKMLPTQFLFLLGVLGIFGLTFAFI</v>
      </c>
      <c r="I19" s="4" t="str">
        <f t="shared" si="4"/>
        <v/>
      </c>
      <c r="J19" s="4" t="str">
        <f t="shared" si="5"/>
        <v>GSTGPTRFFLFGILFSICFSCLLAHAVSLTKLV</v>
      </c>
      <c r="K19" s="4" t="str">
        <f t="shared" si="6"/>
        <v/>
      </c>
      <c r="L19" s="4" t="str">
        <f t="shared" si="7"/>
        <v>LLVILGLAVGFSLVQDVIAIEYIVLT</v>
      </c>
      <c r="M19" s="4" t="str">
        <f t="shared" si="8"/>
        <v/>
      </c>
      <c r="N19" s="4" t="str">
        <f t="shared" si="9"/>
        <v>NEDFVLLLTYVLFLMALTFLMSSFT</v>
      </c>
      <c r="O19" s="4" t="str">
        <f t="shared" si="10"/>
        <v>HGAHIYLTMLLSIAIWVAWITLLML</v>
      </c>
      <c r="P19" s="4" t="str">
        <f t="shared" si="11"/>
        <v>DDTILSSALAANGWVFLLAYVSPEFWLLTK</v>
      </c>
      <c r="Q19" s="4" t="str">
        <f t="shared" si="12"/>
        <v>NPMDYPVEDAFCK</v>
      </c>
      <c r="R19" s="5">
        <f>VLOOKUP($A19,'NonXtal_SegEnds_Prot#'!$A:$AL,3,FALSE)</f>
        <v>26</v>
      </c>
      <c r="S19" s="5">
        <f>VLOOKUP($A19,'NonXtal_SegEnds_Prot#'!$A:$AL,6,FALSE)</f>
        <v>53</v>
      </c>
      <c r="T19" s="5">
        <f>VLOOKUP($A19,'NonXtal_SegEnds_Prot#'!$A:$AL,9,FALSE)</f>
        <v>60</v>
      </c>
      <c r="U19" s="5" t="str">
        <f>VLOOKUP($A19,'NonXtal_SegEnds_Prot#'!$A:$AL,12,FALSE)</f>
        <v>-</v>
      </c>
      <c r="V19" s="5">
        <f>VLOOKUP($A19,'NonXtal_SegEnds_Prot#'!$A:$AL,15,FALSE)</f>
        <v>91</v>
      </c>
      <c r="W19" s="5" t="str">
        <f>VLOOKUP($A19,'NonXtal_SegEnds_Prot#'!$A:$AL,18,FALSE)</f>
        <v>-</v>
      </c>
      <c r="X19" s="5">
        <f>VLOOKUP($A19,'NonXtal_SegEnds_Prot#'!$A:$AL,21,FALSE)</f>
        <v>131</v>
      </c>
      <c r="Y19" s="5" t="str">
        <f>VLOOKUP($A19,'NonXtal_SegEnds_Prot#'!$A:$AL,24,FALSE)</f>
        <v>-</v>
      </c>
      <c r="Z19" s="5">
        <f>VLOOKUP($A19,'NonXtal_SegEnds_Prot#'!$A:$AL,27,FALSE)</f>
        <v>174</v>
      </c>
      <c r="AA19" s="5">
        <f>VLOOKUP($A19,'NonXtal_SegEnds_Prot#'!$A:$AL,30,FALSE)</f>
        <v>209</v>
      </c>
      <c r="AB19" s="5">
        <f>VLOOKUP($A19,'NonXtal_SegEnds_Prot#'!$A:$AL,33,FALSE)</f>
        <v>241</v>
      </c>
      <c r="AC19" s="5">
        <f>VLOOKUP($A19,'NonXtal_SegEnds_Prot#'!$A:$AL,36,FALSE)</f>
        <v>273</v>
      </c>
      <c r="AD19" s="5">
        <f>VLOOKUP($A19,'NonXtal_SegEnds_Prot#'!$A:$AL,5,FALSE)</f>
        <v>52</v>
      </c>
      <c r="AE19" s="5">
        <f>VLOOKUP($A19,'NonXtal_SegEnds_Prot#'!$A:$AL,8,FALSE)</f>
        <v>59</v>
      </c>
      <c r="AF19" s="5">
        <f>VLOOKUP($A19,'NonXtal_SegEnds_Prot#'!$A:$AL,11,FALSE)</f>
        <v>86</v>
      </c>
      <c r="AG19" s="5" t="str">
        <f>VLOOKUP($A19,'NonXtal_SegEnds_Prot#'!$A:$AL,14,FALSE)</f>
        <v>-</v>
      </c>
      <c r="AH19" s="5">
        <f>VLOOKUP($A19,'NonXtal_SegEnds_Prot#'!$A:$AL,17,FALSE)</f>
        <v>123</v>
      </c>
      <c r="AI19" s="5" t="str">
        <f>VLOOKUP($A19,'NonXtal_SegEnds_Prot#'!$A:$AL,20,FALSE)</f>
        <v>-</v>
      </c>
      <c r="AJ19" s="5">
        <f>VLOOKUP($A19,'NonXtal_SegEnds_Prot#'!$A:$AL,23,FALSE)</f>
        <v>156</v>
      </c>
      <c r="AK19" s="5" t="str">
        <f>VLOOKUP($A19,'NonXtal_SegEnds_Prot#'!$A:$AL,26,FALSE)</f>
        <v>-</v>
      </c>
      <c r="AL19" s="5">
        <f>VLOOKUP($A19,'NonXtal_SegEnds_Prot#'!$A:$AL,29,FALSE)</f>
        <v>198</v>
      </c>
      <c r="AM19" s="5">
        <f>VLOOKUP($A19,'NonXtal_SegEnds_Prot#'!$A:$AL,32,FALSE)</f>
        <v>233</v>
      </c>
      <c r="AN19" s="5">
        <f>VLOOKUP($A19,'NonXtal_SegEnds_Prot#'!$A:$AL,35,FALSE)</f>
        <v>270</v>
      </c>
      <c r="AO19" s="5">
        <f>VLOOKUP($A19,'NonXtal_SegEnds_Prot#'!$A:$AL,38,FALSE)</f>
        <v>285</v>
      </c>
      <c r="AP19" s="5">
        <f t="shared" si="13"/>
        <v>26</v>
      </c>
      <c r="AQ19" s="4">
        <f t="shared" si="14"/>
        <v>6</v>
      </c>
      <c r="AR19" s="4">
        <f t="shared" si="15"/>
        <v>26</v>
      </c>
      <c r="AS19" s="4" t="str">
        <f t="shared" si="16"/>
        <v>-</v>
      </c>
      <c r="AT19" s="4">
        <f t="shared" si="17"/>
        <v>32</v>
      </c>
      <c r="AU19" s="4" t="str">
        <f t="shared" si="18"/>
        <v>-</v>
      </c>
      <c r="AV19" s="4">
        <f t="shared" si="19"/>
        <v>25</v>
      </c>
      <c r="AW19" s="4" t="str">
        <f t="shared" si="20"/>
        <v>-</v>
      </c>
      <c r="AX19" s="4">
        <f t="shared" si="21"/>
        <v>24</v>
      </c>
      <c r="AY19" s="4">
        <f t="shared" si="22"/>
        <v>24</v>
      </c>
      <c r="AZ19" s="4">
        <f t="shared" si="23"/>
        <v>29</v>
      </c>
      <c r="BA19" s="4">
        <f t="shared" si="24"/>
        <v>12</v>
      </c>
    </row>
    <row r="20" spans="1:53" x14ac:dyDescent="0.2">
      <c r="A20" s="1" t="str">
        <f>'NonXtal_SegEnds_Prot#'!A202</f>
        <v>gp157_human</v>
      </c>
      <c r="B20" s="1" t="str">
        <f t="shared" si="0"/>
        <v>SERAVVLLSCALSALGSGLLVATHALWARRLLLFLSLADLLSAASYFYGVLQWDCVLQGALSTFANTSSFFWTVAIALYLYLSIVRHVVSWGVPLVITVAAVALKKIGYDASVGWCWIDLEAKDHVLWMLLTGKLSQEHRLLRHSSMADKKLVLIPLIFVVLHGIGNTFQGGANCIMFVLCVRTRLFSLCCCCCSSQ</v>
      </c>
      <c r="C20" s="72" t="str">
        <f>IF(ISERROR(MATCH(A20,'Xtal_SegEnds_Prot#'!B:B, 0)), "NoXtal", "Xtal")</f>
        <v>NoXtal</v>
      </c>
      <c r="D20" s="4" t="str">
        <f>VLOOKUP(A20,Classification!A:D,2,FALSE)</f>
        <v>O</v>
      </c>
      <c r="E20" s="5" t="str">
        <f>VLOOKUP(A20,Seqs!A:B,2,FALSE)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20" s="5" t="str">
        <f t="shared" si="1"/>
        <v>SERAVVLLSCALSALGSGLLVATHALW</v>
      </c>
      <c r="G20" s="4" t="str">
        <f t="shared" si="2"/>
        <v/>
      </c>
      <c r="H20" s="4" t="str">
        <f t="shared" si="3"/>
        <v>ARRLLLFLSLADLLSAASYFYGVLQ</v>
      </c>
      <c r="I20" s="4" t="str">
        <f t="shared" si="4"/>
        <v/>
      </c>
      <c r="J20" s="4" t="str">
        <f t="shared" si="5"/>
        <v>WDCVLQGALSTFANTSSFFWTVAIALYLYLSIVR</v>
      </c>
      <c r="K20" s="4" t="str">
        <f t="shared" si="6"/>
        <v/>
      </c>
      <c r="L20" s="4" t="str">
        <f t="shared" si="7"/>
        <v>HVVSWGVPLVITVAAVALKKIGYDA</v>
      </c>
      <c r="M20" s="4" t="str">
        <f t="shared" si="8"/>
        <v/>
      </c>
      <c r="N20" s="4" t="str">
        <f t="shared" si="9"/>
        <v>SVGWCWIDLEAKDHVLWMLLTGK</v>
      </c>
      <c r="O20" s="4" t="str">
        <f t="shared" si="10"/>
        <v>LSQEHRLLRHSSMADKKLVLIPLIF</v>
      </c>
      <c r="P20" s="4" t="str">
        <f t="shared" si="11"/>
        <v>VVLHGIGNTFQGGANCIMFVLC</v>
      </c>
      <c r="Q20" s="4" t="str">
        <f t="shared" si="12"/>
        <v>VRTRLFSLCCCCCSSQ</v>
      </c>
      <c r="R20" s="5">
        <f>VLOOKUP($A20,'NonXtal_SegEnds_Prot#'!$A:$AL,3,FALSE)</f>
        <v>13</v>
      </c>
      <c r="S20" s="5" t="str">
        <f>VLOOKUP($A20,'NonXtal_SegEnds_Prot#'!$A:$AL,6,FALSE)</f>
        <v>-</v>
      </c>
      <c r="T20" s="5">
        <f>VLOOKUP($A20,'NonXtal_SegEnds_Prot#'!$A:$AL,9,FALSE)</f>
        <v>46</v>
      </c>
      <c r="U20" s="5" t="str">
        <f>VLOOKUP($A20,'NonXtal_SegEnds_Prot#'!$A:$AL,12,FALSE)</f>
        <v>-</v>
      </c>
      <c r="V20" s="5">
        <f>VLOOKUP($A20,'NonXtal_SegEnds_Prot#'!$A:$AL,15,FALSE)</f>
        <v>77</v>
      </c>
      <c r="W20" s="5" t="str">
        <f>VLOOKUP($A20,'NonXtal_SegEnds_Prot#'!$A:$AL,18,FALSE)</f>
        <v>-</v>
      </c>
      <c r="X20" s="5">
        <f>VLOOKUP($A20,'NonXtal_SegEnds_Prot#'!$A:$AL,21,FALSE)</f>
        <v>125</v>
      </c>
      <c r="Y20" s="5" t="str">
        <f>VLOOKUP($A20,'NonXtal_SegEnds_Prot#'!$A:$AL,24,FALSE)</f>
        <v>-</v>
      </c>
      <c r="Z20" s="5">
        <f>VLOOKUP($A20,'NonXtal_SegEnds_Prot#'!$A:$AL,27,FALSE)</f>
        <v>153</v>
      </c>
      <c r="AA20" s="5">
        <f>VLOOKUP($A20,'NonXtal_SegEnds_Prot#'!$A:$AL,30,FALSE)</f>
        <v>210</v>
      </c>
      <c r="AB20" s="5">
        <f>VLOOKUP($A20,'NonXtal_SegEnds_Prot#'!$A:$AL,33,FALSE)</f>
        <v>261</v>
      </c>
      <c r="AC20" s="5">
        <f>VLOOKUP($A20,'NonXtal_SegEnds_Prot#'!$A:$AL,36,FALSE)</f>
        <v>286</v>
      </c>
      <c r="AD20" s="5">
        <f>VLOOKUP($A20,'NonXtal_SegEnds_Prot#'!$A:$AL,5,FALSE)</f>
        <v>39</v>
      </c>
      <c r="AE20" s="5" t="str">
        <f>VLOOKUP($A20,'NonXtal_SegEnds_Prot#'!$A:$AL,8,FALSE)</f>
        <v>-</v>
      </c>
      <c r="AF20" s="5">
        <f>VLOOKUP($A20,'NonXtal_SegEnds_Prot#'!$A:$AL,11,FALSE)</f>
        <v>70</v>
      </c>
      <c r="AG20" s="5" t="str">
        <f>VLOOKUP($A20,'NonXtal_SegEnds_Prot#'!$A:$AL,14,FALSE)</f>
        <v>-</v>
      </c>
      <c r="AH20" s="5">
        <f>VLOOKUP($A20,'NonXtal_SegEnds_Prot#'!$A:$AL,17,FALSE)</f>
        <v>110</v>
      </c>
      <c r="AI20" s="5" t="str">
        <f>VLOOKUP($A20,'NonXtal_SegEnds_Prot#'!$A:$AL,20,FALSE)</f>
        <v>-</v>
      </c>
      <c r="AJ20" s="5">
        <f>VLOOKUP($A20,'NonXtal_SegEnds_Prot#'!$A:$AL,23,FALSE)</f>
        <v>149</v>
      </c>
      <c r="AK20" s="5" t="str">
        <f>VLOOKUP($A20,'NonXtal_SegEnds_Prot#'!$A:$AL,26,FALSE)</f>
        <v>-</v>
      </c>
      <c r="AL20" s="5">
        <f>VLOOKUP($A20,'NonXtal_SegEnds_Prot#'!$A:$AL,29,FALSE)</f>
        <v>175</v>
      </c>
      <c r="AM20" s="5">
        <f>VLOOKUP($A20,'NonXtal_SegEnds_Prot#'!$A:$AL,32,FALSE)</f>
        <v>234</v>
      </c>
      <c r="AN20" s="5">
        <f>VLOOKUP($A20,'NonXtal_SegEnds_Prot#'!$A:$AL,35,FALSE)</f>
        <v>282</v>
      </c>
      <c r="AO20" s="5">
        <f>VLOOKUP($A20,'NonXtal_SegEnds_Prot#'!$A:$AL,38,FALSE)</f>
        <v>301</v>
      </c>
      <c r="AP20" s="5">
        <f t="shared" si="13"/>
        <v>26</v>
      </c>
      <c r="AQ20" s="4" t="str">
        <f t="shared" si="14"/>
        <v>-</v>
      </c>
      <c r="AR20" s="4">
        <f t="shared" si="15"/>
        <v>24</v>
      </c>
      <c r="AS20" s="4" t="str">
        <f t="shared" si="16"/>
        <v>-</v>
      </c>
      <c r="AT20" s="4">
        <f t="shared" si="17"/>
        <v>33</v>
      </c>
      <c r="AU20" s="4" t="str">
        <f t="shared" si="18"/>
        <v>-</v>
      </c>
      <c r="AV20" s="4">
        <f t="shared" si="19"/>
        <v>24</v>
      </c>
      <c r="AW20" s="4" t="str">
        <f t="shared" si="20"/>
        <v>-</v>
      </c>
      <c r="AX20" s="4">
        <f t="shared" si="21"/>
        <v>22</v>
      </c>
      <c r="AY20" s="4">
        <f t="shared" si="22"/>
        <v>24</v>
      </c>
      <c r="AZ20" s="4">
        <f t="shared" si="23"/>
        <v>21</v>
      </c>
      <c r="BA20" s="4">
        <f t="shared" si="24"/>
        <v>15</v>
      </c>
    </row>
    <row r="21" spans="1:53" x14ac:dyDescent="0.2">
      <c r="A21" s="1" t="str">
        <f>'NonXtal_SegEnds_Prot#'!A203</f>
        <v>gabr1_human</v>
      </c>
      <c r="B21" s="1" t="str">
        <f t="shared" si="0"/>
        <v>KLFISVSVLSSLGIVLAVVCLSFNIYNQPNLNNLTAVGCSLALAAVFPLGPFVCQARLWLLGLGFSLGYGSMFTKIWWVHTVFPWKLYATVGLLVGMDVLTLAIWQIVDNTWLGIFYGYKGLLLLLGIFLAYETDHRAVGMAIYNVAVLCLITAPVTMIAFAFASLAIVFSSYITLVVLFVPKMRRLITRGEWQSEAQDTMK</v>
      </c>
      <c r="C21" s="72" t="str">
        <f>IF(ISERROR(MATCH(A21,'Xtal_SegEnds_Prot#'!B:B, 0)), "NoXtal", "Xtal")</f>
        <v>NoXtal</v>
      </c>
      <c r="D21" s="4" t="str">
        <f>VLOOKUP(A21,Classification!A:D,2,FALSE)</f>
        <v>C</v>
      </c>
      <c r="E21" s="5" t="str">
        <f>VLOOKUP(A21,Seqs!A:B,2,FALSE)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21" s="5" t="str">
        <f t="shared" si="1"/>
        <v>KLFISVSVLSSLGIVLAVVCLSFNIYN</v>
      </c>
      <c r="G21" s="4" t="str">
        <f t="shared" si="2"/>
        <v>VRYIQNS</v>
      </c>
      <c r="H21" s="4" t="str">
        <f t="shared" si="3"/>
        <v>QPNLNNLTAVGCSLALAAVFPLG</v>
      </c>
      <c r="I21" s="4" t="str">
        <f t="shared" si="4"/>
        <v/>
      </c>
      <c r="J21" s="4" t="str">
        <f t="shared" si="5"/>
        <v>PFVCQARLWLLGLGFSLGYGSMFTKIWWVHTVF</v>
      </c>
      <c r="K21" s="4" t="str">
        <f t="shared" si="6"/>
        <v/>
      </c>
      <c r="L21" s="4" t="str">
        <f t="shared" si="7"/>
        <v>PWKLYATVGLLVGMDVLTLAIWQIVD</v>
      </c>
      <c r="M21" s="4" t="str">
        <f t="shared" si="8"/>
        <v>CSS</v>
      </c>
      <c r="N21" s="4" t="str">
        <f t="shared" si="9"/>
        <v>NTWLGIFYGYKGLLLLLGIFLAYET</v>
      </c>
      <c r="O21" s="4" t="str">
        <f t="shared" si="10"/>
        <v>DHRAVGMAIYNVAVLCLITAPVTMI</v>
      </c>
      <c r="P21" s="4" t="str">
        <f t="shared" si="11"/>
        <v>AFAFASLAIVFSSYITLVVLFVPKMRRLIT</v>
      </c>
      <c r="Q21" s="4" t="str">
        <f t="shared" si="12"/>
        <v>RGEWQSEAQDTMK</v>
      </c>
      <c r="R21" s="5">
        <f>VLOOKUP($A21,'NonXtal_SegEnds_Prot#'!$A:$AL,3,FALSE)</f>
        <v>590</v>
      </c>
      <c r="S21" s="5">
        <f>VLOOKUP($A21,'NonXtal_SegEnds_Prot#'!$A:$AL,6,FALSE)</f>
        <v>619</v>
      </c>
      <c r="T21" s="5">
        <f>VLOOKUP($A21,'NonXtal_SegEnds_Prot#'!$A:$AL,9,FALSE)</f>
        <v>626</v>
      </c>
      <c r="U21" s="5" t="str">
        <f>VLOOKUP($A21,'NonXtal_SegEnds_Prot#'!$A:$AL,12,FALSE)</f>
        <v>-</v>
      </c>
      <c r="V21" s="5">
        <f>VLOOKUP($A21,'NonXtal_SegEnds_Prot#'!$A:$AL,15,FALSE)</f>
        <v>660</v>
      </c>
      <c r="W21" s="5" t="str">
        <f>VLOOKUP($A21,'NonXtal_SegEnds_Prot#'!$A:$AL,18,FALSE)</f>
        <v>-</v>
      </c>
      <c r="X21" s="5">
        <f>VLOOKUP($A21,'NonXtal_SegEnds_Prot#'!$A:$AL,21,FALSE)</f>
        <v>707</v>
      </c>
      <c r="Y21" s="5">
        <f>VLOOKUP($A21,'NonXtal_SegEnds_Prot#'!$A:$AL,24,FALSE)</f>
        <v>761</v>
      </c>
      <c r="Z21" s="5">
        <f>VLOOKUP($A21,'NonXtal_SegEnds_Prot#'!$A:$AL,27,FALSE)</f>
        <v>767</v>
      </c>
      <c r="AA21" s="5">
        <f>VLOOKUP($A21,'NonXtal_SegEnds_Prot#'!$A:$AL,30,FALSE)</f>
        <v>801</v>
      </c>
      <c r="AB21" s="5">
        <f>VLOOKUP($A21,'NonXtal_SegEnds_Prot#'!$A:$AL,33,FALSE)</f>
        <v>833</v>
      </c>
      <c r="AC21" s="5">
        <f>VLOOKUP($A21,'NonXtal_SegEnds_Prot#'!$A:$AL,36,FALSE)</f>
        <v>863</v>
      </c>
      <c r="AD21" s="5">
        <f>VLOOKUP($A21,'NonXtal_SegEnds_Prot#'!$A:$AL,5,FALSE)</f>
        <v>616</v>
      </c>
      <c r="AE21" s="5">
        <f>VLOOKUP($A21,'NonXtal_SegEnds_Prot#'!$A:$AL,8,FALSE)</f>
        <v>625</v>
      </c>
      <c r="AF21" s="5">
        <f>VLOOKUP($A21,'NonXtal_SegEnds_Prot#'!$A:$AL,11,FALSE)</f>
        <v>648</v>
      </c>
      <c r="AG21" s="5" t="str">
        <f>VLOOKUP($A21,'NonXtal_SegEnds_Prot#'!$A:$AL,14,FALSE)</f>
        <v>-</v>
      </c>
      <c r="AH21" s="5">
        <f>VLOOKUP($A21,'NonXtal_SegEnds_Prot#'!$A:$AL,17,FALSE)</f>
        <v>692</v>
      </c>
      <c r="AI21" s="5" t="str">
        <f>VLOOKUP($A21,'NonXtal_SegEnds_Prot#'!$A:$AL,20,FALSE)</f>
        <v>-</v>
      </c>
      <c r="AJ21" s="5">
        <f>VLOOKUP($A21,'NonXtal_SegEnds_Prot#'!$A:$AL,23,FALSE)</f>
        <v>732</v>
      </c>
      <c r="AK21" s="5">
        <f>VLOOKUP($A21,'NonXtal_SegEnds_Prot#'!$A:$AL,26,FALSE)</f>
        <v>763</v>
      </c>
      <c r="AL21" s="5">
        <f>VLOOKUP($A21,'NonXtal_SegEnds_Prot#'!$A:$AL,29,FALSE)</f>
        <v>791</v>
      </c>
      <c r="AM21" s="5">
        <f>VLOOKUP($A21,'NonXtal_SegEnds_Prot#'!$A:$AL,32,FALSE)</f>
        <v>825</v>
      </c>
      <c r="AN21" s="5">
        <f>VLOOKUP($A21,'NonXtal_SegEnds_Prot#'!$A:$AL,35,FALSE)</f>
        <v>862</v>
      </c>
      <c r="AO21" s="5">
        <f>VLOOKUP($A21,'NonXtal_SegEnds_Prot#'!$A:$AL,38,FALSE)</f>
        <v>875</v>
      </c>
      <c r="AP21" s="5">
        <f t="shared" si="13"/>
        <v>26</v>
      </c>
      <c r="AQ21" s="4">
        <f t="shared" si="14"/>
        <v>6</v>
      </c>
      <c r="AR21" s="4">
        <f t="shared" si="15"/>
        <v>22</v>
      </c>
      <c r="AS21" s="4" t="str">
        <f t="shared" si="16"/>
        <v>-</v>
      </c>
      <c r="AT21" s="4">
        <f t="shared" si="17"/>
        <v>32</v>
      </c>
      <c r="AU21" s="4" t="str">
        <f t="shared" si="18"/>
        <v>-</v>
      </c>
      <c r="AV21" s="4">
        <f t="shared" si="19"/>
        <v>25</v>
      </c>
      <c r="AW21" s="4">
        <f t="shared" si="20"/>
        <v>2</v>
      </c>
      <c r="AX21" s="4">
        <f t="shared" si="21"/>
        <v>24</v>
      </c>
      <c r="AY21" s="4">
        <f t="shared" si="22"/>
        <v>24</v>
      </c>
      <c r="AZ21" s="4">
        <f t="shared" si="23"/>
        <v>29</v>
      </c>
      <c r="BA21" s="4">
        <f t="shared" si="24"/>
        <v>12</v>
      </c>
    </row>
    <row r="22" spans="1:53" x14ac:dyDescent="0.2">
      <c r="A22" s="1" t="str">
        <f>'NonXtal_SegEnds_Prot#'!A212</f>
        <v>gpc5b_human</v>
      </c>
      <c r="B22" s="1" t="str">
        <f t="shared" si="0"/>
        <v>IWGIVVEAVAGAGALITLLLMLILLVREKKSPVGLHFLFLLGTLGLFGLTFAFIETICSVRRFLWGVLFALCFSCLLSQAWRVRRLVGWQLVGLALCLMLVQVIIAVEWLVLTPMDFVMALIYDMVLLVVTLGLALFTNGAFLLITAFLSVLIWVAWMTMYLFNDPTLAITLAASGWVFVIFHAIPEIHCTLLALQENTPNYFDTS</v>
      </c>
      <c r="C22" s="72" t="str">
        <f>IF(ISERROR(MATCH(A22,'Xtal_SegEnds_Prot#'!B:B, 0)), "NoXtal", "Xtal")</f>
        <v>NoXtal</v>
      </c>
      <c r="D22" s="4" t="str">
        <f>VLOOKUP(A22,Classification!A:D,2,FALSE)</f>
        <v>C</v>
      </c>
      <c r="E22" s="5" t="str">
        <f>VLOOKUP(A22,Seqs!A:B,2,FALSE)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22" s="5" t="str">
        <f t="shared" si="1"/>
        <v>IWGIVVEAVAGAGALITLLLMLILLVR</v>
      </c>
      <c r="G22" s="4" t="str">
        <f t="shared" si="2"/>
        <v>LPFIKEK</v>
      </c>
      <c r="H22" s="4" t="str">
        <f t="shared" si="3"/>
        <v>EKKSPVGLHFLFLLGTLGLFGLTFAFI</v>
      </c>
      <c r="I22" s="4" t="str">
        <f t="shared" si="4"/>
        <v/>
      </c>
      <c r="J22" s="4" t="str">
        <f t="shared" si="5"/>
        <v>ETICSVRRFLWGVLFALCFSCLLSQAWRVRRLV</v>
      </c>
      <c r="K22" s="4" t="str">
        <f t="shared" si="6"/>
        <v/>
      </c>
      <c r="L22" s="4" t="str">
        <f t="shared" si="7"/>
        <v>GWQLVGLALCLMLVQVIIAVEWLVLT</v>
      </c>
      <c r="M22" s="4" t="str">
        <f t="shared" si="8"/>
        <v>CAY</v>
      </c>
      <c r="N22" s="4" t="str">
        <f t="shared" si="9"/>
        <v>PMDFVMALIYDMVLLVVTLGLALFT</v>
      </c>
      <c r="O22" s="4" t="str">
        <f t="shared" si="10"/>
        <v>NGAFLLITAFLSVLIWVAWMTMYLF</v>
      </c>
      <c r="P22" s="4" t="str">
        <f t="shared" si="11"/>
        <v>NDPTLAITLAASGWVFVIFHAIPEIHCTLL</v>
      </c>
      <c r="Q22" s="4" t="str">
        <f t="shared" si="12"/>
        <v>ALQENTPNYFDTS</v>
      </c>
      <c r="R22" s="5">
        <f>VLOOKUP($A22,'NonXtal_SegEnds_Prot#'!$A:$AL,3,FALSE)</f>
        <v>54</v>
      </c>
      <c r="S22" s="5">
        <f>VLOOKUP($A22,'NonXtal_SegEnds_Prot#'!$A:$AL,6,FALSE)</f>
        <v>81</v>
      </c>
      <c r="T22" s="5">
        <f>VLOOKUP($A22,'NonXtal_SegEnds_Prot#'!$A:$AL,9,FALSE)</f>
        <v>88</v>
      </c>
      <c r="U22" s="5" t="str">
        <f>VLOOKUP($A22,'NonXtal_SegEnds_Prot#'!$A:$AL,12,FALSE)</f>
        <v>-</v>
      </c>
      <c r="V22" s="5">
        <f>VLOOKUP($A22,'NonXtal_SegEnds_Prot#'!$A:$AL,15,FALSE)</f>
        <v>119</v>
      </c>
      <c r="W22" s="5" t="str">
        <f>VLOOKUP($A22,'NonXtal_SegEnds_Prot#'!$A:$AL,18,FALSE)</f>
        <v>-</v>
      </c>
      <c r="X22" s="5">
        <f>VLOOKUP($A22,'NonXtal_SegEnds_Prot#'!$A:$AL,21,FALSE)</f>
        <v>159</v>
      </c>
      <c r="Y22" s="5">
        <f>VLOOKUP($A22,'NonXtal_SegEnds_Prot#'!$A:$AL,24,FALSE)</f>
        <v>193</v>
      </c>
      <c r="Z22" s="5">
        <f>VLOOKUP($A22,'NonXtal_SegEnds_Prot#'!$A:$AL,27,FALSE)</f>
        <v>197</v>
      </c>
      <c r="AA22" s="5">
        <f>VLOOKUP($A22,'NonXtal_SegEnds_Prot#'!$A:$AL,30,FALSE)</f>
        <v>232</v>
      </c>
      <c r="AB22" s="5">
        <f>VLOOKUP($A22,'NonXtal_SegEnds_Prot#'!$A:$AL,33,FALSE)</f>
        <v>268</v>
      </c>
      <c r="AC22" s="5">
        <f>VLOOKUP($A22,'NonXtal_SegEnds_Prot#'!$A:$AL,36,FALSE)</f>
        <v>299</v>
      </c>
      <c r="AD22" s="5">
        <f>VLOOKUP($A22,'NonXtal_SegEnds_Prot#'!$A:$AL,5,FALSE)</f>
        <v>80</v>
      </c>
      <c r="AE22" s="5">
        <f>VLOOKUP($A22,'NonXtal_SegEnds_Prot#'!$A:$AL,8,FALSE)</f>
        <v>87</v>
      </c>
      <c r="AF22" s="5">
        <f>VLOOKUP($A22,'NonXtal_SegEnds_Prot#'!$A:$AL,11,FALSE)</f>
        <v>114</v>
      </c>
      <c r="AG22" s="5" t="str">
        <f>VLOOKUP($A22,'NonXtal_SegEnds_Prot#'!$A:$AL,14,FALSE)</f>
        <v>-</v>
      </c>
      <c r="AH22" s="5">
        <f>VLOOKUP($A22,'NonXtal_SegEnds_Prot#'!$A:$AL,17,FALSE)</f>
        <v>151</v>
      </c>
      <c r="AI22" s="5" t="str">
        <f>VLOOKUP($A22,'NonXtal_SegEnds_Prot#'!$A:$AL,20,FALSE)</f>
        <v>-</v>
      </c>
      <c r="AJ22" s="5">
        <f>VLOOKUP($A22,'NonXtal_SegEnds_Prot#'!$A:$AL,23,FALSE)</f>
        <v>184</v>
      </c>
      <c r="AK22" s="5">
        <f>VLOOKUP($A22,'NonXtal_SegEnds_Prot#'!$A:$AL,26,FALSE)</f>
        <v>195</v>
      </c>
      <c r="AL22" s="5">
        <f>VLOOKUP($A22,'NonXtal_SegEnds_Prot#'!$A:$AL,29,FALSE)</f>
        <v>221</v>
      </c>
      <c r="AM22" s="5">
        <f>VLOOKUP($A22,'NonXtal_SegEnds_Prot#'!$A:$AL,32,FALSE)</f>
        <v>256</v>
      </c>
      <c r="AN22" s="5">
        <f>VLOOKUP($A22,'NonXtal_SegEnds_Prot#'!$A:$AL,35,FALSE)</f>
        <v>297</v>
      </c>
      <c r="AO22" s="5">
        <f>VLOOKUP($A22,'NonXtal_SegEnds_Prot#'!$A:$AL,38,FALSE)</f>
        <v>311</v>
      </c>
      <c r="AP22" s="5">
        <f t="shared" si="13"/>
        <v>26</v>
      </c>
      <c r="AQ22" s="4">
        <f t="shared" si="14"/>
        <v>6</v>
      </c>
      <c r="AR22" s="4">
        <f t="shared" si="15"/>
        <v>26</v>
      </c>
      <c r="AS22" s="4" t="str">
        <f t="shared" si="16"/>
        <v>-</v>
      </c>
      <c r="AT22" s="4">
        <f t="shared" si="17"/>
        <v>32</v>
      </c>
      <c r="AU22" s="4" t="str">
        <f t="shared" si="18"/>
        <v>-</v>
      </c>
      <c r="AV22" s="4">
        <f t="shared" si="19"/>
        <v>25</v>
      </c>
      <c r="AW22" s="4">
        <f t="shared" si="20"/>
        <v>2</v>
      </c>
      <c r="AX22" s="4">
        <f t="shared" si="21"/>
        <v>24</v>
      </c>
      <c r="AY22" s="4">
        <f t="shared" si="22"/>
        <v>24</v>
      </c>
      <c r="AZ22" s="4">
        <f t="shared" si="23"/>
        <v>29</v>
      </c>
      <c r="BA22" s="4">
        <f t="shared" si="24"/>
        <v>12</v>
      </c>
    </row>
    <row r="23" spans="1:53" x14ac:dyDescent="0.2">
      <c r="A23" s="1" t="str">
        <f>'NonXtal_SegEnds_Prot#'!A213</f>
        <v>casr_human</v>
      </c>
      <c r="B23" s="1" t="str">
        <f t="shared" si="0"/>
        <v>PFGIALTLFAVLGIFLTAFVLGVFIKFNRELSYLLLFSLLCCFSSSLFFIDWTCRLRQPAFGISFVLCISCILVKTNRVLLVFLNLQFLLVFLCTFMQIVICVIWLYTALMALGFLIGYTCLLAAICFFFAFKSEAKFITFSMLIFFIVWISFIPAYASVSAVEVIAILAASFGLLACIFFNKIYIILFKPSRNTIEEVRCS</v>
      </c>
      <c r="C23" s="72" t="str">
        <f>IF(ISERROR(MATCH(A23,'Xtal_SegEnds_Prot#'!B:B, 0)), "NoXtal", "Xtal")</f>
        <v>NoXtal</v>
      </c>
      <c r="D23" s="4" t="str">
        <f>VLOOKUP(A23,Classification!A:D,2,FALSE)</f>
        <v>C</v>
      </c>
      <c r="E23" s="5" t="str">
        <f>VLOOKUP(A23,Seqs!A:B,2,FALSE)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23" s="5" t="str">
        <f t="shared" si="1"/>
        <v>PFGIALTLFAVLGIFLTAFVLGVFIKF</v>
      </c>
      <c r="G23" s="4" t="str">
        <f t="shared" si="2"/>
        <v>TPIVKAT</v>
      </c>
      <c r="H23" s="4" t="str">
        <f t="shared" si="3"/>
        <v>NRELSYLLLFSLLCCFSSSLFFI</v>
      </c>
      <c r="I23" s="4" t="str">
        <f t="shared" si="4"/>
        <v/>
      </c>
      <c r="J23" s="4" t="str">
        <f t="shared" si="5"/>
        <v>DWTCRLRQPAFGISFVLCISCILVKTNRVLLVF</v>
      </c>
      <c r="K23" s="4" t="str">
        <f t="shared" si="6"/>
        <v/>
      </c>
      <c r="L23" s="4" t="str">
        <f t="shared" si="7"/>
        <v>LNLQFLLVFLCTFMQIVICVIWLYTA</v>
      </c>
      <c r="M23" s="4" t="str">
        <f t="shared" si="8"/>
        <v>CHE</v>
      </c>
      <c r="N23" s="4" t="str">
        <f t="shared" si="9"/>
        <v>LMALGFLIGYTCLLAAICFFFAFKS</v>
      </c>
      <c r="O23" s="4" t="str">
        <f t="shared" si="10"/>
        <v>EAKFITFSMLIFFIVWISFIPAYAS</v>
      </c>
      <c r="P23" s="4" t="str">
        <f t="shared" si="11"/>
        <v>VSAVEVIAILAASFGLLACIFFNKIYIILF</v>
      </c>
      <c r="Q23" s="4" t="str">
        <f t="shared" si="12"/>
        <v>KPSRNTIEEVRCS</v>
      </c>
      <c r="R23" s="5">
        <f>VLOOKUP($A23,'NonXtal_SegEnds_Prot#'!$A:$AL,3,FALSE)</f>
        <v>611</v>
      </c>
      <c r="S23" s="5">
        <f>VLOOKUP($A23,'NonXtal_SegEnds_Prot#'!$A:$AL,6,FALSE)</f>
        <v>640</v>
      </c>
      <c r="T23" s="5">
        <f>VLOOKUP($A23,'NonXtal_SegEnds_Prot#'!$A:$AL,9,FALSE)</f>
        <v>647</v>
      </c>
      <c r="U23" s="5" t="str">
        <f>VLOOKUP($A23,'NonXtal_SegEnds_Prot#'!$A:$AL,12,FALSE)</f>
        <v>-</v>
      </c>
      <c r="V23" s="5">
        <f>VLOOKUP($A23,'NonXtal_SegEnds_Prot#'!$A:$AL,15,FALSE)</f>
        <v>674</v>
      </c>
      <c r="W23" s="5" t="str">
        <f>VLOOKUP($A23,'NonXtal_SegEnds_Prot#'!$A:$AL,18,FALSE)</f>
        <v>-</v>
      </c>
      <c r="X23" s="5">
        <f>VLOOKUP($A23,'NonXtal_SegEnds_Prot#'!$A:$AL,21,FALSE)</f>
        <v>721</v>
      </c>
      <c r="Y23" s="5">
        <f>VLOOKUP($A23,'NonXtal_SegEnds_Prot#'!$A:$AL,24,FALSE)</f>
        <v>765</v>
      </c>
      <c r="Z23" s="5">
        <f>VLOOKUP($A23,'NonXtal_SegEnds_Prot#'!$A:$AL,27,FALSE)</f>
        <v>770</v>
      </c>
      <c r="AA23" s="5">
        <f>VLOOKUP($A23,'NonXtal_SegEnds_Prot#'!$A:$AL,30,FALSE)</f>
        <v>803</v>
      </c>
      <c r="AB23" s="5">
        <f>VLOOKUP($A23,'NonXtal_SegEnds_Prot#'!$A:$AL,33,FALSE)</f>
        <v>833</v>
      </c>
      <c r="AC23" s="5">
        <f>VLOOKUP($A23,'NonXtal_SegEnds_Prot#'!$A:$AL,36,FALSE)</f>
        <v>863</v>
      </c>
      <c r="AD23" s="5">
        <f>VLOOKUP($A23,'NonXtal_SegEnds_Prot#'!$A:$AL,5,FALSE)</f>
        <v>637</v>
      </c>
      <c r="AE23" s="5">
        <f>VLOOKUP($A23,'NonXtal_SegEnds_Prot#'!$A:$AL,8,FALSE)</f>
        <v>646</v>
      </c>
      <c r="AF23" s="5">
        <f>VLOOKUP($A23,'NonXtal_SegEnds_Prot#'!$A:$AL,11,FALSE)</f>
        <v>669</v>
      </c>
      <c r="AG23" s="5" t="str">
        <f>VLOOKUP($A23,'NonXtal_SegEnds_Prot#'!$A:$AL,14,FALSE)</f>
        <v>-</v>
      </c>
      <c r="AH23" s="5">
        <f>VLOOKUP($A23,'NonXtal_SegEnds_Prot#'!$A:$AL,17,FALSE)</f>
        <v>706</v>
      </c>
      <c r="AI23" s="5" t="str">
        <f>VLOOKUP($A23,'NonXtal_SegEnds_Prot#'!$A:$AL,20,FALSE)</f>
        <v>-</v>
      </c>
      <c r="AJ23" s="5">
        <f>VLOOKUP($A23,'NonXtal_SegEnds_Prot#'!$A:$AL,23,FALSE)</f>
        <v>746</v>
      </c>
      <c r="AK23" s="5">
        <f>VLOOKUP($A23,'NonXtal_SegEnds_Prot#'!$A:$AL,26,FALSE)</f>
        <v>767</v>
      </c>
      <c r="AL23" s="5">
        <f>VLOOKUP($A23,'NonXtal_SegEnds_Prot#'!$A:$AL,29,FALSE)</f>
        <v>794</v>
      </c>
      <c r="AM23" s="5">
        <f>VLOOKUP($A23,'NonXtal_SegEnds_Prot#'!$A:$AL,32,FALSE)</f>
        <v>827</v>
      </c>
      <c r="AN23" s="5">
        <f>VLOOKUP($A23,'NonXtal_SegEnds_Prot#'!$A:$AL,35,FALSE)</f>
        <v>862</v>
      </c>
      <c r="AO23" s="5">
        <f>VLOOKUP($A23,'NonXtal_SegEnds_Prot#'!$A:$AL,38,FALSE)</f>
        <v>875</v>
      </c>
      <c r="AP23" s="5">
        <f t="shared" si="13"/>
        <v>26</v>
      </c>
      <c r="AQ23" s="4">
        <f t="shared" si="14"/>
        <v>6</v>
      </c>
      <c r="AR23" s="4">
        <f t="shared" si="15"/>
        <v>22</v>
      </c>
      <c r="AS23" s="4" t="str">
        <f t="shared" si="16"/>
        <v>-</v>
      </c>
      <c r="AT23" s="4">
        <f t="shared" si="17"/>
        <v>32</v>
      </c>
      <c r="AU23" s="4" t="str">
        <f t="shared" si="18"/>
        <v>-</v>
      </c>
      <c r="AV23" s="4">
        <f t="shared" si="19"/>
        <v>25</v>
      </c>
      <c r="AW23" s="4">
        <f t="shared" si="20"/>
        <v>2</v>
      </c>
      <c r="AX23" s="4">
        <f t="shared" si="21"/>
        <v>24</v>
      </c>
      <c r="AY23" s="4">
        <f t="shared" si="22"/>
        <v>24</v>
      </c>
      <c r="AZ23" s="4">
        <f t="shared" si="23"/>
        <v>29</v>
      </c>
      <c r="BA23" s="4">
        <f t="shared" si="24"/>
        <v>12</v>
      </c>
    </row>
    <row r="24" spans="1:53" x14ac:dyDescent="0.2">
      <c r="A24" s="1" t="str">
        <f>'NonXtal_SegEnds_Prot#'!A226</f>
        <v>cnr1_human</v>
      </c>
      <c r="B24" s="1" t="str">
        <f t="shared" si="0"/>
        <v>SQQLAIAVLSLTLGTFTVLENLLVLCVILHSCRPSYHFIGSLAVADLLGSVIFVYSFIDFHVRKDSRNVFLFKLGGVTASFTASVGSLFLTAIDRYISIHRRPKAVVAFCLMWTIAIVIAVLPLLGDETYLMFWIGVTSVLLLFIVYAYMYILWKAHSHAVRMIQRGPDQARMDIRLAKTLVLILVVLIICWGPLLAIMVYDVFGIKTVFAFCSMLCLLNSTVNPIIYALRSKDLRHAFRSMFP</v>
      </c>
      <c r="C24" s="72" t="str">
        <f>IF(ISERROR(MATCH(A24,'Xtal_SegEnds_Prot#'!B:B, 0)), "NoXtal", "Xtal")</f>
        <v>NoXtal</v>
      </c>
      <c r="D24" s="4" t="str">
        <f>VLOOKUP(A24,Classification!A:D,2,FALSE)</f>
        <v>A</v>
      </c>
      <c r="E24" s="5" t="str">
        <f>VLOOKUP(A24,Seqs!A:B,2,FALSE)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24" s="5" t="str">
        <f t="shared" si="1"/>
        <v>SQQLAIAVLSLTLGTFTVLENLLVLCVILHS</v>
      </c>
      <c r="G24" s="4" t="str">
        <f t="shared" si="2"/>
        <v>RSLR</v>
      </c>
      <c r="H24" s="4" t="str">
        <f t="shared" si="3"/>
        <v>CRPSYHFIGSLAVADLLGSVIFVYSFIDFHV</v>
      </c>
      <c r="I24" s="4" t="str">
        <f t="shared" si="4"/>
        <v/>
      </c>
      <c r="J24" s="4" t="str">
        <f t="shared" si="5"/>
        <v>RKDSRNVFLFKLGGVTASFTASVGSLFLTAIDRYISIHR</v>
      </c>
      <c r="K24" s="4" t="str">
        <f t="shared" si="6"/>
        <v>PLAYKRIV</v>
      </c>
      <c r="L24" s="4" t="str">
        <f t="shared" si="7"/>
        <v>RPKAVVAFCLMWTIAIVIAVLPLLG</v>
      </c>
      <c r="M24" s="4" t="str">
        <f t="shared" si="8"/>
        <v/>
      </c>
      <c r="N24" s="4" t="str">
        <f t="shared" si="9"/>
        <v>DETYLMFWIGVTSVLLLFIVYAYMYILWKAHSHAVRMIQRG</v>
      </c>
      <c r="O24" s="4" t="str">
        <f t="shared" si="10"/>
        <v>PDQARMDIRLAKTLVLILVVLIICWGPLLAIMVYDVFG</v>
      </c>
      <c r="P24" s="4" t="str">
        <f t="shared" si="11"/>
        <v>IKTVFAFCSMLCLLNSTVNPIIYALR</v>
      </c>
      <c r="Q24" s="4" t="str">
        <f t="shared" si="12"/>
        <v>SKDLRHAFRSMFP</v>
      </c>
      <c r="R24" s="5">
        <f>VLOOKUP($A24,'NonXtal_SegEnds_Prot#'!$A:$AL,3,FALSE)</f>
        <v>114</v>
      </c>
      <c r="S24" s="5">
        <f>VLOOKUP($A24,'NonXtal_SegEnds_Prot#'!$A:$AL,6,FALSE)</f>
        <v>145</v>
      </c>
      <c r="T24" s="5">
        <f>VLOOKUP($A24,'NonXtal_SegEnds_Prot#'!$A:$AL,9,FALSE)</f>
        <v>149</v>
      </c>
      <c r="U24" s="5" t="str">
        <f>VLOOKUP($A24,'NonXtal_SegEnds_Prot#'!$A:$AL,12,FALSE)</f>
        <v>-</v>
      </c>
      <c r="V24" s="5">
        <f>VLOOKUP($A24,'NonXtal_SegEnds_Prot#'!$A:$AL,15,FALSE)</f>
        <v>182</v>
      </c>
      <c r="W24" s="5">
        <f>VLOOKUP($A24,'NonXtal_SegEnds_Prot#'!$A:$AL,18,FALSE)</f>
        <v>221</v>
      </c>
      <c r="X24" s="5">
        <f>VLOOKUP($A24,'NonXtal_SegEnds_Prot#'!$A:$AL,21,FALSE)</f>
        <v>230</v>
      </c>
      <c r="Y24" s="5" t="str">
        <f>VLOOKUP($A24,'NonXtal_SegEnds_Prot#'!$A:$AL,24,FALSE)</f>
        <v>-</v>
      </c>
      <c r="Z24" s="5">
        <f>VLOOKUP($A24,'NonXtal_SegEnds_Prot#'!$A:$AL,27,FALSE)</f>
        <v>272</v>
      </c>
      <c r="AA24" s="5">
        <f>VLOOKUP($A24,'NonXtal_SegEnds_Prot#'!$A:$AL,30,FALSE)</f>
        <v>332</v>
      </c>
      <c r="AB24" s="5">
        <f>VLOOKUP($A24,'NonXtal_SegEnds_Prot#'!$A:$AL,33,FALSE)</f>
        <v>375</v>
      </c>
      <c r="AC24" s="5">
        <f>VLOOKUP($A24,'NonXtal_SegEnds_Prot#'!$A:$AL,36,FALSE)</f>
        <v>401</v>
      </c>
      <c r="AD24" s="5">
        <f>VLOOKUP($A24,'NonXtal_SegEnds_Prot#'!$A:$AL,5,FALSE)</f>
        <v>144</v>
      </c>
      <c r="AE24" s="5">
        <f>VLOOKUP($A24,'NonXtal_SegEnds_Prot#'!$A:$AL,8,FALSE)</f>
        <v>148</v>
      </c>
      <c r="AF24" s="5">
        <f>VLOOKUP($A24,'NonXtal_SegEnds_Prot#'!$A:$AL,11,FALSE)</f>
        <v>179</v>
      </c>
      <c r="AG24" s="5" t="str">
        <f>VLOOKUP($A24,'NonXtal_SegEnds_Prot#'!$A:$AL,14,FALSE)</f>
        <v>-</v>
      </c>
      <c r="AH24" s="5">
        <f>VLOOKUP($A24,'NonXtal_SegEnds_Prot#'!$A:$AL,17,FALSE)</f>
        <v>220</v>
      </c>
      <c r="AI24" s="5">
        <f>VLOOKUP($A24,'NonXtal_SegEnds_Prot#'!$A:$AL,20,FALSE)</f>
        <v>228</v>
      </c>
      <c r="AJ24" s="5">
        <f>VLOOKUP($A24,'NonXtal_SegEnds_Prot#'!$A:$AL,23,FALSE)</f>
        <v>254</v>
      </c>
      <c r="AK24" s="5" t="str">
        <f>VLOOKUP($A24,'NonXtal_SegEnds_Prot#'!$A:$AL,26,FALSE)</f>
        <v>-</v>
      </c>
      <c r="AL24" s="5">
        <f>VLOOKUP($A24,'NonXtal_SegEnds_Prot#'!$A:$AL,29,FALSE)</f>
        <v>312</v>
      </c>
      <c r="AM24" s="5">
        <f>VLOOKUP($A24,'NonXtal_SegEnds_Prot#'!$A:$AL,32,FALSE)</f>
        <v>369</v>
      </c>
      <c r="AN24" s="5">
        <f>VLOOKUP($A24,'NonXtal_SegEnds_Prot#'!$A:$AL,35,FALSE)</f>
        <v>400</v>
      </c>
      <c r="AO24" s="5">
        <f>VLOOKUP($A24,'NonXtal_SegEnds_Prot#'!$A:$AL,38,FALSE)</f>
        <v>413</v>
      </c>
      <c r="AP24" s="5">
        <f t="shared" si="13"/>
        <v>30</v>
      </c>
      <c r="AQ24" s="4">
        <f t="shared" si="14"/>
        <v>3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24</v>
      </c>
      <c r="AW24" s="4" t="str">
        <f t="shared" si="20"/>
        <v>-</v>
      </c>
      <c r="AX24" s="4">
        <f t="shared" si="21"/>
        <v>40</v>
      </c>
      <c r="AY24" s="4">
        <f t="shared" si="22"/>
        <v>37</v>
      </c>
      <c r="AZ24" s="4">
        <f t="shared" si="23"/>
        <v>25</v>
      </c>
      <c r="BA24" s="4">
        <f t="shared" si="24"/>
        <v>12</v>
      </c>
    </row>
    <row r="25" spans="1:53" x14ac:dyDescent="0.2">
      <c r="A25" s="1" t="str">
        <f>'NonXtal_SegEnds_Prot#'!A245</f>
        <v>oprd_mouse</v>
      </c>
      <c r="B25" s="1" t="str">
        <f t="shared" si="0"/>
        <v>RSASSLALAIAITALYSAVCAVGLLGNVLVMFGIVRYTATNIYIFNLALADALATSTLPFQSAKYLMGELLCKAVLSIDYYNMFTSIFTLTMMSVDRYIAVCHPAKAKLINICIWVLASGVGVPIMVMASWYWDTVTKICVFLFAFVVPILIITVCYGLMLLRLRSVSKEKDRSLRRITRMVLVVVGAFVVCWAPIHIFVIVWTLVDPLVVAALHLCIALGYANSSLNPVLYAFLDENFKRCFRQLCRT</v>
      </c>
      <c r="C25" s="72" t="str">
        <f>IF(ISERROR(MATCH(A25,'Xtal_SegEnds_Prot#'!B:B, 0)), "NoXtal", "Xtal")</f>
        <v>Xtal</v>
      </c>
      <c r="D25" s="4" t="str">
        <f>VLOOKUP(A25,Classification!A:D,2,FALSE)</f>
        <v>A</v>
      </c>
      <c r="E25" s="5" t="str">
        <f>VLOOKUP(A25,Seqs!A:B,2,FALSE)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5" s="5" t="str">
        <f t="shared" si="1"/>
        <v>RSASSLALAIAITALYSAVCAVGLLGNVLVMFGIVRY</v>
      </c>
      <c r="G25" s="4" t="str">
        <f t="shared" si="2"/>
        <v>TKLK</v>
      </c>
      <c r="H25" s="4" t="str">
        <f t="shared" si="3"/>
        <v>TATNIYIFNLALADALATSTLPFQSAKYLM</v>
      </c>
      <c r="I25" s="4" t="str">
        <f t="shared" si="4"/>
        <v>TWPF</v>
      </c>
      <c r="J25" s="4" t="str">
        <f t="shared" si="5"/>
        <v>GELLCKAVLSIDYYNMFTSIFTLTMMSVDRYIAVCH</v>
      </c>
      <c r="K25" s="4" t="str">
        <f t="shared" si="6"/>
        <v>PVKALDFR</v>
      </c>
      <c r="L25" s="4" t="str">
        <f t="shared" si="7"/>
        <v>PAKAKLINICIWVLASGVGVPIMVMA</v>
      </c>
      <c r="M25" s="4" t="str">
        <f t="shared" si="8"/>
        <v>CML</v>
      </c>
      <c r="N25" s="4" t="str">
        <f t="shared" si="9"/>
        <v>SWYWDTVTKICVFLFAFVVPILIITVCYGLMLLRLRSV</v>
      </c>
      <c r="O25" s="4" t="str">
        <f t="shared" si="10"/>
        <v>SKEKDRSLRRITRMVLVVVGAFVVCWAPIHIFVIVWTLV</v>
      </c>
      <c r="P25" s="4" t="str">
        <f t="shared" si="11"/>
        <v>DPLVVAALHLCIALGYANSSLNPVLYAFL</v>
      </c>
      <c r="Q25" s="4" t="str">
        <f t="shared" si="12"/>
        <v>DENFKRCFRQLCRT</v>
      </c>
      <c r="R25" s="5">
        <f>VLOOKUP($A25,'NonXtal_SegEnds_Prot#'!$A:$AL,3,FALSE)</f>
        <v>41</v>
      </c>
      <c r="S25" s="5">
        <f>VLOOKUP($A25,'NonXtal_SegEnds_Prot#'!$A:$AL,6,FALSE)</f>
        <v>78</v>
      </c>
      <c r="T25" s="5">
        <f>VLOOKUP($A25,'NonXtal_SegEnds_Prot#'!$A:$AL,9,FALSE)</f>
        <v>82</v>
      </c>
      <c r="U25" s="5">
        <f>VLOOKUP($A25,'NonXtal_SegEnds_Prot#'!$A:$AL,12,FALSE)</f>
        <v>113</v>
      </c>
      <c r="V25" s="5">
        <f>VLOOKUP($A25,'NonXtal_SegEnds_Prot#'!$A:$AL,15,FALSE)</f>
        <v>117</v>
      </c>
      <c r="W25" s="5">
        <f>VLOOKUP($A25,'NonXtal_SegEnds_Prot#'!$A:$AL,18,FALSE)</f>
        <v>153</v>
      </c>
      <c r="X25" s="5">
        <f>VLOOKUP($A25,'NonXtal_SegEnds_Prot#'!$A:$AL,21,FALSE)</f>
        <v>162</v>
      </c>
      <c r="Y25" s="5">
        <f>VLOOKUP($A25,'NonXtal_SegEnds_Prot#'!$A:$AL,24,FALSE)</f>
        <v>198</v>
      </c>
      <c r="Z25" s="5">
        <f>VLOOKUP($A25,'NonXtal_SegEnds_Prot#'!$A:$AL,27,FALSE)</f>
        <v>206</v>
      </c>
      <c r="AA25" s="5">
        <f>VLOOKUP($A25,'NonXtal_SegEnds_Prot#'!$A:$AL,30,FALSE)</f>
        <v>249</v>
      </c>
      <c r="AB25" s="5">
        <f>VLOOKUP($A25,'NonXtal_SegEnds_Prot#'!$A:$AL,33,FALSE)</f>
        <v>293</v>
      </c>
      <c r="AC25" s="5">
        <f>VLOOKUP($A25,'NonXtal_SegEnds_Prot#'!$A:$AL,36,FALSE)</f>
        <v>322</v>
      </c>
      <c r="AD25" s="5">
        <f>VLOOKUP($A25,'NonXtal_SegEnds_Prot#'!$A:$AL,5,FALSE)</f>
        <v>77</v>
      </c>
      <c r="AE25" s="5">
        <f>VLOOKUP($A25,'NonXtal_SegEnds_Prot#'!$A:$AL,8,FALSE)</f>
        <v>81</v>
      </c>
      <c r="AF25" s="5">
        <f>VLOOKUP($A25,'NonXtal_SegEnds_Prot#'!$A:$AL,11,FALSE)</f>
        <v>111</v>
      </c>
      <c r="AG25" s="5">
        <f>VLOOKUP($A25,'NonXtal_SegEnds_Prot#'!$A:$AL,14,FALSE)</f>
        <v>116</v>
      </c>
      <c r="AH25" s="5">
        <f>VLOOKUP($A25,'NonXtal_SegEnds_Prot#'!$A:$AL,17,FALSE)</f>
        <v>152</v>
      </c>
      <c r="AI25" s="5">
        <f>VLOOKUP($A25,'NonXtal_SegEnds_Prot#'!$A:$AL,20,FALSE)</f>
        <v>160</v>
      </c>
      <c r="AJ25" s="5">
        <f>VLOOKUP($A25,'NonXtal_SegEnds_Prot#'!$A:$AL,23,FALSE)</f>
        <v>187</v>
      </c>
      <c r="AK25" s="5">
        <f>VLOOKUP($A25,'NonXtal_SegEnds_Prot#'!$A:$AL,26,FALSE)</f>
        <v>200</v>
      </c>
      <c r="AL25" s="5">
        <f>VLOOKUP($A25,'NonXtal_SegEnds_Prot#'!$A:$AL,29,FALSE)</f>
        <v>243</v>
      </c>
      <c r="AM25" s="5">
        <f>VLOOKUP($A25,'NonXtal_SegEnds_Prot#'!$A:$AL,32,FALSE)</f>
        <v>287</v>
      </c>
      <c r="AN25" s="5">
        <f>VLOOKUP($A25,'NonXtal_SegEnds_Prot#'!$A:$AL,35,FALSE)</f>
        <v>321</v>
      </c>
      <c r="AO25" s="5">
        <f>VLOOKUP($A25,'NonXtal_SegEnds_Prot#'!$A:$AL,38,FALSE)</f>
        <v>335</v>
      </c>
      <c r="AP25" s="5">
        <f t="shared" si="13"/>
        <v>36</v>
      </c>
      <c r="AQ25" s="4">
        <f t="shared" si="14"/>
        <v>3</v>
      </c>
      <c r="AR25" s="4">
        <f t="shared" si="15"/>
        <v>29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37</v>
      </c>
      <c r="AY25" s="4">
        <f t="shared" si="22"/>
        <v>38</v>
      </c>
      <c r="AZ25" s="4">
        <f t="shared" si="23"/>
        <v>28</v>
      </c>
      <c r="BA25" s="4">
        <f t="shared" si="24"/>
        <v>13</v>
      </c>
    </row>
    <row r="26" spans="1:53" x14ac:dyDescent="0.2">
      <c r="A26" s="1" t="str">
        <f>'NonXtal_SegEnds_Prot#'!A251</f>
        <v>oxer1_human</v>
      </c>
      <c r="B26" s="1" t="str">
        <f t="shared" si="0"/>
        <v>LVSAFLAPILALEFVLGLVGNSLALFIFCIHTSNTVFLVSLVAADFLLISNLPLRVDYYLLGAAACKVNLFMLSTNRTASVVFLTAIALNRYLKVVQVGAAARVAGGLWVGILLLNGHLLLSTKPSASLRWHQALYLLEFFLPLALILFAIVSIGLTIRNGQAGPQRAMRVLAMVVAVYTICFLPSIIFGMASMVALDLCTQLFHGSLAFTYLNSVLDPVLYCFSSPNFLHQSRALLG</v>
      </c>
      <c r="C26" s="72" t="str">
        <f>IF(ISERROR(MATCH(A26,'Xtal_SegEnds_Prot#'!B:B, 0)), "NoXtal", "Xtal")</f>
        <v>NoXtal</v>
      </c>
      <c r="D26" s="4" t="str">
        <f>VLOOKUP(A26,Classification!A:D,2,FALSE)</f>
        <v>A</v>
      </c>
      <c r="E26" s="5" t="str">
        <f>VLOOKUP(A26,Seqs!A:B,2,FALSE)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6" s="5" t="str">
        <f t="shared" si="1"/>
        <v>LVSAFLAPILALEFVLGLVGNSLALFIFCIH</v>
      </c>
      <c r="G26" s="4" t="str">
        <f t="shared" si="2"/>
        <v>TRPW</v>
      </c>
      <c r="H26" s="4" t="str">
        <f t="shared" si="3"/>
        <v>TSNTVFLVSLVAADFLLISNLPLRVDYYLL</v>
      </c>
      <c r="I26" s="4" t="str">
        <f t="shared" si="4"/>
        <v>TWRF</v>
      </c>
      <c r="J26" s="4" t="str">
        <f t="shared" si="5"/>
        <v>GAAACKVNLFMLSTNRTASVVFLTAIALNRYLKVVQ</v>
      </c>
      <c r="K26" s="4" t="str">
        <f t="shared" si="6"/>
        <v>PHHVLSRA</v>
      </c>
      <c r="L26" s="4" t="str">
        <f t="shared" si="7"/>
        <v>VGAAARVAGGLWVGILLLNGHLLLST</v>
      </c>
      <c r="M26" s="4" t="str">
        <f t="shared" si="8"/>
        <v>CLS</v>
      </c>
      <c r="N26" s="4" t="str">
        <f t="shared" si="9"/>
        <v>KPSASLRWHQALYLLEFFLPLALILFAIVSIGLTIRN</v>
      </c>
      <c r="O26" s="4" t="str">
        <f t="shared" si="10"/>
        <v>GQAGPQRAMRVLAMVVAVYTICFLPSIIFGMASMVA</v>
      </c>
      <c r="P26" s="4" t="str">
        <f t="shared" si="11"/>
        <v>LDLCTQLFHGSLAFTYLNSVLDPVLYCFS</v>
      </c>
      <c r="Q26" s="4" t="str">
        <f t="shared" si="12"/>
        <v>SPNFLHQSRALLG</v>
      </c>
      <c r="R26" s="5">
        <f>VLOOKUP($A26,'NonXtal_SegEnds_Prot#'!$A:$AL,3,FALSE)</f>
        <v>90</v>
      </c>
      <c r="S26" s="5">
        <f>VLOOKUP($A26,'NonXtal_SegEnds_Prot#'!$A:$AL,6,FALSE)</f>
        <v>121</v>
      </c>
      <c r="T26" s="5">
        <f>VLOOKUP($A26,'NonXtal_SegEnds_Prot#'!$A:$AL,9,FALSE)</f>
        <v>125</v>
      </c>
      <c r="U26" s="5">
        <f>VLOOKUP($A26,'NonXtal_SegEnds_Prot#'!$A:$AL,12,FALSE)</f>
        <v>157</v>
      </c>
      <c r="V26" s="5">
        <f>VLOOKUP($A26,'NonXtal_SegEnds_Prot#'!$A:$AL,15,FALSE)</f>
        <v>161</v>
      </c>
      <c r="W26" s="5">
        <f>VLOOKUP($A26,'NonXtal_SegEnds_Prot#'!$A:$AL,18,FALSE)</f>
        <v>197</v>
      </c>
      <c r="X26" s="5">
        <f>VLOOKUP($A26,'NonXtal_SegEnds_Prot#'!$A:$AL,21,FALSE)</f>
        <v>206</v>
      </c>
      <c r="Y26" s="5">
        <f>VLOOKUP($A26,'NonXtal_SegEnds_Prot#'!$A:$AL,24,FALSE)</f>
        <v>237</v>
      </c>
      <c r="Z26" s="5">
        <f>VLOOKUP($A26,'NonXtal_SegEnds_Prot#'!$A:$AL,27,FALSE)</f>
        <v>245</v>
      </c>
      <c r="AA26" s="5">
        <f>VLOOKUP($A26,'NonXtal_SegEnds_Prot#'!$A:$AL,30,FALSE)</f>
        <v>286</v>
      </c>
      <c r="AB26" s="5">
        <f>VLOOKUP($A26,'NonXtal_SegEnds_Prot#'!$A:$AL,33,FALSE)</f>
        <v>330</v>
      </c>
      <c r="AC26" s="5">
        <f>VLOOKUP($A26,'NonXtal_SegEnds_Prot#'!$A:$AL,36,FALSE)</f>
        <v>359</v>
      </c>
      <c r="AD26" s="5">
        <f>VLOOKUP($A26,'NonXtal_SegEnds_Prot#'!$A:$AL,5,FALSE)</f>
        <v>120</v>
      </c>
      <c r="AE26" s="5">
        <f>VLOOKUP($A26,'NonXtal_SegEnds_Prot#'!$A:$AL,8,FALSE)</f>
        <v>124</v>
      </c>
      <c r="AF26" s="5">
        <f>VLOOKUP($A26,'NonXtal_SegEnds_Prot#'!$A:$AL,11,FALSE)</f>
        <v>154</v>
      </c>
      <c r="AG26" s="5">
        <f>VLOOKUP($A26,'NonXtal_SegEnds_Prot#'!$A:$AL,14,FALSE)</f>
        <v>160</v>
      </c>
      <c r="AH26" s="5">
        <f>VLOOKUP($A26,'NonXtal_SegEnds_Prot#'!$A:$AL,17,FALSE)</f>
        <v>196</v>
      </c>
      <c r="AI26" s="5">
        <f>VLOOKUP($A26,'NonXtal_SegEnds_Prot#'!$A:$AL,20,FALSE)</f>
        <v>204</v>
      </c>
      <c r="AJ26" s="5">
        <f>VLOOKUP($A26,'NonXtal_SegEnds_Prot#'!$A:$AL,23,FALSE)</f>
        <v>231</v>
      </c>
      <c r="AK26" s="5">
        <f>VLOOKUP($A26,'NonXtal_SegEnds_Prot#'!$A:$AL,26,FALSE)</f>
        <v>239</v>
      </c>
      <c r="AL26" s="5">
        <f>VLOOKUP($A26,'NonXtal_SegEnds_Prot#'!$A:$AL,29,FALSE)</f>
        <v>281</v>
      </c>
      <c r="AM26" s="5">
        <f>VLOOKUP($A26,'NonXtal_SegEnds_Prot#'!$A:$AL,32,FALSE)</f>
        <v>321</v>
      </c>
      <c r="AN26" s="5">
        <f>VLOOKUP($A26,'NonXtal_SegEnds_Prot#'!$A:$AL,35,FALSE)</f>
        <v>358</v>
      </c>
      <c r="AO26" s="5">
        <f>VLOOKUP($A26,'NonXtal_SegEnds_Prot#'!$A:$AL,38,FALSE)</f>
        <v>371</v>
      </c>
      <c r="AP26" s="5">
        <f t="shared" si="13"/>
        <v>30</v>
      </c>
      <c r="AQ26" s="4">
        <f t="shared" si="14"/>
        <v>3</v>
      </c>
      <c r="AR26" s="4">
        <f t="shared" si="15"/>
        <v>29</v>
      </c>
      <c r="AS26" s="4">
        <f t="shared" si="16"/>
        <v>3</v>
      </c>
      <c r="AT26" s="4">
        <f t="shared" si="17"/>
        <v>35</v>
      </c>
      <c r="AU26" s="4">
        <f t="shared" si="18"/>
        <v>7</v>
      </c>
      <c r="AV26" s="4">
        <f t="shared" si="19"/>
        <v>25</v>
      </c>
      <c r="AW26" s="4">
        <f t="shared" si="20"/>
        <v>2</v>
      </c>
      <c r="AX26" s="4">
        <f t="shared" si="21"/>
        <v>36</v>
      </c>
      <c r="AY26" s="4">
        <f t="shared" si="22"/>
        <v>35</v>
      </c>
      <c r="AZ26" s="4">
        <f t="shared" si="23"/>
        <v>28</v>
      </c>
      <c r="BA26" s="4">
        <f t="shared" si="24"/>
        <v>12</v>
      </c>
    </row>
    <row r="27" spans="1:53" x14ac:dyDescent="0.2">
      <c r="A27" s="1" t="str">
        <f>'NonXtal_SegEnds_Prot#'!A262</f>
        <v>ssr2_human</v>
      </c>
      <c r="B27" s="1" t="str">
        <f t="shared" si="0"/>
        <v>LTSNAVLTFIYFVVCIIGLCGNTLVIYVILRYTITNIYILNLAIADELFMLGLPFLAMQVALGKAICRVVMTVDGINQFTSIFCLTVMSIDRYLAVVHPRTAKMITMAVWGVSLLVILPIMIYASGAWYTGFIIYTFILGFLVPLTIICLCYLFIIIKVKSSSSKRKKSEKKVTRMVSIVVAVFIFCWLPFYIFNVSSVSMTPALKGMFDFVVVLTYANSCANPILYAFLSDNFKKSFQNVLC</v>
      </c>
      <c r="C27" s="72" t="str">
        <f>IF(ISERROR(MATCH(A27,'Xtal_SegEnds_Prot#'!B:B, 0)), "NoXtal", "Xtal")</f>
        <v>NoXtal</v>
      </c>
      <c r="D27" s="4" t="str">
        <f>VLOOKUP(A27,Classification!A:D,2,FALSE)</f>
        <v>A</v>
      </c>
      <c r="E27" s="5" t="str">
        <f>VLOOKUP(A27,Seqs!A:B,2,FALSE)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7" s="5" t="str">
        <f t="shared" si="1"/>
        <v>LTSNAVLTFIYFVVCIIGLCGNTLVIYVILRY</v>
      </c>
      <c r="G27" s="4" t="str">
        <f t="shared" si="2"/>
        <v>AKMK</v>
      </c>
      <c r="H27" s="4" t="str">
        <f t="shared" si="3"/>
        <v>TITNIYILNLAIADELFMLGLPFLAMQVAL</v>
      </c>
      <c r="I27" s="4" t="str">
        <f t="shared" si="4"/>
        <v>HWPF</v>
      </c>
      <c r="J27" s="4" t="str">
        <f t="shared" si="5"/>
        <v>GKAICRVVMTVDGINQFTSIFCLTVMSIDRYLAVVH</v>
      </c>
      <c r="K27" s="4" t="str">
        <f t="shared" si="6"/>
        <v>PIKSAKWR</v>
      </c>
      <c r="L27" s="4" t="str">
        <f t="shared" si="7"/>
        <v>PRTAKMITMAVWGVSLLVILPIMIYA</v>
      </c>
      <c r="M27" s="4" t="str">
        <f t="shared" si="8"/>
        <v>CTI</v>
      </c>
      <c r="N27" s="4" t="str">
        <f t="shared" si="9"/>
        <v>SGAWYTGFIIYTFILGFLVPLTIICLCYLFIIIKVKSS</v>
      </c>
      <c r="O27" s="4" t="str">
        <f t="shared" si="10"/>
        <v>SSKRKKSEKKVTRMVSIVVAVFIFCWLPFYIFNVSSVSM</v>
      </c>
      <c r="P27" s="4" t="str">
        <f t="shared" si="11"/>
        <v>TPALKGMFDFVVVLTYANSCANPILYAFL</v>
      </c>
      <c r="Q27" s="4" t="str">
        <f t="shared" si="12"/>
        <v>SDNFKKSFQNVLC</v>
      </c>
      <c r="R27" s="5">
        <f>VLOOKUP($A27,'NonXtal_SegEnds_Prot#'!$A:$AL,3,FALSE)</f>
        <v>40</v>
      </c>
      <c r="S27" s="5">
        <f>VLOOKUP($A27,'NonXtal_SegEnds_Prot#'!$A:$AL,6,FALSE)</f>
        <v>72</v>
      </c>
      <c r="T27" s="5">
        <f>VLOOKUP($A27,'NonXtal_SegEnds_Prot#'!$A:$AL,9,FALSE)</f>
        <v>76</v>
      </c>
      <c r="U27" s="5">
        <f>VLOOKUP($A27,'NonXtal_SegEnds_Prot#'!$A:$AL,12,FALSE)</f>
        <v>107</v>
      </c>
      <c r="V27" s="5">
        <f>VLOOKUP($A27,'NonXtal_SegEnds_Prot#'!$A:$AL,15,FALSE)</f>
        <v>111</v>
      </c>
      <c r="W27" s="5">
        <f>VLOOKUP($A27,'NonXtal_SegEnds_Prot#'!$A:$AL,18,FALSE)</f>
        <v>147</v>
      </c>
      <c r="X27" s="5">
        <f>VLOOKUP($A27,'NonXtal_SegEnds_Prot#'!$A:$AL,21,FALSE)</f>
        <v>156</v>
      </c>
      <c r="Y27" s="5">
        <f>VLOOKUP($A27,'NonXtal_SegEnds_Prot#'!$A:$AL,24,FALSE)</f>
        <v>193</v>
      </c>
      <c r="Z27" s="5">
        <f>VLOOKUP($A27,'NonXtal_SegEnds_Prot#'!$A:$AL,27,FALSE)</f>
        <v>201</v>
      </c>
      <c r="AA27" s="5">
        <f>VLOOKUP($A27,'NonXtal_SegEnds_Prot#'!$A:$AL,30,FALSE)</f>
        <v>244</v>
      </c>
      <c r="AB27" s="5">
        <f>VLOOKUP($A27,'NonXtal_SegEnds_Prot#'!$A:$AL,33,FALSE)</f>
        <v>287</v>
      </c>
      <c r="AC27" s="5">
        <f>VLOOKUP($A27,'NonXtal_SegEnds_Prot#'!$A:$AL,36,FALSE)</f>
        <v>316</v>
      </c>
      <c r="AD27" s="5">
        <f>VLOOKUP($A27,'NonXtal_SegEnds_Prot#'!$A:$AL,5,FALSE)</f>
        <v>71</v>
      </c>
      <c r="AE27" s="5">
        <f>VLOOKUP($A27,'NonXtal_SegEnds_Prot#'!$A:$AL,8,FALSE)</f>
        <v>75</v>
      </c>
      <c r="AF27" s="5">
        <f>VLOOKUP($A27,'NonXtal_SegEnds_Prot#'!$A:$AL,11,FALSE)</f>
        <v>105</v>
      </c>
      <c r="AG27" s="5">
        <f>VLOOKUP($A27,'NonXtal_SegEnds_Prot#'!$A:$AL,14,FALSE)</f>
        <v>110</v>
      </c>
      <c r="AH27" s="5">
        <f>VLOOKUP($A27,'NonXtal_SegEnds_Prot#'!$A:$AL,17,FALSE)</f>
        <v>146</v>
      </c>
      <c r="AI27" s="5">
        <f>VLOOKUP($A27,'NonXtal_SegEnds_Prot#'!$A:$AL,20,FALSE)</f>
        <v>154</v>
      </c>
      <c r="AJ27" s="5">
        <f>VLOOKUP($A27,'NonXtal_SegEnds_Prot#'!$A:$AL,23,FALSE)</f>
        <v>181</v>
      </c>
      <c r="AK27" s="5">
        <f>VLOOKUP($A27,'NonXtal_SegEnds_Prot#'!$A:$AL,26,FALSE)</f>
        <v>195</v>
      </c>
      <c r="AL27" s="5">
        <f>VLOOKUP($A27,'NonXtal_SegEnds_Prot#'!$A:$AL,29,FALSE)</f>
        <v>238</v>
      </c>
      <c r="AM27" s="5">
        <f>VLOOKUP($A27,'NonXtal_SegEnds_Prot#'!$A:$AL,32,FALSE)</f>
        <v>282</v>
      </c>
      <c r="AN27" s="5">
        <f>VLOOKUP($A27,'NonXtal_SegEnds_Prot#'!$A:$AL,35,FALSE)</f>
        <v>315</v>
      </c>
      <c r="AO27" s="5">
        <f>VLOOKUP($A27,'NonXtal_SegEnds_Prot#'!$A:$AL,38,FALSE)</f>
        <v>328</v>
      </c>
      <c r="AP27" s="5">
        <f t="shared" si="13"/>
        <v>31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>
        <f t="shared" si="18"/>
        <v>7</v>
      </c>
      <c r="AV27" s="4">
        <f t="shared" si="19"/>
        <v>25</v>
      </c>
      <c r="AW27" s="4">
        <f t="shared" si="20"/>
        <v>2</v>
      </c>
      <c r="AX27" s="4">
        <f t="shared" si="21"/>
        <v>37</v>
      </c>
      <c r="AY27" s="4">
        <f t="shared" si="22"/>
        <v>38</v>
      </c>
      <c r="AZ27" s="4">
        <f t="shared" si="23"/>
        <v>28</v>
      </c>
      <c r="BA27" s="4">
        <f t="shared" si="24"/>
        <v>12</v>
      </c>
    </row>
    <row r="28" spans="1:53" x14ac:dyDescent="0.2">
      <c r="A28" s="1" t="str">
        <f>'NonXtal_SegEnds_Prot#'!A276</f>
        <v>trfr_human</v>
      </c>
      <c r="B28" s="1" t="str">
        <f t="shared" si="0"/>
        <v>LEYQVVTILLVLIICGLGIVGNIMVVLVVMRTTPTNCYLVSLAVADLMVLVAAGLPNITDSIGYVGCLCITYLQYLGINASSCSITAFTIERYIAICHFSRAKKIIIFVWAFTSLYCMLWFFLLSRNYYSPIYLMDFGVFYVVPMILATVLYGFIARILFLNPIPSDPKENSTVSSRKQVTKMLAVVVILFALLWMPYRTLVVVNSFLENWFLLFCRICIYLNSAINPVIYNLMSQKFRAAFRKLCN</v>
      </c>
      <c r="C28" s="72" t="str">
        <f>IF(ISERROR(MATCH(A28,'Xtal_SegEnds_Prot#'!B:B, 0)), "NoXtal", "Xtal")</f>
        <v>NoXtal</v>
      </c>
      <c r="D28" s="4" t="str">
        <f>VLOOKUP(A28,Classification!A:D,2,FALSE)</f>
        <v>A</v>
      </c>
      <c r="E28" s="5" t="str">
        <f>VLOOKUP(A28,Seqs!A:B,2,FALSE)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8" s="5" t="str">
        <f t="shared" si="1"/>
        <v>LEYQVVTILLVLIICGLGIVGNIMVVLVVMRT</v>
      </c>
      <c r="G28" s="4" t="str">
        <f t="shared" si="2"/>
        <v>KHMR</v>
      </c>
      <c r="H28" s="4" t="str">
        <f t="shared" si="3"/>
        <v>TPTNCYLVSLAVADLMVLVAAGLPNITDSI</v>
      </c>
      <c r="I28" s="4" t="str">
        <f t="shared" si="4"/>
        <v>SWVY</v>
      </c>
      <c r="J28" s="4" t="str">
        <f t="shared" si="5"/>
        <v>GYVGCLCITYLQYLGINASSCSITAFTIERYIAICH</v>
      </c>
      <c r="K28" s="4" t="str">
        <f t="shared" si="6"/>
        <v>PIKAQFLC</v>
      </c>
      <c r="L28" s="4" t="str">
        <f t="shared" si="7"/>
        <v>FSRAKKIIIFVWAFTSLYCMLWFFLL</v>
      </c>
      <c r="M28" s="4" t="str">
        <f t="shared" si="8"/>
        <v>CGY</v>
      </c>
      <c r="N28" s="4" t="str">
        <f t="shared" si="9"/>
        <v>SRNYYSPIYLMDFGVFYVVPMILATVLYGFIARILFLNPIPSDPKE</v>
      </c>
      <c r="O28" s="4" t="str">
        <f t="shared" si="10"/>
        <v>NSTVSSRKQVTKMLAVVVILFALLWMPYRTLVVVNSFL</v>
      </c>
      <c r="P28" s="4" t="str">
        <f t="shared" si="11"/>
        <v>ENWFLLFCRICIYLNSAINPVIYNLM</v>
      </c>
      <c r="Q28" s="4" t="str">
        <f t="shared" si="12"/>
        <v>SQKFRAAFRKLCN</v>
      </c>
      <c r="R28" s="5">
        <f>VLOOKUP($A28,'NonXtal_SegEnds_Prot#'!$A:$AL,3,FALSE)</f>
        <v>22</v>
      </c>
      <c r="S28" s="5">
        <f>VLOOKUP($A28,'NonXtal_SegEnds_Prot#'!$A:$AL,6,FALSE)</f>
        <v>54</v>
      </c>
      <c r="T28" s="5">
        <f>VLOOKUP($A28,'NonXtal_SegEnds_Prot#'!$A:$AL,9,FALSE)</f>
        <v>58</v>
      </c>
      <c r="U28" s="5">
        <f>VLOOKUP($A28,'NonXtal_SegEnds_Prot#'!$A:$AL,12,FALSE)</f>
        <v>90</v>
      </c>
      <c r="V28" s="5">
        <f>VLOOKUP($A28,'NonXtal_SegEnds_Prot#'!$A:$AL,15,FALSE)</f>
        <v>94</v>
      </c>
      <c r="W28" s="5">
        <f>VLOOKUP($A28,'NonXtal_SegEnds_Prot#'!$A:$AL,18,FALSE)</f>
        <v>130</v>
      </c>
      <c r="X28" s="5">
        <f>VLOOKUP($A28,'NonXtal_SegEnds_Prot#'!$A:$AL,21,FALSE)</f>
        <v>139</v>
      </c>
      <c r="Y28" s="5">
        <f>VLOOKUP($A28,'NonXtal_SegEnds_Prot#'!$A:$AL,24,FALSE)</f>
        <v>179</v>
      </c>
      <c r="Z28" s="5">
        <f>VLOOKUP($A28,'NonXtal_SegEnds_Prot#'!$A:$AL,27,FALSE)</f>
        <v>184</v>
      </c>
      <c r="AA28" s="5">
        <f>VLOOKUP($A28,'NonXtal_SegEnds_Prot#'!$A:$AL,30,FALSE)</f>
        <v>255</v>
      </c>
      <c r="AB28" s="5">
        <f>VLOOKUP($A28,'NonXtal_SegEnds_Prot#'!$A:$AL,33,FALSE)</f>
        <v>298</v>
      </c>
      <c r="AC28" s="5">
        <f>VLOOKUP($A28,'NonXtal_SegEnds_Prot#'!$A:$AL,36,FALSE)</f>
        <v>324</v>
      </c>
      <c r="AD28" s="5">
        <f>VLOOKUP($A28,'NonXtal_SegEnds_Prot#'!$A:$AL,5,FALSE)</f>
        <v>53</v>
      </c>
      <c r="AE28" s="5">
        <f>VLOOKUP($A28,'NonXtal_SegEnds_Prot#'!$A:$AL,8,FALSE)</f>
        <v>57</v>
      </c>
      <c r="AF28" s="5">
        <f>VLOOKUP($A28,'NonXtal_SegEnds_Prot#'!$A:$AL,11,FALSE)</f>
        <v>87</v>
      </c>
      <c r="AG28" s="5">
        <f>VLOOKUP($A28,'NonXtal_SegEnds_Prot#'!$A:$AL,14,FALSE)</f>
        <v>93</v>
      </c>
      <c r="AH28" s="5">
        <f>VLOOKUP($A28,'NonXtal_SegEnds_Prot#'!$A:$AL,17,FALSE)</f>
        <v>129</v>
      </c>
      <c r="AI28" s="5">
        <f>VLOOKUP($A28,'NonXtal_SegEnds_Prot#'!$A:$AL,20,FALSE)</f>
        <v>137</v>
      </c>
      <c r="AJ28" s="5">
        <f>VLOOKUP($A28,'NonXtal_SegEnds_Prot#'!$A:$AL,23,FALSE)</f>
        <v>164</v>
      </c>
      <c r="AK28" s="5">
        <f>VLOOKUP($A28,'NonXtal_SegEnds_Prot#'!$A:$AL,26,FALSE)</f>
        <v>181</v>
      </c>
      <c r="AL28" s="5">
        <f>VLOOKUP($A28,'NonXtal_SegEnds_Prot#'!$A:$AL,29,FALSE)</f>
        <v>229</v>
      </c>
      <c r="AM28" s="5">
        <f>VLOOKUP($A28,'NonXtal_SegEnds_Prot#'!$A:$AL,32,FALSE)</f>
        <v>292</v>
      </c>
      <c r="AN28" s="5">
        <f>VLOOKUP($A28,'NonXtal_SegEnds_Prot#'!$A:$AL,35,FALSE)</f>
        <v>323</v>
      </c>
      <c r="AO28" s="5">
        <f>VLOOKUP($A28,'NonXtal_SegEnds_Prot#'!$A:$AL,38,FALSE)</f>
        <v>336</v>
      </c>
      <c r="AP28" s="5">
        <f t="shared" si="13"/>
        <v>31</v>
      </c>
      <c r="AQ28" s="4">
        <f t="shared" si="14"/>
        <v>3</v>
      </c>
      <c r="AR28" s="4">
        <f t="shared" si="15"/>
        <v>29</v>
      </c>
      <c r="AS28" s="4">
        <f t="shared" si="16"/>
        <v>3</v>
      </c>
      <c r="AT28" s="4">
        <f t="shared" si="17"/>
        <v>35</v>
      </c>
      <c r="AU28" s="4">
        <f t="shared" si="18"/>
        <v>7</v>
      </c>
      <c r="AV28" s="4">
        <f t="shared" si="19"/>
        <v>25</v>
      </c>
      <c r="AW28" s="4">
        <f t="shared" si="20"/>
        <v>2</v>
      </c>
      <c r="AX28" s="4">
        <f t="shared" si="21"/>
        <v>45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">
      <c r="A29" s="1" t="str">
        <f>'NonXtal_SegEnds_Prot#'!A293</f>
        <v>ox1r_human</v>
      </c>
      <c r="B29" s="1" t="str">
        <f t="shared" si="0"/>
        <v>EWVLIAAYVAVFVVALVGNTLVCLAVWRNTVTNYFIVNLSLADVLVTAICLPASLLVDITGHALCKVIPYLQAVSVSVAVLTLSFIALDRWYAICHARRARGSILGIWAVSLAIMVPQAAVMDLYPKIYHSCFFIVTYLAPLGLMAMAYFQIFRKLWGRQIPFLAEVKQMRARRKTAKMLMVVLLVFALCYLPISVLNVLKRVFREAVYACFTFSHWLVYANSAANPIIYNFLSGKFREQFKAAF</v>
      </c>
      <c r="C29" s="72" t="str">
        <f>IF(ISERROR(MATCH(A29,'Xtal_SegEnds_Prot#'!B:B, 0)), "NoXtal", "Xtal")</f>
        <v>Xtal</v>
      </c>
      <c r="D29" s="4" t="str">
        <f>VLOOKUP(A29,Classification!A:D,2,FALSE)</f>
        <v>A</v>
      </c>
      <c r="E29" s="5" t="str">
        <f>VLOOKUP(A29,Seqs!A:B,2,FALSE)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29" s="5" t="str">
        <f t="shared" si="1"/>
        <v>EWVLIAAYVAVFVVALVGNTLVCLAVWRN</v>
      </c>
      <c r="G29" s="4" t="str">
        <f t="shared" si="2"/>
        <v>HHMR</v>
      </c>
      <c r="H29" s="4" t="str">
        <f t="shared" si="3"/>
        <v>TVTNYFIVNLSLADVLVTAICLPASLLVDIT</v>
      </c>
      <c r="I29" s="4" t="str">
        <f t="shared" si="4"/>
        <v>SWLF</v>
      </c>
      <c r="J29" s="4" t="str">
        <f t="shared" si="5"/>
        <v>GHALCKVIPYLQAVSVSVAVLTLSFIALDRWYAICH</v>
      </c>
      <c r="K29" s="4" t="str">
        <f t="shared" si="6"/>
        <v>PLLFKST</v>
      </c>
      <c r="L29" s="4" t="str">
        <f t="shared" si="7"/>
        <v>ARRARGSILGIWAVSLAIMVPQAAVM</v>
      </c>
      <c r="M29" s="4" t="str">
        <f t="shared" si="8"/>
        <v>CDE</v>
      </c>
      <c r="N29" s="4" t="str">
        <f t="shared" si="9"/>
        <v>DLYPKIYHSCFFIVTYLAPLGLMAMAYFQIFRKLWGRQIP</v>
      </c>
      <c r="O29" s="4" t="str">
        <f t="shared" si="10"/>
        <v>FLAEVKQMRARRKTAKMLMVVLLVFALCYLPISVLNVLKRVF</v>
      </c>
      <c r="P29" s="4" t="str">
        <f t="shared" si="11"/>
        <v>REAVYACFTFSHWLVYANSAANPIIYNFL</v>
      </c>
      <c r="Q29" s="4" t="str">
        <f t="shared" si="12"/>
        <v>SGKFREQFKAAF</v>
      </c>
      <c r="R29" s="5">
        <f>VLOOKUP($A29,'NonXtal_SegEnds_Prot#'!$A:$AL,3,FALSE)</f>
        <v>46</v>
      </c>
      <c r="S29" s="5">
        <f>VLOOKUP($A29,'NonXtal_SegEnds_Prot#'!$A:$AL,6,FALSE)</f>
        <v>75</v>
      </c>
      <c r="T29" s="5">
        <f>VLOOKUP($A29,'NonXtal_SegEnds_Prot#'!$A:$AL,9,FALSE)</f>
        <v>79</v>
      </c>
      <c r="U29" s="5">
        <f>VLOOKUP($A29,'NonXtal_SegEnds_Prot#'!$A:$AL,12,FALSE)</f>
        <v>111</v>
      </c>
      <c r="V29" s="5">
        <f>VLOOKUP($A29,'NonXtal_SegEnds_Prot#'!$A:$AL,15,FALSE)</f>
        <v>115</v>
      </c>
      <c r="W29" s="5">
        <f>VLOOKUP($A29,'NonXtal_SegEnds_Prot#'!$A:$AL,18,FALSE)</f>
        <v>151</v>
      </c>
      <c r="X29" s="5">
        <f>VLOOKUP($A29,'NonXtal_SegEnds_Prot#'!$A:$AL,21,FALSE)</f>
        <v>158</v>
      </c>
      <c r="Y29" s="5">
        <f>VLOOKUP($A29,'NonXtal_SegEnds_Prot#'!$A:$AL,24,FALSE)</f>
        <v>202</v>
      </c>
      <c r="Z29" s="5">
        <f>VLOOKUP($A29,'NonXtal_SegEnds_Prot#'!$A:$AL,27,FALSE)</f>
        <v>209</v>
      </c>
      <c r="AA29" s="5">
        <f>VLOOKUP($A29,'NonXtal_SegEnds_Prot#'!$A:$AL,30,FALSE)</f>
        <v>283</v>
      </c>
      <c r="AB29" s="5">
        <f>VLOOKUP($A29,'NonXtal_SegEnds_Prot#'!$A:$AL,33,FALSE)</f>
        <v>333</v>
      </c>
      <c r="AC29" s="5">
        <f>VLOOKUP($A29,'NonXtal_SegEnds_Prot#'!$A:$AL,36,FALSE)</f>
        <v>362</v>
      </c>
      <c r="AD29" s="5">
        <f>VLOOKUP($A29,'NonXtal_SegEnds_Prot#'!$A:$AL,5,FALSE)</f>
        <v>74</v>
      </c>
      <c r="AE29" s="5">
        <f>VLOOKUP($A29,'NonXtal_SegEnds_Prot#'!$A:$AL,8,FALSE)</f>
        <v>78</v>
      </c>
      <c r="AF29" s="5">
        <f>VLOOKUP($A29,'NonXtal_SegEnds_Prot#'!$A:$AL,11,FALSE)</f>
        <v>109</v>
      </c>
      <c r="AG29" s="5">
        <f>VLOOKUP($A29,'NonXtal_SegEnds_Prot#'!$A:$AL,14,FALSE)</f>
        <v>114</v>
      </c>
      <c r="AH29" s="5">
        <f>VLOOKUP($A29,'NonXtal_SegEnds_Prot#'!$A:$AL,17,FALSE)</f>
        <v>150</v>
      </c>
      <c r="AI29" s="5">
        <f>VLOOKUP($A29,'NonXtal_SegEnds_Prot#'!$A:$AL,20,FALSE)</f>
        <v>157</v>
      </c>
      <c r="AJ29" s="5">
        <f>VLOOKUP($A29,'NonXtal_SegEnds_Prot#'!$A:$AL,23,FALSE)</f>
        <v>183</v>
      </c>
      <c r="AK29" s="5">
        <f>VLOOKUP($A29,'NonXtal_SegEnds_Prot#'!$A:$AL,26,FALSE)</f>
        <v>204</v>
      </c>
      <c r="AL29" s="5">
        <f>VLOOKUP($A29,'NonXtal_SegEnds_Prot#'!$A:$AL,29,FALSE)</f>
        <v>248</v>
      </c>
      <c r="AM29" s="5">
        <f>VLOOKUP($A29,'NonXtal_SegEnds_Prot#'!$A:$AL,32,FALSE)</f>
        <v>324</v>
      </c>
      <c r="AN29" s="5">
        <f>VLOOKUP($A29,'NonXtal_SegEnds_Prot#'!$A:$AL,35,FALSE)</f>
        <v>361</v>
      </c>
      <c r="AO29" s="5">
        <f>VLOOKUP($A29,'NonXtal_SegEnds_Prot#'!$A:$AL,38,FALSE)</f>
        <v>373</v>
      </c>
      <c r="AP29" s="5">
        <f t="shared" si="13"/>
        <v>28</v>
      </c>
      <c r="AQ29" s="4">
        <f t="shared" si="14"/>
        <v>3</v>
      </c>
      <c r="AR29" s="4">
        <f t="shared" si="15"/>
        <v>30</v>
      </c>
      <c r="AS29" s="4">
        <f t="shared" si="16"/>
        <v>3</v>
      </c>
      <c r="AT29" s="4">
        <f t="shared" si="17"/>
        <v>35</v>
      </c>
      <c r="AU29" s="4">
        <f t="shared" si="18"/>
        <v>6</v>
      </c>
      <c r="AV29" s="4">
        <f t="shared" si="19"/>
        <v>25</v>
      </c>
      <c r="AW29" s="4">
        <f t="shared" si="20"/>
        <v>2</v>
      </c>
      <c r="AX29" s="4">
        <f t="shared" si="21"/>
        <v>39</v>
      </c>
      <c r="AY29" s="4">
        <f t="shared" si="22"/>
        <v>41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'NonXtal_SegEnds_Prot#'!A318</f>
        <v>mtr1b_human</v>
      </c>
      <c r="B30" s="1" t="str">
        <f t="shared" si="0"/>
        <v>VAPALSAVLIVTTAVDVVGNLLVILSVLRNNAGNLFLVSLALADLVVAFYPYPLILVAIFYGEEHCKASAFVMGLSVIGSVFNITAIAINRYCYICHRWHTPLHICLIWLLTVVALLPNFFVGSTQYTAAVVVIHFLLPIAVVSFCYLRIWVLVLQARRKALCLKPSDLRSFLTMFVVFVIFAICWAPLNCIGLAVAINPQIPEGLFVTSYLLAYFNSCLNAIVYGLLNQNFRREYKRIL</v>
      </c>
      <c r="C30" s="72" t="str">
        <f>IF(ISERROR(MATCH(A30,'Xtal_SegEnds_Prot#'!B:B, 0)), "NoXtal", "Xtal")</f>
        <v>NoXtal</v>
      </c>
      <c r="D30" s="4" t="str">
        <f>VLOOKUP(A30,Classification!A:D,2,FALSE)</f>
        <v>A</v>
      </c>
      <c r="E30" s="5" t="str">
        <f>VLOOKUP(A30,Seqs!A:B,2,FALSE)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30" s="5" t="str">
        <f t="shared" si="1"/>
        <v>VAPALSAVLIVTTAVDVVGNLLVILSVLRN</v>
      </c>
      <c r="G30" s="4" t="str">
        <f t="shared" si="2"/>
        <v>RKLR</v>
      </c>
      <c r="H30" s="4" t="str">
        <f t="shared" si="3"/>
        <v>NAGNLFLVSLALADLVVAFYPYPLILVAIFY</v>
      </c>
      <c r="I30" s="4" t="str">
        <f t="shared" si="4"/>
        <v>GWAL</v>
      </c>
      <c r="J30" s="4" t="str">
        <f t="shared" si="5"/>
        <v>GEEHCKASAFVMGLSVIGSVFNITAIAINRYCYICH</v>
      </c>
      <c r="K30" s="4" t="str">
        <f t="shared" si="6"/>
        <v>SMAYHRIY</v>
      </c>
      <c r="L30" s="4" t="str">
        <f t="shared" si="7"/>
        <v>RWHTPLHICLIWLLTVVALLPNFFVG</v>
      </c>
      <c r="M30" s="4" t="str">
        <f t="shared" si="8"/>
        <v>CTF</v>
      </c>
      <c r="N30" s="4" t="str">
        <f t="shared" si="9"/>
        <v>STQYTAAVVVIHFLLPIAVVSFCYLRIWVLVLQARRKA</v>
      </c>
      <c r="O30" s="4" t="str">
        <f t="shared" si="10"/>
        <v>LCLKPSDLRSFLTMFVVFVIFAICWAPLNCIGLAVAIN</v>
      </c>
      <c r="P30" s="4" t="str">
        <f t="shared" si="11"/>
        <v>PQIPEGLFVTSYLLAYFNSCLNAIVYGLL</v>
      </c>
      <c r="Q30" s="4" t="str">
        <f t="shared" si="12"/>
        <v>NQNFRREYKRIL</v>
      </c>
      <c r="R30" s="5">
        <f>VLOOKUP($A30,'NonXtal_SegEnds_Prot#'!$A:$AL,3,FALSE)</f>
        <v>39</v>
      </c>
      <c r="S30" s="5">
        <f>VLOOKUP($A30,'NonXtal_SegEnds_Prot#'!$A:$AL,6,FALSE)</f>
        <v>69</v>
      </c>
      <c r="T30" s="5">
        <f>VLOOKUP($A30,'NonXtal_SegEnds_Prot#'!$A:$AL,9,FALSE)</f>
        <v>73</v>
      </c>
      <c r="U30" s="5">
        <f>VLOOKUP($A30,'NonXtal_SegEnds_Prot#'!$A:$AL,12,FALSE)</f>
        <v>105</v>
      </c>
      <c r="V30" s="5">
        <f>VLOOKUP($A30,'NonXtal_SegEnds_Prot#'!$A:$AL,15,FALSE)</f>
        <v>109</v>
      </c>
      <c r="W30" s="5">
        <f>VLOOKUP($A30,'NonXtal_SegEnds_Prot#'!$A:$AL,18,FALSE)</f>
        <v>145</v>
      </c>
      <c r="X30" s="5">
        <f>VLOOKUP($A30,'NonXtal_SegEnds_Prot#'!$A:$AL,21,FALSE)</f>
        <v>154</v>
      </c>
      <c r="Y30" s="5">
        <f>VLOOKUP($A30,'NonXtal_SegEnds_Prot#'!$A:$AL,24,FALSE)</f>
        <v>190</v>
      </c>
      <c r="Z30" s="5">
        <f>VLOOKUP($A30,'NonXtal_SegEnds_Prot#'!$A:$AL,27,FALSE)</f>
        <v>197</v>
      </c>
      <c r="AA30" s="5">
        <f>VLOOKUP($A30,'NonXtal_SegEnds_Prot#'!$A:$AL,30,FALSE)</f>
        <v>240</v>
      </c>
      <c r="AB30" s="5">
        <f>VLOOKUP($A30,'NonXtal_SegEnds_Prot#'!$A:$AL,33,FALSE)</f>
        <v>283</v>
      </c>
      <c r="AC30" s="5">
        <f>VLOOKUP($A30,'NonXtal_SegEnds_Prot#'!$A:$AL,36,FALSE)</f>
        <v>312</v>
      </c>
      <c r="AD30" s="5">
        <f>VLOOKUP($A30,'NonXtal_SegEnds_Prot#'!$A:$AL,5,FALSE)</f>
        <v>68</v>
      </c>
      <c r="AE30" s="5">
        <f>VLOOKUP($A30,'NonXtal_SegEnds_Prot#'!$A:$AL,8,FALSE)</f>
        <v>72</v>
      </c>
      <c r="AF30" s="5">
        <f>VLOOKUP($A30,'NonXtal_SegEnds_Prot#'!$A:$AL,11,FALSE)</f>
        <v>103</v>
      </c>
      <c r="AG30" s="5">
        <f>VLOOKUP($A30,'NonXtal_SegEnds_Prot#'!$A:$AL,14,FALSE)</f>
        <v>108</v>
      </c>
      <c r="AH30" s="5">
        <f>VLOOKUP($A30,'NonXtal_SegEnds_Prot#'!$A:$AL,17,FALSE)</f>
        <v>144</v>
      </c>
      <c r="AI30" s="5">
        <f>VLOOKUP($A30,'NonXtal_SegEnds_Prot#'!$A:$AL,20,FALSE)</f>
        <v>152</v>
      </c>
      <c r="AJ30" s="5">
        <f>VLOOKUP($A30,'NonXtal_SegEnds_Prot#'!$A:$AL,23,FALSE)</f>
        <v>179</v>
      </c>
      <c r="AK30" s="5">
        <f>VLOOKUP($A30,'NonXtal_SegEnds_Prot#'!$A:$AL,26,FALSE)</f>
        <v>192</v>
      </c>
      <c r="AL30" s="5">
        <f>VLOOKUP($A30,'NonXtal_SegEnds_Prot#'!$A:$AL,29,FALSE)</f>
        <v>234</v>
      </c>
      <c r="AM30" s="5">
        <f>VLOOKUP($A30,'NonXtal_SegEnds_Prot#'!$A:$AL,32,FALSE)</f>
        <v>277</v>
      </c>
      <c r="AN30" s="5">
        <f>VLOOKUP($A30,'NonXtal_SegEnds_Prot#'!$A:$AL,35,FALSE)</f>
        <v>311</v>
      </c>
      <c r="AO30" s="5">
        <f>VLOOKUP($A30,'NonXtal_SegEnds_Prot#'!$A:$AL,38,FALSE)</f>
        <v>323</v>
      </c>
      <c r="AP30" s="5">
        <f t="shared" si="13"/>
        <v>29</v>
      </c>
      <c r="AQ30" s="4">
        <f t="shared" si="14"/>
        <v>3</v>
      </c>
      <c r="AR30" s="4">
        <f t="shared" si="15"/>
        <v>30</v>
      </c>
      <c r="AS30" s="4">
        <f t="shared" si="16"/>
        <v>3</v>
      </c>
      <c r="AT30" s="4">
        <f t="shared" si="17"/>
        <v>35</v>
      </c>
      <c r="AU30" s="4">
        <f t="shared" si="18"/>
        <v>7</v>
      </c>
      <c r="AV30" s="4">
        <f t="shared" si="19"/>
        <v>25</v>
      </c>
      <c r="AW30" s="4">
        <f t="shared" si="20"/>
        <v>2</v>
      </c>
      <c r="AX30" s="4">
        <f t="shared" si="21"/>
        <v>37</v>
      </c>
      <c r="AY30" s="4">
        <f t="shared" si="22"/>
        <v>37</v>
      </c>
      <c r="AZ30" s="4">
        <f t="shared" si="23"/>
        <v>28</v>
      </c>
      <c r="BA30" s="4">
        <f t="shared" si="24"/>
        <v>11</v>
      </c>
    </row>
    <row r="31" spans="1:53" x14ac:dyDescent="0.2">
      <c r="A31" s="1" t="str">
        <f>'NonXtal_SegEnds_Prot#'!A324</f>
        <v>gp153_human</v>
      </c>
      <c r="B31" s="1" t="str">
        <f t="shared" si="0"/>
        <v>RLPGSAVGWLVCGGLSLLANAWGILSVGAKKPLEFLLCTLAATHMLNVAVPIATYSVVQLRNEGLCKVFVSTFYTLTLATCFSVTSLSYHRMWMVCWKKQAVHTVMGIWMVSFILSALPAVGGLGFGVCFLLLVGGSVAMGVICTAIALFQTLAVQVGRQADRREPAKTSLQTTGLVTTIVFIYDCLMGFPVLVVSFSSLRAPWMALCVLWCSVAQALLLPVFLWACDRYRADLKAVR</v>
      </c>
      <c r="C31" s="72" t="str">
        <f>IF(ISERROR(MATCH(A31,'Xtal_SegEnds_Prot#'!B:B, 0)), "NoXtal", "Xtal")</f>
        <v>NoXtal</v>
      </c>
      <c r="D31" s="4" t="str">
        <f>VLOOKUP(A31,Classification!A:D,2,FALSE)</f>
        <v>A</v>
      </c>
      <c r="E31" s="5" t="str">
        <f>VLOOKUP(A31,Seqs!A:B,2,FALSE)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31" s="5" t="str">
        <f t="shared" si="1"/>
        <v>RLPGSAVGWLVCGGLSLLANAWGILSVGAK</v>
      </c>
      <c r="G31" s="4" t="str">
        <f t="shared" si="2"/>
        <v>QKKW</v>
      </c>
      <c r="H31" s="4" t="str">
        <f t="shared" si="3"/>
        <v>KPLEFLLCTLAATHMLNVAVPIATYSVVQLR</v>
      </c>
      <c r="I31" s="4" t="str">
        <f t="shared" si="4"/>
        <v>DFEW</v>
      </c>
      <c r="J31" s="4" t="str">
        <f t="shared" si="5"/>
        <v>NEGLCKVFVSTFYTLTLATCFSVTSLSYHRMWMVCW</v>
      </c>
      <c r="K31" s="4" t="str">
        <f t="shared" si="6"/>
        <v>PVNYRLSN</v>
      </c>
      <c r="L31" s="4" t="str">
        <f t="shared" si="7"/>
        <v>KKQAVHTVMGIWMVSFILSALPAVG</v>
      </c>
      <c r="M31" s="4" t="str">
        <f t="shared" si="8"/>
        <v>CRF</v>
      </c>
      <c r="N31" s="4" t="str">
        <f t="shared" si="9"/>
        <v>GLGFGVCFLLLVGGSVAMGVICTAIALFQTLAVQVGRQADRR</v>
      </c>
      <c r="O31" s="4" t="str">
        <f t="shared" si="10"/>
        <v>EPAKTSLQTTGLVTTIVFIYDCLMGFPVLVVSFSSLRA</v>
      </c>
      <c r="P31" s="4" t="str">
        <f t="shared" si="11"/>
        <v>PWMALCVLWCSVAQALLLPVFLWA</v>
      </c>
      <c r="Q31" s="4" t="str">
        <f t="shared" si="12"/>
        <v>CDRYRADLKAVR</v>
      </c>
      <c r="R31" s="5">
        <f>VLOOKUP($A31,'NonXtal_SegEnds_Prot#'!$A:$AL,3,FALSE)</f>
        <v>6</v>
      </c>
      <c r="S31" s="5">
        <f>VLOOKUP($A31,'NonXtal_SegEnds_Prot#'!$A:$AL,6,FALSE)</f>
        <v>36</v>
      </c>
      <c r="T31" s="5">
        <f>VLOOKUP($A31,'NonXtal_SegEnds_Prot#'!$A:$AL,9,FALSE)</f>
        <v>40</v>
      </c>
      <c r="U31" s="5">
        <f>VLOOKUP($A31,'NonXtal_SegEnds_Prot#'!$A:$AL,12,FALSE)</f>
        <v>75</v>
      </c>
      <c r="V31" s="5">
        <f>VLOOKUP($A31,'NonXtal_SegEnds_Prot#'!$A:$AL,15,FALSE)</f>
        <v>79</v>
      </c>
      <c r="W31" s="5">
        <f>VLOOKUP($A31,'NonXtal_SegEnds_Prot#'!$A:$AL,18,FALSE)</f>
        <v>115</v>
      </c>
      <c r="X31" s="5">
        <f>VLOOKUP($A31,'NonXtal_SegEnds_Prot#'!$A:$AL,21,FALSE)</f>
        <v>124</v>
      </c>
      <c r="Y31" s="5">
        <f>VLOOKUP($A31,'NonXtal_SegEnds_Prot#'!$A:$AL,24,FALSE)</f>
        <v>161</v>
      </c>
      <c r="Z31" s="5">
        <f>VLOOKUP($A31,'NonXtal_SegEnds_Prot#'!$A:$AL,27,FALSE)</f>
        <v>169</v>
      </c>
      <c r="AA31" s="5">
        <f>VLOOKUP($A31,'NonXtal_SegEnds_Prot#'!$A:$AL,30,FALSE)</f>
        <v>234</v>
      </c>
      <c r="AB31" s="5">
        <f>VLOOKUP($A31,'NonXtal_SegEnds_Prot#'!$A:$AL,33,FALSE)</f>
        <v>276</v>
      </c>
      <c r="AC31" s="5">
        <f>VLOOKUP($A31,'NonXtal_SegEnds_Prot#'!$A:$AL,36,FALSE)</f>
        <v>300</v>
      </c>
      <c r="AD31" s="5">
        <f>VLOOKUP($A31,'NonXtal_SegEnds_Prot#'!$A:$AL,5,FALSE)</f>
        <v>35</v>
      </c>
      <c r="AE31" s="5">
        <f>VLOOKUP($A31,'NonXtal_SegEnds_Prot#'!$A:$AL,8,FALSE)</f>
        <v>39</v>
      </c>
      <c r="AF31" s="5">
        <f>VLOOKUP($A31,'NonXtal_SegEnds_Prot#'!$A:$AL,11,FALSE)</f>
        <v>70</v>
      </c>
      <c r="AG31" s="5">
        <f>VLOOKUP($A31,'NonXtal_SegEnds_Prot#'!$A:$AL,14,FALSE)</f>
        <v>78</v>
      </c>
      <c r="AH31" s="5">
        <f>VLOOKUP($A31,'NonXtal_SegEnds_Prot#'!$A:$AL,17,FALSE)</f>
        <v>114</v>
      </c>
      <c r="AI31" s="5">
        <f>VLOOKUP($A31,'NonXtal_SegEnds_Prot#'!$A:$AL,20,FALSE)</f>
        <v>122</v>
      </c>
      <c r="AJ31" s="5">
        <f>VLOOKUP($A31,'NonXtal_SegEnds_Prot#'!$A:$AL,23,FALSE)</f>
        <v>148</v>
      </c>
      <c r="AK31" s="5">
        <f>VLOOKUP($A31,'NonXtal_SegEnds_Prot#'!$A:$AL,26,FALSE)</f>
        <v>163</v>
      </c>
      <c r="AL31" s="5">
        <f>VLOOKUP($A31,'NonXtal_SegEnds_Prot#'!$A:$AL,29,FALSE)</f>
        <v>210</v>
      </c>
      <c r="AM31" s="5">
        <f>VLOOKUP($A31,'NonXtal_SegEnds_Prot#'!$A:$AL,32,FALSE)</f>
        <v>271</v>
      </c>
      <c r="AN31" s="5">
        <f>VLOOKUP($A31,'NonXtal_SegEnds_Prot#'!$A:$AL,35,FALSE)</f>
        <v>299</v>
      </c>
      <c r="AO31" s="5">
        <f>VLOOKUP($A31,'NonXtal_SegEnds_Prot#'!$A:$AL,38,FALSE)</f>
        <v>311</v>
      </c>
      <c r="AP31" s="5">
        <f t="shared" si="13"/>
        <v>29</v>
      </c>
      <c r="AQ31" s="4">
        <f t="shared" si="14"/>
        <v>3</v>
      </c>
      <c r="AR31" s="4">
        <f t="shared" si="15"/>
        <v>30</v>
      </c>
      <c r="AS31" s="4">
        <f t="shared" si="16"/>
        <v>3</v>
      </c>
      <c r="AT31" s="4">
        <f t="shared" si="17"/>
        <v>35</v>
      </c>
      <c r="AU31" s="4">
        <f t="shared" si="18"/>
        <v>7</v>
      </c>
      <c r="AV31" s="4">
        <f t="shared" si="19"/>
        <v>24</v>
      </c>
      <c r="AW31" s="4">
        <f t="shared" si="20"/>
        <v>2</v>
      </c>
      <c r="AX31" s="4">
        <f t="shared" si="21"/>
        <v>41</v>
      </c>
      <c r="AY31" s="4">
        <f t="shared" si="22"/>
        <v>37</v>
      </c>
      <c r="AZ31" s="4">
        <f t="shared" si="23"/>
        <v>23</v>
      </c>
      <c r="BA31" s="4">
        <f t="shared" si="24"/>
        <v>11</v>
      </c>
    </row>
    <row r="32" spans="1:53" x14ac:dyDescent="0.2">
      <c r="A32" s="1" t="str">
        <f>'NonXtal_SegEnds_Prot#'!A344</f>
        <v>p2ry6_human</v>
      </c>
      <c r="B32" s="1" t="str">
        <f t="shared" si="0"/>
        <v>FKQLLLPPVYSAVLAAGLPLNICVITQICTSTRTAVYTLNLALADLLYACSLPLLIYNYAQGDFACRLVRFLFYANLHGSILFLTCISFQRYLGICHRRAAWLVCVAVWLAVTTQCLPTAIFAATHYMPYGMALTVIGFLLPFAALLACYCLLACRLCRQDGPARRGKAARMAVVVAAAFAISFLPFHITKTAYLAVRSTPCTVLEAFAAAYKGTRPFASANSVLDPILFYFTQKKFRRRPHELLQ</v>
      </c>
      <c r="C32" s="72" t="str">
        <f>IF(ISERROR(MATCH(A32,'Xtal_SegEnds_Prot#'!B:B, 0)), "NoXtal", "Xtal")</f>
        <v>NoXtal</v>
      </c>
      <c r="D32" s="4" t="str">
        <f>VLOOKUP(A32,Classification!A:D,2,FALSE)</f>
        <v>A</v>
      </c>
      <c r="E32" s="5" t="str">
        <f>VLOOKUP(A32,Seqs!A:B,2,FALSE)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32" s="5" t="str">
        <f t="shared" si="1"/>
        <v>FKQLLLPPVYSAVLAAGLPLNICVITQICTS</v>
      </c>
      <c r="G32" s="4" t="str">
        <f t="shared" si="2"/>
        <v>RRAL</v>
      </c>
      <c r="H32" s="4" t="str">
        <f t="shared" si="3"/>
        <v>TRTAVYTLNLALADLLYACSLPLLIYNYAQ</v>
      </c>
      <c r="I32" s="4" t="str">
        <f t="shared" si="4"/>
        <v>HWPF</v>
      </c>
      <c r="J32" s="4" t="str">
        <f t="shared" si="5"/>
        <v>GDFACRLVRFLFYANLHGSILFLTCISFQRYLGICH</v>
      </c>
      <c r="K32" s="4" t="str">
        <f t="shared" si="6"/>
        <v>PLAPWHKRG</v>
      </c>
      <c r="L32" s="4" t="str">
        <f t="shared" si="7"/>
        <v>RRAAWLVCVAVWLAVTTQCLPTAIFA</v>
      </c>
      <c r="M32" s="4" t="str">
        <f t="shared" si="8"/>
        <v>CYD</v>
      </c>
      <c r="N32" s="4" t="str">
        <f t="shared" si="9"/>
        <v>ATHYMPYGMALTVIGFLLPFAALLACYCLLACRLCRQDGPA</v>
      </c>
      <c r="O32" s="4" t="str">
        <f t="shared" si="10"/>
        <v>RRGKAARMAVVVAAAFAISFLPFHITKTAYLAVRST</v>
      </c>
      <c r="P32" s="4" t="str">
        <f t="shared" si="11"/>
        <v>PCTVLEAFAAAYKGTRPFASANSVLDPILFYFT</v>
      </c>
      <c r="Q32" s="4" t="str">
        <f t="shared" si="12"/>
        <v>QKKFRRRPHELLQ</v>
      </c>
      <c r="R32" s="5">
        <f>VLOOKUP($A32,'NonXtal_SegEnds_Prot#'!$A:$AL,3,FALSE)</f>
        <v>24</v>
      </c>
      <c r="S32" s="5">
        <f>VLOOKUP($A32,'NonXtal_SegEnds_Prot#'!$A:$AL,6,FALSE)</f>
        <v>55</v>
      </c>
      <c r="T32" s="5">
        <f>VLOOKUP($A32,'NonXtal_SegEnds_Prot#'!$A:$AL,9,FALSE)</f>
        <v>59</v>
      </c>
      <c r="U32" s="5">
        <f>VLOOKUP($A32,'NonXtal_SegEnds_Prot#'!$A:$AL,12,FALSE)</f>
        <v>91</v>
      </c>
      <c r="V32" s="5">
        <f>VLOOKUP($A32,'NonXtal_SegEnds_Prot#'!$A:$AL,15,FALSE)</f>
        <v>95</v>
      </c>
      <c r="W32" s="5">
        <f>VLOOKUP($A32,'NonXtal_SegEnds_Prot#'!$A:$AL,18,FALSE)</f>
        <v>131</v>
      </c>
      <c r="X32" s="5">
        <f>VLOOKUP($A32,'NonXtal_SegEnds_Prot#'!$A:$AL,21,FALSE)</f>
        <v>141</v>
      </c>
      <c r="Y32" s="5">
        <f>VLOOKUP($A32,'NonXtal_SegEnds_Prot#'!$A:$AL,24,FALSE)</f>
        <v>177</v>
      </c>
      <c r="Z32" s="5">
        <f>VLOOKUP($A32,'NonXtal_SegEnds_Prot#'!$A:$AL,27,FALSE)</f>
        <v>186</v>
      </c>
      <c r="AA32" s="5">
        <f>VLOOKUP($A32,'NonXtal_SegEnds_Prot#'!$A:$AL,30,FALSE)</f>
        <v>233</v>
      </c>
      <c r="AB32" s="5">
        <f>VLOOKUP($A32,'NonXtal_SegEnds_Prot#'!$A:$AL,33,FALSE)</f>
        <v>272</v>
      </c>
      <c r="AC32" s="5">
        <f>VLOOKUP($A32,'NonXtal_SegEnds_Prot#'!$A:$AL,36,FALSE)</f>
        <v>305</v>
      </c>
      <c r="AD32" s="5">
        <f>VLOOKUP($A32,'NonXtal_SegEnds_Prot#'!$A:$AL,5,FALSE)</f>
        <v>54</v>
      </c>
      <c r="AE32" s="5">
        <f>VLOOKUP($A32,'NonXtal_SegEnds_Prot#'!$A:$AL,8,FALSE)</f>
        <v>58</v>
      </c>
      <c r="AF32" s="5">
        <f>VLOOKUP($A32,'NonXtal_SegEnds_Prot#'!$A:$AL,11,FALSE)</f>
        <v>88</v>
      </c>
      <c r="AG32" s="5">
        <f>VLOOKUP($A32,'NonXtal_SegEnds_Prot#'!$A:$AL,14,FALSE)</f>
        <v>94</v>
      </c>
      <c r="AH32" s="5">
        <f>VLOOKUP($A32,'NonXtal_SegEnds_Prot#'!$A:$AL,17,FALSE)</f>
        <v>130</v>
      </c>
      <c r="AI32" s="5">
        <f>VLOOKUP($A32,'NonXtal_SegEnds_Prot#'!$A:$AL,20,FALSE)</f>
        <v>139</v>
      </c>
      <c r="AJ32" s="5">
        <f>VLOOKUP($A32,'NonXtal_SegEnds_Prot#'!$A:$AL,23,FALSE)</f>
        <v>166</v>
      </c>
      <c r="AK32" s="5">
        <f>VLOOKUP($A32,'NonXtal_SegEnds_Prot#'!$A:$AL,26,FALSE)</f>
        <v>179</v>
      </c>
      <c r="AL32" s="5">
        <f>VLOOKUP($A32,'NonXtal_SegEnds_Prot#'!$A:$AL,29,FALSE)</f>
        <v>226</v>
      </c>
      <c r="AM32" s="5">
        <f>VLOOKUP($A32,'NonXtal_SegEnds_Prot#'!$A:$AL,32,FALSE)</f>
        <v>268</v>
      </c>
      <c r="AN32" s="5">
        <f>VLOOKUP($A32,'NonXtal_SegEnds_Prot#'!$A:$AL,35,FALSE)</f>
        <v>304</v>
      </c>
      <c r="AO32" s="5">
        <f>VLOOKUP($A32,'NonXtal_SegEnds_Prot#'!$A:$AL,38,FALSE)</f>
        <v>317</v>
      </c>
      <c r="AP32" s="5">
        <f t="shared" si="13"/>
        <v>30</v>
      </c>
      <c r="AQ32" s="4">
        <f t="shared" si="14"/>
        <v>3</v>
      </c>
      <c r="AR32" s="4">
        <f t="shared" si="15"/>
        <v>29</v>
      </c>
      <c r="AS32" s="4">
        <f t="shared" si="16"/>
        <v>3</v>
      </c>
      <c r="AT32" s="4">
        <f t="shared" si="17"/>
        <v>35</v>
      </c>
      <c r="AU32" s="4">
        <f t="shared" si="18"/>
        <v>8</v>
      </c>
      <c r="AV32" s="4">
        <f t="shared" si="19"/>
        <v>25</v>
      </c>
      <c r="AW32" s="4">
        <f t="shared" si="20"/>
        <v>2</v>
      </c>
      <c r="AX32" s="4">
        <f t="shared" si="21"/>
        <v>40</v>
      </c>
      <c r="AY32" s="4">
        <f t="shared" si="22"/>
        <v>35</v>
      </c>
      <c r="AZ32" s="4">
        <f t="shared" si="23"/>
        <v>32</v>
      </c>
      <c r="BA32" s="4">
        <f t="shared" si="24"/>
        <v>12</v>
      </c>
    </row>
    <row r="33" spans="1:53" x14ac:dyDescent="0.2">
      <c r="A33" s="1" t="str">
        <f>'NonXtal_SegEnds_Prot#'!A355</f>
        <v>mrgx3_human</v>
      </c>
      <c r="B33" s="1" t="str">
        <f t="shared" si="0"/>
        <v>CYKQTLSFTGLTCIVSLVALTGNAVVLWLLGCRNAVSIYILNLVAADFLFLSGHIICSPLRLIISKILSPVMTFPYFIGLSMLSAISTERCLSILWRYLSSVMCVLLWALSLLRSILEWMFCNSVWCETSDFITIAWLVFLCVVLCGSSLVLLVRILCGSRLTRLYVTILLTVLVFLLCGLPFGIQWALFSRIKVLFCHVHLVSIFLSALNSSANPIIYFFVGSFRQRQNRQN</v>
      </c>
      <c r="C33" s="72" t="str">
        <f>IF(ISERROR(MATCH(A33,'Xtal_SegEnds_Prot#'!B:B, 0)), "NoXtal", "Xtal")</f>
        <v>NoXtal</v>
      </c>
      <c r="D33" s="4" t="str">
        <f>VLOOKUP(A33,Classification!A:D,2,FALSE)</f>
        <v>A</v>
      </c>
      <c r="E33" s="5" t="str">
        <f>VLOOKUP(A33,Seqs!A:B,2,FALSE)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33" s="5" t="str">
        <f t="shared" si="1"/>
        <v>CYKQTLSFTGLTCIVSLVALTGNAVVLWLLGCR</v>
      </c>
      <c r="G33" s="4" t="str">
        <f t="shared" si="2"/>
        <v/>
      </c>
      <c r="H33" s="4" t="str">
        <f t="shared" si="3"/>
        <v>NAVSIYILNLVAADFLFLSGHIICSPLRLI</v>
      </c>
      <c r="I33" s="4" t="str">
        <f t="shared" si="4"/>
        <v/>
      </c>
      <c r="J33" s="4" t="str">
        <f t="shared" si="5"/>
        <v>ISKILSPVMTFPYFIGLSMLSAISTERCLSILW</v>
      </c>
      <c r="K33" s="4" t="str">
        <f t="shared" si="6"/>
        <v>PIWYHCRR</v>
      </c>
      <c r="L33" s="4" t="str">
        <f t="shared" si="7"/>
        <v>RYLSSVMCVLLWALSLLRSILEWMFC</v>
      </c>
      <c r="M33" s="4" t="str">
        <f t="shared" si="8"/>
        <v/>
      </c>
      <c r="N33" s="4" t="str">
        <f t="shared" si="9"/>
        <v>NSVWCETSDFITIAWLVFLCVVLCGSSLVLLVRILCGSR</v>
      </c>
      <c r="O33" s="4" t="str">
        <f t="shared" si="10"/>
        <v>LTRLYVTILLTVLVFLLCGLPFGIQWALFSRI</v>
      </c>
      <c r="P33" s="4" t="str">
        <f t="shared" si="11"/>
        <v>KVLFCHVHLVSIFLSALNSSANPIIYFFV</v>
      </c>
      <c r="Q33" s="4" t="str">
        <f t="shared" si="12"/>
        <v>GSFRQRQNRQN</v>
      </c>
      <c r="R33" s="5">
        <f>VLOOKUP($A33,'NonXtal_SegEnds_Prot#'!$A:$AL,3,FALSE)</f>
        <v>23</v>
      </c>
      <c r="S33" s="5" t="str">
        <f>VLOOKUP($A33,'NonXtal_SegEnds_Prot#'!$A:$AL,6,FALSE)</f>
        <v>-</v>
      </c>
      <c r="T33" s="5">
        <f>VLOOKUP($A33,'NonXtal_SegEnds_Prot#'!$A:$AL,9,FALSE)</f>
        <v>59</v>
      </c>
      <c r="U33" s="5" t="str">
        <f>VLOOKUP($A33,'NonXtal_SegEnds_Prot#'!$A:$AL,12,FALSE)</f>
        <v>-</v>
      </c>
      <c r="V33" s="5">
        <f>VLOOKUP($A33,'NonXtal_SegEnds_Prot#'!$A:$AL,15,FALSE)</f>
        <v>94</v>
      </c>
      <c r="W33" s="5">
        <f>VLOOKUP($A33,'NonXtal_SegEnds_Prot#'!$A:$AL,18,FALSE)</f>
        <v>127</v>
      </c>
      <c r="X33" s="5">
        <f>VLOOKUP($A33,'NonXtal_SegEnds_Prot#'!$A:$AL,21,FALSE)</f>
        <v>136</v>
      </c>
      <c r="Y33" s="5" t="str">
        <f>VLOOKUP($A33,'NonXtal_SegEnds_Prot#'!$A:$AL,24,FALSE)</f>
        <v>-</v>
      </c>
      <c r="Z33" s="5">
        <f>VLOOKUP($A33,'NonXtal_SegEnds_Prot#'!$A:$AL,27,FALSE)</f>
        <v>169</v>
      </c>
      <c r="AA33" s="5">
        <f>VLOOKUP($A33,'NonXtal_SegEnds_Prot#'!$A:$AL,30,FALSE)</f>
        <v>211</v>
      </c>
      <c r="AB33" s="5">
        <f>VLOOKUP($A33,'NonXtal_SegEnds_Prot#'!$A:$AL,33,FALSE)</f>
        <v>247</v>
      </c>
      <c r="AC33" s="5">
        <f>VLOOKUP($A33,'NonXtal_SegEnds_Prot#'!$A:$AL,36,FALSE)</f>
        <v>276</v>
      </c>
      <c r="AD33" s="5">
        <f>VLOOKUP($A33,'NonXtal_SegEnds_Prot#'!$A:$AL,5,FALSE)</f>
        <v>55</v>
      </c>
      <c r="AE33" s="5" t="str">
        <f>VLOOKUP($A33,'NonXtal_SegEnds_Prot#'!$A:$AL,8,FALSE)</f>
        <v>-</v>
      </c>
      <c r="AF33" s="5">
        <f>VLOOKUP($A33,'NonXtal_SegEnds_Prot#'!$A:$AL,11,FALSE)</f>
        <v>88</v>
      </c>
      <c r="AG33" s="5" t="str">
        <f>VLOOKUP($A33,'NonXtal_SegEnds_Prot#'!$A:$AL,14,FALSE)</f>
        <v>-</v>
      </c>
      <c r="AH33" s="5">
        <f>VLOOKUP($A33,'NonXtal_SegEnds_Prot#'!$A:$AL,17,FALSE)</f>
        <v>126</v>
      </c>
      <c r="AI33" s="5">
        <f>VLOOKUP($A33,'NonXtal_SegEnds_Prot#'!$A:$AL,20,FALSE)</f>
        <v>134</v>
      </c>
      <c r="AJ33" s="5">
        <f>VLOOKUP($A33,'NonXtal_SegEnds_Prot#'!$A:$AL,23,FALSE)</f>
        <v>161</v>
      </c>
      <c r="AK33" s="5" t="str">
        <f>VLOOKUP($A33,'NonXtal_SegEnds_Prot#'!$A:$AL,26,FALSE)</f>
        <v>-</v>
      </c>
      <c r="AL33" s="5">
        <f>VLOOKUP($A33,'NonXtal_SegEnds_Prot#'!$A:$AL,29,FALSE)</f>
        <v>207</v>
      </c>
      <c r="AM33" s="5">
        <f>VLOOKUP($A33,'NonXtal_SegEnds_Prot#'!$A:$AL,32,FALSE)</f>
        <v>242</v>
      </c>
      <c r="AN33" s="5">
        <f>VLOOKUP($A33,'NonXtal_SegEnds_Prot#'!$A:$AL,35,FALSE)</f>
        <v>275</v>
      </c>
      <c r="AO33" s="5">
        <f>VLOOKUP($A33,'NonXtal_SegEnds_Prot#'!$A:$AL,38,FALSE)</f>
        <v>286</v>
      </c>
      <c r="AP33" s="5">
        <f t="shared" si="13"/>
        <v>32</v>
      </c>
      <c r="AQ33" s="4" t="str">
        <f t="shared" si="14"/>
        <v>-</v>
      </c>
      <c r="AR33" s="4">
        <f t="shared" si="15"/>
        <v>29</v>
      </c>
      <c r="AS33" s="4" t="str">
        <f t="shared" si="16"/>
        <v>-</v>
      </c>
      <c r="AT33" s="4">
        <f t="shared" si="17"/>
        <v>32</v>
      </c>
      <c r="AU33" s="4">
        <f t="shared" si="18"/>
        <v>7</v>
      </c>
      <c r="AV33" s="4">
        <f t="shared" si="19"/>
        <v>25</v>
      </c>
      <c r="AW33" s="4" t="str">
        <f t="shared" si="20"/>
        <v>-</v>
      </c>
      <c r="AX33" s="4">
        <f t="shared" si="21"/>
        <v>38</v>
      </c>
      <c r="AY33" s="4">
        <f t="shared" si="22"/>
        <v>31</v>
      </c>
      <c r="AZ33" s="4">
        <f t="shared" si="23"/>
        <v>28</v>
      </c>
      <c r="BA33" s="4">
        <f t="shared" si="24"/>
        <v>10</v>
      </c>
    </row>
    <row r="34" spans="1:53" x14ac:dyDescent="0.2">
      <c r="A34" s="1" t="str">
        <f>'NonXtal_SegEnds_Prot#'!A363</f>
        <v>p2y12_human</v>
      </c>
      <c r="B34" s="1" t="str">
        <f t="shared" si="0"/>
        <v>YKITQVLFPLLYTVLFFVGLITNGLAMRIFFQISNFIIFLKNTVISDLLMILTFPFKILSDAKGPLRTFVCQVTSVIFYFTMYISISFLGLITIDRYQKTTRLLGAKILSVVIWAFMFLLSLPNMILTEFGLVWHEIVNYICQVIFWINFLIVIVCYTLITKELYRSYVRTPRKKVNVKVFIIIAVFFICFVPFHFARIPYTLSQTRDCTAENTLFYVKESTLWLTSLNACLDPFIYFFLCKSFRNSLISM</v>
      </c>
      <c r="C34" s="72" t="str">
        <f>IF(ISERROR(MATCH(A34,'Xtal_SegEnds_Prot#'!B:B, 0)), "NoXtal", "Xtal")</f>
        <v>Xtal</v>
      </c>
      <c r="D34" s="4" t="str">
        <f>VLOOKUP(A34,Classification!A:D,2,FALSE)</f>
        <v>A</v>
      </c>
      <c r="E34" s="5" t="str">
        <f>VLOOKUP(A34,Seqs!A:B,2,FALSE)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34" s="5" t="str">
        <f t="shared" si="1"/>
        <v>YKITQVLFPLLYTVLFFVGLITNGLAMRIFFQI</v>
      </c>
      <c r="G34" s="4" t="str">
        <f t="shared" si="2"/>
        <v/>
      </c>
      <c r="H34" s="4" t="str">
        <f t="shared" si="3"/>
        <v>SNFIIFLKNTVISDLLMILTFPFKILSDAK</v>
      </c>
      <c r="I34" s="4" t="str">
        <f t="shared" si="4"/>
        <v/>
      </c>
      <c r="J34" s="4" t="str">
        <f t="shared" si="5"/>
        <v>GPLRTFVCQVTSVIFYFTMYISISFLGLITIDRYQKTTR</v>
      </c>
      <c r="K34" s="4" t="str">
        <f t="shared" si="6"/>
        <v>PFKTSNPK</v>
      </c>
      <c r="L34" s="4" t="str">
        <f t="shared" si="7"/>
        <v>LLGAKILSVVIWAFMFLLSLPNMILT</v>
      </c>
      <c r="M34" s="4" t="str">
        <f t="shared" si="8"/>
        <v>CSF</v>
      </c>
      <c r="N34" s="4" t="str">
        <f t="shared" si="9"/>
        <v>EFGLVWHEIVNYICQVIFWINFLIVIVCYTLITKELYRSYVRT</v>
      </c>
      <c r="O34" s="4" t="str">
        <f t="shared" si="10"/>
        <v>PRKKVNVKVFIIIAVFFICFVPFHFARIPYTLSQTR</v>
      </c>
      <c r="P34" s="4" t="str">
        <f t="shared" si="11"/>
        <v>DCTAENTLFYVKESTLWLTSLNACLDPFIYFFL</v>
      </c>
      <c r="Q34" s="4" t="str">
        <f t="shared" si="12"/>
        <v>CKSFRNSLISM</v>
      </c>
      <c r="R34" s="5">
        <f>VLOOKUP($A34,'NonXtal_SegEnds_Prot#'!$A:$AL,3,FALSE)</f>
        <v>21</v>
      </c>
      <c r="S34" s="5" t="str">
        <f>VLOOKUP($A34,'NonXtal_SegEnds_Prot#'!$A:$AL,6,FALSE)</f>
        <v>-</v>
      </c>
      <c r="T34" s="5">
        <f>VLOOKUP($A34,'NonXtal_SegEnds_Prot#'!$A:$AL,9,FALSE)</f>
        <v>57</v>
      </c>
      <c r="U34" s="5" t="str">
        <f>VLOOKUP($A34,'NonXtal_SegEnds_Prot#'!$A:$AL,12,FALSE)</f>
        <v>-</v>
      </c>
      <c r="V34" s="5">
        <f>VLOOKUP($A34,'NonXtal_SegEnds_Prot#'!$A:$AL,15,FALSE)</f>
        <v>90</v>
      </c>
      <c r="W34" s="5">
        <f>VLOOKUP($A34,'NonXtal_SegEnds_Prot#'!$A:$AL,18,FALSE)</f>
        <v>129</v>
      </c>
      <c r="X34" s="5">
        <f>VLOOKUP($A34,'NonXtal_SegEnds_Prot#'!$A:$AL,21,FALSE)</f>
        <v>138</v>
      </c>
      <c r="Y34" s="5">
        <f>VLOOKUP($A34,'NonXtal_SegEnds_Prot#'!$A:$AL,24,FALSE)</f>
        <v>175</v>
      </c>
      <c r="Z34" s="5">
        <f>VLOOKUP($A34,'NonXtal_SegEnds_Prot#'!$A:$AL,27,FALSE)</f>
        <v>181</v>
      </c>
      <c r="AA34" s="5">
        <f>VLOOKUP($A34,'NonXtal_SegEnds_Prot#'!$A:$AL,30,FALSE)</f>
        <v>230</v>
      </c>
      <c r="AB34" s="5">
        <f>VLOOKUP($A34,'NonXtal_SegEnds_Prot#'!$A:$AL,33,FALSE)</f>
        <v>269</v>
      </c>
      <c r="AC34" s="5">
        <f>VLOOKUP($A34,'NonXtal_SegEnds_Prot#'!$A:$AL,36,FALSE)</f>
        <v>302</v>
      </c>
      <c r="AD34" s="5">
        <f>VLOOKUP($A34,'NonXtal_SegEnds_Prot#'!$A:$AL,5,FALSE)</f>
        <v>53</v>
      </c>
      <c r="AE34" s="5" t="str">
        <f>VLOOKUP($A34,'NonXtal_SegEnds_Prot#'!$A:$AL,8,FALSE)</f>
        <v>-</v>
      </c>
      <c r="AF34" s="5">
        <f>VLOOKUP($A34,'NonXtal_SegEnds_Prot#'!$A:$AL,11,FALSE)</f>
        <v>86</v>
      </c>
      <c r="AG34" s="5" t="str">
        <f>VLOOKUP($A34,'NonXtal_SegEnds_Prot#'!$A:$AL,14,FALSE)</f>
        <v>-</v>
      </c>
      <c r="AH34" s="5">
        <f>VLOOKUP($A34,'NonXtal_SegEnds_Prot#'!$A:$AL,17,FALSE)</f>
        <v>128</v>
      </c>
      <c r="AI34" s="5">
        <f>VLOOKUP($A34,'NonXtal_SegEnds_Prot#'!$A:$AL,20,FALSE)</f>
        <v>136</v>
      </c>
      <c r="AJ34" s="5">
        <f>VLOOKUP($A34,'NonXtal_SegEnds_Prot#'!$A:$AL,23,FALSE)</f>
        <v>163</v>
      </c>
      <c r="AK34" s="5">
        <f>VLOOKUP($A34,'NonXtal_SegEnds_Prot#'!$A:$AL,26,FALSE)</f>
        <v>177</v>
      </c>
      <c r="AL34" s="5">
        <f>VLOOKUP($A34,'NonXtal_SegEnds_Prot#'!$A:$AL,29,FALSE)</f>
        <v>223</v>
      </c>
      <c r="AM34" s="5">
        <f>VLOOKUP($A34,'NonXtal_SegEnds_Prot#'!$A:$AL,32,FALSE)</f>
        <v>265</v>
      </c>
      <c r="AN34" s="5">
        <f>VLOOKUP($A34,'NonXtal_SegEnds_Prot#'!$A:$AL,35,FALSE)</f>
        <v>301</v>
      </c>
      <c r="AO34" s="5">
        <f>VLOOKUP($A34,'NonXtal_SegEnds_Prot#'!$A:$AL,38,FALSE)</f>
        <v>312</v>
      </c>
      <c r="AP34" s="5">
        <f t="shared" si="13"/>
        <v>32</v>
      </c>
      <c r="AQ34" s="4" t="str">
        <f t="shared" si="14"/>
        <v>-</v>
      </c>
      <c r="AR34" s="4">
        <f t="shared" si="15"/>
        <v>29</v>
      </c>
      <c r="AS34" s="4" t="str">
        <f t="shared" si="16"/>
        <v>-</v>
      </c>
      <c r="AT34" s="4">
        <f t="shared" si="17"/>
        <v>38</v>
      </c>
      <c r="AU34" s="4">
        <f t="shared" si="18"/>
        <v>7</v>
      </c>
      <c r="AV34" s="4">
        <f t="shared" si="19"/>
        <v>25</v>
      </c>
      <c r="AW34" s="4">
        <f t="shared" si="20"/>
        <v>2</v>
      </c>
      <c r="AX34" s="4">
        <f t="shared" si="21"/>
        <v>42</v>
      </c>
      <c r="AY34" s="4">
        <f t="shared" si="22"/>
        <v>35</v>
      </c>
      <c r="AZ34" s="4">
        <f t="shared" si="23"/>
        <v>32</v>
      </c>
      <c r="BA34" s="4">
        <f t="shared" si="24"/>
        <v>10</v>
      </c>
    </row>
    <row r="35" spans="1:53" x14ac:dyDescent="0.2">
      <c r="A35" s="1" t="str">
        <f>'NonXtal_SegEnds_Prot#'!A367</f>
        <v>gpr20_human</v>
      </c>
      <c r="B35" s="1" t="str">
        <f t="shared" si="0"/>
        <v>PGLWLALMAVHGAIFLAGLVLNGLALYVFCCRTPSVIYTINLVVTDLLVGLSLPTRFAVYYGCAFPHVLGYFLNMHCSILFLTCICVDRYLAIVRPACARAVCAFVWLAAGAVTLSVLGVGSRPCCRVFALTVLEFLLPLLVISVFTGRIMCALSRPQRRVRAMQLLLTVLIIFLVCFTPFHARQVAVALWHHTSLVVYHVAVTLSSLNSCMDPIVYCFVTSGFQATVRGLFGQH</v>
      </c>
      <c r="C35" s="72" t="str">
        <f>IF(ISERROR(MATCH(A35,'Xtal_SegEnds_Prot#'!B:B, 0)), "NoXtal", "Xtal")</f>
        <v>NoXtal</v>
      </c>
      <c r="D35" s="4" t="str">
        <f>VLOOKUP(A35,Classification!A:D,2,FALSE)</f>
        <v>A</v>
      </c>
      <c r="E35" s="5" t="str">
        <f>VLOOKUP(A35,Seqs!A:B,2,FALSE)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35" s="5" t="str">
        <f t="shared" si="1"/>
        <v>PGLWLALMAVHGAIFLAGLVLNGLALYVFCCR</v>
      </c>
      <c r="G35" s="4" t="str">
        <f t="shared" si="2"/>
        <v>TRAK</v>
      </c>
      <c r="H35" s="4" t="str">
        <f t="shared" si="3"/>
        <v>TPSVIYTINLVVTDLLVGLSLPTRFAVYYG</v>
      </c>
      <c r="I35" s="4" t="str">
        <f t="shared" si="4"/>
        <v/>
      </c>
      <c r="J35" s="4" t="str">
        <f t="shared" si="5"/>
        <v>CAFPHVLGYFLNMHCSILFLTCICVDRYLAIVR</v>
      </c>
      <c r="K35" s="4" t="str">
        <f t="shared" si="6"/>
        <v>PEGSRRCR</v>
      </c>
      <c r="L35" s="4" t="str">
        <f t="shared" si="7"/>
        <v>PACARAVCAFVWLAAGAVTLSVLGV</v>
      </c>
      <c r="M35" s="4" t="str">
        <f t="shared" si="8"/>
        <v/>
      </c>
      <c r="N35" s="4" t="str">
        <f t="shared" si="9"/>
        <v>GSRPCCRVFALTVLEFLLPLLVISVFTGRIMCALSRP</v>
      </c>
      <c r="O35" s="4" t="str">
        <f t="shared" si="10"/>
        <v>QRRVRAMQLLLTVLIIFLVCFTPFHARQVAVALW</v>
      </c>
      <c r="P35" s="4" t="str">
        <f t="shared" si="11"/>
        <v>HHTSLVVYHVAVTLSSLNSCMDPIVYCFV</v>
      </c>
      <c r="Q35" s="4" t="str">
        <f t="shared" si="12"/>
        <v>TSGFQATVRGLFGQH</v>
      </c>
      <c r="R35" s="5">
        <f>VLOOKUP($A35,'NonXtal_SegEnds_Prot#'!$A:$AL,3,FALSE)</f>
        <v>50</v>
      </c>
      <c r="S35" s="5">
        <f>VLOOKUP($A35,'NonXtal_SegEnds_Prot#'!$A:$AL,6,FALSE)</f>
        <v>82</v>
      </c>
      <c r="T35" s="5">
        <f>VLOOKUP($A35,'NonXtal_SegEnds_Prot#'!$A:$AL,9,FALSE)</f>
        <v>86</v>
      </c>
      <c r="U35" s="5" t="str">
        <f>VLOOKUP($A35,'NonXtal_SegEnds_Prot#'!$A:$AL,12,FALSE)</f>
        <v>-</v>
      </c>
      <c r="V35" s="5">
        <f>VLOOKUP($A35,'NonXtal_SegEnds_Prot#'!$A:$AL,15,FALSE)</f>
        <v>122</v>
      </c>
      <c r="W35" s="5">
        <f>VLOOKUP($A35,'NonXtal_SegEnds_Prot#'!$A:$AL,18,FALSE)</f>
        <v>155</v>
      </c>
      <c r="X35" s="5">
        <f>VLOOKUP($A35,'NonXtal_SegEnds_Prot#'!$A:$AL,21,FALSE)</f>
        <v>164</v>
      </c>
      <c r="Y35" s="5" t="str">
        <f>VLOOKUP($A35,'NonXtal_SegEnds_Prot#'!$A:$AL,24,FALSE)</f>
        <v>-</v>
      </c>
      <c r="Z35" s="5">
        <f>VLOOKUP($A35,'NonXtal_SegEnds_Prot#'!$A:$AL,27,FALSE)</f>
        <v>190</v>
      </c>
      <c r="AA35" s="5">
        <f>VLOOKUP($A35,'NonXtal_SegEnds_Prot#'!$A:$AL,30,FALSE)</f>
        <v>234</v>
      </c>
      <c r="AB35" s="5">
        <f>VLOOKUP($A35,'NonXtal_SegEnds_Prot#'!$A:$AL,33,FALSE)</f>
        <v>272</v>
      </c>
      <c r="AC35" s="5">
        <f>VLOOKUP($A35,'NonXtal_SegEnds_Prot#'!$A:$AL,36,FALSE)</f>
        <v>301</v>
      </c>
      <c r="AD35" s="5">
        <f>VLOOKUP($A35,'NonXtal_SegEnds_Prot#'!$A:$AL,5,FALSE)</f>
        <v>81</v>
      </c>
      <c r="AE35" s="5">
        <f>VLOOKUP($A35,'NonXtal_SegEnds_Prot#'!$A:$AL,8,FALSE)</f>
        <v>85</v>
      </c>
      <c r="AF35" s="5">
        <f>VLOOKUP($A35,'NonXtal_SegEnds_Prot#'!$A:$AL,11,FALSE)</f>
        <v>115</v>
      </c>
      <c r="AG35" s="5" t="str">
        <f>VLOOKUP($A35,'NonXtal_SegEnds_Prot#'!$A:$AL,14,FALSE)</f>
        <v>-</v>
      </c>
      <c r="AH35" s="5">
        <f>VLOOKUP($A35,'NonXtal_SegEnds_Prot#'!$A:$AL,17,FALSE)</f>
        <v>154</v>
      </c>
      <c r="AI35" s="5">
        <f>VLOOKUP($A35,'NonXtal_SegEnds_Prot#'!$A:$AL,20,FALSE)</f>
        <v>162</v>
      </c>
      <c r="AJ35" s="5">
        <f>VLOOKUP($A35,'NonXtal_SegEnds_Prot#'!$A:$AL,23,FALSE)</f>
        <v>188</v>
      </c>
      <c r="AK35" s="5" t="str">
        <f>VLOOKUP($A35,'NonXtal_SegEnds_Prot#'!$A:$AL,26,FALSE)</f>
        <v>-</v>
      </c>
      <c r="AL35" s="5">
        <f>VLOOKUP($A35,'NonXtal_SegEnds_Prot#'!$A:$AL,29,FALSE)</f>
        <v>226</v>
      </c>
      <c r="AM35" s="5">
        <f>VLOOKUP($A35,'NonXtal_SegEnds_Prot#'!$A:$AL,32,FALSE)</f>
        <v>267</v>
      </c>
      <c r="AN35" s="5">
        <f>VLOOKUP($A35,'NonXtal_SegEnds_Prot#'!$A:$AL,35,FALSE)</f>
        <v>300</v>
      </c>
      <c r="AO35" s="5">
        <f>VLOOKUP($A35,'NonXtal_SegEnds_Prot#'!$A:$AL,38,FALSE)</f>
        <v>315</v>
      </c>
      <c r="AP35" s="5">
        <f t="shared" si="13"/>
        <v>31</v>
      </c>
      <c r="AQ35" s="4">
        <f t="shared" si="14"/>
        <v>3</v>
      </c>
      <c r="AR35" s="4">
        <f t="shared" si="15"/>
        <v>29</v>
      </c>
      <c r="AS35" s="4" t="str">
        <f t="shared" si="16"/>
        <v>-</v>
      </c>
      <c r="AT35" s="4">
        <f t="shared" si="17"/>
        <v>32</v>
      </c>
      <c r="AU35" s="4">
        <f t="shared" si="18"/>
        <v>7</v>
      </c>
      <c r="AV35" s="4">
        <f t="shared" si="19"/>
        <v>24</v>
      </c>
      <c r="AW35" s="4" t="str">
        <f t="shared" si="20"/>
        <v>-</v>
      </c>
      <c r="AX35" s="4">
        <f t="shared" si="21"/>
        <v>36</v>
      </c>
      <c r="AY35" s="4">
        <f t="shared" si="22"/>
        <v>33</v>
      </c>
      <c r="AZ35" s="4">
        <f t="shared" si="23"/>
        <v>28</v>
      </c>
      <c r="BA35" s="4">
        <f t="shared" si="24"/>
        <v>14</v>
      </c>
    </row>
    <row r="36" spans="1:53" x14ac:dyDescent="0.2">
      <c r="A36" s="1" t="str">
        <f>'NonXtal_SegEnds_Prot#'!A383</f>
        <v>mc4r_human</v>
      </c>
      <c r="B36" s="1" t="str">
        <f t="shared" si="0"/>
        <v>YEQLFVSPEVFVTLGVISLLENILVIVAIAKNSPMYFFICSLAVADMLVSVSNGSETIVITLLQSFTVNIDNVIDSVICSSLLASICSLLSIAVDRYFTIFYVKRVGIIISCIWAACTVSGILFIIYSSAVIICLITMFFTMLALMASLYVHMFLMARLHIKRIATGAIRQGANMKGAITLTILIGVFVVCWAPFFLHLIFYISCCVCFMSHFNLYLILIMCNSIIDPLIYALRSQELRKTFKEIIC</v>
      </c>
      <c r="C36" s="72" t="str">
        <f>IF(ISERROR(MATCH(A36,'Xtal_SegEnds_Prot#'!B:B, 0)), "NoXtal", "Xtal")</f>
        <v>NoXtal</v>
      </c>
      <c r="D36" s="4" t="str">
        <f>VLOOKUP(A36,Classification!A:D,2,FALSE)</f>
        <v>A</v>
      </c>
      <c r="E36" s="5" t="str">
        <f>VLOOKUP(A36,Seqs!A:B,2,FALSE)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36" s="5" t="str">
        <f t="shared" si="1"/>
        <v>YEQLFVSPEVFVTLGVISLLENILVIVAIAKN</v>
      </c>
      <c r="G36" s="4" t="str">
        <f t="shared" si="2"/>
        <v>KNLH</v>
      </c>
      <c r="H36" s="4" t="str">
        <f t="shared" si="3"/>
        <v>SPMYFFICSLAVADMLVSVSNGSETIVITLL</v>
      </c>
      <c r="I36" s="4" t="str">
        <f t="shared" si="4"/>
        <v/>
      </c>
      <c r="J36" s="4" t="str">
        <f t="shared" si="5"/>
        <v>QSFTVNIDNVIDSVICSSLLASICSLLSIAVDRYFTIFY</v>
      </c>
      <c r="K36" s="4" t="str">
        <f t="shared" si="6"/>
        <v>ALQYHNIM</v>
      </c>
      <c r="L36" s="4" t="str">
        <f t="shared" si="7"/>
        <v>VKRVGIIISCIWAACTVSGILFIIY</v>
      </c>
      <c r="M36" s="4" t="str">
        <f t="shared" si="8"/>
        <v/>
      </c>
      <c r="N36" s="4" t="str">
        <f t="shared" si="9"/>
        <v>SSAVIICLITMFFTMLALMASLYVHMFLMARLHIKRIA</v>
      </c>
      <c r="O36" s="4" t="str">
        <f t="shared" si="10"/>
        <v>TGAIRQGANMKGAITLTILIGVFVVCWAPFFLHLIFYISC</v>
      </c>
      <c r="P36" s="4" t="str">
        <f t="shared" si="11"/>
        <v>CVCFMSHFNLYLILIMCNSIIDPLIYALR</v>
      </c>
      <c r="Q36" s="4" t="str">
        <f t="shared" si="12"/>
        <v>SQELRKTFKEIIC</v>
      </c>
      <c r="R36" s="5">
        <f>VLOOKUP($A36,'NonXtal_SegEnds_Prot#'!$A:$AL,3,FALSE)</f>
        <v>41</v>
      </c>
      <c r="S36" s="5">
        <f>VLOOKUP($A36,'NonXtal_SegEnds_Prot#'!$A:$AL,6,FALSE)</f>
        <v>73</v>
      </c>
      <c r="T36" s="5">
        <f>VLOOKUP($A36,'NonXtal_SegEnds_Prot#'!$A:$AL,9,FALSE)</f>
        <v>77</v>
      </c>
      <c r="U36" s="5" t="str">
        <f>VLOOKUP($A36,'NonXtal_SegEnds_Prot#'!$A:$AL,12,FALSE)</f>
        <v>-</v>
      </c>
      <c r="V36" s="5">
        <f>VLOOKUP($A36,'NonXtal_SegEnds_Prot#'!$A:$AL,15,FALSE)</f>
        <v>115</v>
      </c>
      <c r="W36" s="5">
        <f>VLOOKUP($A36,'NonXtal_SegEnds_Prot#'!$A:$AL,18,FALSE)</f>
        <v>154</v>
      </c>
      <c r="X36" s="5">
        <f>VLOOKUP($A36,'NonXtal_SegEnds_Prot#'!$A:$AL,21,FALSE)</f>
        <v>163</v>
      </c>
      <c r="Y36" s="5" t="str">
        <f>VLOOKUP($A36,'NonXtal_SegEnds_Prot#'!$A:$AL,24,FALSE)</f>
        <v>-</v>
      </c>
      <c r="Z36" s="5">
        <f>VLOOKUP($A36,'NonXtal_SegEnds_Prot#'!$A:$AL,27,FALSE)</f>
        <v>190</v>
      </c>
      <c r="AA36" s="5">
        <f>VLOOKUP($A36,'NonXtal_SegEnds_Prot#'!$A:$AL,30,FALSE)</f>
        <v>232</v>
      </c>
      <c r="AB36" s="5">
        <f>VLOOKUP($A36,'NonXtal_SegEnds_Prot#'!$A:$AL,33,FALSE)</f>
        <v>277</v>
      </c>
      <c r="AC36" s="5">
        <f>VLOOKUP($A36,'NonXtal_SegEnds_Prot#'!$A:$AL,36,FALSE)</f>
        <v>306</v>
      </c>
      <c r="AD36" s="5">
        <f>VLOOKUP($A36,'NonXtal_SegEnds_Prot#'!$A:$AL,5,FALSE)</f>
        <v>72</v>
      </c>
      <c r="AE36" s="5">
        <f>VLOOKUP($A36,'NonXtal_SegEnds_Prot#'!$A:$AL,8,FALSE)</f>
        <v>76</v>
      </c>
      <c r="AF36" s="5">
        <f>VLOOKUP($A36,'NonXtal_SegEnds_Prot#'!$A:$AL,11,FALSE)</f>
        <v>107</v>
      </c>
      <c r="AG36" s="5" t="str">
        <f>VLOOKUP($A36,'NonXtal_SegEnds_Prot#'!$A:$AL,14,FALSE)</f>
        <v>-</v>
      </c>
      <c r="AH36" s="5">
        <f>VLOOKUP($A36,'NonXtal_SegEnds_Prot#'!$A:$AL,17,FALSE)</f>
        <v>153</v>
      </c>
      <c r="AI36" s="5">
        <f>VLOOKUP($A36,'NonXtal_SegEnds_Prot#'!$A:$AL,20,FALSE)</f>
        <v>161</v>
      </c>
      <c r="AJ36" s="5">
        <f>VLOOKUP($A36,'NonXtal_SegEnds_Prot#'!$A:$AL,23,FALSE)</f>
        <v>187</v>
      </c>
      <c r="AK36" s="5" t="str">
        <f>VLOOKUP($A36,'NonXtal_SegEnds_Prot#'!$A:$AL,26,FALSE)</f>
        <v>-</v>
      </c>
      <c r="AL36" s="5">
        <f>VLOOKUP($A36,'NonXtal_SegEnds_Prot#'!$A:$AL,29,FALSE)</f>
        <v>227</v>
      </c>
      <c r="AM36" s="5">
        <f>VLOOKUP($A36,'NonXtal_SegEnds_Prot#'!$A:$AL,32,FALSE)</f>
        <v>271</v>
      </c>
      <c r="AN36" s="5">
        <f>VLOOKUP($A36,'NonXtal_SegEnds_Prot#'!$A:$AL,35,FALSE)</f>
        <v>305</v>
      </c>
      <c r="AO36" s="5">
        <f>VLOOKUP($A36,'NonXtal_SegEnds_Prot#'!$A:$AL,38,FALSE)</f>
        <v>318</v>
      </c>
      <c r="AP36" s="5">
        <f t="shared" si="13"/>
        <v>31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38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37</v>
      </c>
      <c r="AY36" s="4">
        <f t="shared" si="22"/>
        <v>39</v>
      </c>
      <c r="AZ36" s="4">
        <f t="shared" si="23"/>
        <v>28</v>
      </c>
      <c r="BA36" s="4">
        <f t="shared" si="24"/>
        <v>12</v>
      </c>
    </row>
    <row r="37" spans="1:53" x14ac:dyDescent="0.2">
      <c r="A37" s="1" t="str">
        <f>'NonXtal_SegEnds_Prot#'!A392</f>
        <v>t2r10_human</v>
      </c>
      <c r="B37" s="1" t="str">
        <f t="shared" si="0"/>
        <v>EGIFIFVVVSESVFGVLGNGFIGLVNCIDCASTIGFILTGLAISRIFLIWIIITDGFIQIFSIYASGNLIEYISYFWVIGNQSSMWFATSLSIFYFLKIANRTNMVLPFMIVFLLISSLLNFAYIAYKSEYFIKQILLNLGVIFFFTLSLITCIFLIISLWRHNRQMSNTEAHVKAMKVLISFIILFILYFIGMAIEISCNKLLLMFGMTTTAIYPWGHSFILILGNSKLKQASLRVLQQ</v>
      </c>
      <c r="C37" s="72" t="str">
        <f>IF(ISERROR(MATCH(A37,'Xtal_SegEnds_Prot#'!B:B, 0)), "NoXtal", "Xtal")</f>
        <v>NoXtal</v>
      </c>
      <c r="D37" s="4" t="str">
        <f>VLOOKUP(A37,Classification!A:D,2,FALSE)</f>
        <v>T</v>
      </c>
      <c r="E37" s="5" t="str">
        <f>VLOOKUP(A37,Seqs!A:B,2,FALSE)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7" s="5" t="str">
        <f t="shared" si="1"/>
        <v>EGIFIFVVVSESVFGVLGNGFIGLVNCIDCA</v>
      </c>
      <c r="G37" s="4" t="str">
        <f t="shared" si="2"/>
        <v>KNKL</v>
      </c>
      <c r="H37" s="4" t="str">
        <f t="shared" si="3"/>
        <v>STIGFILTGLAISRIFLIWIIITDGFIQIFS</v>
      </c>
      <c r="I37" s="4" t="str">
        <f t="shared" si="4"/>
        <v/>
      </c>
      <c r="J37" s="4" t="str">
        <f t="shared" si="5"/>
        <v>IYASGNLIEYISYFWVIGNQSSMWFATSLSIFYFLKIAN</v>
      </c>
      <c r="K37" s="4" t="str">
        <f t="shared" si="6"/>
        <v>NYIFLWLK</v>
      </c>
      <c r="L37" s="4" t="str">
        <f t="shared" si="7"/>
        <v>RTNMVLPFMIVFLLISSLLNFAYIA</v>
      </c>
      <c r="M37" s="4" t="str">
        <f t="shared" si="8"/>
        <v/>
      </c>
      <c r="N37" s="4" t="str">
        <f t="shared" si="9"/>
        <v>YKSEYFIKQILLNLGVIFFFTLSLITCIFLIISLWRHNRQM</v>
      </c>
      <c r="O37" s="4" t="str">
        <f t="shared" si="10"/>
        <v>SNTEAHVKAMKVLISFIILFILYFIGMAIEISC</v>
      </c>
      <c r="P37" s="4" t="str">
        <f t="shared" si="11"/>
        <v>NKLLLMFGMTTTAIYPWGHSFILILG</v>
      </c>
      <c r="Q37" s="4" t="str">
        <f t="shared" si="12"/>
        <v>NSKLKQASLRVLQQ</v>
      </c>
      <c r="R37" s="5">
        <f>VLOOKUP($A37,'NonXtal_SegEnds_Prot#'!$A:$AL,3,FALSE)</f>
        <v>6</v>
      </c>
      <c r="S37" s="5">
        <f>VLOOKUP($A37,'NonXtal_SegEnds_Prot#'!$A:$AL,6,FALSE)</f>
        <v>37</v>
      </c>
      <c r="T37" s="5">
        <f>VLOOKUP($A37,'NonXtal_SegEnds_Prot#'!$A:$AL,9,FALSE)</f>
        <v>41</v>
      </c>
      <c r="U37" s="5" t="str">
        <f>VLOOKUP($A37,'NonXtal_SegEnds_Prot#'!$A:$AL,12,FALSE)</f>
        <v>-</v>
      </c>
      <c r="V37" s="5">
        <f>VLOOKUP($A37,'NonXtal_SegEnds_Prot#'!$A:$AL,15,FALSE)</f>
        <v>74</v>
      </c>
      <c r="W37" s="5">
        <f>VLOOKUP($A37,'NonXtal_SegEnds_Prot#'!$A:$AL,18,FALSE)</f>
        <v>115</v>
      </c>
      <c r="X37" s="5">
        <f>VLOOKUP($A37,'NonXtal_SegEnds_Prot#'!$A:$AL,21,FALSE)</f>
        <v>124</v>
      </c>
      <c r="Y37" s="5" t="str">
        <f>VLOOKUP($A37,'NonXtal_SegEnds_Prot#'!$A:$AL,24,FALSE)</f>
        <v>-</v>
      </c>
      <c r="Z37" s="5">
        <f>VLOOKUP($A37,'NonXtal_SegEnds_Prot#'!$A:$AL,27,FALSE)</f>
        <v>167</v>
      </c>
      <c r="AA37" s="5">
        <f>VLOOKUP($A37,'NonXtal_SegEnds_Prot#'!$A:$AL,30,FALSE)</f>
        <v>217</v>
      </c>
      <c r="AB37" s="5">
        <f>VLOOKUP($A37,'NonXtal_SegEnds_Prot#'!$A:$AL,33,FALSE)</f>
        <v>255</v>
      </c>
      <c r="AC37" s="5">
        <f>VLOOKUP($A37,'NonXtal_SegEnds_Prot#'!$A:$AL,36,FALSE)</f>
        <v>281</v>
      </c>
      <c r="AD37" s="5">
        <f>VLOOKUP($A37,'NonXtal_SegEnds_Prot#'!$A:$AL,5,FALSE)</f>
        <v>36</v>
      </c>
      <c r="AE37" s="5">
        <f>VLOOKUP($A37,'NonXtal_SegEnds_Prot#'!$A:$AL,8,FALSE)</f>
        <v>40</v>
      </c>
      <c r="AF37" s="5">
        <f>VLOOKUP($A37,'NonXtal_SegEnds_Prot#'!$A:$AL,11,FALSE)</f>
        <v>71</v>
      </c>
      <c r="AG37" s="5" t="str">
        <f>VLOOKUP($A37,'NonXtal_SegEnds_Prot#'!$A:$AL,14,FALSE)</f>
        <v>-</v>
      </c>
      <c r="AH37" s="5">
        <f>VLOOKUP($A37,'NonXtal_SegEnds_Prot#'!$A:$AL,17,FALSE)</f>
        <v>112</v>
      </c>
      <c r="AI37" s="5">
        <f>VLOOKUP($A37,'NonXtal_SegEnds_Prot#'!$A:$AL,20,FALSE)</f>
        <v>122</v>
      </c>
      <c r="AJ37" s="5">
        <f>VLOOKUP($A37,'NonXtal_SegEnds_Prot#'!$A:$AL,23,FALSE)</f>
        <v>148</v>
      </c>
      <c r="AK37" s="5" t="str">
        <f>VLOOKUP($A37,'NonXtal_SegEnds_Prot#'!$A:$AL,26,FALSE)</f>
        <v>-</v>
      </c>
      <c r="AL37" s="5">
        <f>VLOOKUP($A37,'NonXtal_SegEnds_Prot#'!$A:$AL,29,FALSE)</f>
        <v>207</v>
      </c>
      <c r="AM37" s="5">
        <f>VLOOKUP($A37,'NonXtal_SegEnds_Prot#'!$A:$AL,32,FALSE)</f>
        <v>249</v>
      </c>
      <c r="AN37" s="5">
        <f>VLOOKUP($A37,'NonXtal_SegEnds_Prot#'!$A:$AL,35,FALSE)</f>
        <v>280</v>
      </c>
      <c r="AO37" s="5">
        <f>VLOOKUP($A37,'NonXtal_SegEnds_Prot#'!$A:$AL,38,FALSE)</f>
        <v>294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24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'NonXtal_SegEnds_Prot#'!A398</f>
        <v>smo_human</v>
      </c>
      <c r="B38" s="1" t="str">
        <f t="shared" si="0"/>
        <v>EAEHQDMHSYIAAFGAVTGLCTLFTLATFVADRYPAVILFYVNACFFVGSIGWLAQFLSCVIIFVIVYYALMAGVVWFVVLTYAWHTSFKALGTLSGKTSYFHLLTWSLPFVLTVAILAVYRYRAGFVLAPIGLVLIVGGYFLIRGVMTLFSIKSNHSKINETMLRLGIFGFLAFGFVLITFSCHFYDFFNQAEWERSFRDYVLCQANLLVEKINLFAMFGTGIAMSTWVWTKATLLIWRRTWCRLT</v>
      </c>
      <c r="C38" s="72" t="str">
        <f>IF(ISERROR(MATCH(A38,'Xtal_SegEnds_Prot#'!B:B, 0)), "NoXtal", "Xtal")</f>
        <v>Xtal</v>
      </c>
      <c r="D38" s="4" t="str">
        <f>VLOOKUP(A38,Classification!A:D,2,FALSE)</f>
        <v>F</v>
      </c>
      <c r="E38" s="5" t="str">
        <f>VLOOKUP(A38,Seqs!A:B,2,FALSE)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" s="5" t="str">
        <f t="shared" si="1"/>
        <v>EAEHQDMHSYIAAFGAVTGLCTLFTLATFVAD</v>
      </c>
      <c r="G38" s="4" t="str">
        <f t="shared" si="2"/>
        <v>WRNSN</v>
      </c>
      <c r="H38" s="4" t="str">
        <f t="shared" si="3"/>
        <v>RYPAVILFYVNACFFVGSIGWLAQF</v>
      </c>
      <c r="I38" s="4" t="str">
        <f t="shared" si="4"/>
        <v/>
      </c>
      <c r="J38" s="4" t="str">
        <f t="shared" si="5"/>
        <v>LSCVIIFVIVYYALMAGVVWFVVLTYAWHTSFKALGT</v>
      </c>
      <c r="K38" s="4" t="str">
        <f t="shared" si="6"/>
        <v/>
      </c>
      <c r="L38" s="4" t="str">
        <f t="shared" si="7"/>
        <v>LSGKTSYFHLLTWSLPFVLTVAILAV</v>
      </c>
      <c r="M38" s="4" t="str">
        <f t="shared" si="8"/>
        <v>CFV</v>
      </c>
      <c r="N38" s="4" t="str">
        <f t="shared" si="9"/>
        <v>YRYRAGFVLAPIGLVLIVGGYFLIRGVMTLFSIKSNH</v>
      </c>
      <c r="O38" s="4" t="str">
        <f t="shared" si="10"/>
        <v>SKINETMLRLGIFGFLAFGFVLITFSCHFYDFFNQAEWERSFRDYVLCQAN</v>
      </c>
      <c r="P38" s="4" t="str">
        <f t="shared" si="11"/>
        <v>LLVEKINLFAMFGTGIAMSTWVW</v>
      </c>
      <c r="Q38" s="4" t="str">
        <f t="shared" si="12"/>
        <v>TKATLLIWRRTWCRLT</v>
      </c>
      <c r="R38" s="5">
        <f>VLOOKUP($A38,'NonXtal_SegEnds_Prot#'!$A:$AL,3,FALSE)</f>
        <v>224</v>
      </c>
      <c r="S38" s="5">
        <f>VLOOKUP($A38,'NonXtal_SegEnds_Prot#'!$A:$AL,6,FALSE)</f>
        <v>256</v>
      </c>
      <c r="T38" s="5">
        <f>VLOOKUP($A38,'NonXtal_SegEnds_Prot#'!$A:$AL,9,FALSE)</f>
        <v>261</v>
      </c>
      <c r="U38" s="5" t="str">
        <f>VLOOKUP($A38,'NonXtal_SegEnds_Prot#'!$A:$AL,12,FALSE)</f>
        <v>-</v>
      </c>
      <c r="V38" s="5">
        <f>VLOOKUP($A38,'NonXtal_SegEnds_Prot#'!$A:$AL,15,FALSE)</f>
        <v>312</v>
      </c>
      <c r="W38" s="5" t="str">
        <f>VLOOKUP($A38,'NonXtal_SegEnds_Prot#'!$A:$AL,18,FALSE)</f>
        <v>-</v>
      </c>
      <c r="X38" s="5">
        <f>VLOOKUP($A38,'NonXtal_SegEnds_Prot#'!$A:$AL,21,FALSE)</f>
        <v>353</v>
      </c>
      <c r="Y38" s="5">
        <f>VLOOKUP($A38,'NonXtal_SegEnds_Prot#'!$A:$AL,24,FALSE)</f>
        <v>390</v>
      </c>
      <c r="Z38" s="5">
        <f>VLOOKUP($A38,'NonXtal_SegEnds_Prot#'!$A:$AL,27,FALSE)</f>
        <v>397</v>
      </c>
      <c r="AA38" s="5">
        <f>VLOOKUP($A38,'NonXtal_SegEnds_Prot#'!$A:$AL,30,FALSE)</f>
        <v>443</v>
      </c>
      <c r="AB38" s="5">
        <f>VLOOKUP($A38,'NonXtal_SegEnds_Prot#'!$A:$AL,33,FALSE)</f>
        <v>515</v>
      </c>
      <c r="AC38" s="5">
        <f>VLOOKUP($A38,'NonXtal_SegEnds_Prot#'!$A:$AL,36,FALSE)</f>
        <v>538</v>
      </c>
      <c r="AD38" s="5">
        <f>VLOOKUP($A38,'NonXtal_SegEnds_Prot#'!$A:$AL,5,FALSE)</f>
        <v>255</v>
      </c>
      <c r="AE38" s="5">
        <f>VLOOKUP($A38,'NonXtal_SegEnds_Prot#'!$A:$AL,8,FALSE)</f>
        <v>260</v>
      </c>
      <c r="AF38" s="5">
        <f>VLOOKUP($A38,'NonXtal_SegEnds_Prot#'!$A:$AL,11,FALSE)</f>
        <v>285</v>
      </c>
      <c r="AG38" s="5" t="str">
        <f>VLOOKUP($A38,'NonXtal_SegEnds_Prot#'!$A:$AL,14,FALSE)</f>
        <v>-</v>
      </c>
      <c r="AH38" s="5">
        <f>VLOOKUP($A38,'NonXtal_SegEnds_Prot#'!$A:$AL,17,FALSE)</f>
        <v>348</v>
      </c>
      <c r="AI38" s="5" t="str">
        <f>VLOOKUP($A38,'NonXtal_SegEnds_Prot#'!$A:$AL,20,FALSE)</f>
        <v>-</v>
      </c>
      <c r="AJ38" s="5">
        <f>VLOOKUP($A38,'NonXtal_SegEnds_Prot#'!$A:$AL,23,FALSE)</f>
        <v>378</v>
      </c>
      <c r="AK38" s="5">
        <f>VLOOKUP($A38,'NonXtal_SegEnds_Prot#'!$A:$AL,26,FALSE)</f>
        <v>392</v>
      </c>
      <c r="AL38" s="5">
        <f>VLOOKUP($A38,'NonXtal_SegEnds_Prot#'!$A:$AL,29,FALSE)</f>
        <v>433</v>
      </c>
      <c r="AM38" s="5">
        <f>VLOOKUP($A38,'NonXtal_SegEnds_Prot#'!$A:$AL,32,FALSE)</f>
        <v>493</v>
      </c>
      <c r="AN38" s="5">
        <f>VLOOKUP($A38,'NonXtal_SegEnds_Prot#'!$A:$AL,35,FALSE)</f>
        <v>537</v>
      </c>
      <c r="AO38" s="5">
        <f>VLOOKUP($A38,'NonXtal_SegEnds_Prot#'!$A:$AL,38,FALSE)</f>
        <v>553</v>
      </c>
      <c r="AP38" s="5">
        <f t="shared" si="13"/>
        <v>31</v>
      </c>
      <c r="AQ38" s="4">
        <f t="shared" si="14"/>
        <v>4</v>
      </c>
      <c r="AR38" s="4">
        <f t="shared" si="15"/>
        <v>24</v>
      </c>
      <c r="AS38" s="4" t="str">
        <f t="shared" si="16"/>
        <v>-</v>
      </c>
      <c r="AT38" s="4">
        <f t="shared" si="17"/>
        <v>36</v>
      </c>
      <c r="AU38" s="4" t="str">
        <f t="shared" si="18"/>
        <v>-</v>
      </c>
      <c r="AV38" s="4">
        <f t="shared" si="19"/>
        <v>25</v>
      </c>
      <c r="AW38" s="4">
        <f t="shared" si="20"/>
        <v>2</v>
      </c>
      <c r="AX38" s="4">
        <f t="shared" si="21"/>
        <v>36</v>
      </c>
      <c r="AY38" s="4">
        <f t="shared" si="22"/>
        <v>50</v>
      </c>
      <c r="AZ38" s="4">
        <f t="shared" si="23"/>
        <v>22</v>
      </c>
      <c r="BA38" s="4">
        <f t="shared" si="24"/>
        <v>15</v>
      </c>
    </row>
    <row r="39" spans="1:53" x14ac:dyDescent="0.2">
      <c r="A39" s="1" t="str">
        <f>'NonXtal_SegEnds_Prot#'!A2</f>
        <v>gp148_human</v>
      </c>
      <c r="B39" s="1" t="str">
        <f t="shared" si="0"/>
        <v>SSMLYWLFLPSSLLAAATLAVSPLLLVTILRNQEPHYLLPANILLSDLAYILLHMLISSSSLGGRMACGILTDAVFAACTSTILSFTAIVLHTYLAVIHHGAAWKAVALIWLVACCFPTFLIWLEQGASYILPPSMGTQPGCGLLVIVTYTSILCVLFLCTALIANGQGYSRARGTLLIHSVLITLYVSTGVVFSLDMVLTGTHTWLLAANSEVLMMLPRAMLTYLYLLRYRQLL</v>
      </c>
      <c r="C39" s="72" t="str">
        <f>IF(ISERROR(MATCH(A39,'Xtal_SegEnds_Prot#'!B:B, 0)), "NoXtal", "Xtal")</f>
        <v>NoXtal</v>
      </c>
      <c r="D39" s="4" t="str">
        <f>VLOOKUP(A39,Classification!A:D,2,FALSE)</f>
        <v>A</v>
      </c>
      <c r="E39" s="5" t="str">
        <f>VLOOKUP(A39,Seqs!A:B,2,FALSE)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39" s="5" t="str">
        <f t="shared" si="1"/>
        <v>SSMLYWLFLPSSLLAAATLAVSPLLLVTILRN</v>
      </c>
      <c r="G39" s="4" t="str">
        <f t="shared" si="2"/>
        <v>QRLR</v>
      </c>
      <c r="H39" s="4" t="str">
        <f t="shared" si="3"/>
        <v>QEPHYLLPANILLSDLAYILLHMLISSSSLG</v>
      </c>
      <c r="I39" s="4" t="str">
        <f t="shared" si="4"/>
        <v>GWEL</v>
      </c>
      <c r="J39" s="4" t="str">
        <f t="shared" si="5"/>
        <v>GRMACGILTDAVFAACTSTILSFTAIVLHTYLAVIH</v>
      </c>
      <c r="K39" s="4" t="str">
        <f t="shared" si="6"/>
        <v>PLRYLSFM</v>
      </c>
      <c r="L39" s="4" t="str">
        <f t="shared" si="7"/>
        <v>HGAAWKAVALIWLVACCFPTFLIWL</v>
      </c>
      <c r="M39" s="4" t="str">
        <f t="shared" si="8"/>
        <v/>
      </c>
      <c r="N39" s="4" t="str">
        <f t="shared" si="9"/>
        <v>EQGASYILPPSMGTQPGCGLLVIVTYTSILCVLFLCTALIAN</v>
      </c>
      <c r="O39" s="4" t="str">
        <f t="shared" si="10"/>
        <v>GQGYSRARGTLLIHSVLITLYVSTGVVFSLDMVLT</v>
      </c>
      <c r="P39" s="4" t="str">
        <f t="shared" si="11"/>
        <v>GTHTWLLAANSEVLMMLPRAML</v>
      </c>
      <c r="Q39" s="4" t="str">
        <f t="shared" si="12"/>
        <v>TYLYLLRYRQLL</v>
      </c>
      <c r="R39" s="5">
        <f>VLOOKUP($A39,'NonXtal_SegEnds_Prot#'!$A:$AL,3,FALSE)</f>
        <v>46</v>
      </c>
      <c r="S39" s="5">
        <f>VLOOKUP($A39,'NonXtal_SegEnds_Prot#'!$A:$AL,6,FALSE)</f>
        <v>78</v>
      </c>
      <c r="T39" s="5">
        <f>VLOOKUP($A39,'NonXtal_SegEnds_Prot#'!$A:$AL,9,FALSE)</f>
        <v>82</v>
      </c>
      <c r="U39" s="5">
        <f>VLOOKUP($A39,'NonXtal_SegEnds_Prot#'!$A:$AL,12,FALSE)</f>
        <v>113</v>
      </c>
      <c r="V39" s="5">
        <f>VLOOKUP($A39,'NonXtal_SegEnds_Prot#'!$A:$AL,15,FALSE)</f>
        <v>117</v>
      </c>
      <c r="W39" s="5">
        <f>VLOOKUP($A39,'NonXtal_SegEnds_Prot#'!$A:$AL,18,FALSE)</f>
        <v>153</v>
      </c>
      <c r="X39" s="5">
        <f>VLOOKUP($A39,'NonXtal_SegEnds_Prot#'!$A:$AL,21,FALSE)</f>
        <v>162</v>
      </c>
      <c r="Y39" s="5" t="str">
        <f>VLOOKUP($A39,'NonXtal_SegEnds_Prot#'!$A:$AL,24,FALSE)</f>
        <v>-</v>
      </c>
      <c r="Z39" s="5">
        <f>VLOOKUP($A39,'NonXtal_SegEnds_Prot#'!$A:$AL,27,FALSE)</f>
        <v>196</v>
      </c>
      <c r="AA39" s="5">
        <f>VLOOKUP($A39,'NonXtal_SegEnds_Prot#'!$A:$AL,30,FALSE)</f>
        <v>253</v>
      </c>
      <c r="AB39" s="5">
        <f>VLOOKUP($A39,'NonXtal_SegEnds_Prot#'!$A:$AL,33,FALSE)</f>
        <v>295</v>
      </c>
      <c r="AC39" s="5">
        <f>VLOOKUP($A39,'NonXtal_SegEnds_Prot#'!$A:$AL,36,FALSE)</f>
        <v>317</v>
      </c>
      <c r="AD39" s="5">
        <f>VLOOKUP($A39,'NonXtal_SegEnds_Prot#'!$A:$AL,5,FALSE)</f>
        <v>77</v>
      </c>
      <c r="AE39" s="5">
        <f>VLOOKUP($A39,'NonXtal_SegEnds_Prot#'!$A:$AL,8,FALSE)</f>
        <v>81</v>
      </c>
      <c r="AF39" s="5">
        <f>VLOOKUP($A39,'NonXtal_SegEnds_Prot#'!$A:$AL,11,FALSE)</f>
        <v>112</v>
      </c>
      <c r="AG39" s="5">
        <f>VLOOKUP($A39,'NonXtal_SegEnds_Prot#'!$A:$AL,14,FALSE)</f>
        <v>116</v>
      </c>
      <c r="AH39" s="5">
        <f>VLOOKUP($A39,'NonXtal_SegEnds_Prot#'!$A:$AL,17,FALSE)</f>
        <v>152</v>
      </c>
      <c r="AI39" s="5">
        <f>VLOOKUP($A39,'NonXtal_SegEnds_Prot#'!$A:$AL,20,FALSE)</f>
        <v>160</v>
      </c>
      <c r="AJ39" s="5">
        <f>VLOOKUP($A39,'NonXtal_SegEnds_Prot#'!$A:$AL,23,FALSE)</f>
        <v>186</v>
      </c>
      <c r="AK39" s="5" t="str">
        <f>VLOOKUP($A39,'NonXtal_SegEnds_Prot#'!$A:$AL,26,FALSE)</f>
        <v>-</v>
      </c>
      <c r="AL39" s="5">
        <f>VLOOKUP($A39,'NonXtal_SegEnds_Prot#'!$A:$AL,29,FALSE)</f>
        <v>237</v>
      </c>
      <c r="AM39" s="5">
        <f>VLOOKUP($A39,'NonXtal_SegEnds_Prot#'!$A:$AL,32,FALSE)</f>
        <v>287</v>
      </c>
      <c r="AN39" s="5">
        <f>VLOOKUP($A39,'NonXtal_SegEnds_Prot#'!$A:$AL,35,FALSE)</f>
        <v>316</v>
      </c>
      <c r="AO39" s="5">
        <f>VLOOKUP($A39,'NonXtal_SegEnds_Prot#'!$A:$AL,38,FALSE)</f>
        <v>328</v>
      </c>
      <c r="AP39" s="5">
        <f t="shared" si="13"/>
        <v>31</v>
      </c>
      <c r="AQ39" s="4">
        <f t="shared" si="14"/>
        <v>3</v>
      </c>
      <c r="AR39" s="4">
        <f t="shared" si="15"/>
        <v>30</v>
      </c>
      <c r="AS39" s="4">
        <f t="shared" si="16"/>
        <v>3</v>
      </c>
      <c r="AT39" s="4">
        <f t="shared" si="17"/>
        <v>35</v>
      </c>
      <c r="AU39" s="4">
        <f t="shared" si="18"/>
        <v>7</v>
      </c>
      <c r="AV39" s="4">
        <f t="shared" si="19"/>
        <v>24</v>
      </c>
      <c r="AW39" s="4" t="str">
        <f t="shared" si="20"/>
        <v>-</v>
      </c>
      <c r="AX39" s="4">
        <f t="shared" si="21"/>
        <v>41</v>
      </c>
      <c r="AY39" s="4">
        <f t="shared" si="22"/>
        <v>34</v>
      </c>
      <c r="AZ39" s="4">
        <f t="shared" si="23"/>
        <v>21</v>
      </c>
      <c r="BA39" s="4">
        <f t="shared" si="24"/>
        <v>11</v>
      </c>
    </row>
    <row r="40" spans="1:53" x14ac:dyDescent="0.2">
      <c r="A40" s="1" t="str">
        <f>'NonXtal_SegEnds_Prot#'!A3</f>
        <v>t2r60_human</v>
      </c>
      <c r="B40" s="1" t="str">
        <f t="shared" si="0"/>
        <v>AIILVTILLLLRLVAIAGNGFITAALGVEWVLLPCDKLLVSLGASRFCLQSVVMGKTIYVFLHAFPYNPVLQFLAFQWDFLNAATLWSSTWLSVFYCVKIATKLSGWLPWMLFSSVGLSSFTTILFFSYCEKFYLFPLKMITWTMPTAVFFICMILLITSLGRHRKKAPSVQAHIKALLALLSFAMLFISYFLSLVFSAAGLDFKFWVWESVIYLCAAVHPIILLFSNCRLRAVLKSRRSS</v>
      </c>
      <c r="C40" s="72" t="str">
        <f>IF(ISERROR(MATCH(A40,'Xtal_SegEnds_Prot#'!B:B, 0)), "NoXtal", "Xtal")</f>
        <v>NoXtal</v>
      </c>
      <c r="D40" s="4" t="str">
        <f>VLOOKUP(A40,Classification!A:D,2,FALSE)</f>
        <v>T</v>
      </c>
      <c r="E40" s="5" t="str">
        <f>VLOOKUP(A40,Seqs!A:B,2,FALSE)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" s="5" t="str">
        <f t="shared" si="1"/>
        <v>AIILVTILLLLRLVAIAGNGFITAALGVEWV</v>
      </c>
      <c r="G40" s="4" t="str">
        <f t="shared" si="2"/>
        <v>LRRM</v>
      </c>
      <c r="H40" s="4" t="str">
        <f t="shared" si="3"/>
        <v>LLPCDKLLVSLGASRFCLQSVVMGKTIYVFLH</v>
      </c>
      <c r="I40" s="4" t="str">
        <f t="shared" si="4"/>
        <v/>
      </c>
      <c r="J40" s="4" t="str">
        <f t="shared" si="5"/>
        <v>AFPYNPVLQFLAFQWDFLNAATLWSSTWLSVFYCVKIAT</v>
      </c>
      <c r="K40" s="4" t="str">
        <f t="shared" si="6"/>
        <v>HPVFFWLK</v>
      </c>
      <c r="L40" s="4" t="str">
        <f t="shared" si="7"/>
        <v>KLSGWLPWMLFSSVGLSSFTTILFF</v>
      </c>
      <c r="M40" s="4" t="str">
        <f t="shared" si="8"/>
        <v/>
      </c>
      <c r="N40" s="4" t="str">
        <f t="shared" si="9"/>
        <v>SYCEKFYLFPLKMITWTMPTAVFFICMILLITSLGRHRKKA</v>
      </c>
      <c r="O40" s="4" t="str">
        <f t="shared" si="10"/>
        <v>PSVQAHIKALLALLSFAMLFISYFLSLVFSAAG</v>
      </c>
      <c r="P40" s="4" t="str">
        <f t="shared" si="11"/>
        <v>LDFKFWVWESVIYLCAAVHPIILLFS</v>
      </c>
      <c r="Q40" s="4" t="str">
        <f t="shared" si="12"/>
        <v>NCRLRAVLKSRRSS</v>
      </c>
      <c r="R40" s="5">
        <f>VLOOKUP($A40,'NonXtal_SegEnds_Prot#'!$A:$AL,3,FALSE)</f>
        <v>17</v>
      </c>
      <c r="S40" s="5">
        <f>VLOOKUP($A40,'NonXtal_SegEnds_Prot#'!$A:$AL,6,FALSE)</f>
        <v>48</v>
      </c>
      <c r="T40" s="5">
        <f>VLOOKUP($A40,'NonXtal_SegEnds_Prot#'!$A:$AL,9,FALSE)</f>
        <v>52</v>
      </c>
      <c r="U40" s="5" t="str">
        <f>VLOOKUP($A40,'NonXtal_SegEnds_Prot#'!$A:$AL,12,FALSE)</f>
        <v>-</v>
      </c>
      <c r="V40" s="5">
        <f>VLOOKUP($A40,'NonXtal_SegEnds_Prot#'!$A:$AL,15,FALSE)</f>
        <v>86</v>
      </c>
      <c r="W40" s="5">
        <f>VLOOKUP($A40,'NonXtal_SegEnds_Prot#'!$A:$AL,18,FALSE)</f>
        <v>127</v>
      </c>
      <c r="X40" s="5">
        <f>VLOOKUP($A40,'NonXtal_SegEnds_Prot#'!$A:$AL,21,FALSE)</f>
        <v>136</v>
      </c>
      <c r="Y40" s="5" t="str">
        <f>VLOOKUP($A40,'NonXtal_SegEnds_Prot#'!$A:$AL,24,FALSE)</f>
        <v>-</v>
      </c>
      <c r="Z40" s="5">
        <f>VLOOKUP($A40,'NonXtal_SegEnds_Prot#'!$A:$AL,27,FALSE)</f>
        <v>187</v>
      </c>
      <c r="AA40" s="5">
        <f>VLOOKUP($A40,'NonXtal_SegEnds_Prot#'!$A:$AL,30,FALSE)</f>
        <v>237</v>
      </c>
      <c r="AB40" s="5">
        <f>VLOOKUP($A40,'NonXtal_SegEnds_Prot#'!$A:$AL,33,FALSE)</f>
        <v>274</v>
      </c>
      <c r="AC40" s="5">
        <f>VLOOKUP($A40,'NonXtal_SegEnds_Prot#'!$A:$AL,36,FALSE)</f>
        <v>300</v>
      </c>
      <c r="AD40" s="5">
        <f>VLOOKUP($A40,'NonXtal_SegEnds_Prot#'!$A:$AL,5,FALSE)</f>
        <v>47</v>
      </c>
      <c r="AE40" s="5">
        <f>VLOOKUP($A40,'NonXtal_SegEnds_Prot#'!$A:$AL,8,FALSE)</f>
        <v>51</v>
      </c>
      <c r="AF40" s="5">
        <f>VLOOKUP($A40,'NonXtal_SegEnds_Prot#'!$A:$AL,11,FALSE)</f>
        <v>83</v>
      </c>
      <c r="AG40" s="5" t="str">
        <f>VLOOKUP($A40,'NonXtal_SegEnds_Prot#'!$A:$AL,14,FALSE)</f>
        <v>-</v>
      </c>
      <c r="AH40" s="5">
        <f>VLOOKUP($A40,'NonXtal_SegEnds_Prot#'!$A:$AL,17,FALSE)</f>
        <v>124</v>
      </c>
      <c r="AI40" s="5">
        <f>VLOOKUP($A40,'NonXtal_SegEnds_Prot#'!$A:$AL,20,FALSE)</f>
        <v>134</v>
      </c>
      <c r="AJ40" s="5">
        <f>VLOOKUP($A40,'NonXtal_SegEnds_Prot#'!$A:$AL,23,FALSE)</f>
        <v>160</v>
      </c>
      <c r="AK40" s="5" t="str">
        <f>VLOOKUP($A40,'NonXtal_SegEnds_Prot#'!$A:$AL,26,FALSE)</f>
        <v>-</v>
      </c>
      <c r="AL40" s="5">
        <f>VLOOKUP($A40,'NonXtal_SegEnds_Prot#'!$A:$AL,29,FALSE)</f>
        <v>227</v>
      </c>
      <c r="AM40" s="5">
        <f>VLOOKUP($A40,'NonXtal_SegEnds_Prot#'!$A:$AL,32,FALSE)</f>
        <v>269</v>
      </c>
      <c r="AN40" s="5">
        <f>VLOOKUP($A40,'NonXtal_SegEnds_Prot#'!$A:$AL,35,FALSE)</f>
        <v>299</v>
      </c>
      <c r="AO40" s="5">
        <f>VLOOKUP($A40,'NonXtal_SegEnds_Prot#'!$A:$AL,38,FALSE)</f>
        <v>313</v>
      </c>
      <c r="AP40" s="5">
        <f t="shared" si="13"/>
        <v>30</v>
      </c>
      <c r="AQ40" s="4">
        <f t="shared" si="14"/>
        <v>3</v>
      </c>
      <c r="AR40" s="4">
        <f t="shared" si="15"/>
        <v>31</v>
      </c>
      <c r="AS40" s="4" t="str">
        <f t="shared" si="16"/>
        <v>-</v>
      </c>
      <c r="AT40" s="4">
        <f t="shared" si="17"/>
        <v>38</v>
      </c>
      <c r="AU40" s="4">
        <f t="shared" si="18"/>
        <v>7</v>
      </c>
      <c r="AV40" s="4">
        <f t="shared" si="19"/>
        <v>24</v>
      </c>
      <c r="AW40" s="4" t="str">
        <f t="shared" si="20"/>
        <v>-</v>
      </c>
      <c r="AX40" s="4">
        <f t="shared" si="21"/>
        <v>40</v>
      </c>
      <c r="AY40" s="4">
        <f t="shared" si="22"/>
        <v>32</v>
      </c>
      <c r="AZ40" s="4">
        <f t="shared" si="23"/>
        <v>25</v>
      </c>
      <c r="BA40" s="4">
        <f t="shared" si="24"/>
        <v>13</v>
      </c>
    </row>
    <row r="41" spans="1:53" x14ac:dyDescent="0.2">
      <c r="A41" s="1" t="str">
        <f>'NonXtal_SegEnds_Prot#'!A4</f>
        <v>5ht7r_human</v>
      </c>
      <c r="B41" s="1" t="str">
        <f t="shared" si="0"/>
        <v>RVEKVVIGSILTLITLLTIAGNCLVVISVCFVQPSNYLIVSLALADLSVAVAVMPFVSVTDLIGHFFCNVFIAMDVMCCTASIMTLCVISIDRYLGITRGKCMAKMILSVWLLSASITLPPLFGDFGYTIYSTAVAFYIPMSVMLFMYYQIYKAARKSAAKHKFPGISIFKREQKAATTLGIIVGAFTVCWLPFFLLSTARPFISCIPLWVERTFLWLGYANSLINPFIYAFFNRDLRTTYRSLL</v>
      </c>
      <c r="C41" s="72" t="str">
        <f>IF(ISERROR(MATCH(A41,'Xtal_SegEnds_Prot#'!B:B, 0)), "NoXtal", "Xtal")</f>
        <v>NoXtal</v>
      </c>
      <c r="D41" s="4" t="str">
        <f>VLOOKUP(A41,Classification!A:D,2,FALSE)</f>
        <v>A</v>
      </c>
      <c r="E41" s="5" t="str">
        <f>VLOOKUP(A41,Seqs!A:B,2,FALSE)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41" s="5" t="str">
        <f t="shared" si="1"/>
        <v>RVEKVVIGSILTLITLLTIAGNCLVVISVCFV</v>
      </c>
      <c r="G41" s="4" t="str">
        <f t="shared" si="2"/>
        <v>KKLR</v>
      </c>
      <c r="H41" s="4" t="str">
        <f t="shared" si="3"/>
        <v>QPSNYLIVSLALADLSVAVAVMPFVSVTDLI</v>
      </c>
      <c r="I41" s="4" t="str">
        <f t="shared" si="4"/>
        <v>KWIF</v>
      </c>
      <c r="J41" s="4" t="str">
        <f t="shared" si="5"/>
        <v>GHFFCNVFIAMDVMCCTASIMTLCVISIDRYLGITR</v>
      </c>
      <c r="K41" s="4" t="str">
        <f t="shared" si="6"/>
        <v>PLTYPVRQ</v>
      </c>
      <c r="L41" s="4" t="str">
        <f t="shared" si="7"/>
        <v>GKCMAKMILSVWLLSASITLPPLFG</v>
      </c>
      <c r="M41" s="4" t="str">
        <f t="shared" si="8"/>
        <v>CLI</v>
      </c>
      <c r="N41" s="4" t="str">
        <f t="shared" si="9"/>
        <v>DFGYTIYSTAVAFYIPMSVMLFMYYQIYKAARKSAAKHKFPG</v>
      </c>
      <c r="O41" s="4" t="str">
        <f t="shared" si="10"/>
        <v>ISIFKREQKAATTLGIIVGAFTVCWLPFFLLSTARPFI</v>
      </c>
      <c r="P41" s="4" t="str">
        <f t="shared" si="11"/>
        <v>SCIPLWVERTFLWLGYANSLINPFIYAFF</v>
      </c>
      <c r="Q41" s="4" t="str">
        <f t="shared" si="12"/>
        <v>NRDLRTTYRSLL</v>
      </c>
      <c r="R41" s="5">
        <f>VLOOKUP($A41,'NonXtal_SegEnds_Prot#'!$A:$AL,3,FALSE)</f>
        <v>78</v>
      </c>
      <c r="S41" s="5">
        <f>VLOOKUP($A41,'NonXtal_SegEnds_Prot#'!$A:$AL,6,FALSE)</f>
        <v>110</v>
      </c>
      <c r="T41" s="5">
        <f>VLOOKUP($A41,'NonXtal_SegEnds_Prot#'!$A:$AL,9,FALSE)</f>
        <v>114</v>
      </c>
      <c r="U41" s="5">
        <f>VLOOKUP($A41,'NonXtal_SegEnds_Prot#'!$A:$AL,12,FALSE)</f>
        <v>147</v>
      </c>
      <c r="V41" s="5">
        <f>VLOOKUP($A41,'NonXtal_SegEnds_Prot#'!$A:$AL,15,FALSE)</f>
        <v>151</v>
      </c>
      <c r="W41" s="5">
        <f>VLOOKUP($A41,'NonXtal_SegEnds_Prot#'!$A:$AL,18,FALSE)</f>
        <v>187</v>
      </c>
      <c r="X41" s="5">
        <f>VLOOKUP($A41,'NonXtal_SegEnds_Prot#'!$A:$AL,21,FALSE)</f>
        <v>196</v>
      </c>
      <c r="Y41" s="5">
        <f>VLOOKUP($A41,'NonXtal_SegEnds_Prot#'!$A:$AL,24,FALSE)</f>
        <v>231</v>
      </c>
      <c r="Z41" s="5">
        <f>VLOOKUP($A41,'NonXtal_SegEnds_Prot#'!$A:$AL,27,FALSE)</f>
        <v>236</v>
      </c>
      <c r="AA41" s="5">
        <f>VLOOKUP($A41,'NonXtal_SegEnds_Prot#'!$A:$AL,30,FALSE)</f>
        <v>316</v>
      </c>
      <c r="AB41" s="5">
        <f>VLOOKUP($A41,'NonXtal_SegEnds_Prot#'!$A:$AL,33,FALSE)</f>
        <v>359</v>
      </c>
      <c r="AC41" s="5">
        <f>VLOOKUP($A41,'NonXtal_SegEnds_Prot#'!$A:$AL,36,FALSE)</f>
        <v>388</v>
      </c>
      <c r="AD41" s="5">
        <f>VLOOKUP($A41,'NonXtal_SegEnds_Prot#'!$A:$AL,5,FALSE)</f>
        <v>109</v>
      </c>
      <c r="AE41" s="5">
        <f>VLOOKUP($A41,'NonXtal_SegEnds_Prot#'!$A:$AL,8,FALSE)</f>
        <v>113</v>
      </c>
      <c r="AF41" s="5">
        <f>VLOOKUP($A41,'NonXtal_SegEnds_Prot#'!$A:$AL,11,FALSE)</f>
        <v>144</v>
      </c>
      <c r="AG41" s="5">
        <f>VLOOKUP($A41,'NonXtal_SegEnds_Prot#'!$A:$AL,14,FALSE)</f>
        <v>150</v>
      </c>
      <c r="AH41" s="5">
        <f>VLOOKUP($A41,'NonXtal_SegEnds_Prot#'!$A:$AL,17,FALSE)</f>
        <v>186</v>
      </c>
      <c r="AI41" s="5">
        <f>VLOOKUP($A41,'NonXtal_SegEnds_Prot#'!$A:$AL,20,FALSE)</f>
        <v>194</v>
      </c>
      <c r="AJ41" s="5">
        <f>VLOOKUP($A41,'NonXtal_SegEnds_Prot#'!$A:$AL,23,FALSE)</f>
        <v>220</v>
      </c>
      <c r="AK41" s="5">
        <f>VLOOKUP($A41,'NonXtal_SegEnds_Prot#'!$A:$AL,26,FALSE)</f>
        <v>233</v>
      </c>
      <c r="AL41" s="5">
        <f>VLOOKUP($A41,'NonXtal_SegEnds_Prot#'!$A:$AL,29,FALSE)</f>
        <v>277</v>
      </c>
      <c r="AM41" s="5">
        <f>VLOOKUP($A41,'NonXtal_SegEnds_Prot#'!$A:$AL,32,FALSE)</f>
        <v>353</v>
      </c>
      <c r="AN41" s="5">
        <f>VLOOKUP($A41,'NonXtal_SegEnds_Prot#'!$A:$AL,35,FALSE)</f>
        <v>387</v>
      </c>
      <c r="AO41" s="5">
        <f>VLOOKUP($A41,'NonXtal_SegEnds_Prot#'!$A:$AL,38,FALSE)</f>
        <v>399</v>
      </c>
      <c r="AP41" s="5">
        <f t="shared" si="13"/>
        <v>31</v>
      </c>
      <c r="AQ41" s="4">
        <f t="shared" si="14"/>
        <v>3</v>
      </c>
      <c r="AR41" s="4">
        <f t="shared" si="15"/>
        <v>30</v>
      </c>
      <c r="AS41" s="4">
        <f t="shared" si="16"/>
        <v>3</v>
      </c>
      <c r="AT41" s="4">
        <f t="shared" si="17"/>
        <v>35</v>
      </c>
      <c r="AU41" s="4">
        <f t="shared" si="18"/>
        <v>7</v>
      </c>
      <c r="AV41" s="4">
        <f t="shared" si="19"/>
        <v>24</v>
      </c>
      <c r="AW41" s="4">
        <f t="shared" si="20"/>
        <v>2</v>
      </c>
      <c r="AX41" s="4">
        <f t="shared" si="21"/>
        <v>41</v>
      </c>
      <c r="AY41" s="4">
        <f t="shared" si="22"/>
        <v>37</v>
      </c>
      <c r="AZ41" s="4">
        <f t="shared" si="23"/>
        <v>28</v>
      </c>
      <c r="BA41" s="4">
        <f t="shared" si="24"/>
        <v>11</v>
      </c>
    </row>
    <row r="42" spans="1:53" x14ac:dyDescent="0.2">
      <c r="A42" s="1" t="str">
        <f>'NonXtal_SegEnds_Prot#'!A6</f>
        <v>ada2c_human</v>
      </c>
      <c r="B42" s="1" t="str">
        <f t="shared" si="0"/>
        <v>AGAVAGLAAVVGFLIVFTVVGNVLVVIAVLTSAPQNLFLVSLASADILVATLVMPFSLANELMGQVWCGVYLALDVLFCTSSIVHLCAISLDRYWSVTQPRRVKATIVAVWLISAVISFPPLVSETWYILSSCIGSFFAPCLIMGLVYARIYRVAKLRTRTLSEKKVAQAREKRFTFVLAVVMGVFVLCWFPFFFSYSLYGICPGPLFKFFFWIGYCNSSLNPVIYTVFNQDFRRSFKHIL</v>
      </c>
      <c r="C42" s="72" t="str">
        <f>IF(ISERROR(MATCH(A42,'Xtal_SegEnds_Prot#'!B:B, 0)), "NoXtal", "Xtal")</f>
        <v>NoXtal</v>
      </c>
      <c r="D42" s="4" t="str">
        <f>VLOOKUP(A42,Classification!A:D,2,FALSE)</f>
        <v>A</v>
      </c>
      <c r="E42" s="5" t="str">
        <f>VLOOKUP(A42,Seqs!A:B,2,FALSE)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42" s="5" t="str">
        <f t="shared" si="1"/>
        <v>AGAVAGLAAVVGFLIVFTVVGNVLVVIAVLTS</v>
      </c>
      <c r="G42" s="4" t="str">
        <f t="shared" si="2"/>
        <v>RALR</v>
      </c>
      <c r="H42" s="4" t="str">
        <f t="shared" si="3"/>
        <v>APQNLFLVSLASADILVATLVMPFSLANELM</v>
      </c>
      <c r="I42" s="4" t="str">
        <f t="shared" si="4"/>
        <v>YWYF</v>
      </c>
      <c r="J42" s="4" t="str">
        <f t="shared" si="5"/>
        <v>GQVWCGVYLALDVLFCTSSIVHLCAISLDRYWSVTQ</v>
      </c>
      <c r="K42" s="4" t="str">
        <f t="shared" si="6"/>
        <v>AVEYNLKR</v>
      </c>
      <c r="L42" s="4" t="str">
        <f t="shared" si="7"/>
        <v>PRRVKATIVAVWLISAVISFPPLVS</v>
      </c>
      <c r="M42" s="4" t="str">
        <f t="shared" si="8"/>
        <v>CGL</v>
      </c>
      <c r="N42" s="4" t="str">
        <f t="shared" si="9"/>
        <v>ETWYILSSCIGSFFAPCLIMGLVYARIYRVAKLRTRTLSEK</v>
      </c>
      <c r="O42" s="4" t="str">
        <f t="shared" si="10"/>
        <v>KVAQAREKRFTFVLAVVMGVFVLCWFPFFFSYSLYGIC</v>
      </c>
      <c r="P42" s="4" t="str">
        <f t="shared" si="11"/>
        <v>PGPLFKFFFWIGYCNSSLNPVIYTVF</v>
      </c>
      <c r="Q42" s="4" t="str">
        <f t="shared" si="12"/>
        <v>NQDFRRSFKHIL</v>
      </c>
      <c r="R42" s="5">
        <f>VLOOKUP($A42,'NonXtal_SegEnds_Prot#'!$A:$AL,3,FALSE)</f>
        <v>48</v>
      </c>
      <c r="S42" s="5">
        <f>VLOOKUP($A42,'NonXtal_SegEnds_Prot#'!$A:$AL,6,FALSE)</f>
        <v>80</v>
      </c>
      <c r="T42" s="5">
        <f>VLOOKUP($A42,'NonXtal_SegEnds_Prot#'!$A:$AL,9,FALSE)</f>
        <v>84</v>
      </c>
      <c r="U42" s="5">
        <f>VLOOKUP($A42,'NonXtal_SegEnds_Prot#'!$A:$AL,12,FALSE)</f>
        <v>116</v>
      </c>
      <c r="V42" s="5">
        <f>VLOOKUP($A42,'NonXtal_SegEnds_Prot#'!$A:$AL,15,FALSE)</f>
        <v>120</v>
      </c>
      <c r="W42" s="5">
        <f>VLOOKUP($A42,'NonXtal_SegEnds_Prot#'!$A:$AL,18,FALSE)</f>
        <v>156</v>
      </c>
      <c r="X42" s="5">
        <f>VLOOKUP($A42,'NonXtal_SegEnds_Prot#'!$A:$AL,21,FALSE)</f>
        <v>165</v>
      </c>
      <c r="Y42" s="5">
        <f>VLOOKUP($A42,'NonXtal_SegEnds_Prot#'!$A:$AL,24,FALSE)</f>
        <v>202</v>
      </c>
      <c r="Z42" s="5">
        <f>VLOOKUP($A42,'NonXtal_SegEnds_Prot#'!$A:$AL,27,FALSE)</f>
        <v>207</v>
      </c>
      <c r="AA42" s="5">
        <f>VLOOKUP($A42,'NonXtal_SegEnds_Prot#'!$A:$AL,30,FALSE)</f>
        <v>371</v>
      </c>
      <c r="AB42" s="5">
        <f>VLOOKUP($A42,'NonXtal_SegEnds_Prot#'!$A:$AL,33,FALSE)</f>
        <v>415</v>
      </c>
      <c r="AC42" s="5">
        <f>VLOOKUP($A42,'NonXtal_SegEnds_Prot#'!$A:$AL,36,FALSE)</f>
        <v>441</v>
      </c>
      <c r="AD42" s="5">
        <f>VLOOKUP($A42,'NonXtal_SegEnds_Prot#'!$A:$AL,5,FALSE)</f>
        <v>79</v>
      </c>
      <c r="AE42" s="5">
        <f>VLOOKUP($A42,'NonXtal_SegEnds_Prot#'!$A:$AL,8,FALSE)</f>
        <v>83</v>
      </c>
      <c r="AF42" s="5">
        <f>VLOOKUP($A42,'NonXtal_SegEnds_Prot#'!$A:$AL,11,FALSE)</f>
        <v>114</v>
      </c>
      <c r="AG42" s="5">
        <f>VLOOKUP($A42,'NonXtal_SegEnds_Prot#'!$A:$AL,14,FALSE)</f>
        <v>119</v>
      </c>
      <c r="AH42" s="5">
        <f>VLOOKUP($A42,'NonXtal_SegEnds_Prot#'!$A:$AL,17,FALSE)</f>
        <v>155</v>
      </c>
      <c r="AI42" s="5">
        <f>VLOOKUP($A42,'NonXtal_SegEnds_Prot#'!$A:$AL,20,FALSE)</f>
        <v>163</v>
      </c>
      <c r="AJ42" s="5">
        <f>VLOOKUP($A42,'NonXtal_SegEnds_Prot#'!$A:$AL,23,FALSE)</f>
        <v>189</v>
      </c>
      <c r="AK42" s="5">
        <f>VLOOKUP($A42,'NonXtal_SegEnds_Prot#'!$A:$AL,26,FALSE)</f>
        <v>204</v>
      </c>
      <c r="AL42" s="5">
        <f>VLOOKUP($A42,'NonXtal_SegEnds_Prot#'!$A:$AL,29,FALSE)</f>
        <v>247</v>
      </c>
      <c r="AM42" s="5">
        <f>VLOOKUP($A42,'NonXtal_SegEnds_Prot#'!$A:$AL,32,FALSE)</f>
        <v>408</v>
      </c>
      <c r="AN42" s="5">
        <f>VLOOKUP($A42,'NonXtal_SegEnds_Prot#'!$A:$AL,35,FALSE)</f>
        <v>440</v>
      </c>
      <c r="AO42" s="5">
        <f>VLOOKUP($A42,'NonXtal_SegEnds_Prot#'!$A:$AL,38,FALSE)</f>
        <v>452</v>
      </c>
      <c r="AP42" s="5">
        <f t="shared" si="13"/>
        <v>31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7</v>
      </c>
      <c r="AV42" s="4">
        <f t="shared" si="19"/>
        <v>24</v>
      </c>
      <c r="AW42" s="4">
        <f t="shared" si="20"/>
        <v>2</v>
      </c>
      <c r="AX42" s="4">
        <f t="shared" si="21"/>
        <v>40</v>
      </c>
      <c r="AY42" s="4">
        <f t="shared" si="22"/>
        <v>37</v>
      </c>
      <c r="AZ42" s="4">
        <f t="shared" si="23"/>
        <v>25</v>
      </c>
      <c r="BA42" s="4">
        <f t="shared" si="24"/>
        <v>11</v>
      </c>
    </row>
    <row r="43" spans="1:53" x14ac:dyDescent="0.2">
      <c r="A43" s="1" t="str">
        <f>'NonXtal_SegEnds_Prot#'!A7</f>
        <v>taar2_human</v>
      </c>
      <c r="B43" s="1" t="str">
        <f t="shared" si="0"/>
        <v>LGVRVAMYSFMAGSIFITIFGNLAMIISISYFTPTNFLILSMAITDFLLGFTIMPYSMIRSVEGLTFCKIYYSFDLMLSITSIFHLCSVAIDRFYAICYIPVIKRLLLLCWSVPGAFAFGVVFSNKLWGTTLFMAGFFTPGSMMVGIYGKIFAVSRKHAHAINNQNNQVKKDKKAAKTLGIVIGVFLLCWFPCFFTILLDPFLPVVLFDALTWFGYFNSTCNPLIYGFFYPWFRRALKYIL</v>
      </c>
      <c r="C43" s="72" t="str">
        <f>IF(ISERROR(MATCH(A43,'Xtal_SegEnds_Prot#'!B:B, 0)), "NoXtal", "Xtal")</f>
        <v>NoXtal</v>
      </c>
      <c r="D43" s="4" t="str">
        <f>VLOOKUP(A43,Classification!A:D,2,FALSE)</f>
        <v>A</v>
      </c>
      <c r="E43" s="5" t="str">
        <f>VLOOKUP(A43,Seqs!A:B,2,FALSE)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43" s="5" t="str">
        <f t="shared" si="1"/>
        <v>LGVRVAMYSFMAGSIFITIFGNLAMIISISYF</v>
      </c>
      <c r="G43" s="4" t="str">
        <f t="shared" si="2"/>
        <v>KQLH</v>
      </c>
      <c r="H43" s="4" t="str">
        <f t="shared" si="3"/>
        <v>TPTNFLILSMAITDFLLGFTIMPYSMIRSVE</v>
      </c>
      <c r="I43" s="4" t="str">
        <f t="shared" si="4"/>
        <v>CWYF</v>
      </c>
      <c r="J43" s="4" t="str">
        <f t="shared" si="5"/>
        <v>GLTFCKIYYSFDLMLSITSIFHLCSVAIDRFYAICY</v>
      </c>
      <c r="K43" s="4" t="str">
        <f t="shared" si="6"/>
        <v>PLLYSTKI</v>
      </c>
      <c r="L43" s="4" t="str">
        <f t="shared" si="7"/>
        <v>IPVIKRLLLLCWSVPGAFAFGVVFS</v>
      </c>
      <c r="M43" s="4" t="str">
        <f t="shared" si="8"/>
        <v>CPV</v>
      </c>
      <c r="N43" s="4" t="str">
        <f t="shared" si="9"/>
        <v>NKLWGTTLFMAGFFTPGSMMVGIYGKIFAVSRKHAHAIN</v>
      </c>
      <c r="O43" s="4" t="str">
        <f t="shared" si="10"/>
        <v>NQNNQVKKDKKAAKTLGIVIGVFLLCWFPCFFTILLDPFL</v>
      </c>
      <c r="P43" s="4" t="str">
        <f t="shared" si="11"/>
        <v>PVVLFDALTWFGYFNSTCNPLIYGFF</v>
      </c>
      <c r="Q43" s="4" t="str">
        <f t="shared" si="12"/>
        <v>YPWFRRALKYIL</v>
      </c>
      <c r="R43" s="5">
        <f>VLOOKUP($A43,'NonXtal_SegEnds_Prot#'!$A:$AL,3,FALSE)</f>
        <v>40</v>
      </c>
      <c r="S43" s="5">
        <f>VLOOKUP($A43,'NonXtal_SegEnds_Prot#'!$A:$AL,6,FALSE)</f>
        <v>72</v>
      </c>
      <c r="T43" s="5">
        <f>VLOOKUP($A43,'NonXtal_SegEnds_Prot#'!$A:$AL,9,FALSE)</f>
        <v>76</v>
      </c>
      <c r="U43" s="5">
        <f>VLOOKUP($A43,'NonXtal_SegEnds_Prot#'!$A:$AL,12,FALSE)</f>
        <v>108</v>
      </c>
      <c r="V43" s="5">
        <f>VLOOKUP($A43,'NonXtal_SegEnds_Prot#'!$A:$AL,15,FALSE)</f>
        <v>112</v>
      </c>
      <c r="W43" s="5">
        <f>VLOOKUP($A43,'NonXtal_SegEnds_Prot#'!$A:$AL,18,FALSE)</f>
        <v>148</v>
      </c>
      <c r="X43" s="5">
        <f>VLOOKUP($A43,'NonXtal_SegEnds_Prot#'!$A:$AL,21,FALSE)</f>
        <v>157</v>
      </c>
      <c r="Y43" s="5">
        <f>VLOOKUP($A43,'NonXtal_SegEnds_Prot#'!$A:$AL,24,FALSE)</f>
        <v>201</v>
      </c>
      <c r="Z43" s="5">
        <f>VLOOKUP($A43,'NonXtal_SegEnds_Prot#'!$A:$AL,27,FALSE)</f>
        <v>206</v>
      </c>
      <c r="AA43" s="5">
        <f>VLOOKUP($A43,'NonXtal_SegEnds_Prot#'!$A:$AL,30,FALSE)</f>
        <v>249</v>
      </c>
      <c r="AB43" s="5">
        <f>VLOOKUP($A43,'NonXtal_SegEnds_Prot#'!$A:$AL,33,FALSE)</f>
        <v>293</v>
      </c>
      <c r="AC43" s="5">
        <f>VLOOKUP($A43,'NonXtal_SegEnds_Prot#'!$A:$AL,36,FALSE)</f>
        <v>319</v>
      </c>
      <c r="AD43" s="5">
        <f>VLOOKUP($A43,'NonXtal_SegEnds_Prot#'!$A:$AL,5,FALSE)</f>
        <v>71</v>
      </c>
      <c r="AE43" s="5">
        <f>VLOOKUP($A43,'NonXtal_SegEnds_Prot#'!$A:$AL,8,FALSE)</f>
        <v>75</v>
      </c>
      <c r="AF43" s="5">
        <f>VLOOKUP($A43,'NonXtal_SegEnds_Prot#'!$A:$AL,11,FALSE)</f>
        <v>106</v>
      </c>
      <c r="AG43" s="5">
        <f>VLOOKUP($A43,'NonXtal_SegEnds_Prot#'!$A:$AL,14,FALSE)</f>
        <v>111</v>
      </c>
      <c r="AH43" s="5">
        <f>VLOOKUP($A43,'NonXtal_SegEnds_Prot#'!$A:$AL,17,FALSE)</f>
        <v>147</v>
      </c>
      <c r="AI43" s="5">
        <f>VLOOKUP($A43,'NonXtal_SegEnds_Prot#'!$A:$AL,20,FALSE)</f>
        <v>155</v>
      </c>
      <c r="AJ43" s="5">
        <f>VLOOKUP($A43,'NonXtal_SegEnds_Prot#'!$A:$AL,23,FALSE)</f>
        <v>181</v>
      </c>
      <c r="AK43" s="5">
        <f>VLOOKUP($A43,'NonXtal_SegEnds_Prot#'!$A:$AL,26,FALSE)</f>
        <v>203</v>
      </c>
      <c r="AL43" s="5">
        <f>VLOOKUP($A43,'NonXtal_SegEnds_Prot#'!$A:$AL,29,FALSE)</f>
        <v>244</v>
      </c>
      <c r="AM43" s="5">
        <f>VLOOKUP($A43,'NonXtal_SegEnds_Prot#'!$A:$AL,32,FALSE)</f>
        <v>288</v>
      </c>
      <c r="AN43" s="5">
        <f>VLOOKUP($A43,'NonXtal_SegEnds_Prot#'!$A:$AL,35,FALSE)</f>
        <v>318</v>
      </c>
      <c r="AO43" s="5">
        <f>VLOOKUP($A43,'NonXtal_SegEnds_Prot#'!$A:$AL,38,FALSE)</f>
        <v>330</v>
      </c>
      <c r="AP43" s="5">
        <f t="shared" si="13"/>
        <v>31</v>
      </c>
      <c r="AQ43" s="4">
        <f t="shared" si="14"/>
        <v>3</v>
      </c>
      <c r="AR43" s="4">
        <f t="shared" si="15"/>
        <v>30</v>
      </c>
      <c r="AS43" s="4">
        <f t="shared" si="16"/>
        <v>3</v>
      </c>
      <c r="AT43" s="4">
        <f t="shared" si="17"/>
        <v>35</v>
      </c>
      <c r="AU43" s="4">
        <f t="shared" si="18"/>
        <v>7</v>
      </c>
      <c r="AV43" s="4">
        <f t="shared" si="19"/>
        <v>24</v>
      </c>
      <c r="AW43" s="4">
        <f t="shared" si="20"/>
        <v>2</v>
      </c>
      <c r="AX43" s="4">
        <f t="shared" si="21"/>
        <v>38</v>
      </c>
      <c r="AY43" s="4">
        <f t="shared" si="22"/>
        <v>39</v>
      </c>
      <c r="AZ43" s="4">
        <f t="shared" si="23"/>
        <v>25</v>
      </c>
      <c r="BA43" s="4">
        <f t="shared" si="24"/>
        <v>11</v>
      </c>
    </row>
    <row r="44" spans="1:53" x14ac:dyDescent="0.2">
      <c r="A44" s="1" t="str">
        <f>'NonXtal_SegEnds_Prot#'!A8</f>
        <v>5ht1b_human</v>
      </c>
      <c r="B44" s="1" t="str">
        <f t="shared" si="0"/>
        <v>LPWKVLLVMLLALITLATTLSNAFVIATVYRTTPANYLIASLAVTDLLVSILVMPISTMYTVTGQVVCDFWLSSDITCCTASILHLCVIALDRYWAITDPKRAAVMIALVWVFSISISLPPFFWHILYTVYSTVGAFYFPTLLLIALYGRIYVEARSRILKQTPKLMAARERKATKTLGIILGAFIVCWLPFFIISLVMPIHLAIFDFFTWLGYLNSLINPIIYTMSNEDFKQAFHKLI</v>
      </c>
      <c r="C44" s="72" t="str">
        <f>IF(ISERROR(MATCH(A44,'Xtal_SegEnds_Prot#'!B:B, 0)), "NoXtal", "Xtal")</f>
        <v>Xtal</v>
      </c>
      <c r="D44" s="4" t="str">
        <f>VLOOKUP(A44,Classification!A:D,2,FALSE)</f>
        <v>A</v>
      </c>
      <c r="E44" s="5" t="str">
        <f>VLOOKUP(A44,Seqs!A:B,2,FALSE)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44" s="5" t="str">
        <f t="shared" si="1"/>
        <v>LPWKVLLVMLLALITLATTLSNAFVIATVYRT</v>
      </c>
      <c r="G44" s="4" t="str">
        <f t="shared" si="2"/>
        <v>RKLH</v>
      </c>
      <c r="H44" s="4" t="str">
        <f t="shared" si="3"/>
        <v>TPANYLIASLAVTDLLVSILVMPISTMYTVT</v>
      </c>
      <c r="I44" s="4" t="str">
        <f t="shared" si="4"/>
        <v>RWTL</v>
      </c>
      <c r="J44" s="4" t="str">
        <f t="shared" si="5"/>
        <v>GQVVCDFWLSSDITCCTASILHLCVIALDRYWAITD</v>
      </c>
      <c r="K44" s="4" t="str">
        <f t="shared" si="6"/>
        <v>AVEYSAKR</v>
      </c>
      <c r="L44" s="4" t="str">
        <f t="shared" si="7"/>
        <v>PKRAAVMIALVWVFSISISLPPFFW</v>
      </c>
      <c r="M44" s="4" t="str">
        <f t="shared" si="8"/>
        <v>CVV</v>
      </c>
      <c r="N44" s="4" t="str">
        <f t="shared" si="9"/>
        <v>HILYTVYSTVGAFYFPTLLLIALYGRIYVEARSRILKQTP</v>
      </c>
      <c r="O44" s="4" t="str">
        <f t="shared" si="10"/>
        <v>KLMAARERKATKTLGIILGAFIVCWLPFFIISLVMPI</v>
      </c>
      <c r="P44" s="4" t="str">
        <f t="shared" si="11"/>
        <v>HLAIFDFFTWLGYLNSLINPIIYTMS</v>
      </c>
      <c r="Q44" s="4" t="str">
        <f t="shared" si="12"/>
        <v>NEDFKQAFHKLI</v>
      </c>
      <c r="R44" s="5">
        <f>VLOOKUP($A44,'NonXtal_SegEnds_Prot#'!$A:$AL,3,FALSE)</f>
        <v>46</v>
      </c>
      <c r="S44" s="5">
        <f>VLOOKUP($A44,'NonXtal_SegEnds_Prot#'!$A:$AL,6,FALSE)</f>
        <v>78</v>
      </c>
      <c r="T44" s="5">
        <f>VLOOKUP($A44,'NonXtal_SegEnds_Prot#'!$A:$AL,9,FALSE)</f>
        <v>82</v>
      </c>
      <c r="U44" s="5">
        <f>VLOOKUP($A44,'NonXtal_SegEnds_Prot#'!$A:$AL,12,FALSE)</f>
        <v>114</v>
      </c>
      <c r="V44" s="5">
        <f>VLOOKUP($A44,'NonXtal_SegEnds_Prot#'!$A:$AL,15,FALSE)</f>
        <v>118</v>
      </c>
      <c r="W44" s="5">
        <f>VLOOKUP($A44,'NonXtal_SegEnds_Prot#'!$A:$AL,18,FALSE)</f>
        <v>154</v>
      </c>
      <c r="X44" s="5">
        <f>VLOOKUP($A44,'NonXtal_SegEnds_Prot#'!$A:$AL,21,FALSE)</f>
        <v>163</v>
      </c>
      <c r="Y44" s="5">
        <f>VLOOKUP($A44,'NonXtal_SegEnds_Prot#'!$A:$AL,24,FALSE)</f>
        <v>199</v>
      </c>
      <c r="Z44" s="5">
        <f>VLOOKUP($A44,'NonXtal_SegEnds_Prot#'!$A:$AL,27,FALSE)</f>
        <v>205</v>
      </c>
      <c r="AA44" s="5">
        <f>VLOOKUP($A44,'NonXtal_SegEnds_Prot#'!$A:$AL,30,FALSE)</f>
        <v>303</v>
      </c>
      <c r="AB44" s="5">
        <f>VLOOKUP($A44,'NonXtal_SegEnds_Prot#'!$A:$AL,33,FALSE)</f>
        <v>347</v>
      </c>
      <c r="AC44" s="5">
        <f>VLOOKUP($A44,'NonXtal_SegEnds_Prot#'!$A:$AL,36,FALSE)</f>
        <v>373</v>
      </c>
      <c r="AD44" s="5">
        <f>VLOOKUP($A44,'NonXtal_SegEnds_Prot#'!$A:$AL,5,FALSE)</f>
        <v>77</v>
      </c>
      <c r="AE44" s="5">
        <f>VLOOKUP($A44,'NonXtal_SegEnds_Prot#'!$A:$AL,8,FALSE)</f>
        <v>81</v>
      </c>
      <c r="AF44" s="5">
        <f>VLOOKUP($A44,'NonXtal_SegEnds_Prot#'!$A:$AL,11,FALSE)</f>
        <v>112</v>
      </c>
      <c r="AG44" s="5">
        <f>VLOOKUP($A44,'NonXtal_SegEnds_Prot#'!$A:$AL,14,FALSE)</f>
        <v>117</v>
      </c>
      <c r="AH44" s="5">
        <f>VLOOKUP($A44,'NonXtal_SegEnds_Prot#'!$A:$AL,17,FALSE)</f>
        <v>153</v>
      </c>
      <c r="AI44" s="5">
        <f>VLOOKUP($A44,'NonXtal_SegEnds_Prot#'!$A:$AL,20,FALSE)</f>
        <v>161</v>
      </c>
      <c r="AJ44" s="5">
        <f>VLOOKUP($A44,'NonXtal_SegEnds_Prot#'!$A:$AL,23,FALSE)</f>
        <v>187</v>
      </c>
      <c r="AK44" s="5">
        <f>VLOOKUP($A44,'NonXtal_SegEnds_Prot#'!$A:$AL,26,FALSE)</f>
        <v>201</v>
      </c>
      <c r="AL44" s="5">
        <f>VLOOKUP($A44,'NonXtal_SegEnds_Prot#'!$A:$AL,29,FALSE)</f>
        <v>244</v>
      </c>
      <c r="AM44" s="5">
        <f>VLOOKUP($A44,'NonXtal_SegEnds_Prot#'!$A:$AL,32,FALSE)</f>
        <v>339</v>
      </c>
      <c r="AN44" s="5">
        <f>VLOOKUP($A44,'NonXtal_SegEnds_Prot#'!$A:$AL,35,FALSE)</f>
        <v>372</v>
      </c>
      <c r="AO44" s="5">
        <f>VLOOKUP($A44,'NonXtal_SegEnds_Prot#'!$A:$AL,38,FALSE)</f>
        <v>384</v>
      </c>
      <c r="AP44" s="5">
        <f t="shared" si="13"/>
        <v>31</v>
      </c>
      <c r="AQ44" s="4">
        <f t="shared" si="14"/>
        <v>3</v>
      </c>
      <c r="AR44" s="4">
        <f t="shared" si="15"/>
        <v>30</v>
      </c>
      <c r="AS44" s="4">
        <f t="shared" si="16"/>
        <v>3</v>
      </c>
      <c r="AT44" s="4">
        <f t="shared" si="17"/>
        <v>35</v>
      </c>
      <c r="AU44" s="4">
        <f t="shared" si="18"/>
        <v>7</v>
      </c>
      <c r="AV44" s="4">
        <f t="shared" si="19"/>
        <v>24</v>
      </c>
      <c r="AW44" s="4">
        <f t="shared" si="20"/>
        <v>2</v>
      </c>
      <c r="AX44" s="4">
        <f t="shared" si="21"/>
        <v>39</v>
      </c>
      <c r="AY44" s="4">
        <f t="shared" si="22"/>
        <v>36</v>
      </c>
      <c r="AZ44" s="4">
        <f t="shared" si="23"/>
        <v>25</v>
      </c>
      <c r="BA44" s="4">
        <f t="shared" si="24"/>
        <v>11</v>
      </c>
    </row>
    <row r="45" spans="1:53" x14ac:dyDescent="0.2">
      <c r="A45" s="1" t="str">
        <f>'NonXtal_SegEnds_Prot#'!A9</f>
        <v>5ht5a_human</v>
      </c>
      <c r="B45" s="1" t="str">
        <f t="shared" si="0"/>
        <v>SVFGVLILTLLGFLVAATFAWNLLVLATILRVRVPHNLVASMAVSDVLVAALVMPLSLVHELSGRRLCQLWIACDVLCCTASIWNVTAIALDRYWSITRKCVSNVMIALTWALSAVISLAPLLFEPSYAVFSTVGAFYLPLCVVLFVYWKIYKAAKFRVGSRKTNSTWREQKEQRAALMVGILIGVFVLCWIPFFLTELISPLCPAIWKSIFLWLGYSNSFFNPLIYTAFNKNYNSAFKNFF</v>
      </c>
      <c r="C45" s="72" t="str">
        <f>IF(ISERROR(MATCH(A45,'Xtal_SegEnds_Prot#'!B:B, 0)), "NoXtal", "Xtal")</f>
        <v>NoXtal</v>
      </c>
      <c r="D45" s="4" t="str">
        <f>VLOOKUP(A45,Classification!A:D,2,FALSE)</f>
        <v>A</v>
      </c>
      <c r="E45" s="5" t="str">
        <f>VLOOKUP(A45,Seqs!A:B,2,FALSE)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45" s="5" t="str">
        <f t="shared" si="1"/>
        <v>SVFGVLILTLLGFLVAATFAWNLLVLATILRV</v>
      </c>
      <c r="G45" s="4" t="str">
        <f t="shared" si="2"/>
        <v>RTFH</v>
      </c>
      <c r="H45" s="4" t="str">
        <f t="shared" si="3"/>
        <v>RVPHNLVASMAVSDVLVAALVMPLSLVHELS</v>
      </c>
      <c r="I45" s="4" t="str">
        <f t="shared" si="4"/>
        <v>RWQL</v>
      </c>
      <c r="J45" s="4" t="str">
        <f t="shared" si="5"/>
        <v>GRRLCQLWIACDVLCCTASIWNVTAIALDRYWSITR</v>
      </c>
      <c r="K45" s="4" t="str">
        <f t="shared" si="6"/>
        <v>HMEYTLRT</v>
      </c>
      <c r="L45" s="4" t="str">
        <f t="shared" si="7"/>
        <v>KCVSNVMIALTWALSAVISLAPLLF</v>
      </c>
      <c r="M45" s="4" t="str">
        <f t="shared" si="8"/>
        <v>CQV</v>
      </c>
      <c r="N45" s="4" t="str">
        <f t="shared" si="9"/>
        <v>EPSYAVFSTVGAFYLPLCVVLFVYWKIYKAAKFRVGSRKTNS</v>
      </c>
      <c r="O45" s="4" t="str">
        <f t="shared" si="10"/>
        <v>TWREQKEQRAALMVGILIGVFVLCWIPFFLTELISPLC</v>
      </c>
      <c r="P45" s="4" t="str">
        <f t="shared" si="11"/>
        <v>PAIWKSIFLWLGYSNSFFNPLIYTAF</v>
      </c>
      <c r="Q45" s="4" t="str">
        <f t="shared" si="12"/>
        <v>NKNYNSAFKNFF</v>
      </c>
      <c r="R45" s="5">
        <f>VLOOKUP($A45,'NonXtal_SegEnds_Prot#'!$A:$AL,3,FALSE)</f>
        <v>37</v>
      </c>
      <c r="S45" s="5">
        <f>VLOOKUP($A45,'NonXtal_SegEnds_Prot#'!$A:$AL,6,FALSE)</f>
        <v>69</v>
      </c>
      <c r="T45" s="5">
        <f>VLOOKUP($A45,'NonXtal_SegEnds_Prot#'!$A:$AL,9,FALSE)</f>
        <v>73</v>
      </c>
      <c r="U45" s="5">
        <f>VLOOKUP($A45,'NonXtal_SegEnds_Prot#'!$A:$AL,12,FALSE)</f>
        <v>106</v>
      </c>
      <c r="V45" s="5">
        <f>VLOOKUP($A45,'NonXtal_SegEnds_Prot#'!$A:$AL,15,FALSE)</f>
        <v>110</v>
      </c>
      <c r="W45" s="5">
        <f>VLOOKUP($A45,'NonXtal_SegEnds_Prot#'!$A:$AL,18,FALSE)</f>
        <v>146</v>
      </c>
      <c r="X45" s="5">
        <f>VLOOKUP($A45,'NonXtal_SegEnds_Prot#'!$A:$AL,21,FALSE)</f>
        <v>155</v>
      </c>
      <c r="Y45" s="5">
        <f>VLOOKUP($A45,'NonXtal_SegEnds_Prot#'!$A:$AL,24,FALSE)</f>
        <v>192</v>
      </c>
      <c r="Z45" s="5">
        <f>VLOOKUP($A45,'NonXtal_SegEnds_Prot#'!$A:$AL,27,FALSE)</f>
        <v>197</v>
      </c>
      <c r="AA45" s="5">
        <f>VLOOKUP($A45,'NonXtal_SegEnds_Prot#'!$A:$AL,30,FALSE)</f>
        <v>274</v>
      </c>
      <c r="AB45" s="5">
        <f>VLOOKUP($A45,'NonXtal_SegEnds_Prot#'!$A:$AL,33,FALSE)</f>
        <v>316</v>
      </c>
      <c r="AC45" s="5">
        <f>VLOOKUP($A45,'NonXtal_SegEnds_Prot#'!$A:$AL,36,FALSE)</f>
        <v>342</v>
      </c>
      <c r="AD45" s="5">
        <f>VLOOKUP($A45,'NonXtal_SegEnds_Prot#'!$A:$AL,5,FALSE)</f>
        <v>68</v>
      </c>
      <c r="AE45" s="5">
        <f>VLOOKUP($A45,'NonXtal_SegEnds_Prot#'!$A:$AL,8,FALSE)</f>
        <v>72</v>
      </c>
      <c r="AF45" s="5">
        <f>VLOOKUP($A45,'NonXtal_SegEnds_Prot#'!$A:$AL,11,FALSE)</f>
        <v>103</v>
      </c>
      <c r="AG45" s="5">
        <f>VLOOKUP($A45,'NonXtal_SegEnds_Prot#'!$A:$AL,14,FALSE)</f>
        <v>109</v>
      </c>
      <c r="AH45" s="5">
        <f>VLOOKUP($A45,'NonXtal_SegEnds_Prot#'!$A:$AL,17,FALSE)</f>
        <v>145</v>
      </c>
      <c r="AI45" s="5">
        <f>VLOOKUP($A45,'NonXtal_SegEnds_Prot#'!$A:$AL,20,FALSE)</f>
        <v>153</v>
      </c>
      <c r="AJ45" s="5">
        <f>VLOOKUP($A45,'NonXtal_SegEnds_Prot#'!$A:$AL,23,FALSE)</f>
        <v>179</v>
      </c>
      <c r="AK45" s="5">
        <f>VLOOKUP($A45,'NonXtal_SegEnds_Prot#'!$A:$AL,26,FALSE)</f>
        <v>194</v>
      </c>
      <c r="AL45" s="5">
        <f>VLOOKUP($A45,'NonXtal_SegEnds_Prot#'!$A:$AL,29,FALSE)</f>
        <v>238</v>
      </c>
      <c r="AM45" s="5">
        <f>VLOOKUP($A45,'NonXtal_SegEnds_Prot#'!$A:$AL,32,FALSE)</f>
        <v>311</v>
      </c>
      <c r="AN45" s="5">
        <f>VLOOKUP($A45,'NonXtal_SegEnds_Prot#'!$A:$AL,35,FALSE)</f>
        <v>341</v>
      </c>
      <c r="AO45" s="5">
        <f>VLOOKUP($A45,'NonXtal_SegEnds_Prot#'!$A:$AL,38,FALSE)</f>
        <v>353</v>
      </c>
      <c r="AP45" s="5">
        <f t="shared" si="13"/>
        <v>31</v>
      </c>
      <c r="AQ45" s="4">
        <f t="shared" si="14"/>
        <v>3</v>
      </c>
      <c r="AR45" s="4">
        <f t="shared" si="15"/>
        <v>30</v>
      </c>
      <c r="AS45" s="4">
        <f t="shared" si="16"/>
        <v>3</v>
      </c>
      <c r="AT45" s="4">
        <f t="shared" si="17"/>
        <v>35</v>
      </c>
      <c r="AU45" s="4">
        <f t="shared" si="18"/>
        <v>7</v>
      </c>
      <c r="AV45" s="4">
        <f t="shared" si="19"/>
        <v>24</v>
      </c>
      <c r="AW45" s="4">
        <f t="shared" si="20"/>
        <v>2</v>
      </c>
      <c r="AX45" s="4">
        <f t="shared" si="21"/>
        <v>41</v>
      </c>
      <c r="AY45" s="4">
        <f t="shared" si="22"/>
        <v>37</v>
      </c>
      <c r="AZ45" s="4">
        <f t="shared" si="23"/>
        <v>25</v>
      </c>
      <c r="BA45" s="4">
        <f t="shared" si="24"/>
        <v>11</v>
      </c>
    </row>
    <row r="46" spans="1:53" x14ac:dyDescent="0.2">
      <c r="A46" s="1" t="str">
        <f>'NonXtal_SegEnds_Prot#'!A10</f>
        <v>taar5_human</v>
      </c>
      <c r="B46" s="1" t="str">
        <f t="shared" si="0"/>
        <v>LGIQLVIYLACAAGMLIIVLGNVFVAFAVSYFTPTNFLLLSLALADMFLGLLVLPLSTIRSVEGDFLCRLHTYLDTLFCLTSIFHLCFISIDRHCAICDVRVALRYILAGWGVPAAYTSLFLYTLNKFWGWLNFPLFFVPCLIMISLYVKIFVVATRQAQQITSLAGAAKHERKAAKTLGIAVGIYLLCWLPFTIDTMVDSLLPPLVFDIFIWFAYFNSACNPIIYVFSYQWFRKALKLTL</v>
      </c>
      <c r="C46" s="72" t="str">
        <f>IF(ISERROR(MATCH(A46,'Xtal_SegEnds_Prot#'!B:B, 0)), "NoXtal", "Xtal")</f>
        <v>NoXtal</v>
      </c>
      <c r="D46" s="4" t="str">
        <f>VLOOKUP(A46,Classification!A:D,2,FALSE)</f>
        <v>A</v>
      </c>
      <c r="E46" s="5" t="str">
        <f>VLOOKUP(A46,Seqs!A:B,2,FALSE)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46" s="5" t="str">
        <f t="shared" si="1"/>
        <v>LGIQLVIYLACAAGMLIIVLGNVFVAFAVSYF</v>
      </c>
      <c r="G46" s="4" t="str">
        <f t="shared" si="2"/>
        <v>KALH</v>
      </c>
      <c r="H46" s="4" t="str">
        <f t="shared" si="3"/>
        <v>TPTNFLLLSLALADMFLGLLVLPLSTIRSVE</v>
      </c>
      <c r="I46" s="4" t="str">
        <f t="shared" si="4"/>
        <v>CWFF</v>
      </c>
      <c r="J46" s="4" t="str">
        <f t="shared" si="5"/>
        <v>GDFLCRLHTYLDTLFCLTSIFHLCFISIDRHCAICD</v>
      </c>
      <c r="K46" s="4" t="str">
        <f t="shared" si="6"/>
        <v>PLLYPSKF</v>
      </c>
      <c r="L46" s="4" t="str">
        <f t="shared" si="7"/>
        <v>VRVALRYILAGWGVPAAYTSLFLYT</v>
      </c>
      <c r="M46" s="4" t="str">
        <f t="shared" si="8"/>
        <v>CQL</v>
      </c>
      <c r="N46" s="4" t="str">
        <f t="shared" si="9"/>
        <v>LNKFWGWLNFPLFFVPCLIMISLYVKIFVVATRQAQQIT</v>
      </c>
      <c r="O46" s="4" t="str">
        <f t="shared" si="10"/>
        <v>SLAGAAKHERKAAKTLGIAVGIYLLCWLPFTIDTMVDSLL</v>
      </c>
      <c r="P46" s="4" t="str">
        <f t="shared" si="11"/>
        <v>PPLVFDIFIWFAYFNSACNPIIYVFS</v>
      </c>
      <c r="Q46" s="4" t="str">
        <f t="shared" si="12"/>
        <v>YQWFRKALKLTL</v>
      </c>
      <c r="R46" s="5">
        <f>VLOOKUP($A46,'NonXtal_SegEnds_Prot#'!$A:$AL,3,FALSE)</f>
        <v>31</v>
      </c>
      <c r="S46" s="5">
        <f>VLOOKUP($A46,'NonXtal_SegEnds_Prot#'!$A:$AL,6,FALSE)</f>
        <v>63</v>
      </c>
      <c r="T46" s="5">
        <f>VLOOKUP($A46,'NonXtal_SegEnds_Prot#'!$A:$AL,9,FALSE)</f>
        <v>67</v>
      </c>
      <c r="U46" s="5">
        <f>VLOOKUP($A46,'NonXtal_SegEnds_Prot#'!$A:$AL,12,FALSE)</f>
        <v>99</v>
      </c>
      <c r="V46" s="5">
        <f>VLOOKUP($A46,'NonXtal_SegEnds_Prot#'!$A:$AL,15,FALSE)</f>
        <v>103</v>
      </c>
      <c r="W46" s="5">
        <f>VLOOKUP($A46,'NonXtal_SegEnds_Prot#'!$A:$AL,18,FALSE)</f>
        <v>139</v>
      </c>
      <c r="X46" s="5">
        <f>VLOOKUP($A46,'NonXtal_SegEnds_Prot#'!$A:$AL,21,FALSE)</f>
        <v>148</v>
      </c>
      <c r="Y46" s="5">
        <f>VLOOKUP($A46,'NonXtal_SegEnds_Prot#'!$A:$AL,24,FALSE)</f>
        <v>192</v>
      </c>
      <c r="Z46" s="5">
        <f>VLOOKUP($A46,'NonXtal_SegEnds_Prot#'!$A:$AL,27,FALSE)</f>
        <v>196</v>
      </c>
      <c r="AA46" s="5">
        <f>VLOOKUP($A46,'NonXtal_SegEnds_Prot#'!$A:$AL,30,FALSE)</f>
        <v>239</v>
      </c>
      <c r="AB46" s="5">
        <f>VLOOKUP($A46,'NonXtal_SegEnds_Prot#'!$A:$AL,33,FALSE)</f>
        <v>283</v>
      </c>
      <c r="AC46" s="5">
        <f>VLOOKUP($A46,'NonXtal_SegEnds_Prot#'!$A:$AL,36,FALSE)</f>
        <v>309</v>
      </c>
      <c r="AD46" s="5">
        <f>VLOOKUP($A46,'NonXtal_SegEnds_Prot#'!$A:$AL,5,FALSE)</f>
        <v>62</v>
      </c>
      <c r="AE46" s="5">
        <f>VLOOKUP($A46,'NonXtal_SegEnds_Prot#'!$A:$AL,8,FALSE)</f>
        <v>66</v>
      </c>
      <c r="AF46" s="5">
        <f>VLOOKUP($A46,'NonXtal_SegEnds_Prot#'!$A:$AL,11,FALSE)</f>
        <v>97</v>
      </c>
      <c r="AG46" s="5">
        <f>VLOOKUP($A46,'NonXtal_SegEnds_Prot#'!$A:$AL,14,FALSE)</f>
        <v>102</v>
      </c>
      <c r="AH46" s="5">
        <f>VLOOKUP($A46,'NonXtal_SegEnds_Prot#'!$A:$AL,17,FALSE)</f>
        <v>138</v>
      </c>
      <c r="AI46" s="5">
        <f>VLOOKUP($A46,'NonXtal_SegEnds_Prot#'!$A:$AL,20,FALSE)</f>
        <v>146</v>
      </c>
      <c r="AJ46" s="5">
        <f>VLOOKUP($A46,'NonXtal_SegEnds_Prot#'!$A:$AL,23,FALSE)</f>
        <v>172</v>
      </c>
      <c r="AK46" s="5">
        <f>VLOOKUP($A46,'NonXtal_SegEnds_Prot#'!$A:$AL,26,FALSE)</f>
        <v>194</v>
      </c>
      <c r="AL46" s="5">
        <f>VLOOKUP($A46,'NonXtal_SegEnds_Prot#'!$A:$AL,29,FALSE)</f>
        <v>234</v>
      </c>
      <c r="AM46" s="5">
        <f>VLOOKUP($A46,'NonXtal_SegEnds_Prot#'!$A:$AL,32,FALSE)</f>
        <v>278</v>
      </c>
      <c r="AN46" s="5">
        <f>VLOOKUP($A46,'NonXtal_SegEnds_Prot#'!$A:$AL,35,FALSE)</f>
        <v>308</v>
      </c>
      <c r="AO46" s="5">
        <f>VLOOKUP($A46,'NonXtal_SegEnds_Prot#'!$A:$AL,38,FALSE)</f>
        <v>320</v>
      </c>
      <c r="AP46" s="5">
        <f t="shared" si="13"/>
        <v>31</v>
      </c>
      <c r="AQ46" s="4">
        <f t="shared" si="14"/>
        <v>3</v>
      </c>
      <c r="AR46" s="4">
        <f t="shared" si="15"/>
        <v>30</v>
      </c>
      <c r="AS46" s="4">
        <f t="shared" si="16"/>
        <v>3</v>
      </c>
      <c r="AT46" s="4">
        <f t="shared" si="17"/>
        <v>35</v>
      </c>
      <c r="AU46" s="4">
        <f t="shared" si="18"/>
        <v>7</v>
      </c>
      <c r="AV46" s="4">
        <f t="shared" si="19"/>
        <v>24</v>
      </c>
      <c r="AW46" s="4">
        <f t="shared" si="20"/>
        <v>2</v>
      </c>
      <c r="AX46" s="4">
        <f t="shared" si="21"/>
        <v>38</v>
      </c>
      <c r="AY46" s="4">
        <f t="shared" si="22"/>
        <v>39</v>
      </c>
      <c r="AZ46" s="4">
        <f t="shared" si="23"/>
        <v>25</v>
      </c>
      <c r="BA46" s="4">
        <f t="shared" si="24"/>
        <v>11</v>
      </c>
    </row>
    <row r="47" spans="1:53" x14ac:dyDescent="0.2">
      <c r="A47" s="1" t="str">
        <f>'NonXtal_SegEnds_Prot#'!A11</f>
        <v>taar6_human</v>
      </c>
      <c r="B47" s="1" t="str">
        <f t="shared" si="0"/>
        <v>PGSRVILYIVFGFGAVLAVFGNLLVMISILHFSPTNFLVASLACADFLVGVTVMPFSMVRTVEGRSFCTFHTCCDVAFCYSSLFHLCFISIDRYIAVTDVSVSGICISVSWILPLMYSGAVFYTVNQNWVLTDFLSFFIPTFIMIILYGNIFLVARRQAKKIENSYKARVARRERKAAKTLGVTVVAFMISWLPYSIDSLIDAFMPACIYEICCWCAYYNSAMNPLIYALFYPWFRKAIKVIV</v>
      </c>
      <c r="C47" s="72" t="str">
        <f>IF(ISERROR(MATCH(A47,'Xtal_SegEnds_Prot#'!B:B, 0)), "NoXtal", "Xtal")</f>
        <v>NoXtal</v>
      </c>
      <c r="D47" s="4" t="str">
        <f>VLOOKUP(A47,Classification!A:D,2,FALSE)</f>
        <v>A</v>
      </c>
      <c r="E47" s="5" t="str">
        <f>VLOOKUP(A47,Seqs!A:B,2,FALSE)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47" s="5" t="str">
        <f t="shared" si="1"/>
        <v>PGSRVILYIVFGFGAVLAVFGNLLVMISILHF</v>
      </c>
      <c r="G47" s="4" t="str">
        <f t="shared" si="2"/>
        <v>KQLH</v>
      </c>
      <c r="H47" s="4" t="str">
        <f t="shared" si="3"/>
        <v>SPTNFLVASLACADFLVGVTVMPFSMVRTVE</v>
      </c>
      <c r="I47" s="4" t="str">
        <f t="shared" si="4"/>
        <v>CWYF</v>
      </c>
      <c r="J47" s="4" t="str">
        <f t="shared" si="5"/>
        <v>GRSFCTFHTCCDVAFCYSSLFHLCFISIDRYIAVTD</v>
      </c>
      <c r="K47" s="4" t="str">
        <f t="shared" si="6"/>
        <v>PLVYPTKF</v>
      </c>
      <c r="L47" s="4" t="str">
        <f t="shared" si="7"/>
        <v>VSVSGICISVSWILPLMYSGAVFYT</v>
      </c>
      <c r="M47" s="4" t="str">
        <f t="shared" si="8"/>
        <v>CQT</v>
      </c>
      <c r="N47" s="4" t="str">
        <f t="shared" si="9"/>
        <v>VNQNWVLTDFLSFFIPTFIMIILYGNIFLVARRQAKKIEN</v>
      </c>
      <c r="O47" s="4" t="str">
        <f t="shared" si="10"/>
        <v>SYKARVARRERKAAKTLGVTVVAFMISWLPYSIDSLIDAFM</v>
      </c>
      <c r="P47" s="4" t="str">
        <f t="shared" si="11"/>
        <v>PACIYEICCWCAYYNSAMNPLIYALF</v>
      </c>
      <c r="Q47" s="4" t="str">
        <f t="shared" si="12"/>
        <v>YPWFRKAIKVIV</v>
      </c>
      <c r="R47" s="5">
        <f>VLOOKUP($A47,'NonXtal_SegEnds_Prot#'!$A:$AL,3,FALSE)</f>
        <v>29</v>
      </c>
      <c r="S47" s="5">
        <f>VLOOKUP($A47,'NonXtal_SegEnds_Prot#'!$A:$AL,6,FALSE)</f>
        <v>61</v>
      </c>
      <c r="T47" s="5">
        <f>VLOOKUP($A47,'NonXtal_SegEnds_Prot#'!$A:$AL,9,FALSE)</f>
        <v>65</v>
      </c>
      <c r="U47" s="5">
        <f>VLOOKUP($A47,'NonXtal_SegEnds_Prot#'!$A:$AL,12,FALSE)</f>
        <v>97</v>
      </c>
      <c r="V47" s="5">
        <f>VLOOKUP($A47,'NonXtal_SegEnds_Prot#'!$A:$AL,15,FALSE)</f>
        <v>101</v>
      </c>
      <c r="W47" s="5">
        <f>VLOOKUP($A47,'NonXtal_SegEnds_Prot#'!$A:$AL,18,FALSE)</f>
        <v>137</v>
      </c>
      <c r="X47" s="5">
        <f>VLOOKUP($A47,'NonXtal_SegEnds_Prot#'!$A:$AL,21,FALSE)</f>
        <v>146</v>
      </c>
      <c r="Y47" s="5">
        <f>VLOOKUP($A47,'NonXtal_SegEnds_Prot#'!$A:$AL,24,FALSE)</f>
        <v>190</v>
      </c>
      <c r="Z47" s="5">
        <f>VLOOKUP($A47,'NonXtal_SegEnds_Prot#'!$A:$AL,27,FALSE)</f>
        <v>194</v>
      </c>
      <c r="AA47" s="5">
        <f>VLOOKUP($A47,'NonXtal_SegEnds_Prot#'!$A:$AL,30,FALSE)</f>
        <v>244</v>
      </c>
      <c r="AB47" s="5">
        <f>VLOOKUP($A47,'NonXtal_SegEnds_Prot#'!$A:$AL,33,FALSE)</f>
        <v>289</v>
      </c>
      <c r="AC47" s="5">
        <f>VLOOKUP($A47,'NonXtal_SegEnds_Prot#'!$A:$AL,36,FALSE)</f>
        <v>315</v>
      </c>
      <c r="AD47" s="5">
        <f>VLOOKUP($A47,'NonXtal_SegEnds_Prot#'!$A:$AL,5,FALSE)</f>
        <v>60</v>
      </c>
      <c r="AE47" s="5">
        <f>VLOOKUP($A47,'NonXtal_SegEnds_Prot#'!$A:$AL,8,FALSE)</f>
        <v>64</v>
      </c>
      <c r="AF47" s="5">
        <f>VLOOKUP($A47,'NonXtal_SegEnds_Prot#'!$A:$AL,11,FALSE)</f>
        <v>95</v>
      </c>
      <c r="AG47" s="5">
        <f>VLOOKUP($A47,'NonXtal_SegEnds_Prot#'!$A:$AL,14,FALSE)</f>
        <v>100</v>
      </c>
      <c r="AH47" s="5">
        <f>VLOOKUP($A47,'NonXtal_SegEnds_Prot#'!$A:$AL,17,FALSE)</f>
        <v>136</v>
      </c>
      <c r="AI47" s="5">
        <f>VLOOKUP($A47,'NonXtal_SegEnds_Prot#'!$A:$AL,20,FALSE)</f>
        <v>144</v>
      </c>
      <c r="AJ47" s="5">
        <f>VLOOKUP($A47,'NonXtal_SegEnds_Prot#'!$A:$AL,23,FALSE)</f>
        <v>170</v>
      </c>
      <c r="AK47" s="5">
        <f>VLOOKUP($A47,'NonXtal_SegEnds_Prot#'!$A:$AL,26,FALSE)</f>
        <v>192</v>
      </c>
      <c r="AL47" s="5">
        <f>VLOOKUP($A47,'NonXtal_SegEnds_Prot#'!$A:$AL,29,FALSE)</f>
        <v>233</v>
      </c>
      <c r="AM47" s="5">
        <f>VLOOKUP($A47,'NonXtal_SegEnds_Prot#'!$A:$AL,32,FALSE)</f>
        <v>284</v>
      </c>
      <c r="AN47" s="5">
        <f>VLOOKUP($A47,'NonXtal_SegEnds_Prot#'!$A:$AL,35,FALSE)</f>
        <v>314</v>
      </c>
      <c r="AO47" s="5">
        <f>VLOOKUP($A47,'NonXtal_SegEnds_Prot#'!$A:$AL,38,FALSE)</f>
        <v>326</v>
      </c>
      <c r="AP47" s="5">
        <f t="shared" si="13"/>
        <v>31</v>
      </c>
      <c r="AQ47" s="4">
        <f t="shared" si="14"/>
        <v>3</v>
      </c>
      <c r="AR47" s="4">
        <f t="shared" si="15"/>
        <v>30</v>
      </c>
      <c r="AS47" s="4">
        <f t="shared" si="16"/>
        <v>3</v>
      </c>
      <c r="AT47" s="4">
        <f t="shared" si="17"/>
        <v>35</v>
      </c>
      <c r="AU47" s="4">
        <f t="shared" si="18"/>
        <v>7</v>
      </c>
      <c r="AV47" s="4">
        <f t="shared" si="19"/>
        <v>24</v>
      </c>
      <c r="AW47" s="4">
        <f t="shared" si="20"/>
        <v>2</v>
      </c>
      <c r="AX47" s="4">
        <f t="shared" si="21"/>
        <v>39</v>
      </c>
      <c r="AY47" s="4">
        <f t="shared" si="22"/>
        <v>40</v>
      </c>
      <c r="AZ47" s="4">
        <f t="shared" si="23"/>
        <v>25</v>
      </c>
      <c r="BA47" s="4">
        <f t="shared" si="24"/>
        <v>11</v>
      </c>
    </row>
    <row r="48" spans="1:53" x14ac:dyDescent="0.2">
      <c r="A48" s="1" t="str">
        <f>'NonXtal_SegEnds_Prot#'!A13</f>
        <v>taar3_human</v>
      </c>
      <c r="B48" s="1" t="str">
        <f t="shared" si="0"/>
        <v>FSCPGDNVFGYDWSHDYPLFGNLVIMVSISHFSPTNFLILSMATTDFLLGFVIMPYSIMRSVEGDGFCKFHTSFDMMLRLTSIFHLCSIAIDRFYAVCYNSTIKQLLAFCWSVPALFSFGLVLSNKFWGTILFTTCFFTPGSIMVGIYGKIFIVSKQHARVISHVKKHLSKKKDRKAAKTLGIVMGVFLACWLPCFLAVLIDPYLPILILDLLVWLRYFNSTCNPLIHGFFNPWFQKAFKYIV</v>
      </c>
      <c r="C48" s="72" t="str">
        <f>IF(ISERROR(MATCH(A48,'Xtal_SegEnds_Prot#'!B:B, 0)), "NoXtal", "Xtal")</f>
        <v>NoXtal</v>
      </c>
      <c r="D48" s="4" t="str">
        <f>VLOOKUP(A48,Classification!A:D,2,FALSE)</f>
        <v>A</v>
      </c>
      <c r="E48" s="5" t="str">
        <f>VLOOKUP(A48,Seqs!A:B,2,FALSE)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48" s="5" t="str">
        <f t="shared" si="1"/>
        <v>FSCPGDNVFGYDWSHDYPLFGNLVIMVSISHF</v>
      </c>
      <c r="G48" s="4" t="str">
        <f t="shared" si="2"/>
        <v>KQLH</v>
      </c>
      <c r="H48" s="4" t="str">
        <f t="shared" si="3"/>
        <v>SPTNFLILSMATTDFLLGFVIMPYSIMRSVE</v>
      </c>
      <c r="I48" s="4" t="str">
        <f t="shared" si="4"/>
        <v>CWYF</v>
      </c>
      <c r="J48" s="4" t="str">
        <f t="shared" si="5"/>
        <v>GDGFCKFHTSFDMMLRLTSIFHLCSIAIDRFYAVCY</v>
      </c>
      <c r="K48" s="4" t="str">
        <f t="shared" si="6"/>
        <v>PLHYTTKM</v>
      </c>
      <c r="L48" s="4" t="str">
        <f t="shared" si="7"/>
        <v>NSTIKQLLAFCWSVPALFSFGLVLS</v>
      </c>
      <c r="M48" s="4" t="str">
        <f t="shared" si="8"/>
        <v>CAL</v>
      </c>
      <c r="N48" s="4" t="str">
        <f t="shared" si="9"/>
        <v>NKFWGTILFTTCFFTPGSIMVGIYGKIFIVSKQHARVISH</v>
      </c>
      <c r="O48" s="4" t="str">
        <f t="shared" si="10"/>
        <v>VKKHLSKKKDRKAAKTLGIVMGVFLACWLPCFLAVLIDPYL</v>
      </c>
      <c r="P48" s="4" t="str">
        <f t="shared" si="11"/>
        <v>PILILDLLVWLRYFNSTCNPLIHGFF</v>
      </c>
      <c r="Q48" s="4" t="str">
        <f t="shared" si="12"/>
        <v>NPWFQKAFKYIV</v>
      </c>
      <c r="R48" s="5">
        <f>VLOOKUP($A48,'NonXtal_SegEnds_Prot#'!$A:$AL,3,FALSE)</f>
        <v>28</v>
      </c>
      <c r="S48" s="5">
        <f>VLOOKUP($A48,'NonXtal_SegEnds_Prot#'!$A:$AL,6,FALSE)</f>
        <v>60</v>
      </c>
      <c r="T48" s="5">
        <f>VLOOKUP($A48,'NonXtal_SegEnds_Prot#'!$A:$AL,9,FALSE)</f>
        <v>64</v>
      </c>
      <c r="U48" s="5">
        <f>VLOOKUP($A48,'NonXtal_SegEnds_Prot#'!$A:$AL,12,FALSE)</f>
        <v>96</v>
      </c>
      <c r="V48" s="5">
        <f>VLOOKUP($A48,'NonXtal_SegEnds_Prot#'!$A:$AL,15,FALSE)</f>
        <v>100</v>
      </c>
      <c r="W48" s="5">
        <f>VLOOKUP($A48,'NonXtal_SegEnds_Prot#'!$A:$AL,18,FALSE)</f>
        <v>136</v>
      </c>
      <c r="X48" s="5">
        <f>VLOOKUP($A48,'NonXtal_SegEnds_Prot#'!$A:$AL,21,FALSE)</f>
        <v>145</v>
      </c>
      <c r="Y48" s="5">
        <f>VLOOKUP($A48,'NonXtal_SegEnds_Prot#'!$A:$AL,24,FALSE)</f>
        <v>189</v>
      </c>
      <c r="Z48" s="5">
        <f>VLOOKUP($A48,'NonXtal_SegEnds_Prot#'!$A:$AL,27,FALSE)</f>
        <v>194</v>
      </c>
      <c r="AA48" s="5">
        <f>VLOOKUP($A48,'NonXtal_SegEnds_Prot#'!$A:$AL,30,FALSE)</f>
        <v>242</v>
      </c>
      <c r="AB48" s="5">
        <f>VLOOKUP($A48,'NonXtal_SegEnds_Prot#'!$A:$AL,33,FALSE)</f>
        <v>287</v>
      </c>
      <c r="AC48" s="5">
        <f>VLOOKUP($A48,'NonXtal_SegEnds_Prot#'!$A:$AL,36,FALSE)</f>
        <v>313</v>
      </c>
      <c r="AD48" s="5">
        <f>VLOOKUP($A48,'NonXtal_SegEnds_Prot#'!$A:$AL,5,FALSE)</f>
        <v>59</v>
      </c>
      <c r="AE48" s="5">
        <f>VLOOKUP($A48,'NonXtal_SegEnds_Prot#'!$A:$AL,8,FALSE)</f>
        <v>63</v>
      </c>
      <c r="AF48" s="5">
        <f>VLOOKUP($A48,'NonXtal_SegEnds_Prot#'!$A:$AL,11,FALSE)</f>
        <v>94</v>
      </c>
      <c r="AG48" s="5">
        <f>VLOOKUP($A48,'NonXtal_SegEnds_Prot#'!$A:$AL,14,FALSE)</f>
        <v>99</v>
      </c>
      <c r="AH48" s="5">
        <f>VLOOKUP($A48,'NonXtal_SegEnds_Prot#'!$A:$AL,17,FALSE)</f>
        <v>135</v>
      </c>
      <c r="AI48" s="5">
        <f>VLOOKUP($A48,'NonXtal_SegEnds_Prot#'!$A:$AL,20,FALSE)</f>
        <v>143</v>
      </c>
      <c r="AJ48" s="5">
        <f>VLOOKUP($A48,'NonXtal_SegEnds_Prot#'!$A:$AL,23,FALSE)</f>
        <v>169</v>
      </c>
      <c r="AK48" s="5">
        <f>VLOOKUP($A48,'NonXtal_SegEnds_Prot#'!$A:$AL,26,FALSE)</f>
        <v>191</v>
      </c>
      <c r="AL48" s="5">
        <f>VLOOKUP($A48,'NonXtal_SegEnds_Prot#'!$A:$AL,29,FALSE)</f>
        <v>233</v>
      </c>
      <c r="AM48" s="5">
        <f>VLOOKUP($A48,'NonXtal_SegEnds_Prot#'!$A:$AL,32,FALSE)</f>
        <v>282</v>
      </c>
      <c r="AN48" s="5">
        <f>VLOOKUP($A48,'NonXtal_SegEnds_Prot#'!$A:$AL,35,FALSE)</f>
        <v>312</v>
      </c>
      <c r="AO48" s="5">
        <f>VLOOKUP($A48,'NonXtal_SegEnds_Prot#'!$A:$AL,38,FALSE)</f>
        <v>324</v>
      </c>
      <c r="AP48" s="5">
        <f t="shared" si="13"/>
        <v>31</v>
      </c>
      <c r="AQ48" s="4">
        <f t="shared" si="14"/>
        <v>3</v>
      </c>
      <c r="AR48" s="4">
        <f t="shared" si="15"/>
        <v>30</v>
      </c>
      <c r="AS48" s="4">
        <f t="shared" si="16"/>
        <v>3</v>
      </c>
      <c r="AT48" s="4">
        <f t="shared" si="17"/>
        <v>35</v>
      </c>
      <c r="AU48" s="4">
        <f t="shared" si="18"/>
        <v>7</v>
      </c>
      <c r="AV48" s="4">
        <f t="shared" si="19"/>
        <v>24</v>
      </c>
      <c r="AW48" s="4">
        <f t="shared" si="20"/>
        <v>2</v>
      </c>
      <c r="AX48" s="4">
        <f t="shared" si="21"/>
        <v>39</v>
      </c>
      <c r="AY48" s="4">
        <f t="shared" si="22"/>
        <v>40</v>
      </c>
      <c r="AZ48" s="4">
        <f t="shared" si="23"/>
        <v>25</v>
      </c>
      <c r="BA48" s="4">
        <f t="shared" si="24"/>
        <v>11</v>
      </c>
    </row>
    <row r="49" spans="1:53" x14ac:dyDescent="0.2">
      <c r="A49" s="1" t="str">
        <f>'NonXtal_SegEnds_Prot#'!A14</f>
        <v>taar8_human</v>
      </c>
      <c r="B49" s="1" t="str">
        <f t="shared" si="0"/>
        <v>PGSRVILYTAFSFGSLLAVFGNLLVMTSVLHFSPTNFLIASLACADFLVGVTVMLFSMVRTVEGAKFCTLHSCCDVAFCYSSVLHLCFICIDRYIVVTDVSVSGICISVSWILPLTYSGAVFYTVSQGWVLIDFLLFFIPTLVMIILYSKIFLIAKQQAIKIETSYKIRVAKRERKAAKTLGVTVLAFVISWLPYTVDILIDAFMPAYIYEICCWSAYYNSAMNPLIYALFYPWFRKAIKLIL</v>
      </c>
      <c r="C49" s="72" t="str">
        <f>IF(ISERROR(MATCH(A49,'Xtal_SegEnds_Prot#'!B:B, 0)), "NoXtal", "Xtal")</f>
        <v>NoXtal</v>
      </c>
      <c r="D49" s="4" t="str">
        <f>VLOOKUP(A49,Classification!A:D,2,FALSE)</f>
        <v>A</v>
      </c>
      <c r="E49" s="5" t="str">
        <f>VLOOKUP(A49,Seqs!A:B,2,FALSE)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49" s="5" t="str">
        <f t="shared" si="1"/>
        <v>PGSRVILYTAFSFGSLLAVFGNLLVMTSVLHF</v>
      </c>
      <c r="G49" s="4" t="str">
        <f t="shared" si="2"/>
        <v>KQLH</v>
      </c>
      <c r="H49" s="4" t="str">
        <f t="shared" si="3"/>
        <v>SPTNFLIASLACADFLVGVTVMLFSMVRTVE</v>
      </c>
      <c r="I49" s="4" t="str">
        <f t="shared" si="4"/>
        <v>CWYF</v>
      </c>
      <c r="J49" s="4" t="str">
        <f t="shared" si="5"/>
        <v>GAKFCTLHSCCDVAFCYSSVLHLCFICIDRYIVVTD</v>
      </c>
      <c r="K49" s="4" t="str">
        <f t="shared" si="6"/>
        <v>PLVYATKF</v>
      </c>
      <c r="L49" s="4" t="str">
        <f t="shared" si="7"/>
        <v>VSVSGICISVSWILPLTYSGAVFYT</v>
      </c>
      <c r="M49" s="4" t="str">
        <f t="shared" si="8"/>
        <v>CQI</v>
      </c>
      <c r="N49" s="4" t="str">
        <f t="shared" si="9"/>
        <v>VSQGWVLIDFLLFFIPTLVMIILYSKIFLIAKQQAIKIET</v>
      </c>
      <c r="O49" s="4" t="str">
        <f t="shared" si="10"/>
        <v>SYKIRVAKRERKAAKTLGVTVLAFVISWLPYTVDILIDAFM</v>
      </c>
      <c r="P49" s="4" t="str">
        <f t="shared" si="11"/>
        <v>PAYIYEICCWSAYYNSAMNPLIYALF</v>
      </c>
      <c r="Q49" s="4" t="str">
        <f t="shared" si="12"/>
        <v>YPWFRKAIKLIL</v>
      </c>
      <c r="R49" s="5">
        <f>VLOOKUP($A49,'NonXtal_SegEnds_Prot#'!$A:$AL,3,FALSE)</f>
        <v>28</v>
      </c>
      <c r="S49" s="5">
        <f>VLOOKUP($A49,'NonXtal_SegEnds_Prot#'!$A:$AL,6,FALSE)</f>
        <v>60</v>
      </c>
      <c r="T49" s="5">
        <f>VLOOKUP($A49,'NonXtal_SegEnds_Prot#'!$A:$AL,9,FALSE)</f>
        <v>64</v>
      </c>
      <c r="U49" s="5">
        <f>VLOOKUP($A49,'NonXtal_SegEnds_Prot#'!$A:$AL,12,FALSE)</f>
        <v>96</v>
      </c>
      <c r="V49" s="5">
        <f>VLOOKUP($A49,'NonXtal_SegEnds_Prot#'!$A:$AL,15,FALSE)</f>
        <v>100</v>
      </c>
      <c r="W49" s="5">
        <f>VLOOKUP($A49,'NonXtal_SegEnds_Prot#'!$A:$AL,18,FALSE)</f>
        <v>136</v>
      </c>
      <c r="X49" s="5">
        <f>VLOOKUP($A49,'NonXtal_SegEnds_Prot#'!$A:$AL,21,FALSE)</f>
        <v>145</v>
      </c>
      <c r="Y49" s="5">
        <f>VLOOKUP($A49,'NonXtal_SegEnds_Prot#'!$A:$AL,24,FALSE)</f>
        <v>189</v>
      </c>
      <c r="Z49" s="5">
        <f>VLOOKUP($A49,'NonXtal_SegEnds_Prot#'!$A:$AL,27,FALSE)</f>
        <v>193</v>
      </c>
      <c r="AA49" s="5">
        <f>VLOOKUP($A49,'NonXtal_SegEnds_Prot#'!$A:$AL,30,FALSE)</f>
        <v>243</v>
      </c>
      <c r="AB49" s="5">
        <f>VLOOKUP($A49,'NonXtal_SegEnds_Prot#'!$A:$AL,33,FALSE)</f>
        <v>288</v>
      </c>
      <c r="AC49" s="5">
        <f>VLOOKUP($A49,'NonXtal_SegEnds_Prot#'!$A:$AL,36,FALSE)</f>
        <v>314</v>
      </c>
      <c r="AD49" s="5">
        <f>VLOOKUP($A49,'NonXtal_SegEnds_Prot#'!$A:$AL,5,FALSE)</f>
        <v>59</v>
      </c>
      <c r="AE49" s="5">
        <f>VLOOKUP($A49,'NonXtal_SegEnds_Prot#'!$A:$AL,8,FALSE)</f>
        <v>63</v>
      </c>
      <c r="AF49" s="5">
        <f>VLOOKUP($A49,'NonXtal_SegEnds_Prot#'!$A:$AL,11,FALSE)</f>
        <v>94</v>
      </c>
      <c r="AG49" s="5">
        <f>VLOOKUP($A49,'NonXtal_SegEnds_Prot#'!$A:$AL,14,FALSE)</f>
        <v>99</v>
      </c>
      <c r="AH49" s="5">
        <f>VLOOKUP($A49,'NonXtal_SegEnds_Prot#'!$A:$AL,17,FALSE)</f>
        <v>135</v>
      </c>
      <c r="AI49" s="5">
        <f>VLOOKUP($A49,'NonXtal_SegEnds_Prot#'!$A:$AL,20,FALSE)</f>
        <v>143</v>
      </c>
      <c r="AJ49" s="5">
        <f>VLOOKUP($A49,'NonXtal_SegEnds_Prot#'!$A:$AL,23,FALSE)</f>
        <v>169</v>
      </c>
      <c r="AK49" s="5">
        <f>VLOOKUP($A49,'NonXtal_SegEnds_Prot#'!$A:$AL,26,FALSE)</f>
        <v>191</v>
      </c>
      <c r="AL49" s="5">
        <f>VLOOKUP($A49,'NonXtal_SegEnds_Prot#'!$A:$AL,29,FALSE)</f>
        <v>232</v>
      </c>
      <c r="AM49" s="5">
        <f>VLOOKUP($A49,'NonXtal_SegEnds_Prot#'!$A:$AL,32,FALSE)</f>
        <v>283</v>
      </c>
      <c r="AN49" s="5">
        <f>VLOOKUP($A49,'NonXtal_SegEnds_Prot#'!$A:$AL,35,FALSE)</f>
        <v>313</v>
      </c>
      <c r="AO49" s="5">
        <f>VLOOKUP($A49,'NonXtal_SegEnds_Prot#'!$A:$AL,38,FALSE)</f>
        <v>325</v>
      </c>
      <c r="AP49" s="5">
        <f t="shared" si="13"/>
        <v>31</v>
      </c>
      <c r="AQ49" s="4">
        <f t="shared" si="14"/>
        <v>3</v>
      </c>
      <c r="AR49" s="4">
        <f t="shared" si="15"/>
        <v>30</v>
      </c>
      <c r="AS49" s="4">
        <f t="shared" si="16"/>
        <v>3</v>
      </c>
      <c r="AT49" s="4">
        <f t="shared" si="17"/>
        <v>35</v>
      </c>
      <c r="AU49" s="4">
        <f t="shared" si="18"/>
        <v>7</v>
      </c>
      <c r="AV49" s="4">
        <f t="shared" si="19"/>
        <v>24</v>
      </c>
      <c r="AW49" s="4">
        <f t="shared" si="20"/>
        <v>2</v>
      </c>
      <c r="AX49" s="4">
        <f t="shared" si="21"/>
        <v>39</v>
      </c>
      <c r="AY49" s="4">
        <f t="shared" si="22"/>
        <v>40</v>
      </c>
      <c r="AZ49" s="4">
        <f t="shared" si="23"/>
        <v>25</v>
      </c>
      <c r="BA49" s="4">
        <f t="shared" si="24"/>
        <v>11</v>
      </c>
    </row>
    <row r="50" spans="1:53" x14ac:dyDescent="0.2">
      <c r="A50" s="1" t="str">
        <f>'NonXtal_SegEnds_Prot#'!A15</f>
        <v>5ht1d_human</v>
      </c>
      <c r="B50" s="1" t="str">
        <f t="shared" si="0"/>
        <v>QALKISLAVVLSVITLATVLSNAFVLTTILLTTPANYLIGSLATTDLLVSILVMPISIAYTITGQILCDIWLSSDITCCTASILHLCVIALDRYWAITDAGHAATMIAIVWAISICISIPPLFWQISYTIYSTCGAFYIPSVLLIILYGRIYRAARNRILNPPSRISAARERKATKILGIILGAFIICWLPFFVVSLVLPIHPALFDFFTWLGYLNSLINPIIYTVFNEEFRQAFQKIV</v>
      </c>
      <c r="C50" s="72" t="str">
        <f>IF(ISERROR(MATCH(A50,'Xtal_SegEnds_Prot#'!B:B, 0)), "NoXtal", "Xtal")</f>
        <v>NoXtal</v>
      </c>
      <c r="D50" s="4" t="str">
        <f>VLOOKUP(A50,Classification!A:D,2,FALSE)</f>
        <v>A</v>
      </c>
      <c r="E50" s="5" t="str">
        <f>VLOOKUP(A50,Seqs!A:B,2,FALSE)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50" s="5" t="str">
        <f t="shared" si="1"/>
        <v>QALKISLAVVLSVITLATVLSNAFVLTTILLT</v>
      </c>
      <c r="G50" s="4" t="str">
        <f t="shared" si="2"/>
        <v>RKLH</v>
      </c>
      <c r="H50" s="4" t="str">
        <f t="shared" si="3"/>
        <v>TPANYLIGSLATTDLLVSILVMPISIAYTIT</v>
      </c>
      <c r="I50" s="4" t="str">
        <f t="shared" si="4"/>
        <v>TWNF</v>
      </c>
      <c r="J50" s="4" t="str">
        <f t="shared" si="5"/>
        <v>GQILCDIWLSSDITCCTASILHLCVIALDRYWAITD</v>
      </c>
      <c r="K50" s="4" t="str">
        <f t="shared" si="6"/>
        <v>ALEYSKRR</v>
      </c>
      <c r="L50" s="4" t="str">
        <f t="shared" si="7"/>
        <v>AGHAATMIAIVWAISICISIPPLFW</v>
      </c>
      <c r="M50" s="4" t="str">
        <f t="shared" si="8"/>
        <v>CLV</v>
      </c>
      <c r="N50" s="4" t="str">
        <f t="shared" si="9"/>
        <v>QISYTIYSTCGAFYIPSVLLIILYGRIYRAARNRILNPPS</v>
      </c>
      <c r="O50" s="4" t="str">
        <f t="shared" si="10"/>
        <v>RISAARERKATKILGIILGAFIICWLPFFVVSLVLPI</v>
      </c>
      <c r="P50" s="4" t="str">
        <f t="shared" si="11"/>
        <v>HPALFDFFTWLGYLNSLINPIIYTVF</v>
      </c>
      <c r="Q50" s="4" t="str">
        <f t="shared" si="12"/>
        <v>NEEFRQAFQKIV</v>
      </c>
      <c r="R50" s="5">
        <f>VLOOKUP($A50,'NonXtal_SegEnds_Prot#'!$A:$AL,3,FALSE)</f>
        <v>35</v>
      </c>
      <c r="S50" s="5">
        <f>VLOOKUP($A50,'NonXtal_SegEnds_Prot#'!$A:$AL,6,FALSE)</f>
        <v>67</v>
      </c>
      <c r="T50" s="5">
        <f>VLOOKUP($A50,'NonXtal_SegEnds_Prot#'!$A:$AL,9,FALSE)</f>
        <v>71</v>
      </c>
      <c r="U50" s="5">
        <f>VLOOKUP($A50,'NonXtal_SegEnds_Prot#'!$A:$AL,12,FALSE)</f>
        <v>103</v>
      </c>
      <c r="V50" s="5">
        <f>VLOOKUP($A50,'NonXtal_SegEnds_Prot#'!$A:$AL,15,FALSE)</f>
        <v>107</v>
      </c>
      <c r="W50" s="5">
        <f>VLOOKUP($A50,'NonXtal_SegEnds_Prot#'!$A:$AL,18,FALSE)</f>
        <v>143</v>
      </c>
      <c r="X50" s="5">
        <f>VLOOKUP($A50,'NonXtal_SegEnds_Prot#'!$A:$AL,21,FALSE)</f>
        <v>152</v>
      </c>
      <c r="Y50" s="5">
        <f>VLOOKUP($A50,'NonXtal_SegEnds_Prot#'!$A:$AL,24,FALSE)</f>
        <v>188</v>
      </c>
      <c r="Z50" s="5">
        <f>VLOOKUP($A50,'NonXtal_SegEnds_Prot#'!$A:$AL,27,FALSE)</f>
        <v>194</v>
      </c>
      <c r="AA50" s="5">
        <f>VLOOKUP($A50,'NonXtal_SegEnds_Prot#'!$A:$AL,30,FALSE)</f>
        <v>290</v>
      </c>
      <c r="AB50" s="5">
        <f>VLOOKUP($A50,'NonXtal_SegEnds_Prot#'!$A:$AL,33,FALSE)</f>
        <v>334</v>
      </c>
      <c r="AC50" s="5">
        <f>VLOOKUP($A50,'NonXtal_SegEnds_Prot#'!$A:$AL,36,FALSE)</f>
        <v>360</v>
      </c>
      <c r="AD50" s="5">
        <f>VLOOKUP($A50,'NonXtal_SegEnds_Prot#'!$A:$AL,5,FALSE)</f>
        <v>66</v>
      </c>
      <c r="AE50" s="5">
        <f>VLOOKUP($A50,'NonXtal_SegEnds_Prot#'!$A:$AL,8,FALSE)</f>
        <v>70</v>
      </c>
      <c r="AF50" s="5">
        <f>VLOOKUP($A50,'NonXtal_SegEnds_Prot#'!$A:$AL,11,FALSE)</f>
        <v>101</v>
      </c>
      <c r="AG50" s="5">
        <f>VLOOKUP($A50,'NonXtal_SegEnds_Prot#'!$A:$AL,14,FALSE)</f>
        <v>106</v>
      </c>
      <c r="AH50" s="5">
        <f>VLOOKUP($A50,'NonXtal_SegEnds_Prot#'!$A:$AL,17,FALSE)</f>
        <v>142</v>
      </c>
      <c r="AI50" s="5">
        <f>VLOOKUP($A50,'NonXtal_SegEnds_Prot#'!$A:$AL,20,FALSE)</f>
        <v>150</v>
      </c>
      <c r="AJ50" s="5">
        <f>VLOOKUP($A50,'NonXtal_SegEnds_Prot#'!$A:$AL,23,FALSE)</f>
        <v>176</v>
      </c>
      <c r="AK50" s="5">
        <f>VLOOKUP($A50,'NonXtal_SegEnds_Prot#'!$A:$AL,26,FALSE)</f>
        <v>190</v>
      </c>
      <c r="AL50" s="5">
        <f>VLOOKUP($A50,'NonXtal_SegEnds_Prot#'!$A:$AL,29,FALSE)</f>
        <v>233</v>
      </c>
      <c r="AM50" s="5">
        <f>VLOOKUP($A50,'NonXtal_SegEnds_Prot#'!$A:$AL,32,FALSE)</f>
        <v>326</v>
      </c>
      <c r="AN50" s="5">
        <f>VLOOKUP($A50,'NonXtal_SegEnds_Prot#'!$A:$AL,35,FALSE)</f>
        <v>359</v>
      </c>
      <c r="AO50" s="5">
        <f>VLOOKUP($A50,'NonXtal_SegEnds_Prot#'!$A:$AL,38,FALSE)</f>
        <v>371</v>
      </c>
      <c r="AP50" s="5">
        <f t="shared" si="13"/>
        <v>31</v>
      </c>
      <c r="AQ50" s="4">
        <f t="shared" si="14"/>
        <v>3</v>
      </c>
      <c r="AR50" s="4">
        <f t="shared" si="15"/>
        <v>30</v>
      </c>
      <c r="AS50" s="4">
        <f t="shared" si="16"/>
        <v>3</v>
      </c>
      <c r="AT50" s="4">
        <f t="shared" si="17"/>
        <v>35</v>
      </c>
      <c r="AU50" s="4">
        <f t="shared" si="18"/>
        <v>7</v>
      </c>
      <c r="AV50" s="4">
        <f t="shared" si="19"/>
        <v>24</v>
      </c>
      <c r="AW50" s="4">
        <f t="shared" si="20"/>
        <v>2</v>
      </c>
      <c r="AX50" s="4">
        <f t="shared" si="21"/>
        <v>39</v>
      </c>
      <c r="AY50" s="4">
        <f t="shared" si="22"/>
        <v>36</v>
      </c>
      <c r="AZ50" s="4">
        <f t="shared" si="23"/>
        <v>25</v>
      </c>
      <c r="BA50" s="4">
        <f t="shared" si="24"/>
        <v>11</v>
      </c>
    </row>
    <row r="51" spans="1:53" x14ac:dyDescent="0.2">
      <c r="A51" s="1" t="str">
        <f>'NonXtal_SegEnds_Prot#'!A16</f>
        <v>ada2a_human</v>
      </c>
      <c r="B51" s="1" t="str">
        <f t="shared" si="0"/>
        <v>LQVTLTLVCLAGLLMLLTVFGNVLVIIAVFTSAPQNLFLVSLASADILVATLVIPFSLANEVMGKAWCEIYLALDVLFCTSSIVHLCAISLDRYWSITQPRRIKAIIITVWVISAVISFPPLISQKWYVISSCIGSFFAPCLIMILVYVRIYQIAKRRTRVPPSRRGRQNREKRFTFVLAVVIGVFVVCWFPFFFTYTLTAVGRTLFKFFFWFGYCNSSLNPVIYTIFNHDFRRAFKKIL</v>
      </c>
      <c r="C51" s="72" t="str">
        <f>IF(ISERROR(MATCH(A51,'Xtal_SegEnds_Prot#'!B:B, 0)), "NoXtal", "Xtal")</f>
        <v>NoXtal</v>
      </c>
      <c r="D51" s="4" t="str">
        <f>VLOOKUP(A51,Classification!A:D,2,FALSE)</f>
        <v>A</v>
      </c>
      <c r="E51" s="5" t="str">
        <f>VLOOKUP(A51,Seqs!A:B,2,FALSE)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51" s="5" t="str">
        <f t="shared" si="1"/>
        <v>LQVTLTLVCLAGLLMLLTVFGNVLVIIAVFTS</v>
      </c>
      <c r="G51" s="4" t="str">
        <f t="shared" si="2"/>
        <v>RALK</v>
      </c>
      <c r="H51" s="4" t="str">
        <f t="shared" si="3"/>
        <v>APQNLFLVSLASADILVATLVIPFSLANEVM</v>
      </c>
      <c r="I51" s="4" t="str">
        <f t="shared" si="4"/>
        <v>YWYF</v>
      </c>
      <c r="J51" s="4" t="str">
        <f t="shared" si="5"/>
        <v>GKAWCEIYLALDVLFCTSSIVHLCAISLDRYWSITQ</v>
      </c>
      <c r="K51" s="4" t="str">
        <f t="shared" si="6"/>
        <v>AIEYNLKR</v>
      </c>
      <c r="L51" s="4" t="str">
        <f t="shared" si="7"/>
        <v>PRRIKAIIITVWVISAVISFPPLIS</v>
      </c>
      <c r="M51" s="4" t="str">
        <f t="shared" si="8"/>
        <v>CEI</v>
      </c>
      <c r="N51" s="4" t="str">
        <f t="shared" si="9"/>
        <v>QKWYVISSCIGSFFAPCLIMILVYVRIYQIAKRRTRVPPSR</v>
      </c>
      <c r="O51" s="4" t="str">
        <f t="shared" si="10"/>
        <v>RGRQNREKRFTFVLAVVIGVFVVCWFPFFFTYTLTAVG</v>
      </c>
      <c r="P51" s="4" t="str">
        <f t="shared" si="11"/>
        <v>RTLFKFFFWFGYCNSSLNPVIYTIF</v>
      </c>
      <c r="Q51" s="4" t="str">
        <f t="shared" si="12"/>
        <v>NHDFRRAFKKIL</v>
      </c>
      <c r="R51" s="5">
        <f>VLOOKUP($A51,'NonXtal_SegEnds_Prot#'!$A:$AL,3,FALSE)</f>
        <v>30</v>
      </c>
      <c r="S51" s="5">
        <f>VLOOKUP($A51,'NonXtal_SegEnds_Prot#'!$A:$AL,6,FALSE)</f>
        <v>62</v>
      </c>
      <c r="T51" s="5">
        <f>VLOOKUP($A51,'NonXtal_SegEnds_Prot#'!$A:$AL,9,FALSE)</f>
        <v>66</v>
      </c>
      <c r="U51" s="5">
        <f>VLOOKUP($A51,'NonXtal_SegEnds_Prot#'!$A:$AL,12,FALSE)</f>
        <v>98</v>
      </c>
      <c r="V51" s="5">
        <f>VLOOKUP($A51,'NonXtal_SegEnds_Prot#'!$A:$AL,15,FALSE)</f>
        <v>102</v>
      </c>
      <c r="W51" s="5">
        <f>VLOOKUP($A51,'NonXtal_SegEnds_Prot#'!$A:$AL,18,FALSE)</f>
        <v>138</v>
      </c>
      <c r="X51" s="5">
        <f>VLOOKUP($A51,'NonXtal_SegEnds_Prot#'!$A:$AL,21,FALSE)</f>
        <v>147</v>
      </c>
      <c r="Y51" s="5">
        <f>VLOOKUP($A51,'NonXtal_SegEnds_Prot#'!$A:$AL,24,FALSE)</f>
        <v>188</v>
      </c>
      <c r="Z51" s="5">
        <f>VLOOKUP($A51,'NonXtal_SegEnds_Prot#'!$A:$AL,27,FALSE)</f>
        <v>193</v>
      </c>
      <c r="AA51" s="5">
        <f>VLOOKUP($A51,'NonXtal_SegEnds_Prot#'!$A:$AL,30,FALSE)</f>
        <v>363</v>
      </c>
      <c r="AB51" s="5">
        <f>VLOOKUP($A51,'NonXtal_SegEnds_Prot#'!$A:$AL,33,FALSE)</f>
        <v>405</v>
      </c>
      <c r="AC51" s="5">
        <f>VLOOKUP($A51,'NonXtal_SegEnds_Prot#'!$A:$AL,36,FALSE)</f>
        <v>430</v>
      </c>
      <c r="AD51" s="5">
        <f>VLOOKUP($A51,'NonXtal_SegEnds_Prot#'!$A:$AL,5,FALSE)</f>
        <v>61</v>
      </c>
      <c r="AE51" s="5">
        <f>VLOOKUP($A51,'NonXtal_SegEnds_Prot#'!$A:$AL,8,FALSE)</f>
        <v>65</v>
      </c>
      <c r="AF51" s="5">
        <f>VLOOKUP($A51,'NonXtal_SegEnds_Prot#'!$A:$AL,11,FALSE)</f>
        <v>96</v>
      </c>
      <c r="AG51" s="5">
        <f>VLOOKUP($A51,'NonXtal_SegEnds_Prot#'!$A:$AL,14,FALSE)</f>
        <v>101</v>
      </c>
      <c r="AH51" s="5">
        <f>VLOOKUP($A51,'NonXtal_SegEnds_Prot#'!$A:$AL,17,FALSE)</f>
        <v>137</v>
      </c>
      <c r="AI51" s="5">
        <f>VLOOKUP($A51,'NonXtal_SegEnds_Prot#'!$A:$AL,20,FALSE)</f>
        <v>145</v>
      </c>
      <c r="AJ51" s="5">
        <f>VLOOKUP($A51,'NonXtal_SegEnds_Prot#'!$A:$AL,23,FALSE)</f>
        <v>171</v>
      </c>
      <c r="AK51" s="5">
        <f>VLOOKUP($A51,'NonXtal_SegEnds_Prot#'!$A:$AL,26,FALSE)</f>
        <v>190</v>
      </c>
      <c r="AL51" s="5">
        <f>VLOOKUP($A51,'NonXtal_SegEnds_Prot#'!$A:$AL,29,FALSE)</f>
        <v>233</v>
      </c>
      <c r="AM51" s="5">
        <f>VLOOKUP($A51,'NonXtal_SegEnds_Prot#'!$A:$AL,32,FALSE)</f>
        <v>400</v>
      </c>
      <c r="AN51" s="5">
        <f>VLOOKUP($A51,'NonXtal_SegEnds_Prot#'!$A:$AL,35,FALSE)</f>
        <v>429</v>
      </c>
      <c r="AO51" s="5">
        <f>VLOOKUP($A51,'NonXtal_SegEnds_Prot#'!$A:$AL,38,FALSE)</f>
        <v>441</v>
      </c>
      <c r="AP51" s="5">
        <f t="shared" si="13"/>
        <v>31</v>
      </c>
      <c r="AQ51" s="4">
        <f t="shared" si="14"/>
        <v>3</v>
      </c>
      <c r="AR51" s="4">
        <f t="shared" si="15"/>
        <v>30</v>
      </c>
      <c r="AS51" s="4">
        <f t="shared" si="16"/>
        <v>3</v>
      </c>
      <c r="AT51" s="4">
        <f t="shared" si="17"/>
        <v>35</v>
      </c>
      <c r="AU51" s="4">
        <f t="shared" si="18"/>
        <v>7</v>
      </c>
      <c r="AV51" s="4">
        <f t="shared" si="19"/>
        <v>24</v>
      </c>
      <c r="AW51" s="4">
        <f t="shared" si="20"/>
        <v>2</v>
      </c>
      <c r="AX51" s="4">
        <f t="shared" si="21"/>
        <v>40</v>
      </c>
      <c r="AY51" s="4">
        <f t="shared" si="22"/>
        <v>37</v>
      </c>
      <c r="AZ51" s="4">
        <f t="shared" si="23"/>
        <v>24</v>
      </c>
      <c r="BA51" s="4">
        <f t="shared" si="24"/>
        <v>11</v>
      </c>
    </row>
    <row r="52" spans="1:53" x14ac:dyDescent="0.2">
      <c r="A52" s="1" t="str">
        <f>'NonXtal_SegEnds_Prot#'!A17</f>
        <v>5ht1a_human</v>
      </c>
      <c r="B52" s="1" t="str">
        <f t="shared" si="0"/>
        <v>VSYQVITSLLLGTLIFCAVLGNACVVAAIALENVANYLIGSLAVTDLMVSVLVLPMAALYQVLGQVTCDLFIALDVLCCTSSILHLCAIALDRYWAITDPRRAAALISLTWLIGFLISIPPMLGDHGYTIYSTFGAFYIPLLLMLVLYGRIFRAARFRIRKTVKKVKMALARERKTVKTLGIIMGTFILCWLPFFIVALVLPFPTLLGAIINWLGYSNSLLNPVIYAYFNKDFQNAFKKII</v>
      </c>
      <c r="C52" s="72" t="str">
        <f>IF(ISERROR(MATCH(A52,'Xtal_SegEnds_Prot#'!B:B, 0)), "NoXtal", "Xtal")</f>
        <v>NoXtal</v>
      </c>
      <c r="D52" s="4" t="str">
        <f>VLOOKUP(A52,Classification!A:D,2,FALSE)</f>
        <v>A</v>
      </c>
      <c r="E52" s="5" t="str">
        <f>VLOOKUP(A52,Seqs!A:B,2,FALSE)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52" s="5" t="str">
        <f t="shared" si="1"/>
        <v>VSYQVITSLLLGTLIFCAVLGNACVVAAIALE</v>
      </c>
      <c r="G52" s="4" t="str">
        <f t="shared" si="2"/>
        <v>RSLQ</v>
      </c>
      <c r="H52" s="4" t="str">
        <f t="shared" si="3"/>
        <v>NVANYLIGSLAVTDLMVSVLVLPMAALYQVL</v>
      </c>
      <c r="I52" s="4" t="str">
        <f t="shared" si="4"/>
        <v>KWTL</v>
      </c>
      <c r="J52" s="4" t="str">
        <f t="shared" si="5"/>
        <v>GQVTCDLFIALDVLCCTSSILHLCAIALDRYWAITD</v>
      </c>
      <c r="K52" s="4" t="str">
        <f t="shared" si="6"/>
        <v>PIDYVNKR</v>
      </c>
      <c r="L52" s="4" t="str">
        <f t="shared" si="7"/>
        <v>PRRAAALISLTWLIGFLISIPPMLG</v>
      </c>
      <c r="M52" s="4" t="str">
        <f t="shared" si="8"/>
        <v>CTI</v>
      </c>
      <c r="N52" s="4" t="str">
        <f t="shared" si="9"/>
        <v>DHGYTIYSTFGAFYIPLLLMLVLYGRIFRAARFRIRKTVKKV</v>
      </c>
      <c r="O52" s="4" t="str">
        <f t="shared" si="10"/>
        <v>KMALARERKTVKTLGIIMGTFILCWLPFFIVALVLPF</v>
      </c>
      <c r="P52" s="4" t="str">
        <f t="shared" si="11"/>
        <v>PTLLGAIINWLGYSNSLLNPVIYAYF</v>
      </c>
      <c r="Q52" s="4" t="str">
        <f t="shared" si="12"/>
        <v>NKDFQNAFKKII</v>
      </c>
      <c r="R52" s="5">
        <f>VLOOKUP($A52,'NonXtal_SegEnds_Prot#'!$A:$AL,3,FALSE)</f>
        <v>33</v>
      </c>
      <c r="S52" s="5">
        <f>VLOOKUP($A52,'NonXtal_SegEnds_Prot#'!$A:$AL,6,FALSE)</f>
        <v>65</v>
      </c>
      <c r="T52" s="5">
        <f>VLOOKUP($A52,'NonXtal_SegEnds_Prot#'!$A:$AL,9,FALSE)</f>
        <v>69</v>
      </c>
      <c r="U52" s="5">
        <f>VLOOKUP($A52,'NonXtal_SegEnds_Prot#'!$A:$AL,12,FALSE)</f>
        <v>101</v>
      </c>
      <c r="V52" s="5">
        <f>VLOOKUP($A52,'NonXtal_SegEnds_Prot#'!$A:$AL,15,FALSE)</f>
        <v>105</v>
      </c>
      <c r="W52" s="5">
        <f>VLOOKUP($A52,'NonXtal_SegEnds_Prot#'!$A:$AL,18,FALSE)</f>
        <v>141</v>
      </c>
      <c r="X52" s="5">
        <f>VLOOKUP($A52,'NonXtal_SegEnds_Prot#'!$A:$AL,21,FALSE)</f>
        <v>150</v>
      </c>
      <c r="Y52" s="5">
        <f>VLOOKUP($A52,'NonXtal_SegEnds_Prot#'!$A:$AL,24,FALSE)</f>
        <v>187</v>
      </c>
      <c r="Z52" s="5">
        <f>VLOOKUP($A52,'NonXtal_SegEnds_Prot#'!$A:$AL,27,FALSE)</f>
        <v>192</v>
      </c>
      <c r="AA52" s="5">
        <f>VLOOKUP($A52,'NonXtal_SegEnds_Prot#'!$A:$AL,30,FALSE)</f>
        <v>334</v>
      </c>
      <c r="AB52" s="5">
        <f>VLOOKUP($A52,'NonXtal_SegEnds_Prot#'!$A:$AL,33,FALSE)</f>
        <v>378</v>
      </c>
      <c r="AC52" s="5">
        <f>VLOOKUP($A52,'NonXtal_SegEnds_Prot#'!$A:$AL,36,FALSE)</f>
        <v>404</v>
      </c>
      <c r="AD52" s="5">
        <f>VLOOKUP($A52,'NonXtal_SegEnds_Prot#'!$A:$AL,5,FALSE)</f>
        <v>64</v>
      </c>
      <c r="AE52" s="5">
        <f>VLOOKUP($A52,'NonXtal_SegEnds_Prot#'!$A:$AL,8,FALSE)</f>
        <v>68</v>
      </c>
      <c r="AF52" s="5">
        <f>VLOOKUP($A52,'NonXtal_SegEnds_Prot#'!$A:$AL,11,FALSE)</f>
        <v>99</v>
      </c>
      <c r="AG52" s="5">
        <f>VLOOKUP($A52,'NonXtal_SegEnds_Prot#'!$A:$AL,14,FALSE)</f>
        <v>104</v>
      </c>
      <c r="AH52" s="5">
        <f>VLOOKUP($A52,'NonXtal_SegEnds_Prot#'!$A:$AL,17,FALSE)</f>
        <v>140</v>
      </c>
      <c r="AI52" s="5">
        <f>VLOOKUP($A52,'NonXtal_SegEnds_Prot#'!$A:$AL,20,FALSE)</f>
        <v>148</v>
      </c>
      <c r="AJ52" s="5">
        <f>VLOOKUP($A52,'NonXtal_SegEnds_Prot#'!$A:$AL,23,FALSE)</f>
        <v>174</v>
      </c>
      <c r="AK52" s="5">
        <f>VLOOKUP($A52,'NonXtal_SegEnds_Prot#'!$A:$AL,26,FALSE)</f>
        <v>189</v>
      </c>
      <c r="AL52" s="5">
        <f>VLOOKUP($A52,'NonXtal_SegEnds_Prot#'!$A:$AL,29,FALSE)</f>
        <v>233</v>
      </c>
      <c r="AM52" s="5">
        <f>VLOOKUP($A52,'NonXtal_SegEnds_Prot#'!$A:$AL,32,FALSE)</f>
        <v>370</v>
      </c>
      <c r="AN52" s="5">
        <f>VLOOKUP($A52,'NonXtal_SegEnds_Prot#'!$A:$AL,35,FALSE)</f>
        <v>403</v>
      </c>
      <c r="AO52" s="5">
        <f>VLOOKUP($A52,'NonXtal_SegEnds_Prot#'!$A:$AL,38,FALSE)</f>
        <v>415</v>
      </c>
      <c r="AP52" s="5">
        <f t="shared" si="13"/>
        <v>31</v>
      </c>
      <c r="AQ52" s="4">
        <f t="shared" si="14"/>
        <v>3</v>
      </c>
      <c r="AR52" s="4">
        <f t="shared" si="15"/>
        <v>30</v>
      </c>
      <c r="AS52" s="4">
        <f t="shared" si="16"/>
        <v>3</v>
      </c>
      <c r="AT52" s="4">
        <f t="shared" si="17"/>
        <v>35</v>
      </c>
      <c r="AU52" s="4">
        <f t="shared" si="18"/>
        <v>7</v>
      </c>
      <c r="AV52" s="4">
        <f t="shared" si="19"/>
        <v>24</v>
      </c>
      <c r="AW52" s="4">
        <f t="shared" si="20"/>
        <v>2</v>
      </c>
      <c r="AX52" s="4">
        <f t="shared" si="21"/>
        <v>41</v>
      </c>
      <c r="AY52" s="4">
        <f t="shared" si="22"/>
        <v>36</v>
      </c>
      <c r="AZ52" s="4">
        <f t="shared" si="23"/>
        <v>25</v>
      </c>
      <c r="BA52" s="4">
        <f t="shared" si="24"/>
        <v>11</v>
      </c>
    </row>
    <row r="53" spans="1:53" x14ac:dyDescent="0.2">
      <c r="A53" s="1" t="str">
        <f>'NonXtal_SegEnds_Prot#'!A18</f>
        <v>gp161_human</v>
      </c>
      <c r="B53" s="1" t="str">
        <f t="shared" si="0"/>
        <v>GGVIITQFIAIIVITIFVCLGNLVIVVTLYKKTLSNKFVFSLTLSNFLLSVLVLPFVVTSSIRGVVWCNFSALLYLLISSASMLTLGVIAIDRYYAVLYGNRAVMALVYIWLHSLIGCLPPLFGEPGYTAFWQIWCALFPFLVMLVCYGFIFRVARVKARKVHCGTVVYSANQCKALITILVVLGAFMVTWGPYMVVIASEALWSPSLETWATWLSFASAVCHPLIYGLWNKTVRKELLGMC</v>
      </c>
      <c r="C53" s="72" t="str">
        <f>IF(ISERROR(MATCH(A53,'Xtal_SegEnds_Prot#'!B:B, 0)), "NoXtal", "Xtal")</f>
        <v>NoXtal</v>
      </c>
      <c r="D53" s="4" t="str">
        <f>VLOOKUP(A53,Classification!A:D,2,FALSE)</f>
        <v>A</v>
      </c>
      <c r="E53" s="5" t="str">
        <f>VLOOKUP(A53,Seqs!A:B,2,FALSE)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53" s="5" t="str">
        <f t="shared" si="1"/>
        <v>GGVIITQFIAIIVITIFVCLGNLVIVVTLYKK</v>
      </c>
      <c r="G53" s="4" t="str">
        <f t="shared" si="2"/>
        <v>SYLL</v>
      </c>
      <c r="H53" s="4" t="str">
        <f t="shared" si="3"/>
        <v>TLSNKFVFSLTLSNFLLSVLVLPFVVTSSIR</v>
      </c>
      <c r="I53" s="4" t="str">
        <f t="shared" si="4"/>
        <v>EWIF</v>
      </c>
      <c r="J53" s="4" t="str">
        <f t="shared" si="5"/>
        <v>GVVWCNFSALLYLLISSASMLTLGVIAIDRYYAVLY</v>
      </c>
      <c r="K53" s="4" t="str">
        <f t="shared" si="6"/>
        <v>PMVYPMKI</v>
      </c>
      <c r="L53" s="4" t="str">
        <f t="shared" si="7"/>
        <v>GNRAVMALVYIWLHSLIGCLPPLFG</v>
      </c>
      <c r="M53" s="4" t="str">
        <f t="shared" si="8"/>
        <v>CVA</v>
      </c>
      <c r="N53" s="4" t="str">
        <f t="shared" si="9"/>
        <v>EPGYTAFWQIWCALFPFLVMLVCYGFIFRVARVKARKVHCGT</v>
      </c>
      <c r="O53" s="4" t="str">
        <f t="shared" si="10"/>
        <v>VVYSANQCKALITILVVLGAFMVTWGPYMVVIASEALW</v>
      </c>
      <c r="P53" s="4" t="str">
        <f t="shared" si="11"/>
        <v>SPSLETWATWLSFASAVCHPLIYGLW</v>
      </c>
      <c r="Q53" s="4" t="str">
        <f t="shared" si="12"/>
        <v>NKTVRKELLGMC</v>
      </c>
      <c r="R53" s="5">
        <f>VLOOKUP($A53,'NonXtal_SegEnds_Prot#'!$A:$AL,3,FALSE)</f>
        <v>24</v>
      </c>
      <c r="S53" s="5">
        <f>VLOOKUP($A53,'NonXtal_SegEnds_Prot#'!$A:$AL,6,FALSE)</f>
        <v>56</v>
      </c>
      <c r="T53" s="5">
        <f>VLOOKUP($A53,'NonXtal_SegEnds_Prot#'!$A:$AL,9,FALSE)</f>
        <v>60</v>
      </c>
      <c r="U53" s="5">
        <f>VLOOKUP($A53,'NonXtal_SegEnds_Prot#'!$A:$AL,12,FALSE)</f>
        <v>92</v>
      </c>
      <c r="V53" s="5">
        <f>VLOOKUP($A53,'NonXtal_SegEnds_Prot#'!$A:$AL,15,FALSE)</f>
        <v>96</v>
      </c>
      <c r="W53" s="5">
        <f>VLOOKUP($A53,'NonXtal_SegEnds_Prot#'!$A:$AL,18,FALSE)</f>
        <v>132</v>
      </c>
      <c r="X53" s="5">
        <f>VLOOKUP($A53,'NonXtal_SegEnds_Prot#'!$A:$AL,21,FALSE)</f>
        <v>141</v>
      </c>
      <c r="Y53" s="5">
        <f>VLOOKUP($A53,'NonXtal_SegEnds_Prot#'!$A:$AL,24,FALSE)</f>
        <v>178</v>
      </c>
      <c r="Z53" s="5">
        <f>VLOOKUP($A53,'NonXtal_SegEnds_Prot#'!$A:$AL,27,FALSE)</f>
        <v>185</v>
      </c>
      <c r="AA53" s="5">
        <f>VLOOKUP($A53,'NonXtal_SegEnds_Prot#'!$A:$AL,30,FALSE)</f>
        <v>259</v>
      </c>
      <c r="AB53" s="5">
        <f>VLOOKUP($A53,'NonXtal_SegEnds_Prot#'!$A:$AL,33,FALSE)</f>
        <v>302</v>
      </c>
      <c r="AC53" s="5">
        <f>VLOOKUP($A53,'NonXtal_SegEnds_Prot#'!$A:$AL,36,FALSE)</f>
        <v>328</v>
      </c>
      <c r="AD53" s="5">
        <f>VLOOKUP($A53,'NonXtal_SegEnds_Prot#'!$A:$AL,5,FALSE)</f>
        <v>55</v>
      </c>
      <c r="AE53" s="5">
        <f>VLOOKUP($A53,'NonXtal_SegEnds_Prot#'!$A:$AL,8,FALSE)</f>
        <v>59</v>
      </c>
      <c r="AF53" s="5">
        <f>VLOOKUP($A53,'NonXtal_SegEnds_Prot#'!$A:$AL,11,FALSE)</f>
        <v>90</v>
      </c>
      <c r="AG53" s="5">
        <f>VLOOKUP($A53,'NonXtal_SegEnds_Prot#'!$A:$AL,14,FALSE)</f>
        <v>95</v>
      </c>
      <c r="AH53" s="5">
        <f>VLOOKUP($A53,'NonXtal_SegEnds_Prot#'!$A:$AL,17,FALSE)</f>
        <v>131</v>
      </c>
      <c r="AI53" s="5">
        <f>VLOOKUP($A53,'NonXtal_SegEnds_Prot#'!$A:$AL,20,FALSE)</f>
        <v>139</v>
      </c>
      <c r="AJ53" s="5">
        <f>VLOOKUP($A53,'NonXtal_SegEnds_Prot#'!$A:$AL,23,FALSE)</f>
        <v>165</v>
      </c>
      <c r="AK53" s="5">
        <f>VLOOKUP($A53,'NonXtal_SegEnds_Prot#'!$A:$AL,26,FALSE)</f>
        <v>180</v>
      </c>
      <c r="AL53" s="5">
        <f>VLOOKUP($A53,'NonXtal_SegEnds_Prot#'!$A:$AL,29,FALSE)</f>
        <v>226</v>
      </c>
      <c r="AM53" s="5">
        <f>VLOOKUP($A53,'NonXtal_SegEnds_Prot#'!$A:$AL,32,FALSE)</f>
        <v>296</v>
      </c>
      <c r="AN53" s="5">
        <f>VLOOKUP($A53,'NonXtal_SegEnds_Prot#'!$A:$AL,35,FALSE)</f>
        <v>327</v>
      </c>
      <c r="AO53" s="5">
        <f>VLOOKUP($A53,'NonXtal_SegEnds_Prot#'!$A:$AL,38,FALSE)</f>
        <v>339</v>
      </c>
      <c r="AP53" s="5">
        <f t="shared" si="13"/>
        <v>31</v>
      </c>
      <c r="AQ53" s="4">
        <f t="shared" si="14"/>
        <v>3</v>
      </c>
      <c r="AR53" s="4">
        <f t="shared" si="15"/>
        <v>30</v>
      </c>
      <c r="AS53" s="4">
        <f t="shared" si="16"/>
        <v>3</v>
      </c>
      <c r="AT53" s="4">
        <f t="shared" si="17"/>
        <v>35</v>
      </c>
      <c r="AU53" s="4">
        <f t="shared" si="18"/>
        <v>7</v>
      </c>
      <c r="AV53" s="4">
        <f t="shared" si="19"/>
        <v>24</v>
      </c>
      <c r="AW53" s="4">
        <f t="shared" si="20"/>
        <v>2</v>
      </c>
      <c r="AX53" s="4">
        <f t="shared" si="21"/>
        <v>41</v>
      </c>
      <c r="AY53" s="4">
        <f t="shared" si="22"/>
        <v>37</v>
      </c>
      <c r="AZ53" s="4">
        <f t="shared" si="23"/>
        <v>25</v>
      </c>
      <c r="BA53" s="4">
        <f t="shared" si="24"/>
        <v>11</v>
      </c>
    </row>
    <row r="54" spans="1:53" x14ac:dyDescent="0.2">
      <c r="A54" s="1" t="str">
        <f>'NonXtal_SegEnds_Prot#'!A19</f>
        <v>ada1a_human</v>
      </c>
      <c r="B54" s="1" t="str">
        <f t="shared" si="0"/>
        <v>ISKAILLGVILGGLILFGVLGNILVILSVACHSVTHYYIVNLAVADLLLTSTVLPFSAIFEVLGRVFCNIWAAVDVLCCTASIMGLCIISIDRYIGVSYQRRGLMALLCVWALSLVISIGPLFGEPGYVLFSALGSFYLPLAIILVMYCRVYVVAKRESRGLKSGLLLKFSREKKAAKTLGIVVGCFVLCWLPFFLVMPIGSFFSETVFKIVFWLGYLNSCINPIIYPCSSQEFKKAFQNVL</v>
      </c>
      <c r="C54" s="72" t="str">
        <f>IF(ISERROR(MATCH(A54,'Xtal_SegEnds_Prot#'!B:B, 0)), "NoXtal", "Xtal")</f>
        <v>NoXtal</v>
      </c>
      <c r="D54" s="4" t="str">
        <f>VLOOKUP(A54,Classification!A:D,2,FALSE)</f>
        <v>A</v>
      </c>
      <c r="E54" s="5" t="str">
        <f>VLOOKUP(A54,Seqs!A:B,2,FALSE)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54" s="5" t="str">
        <f t="shared" si="1"/>
        <v>ISKAILLGVILGGLILFGVLGNILVILSVACH</v>
      </c>
      <c r="G54" s="4" t="str">
        <f t="shared" si="2"/>
        <v>RHLH</v>
      </c>
      <c r="H54" s="4" t="str">
        <f t="shared" si="3"/>
        <v>SVTHYYIVNLAVADLLLTSTVLPFSAIFEVL</v>
      </c>
      <c r="I54" s="4" t="str">
        <f t="shared" si="4"/>
        <v>YWAF</v>
      </c>
      <c r="J54" s="4" t="str">
        <f t="shared" si="5"/>
        <v>GRVFCNIWAAVDVLCCTASIMGLCIISIDRYIGVSY</v>
      </c>
      <c r="K54" s="4" t="str">
        <f t="shared" si="6"/>
        <v>PLRYPTIV</v>
      </c>
      <c r="L54" s="4" t="str">
        <f t="shared" si="7"/>
        <v>QRRGLMALLCVWALSLVISIGPLFG</v>
      </c>
      <c r="M54" s="4" t="str">
        <f t="shared" si="8"/>
        <v>CQI</v>
      </c>
      <c r="N54" s="4" t="str">
        <f t="shared" si="9"/>
        <v>EPGYVLFSALGSFYLPLAIILVMYCRVYVVAKRESRGLKSGL</v>
      </c>
      <c r="O54" s="4" t="str">
        <f t="shared" si="10"/>
        <v>LLKFSREKKAAKTLGIVVGCFVLCWLPFFLVMPIGSFF</v>
      </c>
      <c r="P54" s="4" t="str">
        <f t="shared" si="11"/>
        <v>SETVFKIVFWLGYLNSCINPIIYPCS</v>
      </c>
      <c r="Q54" s="4" t="str">
        <f t="shared" si="12"/>
        <v>SQEFKKAFQNVL</v>
      </c>
      <c r="R54" s="5">
        <f>VLOOKUP($A54,'NonXtal_SegEnds_Prot#'!$A:$AL,3,FALSE)</f>
        <v>23</v>
      </c>
      <c r="S54" s="5">
        <f>VLOOKUP($A54,'NonXtal_SegEnds_Prot#'!$A:$AL,6,FALSE)</f>
        <v>55</v>
      </c>
      <c r="T54" s="5">
        <f>VLOOKUP($A54,'NonXtal_SegEnds_Prot#'!$A:$AL,9,FALSE)</f>
        <v>59</v>
      </c>
      <c r="U54" s="5">
        <f>VLOOKUP($A54,'NonXtal_SegEnds_Prot#'!$A:$AL,12,FALSE)</f>
        <v>91</v>
      </c>
      <c r="V54" s="5">
        <f>VLOOKUP($A54,'NonXtal_SegEnds_Prot#'!$A:$AL,15,FALSE)</f>
        <v>95</v>
      </c>
      <c r="W54" s="5">
        <f>VLOOKUP($A54,'NonXtal_SegEnds_Prot#'!$A:$AL,18,FALSE)</f>
        <v>131</v>
      </c>
      <c r="X54" s="5">
        <f>VLOOKUP($A54,'NonXtal_SegEnds_Prot#'!$A:$AL,21,FALSE)</f>
        <v>140</v>
      </c>
      <c r="Y54" s="5">
        <f>VLOOKUP($A54,'NonXtal_SegEnds_Prot#'!$A:$AL,24,FALSE)</f>
        <v>176</v>
      </c>
      <c r="Z54" s="5">
        <f>VLOOKUP($A54,'NonXtal_SegEnds_Prot#'!$A:$AL,27,FALSE)</f>
        <v>181</v>
      </c>
      <c r="AA54" s="5">
        <f>VLOOKUP($A54,'NonXtal_SegEnds_Prot#'!$A:$AL,30,FALSE)</f>
        <v>261</v>
      </c>
      <c r="AB54" s="5">
        <f>VLOOKUP($A54,'NonXtal_SegEnds_Prot#'!$A:$AL,33,FALSE)</f>
        <v>304</v>
      </c>
      <c r="AC54" s="5">
        <f>VLOOKUP($A54,'NonXtal_SegEnds_Prot#'!$A:$AL,36,FALSE)</f>
        <v>330</v>
      </c>
      <c r="AD54" s="5">
        <f>VLOOKUP($A54,'NonXtal_SegEnds_Prot#'!$A:$AL,5,FALSE)</f>
        <v>54</v>
      </c>
      <c r="AE54" s="5">
        <f>VLOOKUP($A54,'NonXtal_SegEnds_Prot#'!$A:$AL,8,FALSE)</f>
        <v>58</v>
      </c>
      <c r="AF54" s="5">
        <f>VLOOKUP($A54,'NonXtal_SegEnds_Prot#'!$A:$AL,11,FALSE)</f>
        <v>89</v>
      </c>
      <c r="AG54" s="5">
        <f>VLOOKUP($A54,'NonXtal_SegEnds_Prot#'!$A:$AL,14,FALSE)</f>
        <v>94</v>
      </c>
      <c r="AH54" s="5">
        <f>VLOOKUP($A54,'NonXtal_SegEnds_Prot#'!$A:$AL,17,FALSE)</f>
        <v>130</v>
      </c>
      <c r="AI54" s="5">
        <f>VLOOKUP($A54,'NonXtal_SegEnds_Prot#'!$A:$AL,20,FALSE)</f>
        <v>138</v>
      </c>
      <c r="AJ54" s="5">
        <f>VLOOKUP($A54,'NonXtal_SegEnds_Prot#'!$A:$AL,23,FALSE)</f>
        <v>164</v>
      </c>
      <c r="AK54" s="5">
        <f>VLOOKUP($A54,'NonXtal_SegEnds_Prot#'!$A:$AL,26,FALSE)</f>
        <v>178</v>
      </c>
      <c r="AL54" s="5">
        <f>VLOOKUP($A54,'NonXtal_SegEnds_Prot#'!$A:$AL,29,FALSE)</f>
        <v>222</v>
      </c>
      <c r="AM54" s="5">
        <f>VLOOKUP($A54,'NonXtal_SegEnds_Prot#'!$A:$AL,32,FALSE)</f>
        <v>298</v>
      </c>
      <c r="AN54" s="5">
        <f>VLOOKUP($A54,'NonXtal_SegEnds_Prot#'!$A:$AL,35,FALSE)</f>
        <v>329</v>
      </c>
      <c r="AO54" s="5">
        <f>VLOOKUP($A54,'NonXtal_SegEnds_Prot#'!$A:$AL,38,FALSE)</f>
        <v>341</v>
      </c>
      <c r="AP54" s="5">
        <f t="shared" si="13"/>
        <v>31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7</v>
      </c>
      <c r="AV54" s="4">
        <f t="shared" si="19"/>
        <v>24</v>
      </c>
      <c r="AW54" s="4">
        <f t="shared" si="20"/>
        <v>2</v>
      </c>
      <c r="AX54" s="4">
        <f t="shared" si="21"/>
        <v>41</v>
      </c>
      <c r="AY54" s="4">
        <f t="shared" si="22"/>
        <v>37</v>
      </c>
      <c r="AZ54" s="4">
        <f t="shared" si="23"/>
        <v>25</v>
      </c>
      <c r="BA54" s="4">
        <f t="shared" si="24"/>
        <v>11</v>
      </c>
    </row>
    <row r="55" spans="1:53" x14ac:dyDescent="0.2">
      <c r="A55" s="1" t="str">
        <f>'NonXtal_SegEnds_Prot#'!A20</f>
        <v>5ht1e_human</v>
      </c>
      <c r="B55" s="1" t="str">
        <f t="shared" si="0"/>
        <v>ITEKMLICMTLVVITTLTTLLNLAVIMAIGTTQPANYLICSLAVTDLLVAVLVMPLSIIYIVMGYFLCEVWLSVDMTCCTCSILHLCVIALDRYWAITNAKRAALMILTVWTISIFISMPPLFWHVIYTIYSTLGAFYIPLTLILILYYRIYHAAKSLYQKRGSSRQISSTRERKAARILGLILGAFILSWLPFFIKELIVGLSSSEVADFLTWLGYVNSLINPLLYTSFNEDFKLAFKKLI</v>
      </c>
      <c r="C55" s="72" t="str">
        <f>IF(ISERROR(MATCH(A55,'Xtal_SegEnds_Prot#'!B:B, 0)), "NoXtal", "Xtal")</f>
        <v>NoXtal</v>
      </c>
      <c r="D55" s="4" t="str">
        <f>VLOOKUP(A55,Classification!A:D,2,FALSE)</f>
        <v>A</v>
      </c>
      <c r="E55" s="5" t="str">
        <f>VLOOKUP(A55,Seqs!A:B,2,FALSE)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55" s="5" t="str">
        <f t="shared" si="1"/>
        <v>ITEKMLICMTLVVITTLTTLLNLAVIMAIGTT</v>
      </c>
      <c r="G55" s="4" t="str">
        <f t="shared" si="2"/>
        <v>KKLH</v>
      </c>
      <c r="H55" s="4" t="str">
        <f t="shared" si="3"/>
        <v>QPANYLICSLAVTDLLVAVLVMPLSIIYIVM</v>
      </c>
      <c r="I55" s="4" t="str">
        <f t="shared" si="4"/>
        <v>RWKL</v>
      </c>
      <c r="J55" s="4" t="str">
        <f t="shared" si="5"/>
        <v>GYFLCEVWLSVDMTCCTCSILHLCVIALDRYWAITN</v>
      </c>
      <c r="K55" s="4" t="str">
        <f t="shared" si="6"/>
        <v>AIEYARKR</v>
      </c>
      <c r="L55" s="4" t="str">
        <f t="shared" si="7"/>
        <v>AKRAALMILTVWTISIFISMPPLFW</v>
      </c>
      <c r="M55" s="4" t="str">
        <f t="shared" si="8"/>
        <v>CTI</v>
      </c>
      <c r="N55" s="4" t="str">
        <f t="shared" si="9"/>
        <v>HVIYTIYSTLGAFYIPLTLILILYYRIYHAAKSLYQKRGSSR</v>
      </c>
      <c r="O55" s="4" t="str">
        <f t="shared" si="10"/>
        <v>QISSTRERKAARILGLILGAFILSWLPFFIKELIVGLS</v>
      </c>
      <c r="P55" s="4" t="str">
        <f t="shared" si="11"/>
        <v>SSEVADFLTWLGYVNSLINPLLYTSF</v>
      </c>
      <c r="Q55" s="4" t="str">
        <f t="shared" si="12"/>
        <v>NEDFKLAFKKLI</v>
      </c>
      <c r="R55" s="5">
        <f>VLOOKUP($A55,'NonXtal_SegEnds_Prot#'!$A:$AL,3,FALSE)</f>
        <v>19</v>
      </c>
      <c r="S55" s="5">
        <f>VLOOKUP($A55,'NonXtal_SegEnds_Prot#'!$A:$AL,6,FALSE)</f>
        <v>51</v>
      </c>
      <c r="T55" s="5">
        <f>VLOOKUP($A55,'NonXtal_SegEnds_Prot#'!$A:$AL,9,FALSE)</f>
        <v>55</v>
      </c>
      <c r="U55" s="5">
        <f>VLOOKUP($A55,'NonXtal_SegEnds_Prot#'!$A:$AL,12,FALSE)</f>
        <v>87</v>
      </c>
      <c r="V55" s="5">
        <f>VLOOKUP($A55,'NonXtal_SegEnds_Prot#'!$A:$AL,15,FALSE)</f>
        <v>91</v>
      </c>
      <c r="W55" s="5">
        <f>VLOOKUP($A55,'NonXtal_SegEnds_Prot#'!$A:$AL,18,FALSE)</f>
        <v>127</v>
      </c>
      <c r="X55" s="5">
        <f>VLOOKUP($A55,'NonXtal_SegEnds_Prot#'!$A:$AL,21,FALSE)</f>
        <v>136</v>
      </c>
      <c r="Y55" s="5">
        <f>VLOOKUP($A55,'NonXtal_SegEnds_Prot#'!$A:$AL,24,FALSE)</f>
        <v>173</v>
      </c>
      <c r="Z55" s="5">
        <f>VLOOKUP($A55,'NonXtal_SegEnds_Prot#'!$A:$AL,27,FALSE)</f>
        <v>179</v>
      </c>
      <c r="AA55" s="5">
        <f>VLOOKUP($A55,'NonXtal_SegEnds_Prot#'!$A:$AL,30,FALSE)</f>
        <v>280</v>
      </c>
      <c r="AB55" s="5">
        <f>VLOOKUP($A55,'NonXtal_SegEnds_Prot#'!$A:$AL,33,FALSE)</f>
        <v>322</v>
      </c>
      <c r="AC55" s="5">
        <f>VLOOKUP($A55,'NonXtal_SegEnds_Prot#'!$A:$AL,36,FALSE)</f>
        <v>348</v>
      </c>
      <c r="AD55" s="5">
        <f>VLOOKUP($A55,'NonXtal_SegEnds_Prot#'!$A:$AL,5,FALSE)</f>
        <v>50</v>
      </c>
      <c r="AE55" s="5">
        <f>VLOOKUP($A55,'NonXtal_SegEnds_Prot#'!$A:$AL,8,FALSE)</f>
        <v>54</v>
      </c>
      <c r="AF55" s="5">
        <f>VLOOKUP($A55,'NonXtal_SegEnds_Prot#'!$A:$AL,11,FALSE)</f>
        <v>85</v>
      </c>
      <c r="AG55" s="5">
        <f>VLOOKUP($A55,'NonXtal_SegEnds_Prot#'!$A:$AL,14,FALSE)</f>
        <v>90</v>
      </c>
      <c r="AH55" s="5">
        <f>VLOOKUP($A55,'NonXtal_SegEnds_Prot#'!$A:$AL,17,FALSE)</f>
        <v>126</v>
      </c>
      <c r="AI55" s="5">
        <f>VLOOKUP($A55,'NonXtal_SegEnds_Prot#'!$A:$AL,20,FALSE)</f>
        <v>134</v>
      </c>
      <c r="AJ55" s="5">
        <f>VLOOKUP($A55,'NonXtal_SegEnds_Prot#'!$A:$AL,23,FALSE)</f>
        <v>160</v>
      </c>
      <c r="AK55" s="5">
        <f>VLOOKUP($A55,'NonXtal_SegEnds_Prot#'!$A:$AL,26,FALSE)</f>
        <v>175</v>
      </c>
      <c r="AL55" s="5">
        <f>VLOOKUP($A55,'NonXtal_SegEnds_Prot#'!$A:$AL,29,FALSE)</f>
        <v>220</v>
      </c>
      <c r="AM55" s="5">
        <f>VLOOKUP($A55,'NonXtal_SegEnds_Prot#'!$A:$AL,32,FALSE)</f>
        <v>317</v>
      </c>
      <c r="AN55" s="5">
        <f>VLOOKUP($A55,'NonXtal_SegEnds_Prot#'!$A:$AL,35,FALSE)</f>
        <v>347</v>
      </c>
      <c r="AO55" s="5">
        <f>VLOOKUP($A55,'NonXtal_SegEnds_Prot#'!$A:$AL,38,FALSE)</f>
        <v>359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7</v>
      </c>
      <c r="AV55" s="4">
        <f t="shared" si="19"/>
        <v>24</v>
      </c>
      <c r="AW55" s="4">
        <f t="shared" si="20"/>
        <v>2</v>
      </c>
      <c r="AX55" s="4">
        <f t="shared" si="21"/>
        <v>41</v>
      </c>
      <c r="AY55" s="4">
        <f t="shared" si="22"/>
        <v>37</v>
      </c>
      <c r="AZ55" s="4">
        <f t="shared" si="23"/>
        <v>25</v>
      </c>
      <c r="BA55" s="4">
        <f t="shared" si="24"/>
        <v>11</v>
      </c>
    </row>
    <row r="56" spans="1:53" x14ac:dyDescent="0.2">
      <c r="A56" s="1" t="str">
        <f>'NonXtal_SegEnds_Prot#'!A21</f>
        <v>5ht1f_human</v>
      </c>
      <c r="B56" s="1" t="str">
        <f t="shared" si="0"/>
        <v>MPSKILVSLTLSGLALMTTTINSLVIAAIIVTHPANYLICSLAVTDFLVAVLVMPFSIVYIVRGQVVCDIWLSVDITCCTCSILHLSAIALDRYRAITDPKHAGIMITIVWIISVFISMPPLFWHIVSTIYSTFGAFYIPLALILILYYKIYRAAKTLYHKRQASRKISGTRERKAATTLGLILGAFVICWLPFFVKELVVNVCSEEMSNFLAWLGYLNSLINPLIYTIFNEDFKKAFQKLV</v>
      </c>
      <c r="C56" s="72" t="str">
        <f>IF(ISERROR(MATCH(A56,'Xtal_SegEnds_Prot#'!B:B, 0)), "NoXtal", "Xtal")</f>
        <v>NoXtal</v>
      </c>
      <c r="D56" s="4" t="str">
        <f>VLOOKUP(A56,Classification!A:D,2,FALSE)</f>
        <v>A</v>
      </c>
      <c r="E56" s="5" t="str">
        <f>VLOOKUP(A56,Seqs!A:B,2,FALSE)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56" s="5" t="str">
        <f t="shared" si="1"/>
        <v>MPSKILVSLTLSGLALMTTTINSLVIAAIIVT</v>
      </c>
      <c r="G56" s="4" t="str">
        <f t="shared" si="2"/>
        <v>RKLH</v>
      </c>
      <c r="H56" s="4" t="str">
        <f t="shared" si="3"/>
        <v>HPANYLICSLAVTDFLVAVLVMPFSIVYIVR</v>
      </c>
      <c r="I56" s="4" t="str">
        <f t="shared" si="4"/>
        <v>SWIM</v>
      </c>
      <c r="J56" s="4" t="str">
        <f t="shared" si="5"/>
        <v>GQVVCDIWLSVDITCCTCSILHLSAIALDRYRAITD</v>
      </c>
      <c r="K56" s="4" t="str">
        <f t="shared" si="6"/>
        <v>AVEYARKR</v>
      </c>
      <c r="L56" s="4" t="str">
        <f t="shared" si="7"/>
        <v>PKHAGIMITIVWIISVFISMPPLFW</v>
      </c>
      <c r="M56" s="4" t="str">
        <f t="shared" si="8"/>
        <v>CII</v>
      </c>
      <c r="N56" s="4" t="str">
        <f t="shared" si="9"/>
        <v>HIVSTIYSTFGAFYIPLALILILYYKIYRAAKTLYHKRQASR</v>
      </c>
      <c r="O56" s="4" t="str">
        <f t="shared" si="10"/>
        <v>KISGTRERKAATTLGLILGAFVICWLPFFVKELVVNVC</v>
      </c>
      <c r="P56" s="4" t="str">
        <f t="shared" si="11"/>
        <v>SEEMSNFLAWLGYLNSLINPLIYTIF</v>
      </c>
      <c r="Q56" s="4" t="str">
        <f t="shared" si="12"/>
        <v>NEDFKKAFQKLV</v>
      </c>
      <c r="R56" s="5">
        <f>VLOOKUP($A56,'NonXtal_SegEnds_Prot#'!$A:$AL,3,FALSE)</f>
        <v>20</v>
      </c>
      <c r="S56" s="5">
        <f>VLOOKUP($A56,'NonXtal_SegEnds_Prot#'!$A:$AL,6,FALSE)</f>
        <v>52</v>
      </c>
      <c r="T56" s="5">
        <f>VLOOKUP($A56,'NonXtal_SegEnds_Prot#'!$A:$AL,9,FALSE)</f>
        <v>56</v>
      </c>
      <c r="U56" s="5">
        <f>VLOOKUP($A56,'NonXtal_SegEnds_Prot#'!$A:$AL,12,FALSE)</f>
        <v>88</v>
      </c>
      <c r="V56" s="5">
        <f>VLOOKUP($A56,'NonXtal_SegEnds_Prot#'!$A:$AL,15,FALSE)</f>
        <v>92</v>
      </c>
      <c r="W56" s="5">
        <f>VLOOKUP($A56,'NonXtal_SegEnds_Prot#'!$A:$AL,18,FALSE)</f>
        <v>128</v>
      </c>
      <c r="X56" s="5">
        <f>VLOOKUP($A56,'NonXtal_SegEnds_Prot#'!$A:$AL,21,FALSE)</f>
        <v>137</v>
      </c>
      <c r="Y56" s="5">
        <f>VLOOKUP($A56,'NonXtal_SegEnds_Prot#'!$A:$AL,24,FALSE)</f>
        <v>172</v>
      </c>
      <c r="Z56" s="5">
        <f>VLOOKUP($A56,'NonXtal_SegEnds_Prot#'!$A:$AL,27,FALSE)</f>
        <v>178</v>
      </c>
      <c r="AA56" s="5">
        <f>VLOOKUP($A56,'NonXtal_SegEnds_Prot#'!$A:$AL,30,FALSE)</f>
        <v>282</v>
      </c>
      <c r="AB56" s="5">
        <f>VLOOKUP($A56,'NonXtal_SegEnds_Prot#'!$A:$AL,33,FALSE)</f>
        <v>325</v>
      </c>
      <c r="AC56" s="5">
        <f>VLOOKUP($A56,'NonXtal_SegEnds_Prot#'!$A:$AL,36,FALSE)</f>
        <v>351</v>
      </c>
      <c r="AD56" s="5">
        <f>VLOOKUP($A56,'NonXtal_SegEnds_Prot#'!$A:$AL,5,FALSE)</f>
        <v>51</v>
      </c>
      <c r="AE56" s="5">
        <f>VLOOKUP($A56,'NonXtal_SegEnds_Prot#'!$A:$AL,8,FALSE)</f>
        <v>55</v>
      </c>
      <c r="AF56" s="5">
        <f>VLOOKUP($A56,'NonXtal_SegEnds_Prot#'!$A:$AL,11,FALSE)</f>
        <v>86</v>
      </c>
      <c r="AG56" s="5">
        <f>VLOOKUP($A56,'NonXtal_SegEnds_Prot#'!$A:$AL,14,FALSE)</f>
        <v>91</v>
      </c>
      <c r="AH56" s="5">
        <f>VLOOKUP($A56,'NonXtal_SegEnds_Prot#'!$A:$AL,17,FALSE)</f>
        <v>127</v>
      </c>
      <c r="AI56" s="5">
        <f>VLOOKUP($A56,'NonXtal_SegEnds_Prot#'!$A:$AL,20,FALSE)</f>
        <v>135</v>
      </c>
      <c r="AJ56" s="5">
        <f>VLOOKUP($A56,'NonXtal_SegEnds_Prot#'!$A:$AL,23,FALSE)</f>
        <v>161</v>
      </c>
      <c r="AK56" s="5">
        <f>VLOOKUP($A56,'NonXtal_SegEnds_Prot#'!$A:$AL,26,FALSE)</f>
        <v>174</v>
      </c>
      <c r="AL56" s="5">
        <f>VLOOKUP($A56,'NonXtal_SegEnds_Prot#'!$A:$AL,29,FALSE)</f>
        <v>219</v>
      </c>
      <c r="AM56" s="5">
        <f>VLOOKUP($A56,'NonXtal_SegEnds_Prot#'!$A:$AL,32,FALSE)</f>
        <v>319</v>
      </c>
      <c r="AN56" s="5">
        <f>VLOOKUP($A56,'NonXtal_SegEnds_Prot#'!$A:$AL,35,FALSE)</f>
        <v>350</v>
      </c>
      <c r="AO56" s="5">
        <f>VLOOKUP($A56,'NonXtal_SegEnds_Prot#'!$A:$AL,38,FALSE)</f>
        <v>362</v>
      </c>
      <c r="AP56" s="5">
        <f t="shared" si="13"/>
        <v>31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7</v>
      </c>
      <c r="AV56" s="4">
        <f t="shared" si="19"/>
        <v>24</v>
      </c>
      <c r="AW56" s="4">
        <f t="shared" si="20"/>
        <v>2</v>
      </c>
      <c r="AX56" s="4">
        <f t="shared" si="21"/>
        <v>41</v>
      </c>
      <c r="AY56" s="4">
        <f t="shared" si="22"/>
        <v>37</v>
      </c>
      <c r="AZ56" s="4">
        <f t="shared" si="23"/>
        <v>25</v>
      </c>
      <c r="BA56" s="4">
        <f t="shared" si="24"/>
        <v>11</v>
      </c>
    </row>
    <row r="57" spans="1:53" x14ac:dyDescent="0.2">
      <c r="A57" s="1" t="str">
        <f>'NonXtal_SegEnds_Prot#'!A22</f>
        <v>t2r13_human</v>
      </c>
      <c r="B57" s="1" t="str">
        <f t="shared" si="0"/>
        <v>PSIFTLVIIAEFIIGNLSNGFIVLINCIDWVLSSVDKLLIILAISRIGLIWEILVSWFLALHYIFVSGTGLRIMIFSWIVSNHFNLWLATIFSIFYLLKIASRVNKVILMILLGTLVFLFLNLIQINMFETFSVSVKFTMTMFSLTPFTVAFISFLLLIFSLQKHLQKMPRTKVHTNALKIVISFLLFYASFFLCVLISWISNTVIYMLCETIGVFSPSSHSFLLILGNAKLRQAFLLVAAK</v>
      </c>
      <c r="C57" s="72" t="str">
        <f>IF(ISERROR(MATCH(A57,'Xtal_SegEnds_Prot#'!B:B, 0)), "NoXtal", "Xtal")</f>
        <v>NoXtal</v>
      </c>
      <c r="D57" s="4" t="str">
        <f>VLOOKUP(A57,Classification!A:D,2,FALSE)</f>
        <v>T</v>
      </c>
      <c r="E57" s="5" t="str">
        <f>VLOOKUP(A57,Seqs!A:B,2,FALSE)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57" s="5" t="str">
        <f t="shared" si="1"/>
        <v>PSIFTLVIIAEFIIGNLSNGFIVLINCIDWV</v>
      </c>
      <c r="G57" s="4" t="str">
        <f t="shared" si="2"/>
        <v>SKRE</v>
      </c>
      <c r="H57" s="4" t="str">
        <f t="shared" si="3"/>
        <v>LSSVDKLLIILAISRIGLIWEILVSWFLALHY</v>
      </c>
      <c r="I57" s="4" t="str">
        <f t="shared" si="4"/>
        <v/>
      </c>
      <c r="J57" s="4" t="str">
        <f t="shared" si="5"/>
        <v>IFVSGTGLRIMIFSWIVSNHFNLWLATIFSIFYLLKIAS</v>
      </c>
      <c r="K57" s="4" t="str">
        <f t="shared" si="6"/>
        <v>SPAFLYLK</v>
      </c>
      <c r="L57" s="4" t="str">
        <f t="shared" si="7"/>
        <v>RVNKVILMILLGTLVFLFLNLIQINM</v>
      </c>
      <c r="M57" s="4" t="str">
        <f t="shared" si="8"/>
        <v/>
      </c>
      <c r="N57" s="4" t="str">
        <f t="shared" si="9"/>
        <v>FETFSVSVKFTMTMFSLTPFTVAFISFLLLIFSLQKHLQKM</v>
      </c>
      <c r="O57" s="4" t="str">
        <f t="shared" si="10"/>
        <v>PRTKVHTNALKIVISFLLFYASFFLCVLISWIS</v>
      </c>
      <c r="P57" s="4" t="str">
        <f t="shared" si="11"/>
        <v>NTVIYMLCETIGVFSPSSHSFLLILG</v>
      </c>
      <c r="Q57" s="4" t="str">
        <f t="shared" si="12"/>
        <v>NAKLRQAFLLVAAK</v>
      </c>
      <c r="R57" s="5">
        <f>VLOOKUP($A57,'NonXtal_SegEnds_Prot#'!$A:$AL,3,FALSE)</f>
        <v>6</v>
      </c>
      <c r="S57" s="5">
        <f>VLOOKUP($A57,'NonXtal_SegEnds_Prot#'!$A:$AL,6,FALSE)</f>
        <v>37</v>
      </c>
      <c r="T57" s="5">
        <f>VLOOKUP($A57,'NonXtal_SegEnds_Prot#'!$A:$AL,9,FALSE)</f>
        <v>41</v>
      </c>
      <c r="U57" s="5" t="str">
        <f>VLOOKUP($A57,'NonXtal_SegEnds_Prot#'!$A:$AL,12,FALSE)</f>
        <v>-</v>
      </c>
      <c r="V57" s="5">
        <f>VLOOKUP($A57,'NonXtal_SegEnds_Prot#'!$A:$AL,15,FALSE)</f>
        <v>75</v>
      </c>
      <c r="W57" s="5">
        <f>VLOOKUP($A57,'NonXtal_SegEnds_Prot#'!$A:$AL,18,FALSE)</f>
        <v>116</v>
      </c>
      <c r="X57" s="5">
        <f>VLOOKUP($A57,'NonXtal_SegEnds_Prot#'!$A:$AL,21,FALSE)</f>
        <v>125</v>
      </c>
      <c r="Y57" s="5" t="str">
        <f>VLOOKUP($A57,'NonXtal_SegEnds_Prot#'!$A:$AL,24,FALSE)</f>
        <v>-</v>
      </c>
      <c r="Z57" s="5">
        <f>VLOOKUP($A57,'NonXtal_SegEnds_Prot#'!$A:$AL,27,FALSE)</f>
        <v>172</v>
      </c>
      <c r="AA57" s="5">
        <f>VLOOKUP($A57,'NonXtal_SegEnds_Prot#'!$A:$AL,30,FALSE)</f>
        <v>222</v>
      </c>
      <c r="AB57" s="5">
        <f>VLOOKUP($A57,'NonXtal_SegEnds_Prot#'!$A:$AL,33,FALSE)</f>
        <v>259</v>
      </c>
      <c r="AC57" s="5">
        <f>VLOOKUP($A57,'NonXtal_SegEnds_Prot#'!$A:$AL,36,FALSE)</f>
        <v>285</v>
      </c>
      <c r="AD57" s="5">
        <f>VLOOKUP($A57,'NonXtal_SegEnds_Prot#'!$A:$AL,5,FALSE)</f>
        <v>36</v>
      </c>
      <c r="AE57" s="5">
        <f>VLOOKUP($A57,'NonXtal_SegEnds_Prot#'!$A:$AL,8,FALSE)</f>
        <v>40</v>
      </c>
      <c r="AF57" s="5">
        <f>VLOOKUP($A57,'NonXtal_SegEnds_Prot#'!$A:$AL,11,FALSE)</f>
        <v>72</v>
      </c>
      <c r="AG57" s="5" t="str">
        <f>VLOOKUP($A57,'NonXtal_SegEnds_Prot#'!$A:$AL,14,FALSE)</f>
        <v>-</v>
      </c>
      <c r="AH57" s="5">
        <f>VLOOKUP($A57,'NonXtal_SegEnds_Prot#'!$A:$AL,17,FALSE)</f>
        <v>113</v>
      </c>
      <c r="AI57" s="5">
        <f>VLOOKUP($A57,'NonXtal_SegEnds_Prot#'!$A:$AL,20,FALSE)</f>
        <v>123</v>
      </c>
      <c r="AJ57" s="5">
        <f>VLOOKUP($A57,'NonXtal_SegEnds_Prot#'!$A:$AL,23,FALSE)</f>
        <v>150</v>
      </c>
      <c r="AK57" s="5" t="str">
        <f>VLOOKUP($A57,'NonXtal_SegEnds_Prot#'!$A:$AL,26,FALSE)</f>
        <v>-</v>
      </c>
      <c r="AL57" s="5">
        <f>VLOOKUP($A57,'NonXtal_SegEnds_Prot#'!$A:$AL,29,FALSE)</f>
        <v>212</v>
      </c>
      <c r="AM57" s="5">
        <f>VLOOKUP($A57,'NonXtal_SegEnds_Prot#'!$A:$AL,32,FALSE)</f>
        <v>254</v>
      </c>
      <c r="AN57" s="5">
        <f>VLOOKUP($A57,'NonXtal_SegEnds_Prot#'!$A:$AL,35,FALSE)</f>
        <v>284</v>
      </c>
      <c r="AO57" s="5">
        <f>VLOOKUP($A57,'NonXtal_SegEnds_Prot#'!$A:$AL,38,FALSE)</f>
        <v>298</v>
      </c>
      <c r="AP57" s="5">
        <f t="shared" si="13"/>
        <v>30</v>
      </c>
      <c r="AQ57" s="4">
        <f t="shared" si="14"/>
        <v>3</v>
      </c>
      <c r="AR57" s="4">
        <f t="shared" si="15"/>
        <v>31</v>
      </c>
      <c r="AS57" s="4" t="str">
        <f t="shared" si="16"/>
        <v>-</v>
      </c>
      <c r="AT57" s="4">
        <f t="shared" si="17"/>
        <v>38</v>
      </c>
      <c r="AU57" s="4">
        <f t="shared" si="18"/>
        <v>7</v>
      </c>
      <c r="AV57" s="4">
        <f t="shared" si="19"/>
        <v>25</v>
      </c>
      <c r="AW57" s="4" t="str">
        <f t="shared" si="20"/>
        <v>-</v>
      </c>
      <c r="AX57" s="4">
        <f t="shared" si="21"/>
        <v>40</v>
      </c>
      <c r="AY57" s="4">
        <f t="shared" si="22"/>
        <v>32</v>
      </c>
      <c r="AZ57" s="4">
        <f t="shared" si="23"/>
        <v>25</v>
      </c>
      <c r="BA57" s="4">
        <f t="shared" si="24"/>
        <v>13</v>
      </c>
    </row>
    <row r="58" spans="1:53" x14ac:dyDescent="0.2">
      <c r="A58" s="1" t="str">
        <f>'NonXtal_SegEnds_Prot#'!A23</f>
        <v>5ht2a_human</v>
      </c>
      <c r="B58" s="1" t="str">
        <f t="shared" si="0"/>
        <v>KNWSALLTAVVIILTIAGNILVIMAVSLENATNYFLMSLAIADMLLGFLVMPVSMLTILYPSKLCAVWIYLDVLFSTASIMHLCAISLDRYVAIQNRTKAFLKIIAVWTISVGISMPIPVFGDDNFVLIGSFVSFFIPLTIMVITYFLTIKSLQKEATLCVSDLMQSISNEQKACKVLGIVFFLFVVMWCPFFITNIMAVICEDVIGALLNVFVWIGYLSSAVNPLVYTLFNKTYRSAFSRYI</v>
      </c>
      <c r="C58" s="72" t="str">
        <f>IF(ISERROR(MATCH(A58,'Xtal_SegEnds_Prot#'!B:B, 0)), "NoXtal", "Xtal")</f>
        <v>NoXtal</v>
      </c>
      <c r="D58" s="4" t="str">
        <f>VLOOKUP(A58,Classification!A:D,2,FALSE)</f>
        <v>A</v>
      </c>
      <c r="E58" s="5" t="str">
        <f>VLOOKUP(A58,Seqs!A:B,2,FALSE)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58" s="5" t="str">
        <f t="shared" si="1"/>
        <v>KNWSALLTAVVIILTIAGNILVIMAVSLE</v>
      </c>
      <c r="G58" s="4" t="str">
        <f t="shared" si="2"/>
        <v>KKLQ</v>
      </c>
      <c r="H58" s="4" t="str">
        <f t="shared" si="3"/>
        <v>NATNYFLMSLAIADMLLGFLVMPVSMLTILY</v>
      </c>
      <c r="I58" s="4" t="str">
        <f t="shared" si="4"/>
        <v>RWPL</v>
      </c>
      <c r="J58" s="4" t="str">
        <f t="shared" si="5"/>
        <v>PSKLCAVWIYLDVLFSTASIMHLCAISLDRYVAIQN</v>
      </c>
      <c r="K58" s="4" t="str">
        <f t="shared" si="6"/>
        <v>PIHHSRFN</v>
      </c>
      <c r="L58" s="4" t="str">
        <f t="shared" si="7"/>
        <v>RTKAFLKIIAVWTISVGISMPIPVFG</v>
      </c>
      <c r="M58" s="4" t="str">
        <f t="shared" si="8"/>
        <v>CLL</v>
      </c>
      <c r="N58" s="4" t="str">
        <f t="shared" si="9"/>
        <v>DDNFVLIGSFVSFFIPLTIMVITYFLTIKSLQKEATLCVSDL</v>
      </c>
      <c r="O58" s="4" t="str">
        <f t="shared" si="10"/>
        <v>MQSISNEQKACKVLGIVFFLFVVMWCPFFITNIMAVIC</v>
      </c>
      <c r="P58" s="4" t="str">
        <f t="shared" si="11"/>
        <v>EDVIGALLNVFVWIGYLSSAVNPLVYTLF</v>
      </c>
      <c r="Q58" s="4" t="str">
        <f t="shared" si="12"/>
        <v>NKTYRSAFSRYI</v>
      </c>
      <c r="R58" s="5">
        <f>VLOOKUP($A58,'NonXtal_SegEnds_Prot#'!$A:$AL,3,FALSE)</f>
        <v>74</v>
      </c>
      <c r="S58" s="5">
        <f>VLOOKUP($A58,'NonXtal_SegEnds_Prot#'!$A:$AL,6,FALSE)</f>
        <v>103</v>
      </c>
      <c r="T58" s="5">
        <f>VLOOKUP($A58,'NonXtal_SegEnds_Prot#'!$A:$AL,9,FALSE)</f>
        <v>107</v>
      </c>
      <c r="U58" s="5">
        <f>VLOOKUP($A58,'NonXtal_SegEnds_Prot#'!$A:$AL,12,FALSE)</f>
        <v>140</v>
      </c>
      <c r="V58" s="5">
        <f>VLOOKUP($A58,'NonXtal_SegEnds_Prot#'!$A:$AL,15,FALSE)</f>
        <v>144</v>
      </c>
      <c r="W58" s="5">
        <f>VLOOKUP($A58,'NonXtal_SegEnds_Prot#'!$A:$AL,18,FALSE)</f>
        <v>180</v>
      </c>
      <c r="X58" s="5">
        <f>VLOOKUP($A58,'NonXtal_SegEnds_Prot#'!$A:$AL,21,FALSE)</f>
        <v>189</v>
      </c>
      <c r="Y58" s="5">
        <f>VLOOKUP($A58,'NonXtal_SegEnds_Prot#'!$A:$AL,24,FALSE)</f>
        <v>227</v>
      </c>
      <c r="Z58" s="5">
        <f>VLOOKUP($A58,'NonXtal_SegEnds_Prot#'!$A:$AL,27,FALSE)</f>
        <v>231</v>
      </c>
      <c r="AA58" s="5">
        <f>VLOOKUP($A58,'NonXtal_SegEnds_Prot#'!$A:$AL,30,FALSE)</f>
        <v>312</v>
      </c>
      <c r="AB58" s="5">
        <f>VLOOKUP($A58,'NonXtal_SegEnds_Prot#'!$A:$AL,33,FALSE)</f>
        <v>355</v>
      </c>
      <c r="AC58" s="5">
        <f>VLOOKUP($A58,'NonXtal_SegEnds_Prot#'!$A:$AL,36,FALSE)</f>
        <v>384</v>
      </c>
      <c r="AD58" s="5">
        <f>VLOOKUP($A58,'NonXtal_SegEnds_Prot#'!$A:$AL,5,FALSE)</f>
        <v>102</v>
      </c>
      <c r="AE58" s="5">
        <f>VLOOKUP($A58,'NonXtal_SegEnds_Prot#'!$A:$AL,8,FALSE)</f>
        <v>106</v>
      </c>
      <c r="AF58" s="5">
        <f>VLOOKUP($A58,'NonXtal_SegEnds_Prot#'!$A:$AL,11,FALSE)</f>
        <v>137</v>
      </c>
      <c r="AG58" s="5">
        <f>VLOOKUP($A58,'NonXtal_SegEnds_Prot#'!$A:$AL,14,FALSE)</f>
        <v>143</v>
      </c>
      <c r="AH58" s="5">
        <f>VLOOKUP($A58,'NonXtal_SegEnds_Prot#'!$A:$AL,17,FALSE)</f>
        <v>179</v>
      </c>
      <c r="AI58" s="5">
        <f>VLOOKUP($A58,'NonXtal_SegEnds_Prot#'!$A:$AL,20,FALSE)</f>
        <v>187</v>
      </c>
      <c r="AJ58" s="5">
        <f>VLOOKUP($A58,'NonXtal_SegEnds_Prot#'!$A:$AL,23,FALSE)</f>
        <v>214</v>
      </c>
      <c r="AK58" s="5">
        <f>VLOOKUP($A58,'NonXtal_SegEnds_Prot#'!$A:$AL,26,FALSE)</f>
        <v>229</v>
      </c>
      <c r="AL58" s="5">
        <f>VLOOKUP($A58,'NonXtal_SegEnds_Prot#'!$A:$AL,29,FALSE)</f>
        <v>272</v>
      </c>
      <c r="AM58" s="5">
        <f>VLOOKUP($A58,'NonXtal_SegEnds_Prot#'!$A:$AL,32,FALSE)</f>
        <v>349</v>
      </c>
      <c r="AN58" s="5">
        <f>VLOOKUP($A58,'NonXtal_SegEnds_Prot#'!$A:$AL,35,FALSE)</f>
        <v>383</v>
      </c>
      <c r="AO58" s="5">
        <f>VLOOKUP($A58,'NonXtal_SegEnds_Prot#'!$A:$AL,38,FALSE)</f>
        <v>395</v>
      </c>
      <c r="AP58" s="5">
        <f t="shared" si="13"/>
        <v>28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7</v>
      </c>
      <c r="AV58" s="4">
        <f t="shared" si="19"/>
        <v>25</v>
      </c>
      <c r="AW58" s="4">
        <f t="shared" si="20"/>
        <v>2</v>
      </c>
      <c r="AX58" s="4">
        <f t="shared" si="21"/>
        <v>41</v>
      </c>
      <c r="AY58" s="4">
        <f t="shared" si="22"/>
        <v>37</v>
      </c>
      <c r="AZ58" s="4">
        <f t="shared" si="23"/>
        <v>28</v>
      </c>
      <c r="BA58" s="4">
        <f t="shared" si="24"/>
        <v>11</v>
      </c>
    </row>
    <row r="59" spans="1:53" x14ac:dyDescent="0.2">
      <c r="A59" s="1" t="str">
        <f>'NonXtal_SegEnds_Prot#'!A24</f>
        <v>5ht2b_human</v>
      </c>
      <c r="B59" s="1" t="str">
        <f t="shared" si="0"/>
        <v>LHWAALLILMVIIPTIGGNTLVILAVSLEYATNYFLMSLAVADLLVGLFVMPIALLTIMFPLVLCPAWLFLDVLFSTASIMHLCAISVDRYIAIKKRATAFIKITVVWLISIGIAIPVPIKGFGDFMLFGSLAAFFTPLAIMIVTYFLTIHALQKKAYLVKNKPVQTISNEQRASKVLGIVFFLFLLMWCPFFITNITLVLCQTTLQMLLEIFVWIGYVSSGVNPLVYTLFNKTFRDAFGRYI</v>
      </c>
      <c r="C59" s="72" t="str">
        <f>IF(ISERROR(MATCH(A59,'Xtal_SegEnds_Prot#'!B:B, 0)), "NoXtal", "Xtal")</f>
        <v>Xtal</v>
      </c>
      <c r="D59" s="4" t="str">
        <f>VLOOKUP(A59,Classification!A:D,2,FALSE)</f>
        <v>A</v>
      </c>
      <c r="E59" s="5" t="str">
        <f>VLOOKUP(A59,Seqs!A:B,2,FALSE)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59" s="5" t="str">
        <f t="shared" si="1"/>
        <v>LHWAALLILMVIIPTIGGNTLVILAVSLE</v>
      </c>
      <c r="G59" s="4" t="str">
        <f t="shared" si="2"/>
        <v>KKLQ</v>
      </c>
      <c r="H59" s="4" t="str">
        <f t="shared" si="3"/>
        <v>YATNYFLMSLAVADLLVGLFVMPIALLTIMF</v>
      </c>
      <c r="I59" s="4" t="str">
        <f t="shared" si="4"/>
        <v>MWPL</v>
      </c>
      <c r="J59" s="4" t="str">
        <f t="shared" si="5"/>
        <v>PLVLCPAWLFLDVLFSTASIMHLCAISVDRYIAIKK</v>
      </c>
      <c r="K59" s="4" t="str">
        <f t="shared" si="6"/>
        <v>PIQANQYN</v>
      </c>
      <c r="L59" s="4" t="str">
        <f t="shared" si="7"/>
        <v>RATAFIKITVVWLISIGIAIPVPIKG</v>
      </c>
      <c r="M59" s="4" t="str">
        <f t="shared" si="8"/>
        <v>CVL</v>
      </c>
      <c r="N59" s="4" t="str">
        <f t="shared" si="9"/>
        <v>FGDFMLFGSLAAFFTPLAIMIVTYFLTIHALQKKAYLVKNKP</v>
      </c>
      <c r="O59" s="4" t="str">
        <f t="shared" si="10"/>
        <v>VQTISNEQRASKVLGIVFFLFLLMWCPFFITNITLVLC</v>
      </c>
      <c r="P59" s="4" t="str">
        <f t="shared" si="11"/>
        <v>QTTLQMLLEIFVWIGYVSSGVNPLVYTLF</v>
      </c>
      <c r="Q59" s="4" t="str">
        <f t="shared" si="12"/>
        <v>NKTFRDAFGRYI</v>
      </c>
      <c r="R59" s="5">
        <f>VLOOKUP($A59,'NonXtal_SegEnds_Prot#'!$A:$AL,3,FALSE)</f>
        <v>54</v>
      </c>
      <c r="S59" s="5">
        <f>VLOOKUP($A59,'NonXtal_SegEnds_Prot#'!$A:$AL,6,FALSE)</f>
        <v>83</v>
      </c>
      <c r="T59" s="5">
        <f>VLOOKUP($A59,'NonXtal_SegEnds_Prot#'!$A:$AL,9,FALSE)</f>
        <v>87</v>
      </c>
      <c r="U59" s="5">
        <f>VLOOKUP($A59,'NonXtal_SegEnds_Prot#'!$A:$AL,12,FALSE)</f>
        <v>120</v>
      </c>
      <c r="V59" s="5">
        <f>VLOOKUP($A59,'NonXtal_SegEnds_Prot#'!$A:$AL,15,FALSE)</f>
        <v>124</v>
      </c>
      <c r="W59" s="5">
        <f>VLOOKUP($A59,'NonXtal_SegEnds_Prot#'!$A:$AL,18,FALSE)</f>
        <v>160</v>
      </c>
      <c r="X59" s="5">
        <f>VLOOKUP($A59,'NonXtal_SegEnds_Prot#'!$A:$AL,21,FALSE)</f>
        <v>169</v>
      </c>
      <c r="Y59" s="5">
        <f>VLOOKUP($A59,'NonXtal_SegEnds_Prot#'!$A:$AL,24,FALSE)</f>
        <v>207</v>
      </c>
      <c r="Z59" s="5">
        <f>VLOOKUP($A59,'NonXtal_SegEnds_Prot#'!$A:$AL,27,FALSE)</f>
        <v>214</v>
      </c>
      <c r="AA59" s="5">
        <f>VLOOKUP($A59,'NonXtal_SegEnds_Prot#'!$A:$AL,30,FALSE)</f>
        <v>313</v>
      </c>
      <c r="AB59" s="5">
        <f>VLOOKUP($A59,'NonXtal_SegEnds_Prot#'!$A:$AL,33,FALSE)</f>
        <v>355</v>
      </c>
      <c r="AC59" s="5">
        <f>VLOOKUP($A59,'NonXtal_SegEnds_Prot#'!$A:$AL,36,FALSE)</f>
        <v>384</v>
      </c>
      <c r="AD59" s="5">
        <f>VLOOKUP($A59,'NonXtal_SegEnds_Prot#'!$A:$AL,5,FALSE)</f>
        <v>82</v>
      </c>
      <c r="AE59" s="5">
        <f>VLOOKUP($A59,'NonXtal_SegEnds_Prot#'!$A:$AL,8,FALSE)</f>
        <v>86</v>
      </c>
      <c r="AF59" s="5">
        <f>VLOOKUP($A59,'NonXtal_SegEnds_Prot#'!$A:$AL,11,FALSE)</f>
        <v>117</v>
      </c>
      <c r="AG59" s="5">
        <f>VLOOKUP($A59,'NonXtal_SegEnds_Prot#'!$A:$AL,14,FALSE)</f>
        <v>123</v>
      </c>
      <c r="AH59" s="5">
        <f>VLOOKUP($A59,'NonXtal_SegEnds_Prot#'!$A:$AL,17,FALSE)</f>
        <v>159</v>
      </c>
      <c r="AI59" s="5">
        <f>VLOOKUP($A59,'NonXtal_SegEnds_Prot#'!$A:$AL,20,FALSE)</f>
        <v>167</v>
      </c>
      <c r="AJ59" s="5">
        <f>VLOOKUP($A59,'NonXtal_SegEnds_Prot#'!$A:$AL,23,FALSE)</f>
        <v>194</v>
      </c>
      <c r="AK59" s="5">
        <f>VLOOKUP($A59,'NonXtal_SegEnds_Prot#'!$A:$AL,26,FALSE)</f>
        <v>209</v>
      </c>
      <c r="AL59" s="5">
        <f>VLOOKUP($A59,'NonXtal_SegEnds_Prot#'!$A:$AL,29,FALSE)</f>
        <v>255</v>
      </c>
      <c r="AM59" s="5">
        <f>VLOOKUP($A59,'NonXtal_SegEnds_Prot#'!$A:$AL,32,FALSE)</f>
        <v>350</v>
      </c>
      <c r="AN59" s="5">
        <f>VLOOKUP($A59,'NonXtal_SegEnds_Prot#'!$A:$AL,35,FALSE)</f>
        <v>383</v>
      </c>
      <c r="AO59" s="5">
        <f>VLOOKUP($A59,'NonXtal_SegEnds_Prot#'!$A:$AL,38,FALSE)</f>
        <v>395</v>
      </c>
      <c r="AP59" s="5">
        <f t="shared" si="13"/>
        <v>28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35</v>
      </c>
      <c r="AU59" s="4">
        <f t="shared" si="18"/>
        <v>7</v>
      </c>
      <c r="AV59" s="4">
        <f t="shared" si="19"/>
        <v>25</v>
      </c>
      <c r="AW59" s="4">
        <f t="shared" si="20"/>
        <v>2</v>
      </c>
      <c r="AX59" s="4">
        <f t="shared" si="21"/>
        <v>41</v>
      </c>
      <c r="AY59" s="4">
        <f t="shared" si="22"/>
        <v>37</v>
      </c>
      <c r="AZ59" s="4">
        <f t="shared" si="23"/>
        <v>28</v>
      </c>
      <c r="BA59" s="4">
        <f t="shared" si="24"/>
        <v>11</v>
      </c>
    </row>
    <row r="60" spans="1:53" x14ac:dyDescent="0.2">
      <c r="A60" s="1" t="str">
        <f>'NonXtal_SegEnds_Prot#'!A25</f>
        <v>5ht2c_human</v>
      </c>
      <c r="B60" s="1" t="str">
        <f t="shared" si="0"/>
        <v>QNWPALSIVIIIIMTIGGNILVIMAVSMENATNYFLMSLAIADMLVGLLVMPLSLLAILYPRYLCPVWISLDVLFSTASIMHLCAISLDRYVAIRNRTKAIMKIAIVWAISIGVSVPIPVIGDPNFVLIGSFVAFFIPLTIMVITYCLTIYVLRRQALMLLHMQAINNERKASKVLGIVFFVFLIMWCPFFITNILSVLCQKLMEKLLNVFVWIGYVCSGINPLVYTLFNKIYRRAFSNYL</v>
      </c>
      <c r="C60" s="72" t="str">
        <f>IF(ISERROR(MATCH(A60,'Xtal_SegEnds_Prot#'!B:B, 0)), "NoXtal", "Xtal")</f>
        <v>NoXtal</v>
      </c>
      <c r="D60" s="4" t="str">
        <f>VLOOKUP(A60,Classification!A:D,2,FALSE)</f>
        <v>A</v>
      </c>
      <c r="E60" s="5" t="str">
        <f>VLOOKUP(A60,Seqs!A:B,2,FALSE)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60" s="5" t="str">
        <f t="shared" si="1"/>
        <v>QNWPALSIVIIIIMTIGGNILVIMAVSME</v>
      </c>
      <c r="G60" s="4" t="str">
        <f t="shared" si="2"/>
        <v>KKLH</v>
      </c>
      <c r="H60" s="4" t="str">
        <f t="shared" si="3"/>
        <v>NATNYFLMSLAIADMLVGLLVMPLSLLAILY</v>
      </c>
      <c r="I60" s="4" t="str">
        <f t="shared" si="4"/>
        <v>VWPL</v>
      </c>
      <c r="J60" s="4" t="str">
        <f t="shared" si="5"/>
        <v>PRYLCPVWISLDVLFSTASIMHLCAISLDRYVAIRN</v>
      </c>
      <c r="K60" s="4" t="str">
        <f t="shared" si="6"/>
        <v>PIEHSRFN</v>
      </c>
      <c r="L60" s="4" t="str">
        <f t="shared" si="7"/>
        <v>RTKAIMKIAIVWAISIGVSVPIPVIG</v>
      </c>
      <c r="M60" s="4" t="str">
        <f t="shared" si="8"/>
        <v>CVL</v>
      </c>
      <c r="N60" s="4" t="str">
        <f t="shared" si="9"/>
        <v>DPNFVLIGSFVAFFIPLTIMVITYCLTIYVLRRQALMLLH</v>
      </c>
      <c r="O60" s="4" t="str">
        <f t="shared" si="10"/>
        <v>MQAINNERKASKVLGIVFFVFLIMWCPFFITNILSVLC</v>
      </c>
      <c r="P60" s="4" t="str">
        <f t="shared" si="11"/>
        <v>QKLMEKLLNVFVWIGYVCSGINPLVYTLF</v>
      </c>
      <c r="Q60" s="4" t="str">
        <f t="shared" si="12"/>
        <v>NKIYRRAFSNYL</v>
      </c>
      <c r="R60" s="5">
        <f>VLOOKUP($A60,'NonXtal_SegEnds_Prot#'!$A:$AL,3,FALSE)</f>
        <v>53</v>
      </c>
      <c r="S60" s="5">
        <f>VLOOKUP($A60,'NonXtal_SegEnds_Prot#'!$A:$AL,6,FALSE)</f>
        <v>82</v>
      </c>
      <c r="T60" s="5">
        <f>VLOOKUP($A60,'NonXtal_SegEnds_Prot#'!$A:$AL,9,FALSE)</f>
        <v>86</v>
      </c>
      <c r="U60" s="5">
        <f>VLOOKUP($A60,'NonXtal_SegEnds_Prot#'!$A:$AL,12,FALSE)</f>
        <v>119</v>
      </c>
      <c r="V60" s="5">
        <f>VLOOKUP($A60,'NonXtal_SegEnds_Prot#'!$A:$AL,15,FALSE)</f>
        <v>123</v>
      </c>
      <c r="W60" s="5">
        <f>VLOOKUP($A60,'NonXtal_SegEnds_Prot#'!$A:$AL,18,FALSE)</f>
        <v>159</v>
      </c>
      <c r="X60" s="5">
        <f>VLOOKUP($A60,'NonXtal_SegEnds_Prot#'!$A:$AL,21,FALSE)</f>
        <v>168</v>
      </c>
      <c r="Y60" s="5">
        <f>VLOOKUP($A60,'NonXtal_SegEnds_Prot#'!$A:$AL,24,FALSE)</f>
        <v>207</v>
      </c>
      <c r="Z60" s="5">
        <f>VLOOKUP($A60,'NonXtal_SegEnds_Prot#'!$A:$AL,27,FALSE)</f>
        <v>211</v>
      </c>
      <c r="AA60" s="5">
        <f>VLOOKUP($A60,'NonXtal_SegEnds_Prot#'!$A:$AL,30,FALSE)</f>
        <v>300</v>
      </c>
      <c r="AB60" s="5">
        <f>VLOOKUP($A60,'NonXtal_SegEnds_Prot#'!$A:$AL,33,FALSE)</f>
        <v>343</v>
      </c>
      <c r="AC60" s="5">
        <f>VLOOKUP($A60,'NonXtal_SegEnds_Prot#'!$A:$AL,36,FALSE)</f>
        <v>372</v>
      </c>
      <c r="AD60" s="5">
        <f>VLOOKUP($A60,'NonXtal_SegEnds_Prot#'!$A:$AL,5,FALSE)</f>
        <v>81</v>
      </c>
      <c r="AE60" s="5">
        <f>VLOOKUP($A60,'NonXtal_SegEnds_Prot#'!$A:$AL,8,FALSE)</f>
        <v>85</v>
      </c>
      <c r="AF60" s="5">
        <f>VLOOKUP($A60,'NonXtal_SegEnds_Prot#'!$A:$AL,11,FALSE)</f>
        <v>116</v>
      </c>
      <c r="AG60" s="5">
        <f>VLOOKUP($A60,'NonXtal_SegEnds_Prot#'!$A:$AL,14,FALSE)</f>
        <v>122</v>
      </c>
      <c r="AH60" s="5">
        <f>VLOOKUP($A60,'NonXtal_SegEnds_Prot#'!$A:$AL,17,FALSE)</f>
        <v>158</v>
      </c>
      <c r="AI60" s="5">
        <f>VLOOKUP($A60,'NonXtal_SegEnds_Prot#'!$A:$AL,20,FALSE)</f>
        <v>166</v>
      </c>
      <c r="AJ60" s="5">
        <f>VLOOKUP($A60,'NonXtal_SegEnds_Prot#'!$A:$AL,23,FALSE)</f>
        <v>193</v>
      </c>
      <c r="AK60" s="5">
        <f>VLOOKUP($A60,'NonXtal_SegEnds_Prot#'!$A:$AL,26,FALSE)</f>
        <v>209</v>
      </c>
      <c r="AL60" s="5">
        <f>VLOOKUP($A60,'NonXtal_SegEnds_Prot#'!$A:$AL,29,FALSE)</f>
        <v>250</v>
      </c>
      <c r="AM60" s="5">
        <f>VLOOKUP($A60,'NonXtal_SegEnds_Prot#'!$A:$AL,32,FALSE)</f>
        <v>337</v>
      </c>
      <c r="AN60" s="5">
        <f>VLOOKUP($A60,'NonXtal_SegEnds_Prot#'!$A:$AL,35,FALSE)</f>
        <v>371</v>
      </c>
      <c r="AO60" s="5">
        <f>VLOOKUP($A60,'NonXtal_SegEnds_Prot#'!$A:$AL,38,FALSE)</f>
        <v>383</v>
      </c>
      <c r="AP60" s="5">
        <f t="shared" si="13"/>
        <v>28</v>
      </c>
      <c r="AQ60" s="4">
        <f t="shared" si="14"/>
        <v>3</v>
      </c>
      <c r="AR60" s="4">
        <f t="shared" si="15"/>
        <v>30</v>
      </c>
      <c r="AS60" s="4">
        <f t="shared" si="16"/>
        <v>3</v>
      </c>
      <c r="AT60" s="4">
        <f t="shared" si="17"/>
        <v>35</v>
      </c>
      <c r="AU60" s="4">
        <f t="shared" si="18"/>
        <v>7</v>
      </c>
      <c r="AV60" s="4">
        <f t="shared" si="19"/>
        <v>25</v>
      </c>
      <c r="AW60" s="4">
        <f t="shared" si="20"/>
        <v>2</v>
      </c>
      <c r="AX60" s="4">
        <f t="shared" si="21"/>
        <v>39</v>
      </c>
      <c r="AY60" s="4">
        <f t="shared" si="22"/>
        <v>37</v>
      </c>
      <c r="AZ60" s="4">
        <f t="shared" si="23"/>
        <v>28</v>
      </c>
      <c r="BA60" s="4">
        <f t="shared" si="24"/>
        <v>11</v>
      </c>
    </row>
    <row r="61" spans="1:53" x14ac:dyDescent="0.2">
      <c r="A61" s="1" t="str">
        <f>'NonXtal_SegEnds_Prot#'!A27</f>
        <v>gpr85_human</v>
      </c>
      <c r="B61" s="1" t="str">
        <f t="shared" si="0"/>
        <v>AFLKLTSLGFIIGVSVVGNLLISILLVKDRAPYYFLLDLCCSDILRSAICFPFVFNSVKNGTLTCKVIAFLGVLSCFHTAFMLFCISVTRYLAIAHFWTCLAVICMVWTLSVAMAFPPVLDVVQFVAAVSQNWTFHGPGASGQAAANWLAGFGRGPTPPTLLGILDEFKMEKRISRMFYIMTFLFLTLWGPYLVACYWRVFAPGGFLTAAVWMSFAQAGINPFVCIFSNRELRRCFSTTL</v>
      </c>
      <c r="C61" s="72" t="str">
        <f>IF(ISERROR(MATCH(A61,'Xtal_SegEnds_Prot#'!B:B, 0)), "NoXtal", "Xtal")</f>
        <v>NoXtal</v>
      </c>
      <c r="D61" s="4" t="str">
        <f>VLOOKUP(A61,Classification!A:D,2,FALSE)</f>
        <v>A</v>
      </c>
      <c r="E61" s="5" t="str">
        <f>VLOOKUP(A61,Seqs!A:B,2,FALSE)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61" s="5" t="str">
        <f t="shared" si="1"/>
        <v>AFLKLTSLGFIIGVSVVGNLLISILLVKD</v>
      </c>
      <c r="G61" s="4" t="str">
        <f t="shared" si="2"/>
        <v>KTLH</v>
      </c>
      <c r="H61" s="4" t="str">
        <f t="shared" si="3"/>
        <v>RAPYYFLLDLCCSDILRSAICFPFVFNSVKN</v>
      </c>
      <c r="I61" s="4" t="str">
        <f t="shared" si="4"/>
        <v>TWTY</v>
      </c>
      <c r="J61" s="4" t="str">
        <f t="shared" si="5"/>
        <v>GTLTCKVIAFLGVLSCFHTAFMLFCISVTRYLAIAH</v>
      </c>
      <c r="K61" s="4" t="str">
        <f t="shared" si="6"/>
        <v>HRFYTKRL</v>
      </c>
      <c r="L61" s="4" t="str">
        <f t="shared" si="7"/>
        <v>FWTCLAVICMVWTLSVAMAFPPVLDV</v>
      </c>
      <c r="M61" s="4" t="str">
        <f t="shared" si="8"/>
        <v>CTF</v>
      </c>
      <c r="N61" s="4" t="str">
        <f t="shared" si="9"/>
        <v>VQFVAAVSQNWTFHGPGASGQAAANWLAGFGRGPTPPTLLGI</v>
      </c>
      <c r="O61" s="4" t="str">
        <f t="shared" si="10"/>
        <v>LDEFKMEKRISRMFYIMTFLFLTLWGPYLVACYWRVFA</v>
      </c>
      <c r="P61" s="4" t="str">
        <f t="shared" si="11"/>
        <v>PGGFLTAAVWMSFAQAGINPFVCIFS</v>
      </c>
      <c r="Q61" s="4" t="str">
        <f t="shared" si="12"/>
        <v>NRELRRCFSTTL</v>
      </c>
      <c r="R61" s="5">
        <f>VLOOKUP($A61,'NonXtal_SegEnds_Prot#'!$A:$AL,3,FALSE)</f>
        <v>20</v>
      </c>
      <c r="S61" s="5">
        <f>VLOOKUP($A61,'NonXtal_SegEnds_Prot#'!$A:$AL,6,FALSE)</f>
        <v>49</v>
      </c>
      <c r="T61" s="5">
        <f>VLOOKUP($A61,'NonXtal_SegEnds_Prot#'!$A:$AL,9,FALSE)</f>
        <v>53</v>
      </c>
      <c r="U61" s="5">
        <f>VLOOKUP($A61,'NonXtal_SegEnds_Prot#'!$A:$AL,12,FALSE)</f>
        <v>86</v>
      </c>
      <c r="V61" s="5">
        <f>VLOOKUP($A61,'NonXtal_SegEnds_Prot#'!$A:$AL,15,FALSE)</f>
        <v>90</v>
      </c>
      <c r="W61" s="5">
        <f>VLOOKUP($A61,'NonXtal_SegEnds_Prot#'!$A:$AL,18,FALSE)</f>
        <v>126</v>
      </c>
      <c r="X61" s="5">
        <f>VLOOKUP($A61,'NonXtal_SegEnds_Prot#'!$A:$AL,21,FALSE)</f>
        <v>135</v>
      </c>
      <c r="Y61" s="5">
        <f>VLOOKUP($A61,'NonXtal_SegEnds_Prot#'!$A:$AL,24,FALSE)</f>
        <v>172</v>
      </c>
      <c r="Z61" s="5">
        <f>VLOOKUP($A61,'NonXtal_SegEnds_Prot#'!$A:$AL,27,FALSE)</f>
        <v>218</v>
      </c>
      <c r="AA61" s="5">
        <f>VLOOKUP($A61,'NonXtal_SegEnds_Prot#'!$A:$AL,30,FALSE)</f>
        <v>274</v>
      </c>
      <c r="AB61" s="5">
        <f>VLOOKUP($A61,'NonXtal_SegEnds_Prot#'!$A:$AL,33,FALSE)</f>
        <v>317</v>
      </c>
      <c r="AC61" s="5">
        <f>VLOOKUP($A61,'NonXtal_SegEnds_Prot#'!$A:$AL,36,FALSE)</f>
        <v>343</v>
      </c>
      <c r="AD61" s="5">
        <f>VLOOKUP($A61,'NonXtal_SegEnds_Prot#'!$A:$AL,5,FALSE)</f>
        <v>48</v>
      </c>
      <c r="AE61" s="5">
        <f>VLOOKUP($A61,'NonXtal_SegEnds_Prot#'!$A:$AL,8,FALSE)</f>
        <v>52</v>
      </c>
      <c r="AF61" s="5">
        <f>VLOOKUP($A61,'NonXtal_SegEnds_Prot#'!$A:$AL,11,FALSE)</f>
        <v>83</v>
      </c>
      <c r="AG61" s="5">
        <f>VLOOKUP($A61,'NonXtal_SegEnds_Prot#'!$A:$AL,14,FALSE)</f>
        <v>89</v>
      </c>
      <c r="AH61" s="5">
        <f>VLOOKUP($A61,'NonXtal_SegEnds_Prot#'!$A:$AL,17,FALSE)</f>
        <v>125</v>
      </c>
      <c r="AI61" s="5">
        <f>VLOOKUP($A61,'NonXtal_SegEnds_Prot#'!$A:$AL,20,FALSE)</f>
        <v>133</v>
      </c>
      <c r="AJ61" s="5">
        <f>VLOOKUP($A61,'NonXtal_SegEnds_Prot#'!$A:$AL,23,FALSE)</f>
        <v>160</v>
      </c>
      <c r="AK61" s="5">
        <f>VLOOKUP($A61,'NonXtal_SegEnds_Prot#'!$A:$AL,26,FALSE)</f>
        <v>174</v>
      </c>
      <c r="AL61" s="5">
        <f>VLOOKUP($A61,'NonXtal_SegEnds_Prot#'!$A:$AL,29,FALSE)</f>
        <v>259</v>
      </c>
      <c r="AM61" s="5">
        <f>VLOOKUP($A61,'NonXtal_SegEnds_Prot#'!$A:$AL,32,FALSE)</f>
        <v>311</v>
      </c>
      <c r="AN61" s="5">
        <f>VLOOKUP($A61,'NonXtal_SegEnds_Prot#'!$A:$AL,35,FALSE)</f>
        <v>342</v>
      </c>
      <c r="AO61" s="5">
        <f>VLOOKUP($A61,'NonXtal_SegEnds_Prot#'!$A:$AL,38,FALSE)</f>
        <v>354</v>
      </c>
      <c r="AP61" s="5">
        <f t="shared" si="13"/>
        <v>28</v>
      </c>
      <c r="AQ61" s="4">
        <f t="shared" si="14"/>
        <v>3</v>
      </c>
      <c r="AR61" s="4">
        <f t="shared" si="15"/>
        <v>30</v>
      </c>
      <c r="AS61" s="4">
        <f t="shared" si="16"/>
        <v>3</v>
      </c>
      <c r="AT61" s="4">
        <f t="shared" si="17"/>
        <v>35</v>
      </c>
      <c r="AU61" s="4">
        <f t="shared" si="18"/>
        <v>7</v>
      </c>
      <c r="AV61" s="4">
        <f t="shared" si="19"/>
        <v>25</v>
      </c>
      <c r="AW61" s="4">
        <f t="shared" si="20"/>
        <v>2</v>
      </c>
      <c r="AX61" s="4">
        <f t="shared" si="21"/>
        <v>41</v>
      </c>
      <c r="AY61" s="4">
        <f t="shared" si="22"/>
        <v>37</v>
      </c>
      <c r="AZ61" s="4">
        <f t="shared" si="23"/>
        <v>25</v>
      </c>
      <c r="BA61" s="4">
        <f t="shared" si="24"/>
        <v>11</v>
      </c>
    </row>
    <row r="62" spans="1:53" x14ac:dyDescent="0.2">
      <c r="A62" s="1" t="str">
        <f>'NonXtal_SegEnds_Prot#'!A28</f>
        <v>gpr27_human</v>
      </c>
      <c r="B62" s="1" t="str">
        <f t="shared" si="0"/>
        <v>LGLKLATLSLLLCVSLAGNVLFALLIVRERAPYYLLLDLCLADGLRALACLPAVMLAARRAPPGALGCKLLAFLAALFCFHAAFLLLGVGVTRYLAIAHWPCAAMLVCAAWALALAAAFPPVLDGEQRPDGAPGALGFLLLLAVVVGATHLVYLRLLFFIHDRRKMRLEEFKTEKRLCKMFYAVTLLFLLLWGPYVVASYLRVLVPQAYLTASVWLTFAQAGINPVVCFLFNRELRDCFRAQF</v>
      </c>
      <c r="C62" s="72" t="str">
        <f>IF(ISERROR(MATCH(A62,'Xtal_SegEnds_Prot#'!B:B, 0)), "NoXtal", "Xtal")</f>
        <v>NoXtal</v>
      </c>
      <c r="D62" s="4" t="str">
        <f>VLOOKUP(A62,Classification!A:D,2,FALSE)</f>
        <v>A</v>
      </c>
      <c r="E62" s="5" t="str">
        <f>VLOOKUP(A62,Seqs!A:B,2,FALSE)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62" s="5" t="str">
        <f t="shared" si="1"/>
        <v>LGLKLATLSLLLCVSLAGNVLFALLIVRE</v>
      </c>
      <c r="G62" s="4" t="str">
        <f t="shared" si="2"/>
        <v>RSLH</v>
      </c>
      <c r="H62" s="4" t="str">
        <f t="shared" si="3"/>
        <v>RAPYYLLLDLCLADGLRALACLPAVMLAARR</v>
      </c>
      <c r="I62" s="4" t="str">
        <f t="shared" si="4"/>
        <v/>
      </c>
      <c r="J62" s="4" t="str">
        <f t="shared" si="5"/>
        <v>APPGALGCKLLAFLAALFCFHAAFLLLGVGVTRYLAIAH</v>
      </c>
      <c r="K62" s="4" t="str">
        <f t="shared" si="6"/>
        <v>HRFYAERLA</v>
      </c>
      <c r="L62" s="4" t="str">
        <f t="shared" si="7"/>
        <v>WPCAAMLVCAAWALALAAAFPPVLDG</v>
      </c>
      <c r="M62" s="4" t="str">
        <f t="shared" si="8"/>
        <v>CAL</v>
      </c>
      <c r="N62" s="4" t="str">
        <f t="shared" si="9"/>
        <v>EQRPDGAPGALGFLLLLAVVVGATHLVYLRLLFFIHDRRKMR</v>
      </c>
      <c r="O62" s="4" t="str">
        <f t="shared" si="10"/>
        <v>LEEFKTEKRLCKMFYAVTLLFLLLWGPYVVASYLRVLV</v>
      </c>
      <c r="P62" s="4" t="str">
        <f t="shared" si="11"/>
        <v>PQAYLTASVWLTFAQAGINPVVCFLF</v>
      </c>
      <c r="Q62" s="4" t="str">
        <f t="shared" si="12"/>
        <v>NRELRDCFRAQF</v>
      </c>
      <c r="R62" s="5">
        <f>VLOOKUP($A62,'NonXtal_SegEnds_Prot#'!$A:$AL,3,FALSE)</f>
        <v>18</v>
      </c>
      <c r="S62" s="5">
        <f>VLOOKUP($A62,'NonXtal_SegEnds_Prot#'!$A:$AL,6,FALSE)</f>
        <v>47</v>
      </c>
      <c r="T62" s="5">
        <f>VLOOKUP($A62,'NonXtal_SegEnds_Prot#'!$A:$AL,9,FALSE)</f>
        <v>51</v>
      </c>
      <c r="U62" s="5" t="str">
        <f>VLOOKUP($A62,'NonXtal_SegEnds_Prot#'!$A:$AL,12,FALSE)</f>
        <v>-</v>
      </c>
      <c r="V62" s="5">
        <f>VLOOKUP($A62,'NonXtal_SegEnds_Prot#'!$A:$AL,15,FALSE)</f>
        <v>88</v>
      </c>
      <c r="W62" s="5">
        <f>VLOOKUP($A62,'NonXtal_SegEnds_Prot#'!$A:$AL,18,FALSE)</f>
        <v>127</v>
      </c>
      <c r="X62" s="5">
        <f>VLOOKUP($A62,'NonXtal_SegEnds_Prot#'!$A:$AL,21,FALSE)</f>
        <v>137</v>
      </c>
      <c r="Y62" s="5">
        <f>VLOOKUP($A62,'NonXtal_SegEnds_Prot#'!$A:$AL,24,FALSE)</f>
        <v>171</v>
      </c>
      <c r="Z62" s="5">
        <f>VLOOKUP($A62,'NonXtal_SegEnds_Prot#'!$A:$AL,27,FALSE)</f>
        <v>174</v>
      </c>
      <c r="AA62" s="5">
        <f>VLOOKUP($A62,'NonXtal_SegEnds_Prot#'!$A:$AL,30,FALSE)</f>
        <v>273</v>
      </c>
      <c r="AB62" s="5">
        <f>VLOOKUP($A62,'NonXtal_SegEnds_Prot#'!$A:$AL,33,FALSE)</f>
        <v>316</v>
      </c>
      <c r="AC62" s="5">
        <f>VLOOKUP($A62,'NonXtal_SegEnds_Prot#'!$A:$AL,36,FALSE)</f>
        <v>342</v>
      </c>
      <c r="AD62" s="5">
        <f>VLOOKUP($A62,'NonXtal_SegEnds_Prot#'!$A:$AL,5,FALSE)</f>
        <v>46</v>
      </c>
      <c r="AE62" s="5">
        <f>VLOOKUP($A62,'NonXtal_SegEnds_Prot#'!$A:$AL,8,FALSE)</f>
        <v>50</v>
      </c>
      <c r="AF62" s="5">
        <f>VLOOKUP($A62,'NonXtal_SegEnds_Prot#'!$A:$AL,11,FALSE)</f>
        <v>81</v>
      </c>
      <c r="AG62" s="5" t="str">
        <f>VLOOKUP($A62,'NonXtal_SegEnds_Prot#'!$A:$AL,14,FALSE)</f>
        <v>-</v>
      </c>
      <c r="AH62" s="5">
        <f>VLOOKUP($A62,'NonXtal_SegEnds_Prot#'!$A:$AL,17,FALSE)</f>
        <v>126</v>
      </c>
      <c r="AI62" s="5">
        <f>VLOOKUP($A62,'NonXtal_SegEnds_Prot#'!$A:$AL,20,FALSE)</f>
        <v>135</v>
      </c>
      <c r="AJ62" s="5">
        <f>VLOOKUP($A62,'NonXtal_SegEnds_Prot#'!$A:$AL,23,FALSE)</f>
        <v>162</v>
      </c>
      <c r="AK62" s="5">
        <f>VLOOKUP($A62,'NonXtal_SegEnds_Prot#'!$A:$AL,26,FALSE)</f>
        <v>173</v>
      </c>
      <c r="AL62" s="5">
        <f>VLOOKUP($A62,'NonXtal_SegEnds_Prot#'!$A:$AL,29,FALSE)</f>
        <v>215</v>
      </c>
      <c r="AM62" s="5">
        <f>VLOOKUP($A62,'NonXtal_SegEnds_Prot#'!$A:$AL,32,FALSE)</f>
        <v>310</v>
      </c>
      <c r="AN62" s="5">
        <f>VLOOKUP($A62,'NonXtal_SegEnds_Prot#'!$A:$AL,35,FALSE)</f>
        <v>341</v>
      </c>
      <c r="AO62" s="5">
        <f>VLOOKUP($A62,'NonXtal_SegEnds_Prot#'!$A:$AL,38,FALSE)</f>
        <v>353</v>
      </c>
      <c r="AP62" s="5">
        <f t="shared" si="13"/>
        <v>28</v>
      </c>
      <c r="AQ62" s="4">
        <f t="shared" si="14"/>
        <v>3</v>
      </c>
      <c r="AR62" s="4">
        <f t="shared" si="15"/>
        <v>30</v>
      </c>
      <c r="AS62" s="4" t="str">
        <f t="shared" si="16"/>
        <v>-</v>
      </c>
      <c r="AT62" s="4">
        <f t="shared" si="17"/>
        <v>38</v>
      </c>
      <c r="AU62" s="4">
        <f t="shared" si="18"/>
        <v>8</v>
      </c>
      <c r="AV62" s="4">
        <f t="shared" si="19"/>
        <v>25</v>
      </c>
      <c r="AW62" s="4">
        <f t="shared" si="20"/>
        <v>2</v>
      </c>
      <c r="AX62" s="4">
        <f t="shared" si="21"/>
        <v>41</v>
      </c>
      <c r="AY62" s="4">
        <f t="shared" si="22"/>
        <v>37</v>
      </c>
      <c r="AZ62" s="4">
        <f t="shared" si="23"/>
        <v>25</v>
      </c>
      <c r="BA62" s="4">
        <f t="shared" si="24"/>
        <v>11</v>
      </c>
    </row>
    <row r="63" spans="1:53" x14ac:dyDescent="0.2">
      <c r="A63" s="1" t="str">
        <f>'NonXtal_SegEnds_Prot#'!A30</f>
        <v>lgr5_human</v>
      </c>
      <c r="B63" s="1" t="str">
        <f t="shared" si="0"/>
        <v>HLLDGWLIRIGVWTIAVLALTCNALVTSTVFRSSPIKLLIGVIAAVNMLTGVSSAVLAGVDAFTWWENGVGCHVIGFLSIFASESSVFLLTLAALERGFSVKYFSSLKVIILLCALLALTMAAVPLLGPSTMGYMVALILLNSLCFLMMTIAYTKLYCNLDKIWDCSMVKHIALLLFTNCILNCPVAFLSFSSLINPEVIKFILLVVVPLPACLNPLLYILFNPHFKEDLVSLRKQTYVWTRSKH</v>
      </c>
      <c r="C63" s="72" t="str">
        <f>IF(ISERROR(MATCH(A63,'Xtal_SegEnds_Prot#'!B:B, 0)), "NoXtal", "Xtal")</f>
        <v>NoXtal</v>
      </c>
      <c r="D63" s="4" t="str">
        <f>VLOOKUP(A63,Classification!A:D,2,FALSE)</f>
        <v>A</v>
      </c>
      <c r="E63" s="5" t="str">
        <f>VLOOKUP(A63,Seqs!A:B,2,FALSE)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63" s="5" t="str">
        <f t="shared" si="1"/>
        <v>HLLDGWLIRIGVWTIAVLALTCNALVTSTVFRS</v>
      </c>
      <c r="G63" s="4" t="str">
        <f t="shared" si="2"/>
        <v/>
      </c>
      <c r="H63" s="4" t="str">
        <f t="shared" si="3"/>
        <v>SPIKLLIGVIAAVNMLTGVSSAVLAGVDAFT</v>
      </c>
      <c r="I63" s="4" t="str">
        <f t="shared" si="4"/>
        <v/>
      </c>
      <c r="J63" s="4" t="str">
        <f t="shared" si="5"/>
        <v>WWENGVGCHVIGFLSIFASESSVFLLTLAALERGFSVKY</v>
      </c>
      <c r="K63" s="4" t="str">
        <f t="shared" si="6"/>
        <v>SAKFETKA</v>
      </c>
      <c r="L63" s="4" t="str">
        <f t="shared" si="7"/>
        <v>FSSLKVIILLCALLALTMAAVPLLG</v>
      </c>
      <c r="M63" s="4" t="str">
        <f t="shared" si="8"/>
        <v>CLP</v>
      </c>
      <c r="N63" s="4" t="str">
        <f t="shared" si="9"/>
        <v>PSTMGYMVALILLNSLCFLMMTIAYTKLYCNLDK</v>
      </c>
      <c r="O63" s="4" t="str">
        <f t="shared" si="10"/>
        <v>IWDCSMVKHIALLLFTNCILNCPVAFLSFSSLIN</v>
      </c>
      <c r="P63" s="4" t="str">
        <f t="shared" si="11"/>
        <v>PEVIKFILLVVVPLPACLNPLLYILF</v>
      </c>
      <c r="Q63" s="4" t="str">
        <f t="shared" si="12"/>
        <v>NPHFKEDLVSLRKQTYVWTRSKH</v>
      </c>
      <c r="R63" s="5">
        <f>VLOOKUP($A63,'NonXtal_SegEnds_Prot#'!$A:$AL,3,FALSE)</f>
        <v>553</v>
      </c>
      <c r="S63" s="5" t="str">
        <f>VLOOKUP($A63,'NonXtal_SegEnds_Prot#'!$A:$AL,6,FALSE)</f>
        <v>-</v>
      </c>
      <c r="T63" s="5">
        <f>VLOOKUP($A63,'NonXtal_SegEnds_Prot#'!$A:$AL,9,FALSE)</f>
        <v>590</v>
      </c>
      <c r="U63" s="5" t="str">
        <f>VLOOKUP($A63,'NonXtal_SegEnds_Prot#'!$A:$AL,12,FALSE)</f>
        <v>-</v>
      </c>
      <c r="V63" s="5">
        <f>VLOOKUP($A63,'NonXtal_SegEnds_Prot#'!$A:$AL,15,FALSE)</f>
        <v>630</v>
      </c>
      <c r="W63" s="5">
        <f>VLOOKUP($A63,'NonXtal_SegEnds_Prot#'!$A:$AL,18,FALSE)</f>
        <v>669</v>
      </c>
      <c r="X63" s="5">
        <f>VLOOKUP($A63,'NonXtal_SegEnds_Prot#'!$A:$AL,21,FALSE)</f>
        <v>678</v>
      </c>
      <c r="Y63" s="5">
        <f>VLOOKUP($A63,'NonXtal_SegEnds_Prot#'!$A:$AL,24,FALSE)</f>
        <v>712</v>
      </c>
      <c r="Z63" s="5">
        <f>VLOOKUP($A63,'NonXtal_SegEnds_Prot#'!$A:$AL,27,FALSE)</f>
        <v>720</v>
      </c>
      <c r="AA63" s="5">
        <f>VLOOKUP($A63,'NonXtal_SegEnds_Prot#'!$A:$AL,30,FALSE)</f>
        <v>759</v>
      </c>
      <c r="AB63" s="5">
        <f>VLOOKUP($A63,'NonXtal_SegEnds_Prot#'!$A:$AL,33,FALSE)</f>
        <v>798</v>
      </c>
      <c r="AC63" s="5">
        <f>VLOOKUP($A63,'NonXtal_SegEnds_Prot#'!$A:$AL,36,FALSE)</f>
        <v>824</v>
      </c>
      <c r="AD63" s="5">
        <f>VLOOKUP($A63,'NonXtal_SegEnds_Prot#'!$A:$AL,5,FALSE)</f>
        <v>585</v>
      </c>
      <c r="AE63" s="5" t="str">
        <f>VLOOKUP($A63,'NonXtal_SegEnds_Prot#'!$A:$AL,8,FALSE)</f>
        <v>-</v>
      </c>
      <c r="AF63" s="5">
        <f>VLOOKUP($A63,'NonXtal_SegEnds_Prot#'!$A:$AL,11,FALSE)</f>
        <v>620</v>
      </c>
      <c r="AG63" s="5" t="str">
        <f>VLOOKUP($A63,'NonXtal_SegEnds_Prot#'!$A:$AL,14,FALSE)</f>
        <v>-</v>
      </c>
      <c r="AH63" s="5">
        <f>VLOOKUP($A63,'NonXtal_SegEnds_Prot#'!$A:$AL,17,FALSE)</f>
        <v>668</v>
      </c>
      <c r="AI63" s="5">
        <f>VLOOKUP($A63,'NonXtal_SegEnds_Prot#'!$A:$AL,20,FALSE)</f>
        <v>676</v>
      </c>
      <c r="AJ63" s="5">
        <f>VLOOKUP($A63,'NonXtal_SegEnds_Prot#'!$A:$AL,23,FALSE)</f>
        <v>702</v>
      </c>
      <c r="AK63" s="5">
        <f>VLOOKUP($A63,'NonXtal_SegEnds_Prot#'!$A:$AL,26,FALSE)</f>
        <v>714</v>
      </c>
      <c r="AL63" s="5">
        <f>VLOOKUP($A63,'NonXtal_SegEnds_Prot#'!$A:$AL,29,FALSE)</f>
        <v>753</v>
      </c>
      <c r="AM63" s="5">
        <f>VLOOKUP($A63,'NonXtal_SegEnds_Prot#'!$A:$AL,32,FALSE)</f>
        <v>792</v>
      </c>
      <c r="AN63" s="5">
        <f>VLOOKUP($A63,'NonXtal_SegEnds_Prot#'!$A:$AL,35,FALSE)</f>
        <v>823</v>
      </c>
      <c r="AO63" s="5">
        <f>VLOOKUP($A63,'NonXtal_SegEnds_Prot#'!$A:$AL,38,FALSE)</f>
        <v>846</v>
      </c>
      <c r="AP63" s="5">
        <f t="shared" si="13"/>
        <v>32</v>
      </c>
      <c r="AQ63" s="4" t="str">
        <f t="shared" si="14"/>
        <v>-</v>
      </c>
      <c r="AR63" s="4">
        <f t="shared" si="15"/>
        <v>30</v>
      </c>
      <c r="AS63" s="4" t="str">
        <f t="shared" si="16"/>
        <v>-</v>
      </c>
      <c r="AT63" s="4">
        <f t="shared" si="17"/>
        <v>38</v>
      </c>
      <c r="AU63" s="4">
        <f t="shared" si="18"/>
        <v>7</v>
      </c>
      <c r="AV63" s="4">
        <f t="shared" si="19"/>
        <v>24</v>
      </c>
      <c r="AW63" s="4">
        <f t="shared" si="20"/>
        <v>2</v>
      </c>
      <c r="AX63" s="4">
        <f t="shared" si="21"/>
        <v>33</v>
      </c>
      <c r="AY63" s="4">
        <f t="shared" si="22"/>
        <v>33</v>
      </c>
      <c r="AZ63" s="4">
        <f t="shared" si="23"/>
        <v>25</v>
      </c>
      <c r="BA63" s="4">
        <f t="shared" si="24"/>
        <v>22</v>
      </c>
    </row>
    <row r="64" spans="1:53" x14ac:dyDescent="0.2">
      <c r="A64" s="1" t="str">
        <f>'NonXtal_SegEnds_Prot#'!A31</f>
        <v>tshr_human</v>
      </c>
      <c r="B64" s="1" t="str">
        <f t="shared" si="0"/>
        <v>DIMGYKFLRIVVWFVSLLALLGNVFVLLILLTSVPRFLMCNLAFADFCMGMYLLLIASVDLYTGPGCNTAGFFTVFASELSVYTLTVITLERWYAITFLRHACAIMVGGWVCCFLLALLPLVGPLALAYIVFVLTLNIVAFVIVCCCYVKIYITVRNPGDKDTKIAKRMAVLIFTDFICMAPISFYALSAILNVSNSKILLVLFYPLNSCANPFLYAIFTKAFQRDVFILLSKFGICKRQAQ</v>
      </c>
      <c r="C64" s="72" t="str">
        <f>IF(ISERROR(MATCH(A64,'Xtal_SegEnds_Prot#'!B:B, 0)), "NoXtal", "Xtal")</f>
        <v>NoXtal</v>
      </c>
      <c r="D64" s="4" t="str">
        <f>VLOOKUP(A64,Classification!A:D,2,FALSE)</f>
        <v>A</v>
      </c>
      <c r="E64" s="5" t="str">
        <f>VLOOKUP(A64,Seqs!A:B,2,FALSE)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64" s="5" t="str">
        <f t="shared" si="1"/>
        <v>DIMGYKFLRIVVWFVSLLALLGNVFVLLILLTS</v>
      </c>
      <c r="G64" s="4" t="str">
        <f t="shared" si="2"/>
        <v>YKLN</v>
      </c>
      <c r="H64" s="4" t="str">
        <f t="shared" si="3"/>
        <v>VPRFLMCNLAFADFCMGMYLLLIASVDLYT</v>
      </c>
      <c r="I64" s="4" t="str">
        <f t="shared" si="4"/>
        <v>DWQT</v>
      </c>
      <c r="J64" s="4" t="str">
        <f t="shared" si="5"/>
        <v>GPGCNTAGFFTVFASELSVYTLTVITLERWYAITF</v>
      </c>
      <c r="K64" s="4" t="str">
        <f t="shared" si="6"/>
        <v>AMRLDRKI</v>
      </c>
      <c r="L64" s="4" t="str">
        <f t="shared" si="7"/>
        <v>LRHACAIMVGGWVCCFLLALLPLVG</v>
      </c>
      <c r="M64" s="4" t="str">
        <f t="shared" si="8"/>
        <v>CLP</v>
      </c>
      <c r="N64" s="4" t="str">
        <f t="shared" si="9"/>
        <v>PLALAYIVFVLTLNIVAFVIVCCCYVKIYITVRN</v>
      </c>
      <c r="O64" s="4" t="str">
        <f t="shared" si="10"/>
        <v>PGDKDTKIAKRMAVLIFTDFICMAPISFYALSAILN</v>
      </c>
      <c r="P64" s="4" t="str">
        <f t="shared" si="11"/>
        <v>VSNSKILLVLFYPLNSCANPFLYAIF</v>
      </c>
      <c r="Q64" s="4" t="str">
        <f t="shared" si="12"/>
        <v>TKAFQRDVFILLSKFGICKRQAQ</v>
      </c>
      <c r="R64" s="5">
        <f>VLOOKUP($A64,'NonXtal_SegEnds_Prot#'!$A:$AL,3,FALSE)</f>
        <v>410</v>
      </c>
      <c r="S64" s="5">
        <f>VLOOKUP($A64,'NonXtal_SegEnds_Prot#'!$A:$AL,6,FALSE)</f>
        <v>444</v>
      </c>
      <c r="T64" s="5">
        <f>VLOOKUP($A64,'NonXtal_SegEnds_Prot#'!$A:$AL,9,FALSE)</f>
        <v>448</v>
      </c>
      <c r="U64" s="5">
        <f>VLOOKUP($A64,'NonXtal_SegEnds_Prot#'!$A:$AL,12,FALSE)</f>
        <v>487</v>
      </c>
      <c r="V64" s="5">
        <f>VLOOKUP($A64,'NonXtal_SegEnds_Prot#'!$A:$AL,15,FALSE)</f>
        <v>491</v>
      </c>
      <c r="W64" s="5">
        <f>VLOOKUP($A64,'NonXtal_SegEnds_Prot#'!$A:$AL,18,FALSE)</f>
        <v>526</v>
      </c>
      <c r="X64" s="5">
        <f>VLOOKUP($A64,'NonXtal_SegEnds_Prot#'!$A:$AL,21,FALSE)</f>
        <v>535</v>
      </c>
      <c r="Y64" s="5">
        <f>VLOOKUP($A64,'NonXtal_SegEnds_Prot#'!$A:$AL,24,FALSE)</f>
        <v>569</v>
      </c>
      <c r="Z64" s="5">
        <f>VLOOKUP($A64,'NonXtal_SegEnds_Prot#'!$A:$AL,27,FALSE)</f>
        <v>577</v>
      </c>
      <c r="AA64" s="5">
        <f>VLOOKUP($A64,'NonXtal_SegEnds_Prot#'!$A:$AL,30,FALSE)</f>
        <v>615</v>
      </c>
      <c r="AB64" s="5">
        <f>VLOOKUP($A64,'NonXtal_SegEnds_Prot#'!$A:$AL,33,FALSE)</f>
        <v>656</v>
      </c>
      <c r="AC64" s="5">
        <f>VLOOKUP($A64,'NonXtal_SegEnds_Prot#'!$A:$AL,36,FALSE)</f>
        <v>682</v>
      </c>
      <c r="AD64" s="5">
        <f>VLOOKUP($A64,'NonXtal_SegEnds_Prot#'!$A:$AL,5,FALSE)</f>
        <v>442</v>
      </c>
      <c r="AE64" s="5">
        <f>VLOOKUP($A64,'NonXtal_SegEnds_Prot#'!$A:$AL,8,FALSE)</f>
        <v>447</v>
      </c>
      <c r="AF64" s="5">
        <f>VLOOKUP($A64,'NonXtal_SegEnds_Prot#'!$A:$AL,11,FALSE)</f>
        <v>477</v>
      </c>
      <c r="AG64" s="5">
        <f>VLOOKUP($A64,'NonXtal_SegEnds_Prot#'!$A:$AL,14,FALSE)</f>
        <v>490</v>
      </c>
      <c r="AH64" s="5">
        <f>VLOOKUP($A64,'NonXtal_SegEnds_Prot#'!$A:$AL,17,FALSE)</f>
        <v>525</v>
      </c>
      <c r="AI64" s="5">
        <f>VLOOKUP($A64,'NonXtal_SegEnds_Prot#'!$A:$AL,20,FALSE)</f>
        <v>533</v>
      </c>
      <c r="AJ64" s="5">
        <f>VLOOKUP($A64,'NonXtal_SegEnds_Prot#'!$A:$AL,23,FALSE)</f>
        <v>559</v>
      </c>
      <c r="AK64" s="5">
        <f>VLOOKUP($A64,'NonXtal_SegEnds_Prot#'!$A:$AL,26,FALSE)</f>
        <v>571</v>
      </c>
      <c r="AL64" s="5">
        <f>VLOOKUP($A64,'NonXtal_SegEnds_Prot#'!$A:$AL,29,FALSE)</f>
        <v>610</v>
      </c>
      <c r="AM64" s="5">
        <f>VLOOKUP($A64,'NonXtal_SegEnds_Prot#'!$A:$AL,32,FALSE)</f>
        <v>650</v>
      </c>
      <c r="AN64" s="5">
        <f>VLOOKUP($A64,'NonXtal_SegEnds_Prot#'!$A:$AL,35,FALSE)</f>
        <v>681</v>
      </c>
      <c r="AO64" s="5">
        <f>VLOOKUP($A64,'NonXtal_SegEnds_Prot#'!$A:$AL,38,FALSE)</f>
        <v>704</v>
      </c>
      <c r="AP64" s="5">
        <f t="shared" si="13"/>
        <v>32</v>
      </c>
      <c r="AQ64" s="4">
        <f t="shared" si="14"/>
        <v>3</v>
      </c>
      <c r="AR64" s="4">
        <f t="shared" si="15"/>
        <v>29</v>
      </c>
      <c r="AS64" s="4">
        <f t="shared" si="16"/>
        <v>3</v>
      </c>
      <c r="AT64" s="4">
        <f t="shared" si="17"/>
        <v>34</v>
      </c>
      <c r="AU64" s="4">
        <f t="shared" si="18"/>
        <v>7</v>
      </c>
      <c r="AV64" s="4">
        <f t="shared" si="19"/>
        <v>24</v>
      </c>
      <c r="AW64" s="4">
        <f t="shared" si="20"/>
        <v>2</v>
      </c>
      <c r="AX64" s="4">
        <f t="shared" si="21"/>
        <v>33</v>
      </c>
      <c r="AY64" s="4">
        <f t="shared" si="22"/>
        <v>35</v>
      </c>
      <c r="AZ64" s="4">
        <f t="shared" si="23"/>
        <v>25</v>
      </c>
      <c r="BA64" s="4">
        <f t="shared" si="24"/>
        <v>22</v>
      </c>
    </row>
    <row r="65" spans="1:53" x14ac:dyDescent="0.2">
      <c r="A65" s="1" t="str">
        <f>'NonXtal_SegEnds_Prot#'!A32</f>
        <v>fshr_human</v>
      </c>
      <c r="B65" s="1" t="str">
        <f t="shared" si="0"/>
        <v>DIMGYNILRVLIWFISILAITGNIIVLVILTTSVPRFLMCNLAFADLCIGIYLLLIASVDIHTGAGCDAAGFFTVFASELSVYTLTAITLERWHTITHLRHAASVMVMGWIFAFAAALFPIFGPLSQLYVMSLLVLNVLAFVVICGCYIHIYLTVRNSSSSDTRIAKRMAMLIFTDFLCMAPISFFAISASLKVSKAKILLVLFHPINSCANPFLYAIFTKNFRRDFFILLSKCGCYEMQAQ</v>
      </c>
      <c r="C65" s="72" t="str">
        <f>IF(ISERROR(MATCH(A65,'Xtal_SegEnds_Prot#'!B:B, 0)), "NoXtal", "Xtal")</f>
        <v>NoXtal</v>
      </c>
      <c r="D65" s="4" t="str">
        <f>VLOOKUP(A65,Classification!A:D,2,FALSE)</f>
        <v>A</v>
      </c>
      <c r="E65" s="5" t="str">
        <f>VLOOKUP(A65,Seqs!A:B,2,FALSE)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65" s="5" t="str">
        <f t="shared" si="1"/>
        <v>DIMGYNILRVLIWFISILAITGNIIVLVILTTS</v>
      </c>
      <c r="G65" s="4" t="str">
        <f t="shared" si="2"/>
        <v>YKLT</v>
      </c>
      <c r="H65" s="4" t="str">
        <f t="shared" si="3"/>
        <v>VPRFLMCNLAFADLCIGIYLLLIASVDIHT</v>
      </c>
      <c r="I65" s="4" t="str">
        <f t="shared" si="4"/>
        <v>DWQT</v>
      </c>
      <c r="J65" s="4" t="str">
        <f t="shared" si="5"/>
        <v>GAGCDAAGFFTVFASELSVYTLTAITLERWHTITH</v>
      </c>
      <c r="K65" s="4" t="str">
        <f t="shared" si="6"/>
        <v>AMQLDCKV</v>
      </c>
      <c r="L65" s="4" t="str">
        <f t="shared" si="7"/>
        <v>LRHAASVMVMGWIFAFAAALFPIFG</v>
      </c>
      <c r="M65" s="4" t="str">
        <f t="shared" si="8"/>
        <v>CLP</v>
      </c>
      <c r="N65" s="4" t="str">
        <f t="shared" si="9"/>
        <v>PLSQLYVMSLLVLNVLAFVVICGCYIHIYLTVRN</v>
      </c>
      <c r="O65" s="4" t="str">
        <f t="shared" si="10"/>
        <v>SSSSDTRIAKRMAMLIFTDFLCMAPISFFAISASLK</v>
      </c>
      <c r="P65" s="4" t="str">
        <f t="shared" si="11"/>
        <v>VSKAKILLVLFHPINSCANPFLYAIF</v>
      </c>
      <c r="Q65" s="4" t="str">
        <f t="shared" si="12"/>
        <v>TKNFRRDFFILLSKCGCYEMQAQ</v>
      </c>
      <c r="R65" s="5">
        <f>VLOOKUP($A65,'NonXtal_SegEnds_Prot#'!$A:$AL,3,FALSE)</f>
        <v>358</v>
      </c>
      <c r="S65" s="5">
        <f>VLOOKUP($A65,'NonXtal_SegEnds_Prot#'!$A:$AL,6,FALSE)</f>
        <v>392</v>
      </c>
      <c r="T65" s="5">
        <f>VLOOKUP($A65,'NonXtal_SegEnds_Prot#'!$A:$AL,9,FALSE)</f>
        <v>396</v>
      </c>
      <c r="U65" s="5">
        <f>VLOOKUP($A65,'NonXtal_SegEnds_Prot#'!$A:$AL,12,FALSE)</f>
        <v>435</v>
      </c>
      <c r="V65" s="5">
        <f>VLOOKUP($A65,'NonXtal_SegEnds_Prot#'!$A:$AL,15,FALSE)</f>
        <v>439</v>
      </c>
      <c r="W65" s="5">
        <f>VLOOKUP($A65,'NonXtal_SegEnds_Prot#'!$A:$AL,18,FALSE)</f>
        <v>474</v>
      </c>
      <c r="X65" s="5">
        <f>VLOOKUP($A65,'NonXtal_SegEnds_Prot#'!$A:$AL,21,FALSE)</f>
        <v>483</v>
      </c>
      <c r="Y65" s="5">
        <f>VLOOKUP($A65,'NonXtal_SegEnds_Prot#'!$A:$AL,24,FALSE)</f>
        <v>517</v>
      </c>
      <c r="Z65" s="5">
        <f>VLOOKUP($A65,'NonXtal_SegEnds_Prot#'!$A:$AL,27,FALSE)</f>
        <v>525</v>
      </c>
      <c r="AA65" s="5">
        <f>VLOOKUP($A65,'NonXtal_SegEnds_Prot#'!$A:$AL,30,FALSE)</f>
        <v>563</v>
      </c>
      <c r="AB65" s="5">
        <f>VLOOKUP($A65,'NonXtal_SegEnds_Prot#'!$A:$AL,33,FALSE)</f>
        <v>604</v>
      </c>
      <c r="AC65" s="5">
        <f>VLOOKUP($A65,'NonXtal_SegEnds_Prot#'!$A:$AL,36,FALSE)</f>
        <v>630</v>
      </c>
      <c r="AD65" s="5">
        <f>VLOOKUP($A65,'NonXtal_SegEnds_Prot#'!$A:$AL,5,FALSE)</f>
        <v>390</v>
      </c>
      <c r="AE65" s="5">
        <f>VLOOKUP($A65,'NonXtal_SegEnds_Prot#'!$A:$AL,8,FALSE)</f>
        <v>395</v>
      </c>
      <c r="AF65" s="5">
        <f>VLOOKUP($A65,'NonXtal_SegEnds_Prot#'!$A:$AL,11,FALSE)</f>
        <v>425</v>
      </c>
      <c r="AG65" s="5">
        <f>VLOOKUP($A65,'NonXtal_SegEnds_Prot#'!$A:$AL,14,FALSE)</f>
        <v>438</v>
      </c>
      <c r="AH65" s="5">
        <f>VLOOKUP($A65,'NonXtal_SegEnds_Prot#'!$A:$AL,17,FALSE)</f>
        <v>473</v>
      </c>
      <c r="AI65" s="5">
        <f>VLOOKUP($A65,'NonXtal_SegEnds_Prot#'!$A:$AL,20,FALSE)</f>
        <v>481</v>
      </c>
      <c r="AJ65" s="5">
        <f>VLOOKUP($A65,'NonXtal_SegEnds_Prot#'!$A:$AL,23,FALSE)</f>
        <v>507</v>
      </c>
      <c r="AK65" s="5">
        <f>VLOOKUP($A65,'NonXtal_SegEnds_Prot#'!$A:$AL,26,FALSE)</f>
        <v>519</v>
      </c>
      <c r="AL65" s="5">
        <f>VLOOKUP($A65,'NonXtal_SegEnds_Prot#'!$A:$AL,29,FALSE)</f>
        <v>558</v>
      </c>
      <c r="AM65" s="5">
        <f>VLOOKUP($A65,'NonXtal_SegEnds_Prot#'!$A:$AL,32,FALSE)</f>
        <v>598</v>
      </c>
      <c r="AN65" s="5">
        <f>VLOOKUP($A65,'NonXtal_SegEnds_Prot#'!$A:$AL,35,FALSE)</f>
        <v>629</v>
      </c>
      <c r="AO65" s="5">
        <f>VLOOKUP($A65,'NonXtal_SegEnds_Prot#'!$A:$AL,38,FALSE)</f>
        <v>652</v>
      </c>
      <c r="AP65" s="5">
        <f t="shared" si="13"/>
        <v>32</v>
      </c>
      <c r="AQ65" s="4">
        <f t="shared" si="14"/>
        <v>3</v>
      </c>
      <c r="AR65" s="4">
        <f t="shared" si="15"/>
        <v>29</v>
      </c>
      <c r="AS65" s="4">
        <f t="shared" si="16"/>
        <v>3</v>
      </c>
      <c r="AT65" s="4">
        <f t="shared" si="17"/>
        <v>34</v>
      </c>
      <c r="AU65" s="4">
        <f t="shared" si="18"/>
        <v>7</v>
      </c>
      <c r="AV65" s="4">
        <f t="shared" si="19"/>
        <v>24</v>
      </c>
      <c r="AW65" s="4">
        <f t="shared" si="20"/>
        <v>2</v>
      </c>
      <c r="AX65" s="4">
        <f t="shared" si="21"/>
        <v>33</v>
      </c>
      <c r="AY65" s="4">
        <f t="shared" si="22"/>
        <v>35</v>
      </c>
      <c r="AZ65" s="4">
        <f t="shared" si="23"/>
        <v>25</v>
      </c>
      <c r="BA65" s="4">
        <f t="shared" si="24"/>
        <v>22</v>
      </c>
    </row>
    <row r="66" spans="1:53" x14ac:dyDescent="0.2">
      <c r="A66" s="1" t="str">
        <f>'NonXtal_SegEnds_Prot#'!A33</f>
        <v>lshr_human</v>
      </c>
      <c r="B66" s="1" t="str">
        <f t="shared" ref="B66:B129" si="25">F66&amp;H66&amp;J66&amp;L66&amp;N66&amp;O66&amp;P66&amp;Q66</f>
        <v>DIMGYDFLRVLIWLINILAIMGNMTVLFVLLTSVPRFLMCNLSFADFCMGLYLLLIASVDSQTGSGCSTAGFFTVFASELSVYTLTVITLERWHTITYLRHAILIMLGGWLFSSLIAMLPLVGTLSQVYILTILILNVVAFFIICACYIKIYFAVRNATNKDTKIAKKMAILIFTDFTCMAPISFFAISAAFKVTNSKVLLVLFYPINSCANPFLYAIFTKTFQRDFFLLLSKFGCCKRRAE</v>
      </c>
      <c r="C66" s="72" t="str">
        <f>IF(ISERROR(MATCH(A66,'Xtal_SegEnds_Prot#'!B:B, 0)), "NoXtal", "Xtal")</f>
        <v>NoXtal</v>
      </c>
      <c r="D66" s="4" t="str">
        <f>VLOOKUP(A66,Classification!A:D,2,FALSE)</f>
        <v>A</v>
      </c>
      <c r="E66" s="5" t="str">
        <f>VLOOKUP(A66,Seqs!A:B,2,FALSE)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66" s="5" t="str">
        <f t="shared" ref="F66:F129" si="26">IFERROR(MID($E66,R66,(AP66+1)),"")</f>
        <v>DIMGYDFLRVLIWLINILAIMGNMTVLFVLLTS</v>
      </c>
      <c r="G66" s="4" t="str">
        <f t="shared" ref="G66:G129" si="27">IFERROR(MID($E66,S66,(AQ66+1)),"")</f>
        <v>YKLT</v>
      </c>
      <c r="H66" s="4" t="str">
        <f t="shared" ref="H66:H129" si="28">IFERROR(MID($E66,T66,(AR66+1)),"")</f>
        <v>VPRFLMCNLSFADFCMGLYLLLIASVDSQT</v>
      </c>
      <c r="I66" s="4" t="str">
        <f t="shared" ref="I66:I129" si="29">IFERROR(MID($E66,U66,(AS66+1)),"")</f>
        <v>DWQT</v>
      </c>
      <c r="J66" s="4" t="str">
        <f t="shared" ref="J66:J129" si="30">IFERROR(MID($E66,V66,(AT66+1)),"")</f>
        <v>GSGCSTAGFFTVFASELSVYTLTVITLERWHTITY</v>
      </c>
      <c r="K66" s="4" t="str">
        <f t="shared" ref="K66:K129" si="31">IFERROR(MID($E66,W66,(AU66+1)),"")</f>
        <v>AIHLDQKL</v>
      </c>
      <c r="L66" s="4" t="str">
        <f t="shared" ref="L66:L129" si="32">IFERROR(MID($E66,X66,(AV66+1)),"")</f>
        <v>LRHAILIMLGGWLFSSLIAMLPLVG</v>
      </c>
      <c r="M66" s="4" t="str">
        <f t="shared" ref="M66:M129" si="33">IFERROR(MID($E66,Y66,(AW66+1)),"")</f>
        <v>CFP</v>
      </c>
      <c r="N66" s="4" t="str">
        <f t="shared" ref="N66:N129" si="34">IFERROR(MID($E66,Z66,(AX66+1)),"")</f>
        <v>TLSQVYILTILILNVVAFFIICACYIKIYFAVRN</v>
      </c>
      <c r="O66" s="4" t="str">
        <f t="shared" ref="O66:O129" si="35">IFERROR(MID($E66,AA66,(AY66+1)),"")</f>
        <v>ATNKDTKIAKKMAILIFTDFTCMAPISFFAISAAFK</v>
      </c>
      <c r="P66" s="4" t="str">
        <f t="shared" ref="P66:P129" si="36">IFERROR(MID($E66,AB66,(AZ66+1)),"")</f>
        <v>VTNSKVLLVLFYPINSCANPFLYAIF</v>
      </c>
      <c r="Q66" s="4" t="str">
        <f t="shared" ref="Q66:Q129" si="37">IFERROR(MID($E66,AC66,(BA66+1)),"")</f>
        <v>TKTFQRDFFLLLSKFGCCKRRAE</v>
      </c>
      <c r="R66" s="5">
        <f>VLOOKUP($A66,'NonXtal_SegEnds_Prot#'!$A:$AL,3,FALSE)</f>
        <v>355</v>
      </c>
      <c r="S66" s="5">
        <f>VLOOKUP($A66,'NonXtal_SegEnds_Prot#'!$A:$AL,6,FALSE)</f>
        <v>389</v>
      </c>
      <c r="T66" s="5">
        <f>VLOOKUP($A66,'NonXtal_SegEnds_Prot#'!$A:$AL,9,FALSE)</f>
        <v>393</v>
      </c>
      <c r="U66" s="5">
        <f>VLOOKUP($A66,'NonXtal_SegEnds_Prot#'!$A:$AL,12,FALSE)</f>
        <v>432</v>
      </c>
      <c r="V66" s="5">
        <f>VLOOKUP($A66,'NonXtal_SegEnds_Prot#'!$A:$AL,15,FALSE)</f>
        <v>436</v>
      </c>
      <c r="W66" s="5">
        <f>VLOOKUP($A66,'NonXtal_SegEnds_Prot#'!$A:$AL,18,FALSE)</f>
        <v>471</v>
      </c>
      <c r="X66" s="5">
        <f>VLOOKUP($A66,'NonXtal_SegEnds_Prot#'!$A:$AL,21,FALSE)</f>
        <v>480</v>
      </c>
      <c r="Y66" s="5">
        <f>VLOOKUP($A66,'NonXtal_SegEnds_Prot#'!$A:$AL,24,FALSE)</f>
        <v>514</v>
      </c>
      <c r="Z66" s="5">
        <f>VLOOKUP($A66,'NonXtal_SegEnds_Prot#'!$A:$AL,27,FALSE)</f>
        <v>522</v>
      </c>
      <c r="AA66" s="5">
        <f>VLOOKUP($A66,'NonXtal_SegEnds_Prot#'!$A:$AL,30,FALSE)</f>
        <v>560</v>
      </c>
      <c r="AB66" s="5">
        <f>VLOOKUP($A66,'NonXtal_SegEnds_Prot#'!$A:$AL,33,FALSE)</f>
        <v>601</v>
      </c>
      <c r="AC66" s="5">
        <f>VLOOKUP($A66,'NonXtal_SegEnds_Prot#'!$A:$AL,36,FALSE)</f>
        <v>627</v>
      </c>
      <c r="AD66" s="5">
        <f>VLOOKUP($A66,'NonXtal_SegEnds_Prot#'!$A:$AL,5,FALSE)</f>
        <v>387</v>
      </c>
      <c r="AE66" s="5">
        <f>VLOOKUP($A66,'NonXtal_SegEnds_Prot#'!$A:$AL,8,FALSE)</f>
        <v>392</v>
      </c>
      <c r="AF66" s="5">
        <f>VLOOKUP($A66,'NonXtal_SegEnds_Prot#'!$A:$AL,11,FALSE)</f>
        <v>422</v>
      </c>
      <c r="AG66" s="5">
        <f>VLOOKUP($A66,'NonXtal_SegEnds_Prot#'!$A:$AL,14,FALSE)</f>
        <v>435</v>
      </c>
      <c r="AH66" s="5">
        <f>VLOOKUP($A66,'NonXtal_SegEnds_Prot#'!$A:$AL,17,FALSE)</f>
        <v>470</v>
      </c>
      <c r="AI66" s="5">
        <f>VLOOKUP($A66,'NonXtal_SegEnds_Prot#'!$A:$AL,20,FALSE)</f>
        <v>478</v>
      </c>
      <c r="AJ66" s="5">
        <f>VLOOKUP($A66,'NonXtal_SegEnds_Prot#'!$A:$AL,23,FALSE)</f>
        <v>504</v>
      </c>
      <c r="AK66" s="5">
        <f>VLOOKUP($A66,'NonXtal_SegEnds_Prot#'!$A:$AL,26,FALSE)</f>
        <v>516</v>
      </c>
      <c r="AL66" s="5">
        <f>VLOOKUP($A66,'NonXtal_SegEnds_Prot#'!$A:$AL,29,FALSE)</f>
        <v>555</v>
      </c>
      <c r="AM66" s="5">
        <f>VLOOKUP($A66,'NonXtal_SegEnds_Prot#'!$A:$AL,32,FALSE)</f>
        <v>595</v>
      </c>
      <c r="AN66" s="5">
        <f>VLOOKUP($A66,'NonXtal_SegEnds_Prot#'!$A:$AL,35,FALSE)</f>
        <v>626</v>
      </c>
      <c r="AO66" s="5">
        <f>VLOOKUP($A66,'NonXtal_SegEnds_Prot#'!$A:$AL,38,FALSE)</f>
        <v>649</v>
      </c>
      <c r="AP66" s="5">
        <f t="shared" ref="AP66:AP129" si="38">IFERROR(AD66-R66,"-")</f>
        <v>32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34</v>
      </c>
      <c r="AU66" s="4">
        <f t="shared" ref="AU66:AU129" si="43">IFERROR(AI66-W66,"-")</f>
        <v>7</v>
      </c>
      <c r="AV66" s="4">
        <f t="shared" ref="AV66:AV129" si="44">IFERROR(AJ66-X66,"-")</f>
        <v>24</v>
      </c>
      <c r="AW66" s="4">
        <f t="shared" ref="AW66:AW129" si="45">IFERROR(AK66-Y66,"-")</f>
        <v>2</v>
      </c>
      <c r="AX66" s="4">
        <f t="shared" ref="AX66:AX129" si="46">IFERROR(AL66-Z66,"-")</f>
        <v>33</v>
      </c>
      <c r="AY66" s="4">
        <f t="shared" ref="AY66:AY129" si="47">IFERROR(AM66-AA66,"-")</f>
        <v>35</v>
      </c>
      <c r="AZ66" s="4">
        <f t="shared" ref="AZ66:AZ129" si="48">IFERROR(AN66-AB66,"-")</f>
        <v>25</v>
      </c>
      <c r="BA66" s="4">
        <f t="shared" ref="BA66:BA129" si="49">IFERROR(AO66-AC66,"-")</f>
        <v>22</v>
      </c>
    </row>
    <row r="67" spans="1:53" x14ac:dyDescent="0.2">
      <c r="A67" s="1" t="str">
        <f>'NonXtal_SegEnds_Prot#'!A34</f>
        <v>pe2r1_human</v>
      </c>
      <c r="B67" s="1" t="str">
        <f t="shared" si="25"/>
        <v>AVPPSGASPALPIFSMTLGAVSNLLALALLAQARRRSAATFLLFVASLLATDLAGHVIPGALVLRLYTGGACHFLGGCMVFFGLCPLLLGCGMAVERCVGVTRVARARLALAAVAAVALAVALLPLARQALLAGLFASLGLVALLAALVCNTLSGLALLRARWRRRSRRRRARAHDVEMVGQLVGIMVVSCICWSPMLVLVALAVGGLQRPLFLAVRLASWNQILDPWVYILLRQAVLRQLLRLLPPRAGAKGGPA</v>
      </c>
      <c r="C67" s="72" t="str">
        <f>IF(ISERROR(MATCH(A67,'Xtal_SegEnds_Prot#'!B:B, 0)), "NoXtal", "Xtal")</f>
        <v>NoXtal</v>
      </c>
      <c r="D67" s="4" t="str">
        <f>VLOOKUP(A67,Classification!A:D,2,FALSE)</f>
        <v>A</v>
      </c>
      <c r="E67" s="5" t="str">
        <f>VLOOKUP(A67,Seqs!A:B,2,FALSE)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67" s="5" t="str">
        <f t="shared" si="26"/>
        <v>AVPPSGASPALPIFSMTLGAVSNLLALALLAQA</v>
      </c>
      <c r="G67" s="4" t="str">
        <f t="shared" si="27"/>
        <v>GRLR</v>
      </c>
      <c r="H67" s="4" t="str">
        <f t="shared" si="28"/>
        <v>RRRSAATFLLFVASLLATDLAGHVIPGALVLRLYT</v>
      </c>
      <c r="I67" s="4" t="str">
        <f t="shared" si="29"/>
        <v>RAPA</v>
      </c>
      <c r="J67" s="4" t="str">
        <f t="shared" si="30"/>
        <v>GGACHFLGGCMVFFGLCPLLLGCGMAVERCVGVTR</v>
      </c>
      <c r="K67" s="4" t="str">
        <f t="shared" si="31"/>
        <v>PLLHAARV</v>
      </c>
      <c r="L67" s="4" t="str">
        <f t="shared" si="32"/>
        <v>VARARLALAAVAAVALAVALLPLAR</v>
      </c>
      <c r="M67" s="4" t="str">
        <f t="shared" si="33"/>
        <v>CFI</v>
      </c>
      <c r="N67" s="4" t="str">
        <f t="shared" si="34"/>
        <v>QALLAGLFASLGLVALLAALVCNTLSGLALLRARWRRRSRR</v>
      </c>
      <c r="O67" s="4" t="str">
        <f t="shared" si="35"/>
        <v>RRARAHDVEMVGQLVGIMVVSCICWSPMLVLVALAVGG</v>
      </c>
      <c r="P67" s="4" t="str">
        <f t="shared" si="36"/>
        <v>LQRPLFLAVRLASWNQILDPWVYILL</v>
      </c>
      <c r="Q67" s="4" t="str">
        <f t="shared" si="37"/>
        <v>RQAVLRQLLRLLPPRAGAKGGPA</v>
      </c>
      <c r="R67" s="5">
        <f>VLOOKUP($A67,'NonXtal_SegEnds_Prot#'!$A:$AL,3,FALSE)</f>
        <v>28</v>
      </c>
      <c r="S67" s="5">
        <f>VLOOKUP($A67,'NonXtal_SegEnds_Prot#'!$A:$AL,6,FALSE)</f>
        <v>62</v>
      </c>
      <c r="T67" s="5">
        <f>VLOOKUP($A67,'NonXtal_SegEnds_Prot#'!$A:$AL,9,FALSE)</f>
        <v>66</v>
      </c>
      <c r="U67" s="5">
        <f>VLOOKUP($A67,'NonXtal_SegEnds_Prot#'!$A:$AL,12,FALSE)</f>
        <v>103</v>
      </c>
      <c r="V67" s="5">
        <f>VLOOKUP($A67,'NonXtal_SegEnds_Prot#'!$A:$AL,15,FALSE)</f>
        <v>107</v>
      </c>
      <c r="W67" s="5">
        <f>VLOOKUP($A67,'NonXtal_SegEnds_Prot#'!$A:$AL,18,FALSE)</f>
        <v>142</v>
      </c>
      <c r="X67" s="5">
        <f>VLOOKUP($A67,'NonXtal_SegEnds_Prot#'!$A:$AL,21,FALSE)</f>
        <v>151</v>
      </c>
      <c r="Y67" s="5">
        <f>VLOOKUP($A67,'NonXtal_SegEnds_Prot#'!$A:$AL,24,FALSE)</f>
        <v>188</v>
      </c>
      <c r="Z67" s="5">
        <f>VLOOKUP($A67,'NonXtal_SegEnds_Prot#'!$A:$AL,27,FALSE)</f>
        <v>200</v>
      </c>
      <c r="AA67" s="5">
        <f>VLOOKUP($A67,'NonXtal_SegEnds_Prot#'!$A:$AL,30,FALSE)</f>
        <v>286</v>
      </c>
      <c r="AB67" s="5">
        <f>VLOOKUP($A67,'NonXtal_SegEnds_Prot#'!$A:$AL,33,FALSE)</f>
        <v>329</v>
      </c>
      <c r="AC67" s="5">
        <f>VLOOKUP($A67,'NonXtal_SegEnds_Prot#'!$A:$AL,36,FALSE)</f>
        <v>355</v>
      </c>
      <c r="AD67" s="5">
        <f>VLOOKUP($A67,'NonXtal_SegEnds_Prot#'!$A:$AL,5,FALSE)</f>
        <v>60</v>
      </c>
      <c r="AE67" s="5">
        <f>VLOOKUP($A67,'NonXtal_SegEnds_Prot#'!$A:$AL,8,FALSE)</f>
        <v>65</v>
      </c>
      <c r="AF67" s="5">
        <f>VLOOKUP($A67,'NonXtal_SegEnds_Prot#'!$A:$AL,11,FALSE)</f>
        <v>100</v>
      </c>
      <c r="AG67" s="5">
        <f>VLOOKUP($A67,'NonXtal_SegEnds_Prot#'!$A:$AL,14,FALSE)</f>
        <v>106</v>
      </c>
      <c r="AH67" s="5">
        <f>VLOOKUP($A67,'NonXtal_SegEnds_Prot#'!$A:$AL,17,FALSE)</f>
        <v>141</v>
      </c>
      <c r="AI67" s="5">
        <f>VLOOKUP($A67,'NonXtal_SegEnds_Prot#'!$A:$AL,20,FALSE)</f>
        <v>149</v>
      </c>
      <c r="AJ67" s="5">
        <f>VLOOKUP($A67,'NonXtal_SegEnds_Prot#'!$A:$AL,23,FALSE)</f>
        <v>175</v>
      </c>
      <c r="AK67" s="5">
        <f>VLOOKUP($A67,'NonXtal_SegEnds_Prot#'!$A:$AL,26,FALSE)</f>
        <v>190</v>
      </c>
      <c r="AL67" s="5">
        <f>VLOOKUP($A67,'NonXtal_SegEnds_Prot#'!$A:$AL,29,FALSE)</f>
        <v>240</v>
      </c>
      <c r="AM67" s="5">
        <f>VLOOKUP($A67,'NonXtal_SegEnds_Prot#'!$A:$AL,32,FALSE)</f>
        <v>323</v>
      </c>
      <c r="AN67" s="5">
        <f>VLOOKUP($A67,'NonXtal_SegEnds_Prot#'!$A:$AL,35,FALSE)</f>
        <v>354</v>
      </c>
      <c r="AO67" s="5">
        <f>VLOOKUP($A67,'NonXtal_SegEnds_Prot#'!$A:$AL,38,FALSE)</f>
        <v>377</v>
      </c>
      <c r="AP67" s="5">
        <f t="shared" si="38"/>
        <v>32</v>
      </c>
      <c r="AQ67" s="4">
        <f t="shared" si="39"/>
        <v>3</v>
      </c>
      <c r="AR67" s="4">
        <f t="shared" si="40"/>
        <v>34</v>
      </c>
      <c r="AS67" s="4">
        <f t="shared" si="41"/>
        <v>3</v>
      </c>
      <c r="AT67" s="4">
        <f t="shared" si="42"/>
        <v>34</v>
      </c>
      <c r="AU67" s="4">
        <f t="shared" si="43"/>
        <v>7</v>
      </c>
      <c r="AV67" s="4">
        <f t="shared" si="44"/>
        <v>24</v>
      </c>
      <c r="AW67" s="4">
        <f t="shared" si="45"/>
        <v>2</v>
      </c>
      <c r="AX67" s="4">
        <f t="shared" si="46"/>
        <v>40</v>
      </c>
      <c r="AY67" s="4">
        <f t="shared" si="47"/>
        <v>37</v>
      </c>
      <c r="AZ67" s="4">
        <f t="shared" si="48"/>
        <v>25</v>
      </c>
      <c r="BA67" s="4">
        <f t="shared" si="49"/>
        <v>22</v>
      </c>
    </row>
    <row r="68" spans="1:53" x14ac:dyDescent="0.2">
      <c r="A68" s="1" t="str">
        <f>'NonXtal_SegEnds_Prot#'!A35</f>
        <v>aa2br_human</v>
      </c>
      <c r="B68" s="1" t="str">
        <f t="shared" si="25"/>
        <v>LETQDALYVALELVIAALSVAGNVLVCAAVGTATPTNYFLVSLAAADVAVGLFAIPFAITISLGDFYGCLFLACFVLVLTQSSIFSLLAVAVDRYLAICVGTRARGVIAVLWVLAFGIGLTPFLGPMSYMVYFNFFGCVLPPLLIMLVIYIKIFLVACRQLQRTEHSRTTLQREIHAAKSLAMIVGIFALCWLPVHAVNCVTLFQKNKPKWAMNMAILLSHANSVVNPIVYAYRNRDFRYTFHKIISRYLLCQADVK</v>
      </c>
      <c r="C68" s="72" t="str">
        <f>IF(ISERROR(MATCH(A68,'Xtal_SegEnds_Prot#'!B:B, 0)), "NoXtal", "Xtal")</f>
        <v>NoXtal</v>
      </c>
      <c r="D68" s="4" t="str">
        <f>VLOOKUP(A68,Classification!A:D,2,FALSE)</f>
        <v>A</v>
      </c>
      <c r="E68" s="5" t="str">
        <f>VLOOKUP(A68,Seqs!A:B,2,FALSE)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68" s="5" t="str">
        <f t="shared" si="26"/>
        <v>LETQDALYVALELVIAALSVAGNVLVCAAVGTA</v>
      </c>
      <c r="G68" s="4" t="str">
        <f t="shared" si="27"/>
        <v>NTLQ</v>
      </c>
      <c r="H68" s="4" t="str">
        <f t="shared" si="28"/>
        <v>TPTNYFLVSLAAADVAVGLFAIPFAITISLG</v>
      </c>
      <c r="I68" s="4" t="str">
        <f t="shared" si="29"/>
        <v>FCT</v>
      </c>
      <c r="J68" s="4" t="str">
        <f t="shared" si="30"/>
        <v>DFYGCLFLACFVLVLTQSSIFSLLAVAVDRYLAICV</v>
      </c>
      <c r="K68" s="4" t="str">
        <f t="shared" si="31"/>
        <v>PLRYKSLV</v>
      </c>
      <c r="L68" s="4" t="str">
        <f t="shared" si="32"/>
        <v>GTRARGVIAVLWVLAFGIGLTPFLG</v>
      </c>
      <c r="M68" s="4" t="str">
        <f t="shared" si="33"/>
        <v>CLF</v>
      </c>
      <c r="N68" s="4" t="str">
        <f t="shared" si="34"/>
        <v>PMSYMVYFNFFGCVLPPLLIMLVIYIKIFLVACRQLQRTE</v>
      </c>
      <c r="O68" s="4" t="str">
        <f t="shared" si="35"/>
        <v>HSRTTLQREIHAAKSLAMIVGIFALCWLPVHAVNCVTLFQ</v>
      </c>
      <c r="P68" s="4" t="str">
        <f t="shared" si="36"/>
        <v>KNKPKWAMNMAILLSHANSVVNPIVYAYR</v>
      </c>
      <c r="Q68" s="4" t="str">
        <f t="shared" si="37"/>
        <v>NRDFRYTFHKIISRYLLCQADVK</v>
      </c>
      <c r="R68" s="5">
        <f>VLOOKUP($A68,'NonXtal_SegEnds_Prot#'!$A:$AL,3,FALSE)</f>
        <v>3</v>
      </c>
      <c r="S68" s="5">
        <f>VLOOKUP($A68,'NonXtal_SegEnds_Prot#'!$A:$AL,6,FALSE)</f>
        <v>36</v>
      </c>
      <c r="T68" s="5">
        <f>VLOOKUP($A68,'NonXtal_SegEnds_Prot#'!$A:$AL,9,FALSE)</f>
        <v>40</v>
      </c>
      <c r="U68" s="5">
        <f>VLOOKUP($A68,'NonXtal_SegEnds_Prot#'!$A:$AL,12,FALSE)</f>
        <v>71</v>
      </c>
      <c r="V68" s="5">
        <f>VLOOKUP($A68,'NonXtal_SegEnds_Prot#'!$A:$AL,15,FALSE)</f>
        <v>74</v>
      </c>
      <c r="W68" s="5">
        <f>VLOOKUP($A68,'NonXtal_SegEnds_Prot#'!$A:$AL,18,FALSE)</f>
        <v>110</v>
      </c>
      <c r="X68" s="5">
        <f>VLOOKUP($A68,'NonXtal_SegEnds_Prot#'!$A:$AL,21,FALSE)</f>
        <v>119</v>
      </c>
      <c r="Y68" s="5">
        <f>VLOOKUP($A68,'NonXtal_SegEnds_Prot#'!$A:$AL,24,FALSE)</f>
        <v>171</v>
      </c>
      <c r="Z68" s="5">
        <f>VLOOKUP($A68,'NonXtal_SegEnds_Prot#'!$A:$AL,27,FALSE)</f>
        <v>178</v>
      </c>
      <c r="AA68" s="5">
        <f>VLOOKUP($A68,'NonXtal_SegEnds_Prot#'!$A:$AL,30,FALSE)</f>
        <v>221</v>
      </c>
      <c r="AB68" s="5">
        <f>VLOOKUP($A68,'NonXtal_SegEnds_Prot#'!$A:$AL,33,FALSE)</f>
        <v>265</v>
      </c>
      <c r="AC68" s="5">
        <f>VLOOKUP($A68,'NonXtal_SegEnds_Prot#'!$A:$AL,36,FALSE)</f>
        <v>294</v>
      </c>
      <c r="AD68" s="5">
        <f>VLOOKUP($A68,'NonXtal_SegEnds_Prot#'!$A:$AL,5,FALSE)</f>
        <v>35</v>
      </c>
      <c r="AE68" s="5">
        <f>VLOOKUP($A68,'NonXtal_SegEnds_Prot#'!$A:$AL,8,FALSE)</f>
        <v>39</v>
      </c>
      <c r="AF68" s="5">
        <f>VLOOKUP($A68,'NonXtal_SegEnds_Prot#'!$A:$AL,11,FALSE)</f>
        <v>70</v>
      </c>
      <c r="AG68" s="5">
        <f>VLOOKUP($A68,'NonXtal_SegEnds_Prot#'!$A:$AL,14,FALSE)</f>
        <v>73</v>
      </c>
      <c r="AH68" s="5">
        <f>VLOOKUP($A68,'NonXtal_SegEnds_Prot#'!$A:$AL,17,FALSE)</f>
        <v>109</v>
      </c>
      <c r="AI68" s="5">
        <f>VLOOKUP($A68,'NonXtal_SegEnds_Prot#'!$A:$AL,20,FALSE)</f>
        <v>117</v>
      </c>
      <c r="AJ68" s="5">
        <f>VLOOKUP($A68,'NonXtal_SegEnds_Prot#'!$A:$AL,23,FALSE)</f>
        <v>143</v>
      </c>
      <c r="AK68" s="5">
        <f>VLOOKUP($A68,'NonXtal_SegEnds_Prot#'!$A:$AL,26,FALSE)</f>
        <v>173</v>
      </c>
      <c r="AL68" s="5">
        <f>VLOOKUP($A68,'NonXtal_SegEnds_Prot#'!$A:$AL,29,FALSE)</f>
        <v>217</v>
      </c>
      <c r="AM68" s="5">
        <f>VLOOKUP($A68,'NonXtal_SegEnds_Prot#'!$A:$AL,32,FALSE)</f>
        <v>260</v>
      </c>
      <c r="AN68" s="5">
        <f>VLOOKUP($A68,'NonXtal_SegEnds_Prot#'!$A:$AL,35,FALSE)</f>
        <v>293</v>
      </c>
      <c r="AO68" s="5">
        <f>VLOOKUP($A68,'NonXtal_SegEnds_Prot#'!$A:$AL,38,FALSE)</f>
        <v>316</v>
      </c>
      <c r="AP68" s="5">
        <f t="shared" si="38"/>
        <v>32</v>
      </c>
      <c r="AQ68" s="4">
        <f t="shared" si="39"/>
        <v>3</v>
      </c>
      <c r="AR68" s="4">
        <f t="shared" si="40"/>
        <v>30</v>
      </c>
      <c r="AS68" s="4">
        <f t="shared" si="41"/>
        <v>2</v>
      </c>
      <c r="AT68" s="4">
        <f t="shared" si="42"/>
        <v>35</v>
      </c>
      <c r="AU68" s="4">
        <f t="shared" si="43"/>
        <v>7</v>
      </c>
      <c r="AV68" s="4">
        <f t="shared" si="44"/>
        <v>24</v>
      </c>
      <c r="AW68" s="4">
        <f t="shared" si="45"/>
        <v>2</v>
      </c>
      <c r="AX68" s="4">
        <f t="shared" si="46"/>
        <v>39</v>
      </c>
      <c r="AY68" s="4">
        <f t="shared" si="47"/>
        <v>39</v>
      </c>
      <c r="AZ68" s="4">
        <f t="shared" si="48"/>
        <v>28</v>
      </c>
      <c r="BA68" s="4">
        <f t="shared" si="49"/>
        <v>22</v>
      </c>
    </row>
    <row r="69" spans="1:53" x14ac:dyDescent="0.2">
      <c r="A69" s="1" t="str">
        <f>'NonXtal_SegEnds_Prot#'!A36</f>
        <v>aa1r_human</v>
      </c>
      <c r="B69" s="1" t="str">
        <f t="shared" si="25"/>
        <v>ISAFQAAYIGIEVLIALVSVPGNVLVIWAVKVNDATFCFIVSLAVADVAVGALVIPLAILINIGYFHTCLMVACPVLILTQSSILALLAIAVDRYLRVKIPRRAAVAIAGCWILSFVVGLTPMFGSMEYMVYFNFFVWVLPPLLLMVLIYLEVFYLIRKQLNKKVDPQKYYGKELKIAKSLALILFLFALSWLPLHILNCITLFCPSILTYIAIFLTHGNSAMNPIVYAFRIQKFRVTFLKIWNDHFRCQPAPP</v>
      </c>
      <c r="C69" s="72" t="str">
        <f>IF(ISERROR(MATCH(A69,'Xtal_SegEnds_Prot#'!B:B, 0)), "NoXtal", "Xtal")</f>
        <v>NoXtal</v>
      </c>
      <c r="D69" s="4" t="str">
        <f>VLOOKUP(A69,Classification!A:D,2,FALSE)</f>
        <v>A</v>
      </c>
      <c r="E69" s="5" t="str">
        <f>VLOOKUP(A69,Seqs!A:B,2,FALSE)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69" s="5" t="str">
        <f t="shared" si="26"/>
        <v>ISAFQAAYIGIEVLIALVSVPGNVLVIWAVKVN</v>
      </c>
      <c r="G69" s="4" t="str">
        <f t="shared" si="27"/>
        <v>QALR</v>
      </c>
      <c r="H69" s="4" t="str">
        <f t="shared" si="28"/>
        <v>DATFCFIVSLAVADVAVGALVIPLAILINIG</v>
      </c>
      <c r="I69" s="4" t="str">
        <f t="shared" si="29"/>
        <v>PQT</v>
      </c>
      <c r="J69" s="4" t="str">
        <f t="shared" si="30"/>
        <v>YFHTCLMVACPVLILTQSSILALLAIAVDRYLRVKI</v>
      </c>
      <c r="K69" s="4" t="str">
        <f t="shared" si="31"/>
        <v>PLRYKMVV</v>
      </c>
      <c r="L69" s="4" t="str">
        <f t="shared" si="32"/>
        <v>PRRAAVAIAGCWILSFVVGLTPMFG</v>
      </c>
      <c r="M69" s="4" t="str">
        <f t="shared" si="33"/>
        <v>CEF</v>
      </c>
      <c r="N69" s="4" t="str">
        <f t="shared" si="34"/>
        <v>SMEYMVYFNFFVWVLPPLLLMVLIYLEVFYLIRKQLNKKV</v>
      </c>
      <c r="O69" s="4" t="str">
        <f t="shared" si="35"/>
        <v>DPQKYYGKELKIAKSLALILFLFALSWLPLHILNCITLFC</v>
      </c>
      <c r="P69" s="4" t="str">
        <f t="shared" si="36"/>
        <v>PSILTYIAIFLTHGNSAMNPIVYAFR</v>
      </c>
      <c r="Q69" s="4" t="str">
        <f t="shared" si="37"/>
        <v>IQKFRVTFLKIWNDHFRCQPAPP</v>
      </c>
      <c r="R69" s="5">
        <f>VLOOKUP($A69,'NonXtal_SegEnds_Prot#'!$A:$AL,3,FALSE)</f>
        <v>5</v>
      </c>
      <c r="S69" s="5">
        <f>VLOOKUP($A69,'NonXtal_SegEnds_Prot#'!$A:$AL,6,FALSE)</f>
        <v>38</v>
      </c>
      <c r="T69" s="5">
        <f>VLOOKUP($A69,'NonXtal_SegEnds_Prot#'!$A:$AL,9,FALSE)</f>
        <v>42</v>
      </c>
      <c r="U69" s="5">
        <f>VLOOKUP($A69,'NonXtal_SegEnds_Prot#'!$A:$AL,12,FALSE)</f>
        <v>73</v>
      </c>
      <c r="V69" s="5">
        <f>VLOOKUP($A69,'NonXtal_SegEnds_Prot#'!$A:$AL,15,FALSE)</f>
        <v>76</v>
      </c>
      <c r="W69" s="5">
        <f>VLOOKUP($A69,'NonXtal_SegEnds_Prot#'!$A:$AL,18,FALSE)</f>
        <v>112</v>
      </c>
      <c r="X69" s="5">
        <f>VLOOKUP($A69,'NonXtal_SegEnds_Prot#'!$A:$AL,21,FALSE)</f>
        <v>121</v>
      </c>
      <c r="Y69" s="5">
        <f>VLOOKUP($A69,'NonXtal_SegEnds_Prot#'!$A:$AL,24,FALSE)</f>
        <v>169</v>
      </c>
      <c r="Z69" s="5">
        <f>VLOOKUP($A69,'NonXtal_SegEnds_Prot#'!$A:$AL,27,FALSE)</f>
        <v>176</v>
      </c>
      <c r="AA69" s="5">
        <f>VLOOKUP($A69,'NonXtal_SegEnds_Prot#'!$A:$AL,30,FALSE)</f>
        <v>221</v>
      </c>
      <c r="AB69" s="5">
        <f>VLOOKUP($A69,'NonXtal_SegEnds_Prot#'!$A:$AL,33,FALSE)</f>
        <v>266</v>
      </c>
      <c r="AC69" s="5">
        <f>VLOOKUP($A69,'NonXtal_SegEnds_Prot#'!$A:$AL,36,FALSE)</f>
        <v>292</v>
      </c>
      <c r="AD69" s="5">
        <f>VLOOKUP($A69,'NonXtal_SegEnds_Prot#'!$A:$AL,5,FALSE)</f>
        <v>37</v>
      </c>
      <c r="AE69" s="5">
        <f>VLOOKUP($A69,'NonXtal_SegEnds_Prot#'!$A:$AL,8,FALSE)</f>
        <v>41</v>
      </c>
      <c r="AF69" s="5">
        <f>VLOOKUP($A69,'NonXtal_SegEnds_Prot#'!$A:$AL,11,FALSE)</f>
        <v>72</v>
      </c>
      <c r="AG69" s="5">
        <f>VLOOKUP($A69,'NonXtal_SegEnds_Prot#'!$A:$AL,14,FALSE)</f>
        <v>75</v>
      </c>
      <c r="AH69" s="5">
        <f>VLOOKUP($A69,'NonXtal_SegEnds_Prot#'!$A:$AL,17,FALSE)</f>
        <v>111</v>
      </c>
      <c r="AI69" s="5">
        <f>VLOOKUP($A69,'NonXtal_SegEnds_Prot#'!$A:$AL,20,FALSE)</f>
        <v>119</v>
      </c>
      <c r="AJ69" s="5">
        <f>VLOOKUP($A69,'NonXtal_SegEnds_Prot#'!$A:$AL,23,FALSE)</f>
        <v>145</v>
      </c>
      <c r="AK69" s="5">
        <f>VLOOKUP($A69,'NonXtal_SegEnds_Prot#'!$A:$AL,26,FALSE)</f>
        <v>171</v>
      </c>
      <c r="AL69" s="5">
        <f>VLOOKUP($A69,'NonXtal_SegEnds_Prot#'!$A:$AL,29,FALSE)</f>
        <v>215</v>
      </c>
      <c r="AM69" s="5">
        <f>VLOOKUP($A69,'NonXtal_SegEnds_Prot#'!$A:$AL,32,FALSE)</f>
        <v>260</v>
      </c>
      <c r="AN69" s="5">
        <f>VLOOKUP($A69,'NonXtal_SegEnds_Prot#'!$A:$AL,35,FALSE)</f>
        <v>291</v>
      </c>
      <c r="AO69" s="5">
        <f>VLOOKUP($A69,'NonXtal_SegEnds_Prot#'!$A:$AL,38,FALSE)</f>
        <v>314</v>
      </c>
      <c r="AP69" s="5">
        <f t="shared" si="38"/>
        <v>32</v>
      </c>
      <c r="AQ69" s="4">
        <f t="shared" si="39"/>
        <v>3</v>
      </c>
      <c r="AR69" s="4">
        <f t="shared" si="40"/>
        <v>30</v>
      </c>
      <c r="AS69" s="4">
        <f t="shared" si="41"/>
        <v>2</v>
      </c>
      <c r="AT69" s="4">
        <f t="shared" si="42"/>
        <v>35</v>
      </c>
      <c r="AU69" s="4">
        <f t="shared" si="43"/>
        <v>7</v>
      </c>
      <c r="AV69" s="4">
        <f t="shared" si="44"/>
        <v>24</v>
      </c>
      <c r="AW69" s="4">
        <f t="shared" si="45"/>
        <v>2</v>
      </c>
      <c r="AX69" s="4">
        <f t="shared" si="46"/>
        <v>39</v>
      </c>
      <c r="AY69" s="4">
        <f t="shared" si="47"/>
        <v>39</v>
      </c>
      <c r="AZ69" s="4">
        <f t="shared" si="48"/>
        <v>25</v>
      </c>
      <c r="BA69" s="4">
        <f t="shared" si="49"/>
        <v>22</v>
      </c>
    </row>
    <row r="70" spans="1:53" x14ac:dyDescent="0.2">
      <c r="A70" s="1" t="str">
        <f>'NonXtal_SegEnds_Prot#'!A37</f>
        <v>aa2ar_human</v>
      </c>
      <c r="B70" s="1" t="str">
        <f t="shared" si="25"/>
        <v>PIMGSSVYITVELAIAVLAILGNVLVCWAVWLNNVTNYFVVSLAAADIAVGVLAIPFAITISTGACHGCLFIACFVLVLTQSSIFSLLAIAIDRYIAIRIGTRAKGIIAICWVLSFAIGLTPMLGPMNYMVYFNFFACVLVPLLLMLGVYLRIFLAARRQLKQMESERARSTLQKEVHAAKSLAIIVGLFALCWLPLHIINCFTFFCPLWLMYLAIVLSHTNSVVNPFIYAYRIREFRQTFRKIIRSHVLRQQEPF</v>
      </c>
      <c r="C70" s="72" t="str">
        <f>IF(ISERROR(MATCH(A70,'Xtal_SegEnds_Prot#'!B:B, 0)), "NoXtal", "Xtal")</f>
        <v>Xtal</v>
      </c>
      <c r="D70" s="4" t="str">
        <f>VLOOKUP(A70,Classification!A:D,2,FALSE)</f>
        <v>A</v>
      </c>
      <c r="E70" s="5" t="str">
        <f>VLOOKUP(A70,Seqs!A:B,2,FALSE)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70" s="5" t="str">
        <f t="shared" si="26"/>
        <v>PIMGSSVYITVELAIAVLAILGNVLVCWAVWLN</v>
      </c>
      <c r="G70" s="4" t="str">
        <f t="shared" si="27"/>
        <v>SNLQ</v>
      </c>
      <c r="H70" s="4" t="str">
        <f t="shared" si="28"/>
        <v>NVTNYFVVSLAAADIAVGVLAIPFAITISTG</v>
      </c>
      <c r="I70" s="4" t="str">
        <f t="shared" si="29"/>
        <v>FCA</v>
      </c>
      <c r="J70" s="4" t="str">
        <f t="shared" si="30"/>
        <v>ACHGCLFIACFVLVLTQSSIFSLLAIAIDRYIAIRI</v>
      </c>
      <c r="K70" s="4" t="str">
        <f t="shared" si="31"/>
        <v>PLRYNGLV</v>
      </c>
      <c r="L70" s="4" t="str">
        <f t="shared" si="32"/>
        <v>GTRAKGIIAICWVLSFAIGLTPMLG</v>
      </c>
      <c r="M70" s="4" t="str">
        <f t="shared" si="33"/>
        <v>CLF</v>
      </c>
      <c r="N70" s="4" t="str">
        <f t="shared" si="34"/>
        <v>PMNYMVYFNFFACVLVPLLLMLGVYLRIFLAARRQLKQMES</v>
      </c>
      <c r="O70" s="4" t="str">
        <f t="shared" si="35"/>
        <v>ERARSTLQKEVHAAKSLAIIVGLFALCWLPLHIINCFTFFC</v>
      </c>
      <c r="P70" s="4" t="str">
        <f t="shared" si="36"/>
        <v>PLWLMYLAIVLSHTNSVVNPFIYAYR</v>
      </c>
      <c r="Q70" s="4" t="str">
        <f t="shared" si="37"/>
        <v>IREFRQTFRKIIRSHVLRQQEPF</v>
      </c>
      <c r="R70" s="5">
        <f>VLOOKUP($A70,'NonXtal_SegEnds_Prot#'!$A:$AL,3,FALSE)</f>
        <v>2</v>
      </c>
      <c r="S70" s="5">
        <f>VLOOKUP($A70,'NonXtal_SegEnds_Prot#'!$A:$AL,6,FALSE)</f>
        <v>35</v>
      </c>
      <c r="T70" s="5">
        <f>VLOOKUP($A70,'NonXtal_SegEnds_Prot#'!$A:$AL,9,FALSE)</f>
        <v>39</v>
      </c>
      <c r="U70" s="5">
        <f>VLOOKUP($A70,'NonXtal_SegEnds_Prot#'!$A:$AL,12,FALSE)</f>
        <v>70</v>
      </c>
      <c r="V70" s="5">
        <f>VLOOKUP($A70,'NonXtal_SegEnds_Prot#'!$A:$AL,15,FALSE)</f>
        <v>73</v>
      </c>
      <c r="W70" s="5">
        <f>VLOOKUP($A70,'NonXtal_SegEnds_Prot#'!$A:$AL,18,FALSE)</f>
        <v>109</v>
      </c>
      <c r="X70" s="5">
        <f>VLOOKUP($A70,'NonXtal_SegEnds_Prot#'!$A:$AL,21,FALSE)</f>
        <v>118</v>
      </c>
      <c r="Y70" s="5">
        <f>VLOOKUP($A70,'NonXtal_SegEnds_Prot#'!$A:$AL,24,FALSE)</f>
        <v>166</v>
      </c>
      <c r="Z70" s="5">
        <f>VLOOKUP($A70,'NonXtal_SegEnds_Prot#'!$A:$AL,27,FALSE)</f>
        <v>173</v>
      </c>
      <c r="AA70" s="5">
        <f>VLOOKUP($A70,'NonXtal_SegEnds_Prot#'!$A:$AL,30,FALSE)</f>
        <v>219</v>
      </c>
      <c r="AB70" s="5">
        <f>VLOOKUP($A70,'NonXtal_SegEnds_Prot#'!$A:$AL,33,FALSE)</f>
        <v>266</v>
      </c>
      <c r="AC70" s="5">
        <f>VLOOKUP($A70,'NonXtal_SegEnds_Prot#'!$A:$AL,36,FALSE)</f>
        <v>292</v>
      </c>
      <c r="AD70" s="5">
        <f>VLOOKUP($A70,'NonXtal_SegEnds_Prot#'!$A:$AL,5,FALSE)</f>
        <v>34</v>
      </c>
      <c r="AE70" s="5">
        <f>VLOOKUP($A70,'NonXtal_SegEnds_Prot#'!$A:$AL,8,FALSE)</f>
        <v>38</v>
      </c>
      <c r="AF70" s="5">
        <f>VLOOKUP($A70,'NonXtal_SegEnds_Prot#'!$A:$AL,11,FALSE)</f>
        <v>69</v>
      </c>
      <c r="AG70" s="5">
        <f>VLOOKUP($A70,'NonXtal_SegEnds_Prot#'!$A:$AL,14,FALSE)</f>
        <v>72</v>
      </c>
      <c r="AH70" s="5">
        <f>VLOOKUP($A70,'NonXtal_SegEnds_Prot#'!$A:$AL,17,FALSE)</f>
        <v>108</v>
      </c>
      <c r="AI70" s="5">
        <f>VLOOKUP($A70,'NonXtal_SegEnds_Prot#'!$A:$AL,20,FALSE)</f>
        <v>116</v>
      </c>
      <c r="AJ70" s="5">
        <f>VLOOKUP($A70,'NonXtal_SegEnds_Prot#'!$A:$AL,23,FALSE)</f>
        <v>142</v>
      </c>
      <c r="AK70" s="5">
        <f>VLOOKUP($A70,'NonXtal_SegEnds_Prot#'!$A:$AL,26,FALSE)</f>
        <v>168</v>
      </c>
      <c r="AL70" s="5">
        <f>VLOOKUP($A70,'NonXtal_SegEnds_Prot#'!$A:$AL,29,FALSE)</f>
        <v>213</v>
      </c>
      <c r="AM70" s="5">
        <f>VLOOKUP($A70,'NonXtal_SegEnds_Prot#'!$A:$AL,32,FALSE)</f>
        <v>259</v>
      </c>
      <c r="AN70" s="5">
        <f>VLOOKUP($A70,'NonXtal_SegEnds_Prot#'!$A:$AL,35,FALSE)</f>
        <v>291</v>
      </c>
      <c r="AO70" s="5">
        <f>VLOOKUP($A70,'NonXtal_SegEnds_Prot#'!$A:$AL,38,FALSE)</f>
        <v>314</v>
      </c>
      <c r="AP70" s="5">
        <f t="shared" si="38"/>
        <v>32</v>
      </c>
      <c r="AQ70" s="4">
        <f t="shared" si="39"/>
        <v>3</v>
      </c>
      <c r="AR70" s="4">
        <f t="shared" si="40"/>
        <v>30</v>
      </c>
      <c r="AS70" s="4">
        <f t="shared" si="41"/>
        <v>2</v>
      </c>
      <c r="AT70" s="4">
        <f t="shared" si="42"/>
        <v>35</v>
      </c>
      <c r="AU70" s="4">
        <f t="shared" si="43"/>
        <v>7</v>
      </c>
      <c r="AV70" s="4">
        <f t="shared" si="44"/>
        <v>24</v>
      </c>
      <c r="AW70" s="4">
        <f t="shared" si="45"/>
        <v>2</v>
      </c>
      <c r="AX70" s="4">
        <f t="shared" si="46"/>
        <v>40</v>
      </c>
      <c r="AY70" s="4">
        <f t="shared" si="47"/>
        <v>40</v>
      </c>
      <c r="AZ70" s="4">
        <f t="shared" si="48"/>
        <v>25</v>
      </c>
      <c r="BA70" s="4">
        <f t="shared" si="49"/>
        <v>22</v>
      </c>
    </row>
    <row r="71" spans="1:53" x14ac:dyDescent="0.2">
      <c r="A71" s="1" t="str">
        <f>'NonXtal_SegEnds_Prot#'!A38</f>
        <v>aa3r_human</v>
      </c>
      <c r="B71" s="1" t="str">
        <f t="shared" si="25"/>
        <v>LSLANVTYITMEIFIGLCAIVGNVLVICVVKLNTTTFYFIVSLALADIAVGVLVMPLAIVVSLGHFYSCLFMTCLLLIFTHASIMSLLAIAVDRYLRVKLHRRIWLALGLCWLVSFLVGLTPMFGRMDYMVYFSFLTWIFIPLVVMCAIYLDIFYIIRNKLSLNLETGAFYGREFKTAKSLFLVLFLFALSWLPLSIINCIIYFNQLVLYMGILLSHANSMMNPIVYAYKIKKFKETYLLILKACVVCHPSDS</v>
      </c>
      <c r="C71" s="72" t="str">
        <f>IF(ISERROR(MATCH(A71,'Xtal_SegEnds_Prot#'!B:B, 0)), "NoXtal", "Xtal")</f>
        <v>NoXtal</v>
      </c>
      <c r="D71" s="4" t="str">
        <f>VLOOKUP(A71,Classification!A:D,2,FALSE)</f>
        <v>A</v>
      </c>
      <c r="E71" s="5" t="str">
        <f>VLOOKUP(A71,Seqs!A:B,2,FALSE)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71" s="5" t="str">
        <f t="shared" si="26"/>
        <v>LSLANVTYITMEIFIGLCAIVGNVLVICVVKLN</v>
      </c>
      <c r="G71" s="4" t="str">
        <f t="shared" si="27"/>
        <v>PSLQ</v>
      </c>
      <c r="H71" s="4" t="str">
        <f t="shared" si="28"/>
        <v>TTTFYFIVSLALADIAVGVLVMPLAIVVSLG</v>
      </c>
      <c r="I71" s="4" t="str">
        <f t="shared" si="29"/>
        <v>ITI</v>
      </c>
      <c r="J71" s="4" t="str">
        <f t="shared" si="30"/>
        <v>HFYSCLFMTCLLLIFTHASIMSLLAIAVDRYLRVKL</v>
      </c>
      <c r="K71" s="4" t="str">
        <f t="shared" si="31"/>
        <v>TVRYKRVT</v>
      </c>
      <c r="L71" s="4" t="str">
        <f t="shared" si="32"/>
        <v>HRRIWLALGLCWLVSFLVGLTPMFG</v>
      </c>
      <c r="M71" s="4" t="str">
        <f t="shared" si="33"/>
        <v>CQF</v>
      </c>
      <c r="N71" s="4" t="str">
        <f t="shared" si="34"/>
        <v>RMDYMVYFSFLTWIFIPLVVMCAIYLDIFYIIRNKLSLNL</v>
      </c>
      <c r="O71" s="4" t="str">
        <f t="shared" si="35"/>
        <v>ETGAFYGREFKTAKSLFLVLFLFALSWLPLSIINCIIYFN</v>
      </c>
      <c r="P71" s="4" t="str">
        <f t="shared" si="36"/>
        <v>QLVLYMGILLSHANSMMNPIVYAYK</v>
      </c>
      <c r="Q71" s="4" t="str">
        <f t="shared" si="37"/>
        <v>IKKFKETYLLILKACVVCHPSDS</v>
      </c>
      <c r="R71" s="5">
        <f>VLOOKUP($A71,'NonXtal_SegEnds_Prot#'!$A:$AL,3,FALSE)</f>
        <v>8</v>
      </c>
      <c r="S71" s="5">
        <f>VLOOKUP($A71,'NonXtal_SegEnds_Prot#'!$A:$AL,6,FALSE)</f>
        <v>41</v>
      </c>
      <c r="T71" s="5">
        <f>VLOOKUP($A71,'NonXtal_SegEnds_Prot#'!$A:$AL,9,FALSE)</f>
        <v>45</v>
      </c>
      <c r="U71" s="5">
        <f>VLOOKUP($A71,'NonXtal_SegEnds_Prot#'!$A:$AL,12,FALSE)</f>
        <v>76</v>
      </c>
      <c r="V71" s="5">
        <f>VLOOKUP($A71,'NonXtal_SegEnds_Prot#'!$A:$AL,15,FALSE)</f>
        <v>79</v>
      </c>
      <c r="W71" s="5">
        <f>VLOOKUP($A71,'NonXtal_SegEnds_Prot#'!$A:$AL,18,FALSE)</f>
        <v>115</v>
      </c>
      <c r="X71" s="5">
        <f>VLOOKUP($A71,'NonXtal_SegEnds_Prot#'!$A:$AL,21,FALSE)</f>
        <v>124</v>
      </c>
      <c r="Y71" s="5">
        <f>VLOOKUP($A71,'NonXtal_SegEnds_Prot#'!$A:$AL,24,FALSE)</f>
        <v>166</v>
      </c>
      <c r="Z71" s="5">
        <f>VLOOKUP($A71,'NonXtal_SegEnds_Prot#'!$A:$AL,27,FALSE)</f>
        <v>173</v>
      </c>
      <c r="AA71" s="5">
        <f>VLOOKUP($A71,'NonXtal_SegEnds_Prot#'!$A:$AL,30,FALSE)</f>
        <v>217</v>
      </c>
      <c r="AB71" s="5">
        <f>VLOOKUP($A71,'NonXtal_SegEnds_Prot#'!$A:$AL,33,FALSE)</f>
        <v>261</v>
      </c>
      <c r="AC71" s="5">
        <f>VLOOKUP($A71,'NonXtal_SegEnds_Prot#'!$A:$AL,36,FALSE)</f>
        <v>286</v>
      </c>
      <c r="AD71" s="5">
        <f>VLOOKUP($A71,'NonXtal_SegEnds_Prot#'!$A:$AL,5,FALSE)</f>
        <v>40</v>
      </c>
      <c r="AE71" s="5">
        <f>VLOOKUP($A71,'NonXtal_SegEnds_Prot#'!$A:$AL,8,FALSE)</f>
        <v>44</v>
      </c>
      <c r="AF71" s="5">
        <f>VLOOKUP($A71,'NonXtal_SegEnds_Prot#'!$A:$AL,11,FALSE)</f>
        <v>75</v>
      </c>
      <c r="AG71" s="5">
        <f>VLOOKUP($A71,'NonXtal_SegEnds_Prot#'!$A:$AL,14,FALSE)</f>
        <v>78</v>
      </c>
      <c r="AH71" s="5">
        <f>VLOOKUP($A71,'NonXtal_SegEnds_Prot#'!$A:$AL,17,FALSE)</f>
        <v>114</v>
      </c>
      <c r="AI71" s="5">
        <f>VLOOKUP($A71,'NonXtal_SegEnds_Prot#'!$A:$AL,20,FALSE)</f>
        <v>122</v>
      </c>
      <c r="AJ71" s="5">
        <f>VLOOKUP($A71,'NonXtal_SegEnds_Prot#'!$A:$AL,23,FALSE)</f>
        <v>148</v>
      </c>
      <c r="AK71" s="5">
        <f>VLOOKUP($A71,'NonXtal_SegEnds_Prot#'!$A:$AL,26,FALSE)</f>
        <v>168</v>
      </c>
      <c r="AL71" s="5">
        <f>VLOOKUP($A71,'NonXtal_SegEnds_Prot#'!$A:$AL,29,FALSE)</f>
        <v>212</v>
      </c>
      <c r="AM71" s="5">
        <f>VLOOKUP($A71,'NonXtal_SegEnds_Prot#'!$A:$AL,32,FALSE)</f>
        <v>256</v>
      </c>
      <c r="AN71" s="5">
        <f>VLOOKUP($A71,'NonXtal_SegEnds_Prot#'!$A:$AL,35,FALSE)</f>
        <v>285</v>
      </c>
      <c r="AO71" s="5">
        <f>VLOOKUP($A71,'NonXtal_SegEnds_Prot#'!$A:$AL,38,FALSE)</f>
        <v>308</v>
      </c>
      <c r="AP71" s="5">
        <f t="shared" si="38"/>
        <v>32</v>
      </c>
      <c r="AQ71" s="4">
        <f t="shared" si="39"/>
        <v>3</v>
      </c>
      <c r="AR71" s="4">
        <f t="shared" si="40"/>
        <v>30</v>
      </c>
      <c r="AS71" s="4">
        <f t="shared" si="41"/>
        <v>2</v>
      </c>
      <c r="AT71" s="4">
        <f t="shared" si="42"/>
        <v>35</v>
      </c>
      <c r="AU71" s="4">
        <f t="shared" si="43"/>
        <v>7</v>
      </c>
      <c r="AV71" s="4">
        <f t="shared" si="44"/>
        <v>24</v>
      </c>
      <c r="AW71" s="4">
        <f t="shared" si="45"/>
        <v>2</v>
      </c>
      <c r="AX71" s="4">
        <f t="shared" si="46"/>
        <v>39</v>
      </c>
      <c r="AY71" s="4">
        <f t="shared" si="47"/>
        <v>39</v>
      </c>
      <c r="AZ71" s="4">
        <f t="shared" si="48"/>
        <v>24</v>
      </c>
      <c r="BA71" s="4">
        <f t="shared" si="49"/>
        <v>22</v>
      </c>
    </row>
    <row r="72" spans="1:53" x14ac:dyDescent="0.2">
      <c r="A72" s="1" t="str">
        <f>'NonXtal_SegEnds_Prot#'!A39</f>
        <v>hrh3_human</v>
      </c>
      <c r="B72" s="1" t="str">
        <f t="shared" si="25"/>
        <v>AAWTAVLAALMALLIVATVLGNALVMLAFVADTQNNFFLLNLAISDFLVGAFCIPLYVPYVLTGRGLCKLWLVVDYLLCTSSAFNIVLISYDRFLSVTRTRRAVRKMLLVWVLAFLLYGPAILSNWYFLITASTLEFFTPFLSVTFFNLSIYLNIQRRTRLRLDGRFRLSRDRKVAKSLAVIVSIFGLCWAPYTLLMIIRAACPDYWYETSFWLLWANSAVNPVLYPLCHHSFRRAFTKLLC</v>
      </c>
      <c r="C72" s="72" t="str">
        <f>IF(ISERROR(MATCH(A72,'Xtal_SegEnds_Prot#'!B:B, 0)), "NoXtal", "Xtal")</f>
        <v>NoXtal</v>
      </c>
      <c r="D72" s="4" t="str">
        <f>VLOOKUP(A72,Classification!A:D,2,FALSE)</f>
        <v>A</v>
      </c>
      <c r="E72" s="5" t="str">
        <f>VLOOKUP(A72,Seqs!A:B,2,FALSE)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72" s="5" t="str">
        <f t="shared" si="26"/>
        <v>AAWTAVLAALMALLIVATVLGNALVMLAFVAD</v>
      </c>
      <c r="G72" s="4" t="str">
        <f t="shared" si="27"/>
        <v>SSLR</v>
      </c>
      <c r="H72" s="4" t="str">
        <f t="shared" si="28"/>
        <v>TQNNFFLLNLAISDFLVGAFCIPLYVPYVLT</v>
      </c>
      <c r="I72" s="4" t="str">
        <f t="shared" si="29"/>
        <v>RWTF</v>
      </c>
      <c r="J72" s="4" t="str">
        <f t="shared" si="30"/>
        <v>GRGLCKLWLVVDYLLCTSSAFNIVLISYDRFLSVTR</v>
      </c>
      <c r="K72" s="4" t="str">
        <f t="shared" si="31"/>
        <v>AVSYRAQQG</v>
      </c>
      <c r="L72" s="4" t="str">
        <f t="shared" si="32"/>
        <v>TRRAVRKMLLVWVLAFLLYGPAILS</v>
      </c>
      <c r="M72" s="4" t="str">
        <f t="shared" si="33"/>
        <v>CYA</v>
      </c>
      <c r="N72" s="4" t="str">
        <f t="shared" si="34"/>
        <v>NWYFLITASTLEFFTPFLSVTFFNLSIYLNIQRRTRLRLDG</v>
      </c>
      <c r="O72" s="4" t="str">
        <f t="shared" si="35"/>
        <v>RFRLSRDRKVAKSLAVIVSIFGLCWAPYTLLMIIRAAC</v>
      </c>
      <c r="P72" s="4" t="str">
        <f t="shared" si="36"/>
        <v>PDYWYETSFWLLWANSAVNPVLYPLC</v>
      </c>
      <c r="Q72" s="4" t="str">
        <f t="shared" si="37"/>
        <v>HHSFRRAFTKLLC</v>
      </c>
      <c r="R72" s="5">
        <f>VLOOKUP($A72,'NonXtal_SegEnds_Prot#'!$A:$AL,3,FALSE)</f>
        <v>31</v>
      </c>
      <c r="S72" s="5">
        <f>VLOOKUP($A72,'NonXtal_SegEnds_Prot#'!$A:$AL,6,FALSE)</f>
        <v>63</v>
      </c>
      <c r="T72" s="5">
        <f>VLOOKUP($A72,'NonXtal_SegEnds_Prot#'!$A:$AL,9,FALSE)</f>
        <v>67</v>
      </c>
      <c r="U72" s="5">
        <f>VLOOKUP($A72,'NonXtal_SegEnds_Prot#'!$A:$AL,12,FALSE)</f>
        <v>99</v>
      </c>
      <c r="V72" s="5">
        <f>VLOOKUP($A72,'NonXtal_SegEnds_Prot#'!$A:$AL,15,FALSE)</f>
        <v>103</v>
      </c>
      <c r="W72" s="5">
        <f>VLOOKUP($A72,'NonXtal_SegEnds_Prot#'!$A:$AL,18,FALSE)</f>
        <v>139</v>
      </c>
      <c r="X72" s="5">
        <f>VLOOKUP($A72,'NonXtal_SegEnds_Prot#'!$A:$AL,21,FALSE)</f>
        <v>149</v>
      </c>
      <c r="Y72" s="5">
        <f>VLOOKUP($A72,'NonXtal_SegEnds_Prot#'!$A:$AL,24,FALSE)</f>
        <v>188</v>
      </c>
      <c r="Z72" s="5">
        <f>VLOOKUP($A72,'NonXtal_SegEnds_Prot#'!$A:$AL,27,FALSE)</f>
        <v>195</v>
      </c>
      <c r="AA72" s="5">
        <f>VLOOKUP($A72,'NonXtal_SegEnds_Prot#'!$A:$AL,30,FALSE)</f>
        <v>347</v>
      </c>
      <c r="AB72" s="5">
        <f>VLOOKUP($A72,'NonXtal_SegEnds_Prot#'!$A:$AL,33,FALSE)</f>
        <v>390</v>
      </c>
      <c r="AC72" s="5">
        <f>VLOOKUP($A72,'NonXtal_SegEnds_Prot#'!$A:$AL,36,FALSE)</f>
        <v>416</v>
      </c>
      <c r="AD72" s="5">
        <f>VLOOKUP($A72,'NonXtal_SegEnds_Prot#'!$A:$AL,5,FALSE)</f>
        <v>62</v>
      </c>
      <c r="AE72" s="5">
        <f>VLOOKUP($A72,'NonXtal_SegEnds_Prot#'!$A:$AL,8,FALSE)</f>
        <v>66</v>
      </c>
      <c r="AF72" s="5">
        <f>VLOOKUP($A72,'NonXtal_SegEnds_Prot#'!$A:$AL,11,FALSE)</f>
        <v>97</v>
      </c>
      <c r="AG72" s="5">
        <f>VLOOKUP($A72,'NonXtal_SegEnds_Prot#'!$A:$AL,14,FALSE)</f>
        <v>102</v>
      </c>
      <c r="AH72" s="5">
        <f>VLOOKUP($A72,'NonXtal_SegEnds_Prot#'!$A:$AL,17,FALSE)</f>
        <v>138</v>
      </c>
      <c r="AI72" s="5">
        <f>VLOOKUP($A72,'NonXtal_SegEnds_Prot#'!$A:$AL,20,FALSE)</f>
        <v>147</v>
      </c>
      <c r="AJ72" s="5">
        <f>VLOOKUP($A72,'NonXtal_SegEnds_Prot#'!$A:$AL,23,FALSE)</f>
        <v>173</v>
      </c>
      <c r="AK72" s="5">
        <f>VLOOKUP($A72,'NonXtal_SegEnds_Prot#'!$A:$AL,26,FALSE)</f>
        <v>190</v>
      </c>
      <c r="AL72" s="5">
        <f>VLOOKUP($A72,'NonXtal_SegEnds_Prot#'!$A:$AL,29,FALSE)</f>
        <v>235</v>
      </c>
      <c r="AM72" s="5">
        <f>VLOOKUP($A72,'NonXtal_SegEnds_Prot#'!$A:$AL,32,FALSE)</f>
        <v>384</v>
      </c>
      <c r="AN72" s="5">
        <f>VLOOKUP($A72,'NonXtal_SegEnds_Prot#'!$A:$AL,35,FALSE)</f>
        <v>415</v>
      </c>
      <c r="AO72" s="5">
        <f>VLOOKUP($A72,'NonXtal_SegEnds_Prot#'!$A:$AL,38,FALSE)</f>
        <v>428</v>
      </c>
      <c r="AP72" s="5">
        <f t="shared" si="38"/>
        <v>31</v>
      </c>
      <c r="AQ72" s="4">
        <f t="shared" si="39"/>
        <v>3</v>
      </c>
      <c r="AR72" s="4">
        <f t="shared" si="40"/>
        <v>30</v>
      </c>
      <c r="AS72" s="4">
        <f t="shared" si="41"/>
        <v>3</v>
      </c>
      <c r="AT72" s="4">
        <f t="shared" si="42"/>
        <v>35</v>
      </c>
      <c r="AU72" s="4">
        <f t="shared" si="43"/>
        <v>8</v>
      </c>
      <c r="AV72" s="4">
        <f t="shared" si="44"/>
        <v>24</v>
      </c>
      <c r="AW72" s="4">
        <f t="shared" si="45"/>
        <v>2</v>
      </c>
      <c r="AX72" s="4">
        <f t="shared" si="46"/>
        <v>40</v>
      </c>
      <c r="AY72" s="4">
        <f t="shared" si="47"/>
        <v>37</v>
      </c>
      <c r="AZ72" s="4">
        <f t="shared" si="48"/>
        <v>25</v>
      </c>
      <c r="BA72" s="4">
        <f t="shared" si="49"/>
        <v>12</v>
      </c>
    </row>
    <row r="73" spans="1:53" x14ac:dyDescent="0.2">
      <c r="A73" s="1" t="str">
        <f>'NonXtal_SegEnds_Prot#'!A40</f>
        <v>acm1_human</v>
      </c>
      <c r="B73" s="1" t="str">
        <f t="shared" si="25"/>
        <v>PWQVAFIGITTGLLSLATVTGNLLVLISFKVNTVNNYFLLSLACADLIIGTFSMNLYTTYLLMGTLACDLWLALDYVASNASVMNLLLISFDRYFSVTRPRRAALMIGLAWLVSFVLWAPAILFWQYLVGQPIITFGTAMAAFYLPVTVMCTLYWRIYRETENRARELAALTFSLVKEKKAARTLSAILLAFILTWTPYNIMVLVSTFCPETLWELGYWLCYVNSTINPMCYALCNKAFRDTFRLLLL</v>
      </c>
      <c r="C73" s="72" t="str">
        <f>IF(ISERROR(MATCH(A73,'Xtal_SegEnds_Prot#'!B:B, 0)), "NoXtal", "Xtal")</f>
        <v>Xtal</v>
      </c>
      <c r="D73" s="4" t="str">
        <f>VLOOKUP(A73,Classification!A:D,2,FALSE)</f>
        <v>A</v>
      </c>
      <c r="E73" s="5" t="str">
        <f>VLOOKUP(A73,Seqs!A:B,2,FALSE)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73" s="5" t="str">
        <f t="shared" si="26"/>
        <v>PWQVAFIGITTGLLSLATVTGNLLVLISFKVN</v>
      </c>
      <c r="G73" s="4" t="str">
        <f t="shared" si="27"/>
        <v>TELK</v>
      </c>
      <c r="H73" s="4" t="str">
        <f t="shared" si="28"/>
        <v>TVNNYFLLSLACADLIIGTFSMNLYTTYLLM</v>
      </c>
      <c r="I73" s="4" t="str">
        <f t="shared" si="29"/>
        <v>HWAL</v>
      </c>
      <c r="J73" s="4" t="str">
        <f t="shared" si="30"/>
        <v>GTLACDLWLALDYVASNASVMNLLLISFDRYFSVTR</v>
      </c>
      <c r="K73" s="4" t="str">
        <f t="shared" si="31"/>
        <v>PLSYRAKR</v>
      </c>
      <c r="L73" s="4" t="str">
        <f t="shared" si="32"/>
        <v>PRRAALMIGLAWLVSFVLWAPAILFWQYLVG</v>
      </c>
      <c r="M73" s="4" t="str">
        <f t="shared" si="33"/>
        <v>CYI</v>
      </c>
      <c r="N73" s="4" t="str">
        <f t="shared" si="34"/>
        <v>QPIITFGTAMAAFYLPVTVMCTLYWRIYRETENRARELAAL</v>
      </c>
      <c r="O73" s="4" t="str">
        <f t="shared" si="35"/>
        <v>TFSLVKEKKAARTLSAILLAFILTWTPYNIMVLVSTFC</v>
      </c>
      <c r="P73" s="4" t="str">
        <f t="shared" si="36"/>
        <v>PETLWELGYWLCYVNSTINPMCYALC</v>
      </c>
      <c r="Q73" s="4" t="str">
        <f t="shared" si="37"/>
        <v>NKAFRDTFRLLLL</v>
      </c>
      <c r="R73" s="5">
        <f>VLOOKUP($A73,'NonXtal_SegEnds_Prot#'!$A:$AL,3,FALSE)</f>
        <v>22</v>
      </c>
      <c r="S73" s="5">
        <f>VLOOKUP($A73,'NonXtal_SegEnds_Prot#'!$A:$AL,6,FALSE)</f>
        <v>54</v>
      </c>
      <c r="T73" s="5">
        <f>VLOOKUP($A73,'NonXtal_SegEnds_Prot#'!$A:$AL,9,FALSE)</f>
        <v>58</v>
      </c>
      <c r="U73" s="5">
        <f>VLOOKUP($A73,'NonXtal_SegEnds_Prot#'!$A:$AL,12,FALSE)</f>
        <v>90</v>
      </c>
      <c r="V73" s="5">
        <f>VLOOKUP($A73,'NonXtal_SegEnds_Prot#'!$A:$AL,15,FALSE)</f>
        <v>94</v>
      </c>
      <c r="W73" s="5">
        <f>VLOOKUP($A73,'NonXtal_SegEnds_Prot#'!$A:$AL,18,FALSE)</f>
        <v>130</v>
      </c>
      <c r="X73" s="5">
        <f>VLOOKUP($A73,'NonXtal_SegEnds_Prot#'!$A:$AL,21,FALSE)</f>
        <v>139</v>
      </c>
      <c r="Y73" s="5">
        <f>VLOOKUP($A73,'NonXtal_SegEnds_Prot#'!$A:$AL,24,FALSE)</f>
        <v>178</v>
      </c>
      <c r="Z73" s="5">
        <f>VLOOKUP($A73,'NonXtal_SegEnds_Prot#'!$A:$AL,27,FALSE)</f>
        <v>185</v>
      </c>
      <c r="AA73" s="5">
        <f>VLOOKUP($A73,'NonXtal_SegEnds_Prot#'!$A:$AL,30,FALSE)</f>
        <v>354</v>
      </c>
      <c r="AB73" s="5">
        <f>VLOOKUP($A73,'NonXtal_SegEnds_Prot#'!$A:$AL,33,FALSE)</f>
        <v>396</v>
      </c>
      <c r="AC73" s="5">
        <f>VLOOKUP($A73,'NonXtal_SegEnds_Prot#'!$A:$AL,36,FALSE)</f>
        <v>422</v>
      </c>
      <c r="AD73" s="5">
        <f>VLOOKUP($A73,'NonXtal_SegEnds_Prot#'!$A:$AL,5,FALSE)</f>
        <v>53</v>
      </c>
      <c r="AE73" s="5">
        <f>VLOOKUP($A73,'NonXtal_SegEnds_Prot#'!$A:$AL,8,FALSE)</f>
        <v>57</v>
      </c>
      <c r="AF73" s="5">
        <f>VLOOKUP($A73,'NonXtal_SegEnds_Prot#'!$A:$AL,11,FALSE)</f>
        <v>88</v>
      </c>
      <c r="AG73" s="5">
        <f>VLOOKUP($A73,'NonXtal_SegEnds_Prot#'!$A:$AL,14,FALSE)</f>
        <v>93</v>
      </c>
      <c r="AH73" s="5">
        <f>VLOOKUP($A73,'NonXtal_SegEnds_Prot#'!$A:$AL,17,FALSE)</f>
        <v>129</v>
      </c>
      <c r="AI73" s="5">
        <f>VLOOKUP($A73,'NonXtal_SegEnds_Prot#'!$A:$AL,20,FALSE)</f>
        <v>137</v>
      </c>
      <c r="AJ73" s="5">
        <f>VLOOKUP($A73,'NonXtal_SegEnds_Prot#'!$A:$AL,23,FALSE)</f>
        <v>169</v>
      </c>
      <c r="AK73" s="5">
        <f>VLOOKUP($A73,'NonXtal_SegEnds_Prot#'!$A:$AL,26,FALSE)</f>
        <v>180</v>
      </c>
      <c r="AL73" s="5">
        <f>VLOOKUP($A73,'NonXtal_SegEnds_Prot#'!$A:$AL,29,FALSE)</f>
        <v>225</v>
      </c>
      <c r="AM73" s="5">
        <f>VLOOKUP($A73,'NonXtal_SegEnds_Prot#'!$A:$AL,32,FALSE)</f>
        <v>391</v>
      </c>
      <c r="AN73" s="5">
        <f>VLOOKUP($A73,'NonXtal_SegEnds_Prot#'!$A:$AL,35,FALSE)</f>
        <v>421</v>
      </c>
      <c r="AO73" s="5">
        <f>VLOOKUP($A73,'NonXtal_SegEnds_Prot#'!$A:$AL,38,FALSE)</f>
        <v>434</v>
      </c>
      <c r="AP73" s="5">
        <f t="shared" si="38"/>
        <v>31</v>
      </c>
      <c r="AQ73" s="4">
        <f t="shared" si="39"/>
        <v>3</v>
      </c>
      <c r="AR73" s="4">
        <f t="shared" si="40"/>
        <v>30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30</v>
      </c>
      <c r="AW73" s="4">
        <f t="shared" si="45"/>
        <v>2</v>
      </c>
      <c r="AX73" s="4">
        <f t="shared" si="46"/>
        <v>40</v>
      </c>
      <c r="AY73" s="4">
        <f t="shared" si="47"/>
        <v>37</v>
      </c>
      <c r="AZ73" s="4">
        <f t="shared" si="48"/>
        <v>25</v>
      </c>
      <c r="BA73" s="4">
        <f t="shared" si="49"/>
        <v>12</v>
      </c>
    </row>
    <row r="74" spans="1:53" x14ac:dyDescent="0.2">
      <c r="A74" s="1" t="str">
        <f>'NonXtal_SegEnds_Prot#'!A41</f>
        <v>gpbar_human</v>
      </c>
      <c r="B74" s="1" t="str">
        <f t="shared" si="25"/>
        <v>SPIPKGALGLSLALASLIITANLLLALGIAWDSPPAGCFFLSLLLAGLLTGLALPTLPGLWNQSCLLVYLAPNFSFLSLLANLLLVHGERYMAVLRPGSIRLALLLTWAGPLLFASLPALGWNHWTPFPAPYLYLEVYGLLLPAVGAAAFLSVRVLATAHRQLQDICEPSALARALTWRQARAQAGAMLLFGLCWGPYVATLLLSVLAPPLGPGTLLSLLSLGSASAAAVPVAMGLGDQRYTAPWRAAAQ</v>
      </c>
      <c r="C74" s="72" t="str">
        <f>IF(ISERROR(MATCH(A74,'Xtal_SegEnds_Prot#'!B:B, 0)), "NoXtal", "Xtal")</f>
        <v>NoXtal</v>
      </c>
      <c r="D74" s="4" t="str">
        <f>VLOOKUP(A74,Classification!A:D,2,FALSE)</f>
        <v>A</v>
      </c>
      <c r="E74" s="5" t="str">
        <f>VLOOKUP(A74,Seqs!A:B,2,FALSE)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74" s="5" t="str">
        <f t="shared" si="26"/>
        <v>SPIPKGALGLSLALASLIITANLLLALGIAWD</v>
      </c>
      <c r="G74" s="4" t="str">
        <f t="shared" si="27"/>
        <v>RRLR</v>
      </c>
      <c r="H74" s="4" t="str">
        <f t="shared" si="28"/>
        <v>SPPAGCFFLSLLLAGLLTGLALPTLPGLWNQ</v>
      </c>
      <c r="I74" s="4" t="str">
        <f t="shared" si="29"/>
        <v/>
      </c>
      <c r="J74" s="4" t="str">
        <f t="shared" si="30"/>
        <v>SCLLVYLAPNFSFLSLLANLLLVHGERYMAVLR</v>
      </c>
      <c r="K74" s="4" t="str">
        <f t="shared" si="31"/>
        <v/>
      </c>
      <c r="L74" s="4" t="str">
        <f t="shared" si="32"/>
        <v>PGSIRLALLLTWAGPLLFASLPALGWNHWTP</v>
      </c>
      <c r="M74" s="4" t="str">
        <f t="shared" si="33"/>
        <v>CSS</v>
      </c>
      <c r="N74" s="4" t="str">
        <f t="shared" si="34"/>
        <v>FPAPYLYLEVYGLLLPAVGAAAFLSVRVLATAHRQLQDIC</v>
      </c>
      <c r="O74" s="4" t="str">
        <f t="shared" si="35"/>
        <v>EPSALARALTWRQARAQAGAMLLFGLCWGPYVATLLLSVLA</v>
      </c>
      <c r="P74" s="4" t="str">
        <f t="shared" si="36"/>
        <v>PPLGPGTLLSLLSLGSASAAAVPVAMGLG</v>
      </c>
      <c r="Q74" s="4" t="str">
        <f t="shared" si="37"/>
        <v>DQRYTAPWRAAAQ</v>
      </c>
      <c r="R74" s="5">
        <f>VLOOKUP($A74,'NonXtal_SegEnds_Prot#'!$A:$AL,3,FALSE)</f>
        <v>11</v>
      </c>
      <c r="S74" s="5">
        <f>VLOOKUP($A74,'NonXtal_SegEnds_Prot#'!$A:$AL,6,FALSE)</f>
        <v>43</v>
      </c>
      <c r="T74" s="5">
        <f>VLOOKUP($A74,'NonXtal_SegEnds_Prot#'!$A:$AL,9,FALSE)</f>
        <v>47</v>
      </c>
      <c r="U74" s="5" t="str">
        <f>VLOOKUP($A74,'NonXtal_SegEnds_Prot#'!$A:$AL,12,FALSE)</f>
        <v>-</v>
      </c>
      <c r="V74" s="5">
        <f>VLOOKUP($A74,'NonXtal_SegEnds_Prot#'!$A:$AL,15,FALSE)</f>
        <v>84</v>
      </c>
      <c r="W74" s="5" t="str">
        <f>VLOOKUP($A74,'NonXtal_SegEnds_Prot#'!$A:$AL,18,FALSE)</f>
        <v>-</v>
      </c>
      <c r="X74" s="5">
        <f>VLOOKUP($A74,'NonXtal_SegEnds_Prot#'!$A:$AL,21,FALSE)</f>
        <v>121</v>
      </c>
      <c r="Y74" s="5">
        <f>VLOOKUP($A74,'NonXtal_SegEnds_Prot#'!$A:$AL,24,FALSE)</f>
        <v>155</v>
      </c>
      <c r="Z74" s="5">
        <f>VLOOKUP($A74,'NonXtal_SegEnds_Prot#'!$A:$AL,27,FALSE)</f>
        <v>161</v>
      </c>
      <c r="AA74" s="5">
        <f>VLOOKUP($A74,'NonXtal_SegEnds_Prot#'!$A:$AL,30,FALSE)</f>
        <v>210</v>
      </c>
      <c r="AB74" s="5">
        <f>VLOOKUP($A74,'NonXtal_SegEnds_Prot#'!$A:$AL,33,FALSE)</f>
        <v>255</v>
      </c>
      <c r="AC74" s="5">
        <f>VLOOKUP($A74,'NonXtal_SegEnds_Prot#'!$A:$AL,36,FALSE)</f>
        <v>284</v>
      </c>
      <c r="AD74" s="5">
        <f>VLOOKUP($A74,'NonXtal_SegEnds_Prot#'!$A:$AL,5,FALSE)</f>
        <v>42</v>
      </c>
      <c r="AE74" s="5">
        <f>VLOOKUP($A74,'NonXtal_SegEnds_Prot#'!$A:$AL,8,FALSE)</f>
        <v>46</v>
      </c>
      <c r="AF74" s="5">
        <f>VLOOKUP($A74,'NonXtal_SegEnds_Prot#'!$A:$AL,11,FALSE)</f>
        <v>77</v>
      </c>
      <c r="AG74" s="5" t="str">
        <f>VLOOKUP($A74,'NonXtal_SegEnds_Prot#'!$A:$AL,14,FALSE)</f>
        <v>-</v>
      </c>
      <c r="AH74" s="5">
        <f>VLOOKUP($A74,'NonXtal_SegEnds_Prot#'!$A:$AL,17,FALSE)</f>
        <v>116</v>
      </c>
      <c r="AI74" s="5" t="str">
        <f>VLOOKUP($A74,'NonXtal_SegEnds_Prot#'!$A:$AL,20,FALSE)</f>
        <v>-</v>
      </c>
      <c r="AJ74" s="5">
        <f>VLOOKUP($A74,'NonXtal_SegEnds_Prot#'!$A:$AL,23,FALSE)</f>
        <v>151</v>
      </c>
      <c r="AK74" s="5">
        <f>VLOOKUP($A74,'NonXtal_SegEnds_Prot#'!$A:$AL,26,FALSE)</f>
        <v>157</v>
      </c>
      <c r="AL74" s="5">
        <f>VLOOKUP($A74,'NonXtal_SegEnds_Prot#'!$A:$AL,29,FALSE)</f>
        <v>200</v>
      </c>
      <c r="AM74" s="5">
        <f>VLOOKUP($A74,'NonXtal_SegEnds_Prot#'!$A:$AL,32,FALSE)</f>
        <v>250</v>
      </c>
      <c r="AN74" s="5">
        <f>VLOOKUP($A74,'NonXtal_SegEnds_Prot#'!$A:$AL,35,FALSE)</f>
        <v>283</v>
      </c>
      <c r="AO74" s="5">
        <f>VLOOKUP($A74,'NonXtal_SegEnds_Prot#'!$A:$AL,38,FALSE)</f>
        <v>296</v>
      </c>
      <c r="AP74" s="5">
        <f t="shared" si="38"/>
        <v>31</v>
      </c>
      <c r="AQ74" s="4">
        <f t="shared" si="39"/>
        <v>3</v>
      </c>
      <c r="AR74" s="4">
        <f t="shared" si="40"/>
        <v>30</v>
      </c>
      <c r="AS74" s="4" t="str">
        <f t="shared" si="41"/>
        <v>-</v>
      </c>
      <c r="AT74" s="4">
        <f t="shared" si="42"/>
        <v>32</v>
      </c>
      <c r="AU74" s="4" t="str">
        <f t="shared" si="43"/>
        <v>-</v>
      </c>
      <c r="AV74" s="4">
        <f t="shared" si="44"/>
        <v>30</v>
      </c>
      <c r="AW74" s="4">
        <f t="shared" si="45"/>
        <v>2</v>
      </c>
      <c r="AX74" s="4">
        <f t="shared" si="46"/>
        <v>39</v>
      </c>
      <c r="AY74" s="4">
        <f t="shared" si="47"/>
        <v>40</v>
      </c>
      <c r="AZ74" s="4">
        <f t="shared" si="48"/>
        <v>28</v>
      </c>
      <c r="BA74" s="4">
        <f t="shared" si="49"/>
        <v>12</v>
      </c>
    </row>
    <row r="75" spans="1:53" x14ac:dyDescent="0.2">
      <c r="A75" s="1" t="str">
        <f>'NonXtal_SegEnds_Prot#'!A42</f>
        <v>ta2r4_human</v>
      </c>
      <c r="B75" s="1" t="str">
        <f t="shared" si="25"/>
        <v>YFSAIIASVILNFVGIIMNLFITVVNCKTWVISSSDRILFSLGITRFLMLGLFLVNTIYFVSTERSVYLSAFFVLCFMFLDSSSVWFVTLLNILYCVKITNNISPKIPRLLLACVLISAFTTCLYITLSQASISEGILSLVVSLVLSSSLQFIINVTSASLLIHSLRRHIQKMPQTEAHVGAMKLMVYFLILYIPYSVATLVQYLPDMGTKSICLIFATLYSPGHSVLIIITHPKLKTTAKKILCF</v>
      </c>
      <c r="C75" s="72" t="str">
        <f>IF(ISERROR(MATCH(A75,'Xtal_SegEnds_Prot#'!B:B, 0)), "NoXtal", "Xtal")</f>
        <v>NoXtal</v>
      </c>
      <c r="D75" s="4" t="str">
        <f>VLOOKUP(A75,Classification!A:D,2,FALSE)</f>
        <v>T</v>
      </c>
      <c r="E75" s="5" t="str">
        <f>VLOOKUP(A75,Seqs!A:B,2,FALSE)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75" s="5" t="str">
        <f t="shared" si="26"/>
        <v>YFSAIIASVILNFVGIIMNLFITVVNCKTWV</v>
      </c>
      <c r="G75" s="4" t="str">
        <f t="shared" si="27"/>
        <v>KSHR</v>
      </c>
      <c r="H75" s="4" t="str">
        <f t="shared" si="28"/>
        <v>ISSSDRILFSLGITRFLMLGLFLVNTIYFVS</v>
      </c>
      <c r="I75" s="4" t="str">
        <f t="shared" si="29"/>
        <v/>
      </c>
      <c r="J75" s="4" t="str">
        <f t="shared" si="30"/>
        <v>TERSVYLSAFFVLCFMFLDSSSVWFVTLLNILYCVKITN</v>
      </c>
      <c r="K75" s="4" t="str">
        <f t="shared" si="31"/>
        <v>HSVFLLLK</v>
      </c>
      <c r="L75" s="4" t="str">
        <f t="shared" si="32"/>
        <v>NISPKIPRLLLACVLISAFTTCLYITLSQAS</v>
      </c>
      <c r="M75" s="4" t="str">
        <f t="shared" si="33"/>
        <v/>
      </c>
      <c r="N75" s="4" t="str">
        <f t="shared" si="34"/>
        <v>ISEGILSLVVSLVLSSSLQFIINVTSASLLIHSLRRHIQKM</v>
      </c>
      <c r="O75" s="4" t="str">
        <f t="shared" si="35"/>
        <v>PQTEAHVGAMKLMVYFLILYIPYSVATLVQYLP</v>
      </c>
      <c r="P75" s="4" t="str">
        <f t="shared" si="36"/>
        <v>DMGTKSICLIFATLYSPGHSVLIIIT</v>
      </c>
      <c r="Q75" s="4" t="str">
        <f t="shared" si="37"/>
        <v>HPKLKTTAKKILCF</v>
      </c>
      <c r="R75" s="5">
        <f>VLOOKUP($A75,'NonXtal_SegEnds_Prot#'!$A:$AL,3,FALSE)</f>
        <v>6</v>
      </c>
      <c r="S75" s="5">
        <f>VLOOKUP($A75,'NonXtal_SegEnds_Prot#'!$A:$AL,6,FALSE)</f>
        <v>37</v>
      </c>
      <c r="T75" s="5">
        <f>VLOOKUP($A75,'NonXtal_SegEnds_Prot#'!$A:$AL,9,FALSE)</f>
        <v>41</v>
      </c>
      <c r="U75" s="5" t="str">
        <f>VLOOKUP($A75,'NonXtal_SegEnds_Prot#'!$A:$AL,12,FALSE)</f>
        <v>-</v>
      </c>
      <c r="V75" s="5">
        <f>VLOOKUP($A75,'NonXtal_SegEnds_Prot#'!$A:$AL,15,FALSE)</f>
        <v>74</v>
      </c>
      <c r="W75" s="5">
        <f>VLOOKUP($A75,'NonXtal_SegEnds_Prot#'!$A:$AL,18,FALSE)</f>
        <v>115</v>
      </c>
      <c r="X75" s="5">
        <f>VLOOKUP($A75,'NonXtal_SegEnds_Prot#'!$A:$AL,21,FALSE)</f>
        <v>124</v>
      </c>
      <c r="Y75" s="5" t="str">
        <f>VLOOKUP($A75,'NonXtal_SegEnds_Prot#'!$A:$AL,24,FALSE)</f>
        <v>-</v>
      </c>
      <c r="Z75" s="5">
        <f>VLOOKUP($A75,'NonXtal_SegEnds_Prot#'!$A:$AL,27,FALSE)</f>
        <v>170</v>
      </c>
      <c r="AA75" s="5">
        <f>VLOOKUP($A75,'NonXtal_SegEnds_Prot#'!$A:$AL,30,FALSE)</f>
        <v>220</v>
      </c>
      <c r="AB75" s="5">
        <f>VLOOKUP($A75,'NonXtal_SegEnds_Prot#'!$A:$AL,33,FALSE)</f>
        <v>258</v>
      </c>
      <c r="AC75" s="5">
        <f>VLOOKUP($A75,'NonXtal_SegEnds_Prot#'!$A:$AL,36,FALSE)</f>
        <v>284</v>
      </c>
      <c r="AD75" s="5">
        <f>VLOOKUP($A75,'NonXtal_SegEnds_Prot#'!$A:$AL,5,FALSE)</f>
        <v>36</v>
      </c>
      <c r="AE75" s="5">
        <f>VLOOKUP($A75,'NonXtal_SegEnds_Prot#'!$A:$AL,8,FALSE)</f>
        <v>40</v>
      </c>
      <c r="AF75" s="5">
        <f>VLOOKUP($A75,'NonXtal_SegEnds_Prot#'!$A:$AL,11,FALSE)</f>
        <v>71</v>
      </c>
      <c r="AG75" s="5" t="str">
        <f>VLOOKUP($A75,'NonXtal_SegEnds_Prot#'!$A:$AL,14,FALSE)</f>
        <v>-</v>
      </c>
      <c r="AH75" s="5">
        <f>VLOOKUP($A75,'NonXtal_SegEnds_Prot#'!$A:$AL,17,FALSE)</f>
        <v>112</v>
      </c>
      <c r="AI75" s="5">
        <f>VLOOKUP($A75,'NonXtal_SegEnds_Prot#'!$A:$AL,20,FALSE)</f>
        <v>122</v>
      </c>
      <c r="AJ75" s="5">
        <f>VLOOKUP($A75,'NonXtal_SegEnds_Prot#'!$A:$AL,23,FALSE)</f>
        <v>154</v>
      </c>
      <c r="AK75" s="5" t="str">
        <f>VLOOKUP($A75,'NonXtal_SegEnds_Prot#'!$A:$AL,26,FALSE)</f>
        <v>-</v>
      </c>
      <c r="AL75" s="5">
        <f>VLOOKUP($A75,'NonXtal_SegEnds_Prot#'!$A:$AL,29,FALSE)</f>
        <v>210</v>
      </c>
      <c r="AM75" s="5">
        <f>VLOOKUP($A75,'NonXtal_SegEnds_Prot#'!$A:$AL,32,FALSE)</f>
        <v>252</v>
      </c>
      <c r="AN75" s="5">
        <f>VLOOKUP($A75,'NonXtal_SegEnds_Prot#'!$A:$AL,35,FALSE)</f>
        <v>283</v>
      </c>
      <c r="AO75" s="5">
        <f>VLOOKUP($A75,'NonXtal_SegEnds_Prot#'!$A:$AL,38,FALSE)</f>
        <v>297</v>
      </c>
      <c r="AP75" s="5">
        <f t="shared" si="38"/>
        <v>30</v>
      </c>
      <c r="AQ75" s="4">
        <f t="shared" si="39"/>
        <v>3</v>
      </c>
      <c r="AR75" s="4">
        <f t="shared" si="40"/>
        <v>30</v>
      </c>
      <c r="AS75" s="4" t="str">
        <f t="shared" si="41"/>
        <v>-</v>
      </c>
      <c r="AT75" s="4">
        <f t="shared" si="42"/>
        <v>38</v>
      </c>
      <c r="AU75" s="4">
        <f t="shared" si="43"/>
        <v>7</v>
      </c>
      <c r="AV75" s="4">
        <f t="shared" si="44"/>
        <v>30</v>
      </c>
      <c r="AW75" s="4" t="str">
        <f t="shared" si="45"/>
        <v>-</v>
      </c>
      <c r="AX75" s="4">
        <f t="shared" si="46"/>
        <v>40</v>
      </c>
      <c r="AY75" s="4">
        <f t="shared" si="47"/>
        <v>32</v>
      </c>
      <c r="AZ75" s="4">
        <f t="shared" si="48"/>
        <v>25</v>
      </c>
      <c r="BA75" s="4">
        <f t="shared" si="49"/>
        <v>13</v>
      </c>
    </row>
    <row r="76" spans="1:53" x14ac:dyDescent="0.2">
      <c r="A76" s="1" t="str">
        <f>'NonXtal_SegEnds_Prot#'!A43</f>
        <v>acm2_human</v>
      </c>
      <c r="B76" s="1" t="str">
        <f t="shared" si="25"/>
        <v>KTFEVVFIVLVAGSLSLVTIIGNILVMVSIKVNTVNNYFLFSLACADLIIGVFSMNLYTLYTVIGPVVCDLWLALDYVVSNASVMNLLIISFDRYFCVTKTKMAGMMIAAAWVLSFILWAPAILFWQFIVGNAAVTFGTAIAAFYLPVIIMTVLYWHISRASKSRIKKDKKEKPPPSREKKVTRTILAILLAFIITWAPYNVMVLINTFCPNTVWTIGYWLCYINSTINPACYALCNATFKKTFKHLLM</v>
      </c>
      <c r="C76" s="72" t="str">
        <f>IF(ISERROR(MATCH(A76,'Xtal_SegEnds_Prot#'!B:B, 0)), "NoXtal", "Xtal")</f>
        <v>Xtal</v>
      </c>
      <c r="D76" s="4" t="str">
        <f>VLOOKUP(A76,Classification!A:D,2,FALSE)</f>
        <v>A</v>
      </c>
      <c r="E76" s="5" t="str">
        <f>VLOOKUP(A76,Seqs!A:B,2,FALSE)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76" s="5" t="str">
        <f t="shared" si="26"/>
        <v>KTFEVVFIVLVAGSLSLVTIIGNILVMVSIKVN</v>
      </c>
      <c r="G76" s="4" t="str">
        <f t="shared" si="27"/>
        <v>RHLQ</v>
      </c>
      <c r="H76" s="4" t="str">
        <f t="shared" si="28"/>
        <v>TVNNYFLFSLACADLIIGVFSMNLYTLYTVI</v>
      </c>
      <c r="I76" s="4" t="str">
        <f t="shared" si="29"/>
        <v>YWPL</v>
      </c>
      <c r="J76" s="4" t="str">
        <f t="shared" si="30"/>
        <v>GPVVCDLWLALDYVVSNASVMNLLIISFDRYFCVTK</v>
      </c>
      <c r="K76" s="4" t="str">
        <f t="shared" si="31"/>
        <v>PLTYPVKR</v>
      </c>
      <c r="L76" s="4" t="str">
        <f t="shared" si="32"/>
        <v>TKMAGMMIAAAWVLSFILWAPAILFWQFIVG</v>
      </c>
      <c r="M76" s="4" t="str">
        <f t="shared" si="33"/>
        <v>CYI</v>
      </c>
      <c r="N76" s="4" t="str">
        <f t="shared" si="34"/>
        <v>NAAVTFGTAIAAFYLPVIIMTVLYWHISRASKSRIKKDKKE</v>
      </c>
      <c r="O76" s="4" t="str">
        <f t="shared" si="35"/>
        <v>KPPPSREKKVTRTILAILLAFIITWAPYNVMVLINTFC</v>
      </c>
      <c r="P76" s="4" t="str">
        <f t="shared" si="36"/>
        <v>PNTVWTIGYWLCYINSTINPACYALC</v>
      </c>
      <c r="Q76" s="4" t="str">
        <f t="shared" si="37"/>
        <v>NATFKKTFKHLLM</v>
      </c>
      <c r="R76" s="5">
        <f>VLOOKUP($A76,'NonXtal_SegEnds_Prot#'!$A:$AL,3,FALSE)</f>
        <v>19</v>
      </c>
      <c r="S76" s="5">
        <f>VLOOKUP($A76,'NonXtal_SegEnds_Prot#'!$A:$AL,6,FALSE)</f>
        <v>52</v>
      </c>
      <c r="T76" s="5">
        <f>VLOOKUP($A76,'NonXtal_SegEnds_Prot#'!$A:$AL,9,FALSE)</f>
        <v>56</v>
      </c>
      <c r="U76" s="5">
        <f>VLOOKUP($A76,'NonXtal_SegEnds_Prot#'!$A:$AL,12,FALSE)</f>
        <v>88</v>
      </c>
      <c r="V76" s="5">
        <f>VLOOKUP($A76,'NonXtal_SegEnds_Prot#'!$A:$AL,15,FALSE)</f>
        <v>92</v>
      </c>
      <c r="W76" s="5">
        <f>VLOOKUP($A76,'NonXtal_SegEnds_Prot#'!$A:$AL,18,FALSE)</f>
        <v>128</v>
      </c>
      <c r="X76" s="5">
        <f>VLOOKUP($A76,'NonXtal_SegEnds_Prot#'!$A:$AL,21,FALSE)</f>
        <v>137</v>
      </c>
      <c r="Y76" s="5">
        <f>VLOOKUP($A76,'NonXtal_SegEnds_Prot#'!$A:$AL,24,FALSE)</f>
        <v>176</v>
      </c>
      <c r="Z76" s="5">
        <f>VLOOKUP($A76,'NonXtal_SegEnds_Prot#'!$A:$AL,27,FALSE)</f>
        <v>183</v>
      </c>
      <c r="AA76" s="5">
        <f>VLOOKUP($A76,'NonXtal_SegEnds_Prot#'!$A:$AL,30,FALSE)</f>
        <v>376</v>
      </c>
      <c r="AB76" s="5">
        <f>VLOOKUP($A76,'NonXtal_SegEnds_Prot#'!$A:$AL,33,FALSE)</f>
        <v>418</v>
      </c>
      <c r="AC76" s="5">
        <f>VLOOKUP($A76,'NonXtal_SegEnds_Prot#'!$A:$AL,36,FALSE)</f>
        <v>444</v>
      </c>
      <c r="AD76" s="5">
        <f>VLOOKUP($A76,'NonXtal_SegEnds_Prot#'!$A:$AL,5,FALSE)</f>
        <v>51</v>
      </c>
      <c r="AE76" s="5">
        <f>VLOOKUP($A76,'NonXtal_SegEnds_Prot#'!$A:$AL,8,FALSE)</f>
        <v>55</v>
      </c>
      <c r="AF76" s="5">
        <f>VLOOKUP($A76,'NonXtal_SegEnds_Prot#'!$A:$AL,11,FALSE)</f>
        <v>86</v>
      </c>
      <c r="AG76" s="5">
        <f>VLOOKUP($A76,'NonXtal_SegEnds_Prot#'!$A:$AL,14,FALSE)</f>
        <v>91</v>
      </c>
      <c r="AH76" s="5">
        <f>VLOOKUP($A76,'NonXtal_SegEnds_Prot#'!$A:$AL,17,FALSE)</f>
        <v>127</v>
      </c>
      <c r="AI76" s="5">
        <f>VLOOKUP($A76,'NonXtal_SegEnds_Prot#'!$A:$AL,20,FALSE)</f>
        <v>135</v>
      </c>
      <c r="AJ76" s="5">
        <f>VLOOKUP($A76,'NonXtal_SegEnds_Prot#'!$A:$AL,23,FALSE)</f>
        <v>167</v>
      </c>
      <c r="AK76" s="5">
        <f>VLOOKUP($A76,'NonXtal_SegEnds_Prot#'!$A:$AL,26,FALSE)</f>
        <v>178</v>
      </c>
      <c r="AL76" s="5">
        <f>VLOOKUP($A76,'NonXtal_SegEnds_Prot#'!$A:$AL,29,FALSE)</f>
        <v>223</v>
      </c>
      <c r="AM76" s="5">
        <f>VLOOKUP($A76,'NonXtal_SegEnds_Prot#'!$A:$AL,32,FALSE)</f>
        <v>413</v>
      </c>
      <c r="AN76" s="5">
        <f>VLOOKUP($A76,'NonXtal_SegEnds_Prot#'!$A:$AL,35,FALSE)</f>
        <v>443</v>
      </c>
      <c r="AO76" s="5">
        <f>VLOOKUP($A76,'NonXtal_SegEnds_Prot#'!$A:$AL,38,FALSE)</f>
        <v>456</v>
      </c>
      <c r="AP76" s="5">
        <f t="shared" si="38"/>
        <v>32</v>
      </c>
      <c r="AQ76" s="4">
        <f t="shared" si="39"/>
        <v>3</v>
      </c>
      <c r="AR76" s="4">
        <f t="shared" si="40"/>
        <v>30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30</v>
      </c>
      <c r="AW76" s="4">
        <f t="shared" si="45"/>
        <v>2</v>
      </c>
      <c r="AX76" s="4">
        <f t="shared" si="46"/>
        <v>40</v>
      </c>
      <c r="AY76" s="4">
        <f t="shared" si="47"/>
        <v>37</v>
      </c>
      <c r="AZ76" s="4">
        <f t="shared" si="48"/>
        <v>25</v>
      </c>
      <c r="BA76" s="4">
        <f t="shared" si="49"/>
        <v>12</v>
      </c>
    </row>
    <row r="77" spans="1:53" x14ac:dyDescent="0.2">
      <c r="A77" s="1" t="str">
        <f>'NonXtal_SegEnds_Prot#'!A44</f>
        <v>t2r39_human</v>
      </c>
      <c r="B77" s="1" t="str">
        <f t="shared" si="25"/>
        <v>ITLILAVLLAEYLIGIIANGFIMAIHAAEWVVSTSGRILVFLSVSRIALQSLMMLEITISSTSFYSEDAVYYAFKISFIFLNFCSLWFAAWLSFFYFVKIANRITGLIPWLLWLSVFISFSHSMFCINICTVYSEINVVGLAFFFNLGIVTPLIMFILTATLLILSLKRHTLHMPSMEAHMGAIKAISYFLILYIFNAVALFIYLSNNSLWNNLCQIIMAAYPASHSILLIQDNPGLRRAWKRLQLR</v>
      </c>
      <c r="C77" s="72" t="str">
        <f>IF(ISERROR(MATCH(A77,'Xtal_SegEnds_Prot#'!B:B, 0)), "NoXtal", "Xtal")</f>
        <v>NoXtal</v>
      </c>
      <c r="D77" s="4" t="str">
        <f>VLOOKUP(A77,Classification!A:D,2,FALSE)</f>
        <v>T</v>
      </c>
      <c r="E77" s="5" t="str">
        <f>VLOOKUP(A77,Seqs!A:B,2,FALSE)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77" s="5" t="str">
        <f t="shared" si="26"/>
        <v>ITLILAVLLAEYLIGIIANGFIMAIHAAEWV</v>
      </c>
      <c r="G77" s="4" t="str">
        <f t="shared" si="27"/>
        <v>QNKA</v>
      </c>
      <c r="H77" s="4" t="str">
        <f t="shared" si="28"/>
        <v>VSTSGRILVFLSVSRIALQSLMMLEITISSTS</v>
      </c>
      <c r="I77" s="4" t="str">
        <f t="shared" si="29"/>
        <v/>
      </c>
      <c r="J77" s="4" t="str">
        <f t="shared" si="30"/>
        <v>FYSEDAVYYAFKISFIFLNFCSLWFAAWLSFFYFVKIAN</v>
      </c>
      <c r="K77" s="4" t="str">
        <f t="shared" si="31"/>
        <v>YPLFLKLR</v>
      </c>
      <c r="L77" s="4" t="str">
        <f t="shared" si="32"/>
        <v>RITGLIPWLLWLSVFISFSHSMFCINICTVY</v>
      </c>
      <c r="M77" s="4" t="str">
        <f t="shared" si="33"/>
        <v/>
      </c>
      <c r="N77" s="4" t="str">
        <f t="shared" si="34"/>
        <v>SEINVVGLAFFFNLGIVTPLIMFILTATLLILSLKRHTLHM</v>
      </c>
      <c r="O77" s="4" t="str">
        <f t="shared" si="35"/>
        <v>PSMEAHMGAIKAISYFLILYIFNAVALFIYLSN</v>
      </c>
      <c r="P77" s="4" t="str">
        <f t="shared" si="36"/>
        <v>NSLWNNLCQIIMAAYPASHSILLIQD</v>
      </c>
      <c r="Q77" s="4" t="str">
        <f t="shared" si="37"/>
        <v>NPGLRRAWKRLQLR</v>
      </c>
      <c r="R77" s="5">
        <f>VLOOKUP($A77,'NonXtal_SegEnds_Prot#'!$A:$AL,3,FALSE)</f>
        <v>34</v>
      </c>
      <c r="S77" s="5">
        <f>VLOOKUP($A77,'NonXtal_SegEnds_Prot#'!$A:$AL,6,FALSE)</f>
        <v>65</v>
      </c>
      <c r="T77" s="5">
        <f>VLOOKUP($A77,'NonXtal_SegEnds_Prot#'!$A:$AL,9,FALSE)</f>
        <v>69</v>
      </c>
      <c r="U77" s="5" t="str">
        <f>VLOOKUP($A77,'NonXtal_SegEnds_Prot#'!$A:$AL,12,FALSE)</f>
        <v>-</v>
      </c>
      <c r="V77" s="5">
        <f>VLOOKUP($A77,'NonXtal_SegEnds_Prot#'!$A:$AL,15,FALSE)</f>
        <v>103</v>
      </c>
      <c r="W77" s="5">
        <f>VLOOKUP($A77,'NonXtal_SegEnds_Prot#'!$A:$AL,18,FALSE)</f>
        <v>144</v>
      </c>
      <c r="X77" s="5">
        <f>VLOOKUP($A77,'NonXtal_SegEnds_Prot#'!$A:$AL,21,FALSE)</f>
        <v>153</v>
      </c>
      <c r="Y77" s="5" t="str">
        <f>VLOOKUP($A77,'NonXtal_SegEnds_Prot#'!$A:$AL,24,FALSE)</f>
        <v>-</v>
      </c>
      <c r="Z77" s="5">
        <f>VLOOKUP($A77,'NonXtal_SegEnds_Prot#'!$A:$AL,27,FALSE)</f>
        <v>202</v>
      </c>
      <c r="AA77" s="5">
        <f>VLOOKUP($A77,'NonXtal_SegEnds_Prot#'!$A:$AL,30,FALSE)</f>
        <v>252</v>
      </c>
      <c r="AB77" s="5">
        <f>VLOOKUP($A77,'NonXtal_SegEnds_Prot#'!$A:$AL,33,FALSE)</f>
        <v>289</v>
      </c>
      <c r="AC77" s="5">
        <f>VLOOKUP($A77,'NonXtal_SegEnds_Prot#'!$A:$AL,36,FALSE)</f>
        <v>315</v>
      </c>
      <c r="AD77" s="5">
        <f>VLOOKUP($A77,'NonXtal_SegEnds_Prot#'!$A:$AL,5,FALSE)</f>
        <v>64</v>
      </c>
      <c r="AE77" s="5">
        <f>VLOOKUP($A77,'NonXtal_SegEnds_Prot#'!$A:$AL,8,FALSE)</f>
        <v>68</v>
      </c>
      <c r="AF77" s="5">
        <f>VLOOKUP($A77,'NonXtal_SegEnds_Prot#'!$A:$AL,11,FALSE)</f>
        <v>100</v>
      </c>
      <c r="AG77" s="5" t="str">
        <f>VLOOKUP($A77,'NonXtal_SegEnds_Prot#'!$A:$AL,14,FALSE)</f>
        <v>-</v>
      </c>
      <c r="AH77" s="5">
        <f>VLOOKUP($A77,'NonXtal_SegEnds_Prot#'!$A:$AL,17,FALSE)</f>
        <v>141</v>
      </c>
      <c r="AI77" s="5">
        <f>VLOOKUP($A77,'NonXtal_SegEnds_Prot#'!$A:$AL,20,FALSE)</f>
        <v>151</v>
      </c>
      <c r="AJ77" s="5">
        <f>VLOOKUP($A77,'NonXtal_SegEnds_Prot#'!$A:$AL,23,FALSE)</f>
        <v>183</v>
      </c>
      <c r="AK77" s="5" t="str">
        <f>VLOOKUP($A77,'NonXtal_SegEnds_Prot#'!$A:$AL,26,FALSE)</f>
        <v>-</v>
      </c>
      <c r="AL77" s="5">
        <f>VLOOKUP($A77,'NonXtal_SegEnds_Prot#'!$A:$AL,29,FALSE)</f>
        <v>242</v>
      </c>
      <c r="AM77" s="5">
        <f>VLOOKUP($A77,'NonXtal_SegEnds_Prot#'!$A:$AL,32,FALSE)</f>
        <v>284</v>
      </c>
      <c r="AN77" s="5">
        <f>VLOOKUP($A77,'NonXtal_SegEnds_Prot#'!$A:$AL,35,FALSE)</f>
        <v>314</v>
      </c>
      <c r="AO77" s="5">
        <f>VLOOKUP($A77,'NonXtal_SegEnds_Prot#'!$A:$AL,38,FALSE)</f>
        <v>328</v>
      </c>
      <c r="AP77" s="5">
        <f t="shared" si="38"/>
        <v>30</v>
      </c>
      <c r="AQ77" s="4">
        <f t="shared" si="39"/>
        <v>3</v>
      </c>
      <c r="AR77" s="4">
        <f t="shared" si="40"/>
        <v>31</v>
      </c>
      <c r="AS77" s="4" t="str">
        <f t="shared" si="41"/>
        <v>-</v>
      </c>
      <c r="AT77" s="4">
        <f t="shared" si="42"/>
        <v>38</v>
      </c>
      <c r="AU77" s="4">
        <f t="shared" si="43"/>
        <v>7</v>
      </c>
      <c r="AV77" s="4">
        <f t="shared" si="44"/>
        <v>30</v>
      </c>
      <c r="AW77" s="4" t="str">
        <f t="shared" si="45"/>
        <v>-</v>
      </c>
      <c r="AX77" s="4">
        <f t="shared" si="46"/>
        <v>40</v>
      </c>
      <c r="AY77" s="4">
        <f t="shared" si="47"/>
        <v>32</v>
      </c>
      <c r="AZ77" s="4">
        <f t="shared" si="48"/>
        <v>25</v>
      </c>
      <c r="BA77" s="4">
        <f t="shared" si="49"/>
        <v>13</v>
      </c>
    </row>
    <row r="78" spans="1:53" x14ac:dyDescent="0.2">
      <c r="A78" s="1" t="str">
        <f>'NonXtal_SegEnds_Prot#'!A45</f>
        <v>acm3_human</v>
      </c>
      <c r="B78" s="1" t="str">
        <f t="shared" si="25"/>
        <v>VWQVVFIAFLTGILALVTIIGNILVIVSFKVNTVNNYFLLSLACADLIIGVISMNLFTTYIIMGNLACDLWLAIDYVASNASVMNLLVISFDRYFSITRTKRAGVMIGLAWVISFVLWAPAILFWQYFVGEPTITFGTAIAAFYMPVTIMTILYWRIYKETEKRTKELAGLRMSLVKEKKAAQTLSAILLAFIITWTPYNIMVLVNTFCPKTFWNLGYWLCYINSTVNPVCYALCNKTFRTTFKMLL</v>
      </c>
      <c r="C78" s="72" t="str">
        <f>IF(ISERROR(MATCH(A78,'Xtal_SegEnds_Prot#'!B:B, 0)), "NoXtal", "Xtal")</f>
        <v>NoXtal</v>
      </c>
      <c r="D78" s="4" t="str">
        <f>VLOOKUP(A78,Classification!A:D,2,FALSE)</f>
        <v>A</v>
      </c>
      <c r="E78" s="5" t="str">
        <f>VLOOKUP(A78,Seqs!A:B,2,FALSE)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78" s="5" t="str">
        <f t="shared" si="26"/>
        <v>VWQVVFIAFLTGILALVTIIGNILVIVSFKVN</v>
      </c>
      <c r="G78" s="4" t="str">
        <f t="shared" si="27"/>
        <v>KQLK</v>
      </c>
      <c r="H78" s="4" t="str">
        <f t="shared" si="28"/>
        <v>TVNNYFLLSLACADLIIGVISMNLFTTYIIM</v>
      </c>
      <c r="I78" s="4" t="str">
        <f t="shared" si="29"/>
        <v>RWAL</v>
      </c>
      <c r="J78" s="4" t="str">
        <f t="shared" si="30"/>
        <v>GNLACDLWLAIDYVASNASVMNLLVISFDRYFSITR</v>
      </c>
      <c r="K78" s="4" t="str">
        <f t="shared" si="31"/>
        <v>PLTYRAKR</v>
      </c>
      <c r="L78" s="4" t="str">
        <f t="shared" si="32"/>
        <v>TKRAGVMIGLAWVISFVLWAPAILFWQYFVG</v>
      </c>
      <c r="M78" s="4" t="str">
        <f t="shared" si="33"/>
        <v>CFI</v>
      </c>
      <c r="N78" s="4" t="str">
        <f t="shared" si="34"/>
        <v>EPTITFGTAIAAFYMPVTIMTILYWRIYKETEKRTKELAGL</v>
      </c>
      <c r="O78" s="4" t="str">
        <f t="shared" si="35"/>
        <v>RMSLVKEKKAAQTLSAILLAFIITWTPYNIMVLVNTFC</v>
      </c>
      <c r="P78" s="4" t="str">
        <f t="shared" si="36"/>
        <v>PKTFWNLGYWLCYINSTVNPVCYALC</v>
      </c>
      <c r="Q78" s="4" t="str">
        <f t="shared" si="37"/>
        <v>NKTFRTTFKMLL</v>
      </c>
      <c r="R78" s="5">
        <f>VLOOKUP($A78,'NonXtal_SegEnds_Prot#'!$A:$AL,3,FALSE)</f>
        <v>65</v>
      </c>
      <c r="S78" s="5">
        <f>VLOOKUP($A78,'NonXtal_SegEnds_Prot#'!$A:$AL,6,FALSE)</f>
        <v>97</v>
      </c>
      <c r="T78" s="5">
        <f>VLOOKUP($A78,'NonXtal_SegEnds_Prot#'!$A:$AL,9,FALSE)</f>
        <v>101</v>
      </c>
      <c r="U78" s="5">
        <f>VLOOKUP($A78,'NonXtal_SegEnds_Prot#'!$A:$AL,12,FALSE)</f>
        <v>133</v>
      </c>
      <c r="V78" s="5">
        <f>VLOOKUP($A78,'NonXtal_SegEnds_Prot#'!$A:$AL,15,FALSE)</f>
        <v>137</v>
      </c>
      <c r="W78" s="5">
        <f>VLOOKUP($A78,'NonXtal_SegEnds_Prot#'!$A:$AL,18,FALSE)</f>
        <v>173</v>
      </c>
      <c r="X78" s="5">
        <f>VLOOKUP($A78,'NonXtal_SegEnds_Prot#'!$A:$AL,21,FALSE)</f>
        <v>182</v>
      </c>
      <c r="Y78" s="5">
        <f>VLOOKUP($A78,'NonXtal_SegEnds_Prot#'!$A:$AL,24,FALSE)</f>
        <v>221</v>
      </c>
      <c r="Z78" s="5">
        <f>VLOOKUP($A78,'NonXtal_SegEnds_Prot#'!$A:$AL,27,FALSE)</f>
        <v>228</v>
      </c>
      <c r="AA78" s="5">
        <f>VLOOKUP($A78,'NonXtal_SegEnds_Prot#'!$A:$AL,30,FALSE)</f>
        <v>480</v>
      </c>
      <c r="AB78" s="5">
        <f>VLOOKUP($A78,'NonXtal_SegEnds_Prot#'!$A:$AL,33,FALSE)</f>
        <v>522</v>
      </c>
      <c r="AC78" s="5">
        <f>VLOOKUP($A78,'NonXtal_SegEnds_Prot#'!$A:$AL,36,FALSE)</f>
        <v>548</v>
      </c>
      <c r="AD78" s="5">
        <f>VLOOKUP($A78,'NonXtal_SegEnds_Prot#'!$A:$AL,5,FALSE)</f>
        <v>96</v>
      </c>
      <c r="AE78" s="5">
        <f>VLOOKUP($A78,'NonXtal_SegEnds_Prot#'!$A:$AL,8,FALSE)</f>
        <v>100</v>
      </c>
      <c r="AF78" s="5">
        <f>VLOOKUP($A78,'NonXtal_SegEnds_Prot#'!$A:$AL,11,FALSE)</f>
        <v>131</v>
      </c>
      <c r="AG78" s="5">
        <f>VLOOKUP($A78,'NonXtal_SegEnds_Prot#'!$A:$AL,14,FALSE)</f>
        <v>136</v>
      </c>
      <c r="AH78" s="5">
        <f>VLOOKUP($A78,'NonXtal_SegEnds_Prot#'!$A:$AL,17,FALSE)</f>
        <v>172</v>
      </c>
      <c r="AI78" s="5">
        <f>VLOOKUP($A78,'NonXtal_SegEnds_Prot#'!$A:$AL,20,FALSE)</f>
        <v>180</v>
      </c>
      <c r="AJ78" s="5">
        <f>VLOOKUP($A78,'NonXtal_SegEnds_Prot#'!$A:$AL,23,FALSE)</f>
        <v>212</v>
      </c>
      <c r="AK78" s="5">
        <f>VLOOKUP($A78,'NonXtal_SegEnds_Prot#'!$A:$AL,26,FALSE)</f>
        <v>223</v>
      </c>
      <c r="AL78" s="5">
        <f>VLOOKUP($A78,'NonXtal_SegEnds_Prot#'!$A:$AL,29,FALSE)</f>
        <v>268</v>
      </c>
      <c r="AM78" s="5">
        <f>VLOOKUP($A78,'NonXtal_SegEnds_Prot#'!$A:$AL,32,FALSE)</f>
        <v>517</v>
      </c>
      <c r="AN78" s="5">
        <f>VLOOKUP($A78,'NonXtal_SegEnds_Prot#'!$A:$AL,35,FALSE)</f>
        <v>547</v>
      </c>
      <c r="AO78" s="5">
        <f>VLOOKUP($A78,'NonXtal_SegEnds_Prot#'!$A:$AL,38,FALSE)</f>
        <v>559</v>
      </c>
      <c r="AP78" s="5">
        <f t="shared" si="38"/>
        <v>31</v>
      </c>
      <c r="AQ78" s="4">
        <f t="shared" si="39"/>
        <v>3</v>
      </c>
      <c r="AR78" s="4">
        <f t="shared" si="40"/>
        <v>30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30</v>
      </c>
      <c r="AW78" s="4">
        <f t="shared" si="45"/>
        <v>2</v>
      </c>
      <c r="AX78" s="4">
        <f t="shared" si="46"/>
        <v>40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'NonXtal_SegEnds_Prot#'!A48</f>
        <v>hrh4_human</v>
      </c>
      <c r="B79" s="1" t="str">
        <f t="shared" si="25"/>
        <v>LSTRVTLAFFMSLVAFAIMLGNALVILAFVVDHRSSYFFLNLAISDFFVGVISIPLYIPHTLGKEICVFWLTTDYLLCTASVYNIVLISYDRYLSVSNVLKIVTLMVAVWVLAFLVNGPMILVEWYILAITSFLEFVIPVILVAYFNMNIYWSLWKRDHLSRCQSHVELLRARRLAKSLAILLGVFAVCWAPYSLFTIVLSFYKSVWYRIAFWLQWFNSFVNPLLYPLCHKRFQKAFLKIF</v>
      </c>
      <c r="C79" s="72" t="str">
        <f>IF(ISERROR(MATCH(A79,'Xtal_SegEnds_Prot#'!B:B, 0)), "NoXtal", "Xtal")</f>
        <v>NoXtal</v>
      </c>
      <c r="D79" s="4" t="str">
        <f>VLOOKUP(A79,Classification!A:D,2,FALSE)</f>
        <v>A</v>
      </c>
      <c r="E79" s="5" t="str">
        <f>VLOOKUP(A79,Seqs!A:B,2,FALSE)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79" s="5" t="str">
        <f t="shared" si="26"/>
        <v>LSTRVTLAFFMSLVAFAIMLGNALVILAFVVD</v>
      </c>
      <c r="G79" s="4" t="str">
        <f t="shared" si="27"/>
        <v>KNLR</v>
      </c>
      <c r="H79" s="4" t="str">
        <f t="shared" si="28"/>
        <v>HRSSYFFLNLAISDFFVGVISIPLYIPHTL</v>
      </c>
      <c r="I79" s="4" t="str">
        <f t="shared" si="29"/>
        <v>EWDF</v>
      </c>
      <c r="J79" s="4" t="str">
        <f t="shared" si="30"/>
        <v>GKEICVFWLTTDYLLCTASVYNIVLISYDRYLSVSN</v>
      </c>
      <c r="K79" s="4" t="str">
        <f t="shared" si="31"/>
        <v>AVSYRTQHT</v>
      </c>
      <c r="L79" s="4" t="str">
        <f t="shared" si="32"/>
        <v>VLKIVTLMVAVWVLAFLVNGPMILV</v>
      </c>
      <c r="M79" s="4" t="str">
        <f t="shared" si="33"/>
        <v>CEP</v>
      </c>
      <c r="N79" s="4" t="str">
        <f t="shared" si="34"/>
        <v>EWYILAITSFLEFVIPVILVAYFNMNIYWSLWKRDHLSRCQS</v>
      </c>
      <c r="O79" s="4" t="str">
        <f t="shared" si="35"/>
        <v>HVELLRARRLAKSLAILLGVFAVCWAPYSLFTIVLSFY</v>
      </c>
      <c r="P79" s="4" t="str">
        <f t="shared" si="36"/>
        <v>KSVWYRIAFWLQWFNSFVNPLLYPLC</v>
      </c>
      <c r="Q79" s="4" t="str">
        <f t="shared" si="37"/>
        <v>HKRFQKAFLKIF</v>
      </c>
      <c r="R79" s="5">
        <f>VLOOKUP($A79,'NonXtal_SegEnds_Prot#'!$A:$AL,3,FALSE)</f>
        <v>12</v>
      </c>
      <c r="S79" s="5">
        <f>VLOOKUP($A79,'NonXtal_SegEnds_Prot#'!$A:$AL,6,FALSE)</f>
        <v>44</v>
      </c>
      <c r="T79" s="5">
        <f>VLOOKUP($A79,'NonXtal_SegEnds_Prot#'!$A:$AL,9,FALSE)</f>
        <v>48</v>
      </c>
      <c r="U79" s="5">
        <f>VLOOKUP($A79,'NonXtal_SegEnds_Prot#'!$A:$AL,12,FALSE)</f>
        <v>79</v>
      </c>
      <c r="V79" s="5">
        <f>VLOOKUP($A79,'NonXtal_SegEnds_Prot#'!$A:$AL,15,FALSE)</f>
        <v>83</v>
      </c>
      <c r="W79" s="5">
        <f>VLOOKUP($A79,'NonXtal_SegEnds_Prot#'!$A:$AL,18,FALSE)</f>
        <v>119</v>
      </c>
      <c r="X79" s="5">
        <f>VLOOKUP($A79,'NonXtal_SegEnds_Prot#'!$A:$AL,21,FALSE)</f>
        <v>129</v>
      </c>
      <c r="Y79" s="5">
        <f>VLOOKUP($A79,'NonXtal_SegEnds_Prot#'!$A:$AL,24,FALSE)</f>
        <v>164</v>
      </c>
      <c r="Z79" s="5">
        <f>VLOOKUP($A79,'NonXtal_SegEnds_Prot#'!$A:$AL,27,FALSE)</f>
        <v>171</v>
      </c>
      <c r="AA79" s="5">
        <f>VLOOKUP($A79,'NonXtal_SegEnds_Prot#'!$A:$AL,30,FALSE)</f>
        <v>292</v>
      </c>
      <c r="AB79" s="5">
        <f>VLOOKUP($A79,'NonXtal_SegEnds_Prot#'!$A:$AL,33,FALSE)</f>
        <v>336</v>
      </c>
      <c r="AC79" s="5">
        <f>VLOOKUP($A79,'NonXtal_SegEnds_Prot#'!$A:$AL,36,FALSE)</f>
        <v>362</v>
      </c>
      <c r="AD79" s="5">
        <f>VLOOKUP($A79,'NonXtal_SegEnds_Prot#'!$A:$AL,5,FALSE)</f>
        <v>43</v>
      </c>
      <c r="AE79" s="5">
        <f>VLOOKUP($A79,'NonXtal_SegEnds_Prot#'!$A:$AL,8,FALSE)</f>
        <v>47</v>
      </c>
      <c r="AF79" s="5">
        <f>VLOOKUP($A79,'NonXtal_SegEnds_Prot#'!$A:$AL,11,FALSE)</f>
        <v>77</v>
      </c>
      <c r="AG79" s="5">
        <f>VLOOKUP($A79,'NonXtal_SegEnds_Prot#'!$A:$AL,14,FALSE)</f>
        <v>82</v>
      </c>
      <c r="AH79" s="5">
        <f>VLOOKUP($A79,'NonXtal_SegEnds_Prot#'!$A:$AL,17,FALSE)</f>
        <v>118</v>
      </c>
      <c r="AI79" s="5">
        <f>VLOOKUP($A79,'NonXtal_SegEnds_Prot#'!$A:$AL,20,FALSE)</f>
        <v>127</v>
      </c>
      <c r="AJ79" s="5">
        <f>VLOOKUP($A79,'NonXtal_SegEnds_Prot#'!$A:$AL,23,FALSE)</f>
        <v>153</v>
      </c>
      <c r="AK79" s="5">
        <f>VLOOKUP($A79,'NonXtal_SegEnds_Prot#'!$A:$AL,26,FALSE)</f>
        <v>166</v>
      </c>
      <c r="AL79" s="5">
        <f>VLOOKUP($A79,'NonXtal_SegEnds_Prot#'!$A:$AL,29,FALSE)</f>
        <v>212</v>
      </c>
      <c r="AM79" s="5">
        <f>VLOOKUP($A79,'NonXtal_SegEnds_Prot#'!$A:$AL,32,FALSE)</f>
        <v>329</v>
      </c>
      <c r="AN79" s="5">
        <f>VLOOKUP($A79,'NonXtal_SegEnds_Prot#'!$A:$AL,35,FALSE)</f>
        <v>361</v>
      </c>
      <c r="AO79" s="5">
        <f>VLOOKUP($A79,'NonXtal_SegEnds_Prot#'!$A:$AL,38,FALSE)</f>
        <v>373</v>
      </c>
      <c r="AP79" s="5">
        <f t="shared" si="38"/>
        <v>31</v>
      </c>
      <c r="AQ79" s="4">
        <f t="shared" si="39"/>
        <v>3</v>
      </c>
      <c r="AR79" s="4">
        <f t="shared" si="40"/>
        <v>29</v>
      </c>
      <c r="AS79" s="4">
        <f t="shared" si="41"/>
        <v>3</v>
      </c>
      <c r="AT79" s="4">
        <f t="shared" si="42"/>
        <v>35</v>
      </c>
      <c r="AU79" s="4">
        <f t="shared" si="43"/>
        <v>8</v>
      </c>
      <c r="AV79" s="4">
        <f t="shared" si="44"/>
        <v>24</v>
      </c>
      <c r="AW79" s="4">
        <f t="shared" si="45"/>
        <v>2</v>
      </c>
      <c r="AX79" s="4">
        <f t="shared" si="46"/>
        <v>41</v>
      </c>
      <c r="AY79" s="4">
        <f t="shared" si="47"/>
        <v>37</v>
      </c>
      <c r="AZ79" s="4">
        <f t="shared" si="48"/>
        <v>25</v>
      </c>
      <c r="BA79" s="4">
        <f t="shared" si="49"/>
        <v>11</v>
      </c>
    </row>
    <row r="80" spans="1:53" x14ac:dyDescent="0.2">
      <c r="A80" s="1" t="str">
        <f>'NonXtal_SegEnds_Prot#'!A49</f>
        <v>acm4_human</v>
      </c>
      <c r="B80" s="1" t="str">
        <f t="shared" si="25"/>
        <v>RYETVEMVFIATVTGSLSLVTVVGNILVMLSIKVNTVNNYFLFSLACADLIIGAFSMNLYTVYIIKGAVVCDLWLALDYVVSNASVMNLLIISFDRYFCVTKTKMAGLMIAAAWVLSFVLWAPAILFWQFVVGNPAVTFGTAIAAFYLPVVIMTVLYIHISLASRSRVHKHRPERQMAARERKVTRTIFAILLAFILTWTPYNVMVLVNTFCPDTVWSIGYWLCYVNSTINPACYALCNATFKKTFRHLLL</v>
      </c>
      <c r="C80" s="72" t="str">
        <f>IF(ISERROR(MATCH(A80,'Xtal_SegEnds_Prot#'!B:B, 0)), "NoXtal", "Xtal")</f>
        <v>Xtal</v>
      </c>
      <c r="D80" s="4" t="str">
        <f>VLOOKUP(A80,Classification!A:D,2,FALSE)</f>
        <v>A</v>
      </c>
      <c r="E80" s="5" t="str">
        <f>VLOOKUP(A80,Seqs!A:B,2,FALSE)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0" s="5" t="str">
        <f t="shared" si="26"/>
        <v>RYETVEMVFIATVTGSLSLVTVVGNILVMLSIKVN</v>
      </c>
      <c r="G80" s="4" t="str">
        <f t="shared" si="27"/>
        <v>RQLQ</v>
      </c>
      <c r="H80" s="4" t="str">
        <f t="shared" si="28"/>
        <v>TVNNYFLFSLACADLIIGAFSMNLYTVYIIK</v>
      </c>
      <c r="I80" s="4" t="str">
        <f t="shared" si="29"/>
        <v>YWPL</v>
      </c>
      <c r="J80" s="4" t="str">
        <f t="shared" si="30"/>
        <v>GAVVCDLWLALDYVVSNASVMNLLIISFDRYFCVTK</v>
      </c>
      <c r="K80" s="4" t="str">
        <f t="shared" si="31"/>
        <v>PLTYPARR</v>
      </c>
      <c r="L80" s="4" t="str">
        <f t="shared" si="32"/>
        <v>TKMAGLMIAAAWVLSFVLWAPAILFWQFVVG</v>
      </c>
      <c r="M80" s="4" t="str">
        <f t="shared" si="33"/>
        <v>CFI</v>
      </c>
      <c r="N80" s="4" t="str">
        <f t="shared" si="34"/>
        <v>NPAVTFGTAIAAFYLPVVIMTVLYIHISLASRSRVHKHRPE</v>
      </c>
      <c r="O80" s="4" t="str">
        <f t="shared" si="35"/>
        <v>RQMAARERKVTRTIFAILLAFILTWTPYNVMVLVNTFC</v>
      </c>
      <c r="P80" s="4" t="str">
        <f t="shared" si="36"/>
        <v>PDTVWSIGYWLCYVNSTINPACYALC</v>
      </c>
      <c r="Q80" s="4" t="str">
        <f t="shared" si="37"/>
        <v>NATFKKTFRHLLL</v>
      </c>
      <c r="R80" s="5">
        <f>VLOOKUP($A80,'NonXtal_SegEnds_Prot#'!$A:$AL,3,FALSE)</f>
        <v>26</v>
      </c>
      <c r="S80" s="5">
        <f>VLOOKUP($A80,'NonXtal_SegEnds_Prot#'!$A:$AL,6,FALSE)</f>
        <v>61</v>
      </c>
      <c r="T80" s="5">
        <f>VLOOKUP($A80,'NonXtal_SegEnds_Prot#'!$A:$AL,9,FALSE)</f>
        <v>65</v>
      </c>
      <c r="U80" s="5">
        <f>VLOOKUP($A80,'NonXtal_SegEnds_Prot#'!$A:$AL,12,FALSE)</f>
        <v>97</v>
      </c>
      <c r="V80" s="5">
        <f>VLOOKUP($A80,'NonXtal_SegEnds_Prot#'!$A:$AL,15,FALSE)</f>
        <v>101</v>
      </c>
      <c r="W80" s="5">
        <f>VLOOKUP($A80,'NonXtal_SegEnds_Prot#'!$A:$AL,18,FALSE)</f>
        <v>137</v>
      </c>
      <c r="X80" s="5">
        <f>VLOOKUP($A80,'NonXtal_SegEnds_Prot#'!$A:$AL,21,FALSE)</f>
        <v>146</v>
      </c>
      <c r="Y80" s="5">
        <f>VLOOKUP($A80,'NonXtal_SegEnds_Prot#'!$A:$AL,24,FALSE)</f>
        <v>185</v>
      </c>
      <c r="Z80" s="5">
        <f>VLOOKUP($A80,'NonXtal_SegEnds_Prot#'!$A:$AL,27,FALSE)</f>
        <v>192</v>
      </c>
      <c r="AA80" s="5">
        <f>VLOOKUP($A80,'NonXtal_SegEnds_Prot#'!$A:$AL,30,FALSE)</f>
        <v>389</v>
      </c>
      <c r="AB80" s="5">
        <f>VLOOKUP($A80,'NonXtal_SegEnds_Prot#'!$A:$AL,33,FALSE)</f>
        <v>431</v>
      </c>
      <c r="AC80" s="5">
        <f>VLOOKUP($A80,'NonXtal_SegEnds_Prot#'!$A:$AL,36,FALSE)</f>
        <v>457</v>
      </c>
      <c r="AD80" s="5">
        <f>VLOOKUP($A80,'NonXtal_SegEnds_Prot#'!$A:$AL,5,FALSE)</f>
        <v>60</v>
      </c>
      <c r="AE80" s="5">
        <f>VLOOKUP($A80,'NonXtal_SegEnds_Prot#'!$A:$AL,8,FALSE)</f>
        <v>64</v>
      </c>
      <c r="AF80" s="5">
        <f>VLOOKUP($A80,'NonXtal_SegEnds_Prot#'!$A:$AL,11,FALSE)</f>
        <v>95</v>
      </c>
      <c r="AG80" s="5">
        <f>VLOOKUP($A80,'NonXtal_SegEnds_Prot#'!$A:$AL,14,FALSE)</f>
        <v>100</v>
      </c>
      <c r="AH80" s="5">
        <f>VLOOKUP($A80,'NonXtal_SegEnds_Prot#'!$A:$AL,17,FALSE)</f>
        <v>136</v>
      </c>
      <c r="AI80" s="5">
        <f>VLOOKUP($A80,'NonXtal_SegEnds_Prot#'!$A:$AL,20,FALSE)</f>
        <v>144</v>
      </c>
      <c r="AJ80" s="5">
        <f>VLOOKUP($A80,'NonXtal_SegEnds_Prot#'!$A:$AL,23,FALSE)</f>
        <v>176</v>
      </c>
      <c r="AK80" s="5">
        <f>VLOOKUP($A80,'NonXtal_SegEnds_Prot#'!$A:$AL,26,FALSE)</f>
        <v>187</v>
      </c>
      <c r="AL80" s="5">
        <f>VLOOKUP($A80,'NonXtal_SegEnds_Prot#'!$A:$AL,29,FALSE)</f>
        <v>232</v>
      </c>
      <c r="AM80" s="5">
        <f>VLOOKUP($A80,'NonXtal_SegEnds_Prot#'!$A:$AL,32,FALSE)</f>
        <v>426</v>
      </c>
      <c r="AN80" s="5">
        <f>VLOOKUP($A80,'NonXtal_SegEnds_Prot#'!$A:$AL,35,FALSE)</f>
        <v>456</v>
      </c>
      <c r="AO80" s="5">
        <f>VLOOKUP($A80,'NonXtal_SegEnds_Prot#'!$A:$AL,38,FALSE)</f>
        <v>469</v>
      </c>
      <c r="AP80" s="5">
        <f t="shared" si="38"/>
        <v>34</v>
      </c>
      <c r="AQ80" s="4">
        <f t="shared" si="39"/>
        <v>3</v>
      </c>
      <c r="AR80" s="4">
        <f t="shared" si="40"/>
        <v>30</v>
      </c>
      <c r="AS80" s="4">
        <f t="shared" si="41"/>
        <v>3</v>
      </c>
      <c r="AT80" s="4">
        <f t="shared" si="42"/>
        <v>35</v>
      </c>
      <c r="AU80" s="4">
        <f t="shared" si="43"/>
        <v>7</v>
      </c>
      <c r="AV80" s="4">
        <f t="shared" si="44"/>
        <v>30</v>
      </c>
      <c r="AW80" s="4">
        <f t="shared" si="45"/>
        <v>2</v>
      </c>
      <c r="AX80" s="4">
        <f t="shared" si="46"/>
        <v>40</v>
      </c>
      <c r="AY80" s="4">
        <f t="shared" si="47"/>
        <v>37</v>
      </c>
      <c r="AZ80" s="4">
        <f t="shared" si="48"/>
        <v>25</v>
      </c>
      <c r="BA80" s="4">
        <f t="shared" si="49"/>
        <v>12</v>
      </c>
    </row>
    <row r="81" spans="1:53" x14ac:dyDescent="0.2">
      <c r="A81" s="1" t="str">
        <f>'NonXtal_SegEnds_Prot#'!A50</f>
        <v>gp162_human</v>
      </c>
      <c r="B81" s="1" t="str">
        <f t="shared" si="25"/>
        <v>GAEEASLRSNALSWLACGLLALLANAWIILSISAKKPLELLLCFLAGTHILMAAVPLTTFAVVQLRNESICKVFVSTYYTLALATCFTVASLSYHRMWMVRWKKQALHAVMGIWMVSFILSTLPSIGWHNNGEGLGFGVCFSLLLLGGIVMGLVCVAITFYQTLWARPRRARQESAKTSLQVTNLVSAIVFLYDSLTGVPILVVSFFSLKSPWMVLAVLWCSMAQTLLLPSFIWSCERYRADVRTVWE</v>
      </c>
      <c r="C81" s="72" t="str">
        <f>IF(ISERROR(MATCH(A81,'Xtal_SegEnds_Prot#'!B:B, 0)), "NoXtal", "Xtal")</f>
        <v>NoXtal</v>
      </c>
      <c r="D81" s="4" t="str">
        <f>VLOOKUP(A81,Classification!A:D,2,FALSE)</f>
        <v>A</v>
      </c>
      <c r="E81" s="5" t="str">
        <f>VLOOKUP(A81,Seqs!A:B,2,FALSE)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81" s="5" t="str">
        <f t="shared" si="26"/>
        <v>GAEEASLRSNALSWLACGLLALLANAWIILSISAK</v>
      </c>
      <c r="G81" s="4" t="str">
        <f t="shared" si="27"/>
        <v>QQKH</v>
      </c>
      <c r="H81" s="4" t="str">
        <f t="shared" si="28"/>
        <v>KPLELLLCFLAGTHILMAAVPLTTFAVVQLR</v>
      </c>
      <c r="I81" s="4" t="str">
        <f t="shared" si="29"/>
        <v>DYDW</v>
      </c>
      <c r="J81" s="4" t="str">
        <f t="shared" si="30"/>
        <v>NESICKVFVSTYYTLALATCFTVASLSYHRMWMVRW</v>
      </c>
      <c r="K81" s="4" t="str">
        <f t="shared" si="31"/>
        <v>PVNYRLSN</v>
      </c>
      <c r="L81" s="4" t="str">
        <f t="shared" si="32"/>
        <v>KKQALHAVMGIWMVSFILSTLPSIGWHNNGE</v>
      </c>
      <c r="M81" s="4" t="str">
        <f t="shared" si="33"/>
        <v>CQF</v>
      </c>
      <c r="N81" s="4" t="str">
        <f t="shared" si="34"/>
        <v>GLGFGVCFSLLLLGGIVMGLVCVAITFYQTLWARPRRARQ</v>
      </c>
      <c r="O81" s="4" t="str">
        <f t="shared" si="35"/>
        <v>ESAKTSLQVTNLVSAIVFLYDSLTGVPILVVSFFSLKS</v>
      </c>
      <c r="P81" s="4" t="str">
        <f t="shared" si="36"/>
        <v>PWMVLAVLWCSMAQTLLLPSFIWS</v>
      </c>
      <c r="Q81" s="4" t="str">
        <f t="shared" si="37"/>
        <v>CERYRADVRTVWE</v>
      </c>
      <c r="R81" s="5">
        <f>VLOOKUP($A81,'NonXtal_SegEnds_Prot#'!$A:$AL,3,FALSE)</f>
        <v>7</v>
      </c>
      <c r="S81" s="5">
        <f>VLOOKUP($A81,'NonXtal_SegEnds_Prot#'!$A:$AL,6,FALSE)</f>
        <v>42</v>
      </c>
      <c r="T81" s="5">
        <f>VLOOKUP($A81,'NonXtal_SegEnds_Prot#'!$A:$AL,9,FALSE)</f>
        <v>46</v>
      </c>
      <c r="U81" s="5">
        <f>VLOOKUP($A81,'NonXtal_SegEnds_Prot#'!$A:$AL,12,FALSE)</f>
        <v>82</v>
      </c>
      <c r="V81" s="5">
        <f>VLOOKUP($A81,'NonXtal_SegEnds_Prot#'!$A:$AL,15,FALSE)</f>
        <v>86</v>
      </c>
      <c r="W81" s="5">
        <f>VLOOKUP($A81,'NonXtal_SegEnds_Prot#'!$A:$AL,18,FALSE)</f>
        <v>122</v>
      </c>
      <c r="X81" s="5">
        <f>VLOOKUP($A81,'NonXtal_SegEnds_Prot#'!$A:$AL,21,FALSE)</f>
        <v>131</v>
      </c>
      <c r="Y81" s="5">
        <f>VLOOKUP($A81,'NonXtal_SegEnds_Prot#'!$A:$AL,24,FALSE)</f>
        <v>168</v>
      </c>
      <c r="Z81" s="5">
        <f>VLOOKUP($A81,'NonXtal_SegEnds_Prot#'!$A:$AL,27,FALSE)</f>
        <v>176</v>
      </c>
      <c r="AA81" s="5">
        <f>VLOOKUP($A81,'NonXtal_SegEnds_Prot#'!$A:$AL,30,FALSE)</f>
        <v>261</v>
      </c>
      <c r="AB81" s="5">
        <f>VLOOKUP($A81,'NonXtal_SegEnds_Prot#'!$A:$AL,33,FALSE)</f>
        <v>303</v>
      </c>
      <c r="AC81" s="5">
        <f>VLOOKUP($A81,'NonXtal_SegEnds_Prot#'!$A:$AL,36,FALSE)</f>
        <v>327</v>
      </c>
      <c r="AD81" s="5">
        <f>VLOOKUP($A81,'NonXtal_SegEnds_Prot#'!$A:$AL,5,FALSE)</f>
        <v>41</v>
      </c>
      <c r="AE81" s="5">
        <f>VLOOKUP($A81,'NonXtal_SegEnds_Prot#'!$A:$AL,8,FALSE)</f>
        <v>45</v>
      </c>
      <c r="AF81" s="5">
        <f>VLOOKUP($A81,'NonXtal_SegEnds_Prot#'!$A:$AL,11,FALSE)</f>
        <v>76</v>
      </c>
      <c r="AG81" s="5">
        <f>VLOOKUP($A81,'NonXtal_SegEnds_Prot#'!$A:$AL,14,FALSE)</f>
        <v>85</v>
      </c>
      <c r="AH81" s="5">
        <f>VLOOKUP($A81,'NonXtal_SegEnds_Prot#'!$A:$AL,17,FALSE)</f>
        <v>121</v>
      </c>
      <c r="AI81" s="5">
        <f>VLOOKUP($A81,'NonXtal_SegEnds_Prot#'!$A:$AL,20,FALSE)</f>
        <v>129</v>
      </c>
      <c r="AJ81" s="5">
        <f>VLOOKUP($A81,'NonXtal_SegEnds_Prot#'!$A:$AL,23,FALSE)</f>
        <v>161</v>
      </c>
      <c r="AK81" s="5">
        <f>VLOOKUP($A81,'NonXtal_SegEnds_Prot#'!$A:$AL,26,FALSE)</f>
        <v>170</v>
      </c>
      <c r="AL81" s="5">
        <f>VLOOKUP($A81,'NonXtal_SegEnds_Prot#'!$A:$AL,29,FALSE)</f>
        <v>215</v>
      </c>
      <c r="AM81" s="5">
        <f>VLOOKUP($A81,'NonXtal_SegEnds_Prot#'!$A:$AL,32,FALSE)</f>
        <v>298</v>
      </c>
      <c r="AN81" s="5">
        <f>VLOOKUP($A81,'NonXtal_SegEnds_Prot#'!$A:$AL,35,FALSE)</f>
        <v>326</v>
      </c>
      <c r="AO81" s="5">
        <f>VLOOKUP($A81,'NonXtal_SegEnds_Prot#'!$A:$AL,38,FALSE)</f>
        <v>339</v>
      </c>
      <c r="AP81" s="5">
        <f t="shared" si="38"/>
        <v>34</v>
      </c>
      <c r="AQ81" s="4">
        <f t="shared" si="39"/>
        <v>3</v>
      </c>
      <c r="AR81" s="4">
        <f t="shared" si="40"/>
        <v>30</v>
      </c>
      <c r="AS81" s="4">
        <f t="shared" si="41"/>
        <v>3</v>
      </c>
      <c r="AT81" s="4">
        <f t="shared" si="42"/>
        <v>35</v>
      </c>
      <c r="AU81" s="4">
        <f t="shared" si="43"/>
        <v>7</v>
      </c>
      <c r="AV81" s="4">
        <f t="shared" si="44"/>
        <v>30</v>
      </c>
      <c r="AW81" s="4">
        <f t="shared" si="45"/>
        <v>2</v>
      </c>
      <c r="AX81" s="4">
        <f t="shared" si="46"/>
        <v>39</v>
      </c>
      <c r="AY81" s="4">
        <f t="shared" si="47"/>
        <v>37</v>
      </c>
      <c r="AZ81" s="4">
        <f t="shared" si="48"/>
        <v>23</v>
      </c>
      <c r="BA81" s="4">
        <f t="shared" si="49"/>
        <v>12</v>
      </c>
    </row>
    <row r="82" spans="1:53" x14ac:dyDescent="0.2">
      <c r="A82" s="1" t="str">
        <f>'NonXtal_SegEnds_Prot#'!A51</f>
        <v>rxfp2_human</v>
      </c>
      <c r="B82" s="1" t="str">
        <f t="shared" si="25"/>
        <v>SSFEDLLANNILRIFVWVIAFITCFGNLFVIGMRSFITTHAMSIKILCCADCLMGVYLFFVGIFDIKYLWMESVQCRLMGFLAMLSTEVSVLLLTYLTLEKFLVIVFKRQTSVILICIWMAGFLIAVIPFWNKSKGYSLGIFLGVNLLAFLIIVFSYITMFCSIQKTALQTRNCFGREVAVANRFFFIVFSDAICWIPVFVVKILSLFRDTMTSWIVIFFLPVNSALNPILYTLTTNFFKDKLKQLLH</v>
      </c>
      <c r="C82" s="72" t="str">
        <f>IF(ISERROR(MATCH(A82,'Xtal_SegEnds_Prot#'!B:B, 0)), "NoXtal", "Xtal")</f>
        <v>NoXtal</v>
      </c>
      <c r="D82" s="4" t="str">
        <f>VLOOKUP(A82,Classification!A:D,2,FALSE)</f>
        <v>A</v>
      </c>
      <c r="E82" s="5" t="str">
        <f>VLOOKUP(A82,Seqs!A:B,2,FALSE)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82" s="5" t="str">
        <f t="shared" si="26"/>
        <v>SSFEDLLANNILRIFVWVIAFITCFGNLFVIGMRSFI</v>
      </c>
      <c r="G82" s="4" t="str">
        <f t="shared" si="27"/>
        <v>KAEN</v>
      </c>
      <c r="H82" s="4" t="str">
        <f t="shared" si="28"/>
        <v>TTHAMSIKILCCADCLMGVYLFFVGIFDIKY</v>
      </c>
      <c r="I82" s="4" t="str">
        <f t="shared" si="29"/>
        <v>KYAL</v>
      </c>
      <c r="J82" s="4" t="str">
        <f t="shared" si="30"/>
        <v>LWMESVQCRLMGFLAMLSTEVSVLLLTYLTLEKFLVIVF</v>
      </c>
      <c r="K82" s="4" t="str">
        <f t="shared" si="31"/>
        <v>PFSNIRPG</v>
      </c>
      <c r="L82" s="4" t="str">
        <f t="shared" si="32"/>
        <v>KRQTSVILICIWMAGFLIAVIPFWNK</v>
      </c>
      <c r="M82" s="4" t="str">
        <f t="shared" si="33"/>
        <v>CFP</v>
      </c>
      <c r="N82" s="4" t="str">
        <f t="shared" si="34"/>
        <v>SKGYSLGIFLGVNLLAFLIIVFSYITMFCSIQKTALQT</v>
      </c>
      <c r="O82" s="4" t="str">
        <f t="shared" si="35"/>
        <v>RNCFGREVAVANRFFFIVFSDAICWIPVFVVKILSLFR</v>
      </c>
      <c r="P82" s="4" t="str">
        <f t="shared" si="36"/>
        <v>DTMTSWIVIFFLPVNSALNPILYTLT</v>
      </c>
      <c r="Q82" s="4" t="str">
        <f t="shared" si="37"/>
        <v>TNFFKDKLKQLLH</v>
      </c>
      <c r="R82" s="5">
        <f>VLOOKUP($A82,'NonXtal_SegEnds_Prot#'!$A:$AL,3,FALSE)</f>
        <v>407</v>
      </c>
      <c r="S82" s="5">
        <f>VLOOKUP($A82,'NonXtal_SegEnds_Prot#'!$A:$AL,6,FALSE)</f>
        <v>444</v>
      </c>
      <c r="T82" s="5">
        <f>VLOOKUP($A82,'NonXtal_SegEnds_Prot#'!$A:$AL,9,FALSE)</f>
        <v>448</v>
      </c>
      <c r="U82" s="5">
        <f>VLOOKUP($A82,'NonXtal_SegEnds_Prot#'!$A:$AL,12,FALSE)</f>
        <v>484</v>
      </c>
      <c r="V82" s="5">
        <f>VLOOKUP($A82,'NonXtal_SegEnds_Prot#'!$A:$AL,15,FALSE)</f>
        <v>488</v>
      </c>
      <c r="W82" s="5">
        <f>VLOOKUP($A82,'NonXtal_SegEnds_Prot#'!$A:$AL,18,FALSE)</f>
        <v>527</v>
      </c>
      <c r="X82" s="5">
        <f>VLOOKUP($A82,'NonXtal_SegEnds_Prot#'!$A:$AL,21,FALSE)</f>
        <v>535</v>
      </c>
      <c r="Y82" s="5">
        <f>VLOOKUP($A82,'NonXtal_SegEnds_Prot#'!$A:$AL,24,FALSE)</f>
        <v>573</v>
      </c>
      <c r="Z82" s="5">
        <f>VLOOKUP($A82,'NonXtal_SegEnds_Prot#'!$A:$AL,27,FALSE)</f>
        <v>586</v>
      </c>
      <c r="AA82" s="5">
        <f>VLOOKUP($A82,'NonXtal_SegEnds_Prot#'!$A:$AL,30,FALSE)</f>
        <v>627</v>
      </c>
      <c r="AB82" s="5">
        <f>VLOOKUP($A82,'NonXtal_SegEnds_Prot#'!$A:$AL,33,FALSE)</f>
        <v>669</v>
      </c>
      <c r="AC82" s="5">
        <f>VLOOKUP($A82,'NonXtal_SegEnds_Prot#'!$A:$AL,36,FALSE)</f>
        <v>695</v>
      </c>
      <c r="AD82" s="5">
        <f>VLOOKUP($A82,'NonXtal_SegEnds_Prot#'!$A:$AL,5,FALSE)</f>
        <v>443</v>
      </c>
      <c r="AE82" s="5">
        <f>VLOOKUP($A82,'NonXtal_SegEnds_Prot#'!$A:$AL,8,FALSE)</f>
        <v>447</v>
      </c>
      <c r="AF82" s="5">
        <f>VLOOKUP($A82,'NonXtal_SegEnds_Prot#'!$A:$AL,11,FALSE)</f>
        <v>478</v>
      </c>
      <c r="AG82" s="5">
        <f>VLOOKUP($A82,'NonXtal_SegEnds_Prot#'!$A:$AL,14,FALSE)</f>
        <v>487</v>
      </c>
      <c r="AH82" s="5">
        <f>VLOOKUP($A82,'NonXtal_SegEnds_Prot#'!$A:$AL,17,FALSE)</f>
        <v>526</v>
      </c>
      <c r="AI82" s="5">
        <f>VLOOKUP($A82,'NonXtal_SegEnds_Prot#'!$A:$AL,20,FALSE)</f>
        <v>534</v>
      </c>
      <c r="AJ82" s="5">
        <f>VLOOKUP($A82,'NonXtal_SegEnds_Prot#'!$A:$AL,23,FALSE)</f>
        <v>560</v>
      </c>
      <c r="AK82" s="5">
        <f>VLOOKUP($A82,'NonXtal_SegEnds_Prot#'!$A:$AL,26,FALSE)</f>
        <v>575</v>
      </c>
      <c r="AL82" s="5">
        <f>VLOOKUP($A82,'NonXtal_SegEnds_Prot#'!$A:$AL,29,FALSE)</f>
        <v>623</v>
      </c>
      <c r="AM82" s="5">
        <f>VLOOKUP($A82,'NonXtal_SegEnds_Prot#'!$A:$AL,32,FALSE)</f>
        <v>664</v>
      </c>
      <c r="AN82" s="5">
        <f>VLOOKUP($A82,'NonXtal_SegEnds_Prot#'!$A:$AL,35,FALSE)</f>
        <v>694</v>
      </c>
      <c r="AO82" s="5">
        <f>VLOOKUP($A82,'NonXtal_SegEnds_Prot#'!$A:$AL,38,FALSE)</f>
        <v>707</v>
      </c>
      <c r="AP82" s="5">
        <f t="shared" si="38"/>
        <v>36</v>
      </c>
      <c r="AQ82" s="4">
        <f t="shared" si="39"/>
        <v>3</v>
      </c>
      <c r="AR82" s="4">
        <f t="shared" si="40"/>
        <v>30</v>
      </c>
      <c r="AS82" s="4">
        <f t="shared" si="41"/>
        <v>3</v>
      </c>
      <c r="AT82" s="4">
        <f t="shared" si="42"/>
        <v>38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37</v>
      </c>
      <c r="AY82" s="4">
        <f t="shared" si="47"/>
        <v>37</v>
      </c>
      <c r="AZ82" s="4">
        <f t="shared" si="48"/>
        <v>25</v>
      </c>
      <c r="BA82" s="4">
        <f t="shared" si="49"/>
        <v>12</v>
      </c>
    </row>
    <row r="83" spans="1:53" x14ac:dyDescent="0.2">
      <c r="A83" s="1" t="str">
        <f>'NonXtal_SegEnds_Prot#'!A52</f>
        <v>ada1d_human</v>
      </c>
      <c r="B83" s="1" t="str">
        <f t="shared" si="25"/>
        <v>GGLVVSAQGVGVGVFLAAFILMAVAGNLLVILSVACNTVTNYFIVNLAVADLLLSATVLPFSATMEVLGRAFCDVWAAVDVLCCTASILSLCTISVDRYVGVRHERKAAAILALLWVVALVVSVGPLLGWEAGYAVFSSVCSFYLPMAVIVVMYCRVYVVARSTTRSLEALLKFSREKKAAKTLAIVVGVFVLCWFPFFFVLPLGSLFSEGVFKVIFWLGYFNSCVNPLIYPCSSREFKRAFLRLLR</v>
      </c>
      <c r="C83" s="72" t="str">
        <f>IF(ISERROR(MATCH(A83,'Xtal_SegEnds_Prot#'!B:B, 0)), "NoXtal", "Xtal")</f>
        <v>NoXtal</v>
      </c>
      <c r="D83" s="4" t="str">
        <f>VLOOKUP(A83,Classification!A:D,2,FALSE)</f>
        <v>A</v>
      </c>
      <c r="E83" s="5" t="str">
        <f>VLOOKUP(A83,Seqs!A:B,2,FALSE)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83" s="5" t="str">
        <f t="shared" si="26"/>
        <v>GGLVVSAQGVGVGVFLAAFILMAVAGNLLVILSVACN</v>
      </c>
      <c r="G83" s="4" t="str">
        <f t="shared" si="27"/>
        <v>RHLQ</v>
      </c>
      <c r="H83" s="4" t="str">
        <f t="shared" si="28"/>
        <v>TVTNYFIVNLAVADLLLSATVLPFSATMEVL</v>
      </c>
      <c r="I83" s="4" t="str">
        <f t="shared" si="29"/>
        <v>FWAF</v>
      </c>
      <c r="J83" s="4" t="str">
        <f t="shared" si="30"/>
        <v>GRAFCDVWAAVDVLCCTASILSLCTISVDRYVGVRH</v>
      </c>
      <c r="K83" s="4" t="str">
        <f t="shared" si="31"/>
        <v>SLKYPAIM</v>
      </c>
      <c r="L83" s="4" t="str">
        <f t="shared" si="32"/>
        <v>ERKAAAILALLWVVALVVSVGPLLGW</v>
      </c>
      <c r="M83" s="4" t="str">
        <f t="shared" si="33"/>
        <v>CGI</v>
      </c>
      <c r="N83" s="4" t="str">
        <f t="shared" si="34"/>
        <v>EAGYAVFSSVCSFYLPMAVIVVMYCRVYVVARSTTRSLEA</v>
      </c>
      <c r="O83" s="4" t="str">
        <f t="shared" si="35"/>
        <v>LLKFSREKKAAKTLAIVVGVFVLCWFPFFFVLPLGSLF</v>
      </c>
      <c r="P83" s="4" t="str">
        <f t="shared" si="36"/>
        <v>SEGVFKVIFWLGYFNSCVNPLIYPCS</v>
      </c>
      <c r="Q83" s="4" t="str">
        <f t="shared" si="37"/>
        <v>SREFKRAFLRLLR</v>
      </c>
      <c r="R83" s="5">
        <f>VLOOKUP($A83,'NonXtal_SegEnds_Prot#'!$A:$AL,3,FALSE)</f>
        <v>88</v>
      </c>
      <c r="S83" s="5">
        <f>VLOOKUP($A83,'NonXtal_SegEnds_Prot#'!$A:$AL,6,FALSE)</f>
        <v>125</v>
      </c>
      <c r="T83" s="5">
        <f>VLOOKUP($A83,'NonXtal_SegEnds_Prot#'!$A:$AL,9,FALSE)</f>
        <v>129</v>
      </c>
      <c r="U83" s="5">
        <f>VLOOKUP($A83,'NonXtal_SegEnds_Prot#'!$A:$AL,12,FALSE)</f>
        <v>161</v>
      </c>
      <c r="V83" s="5">
        <f>VLOOKUP($A83,'NonXtal_SegEnds_Prot#'!$A:$AL,15,FALSE)</f>
        <v>165</v>
      </c>
      <c r="W83" s="5">
        <f>VLOOKUP($A83,'NonXtal_SegEnds_Prot#'!$A:$AL,18,FALSE)</f>
        <v>201</v>
      </c>
      <c r="X83" s="5">
        <f>VLOOKUP($A83,'NonXtal_SegEnds_Prot#'!$A:$AL,21,FALSE)</f>
        <v>210</v>
      </c>
      <c r="Y83" s="5">
        <f>VLOOKUP($A83,'NonXtal_SegEnds_Prot#'!$A:$AL,24,FALSE)</f>
        <v>246</v>
      </c>
      <c r="Z83" s="5">
        <f>VLOOKUP($A83,'NonXtal_SegEnds_Prot#'!$A:$AL,27,FALSE)</f>
        <v>251</v>
      </c>
      <c r="AA83" s="5">
        <f>VLOOKUP($A83,'NonXtal_SegEnds_Prot#'!$A:$AL,30,FALSE)</f>
        <v>337</v>
      </c>
      <c r="AB83" s="5">
        <f>VLOOKUP($A83,'NonXtal_SegEnds_Prot#'!$A:$AL,33,FALSE)</f>
        <v>380</v>
      </c>
      <c r="AC83" s="5">
        <f>VLOOKUP($A83,'NonXtal_SegEnds_Prot#'!$A:$AL,36,FALSE)</f>
        <v>406</v>
      </c>
      <c r="AD83" s="5">
        <f>VLOOKUP($A83,'NonXtal_SegEnds_Prot#'!$A:$AL,5,FALSE)</f>
        <v>124</v>
      </c>
      <c r="AE83" s="5">
        <f>VLOOKUP($A83,'NonXtal_SegEnds_Prot#'!$A:$AL,8,FALSE)</f>
        <v>128</v>
      </c>
      <c r="AF83" s="5">
        <f>VLOOKUP($A83,'NonXtal_SegEnds_Prot#'!$A:$AL,11,FALSE)</f>
        <v>159</v>
      </c>
      <c r="AG83" s="5">
        <f>VLOOKUP($A83,'NonXtal_SegEnds_Prot#'!$A:$AL,14,FALSE)</f>
        <v>164</v>
      </c>
      <c r="AH83" s="5">
        <f>VLOOKUP($A83,'NonXtal_SegEnds_Prot#'!$A:$AL,17,FALSE)</f>
        <v>200</v>
      </c>
      <c r="AI83" s="5">
        <f>VLOOKUP($A83,'NonXtal_SegEnds_Prot#'!$A:$AL,20,FALSE)</f>
        <v>208</v>
      </c>
      <c r="AJ83" s="5">
        <f>VLOOKUP($A83,'NonXtal_SegEnds_Prot#'!$A:$AL,23,FALSE)</f>
        <v>235</v>
      </c>
      <c r="AK83" s="5">
        <f>VLOOKUP($A83,'NonXtal_SegEnds_Prot#'!$A:$AL,26,FALSE)</f>
        <v>248</v>
      </c>
      <c r="AL83" s="5">
        <f>VLOOKUP($A83,'NonXtal_SegEnds_Prot#'!$A:$AL,29,FALSE)</f>
        <v>290</v>
      </c>
      <c r="AM83" s="5">
        <f>VLOOKUP($A83,'NonXtal_SegEnds_Prot#'!$A:$AL,32,FALSE)</f>
        <v>374</v>
      </c>
      <c r="AN83" s="5">
        <f>VLOOKUP($A83,'NonXtal_SegEnds_Prot#'!$A:$AL,35,FALSE)</f>
        <v>405</v>
      </c>
      <c r="AO83" s="5">
        <f>VLOOKUP($A83,'NonXtal_SegEnds_Prot#'!$A:$AL,38,FALSE)</f>
        <v>418</v>
      </c>
      <c r="AP83" s="5">
        <f t="shared" si="38"/>
        <v>36</v>
      </c>
      <c r="AQ83" s="4">
        <f t="shared" si="39"/>
        <v>3</v>
      </c>
      <c r="AR83" s="4">
        <f t="shared" si="40"/>
        <v>30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25</v>
      </c>
      <c r="AW83" s="4">
        <f t="shared" si="45"/>
        <v>2</v>
      </c>
      <c r="AX83" s="4">
        <f t="shared" si="46"/>
        <v>39</v>
      </c>
      <c r="AY83" s="4">
        <f t="shared" si="47"/>
        <v>37</v>
      </c>
      <c r="AZ83" s="4">
        <f t="shared" si="48"/>
        <v>25</v>
      </c>
      <c r="BA83" s="4">
        <f t="shared" si="49"/>
        <v>12</v>
      </c>
    </row>
    <row r="84" spans="1:53" x14ac:dyDescent="0.2">
      <c r="A84" s="1" t="str">
        <f>'NonXtal_SegEnds_Prot#'!A53</f>
        <v>drd5_human</v>
      </c>
      <c r="B84" s="1" t="str">
        <f t="shared" si="25"/>
        <v>GAPPLGPSQVVTACLLTLLIIWTLLGNVLVCAAIVRSANMTNVFIVSLAVSDLFVALLVMPWKAVAEVGAFCDVWVAFDIMCSTASILNLCVISVDRYWAISRQRMALVMVGLAWTLSILISFIPVQLNNRTYAISSSLISFYIPVAIMIVTYTRIYRIAQVQIRRISSLERASIKKETKVLKTLSVIMGVFVCCWLPFFILNCMVPFCSGHPAGFPCVSETTFDVFVWFGWANSSLNPVIYAFNADFQKVFAQLLGC</v>
      </c>
      <c r="C84" s="72" t="str">
        <f>IF(ISERROR(MATCH(A84,'Xtal_SegEnds_Prot#'!B:B, 0)), "NoXtal", "Xtal")</f>
        <v>NoXtal</v>
      </c>
      <c r="D84" s="4" t="str">
        <f>VLOOKUP(A84,Classification!A:D,2,FALSE)</f>
        <v>A</v>
      </c>
      <c r="E84" s="5" t="str">
        <f>VLOOKUP(A84,Seqs!A:B,2,FALSE)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84" s="5" t="str">
        <f t="shared" si="26"/>
        <v>GAPPLGPSQVVTACLLTLLIIWTLLGNVLVCAAIVRS</v>
      </c>
      <c r="G84" s="4" t="str">
        <f t="shared" si="27"/>
        <v>RHLR</v>
      </c>
      <c r="H84" s="4" t="str">
        <f t="shared" si="28"/>
        <v>ANMTNVFIVSLAVSDLFVALLVMPWKAVAEV</v>
      </c>
      <c r="I84" s="4" t="str">
        <f t="shared" si="29"/>
        <v>YWPF</v>
      </c>
      <c r="J84" s="4" t="str">
        <f t="shared" si="30"/>
        <v>GAFCDVWVAFDIMCSTASILNLCVISVDRYWAISR</v>
      </c>
      <c r="K84" s="4" t="str">
        <f t="shared" si="31"/>
        <v>PFRYKRKM</v>
      </c>
      <c r="L84" s="4" t="str">
        <f t="shared" si="32"/>
        <v>QRMALVMVGLAWTLSILISFIPVQLN</v>
      </c>
      <c r="M84" s="4" t="str">
        <f t="shared" si="33"/>
        <v>CDS</v>
      </c>
      <c r="N84" s="4" t="str">
        <f t="shared" si="34"/>
        <v>NRTYAISSSLISFYIPVAIMIVTYTRIYRIAQVQIRRISSLE</v>
      </c>
      <c r="O84" s="4" t="str">
        <f t="shared" si="35"/>
        <v>RASIKKETKVLKTLSVIMGVFVCCWLPFFILNCMVPFCSGH</v>
      </c>
      <c r="P84" s="4" t="str">
        <f t="shared" si="36"/>
        <v>PAGFPCVSETTFDVFVWFGWANSSLNPVIYAFN</v>
      </c>
      <c r="Q84" s="4" t="str">
        <f t="shared" si="37"/>
        <v>ADFQKVFAQLLGC</v>
      </c>
      <c r="R84" s="5">
        <f>VLOOKUP($A84,'NonXtal_SegEnds_Prot#'!$A:$AL,3,FALSE)</f>
        <v>32</v>
      </c>
      <c r="S84" s="5">
        <f>VLOOKUP($A84,'NonXtal_SegEnds_Prot#'!$A:$AL,6,FALSE)</f>
        <v>69</v>
      </c>
      <c r="T84" s="5">
        <f>VLOOKUP($A84,'NonXtal_SegEnds_Prot#'!$A:$AL,9,FALSE)</f>
        <v>73</v>
      </c>
      <c r="U84" s="5">
        <f>VLOOKUP($A84,'NonXtal_SegEnds_Prot#'!$A:$AL,12,FALSE)</f>
        <v>106</v>
      </c>
      <c r="V84" s="5">
        <f>VLOOKUP($A84,'NonXtal_SegEnds_Prot#'!$A:$AL,15,FALSE)</f>
        <v>110</v>
      </c>
      <c r="W84" s="5">
        <f>VLOOKUP($A84,'NonXtal_SegEnds_Prot#'!$A:$AL,18,FALSE)</f>
        <v>145</v>
      </c>
      <c r="X84" s="5">
        <f>VLOOKUP($A84,'NonXtal_SegEnds_Prot#'!$A:$AL,21,FALSE)</f>
        <v>154</v>
      </c>
      <c r="Y84" s="5">
        <f>VLOOKUP($A84,'NonXtal_SegEnds_Prot#'!$A:$AL,24,FALSE)</f>
        <v>217</v>
      </c>
      <c r="Z84" s="5">
        <f>VLOOKUP($A84,'NonXtal_SegEnds_Prot#'!$A:$AL,27,FALSE)</f>
        <v>222</v>
      </c>
      <c r="AA84" s="5">
        <f>VLOOKUP($A84,'NonXtal_SegEnds_Prot#'!$A:$AL,30,FALSE)</f>
        <v>285</v>
      </c>
      <c r="AB84" s="5">
        <f>VLOOKUP($A84,'NonXtal_SegEnds_Prot#'!$A:$AL,33,FALSE)</f>
        <v>330</v>
      </c>
      <c r="AC84" s="5">
        <f>VLOOKUP($A84,'NonXtal_SegEnds_Prot#'!$A:$AL,36,FALSE)</f>
        <v>363</v>
      </c>
      <c r="AD84" s="5">
        <f>VLOOKUP($A84,'NonXtal_SegEnds_Prot#'!$A:$AL,5,FALSE)</f>
        <v>68</v>
      </c>
      <c r="AE84" s="5">
        <f>VLOOKUP($A84,'NonXtal_SegEnds_Prot#'!$A:$AL,8,FALSE)</f>
        <v>72</v>
      </c>
      <c r="AF84" s="5">
        <f>VLOOKUP($A84,'NonXtal_SegEnds_Prot#'!$A:$AL,11,FALSE)</f>
        <v>103</v>
      </c>
      <c r="AG84" s="5">
        <f>VLOOKUP($A84,'NonXtal_SegEnds_Prot#'!$A:$AL,14,FALSE)</f>
        <v>109</v>
      </c>
      <c r="AH84" s="5">
        <f>VLOOKUP($A84,'NonXtal_SegEnds_Prot#'!$A:$AL,17,FALSE)</f>
        <v>144</v>
      </c>
      <c r="AI84" s="5">
        <f>VLOOKUP($A84,'NonXtal_SegEnds_Prot#'!$A:$AL,20,FALSE)</f>
        <v>152</v>
      </c>
      <c r="AJ84" s="5">
        <f>VLOOKUP($A84,'NonXtal_SegEnds_Prot#'!$A:$AL,23,FALSE)</f>
        <v>179</v>
      </c>
      <c r="AK84" s="5">
        <f>VLOOKUP($A84,'NonXtal_SegEnds_Prot#'!$A:$AL,26,FALSE)</f>
        <v>219</v>
      </c>
      <c r="AL84" s="5">
        <f>VLOOKUP($A84,'NonXtal_SegEnds_Prot#'!$A:$AL,29,FALSE)</f>
        <v>263</v>
      </c>
      <c r="AM84" s="5">
        <f>VLOOKUP($A84,'NonXtal_SegEnds_Prot#'!$A:$AL,32,FALSE)</f>
        <v>325</v>
      </c>
      <c r="AN84" s="5">
        <f>VLOOKUP($A84,'NonXtal_SegEnds_Prot#'!$A:$AL,35,FALSE)</f>
        <v>362</v>
      </c>
      <c r="AO84" s="5">
        <f>VLOOKUP($A84,'NonXtal_SegEnds_Prot#'!$A:$AL,38,FALSE)</f>
        <v>375</v>
      </c>
      <c r="AP84" s="5">
        <f t="shared" si="38"/>
        <v>36</v>
      </c>
      <c r="AQ84" s="4">
        <f t="shared" si="39"/>
        <v>3</v>
      </c>
      <c r="AR84" s="4">
        <f t="shared" si="40"/>
        <v>30</v>
      </c>
      <c r="AS84" s="4">
        <f t="shared" si="41"/>
        <v>3</v>
      </c>
      <c r="AT84" s="4">
        <f t="shared" si="42"/>
        <v>34</v>
      </c>
      <c r="AU84" s="4">
        <f t="shared" si="43"/>
        <v>7</v>
      </c>
      <c r="AV84" s="4">
        <f t="shared" si="44"/>
        <v>25</v>
      </c>
      <c r="AW84" s="4">
        <f t="shared" si="45"/>
        <v>2</v>
      </c>
      <c r="AX84" s="4">
        <f t="shared" si="46"/>
        <v>41</v>
      </c>
      <c r="AY84" s="4">
        <f t="shared" si="47"/>
        <v>40</v>
      </c>
      <c r="AZ84" s="4">
        <f t="shared" si="48"/>
        <v>32</v>
      </c>
      <c r="BA84" s="4">
        <f t="shared" si="49"/>
        <v>12</v>
      </c>
    </row>
    <row r="85" spans="1:53" x14ac:dyDescent="0.2">
      <c r="A85" s="1" t="str">
        <f>'NonXtal_SegEnds_Prot#'!A54</f>
        <v>adrb1_human</v>
      </c>
      <c r="B85" s="1" t="str">
        <f t="shared" si="25"/>
        <v>PEPLSQQWTAGMGLLMALIVLLIVAGNVLVIVAIAKTTLTNLFIMSLASADLVMGLLVVPFGATIVVWGSFFCELWTSVDVLCVTASIETLCVIALDRYLAITSRARARGLVCTVWAISALVSFLPILMHNRAYAIASSVVSFYVPLCIMAFVYLRVFREAQKQVKKIDSRLVALREQKALKTLGIIMGVFTLCWLPFFLANVVKAFHPDRLFVFFNWLGYANSAFNPIIYCRSPDFRKAFQRLLC</v>
      </c>
      <c r="C85" s="72" t="str">
        <f>IF(ISERROR(MATCH(A85,'Xtal_SegEnds_Prot#'!B:B, 0)), "NoXtal", "Xtal")</f>
        <v>NoXtal</v>
      </c>
      <c r="D85" s="4" t="str">
        <f>VLOOKUP(A85,Classification!A:D,2,FALSE)</f>
        <v>A</v>
      </c>
      <c r="E85" s="5" t="str">
        <f>VLOOKUP(A85,Seqs!A:B,2,FALSE)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85" s="5" t="str">
        <f t="shared" si="26"/>
        <v>PEPLSQQWTAGMGLLMALIVLLIVAGNVLVIVAIAKT</v>
      </c>
      <c r="G85" s="4" t="str">
        <f t="shared" si="27"/>
        <v>PRLQ</v>
      </c>
      <c r="H85" s="4" t="str">
        <f t="shared" si="28"/>
        <v>TLTNLFIMSLASADLVMGLLVVPFGATIVVW</v>
      </c>
      <c r="I85" s="4" t="str">
        <f t="shared" si="29"/>
        <v>RWEY</v>
      </c>
      <c r="J85" s="4" t="str">
        <f t="shared" si="30"/>
        <v>GSFFCELWTSVDVLCVTASIETLCVIALDRYLAITS</v>
      </c>
      <c r="K85" s="4" t="str">
        <f t="shared" si="31"/>
        <v>PFRYQSLL</v>
      </c>
      <c r="L85" s="4" t="str">
        <f t="shared" si="32"/>
        <v>RARARGLVCTVWAISALVSFLPILMH</v>
      </c>
      <c r="M85" s="4" t="str">
        <f t="shared" si="33"/>
        <v>CDF</v>
      </c>
      <c r="N85" s="4" t="str">
        <f t="shared" si="34"/>
        <v>NRAYAIASSVVSFYVPLCIMAFVYLRVFREAQKQVKKIDS</v>
      </c>
      <c r="O85" s="4" t="str">
        <f t="shared" si="35"/>
        <v>RLVALREQKALKTLGIIMGVFTLCWLPFFLANVVKAFH</v>
      </c>
      <c r="P85" s="4" t="str">
        <f t="shared" si="36"/>
        <v>PDRLFVFFNWLGYANSAFNPIIYCR</v>
      </c>
      <c r="Q85" s="4" t="str">
        <f t="shared" si="37"/>
        <v>SPDFRKAFQRLLC</v>
      </c>
      <c r="R85" s="5">
        <f>VLOOKUP($A85,'NonXtal_SegEnds_Prot#'!$A:$AL,3,FALSE)</f>
        <v>50</v>
      </c>
      <c r="S85" s="5">
        <f>VLOOKUP($A85,'NonXtal_SegEnds_Prot#'!$A:$AL,6,FALSE)</f>
        <v>87</v>
      </c>
      <c r="T85" s="5">
        <f>VLOOKUP($A85,'NonXtal_SegEnds_Prot#'!$A:$AL,9,FALSE)</f>
        <v>91</v>
      </c>
      <c r="U85" s="5">
        <f>VLOOKUP($A85,'NonXtal_SegEnds_Prot#'!$A:$AL,12,FALSE)</f>
        <v>123</v>
      </c>
      <c r="V85" s="5">
        <f>VLOOKUP($A85,'NonXtal_SegEnds_Prot#'!$A:$AL,15,FALSE)</f>
        <v>127</v>
      </c>
      <c r="W85" s="5">
        <f>VLOOKUP($A85,'NonXtal_SegEnds_Prot#'!$A:$AL,18,FALSE)</f>
        <v>163</v>
      </c>
      <c r="X85" s="5">
        <f>VLOOKUP($A85,'NonXtal_SegEnds_Prot#'!$A:$AL,21,FALSE)</f>
        <v>172</v>
      </c>
      <c r="Y85" s="5">
        <f>VLOOKUP($A85,'NonXtal_SegEnds_Prot#'!$A:$AL,24,FALSE)</f>
        <v>216</v>
      </c>
      <c r="Z85" s="5">
        <f>VLOOKUP($A85,'NonXtal_SegEnds_Prot#'!$A:$AL,27,FALSE)</f>
        <v>221</v>
      </c>
      <c r="AA85" s="5">
        <f>VLOOKUP($A85,'NonXtal_SegEnds_Prot#'!$A:$AL,30,FALSE)</f>
        <v>313</v>
      </c>
      <c r="AB85" s="5">
        <f>VLOOKUP($A85,'NonXtal_SegEnds_Prot#'!$A:$AL,33,FALSE)</f>
        <v>355</v>
      </c>
      <c r="AC85" s="5">
        <f>VLOOKUP($A85,'NonXtal_SegEnds_Prot#'!$A:$AL,36,FALSE)</f>
        <v>380</v>
      </c>
      <c r="AD85" s="5">
        <f>VLOOKUP($A85,'NonXtal_SegEnds_Prot#'!$A:$AL,5,FALSE)</f>
        <v>86</v>
      </c>
      <c r="AE85" s="5">
        <f>VLOOKUP($A85,'NonXtal_SegEnds_Prot#'!$A:$AL,8,FALSE)</f>
        <v>90</v>
      </c>
      <c r="AF85" s="5">
        <f>VLOOKUP($A85,'NonXtal_SegEnds_Prot#'!$A:$AL,11,FALSE)</f>
        <v>121</v>
      </c>
      <c r="AG85" s="5">
        <f>VLOOKUP($A85,'NonXtal_SegEnds_Prot#'!$A:$AL,14,FALSE)</f>
        <v>126</v>
      </c>
      <c r="AH85" s="5">
        <f>VLOOKUP($A85,'NonXtal_SegEnds_Prot#'!$A:$AL,17,FALSE)</f>
        <v>162</v>
      </c>
      <c r="AI85" s="5">
        <f>VLOOKUP($A85,'NonXtal_SegEnds_Prot#'!$A:$AL,20,FALSE)</f>
        <v>170</v>
      </c>
      <c r="AJ85" s="5">
        <f>VLOOKUP($A85,'NonXtal_SegEnds_Prot#'!$A:$AL,23,FALSE)</f>
        <v>197</v>
      </c>
      <c r="AK85" s="5">
        <f>VLOOKUP($A85,'NonXtal_SegEnds_Prot#'!$A:$AL,26,FALSE)</f>
        <v>218</v>
      </c>
      <c r="AL85" s="5">
        <f>VLOOKUP($A85,'NonXtal_SegEnds_Prot#'!$A:$AL,29,FALSE)</f>
        <v>260</v>
      </c>
      <c r="AM85" s="5">
        <f>VLOOKUP($A85,'NonXtal_SegEnds_Prot#'!$A:$AL,32,FALSE)</f>
        <v>350</v>
      </c>
      <c r="AN85" s="5">
        <f>VLOOKUP($A85,'NonXtal_SegEnds_Prot#'!$A:$AL,35,FALSE)</f>
        <v>379</v>
      </c>
      <c r="AO85" s="5">
        <f>VLOOKUP($A85,'NonXtal_SegEnds_Prot#'!$A:$AL,38,FALSE)</f>
        <v>392</v>
      </c>
      <c r="AP85" s="5">
        <f t="shared" si="38"/>
        <v>36</v>
      </c>
      <c r="AQ85" s="4">
        <f t="shared" si="39"/>
        <v>3</v>
      </c>
      <c r="AR85" s="4">
        <f t="shared" si="40"/>
        <v>30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25</v>
      </c>
      <c r="AW85" s="4">
        <f t="shared" si="45"/>
        <v>2</v>
      </c>
      <c r="AX85" s="4">
        <f t="shared" si="46"/>
        <v>39</v>
      </c>
      <c r="AY85" s="4">
        <f t="shared" si="47"/>
        <v>37</v>
      </c>
      <c r="AZ85" s="4">
        <f t="shared" si="48"/>
        <v>24</v>
      </c>
      <c r="BA85" s="4">
        <f t="shared" si="49"/>
        <v>12</v>
      </c>
    </row>
    <row r="86" spans="1:53" x14ac:dyDescent="0.2">
      <c r="A86" s="1" t="str">
        <f>'NonXtal_SegEnds_Prot#'!A55</f>
        <v>adrb1_melga</v>
      </c>
      <c r="B86" s="1" t="str">
        <f t="shared" si="25"/>
        <v>AELLSQQWEAGMSLLMALVVLLIVAGNVLVIAAIGRTTLTNLFITSLACADLVMGLLVVPFGATLVVRGSFLCECWTSLDVLCVTASIETLCVIAIDRYLAITSRARAKVIICTVWAISALVSFLPIMMHNRAYAIASSIISFYIPLLIMIFVYLRVYREAKEQIRKIDRCERKTSRVMAMREHKALKTLGIIMGVFTLCWLPFFLVNIVNVFNPDWLFVFFNWLGYANSAFNPIIYCRSPDFRKAFKRLLC</v>
      </c>
      <c r="C86" s="72" t="str">
        <f>IF(ISERROR(MATCH(A86,'Xtal_SegEnds_Prot#'!B:B, 0)), "NoXtal", "Xtal")</f>
        <v>Xtal</v>
      </c>
      <c r="D86" s="4" t="str">
        <f>VLOOKUP(A86,Classification!A:D,2,FALSE)</f>
        <v>A</v>
      </c>
      <c r="E86" s="5" t="str">
        <f>VLOOKUP(A86,Seqs!A:B,2,FALSE)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86" s="5" t="str">
        <f t="shared" si="26"/>
        <v>AELLSQQWEAGMSLLMALVVLLIVAGNVLVIAAIGRT</v>
      </c>
      <c r="G86" s="4" t="str">
        <f t="shared" si="27"/>
        <v>QRLQ</v>
      </c>
      <c r="H86" s="4" t="str">
        <f t="shared" si="28"/>
        <v>TLTNLFITSLACADLVMGLLVVPFGATLVVR</v>
      </c>
      <c r="I86" s="4" t="str">
        <f t="shared" si="29"/>
        <v>TWLW</v>
      </c>
      <c r="J86" s="4" t="str">
        <f t="shared" si="30"/>
        <v>GSFLCECWTSLDVLCVTASIETLCVIAIDRYLAITS</v>
      </c>
      <c r="K86" s="4" t="str">
        <f t="shared" si="31"/>
        <v>PFRYQSLM</v>
      </c>
      <c r="L86" s="4" t="str">
        <f t="shared" si="32"/>
        <v>RARAKVIICTVWAISALVSFLPIMMH</v>
      </c>
      <c r="M86" s="4" t="str">
        <f t="shared" si="33"/>
        <v>CDF</v>
      </c>
      <c r="N86" s="4" t="str">
        <f t="shared" si="34"/>
        <v>NRAYAIASSIISFYIPLLIMIFVYLRVYREAKEQIRKIDRCE</v>
      </c>
      <c r="O86" s="4" t="str">
        <f t="shared" si="35"/>
        <v>RKTSRVMAMREHKALKTLGIIMGVFTLCWLPFFLVNIVNVFN</v>
      </c>
      <c r="P86" s="4" t="str">
        <f t="shared" si="36"/>
        <v>PDWLFVFFNWLGYANSAFNPIIYCR</v>
      </c>
      <c r="Q86" s="4" t="str">
        <f t="shared" si="37"/>
        <v>SPDFRKAFKRLLC</v>
      </c>
      <c r="R86" s="5">
        <f>VLOOKUP($A86,'NonXtal_SegEnds_Prot#'!$A:$AL,3,FALSE)</f>
        <v>33</v>
      </c>
      <c r="S86" s="5">
        <f>VLOOKUP($A86,'NonXtal_SegEnds_Prot#'!$A:$AL,6,FALSE)</f>
        <v>70</v>
      </c>
      <c r="T86" s="5">
        <f>VLOOKUP($A86,'NonXtal_SegEnds_Prot#'!$A:$AL,9,FALSE)</f>
        <v>74</v>
      </c>
      <c r="U86" s="5">
        <f>VLOOKUP($A86,'NonXtal_SegEnds_Prot#'!$A:$AL,12,FALSE)</f>
        <v>106</v>
      </c>
      <c r="V86" s="5">
        <f>VLOOKUP($A86,'NonXtal_SegEnds_Prot#'!$A:$AL,15,FALSE)</f>
        <v>110</v>
      </c>
      <c r="W86" s="5">
        <f>VLOOKUP($A86,'NonXtal_SegEnds_Prot#'!$A:$AL,18,FALSE)</f>
        <v>146</v>
      </c>
      <c r="X86" s="5">
        <f>VLOOKUP($A86,'NonXtal_SegEnds_Prot#'!$A:$AL,21,FALSE)</f>
        <v>155</v>
      </c>
      <c r="Y86" s="5">
        <f>VLOOKUP($A86,'NonXtal_SegEnds_Prot#'!$A:$AL,24,FALSE)</f>
        <v>199</v>
      </c>
      <c r="Z86" s="5">
        <f>VLOOKUP($A86,'NonXtal_SegEnds_Prot#'!$A:$AL,27,FALSE)</f>
        <v>204</v>
      </c>
      <c r="AA86" s="5">
        <f>VLOOKUP($A86,'NonXtal_SegEnds_Prot#'!$A:$AL,30,FALSE)</f>
        <v>275</v>
      </c>
      <c r="AB86" s="5">
        <f>VLOOKUP($A86,'NonXtal_SegEnds_Prot#'!$A:$AL,33,FALSE)</f>
        <v>321</v>
      </c>
      <c r="AC86" s="5">
        <f>VLOOKUP($A86,'NonXtal_SegEnds_Prot#'!$A:$AL,36,FALSE)</f>
        <v>346</v>
      </c>
      <c r="AD86" s="5">
        <f>VLOOKUP($A86,'NonXtal_SegEnds_Prot#'!$A:$AL,5,FALSE)</f>
        <v>69</v>
      </c>
      <c r="AE86" s="5">
        <f>VLOOKUP($A86,'NonXtal_SegEnds_Prot#'!$A:$AL,8,FALSE)</f>
        <v>73</v>
      </c>
      <c r="AF86" s="5">
        <f>VLOOKUP($A86,'NonXtal_SegEnds_Prot#'!$A:$AL,11,FALSE)</f>
        <v>104</v>
      </c>
      <c r="AG86" s="5">
        <f>VLOOKUP($A86,'NonXtal_SegEnds_Prot#'!$A:$AL,14,FALSE)</f>
        <v>109</v>
      </c>
      <c r="AH86" s="5">
        <f>VLOOKUP($A86,'NonXtal_SegEnds_Prot#'!$A:$AL,17,FALSE)</f>
        <v>145</v>
      </c>
      <c r="AI86" s="5">
        <f>VLOOKUP($A86,'NonXtal_SegEnds_Prot#'!$A:$AL,20,FALSE)</f>
        <v>153</v>
      </c>
      <c r="AJ86" s="5">
        <f>VLOOKUP($A86,'NonXtal_SegEnds_Prot#'!$A:$AL,23,FALSE)</f>
        <v>180</v>
      </c>
      <c r="AK86" s="5">
        <f>VLOOKUP($A86,'NonXtal_SegEnds_Prot#'!$A:$AL,26,FALSE)</f>
        <v>201</v>
      </c>
      <c r="AL86" s="5">
        <f>VLOOKUP($A86,'NonXtal_SegEnds_Prot#'!$A:$AL,29,FALSE)</f>
        <v>245</v>
      </c>
      <c r="AM86" s="5">
        <f>VLOOKUP($A86,'NonXtal_SegEnds_Prot#'!$A:$AL,32,FALSE)</f>
        <v>316</v>
      </c>
      <c r="AN86" s="5">
        <f>VLOOKUP($A86,'NonXtal_SegEnds_Prot#'!$A:$AL,35,FALSE)</f>
        <v>345</v>
      </c>
      <c r="AO86" s="5">
        <f>VLOOKUP($A86,'NonXtal_SegEnds_Prot#'!$A:$AL,38,FALSE)</f>
        <v>358</v>
      </c>
      <c r="AP86" s="5">
        <f t="shared" si="38"/>
        <v>36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25</v>
      </c>
      <c r="AW86" s="4">
        <f t="shared" si="45"/>
        <v>2</v>
      </c>
      <c r="AX86" s="4">
        <f t="shared" si="46"/>
        <v>41</v>
      </c>
      <c r="AY86" s="4">
        <f t="shared" si="47"/>
        <v>41</v>
      </c>
      <c r="AZ86" s="4">
        <f t="shared" si="48"/>
        <v>24</v>
      </c>
      <c r="BA86" s="4">
        <f t="shared" si="49"/>
        <v>12</v>
      </c>
    </row>
    <row r="87" spans="1:53" x14ac:dyDescent="0.2">
      <c r="A87" s="1" t="str">
        <f>'NonXtal_SegEnds_Prot#'!A56</f>
        <v>adrb3_human</v>
      </c>
      <c r="B87" s="1" t="str">
        <f t="shared" si="25"/>
        <v>GLPGVPWEAALAGALLALAVLATVGGNLLVIVAIAWTTMTNVFVTSLAAADLVMGLLVVPPAATLALTGATGCELWTSVDVLCVTASIETLCALAVDRYLAVTNKRCARTAVVLVWVVSAAVSFAPIMSQNMPYVLLSSSVSFYLPLLVMLFVYARVFVVATRQLRLLRGELRLLPLREHRALCTLGLIMGTFTLCWLPFFLANVLRALGPGPAFLALNWLGYANSAFNPLIYCRSPDFRSAFRRLLC</v>
      </c>
      <c r="C87" s="72" t="str">
        <f>IF(ISERROR(MATCH(A87,'Xtal_SegEnds_Prot#'!B:B, 0)), "NoXtal", "Xtal")</f>
        <v>NoXtal</v>
      </c>
      <c r="D87" s="4" t="str">
        <f>VLOOKUP(A87,Classification!A:D,2,FALSE)</f>
        <v>A</v>
      </c>
      <c r="E87" s="5" t="str">
        <f>VLOOKUP(A87,Seqs!A:B,2,FALSE)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87" s="5" t="str">
        <f t="shared" si="26"/>
        <v>GLPGVPWEAALAGALLALAVLATVGGNLLVIVAIAWT</v>
      </c>
      <c r="G87" s="4" t="str">
        <f t="shared" si="27"/>
        <v>PRLQ</v>
      </c>
      <c r="H87" s="4" t="str">
        <f t="shared" si="28"/>
        <v>TMTNVFVTSLAAADLVMGLLVVPPAATLALT</v>
      </c>
      <c r="I87" s="4" t="str">
        <f t="shared" si="29"/>
        <v>HWPL</v>
      </c>
      <c r="J87" s="4" t="str">
        <f t="shared" si="30"/>
        <v>GATGCELWTSVDVLCVTASIETLCALAVDRYLAVTN</v>
      </c>
      <c r="K87" s="4" t="str">
        <f t="shared" si="31"/>
        <v>PLRYGALV</v>
      </c>
      <c r="L87" s="4" t="str">
        <f t="shared" si="32"/>
        <v>KRCARTAVVLVWVVSAAVSFAPIMSQ</v>
      </c>
      <c r="M87" s="4" t="str">
        <f t="shared" si="33"/>
        <v>CAF</v>
      </c>
      <c r="N87" s="4" t="str">
        <f t="shared" si="34"/>
        <v>NMPYVLLSSSVSFYLPLLVMLFVYARVFVVATRQLRLLRGEL</v>
      </c>
      <c r="O87" s="4" t="str">
        <f t="shared" si="35"/>
        <v>RLLPLREHRALCTLGLIMGTFTLCWLPFFLANVLRALG</v>
      </c>
      <c r="P87" s="4" t="str">
        <f t="shared" si="36"/>
        <v>PGPAFLALNWLGYANSAFNPLIYCR</v>
      </c>
      <c r="Q87" s="4" t="str">
        <f t="shared" si="37"/>
        <v>SPDFRSAFRRLLC</v>
      </c>
      <c r="R87" s="5">
        <f>VLOOKUP($A87,'NonXtal_SegEnds_Prot#'!$A:$AL,3,FALSE)</f>
        <v>29</v>
      </c>
      <c r="S87" s="5">
        <f>VLOOKUP($A87,'NonXtal_SegEnds_Prot#'!$A:$AL,6,FALSE)</f>
        <v>66</v>
      </c>
      <c r="T87" s="5">
        <f>VLOOKUP($A87,'NonXtal_SegEnds_Prot#'!$A:$AL,9,FALSE)</f>
        <v>70</v>
      </c>
      <c r="U87" s="5">
        <f>VLOOKUP($A87,'NonXtal_SegEnds_Prot#'!$A:$AL,12,FALSE)</f>
        <v>102</v>
      </c>
      <c r="V87" s="5">
        <f>VLOOKUP($A87,'NonXtal_SegEnds_Prot#'!$A:$AL,15,FALSE)</f>
        <v>106</v>
      </c>
      <c r="W87" s="5">
        <f>VLOOKUP($A87,'NonXtal_SegEnds_Prot#'!$A:$AL,18,FALSE)</f>
        <v>142</v>
      </c>
      <c r="X87" s="5">
        <f>VLOOKUP($A87,'NonXtal_SegEnds_Prot#'!$A:$AL,21,FALSE)</f>
        <v>151</v>
      </c>
      <c r="Y87" s="5">
        <f>VLOOKUP($A87,'NonXtal_SegEnds_Prot#'!$A:$AL,24,FALSE)</f>
        <v>196</v>
      </c>
      <c r="Z87" s="5">
        <f>VLOOKUP($A87,'NonXtal_SegEnds_Prot#'!$A:$AL,27,FALSE)</f>
        <v>201</v>
      </c>
      <c r="AA87" s="5">
        <f>VLOOKUP($A87,'NonXtal_SegEnds_Prot#'!$A:$AL,30,FALSE)</f>
        <v>281</v>
      </c>
      <c r="AB87" s="5">
        <f>VLOOKUP($A87,'NonXtal_SegEnds_Prot#'!$A:$AL,33,FALSE)</f>
        <v>324</v>
      </c>
      <c r="AC87" s="5">
        <f>VLOOKUP($A87,'NonXtal_SegEnds_Prot#'!$A:$AL,36,FALSE)</f>
        <v>349</v>
      </c>
      <c r="AD87" s="5">
        <f>VLOOKUP($A87,'NonXtal_SegEnds_Prot#'!$A:$AL,5,FALSE)</f>
        <v>65</v>
      </c>
      <c r="AE87" s="5">
        <f>VLOOKUP($A87,'NonXtal_SegEnds_Prot#'!$A:$AL,8,FALSE)</f>
        <v>69</v>
      </c>
      <c r="AF87" s="5">
        <f>VLOOKUP($A87,'NonXtal_SegEnds_Prot#'!$A:$AL,11,FALSE)</f>
        <v>100</v>
      </c>
      <c r="AG87" s="5">
        <f>VLOOKUP($A87,'NonXtal_SegEnds_Prot#'!$A:$AL,14,FALSE)</f>
        <v>105</v>
      </c>
      <c r="AH87" s="5">
        <f>VLOOKUP($A87,'NonXtal_SegEnds_Prot#'!$A:$AL,17,FALSE)</f>
        <v>141</v>
      </c>
      <c r="AI87" s="5">
        <f>VLOOKUP($A87,'NonXtal_SegEnds_Prot#'!$A:$AL,20,FALSE)</f>
        <v>149</v>
      </c>
      <c r="AJ87" s="5">
        <f>VLOOKUP($A87,'NonXtal_SegEnds_Prot#'!$A:$AL,23,FALSE)</f>
        <v>176</v>
      </c>
      <c r="AK87" s="5">
        <f>VLOOKUP($A87,'NonXtal_SegEnds_Prot#'!$A:$AL,26,FALSE)</f>
        <v>198</v>
      </c>
      <c r="AL87" s="5">
        <f>VLOOKUP($A87,'NonXtal_SegEnds_Prot#'!$A:$AL,29,FALSE)</f>
        <v>242</v>
      </c>
      <c r="AM87" s="5">
        <f>VLOOKUP($A87,'NonXtal_SegEnds_Prot#'!$A:$AL,32,FALSE)</f>
        <v>318</v>
      </c>
      <c r="AN87" s="5">
        <f>VLOOKUP($A87,'NonXtal_SegEnds_Prot#'!$A:$AL,35,FALSE)</f>
        <v>348</v>
      </c>
      <c r="AO87" s="5">
        <f>VLOOKUP($A87,'NonXtal_SegEnds_Prot#'!$A:$AL,38,FALSE)</f>
        <v>361</v>
      </c>
      <c r="AP87" s="5">
        <f t="shared" si="38"/>
        <v>36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25</v>
      </c>
      <c r="AW87" s="4">
        <f t="shared" si="45"/>
        <v>2</v>
      </c>
      <c r="AX87" s="4">
        <f t="shared" si="46"/>
        <v>41</v>
      </c>
      <c r="AY87" s="4">
        <f t="shared" si="47"/>
        <v>37</v>
      </c>
      <c r="AZ87" s="4">
        <f t="shared" si="48"/>
        <v>24</v>
      </c>
      <c r="BA87" s="4">
        <f t="shared" si="49"/>
        <v>12</v>
      </c>
    </row>
    <row r="88" spans="1:53" x14ac:dyDescent="0.2">
      <c r="A88" s="1" t="str">
        <f>'NonXtal_SegEnds_Prot#'!A57</f>
        <v>ada1b_human</v>
      </c>
      <c r="B88" s="1" t="str">
        <f t="shared" si="25"/>
        <v>LPQLDITRAISVGLVLGAFILFAIVGNILVILSVACNTPTNYFIVNLAMADLLLSFTVLPFSAALEVLGRIFCDIWAAVDVLCCTASILSLCAISIDRYIGVRYRRKAILALLSVWVLSTVISIGPLLGWEPFYALFSSLGSFYIPLAVILVMYCRVYIVAKRTTKNLEALFKFSREKKAAKTLGIVVGMFILCWLPFFIALPLGSLFPDAVFKVVFWLGYFNSCLNPIIYPCSSKEFKRAFVRILG</v>
      </c>
      <c r="C88" s="72" t="str">
        <f>IF(ISERROR(MATCH(A88,'Xtal_SegEnds_Prot#'!B:B, 0)), "NoXtal", "Xtal")</f>
        <v>NoXtal</v>
      </c>
      <c r="D88" s="4" t="str">
        <f>VLOOKUP(A88,Classification!A:D,2,FALSE)</f>
        <v>A</v>
      </c>
      <c r="E88" s="5" t="str">
        <f>VLOOKUP(A88,Seqs!A:B,2,FALSE)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88" s="5" t="str">
        <f t="shared" si="26"/>
        <v>LPQLDITRAISVGLVLGAFILFAIVGNILVILSVACN</v>
      </c>
      <c r="G88" s="4" t="str">
        <f t="shared" si="27"/>
        <v>RHLR</v>
      </c>
      <c r="H88" s="4" t="str">
        <f t="shared" si="28"/>
        <v>TPTNYFIVNLAMADLLLSFTVLPFSAALEVL</v>
      </c>
      <c r="I88" s="4" t="str">
        <f t="shared" si="29"/>
        <v>YWVL</v>
      </c>
      <c r="J88" s="4" t="str">
        <f t="shared" si="30"/>
        <v>GRIFCDIWAAVDVLCCTASILSLCAISIDRYIGVRY</v>
      </c>
      <c r="K88" s="4" t="str">
        <f t="shared" si="31"/>
        <v>SLQYPTLV</v>
      </c>
      <c r="L88" s="4" t="str">
        <f t="shared" si="32"/>
        <v>RRKAILALLSVWVLSTVISIGPLLGW</v>
      </c>
      <c r="M88" s="4" t="str">
        <f t="shared" si="33"/>
        <v>CGV</v>
      </c>
      <c r="N88" s="4" t="str">
        <f t="shared" si="34"/>
        <v>EPFYALFSSLGSFYIPLAVILVMYCRVYIVAKRTTKNLEA</v>
      </c>
      <c r="O88" s="4" t="str">
        <f t="shared" si="35"/>
        <v>LFKFSREKKAAKTLGIVVGMFILCWLPFFIALPLGSLF</v>
      </c>
      <c r="P88" s="4" t="str">
        <f t="shared" si="36"/>
        <v>PDAVFKVVFWLGYFNSCLNPIIYPCS</v>
      </c>
      <c r="Q88" s="4" t="str">
        <f t="shared" si="37"/>
        <v>SKEFKRAFVRILG</v>
      </c>
      <c r="R88" s="5">
        <f>VLOOKUP($A88,'NonXtal_SegEnds_Prot#'!$A:$AL,3,FALSE)</f>
        <v>37</v>
      </c>
      <c r="S88" s="5">
        <f>VLOOKUP($A88,'NonXtal_SegEnds_Prot#'!$A:$AL,6,FALSE)</f>
        <v>74</v>
      </c>
      <c r="T88" s="5">
        <f>VLOOKUP($A88,'NonXtal_SegEnds_Prot#'!$A:$AL,9,FALSE)</f>
        <v>78</v>
      </c>
      <c r="U88" s="5">
        <f>VLOOKUP($A88,'NonXtal_SegEnds_Prot#'!$A:$AL,12,FALSE)</f>
        <v>110</v>
      </c>
      <c r="V88" s="5">
        <f>VLOOKUP($A88,'NonXtal_SegEnds_Prot#'!$A:$AL,15,FALSE)</f>
        <v>114</v>
      </c>
      <c r="W88" s="5">
        <f>VLOOKUP($A88,'NonXtal_SegEnds_Prot#'!$A:$AL,18,FALSE)</f>
        <v>150</v>
      </c>
      <c r="X88" s="5">
        <f>VLOOKUP($A88,'NonXtal_SegEnds_Prot#'!$A:$AL,21,FALSE)</f>
        <v>159</v>
      </c>
      <c r="Y88" s="5">
        <f>VLOOKUP($A88,'NonXtal_SegEnds_Prot#'!$A:$AL,24,FALSE)</f>
        <v>195</v>
      </c>
      <c r="Z88" s="5">
        <f>VLOOKUP($A88,'NonXtal_SegEnds_Prot#'!$A:$AL,27,FALSE)</f>
        <v>200</v>
      </c>
      <c r="AA88" s="5">
        <f>VLOOKUP($A88,'NonXtal_SegEnds_Prot#'!$A:$AL,30,FALSE)</f>
        <v>283</v>
      </c>
      <c r="AB88" s="5">
        <f>VLOOKUP($A88,'NonXtal_SegEnds_Prot#'!$A:$AL,33,FALSE)</f>
        <v>326</v>
      </c>
      <c r="AC88" s="5">
        <f>VLOOKUP($A88,'NonXtal_SegEnds_Prot#'!$A:$AL,36,FALSE)</f>
        <v>352</v>
      </c>
      <c r="AD88" s="5">
        <f>VLOOKUP($A88,'NonXtal_SegEnds_Prot#'!$A:$AL,5,FALSE)</f>
        <v>73</v>
      </c>
      <c r="AE88" s="5">
        <f>VLOOKUP($A88,'NonXtal_SegEnds_Prot#'!$A:$AL,8,FALSE)</f>
        <v>77</v>
      </c>
      <c r="AF88" s="5">
        <f>VLOOKUP($A88,'NonXtal_SegEnds_Prot#'!$A:$AL,11,FALSE)</f>
        <v>108</v>
      </c>
      <c r="AG88" s="5">
        <f>VLOOKUP($A88,'NonXtal_SegEnds_Prot#'!$A:$AL,14,FALSE)</f>
        <v>113</v>
      </c>
      <c r="AH88" s="5">
        <f>VLOOKUP($A88,'NonXtal_SegEnds_Prot#'!$A:$AL,17,FALSE)</f>
        <v>149</v>
      </c>
      <c r="AI88" s="5">
        <f>VLOOKUP($A88,'NonXtal_SegEnds_Prot#'!$A:$AL,20,FALSE)</f>
        <v>157</v>
      </c>
      <c r="AJ88" s="5">
        <f>VLOOKUP($A88,'NonXtal_SegEnds_Prot#'!$A:$AL,23,FALSE)</f>
        <v>184</v>
      </c>
      <c r="AK88" s="5">
        <f>VLOOKUP($A88,'NonXtal_SegEnds_Prot#'!$A:$AL,26,FALSE)</f>
        <v>197</v>
      </c>
      <c r="AL88" s="5">
        <f>VLOOKUP($A88,'NonXtal_SegEnds_Prot#'!$A:$AL,29,FALSE)</f>
        <v>239</v>
      </c>
      <c r="AM88" s="5">
        <f>VLOOKUP($A88,'NonXtal_SegEnds_Prot#'!$A:$AL,32,FALSE)</f>
        <v>320</v>
      </c>
      <c r="AN88" s="5">
        <f>VLOOKUP($A88,'NonXtal_SegEnds_Prot#'!$A:$AL,35,FALSE)</f>
        <v>351</v>
      </c>
      <c r="AO88" s="5">
        <f>VLOOKUP($A88,'NonXtal_SegEnds_Prot#'!$A:$AL,38,FALSE)</f>
        <v>364</v>
      </c>
      <c r="AP88" s="5">
        <f t="shared" si="38"/>
        <v>36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25</v>
      </c>
      <c r="AW88" s="4">
        <f t="shared" si="45"/>
        <v>2</v>
      </c>
      <c r="AX88" s="4">
        <f t="shared" si="46"/>
        <v>39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'NonXtal_SegEnds_Prot#'!A58</f>
        <v>drd1_human</v>
      </c>
      <c r="B89" s="1" t="str">
        <f t="shared" si="25"/>
        <v>VVERDFSVRILTACFLSLLILSTLLGNTLVCAAVIRFSKVTNFFVISLAVSDLLVAVLVMPWKAVAEIGSFCNIWVAFDIMCSTASILNLCVISVDRYWAISSPKAAFILISVAWTLSVLISFIPVQLSSRTYAISSSVISFYIPVAIMIVTYTRIYRIAQKQIRRIAALEKMSFKRETKVLKTLSVIMGVFVCCWLPFFILNCILPFCFCIDSNTFDVFVWFGWANSSLNPIIYAFNADFRKAFSTLLGC</v>
      </c>
      <c r="C89" s="72" t="str">
        <f>IF(ISERROR(MATCH(A89,'Xtal_SegEnds_Prot#'!B:B, 0)), "NoXtal", "Xtal")</f>
        <v>NoXtal</v>
      </c>
      <c r="D89" s="4" t="str">
        <f>VLOOKUP(A89,Classification!A:D,2,FALSE)</f>
        <v>A</v>
      </c>
      <c r="E89" s="5" t="str">
        <f>VLOOKUP(A89,Seqs!A:B,2,FALSE)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89" s="5" t="str">
        <f t="shared" si="26"/>
        <v>VVERDFSVRILTACFLSLLILSTLLGNTLVCAAVIRF</v>
      </c>
      <c r="G89" s="4" t="str">
        <f t="shared" si="27"/>
        <v>RHLR</v>
      </c>
      <c r="H89" s="4" t="str">
        <f t="shared" si="28"/>
        <v>SKVTNFFVISLAVSDLLVAVLVMPWKAVAEI</v>
      </c>
      <c r="I89" s="4" t="str">
        <f t="shared" si="29"/>
        <v>FWPF</v>
      </c>
      <c r="J89" s="4" t="str">
        <f t="shared" si="30"/>
        <v>GSFCNIWVAFDIMCSTASILNLCVISVDRYWAISS</v>
      </c>
      <c r="K89" s="4" t="str">
        <f t="shared" si="31"/>
        <v>PFRYERKM</v>
      </c>
      <c r="L89" s="4" t="str">
        <f t="shared" si="32"/>
        <v>PKAAFILISVAWTLSVLISFIPVQLS</v>
      </c>
      <c r="M89" s="4" t="str">
        <f t="shared" si="33"/>
        <v>CDS</v>
      </c>
      <c r="N89" s="4" t="str">
        <f t="shared" si="34"/>
        <v>SRTYAISSSVISFYIPVAIMIVTYTRIYRIAQKQIRRIAALE</v>
      </c>
      <c r="O89" s="4" t="str">
        <f t="shared" si="35"/>
        <v>KMSFKRETKVLKTLSVIMGVFVCCWLPFFILNCILPFC</v>
      </c>
      <c r="P89" s="4" t="str">
        <f t="shared" si="36"/>
        <v>FCIDSNTFDVFVWFGWANSSLNPIIYAFN</v>
      </c>
      <c r="Q89" s="4" t="str">
        <f t="shared" si="37"/>
        <v>ADFRKAFSTLLGC</v>
      </c>
      <c r="R89" s="5">
        <f>VLOOKUP($A89,'NonXtal_SegEnds_Prot#'!$A:$AL,3,FALSE)</f>
        <v>15</v>
      </c>
      <c r="S89" s="5">
        <f>VLOOKUP($A89,'NonXtal_SegEnds_Prot#'!$A:$AL,6,FALSE)</f>
        <v>52</v>
      </c>
      <c r="T89" s="5">
        <f>VLOOKUP($A89,'NonXtal_SegEnds_Prot#'!$A:$AL,9,FALSE)</f>
        <v>56</v>
      </c>
      <c r="U89" s="5">
        <f>VLOOKUP($A89,'NonXtal_SegEnds_Prot#'!$A:$AL,12,FALSE)</f>
        <v>89</v>
      </c>
      <c r="V89" s="5">
        <f>VLOOKUP($A89,'NonXtal_SegEnds_Prot#'!$A:$AL,15,FALSE)</f>
        <v>93</v>
      </c>
      <c r="W89" s="5">
        <f>VLOOKUP($A89,'NonXtal_SegEnds_Prot#'!$A:$AL,18,FALSE)</f>
        <v>128</v>
      </c>
      <c r="X89" s="5">
        <f>VLOOKUP($A89,'NonXtal_SegEnds_Prot#'!$A:$AL,21,FALSE)</f>
        <v>137</v>
      </c>
      <c r="Y89" s="5">
        <f>VLOOKUP($A89,'NonXtal_SegEnds_Prot#'!$A:$AL,24,FALSE)</f>
        <v>186</v>
      </c>
      <c r="Z89" s="5">
        <f>VLOOKUP($A89,'NonXtal_SegEnds_Prot#'!$A:$AL,27,FALSE)</f>
        <v>191</v>
      </c>
      <c r="AA89" s="5">
        <f>VLOOKUP($A89,'NonXtal_SegEnds_Prot#'!$A:$AL,30,FALSE)</f>
        <v>261</v>
      </c>
      <c r="AB89" s="5">
        <f>VLOOKUP($A89,'NonXtal_SegEnds_Prot#'!$A:$AL,33,FALSE)</f>
        <v>306</v>
      </c>
      <c r="AC89" s="5">
        <f>VLOOKUP($A89,'NonXtal_SegEnds_Prot#'!$A:$AL,36,FALSE)</f>
        <v>335</v>
      </c>
      <c r="AD89" s="5">
        <f>VLOOKUP($A89,'NonXtal_SegEnds_Prot#'!$A:$AL,5,FALSE)</f>
        <v>51</v>
      </c>
      <c r="AE89" s="5">
        <f>VLOOKUP($A89,'NonXtal_SegEnds_Prot#'!$A:$AL,8,FALSE)</f>
        <v>55</v>
      </c>
      <c r="AF89" s="5">
        <f>VLOOKUP($A89,'NonXtal_SegEnds_Prot#'!$A:$AL,11,FALSE)</f>
        <v>86</v>
      </c>
      <c r="AG89" s="5">
        <f>VLOOKUP($A89,'NonXtal_SegEnds_Prot#'!$A:$AL,14,FALSE)</f>
        <v>92</v>
      </c>
      <c r="AH89" s="5">
        <f>VLOOKUP($A89,'NonXtal_SegEnds_Prot#'!$A:$AL,17,FALSE)</f>
        <v>127</v>
      </c>
      <c r="AI89" s="5">
        <f>VLOOKUP($A89,'NonXtal_SegEnds_Prot#'!$A:$AL,20,FALSE)</f>
        <v>135</v>
      </c>
      <c r="AJ89" s="5">
        <f>VLOOKUP($A89,'NonXtal_SegEnds_Prot#'!$A:$AL,23,FALSE)</f>
        <v>162</v>
      </c>
      <c r="AK89" s="5">
        <f>VLOOKUP($A89,'NonXtal_SegEnds_Prot#'!$A:$AL,26,FALSE)</f>
        <v>188</v>
      </c>
      <c r="AL89" s="5">
        <f>VLOOKUP($A89,'NonXtal_SegEnds_Prot#'!$A:$AL,29,FALSE)</f>
        <v>232</v>
      </c>
      <c r="AM89" s="5">
        <f>VLOOKUP($A89,'NonXtal_SegEnds_Prot#'!$A:$AL,32,FALSE)</f>
        <v>298</v>
      </c>
      <c r="AN89" s="5">
        <f>VLOOKUP($A89,'NonXtal_SegEnds_Prot#'!$A:$AL,35,FALSE)</f>
        <v>334</v>
      </c>
      <c r="AO89" s="5">
        <f>VLOOKUP($A89,'NonXtal_SegEnds_Prot#'!$A:$AL,38,FALSE)</f>
        <v>347</v>
      </c>
      <c r="AP89" s="5">
        <f t="shared" si="38"/>
        <v>36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34</v>
      </c>
      <c r="AU89" s="4">
        <f t="shared" si="43"/>
        <v>7</v>
      </c>
      <c r="AV89" s="4">
        <f t="shared" si="44"/>
        <v>25</v>
      </c>
      <c r="AW89" s="4">
        <f t="shared" si="45"/>
        <v>2</v>
      </c>
      <c r="AX89" s="4">
        <f t="shared" si="46"/>
        <v>41</v>
      </c>
      <c r="AY89" s="4">
        <f t="shared" si="47"/>
        <v>37</v>
      </c>
      <c r="AZ89" s="4">
        <f t="shared" si="48"/>
        <v>28</v>
      </c>
      <c r="BA89" s="4">
        <f t="shared" si="49"/>
        <v>12</v>
      </c>
    </row>
    <row r="90" spans="1:53" x14ac:dyDescent="0.2">
      <c r="A90" s="1" t="str">
        <f>'NonXtal_SegEnds_Prot#'!A59</f>
        <v>5ht4r_human</v>
      </c>
      <c r="B90" s="1" t="str">
        <f t="shared" si="25"/>
        <v>EEGFGSVEKVVLLTFLSTVILMAILGNLLVMVAVCWDKIKTNYFIVSLAFADLLVSVLVMPFGAIELVQGEVFCLVRTSLDVLLTTASIFHLCCISLDRYYAICCPLRIALMLGGCWVIPTFISFLPIMQGNKPYAITCSVVAFYIPFLLMVLAYYRIYVTAKEHAHQIQMLQTHRMRTETKAAKTLCIIMGCFCLCWAPFFVTNIVDPFIPGQVWTAFLWLGYINSGLNPFLYAFLNKSFRRAFLIILC</v>
      </c>
      <c r="C90" s="72" t="str">
        <f>IF(ISERROR(MATCH(A90,'Xtal_SegEnds_Prot#'!B:B, 0)), "NoXtal", "Xtal")</f>
        <v>NoXtal</v>
      </c>
      <c r="D90" s="4" t="str">
        <f>VLOOKUP(A90,Classification!A:D,2,FALSE)</f>
        <v>A</v>
      </c>
      <c r="E90" s="5" t="str">
        <f>VLOOKUP(A90,Seqs!A:B,2,FALSE)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90" s="5" t="str">
        <f t="shared" si="26"/>
        <v>EEGFGSVEKVVLLTFLSTVILMAILGNLLVMVAVCWD</v>
      </c>
      <c r="G90" s="4" t="str">
        <f t="shared" si="27"/>
        <v>RQLR</v>
      </c>
      <c r="H90" s="4" t="str">
        <f t="shared" si="28"/>
        <v>KIKTNYFIVSLAFADLLVSVLVMPFGAIELVQ</v>
      </c>
      <c r="I90" s="4" t="str">
        <f t="shared" si="29"/>
        <v>IWIY</v>
      </c>
      <c r="J90" s="4" t="str">
        <f t="shared" si="30"/>
        <v>GEVFCLVRTSLDVLLTTASIFHLCCISLDRYYAICC</v>
      </c>
      <c r="K90" s="4" t="str">
        <f t="shared" si="31"/>
        <v>PLVYRNKM</v>
      </c>
      <c r="L90" s="4" t="str">
        <f t="shared" si="32"/>
        <v>PLRIALMLGGCWVIPTFISFLPIMQG</v>
      </c>
      <c r="M90" s="4" t="str">
        <f t="shared" si="33"/>
        <v>CVF</v>
      </c>
      <c r="N90" s="4" t="str">
        <f t="shared" si="34"/>
        <v>NKPYAITCSVVAFYIPFLLMVLAYYRIYVTAKEHAHQIQMLQ</v>
      </c>
      <c r="O90" s="4" t="str">
        <f t="shared" si="35"/>
        <v>THRMRTETKAAKTLCIIMGCFCLCWAPFFVTNIVDPFI</v>
      </c>
      <c r="P90" s="4" t="str">
        <f t="shared" si="36"/>
        <v>PGQVWTAFLWLGYINSGLNPFLYAFL</v>
      </c>
      <c r="Q90" s="4" t="str">
        <f t="shared" si="37"/>
        <v>NKSFRRAFLIILC</v>
      </c>
      <c r="R90" s="5">
        <f>VLOOKUP($A90,'NonXtal_SegEnds_Prot#'!$A:$AL,3,FALSE)</f>
        <v>11</v>
      </c>
      <c r="S90" s="5">
        <f>VLOOKUP($A90,'NonXtal_SegEnds_Prot#'!$A:$AL,6,FALSE)</f>
        <v>48</v>
      </c>
      <c r="T90" s="5">
        <f>VLOOKUP($A90,'NonXtal_SegEnds_Prot#'!$A:$AL,9,FALSE)</f>
        <v>52</v>
      </c>
      <c r="U90" s="5">
        <f>VLOOKUP($A90,'NonXtal_SegEnds_Prot#'!$A:$AL,12,FALSE)</f>
        <v>85</v>
      </c>
      <c r="V90" s="5">
        <f>VLOOKUP($A90,'NonXtal_SegEnds_Prot#'!$A:$AL,15,FALSE)</f>
        <v>89</v>
      </c>
      <c r="W90" s="5">
        <f>VLOOKUP($A90,'NonXtal_SegEnds_Prot#'!$A:$AL,18,FALSE)</f>
        <v>126</v>
      </c>
      <c r="X90" s="5">
        <f>VLOOKUP($A90,'NonXtal_SegEnds_Prot#'!$A:$AL,21,FALSE)</f>
        <v>135</v>
      </c>
      <c r="Y90" s="5">
        <f>VLOOKUP($A90,'NonXtal_SegEnds_Prot#'!$A:$AL,24,FALSE)</f>
        <v>184</v>
      </c>
      <c r="Z90" s="5">
        <f>VLOOKUP($A90,'NonXtal_SegEnds_Prot#'!$A:$AL,27,FALSE)</f>
        <v>189</v>
      </c>
      <c r="AA90" s="5">
        <f>VLOOKUP($A90,'NonXtal_SegEnds_Prot#'!$A:$AL,30,FALSE)</f>
        <v>248</v>
      </c>
      <c r="AB90" s="5">
        <f>VLOOKUP($A90,'NonXtal_SegEnds_Prot#'!$A:$AL,33,FALSE)</f>
        <v>290</v>
      </c>
      <c r="AC90" s="5">
        <f>VLOOKUP($A90,'NonXtal_SegEnds_Prot#'!$A:$AL,36,FALSE)</f>
        <v>316</v>
      </c>
      <c r="AD90" s="5">
        <f>VLOOKUP($A90,'NonXtal_SegEnds_Prot#'!$A:$AL,5,FALSE)</f>
        <v>47</v>
      </c>
      <c r="AE90" s="5">
        <f>VLOOKUP($A90,'NonXtal_SegEnds_Prot#'!$A:$AL,8,FALSE)</f>
        <v>51</v>
      </c>
      <c r="AF90" s="5">
        <f>VLOOKUP($A90,'NonXtal_SegEnds_Prot#'!$A:$AL,11,FALSE)</f>
        <v>83</v>
      </c>
      <c r="AG90" s="5">
        <f>VLOOKUP($A90,'NonXtal_SegEnds_Prot#'!$A:$AL,14,FALSE)</f>
        <v>88</v>
      </c>
      <c r="AH90" s="5">
        <f>VLOOKUP($A90,'NonXtal_SegEnds_Prot#'!$A:$AL,17,FALSE)</f>
        <v>124</v>
      </c>
      <c r="AI90" s="5">
        <f>VLOOKUP($A90,'NonXtal_SegEnds_Prot#'!$A:$AL,20,FALSE)</f>
        <v>133</v>
      </c>
      <c r="AJ90" s="5">
        <f>VLOOKUP($A90,'NonXtal_SegEnds_Prot#'!$A:$AL,23,FALSE)</f>
        <v>160</v>
      </c>
      <c r="AK90" s="5">
        <f>VLOOKUP($A90,'NonXtal_SegEnds_Prot#'!$A:$AL,26,FALSE)</f>
        <v>186</v>
      </c>
      <c r="AL90" s="5">
        <f>VLOOKUP($A90,'NonXtal_SegEnds_Prot#'!$A:$AL,29,FALSE)</f>
        <v>230</v>
      </c>
      <c r="AM90" s="5">
        <f>VLOOKUP($A90,'NonXtal_SegEnds_Prot#'!$A:$AL,32,FALSE)</f>
        <v>285</v>
      </c>
      <c r="AN90" s="5">
        <f>VLOOKUP($A90,'NonXtal_SegEnds_Prot#'!$A:$AL,35,FALSE)</f>
        <v>315</v>
      </c>
      <c r="AO90" s="5">
        <f>VLOOKUP($A90,'NonXtal_SegEnds_Prot#'!$A:$AL,38,FALSE)</f>
        <v>328</v>
      </c>
      <c r="AP90" s="5">
        <f t="shared" si="38"/>
        <v>36</v>
      </c>
      <c r="AQ90" s="4">
        <f t="shared" si="39"/>
        <v>3</v>
      </c>
      <c r="AR90" s="4">
        <f t="shared" si="40"/>
        <v>31</v>
      </c>
      <c r="AS90" s="4">
        <f t="shared" si="41"/>
        <v>3</v>
      </c>
      <c r="AT90" s="4">
        <f t="shared" si="42"/>
        <v>35</v>
      </c>
      <c r="AU90" s="4">
        <f t="shared" si="43"/>
        <v>7</v>
      </c>
      <c r="AV90" s="4">
        <f t="shared" si="44"/>
        <v>25</v>
      </c>
      <c r="AW90" s="4">
        <f t="shared" si="45"/>
        <v>2</v>
      </c>
      <c r="AX90" s="4">
        <f t="shared" si="46"/>
        <v>41</v>
      </c>
      <c r="AY90" s="4">
        <f t="shared" si="47"/>
        <v>37</v>
      </c>
      <c r="AZ90" s="4">
        <f t="shared" si="48"/>
        <v>25</v>
      </c>
      <c r="BA90" s="4">
        <f t="shared" si="49"/>
        <v>12</v>
      </c>
    </row>
    <row r="91" spans="1:53" x14ac:dyDescent="0.2">
      <c r="A91" s="1" t="str">
        <f>'NonXtal_SegEnds_Prot#'!A60</f>
        <v>gp101_human</v>
      </c>
      <c r="B91" s="1" t="str">
        <f t="shared" si="25"/>
        <v>KMPISLAHGIIRSTVLVIFLAASFVGNIVLALVLQRKQVTNRFIFNLLVTDLLQISLVAPWVVATSVPNSHFCTALVSLTHLFAFASVNTIVVVSVDRYLSIIHQRRGYLLLYGTWIVAILQSTPPLYGWSPSYTILSVVSFIVIPLIVMIACYSVVFCAARRQHALLYNVPLPRCYQCKAAKVIFIIIFSYVLSLGPYCFLAVLAVWVPQWVITIIIWLFFLQCCIHPYVYGYHKTIKKEIQDMLK</v>
      </c>
      <c r="C91" s="72" t="str">
        <f>IF(ISERROR(MATCH(A91,'Xtal_SegEnds_Prot#'!B:B, 0)), "NoXtal", "Xtal")</f>
        <v>NoXtal</v>
      </c>
      <c r="D91" s="4" t="str">
        <f>VLOOKUP(A91,Classification!A:D,2,FALSE)</f>
        <v>A</v>
      </c>
      <c r="E91" s="5" t="str">
        <f>VLOOKUP(A91,Seqs!A:B,2,FALSE)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91" s="5" t="str">
        <f t="shared" si="26"/>
        <v>KMPISLAHGIIRSTVLVIFLAASFVGNIVLALVLQRK</v>
      </c>
      <c r="G91" s="4" t="str">
        <f t="shared" si="27"/>
        <v>PQLL</v>
      </c>
      <c r="H91" s="4" t="str">
        <f t="shared" si="28"/>
        <v>QVTNRFIFNLLVTDLLQISLVAPWVVATSVP</v>
      </c>
      <c r="I91" s="4" t="str">
        <f t="shared" si="29"/>
        <v>FWPL</v>
      </c>
      <c r="J91" s="4" t="str">
        <f t="shared" si="30"/>
        <v>NSHFCTALVSLTHLFAFASVNTIVVVSVDRYLSIIH</v>
      </c>
      <c r="K91" s="4" t="str">
        <f t="shared" si="31"/>
        <v>PLSYPSKM</v>
      </c>
      <c r="L91" s="4" t="str">
        <f t="shared" si="32"/>
        <v>QRRGYLLLYGTWIVAILQSTPPLYGW</v>
      </c>
      <c r="M91" s="4" t="str">
        <f t="shared" si="33"/>
        <v>CSM</v>
      </c>
      <c r="N91" s="4" t="str">
        <f t="shared" si="34"/>
        <v>SPSYTILSVVSFIVIPLIVMIACYSVVFCAARRQHALLYNV</v>
      </c>
      <c r="O91" s="4" t="str">
        <f t="shared" si="35"/>
        <v>PLPRCYQCKAAKVIFIIIFSYVLSLGPYCFLAVLAVWV</v>
      </c>
      <c r="P91" s="4" t="str">
        <f t="shared" si="36"/>
        <v>PQWVITIIIWLFFLQCCIHPYVYGY</v>
      </c>
      <c r="Q91" s="4" t="str">
        <f t="shared" si="37"/>
        <v>HKTIKKEIQDMLK</v>
      </c>
      <c r="R91" s="5">
        <f>VLOOKUP($A91,'NonXtal_SegEnds_Prot#'!$A:$AL,3,FALSE)</f>
        <v>23</v>
      </c>
      <c r="S91" s="5">
        <f>VLOOKUP($A91,'NonXtal_SegEnds_Prot#'!$A:$AL,6,FALSE)</f>
        <v>60</v>
      </c>
      <c r="T91" s="5">
        <f>VLOOKUP($A91,'NonXtal_SegEnds_Prot#'!$A:$AL,9,FALSE)</f>
        <v>64</v>
      </c>
      <c r="U91" s="5">
        <f>VLOOKUP($A91,'NonXtal_SegEnds_Prot#'!$A:$AL,12,FALSE)</f>
        <v>96</v>
      </c>
      <c r="V91" s="5">
        <f>VLOOKUP($A91,'NonXtal_SegEnds_Prot#'!$A:$AL,15,FALSE)</f>
        <v>100</v>
      </c>
      <c r="W91" s="5">
        <f>VLOOKUP($A91,'NonXtal_SegEnds_Prot#'!$A:$AL,18,FALSE)</f>
        <v>136</v>
      </c>
      <c r="X91" s="5">
        <f>VLOOKUP($A91,'NonXtal_SegEnds_Prot#'!$A:$AL,21,FALSE)</f>
        <v>145</v>
      </c>
      <c r="Y91" s="5">
        <f>VLOOKUP($A91,'NonXtal_SegEnds_Prot#'!$A:$AL,24,FALSE)</f>
        <v>182</v>
      </c>
      <c r="Z91" s="5">
        <f>VLOOKUP($A91,'NonXtal_SegEnds_Prot#'!$A:$AL,27,FALSE)</f>
        <v>189</v>
      </c>
      <c r="AA91" s="5">
        <f>VLOOKUP($A91,'NonXtal_SegEnds_Prot#'!$A:$AL,30,FALSE)</f>
        <v>388</v>
      </c>
      <c r="AB91" s="5">
        <f>VLOOKUP($A91,'NonXtal_SegEnds_Prot#'!$A:$AL,33,FALSE)</f>
        <v>432</v>
      </c>
      <c r="AC91" s="5">
        <f>VLOOKUP($A91,'NonXtal_SegEnds_Prot#'!$A:$AL,36,FALSE)</f>
        <v>458</v>
      </c>
      <c r="AD91" s="5">
        <f>VLOOKUP($A91,'NonXtal_SegEnds_Prot#'!$A:$AL,5,FALSE)</f>
        <v>59</v>
      </c>
      <c r="AE91" s="5">
        <f>VLOOKUP($A91,'NonXtal_SegEnds_Prot#'!$A:$AL,8,FALSE)</f>
        <v>63</v>
      </c>
      <c r="AF91" s="5">
        <f>VLOOKUP($A91,'NonXtal_SegEnds_Prot#'!$A:$AL,11,FALSE)</f>
        <v>94</v>
      </c>
      <c r="AG91" s="5">
        <f>VLOOKUP($A91,'NonXtal_SegEnds_Prot#'!$A:$AL,14,FALSE)</f>
        <v>99</v>
      </c>
      <c r="AH91" s="5">
        <f>VLOOKUP($A91,'NonXtal_SegEnds_Prot#'!$A:$AL,17,FALSE)</f>
        <v>135</v>
      </c>
      <c r="AI91" s="5">
        <f>VLOOKUP($A91,'NonXtal_SegEnds_Prot#'!$A:$AL,20,FALSE)</f>
        <v>143</v>
      </c>
      <c r="AJ91" s="5">
        <f>VLOOKUP($A91,'NonXtal_SegEnds_Prot#'!$A:$AL,23,FALSE)</f>
        <v>170</v>
      </c>
      <c r="AK91" s="5">
        <f>VLOOKUP($A91,'NonXtal_SegEnds_Prot#'!$A:$AL,26,FALSE)</f>
        <v>184</v>
      </c>
      <c r="AL91" s="5">
        <f>VLOOKUP($A91,'NonXtal_SegEnds_Prot#'!$A:$AL,29,FALSE)</f>
        <v>229</v>
      </c>
      <c r="AM91" s="5">
        <f>VLOOKUP($A91,'NonXtal_SegEnds_Prot#'!$A:$AL,32,FALSE)</f>
        <v>425</v>
      </c>
      <c r="AN91" s="5">
        <f>VLOOKUP($A91,'NonXtal_SegEnds_Prot#'!$A:$AL,35,FALSE)</f>
        <v>456</v>
      </c>
      <c r="AO91" s="5">
        <f>VLOOKUP($A91,'NonXtal_SegEnds_Prot#'!$A:$AL,38,FALSE)</f>
        <v>470</v>
      </c>
      <c r="AP91" s="5">
        <f t="shared" si="38"/>
        <v>36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25</v>
      </c>
      <c r="AW91" s="4">
        <f t="shared" si="45"/>
        <v>2</v>
      </c>
      <c r="AX91" s="4">
        <f t="shared" si="46"/>
        <v>40</v>
      </c>
      <c r="AY91" s="4">
        <f t="shared" si="47"/>
        <v>37</v>
      </c>
      <c r="AZ91" s="4">
        <f t="shared" si="48"/>
        <v>24</v>
      </c>
      <c r="BA91" s="4">
        <f t="shared" si="49"/>
        <v>12</v>
      </c>
    </row>
    <row r="92" spans="1:53" x14ac:dyDescent="0.2">
      <c r="A92" s="1" t="str">
        <f>'NonXtal_SegEnds_Prot#'!A61</f>
        <v>gpr45_human</v>
      </c>
      <c r="B92" s="1" t="str">
        <f t="shared" si="25"/>
        <v>STQLPAPLRISLAIVMLLMTVVGFLGNTVVCIIVYQRSAINLLLATLAFSDIMLSLCCMPFTAVTLITGDHFCRLSATLYWFFVLEGVAILLIISVDRFLIIVQPRRAKVIIAVSWVLSFCIAGPSLTGWDRAYVVTLVVAVFFAPFGVMLCAYMCILNTVRKNAVRVHNQSSVDLSFKTKAFTTILILFVGFSLCWLPHSVYSLLSVFSGSSFYATSTCVLWLSYLKSVFNPIVYCWRIKKFREACIELLP</v>
      </c>
      <c r="C92" s="72" t="str">
        <f>IF(ISERROR(MATCH(A92,'Xtal_SegEnds_Prot#'!B:B, 0)), "NoXtal", "Xtal")</f>
        <v>NoXtal</v>
      </c>
      <c r="D92" s="4" t="str">
        <f>VLOOKUP(A92,Classification!A:D,2,FALSE)</f>
        <v>A</v>
      </c>
      <c r="E92" s="5" t="str">
        <f>VLOOKUP(A92,Seqs!A:B,2,FALSE)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92" s="5" t="str">
        <f t="shared" si="26"/>
        <v>STQLPAPLRISLAIVMLLMTVVGFLGNTVVCIIVYQR</v>
      </c>
      <c r="G92" s="4" t="str">
        <f t="shared" si="27"/>
        <v>PAMR</v>
      </c>
      <c r="H92" s="4" t="str">
        <f t="shared" si="28"/>
        <v>SAINLLLATLAFSDIMLSLCCMPFTAVTLIT</v>
      </c>
      <c r="I92" s="4" t="str">
        <f t="shared" si="29"/>
        <v>RWHF</v>
      </c>
      <c r="J92" s="4" t="str">
        <f t="shared" si="30"/>
        <v>GDHFCRLSATLYWFFVLEGVAILLIISVDRFLIIVQ</v>
      </c>
      <c r="K92" s="4" t="str">
        <f t="shared" si="31"/>
        <v/>
      </c>
      <c r="L92" s="4" t="str">
        <f t="shared" si="32"/>
        <v>PRRAKVIIAVSWVLSFCIAGPSLTGW</v>
      </c>
      <c r="M92" s="4" t="str">
        <f t="shared" si="33"/>
        <v>CVL</v>
      </c>
      <c r="N92" s="4" t="str">
        <f t="shared" si="34"/>
        <v>DRAYVVTLVVAVFFAPFGVMLCAYMCILNTVRKNAVRVHNQS</v>
      </c>
      <c r="O92" s="4" t="str">
        <f t="shared" si="35"/>
        <v>SVDLSFKTKAFTTILILFVGFSLCWLPHSVYSLLSVFS</v>
      </c>
      <c r="P92" s="4" t="str">
        <f t="shared" si="36"/>
        <v>GSSFYATSTCVLWLSYLKSVFNPIVYCWR</v>
      </c>
      <c r="Q92" s="4" t="str">
        <f t="shared" si="37"/>
        <v>IKKFREACIELLP</v>
      </c>
      <c r="R92" s="5">
        <f>VLOOKUP($A92,'NonXtal_SegEnds_Prot#'!$A:$AL,3,FALSE)</f>
        <v>26</v>
      </c>
      <c r="S92" s="5">
        <f>VLOOKUP($A92,'NonXtal_SegEnds_Prot#'!$A:$AL,6,FALSE)</f>
        <v>63</v>
      </c>
      <c r="T92" s="5">
        <f>VLOOKUP($A92,'NonXtal_SegEnds_Prot#'!$A:$AL,9,FALSE)</f>
        <v>67</v>
      </c>
      <c r="U92" s="5">
        <f>VLOOKUP($A92,'NonXtal_SegEnds_Prot#'!$A:$AL,12,FALSE)</f>
        <v>99</v>
      </c>
      <c r="V92" s="5">
        <f>VLOOKUP($A92,'NonXtal_SegEnds_Prot#'!$A:$AL,15,FALSE)</f>
        <v>103</v>
      </c>
      <c r="W92" s="5" t="str">
        <f>VLOOKUP($A92,'NonXtal_SegEnds_Prot#'!$A:$AL,18,FALSE)</f>
        <v>-</v>
      </c>
      <c r="X92" s="5">
        <f>VLOOKUP($A92,'NonXtal_SegEnds_Prot#'!$A:$AL,21,FALSE)</f>
        <v>145</v>
      </c>
      <c r="Y92" s="5">
        <f>VLOOKUP($A92,'NonXtal_SegEnds_Prot#'!$A:$AL,24,FALSE)</f>
        <v>182</v>
      </c>
      <c r="Z92" s="5">
        <f>VLOOKUP($A92,'NonXtal_SegEnds_Prot#'!$A:$AL,27,FALSE)</f>
        <v>192</v>
      </c>
      <c r="AA92" s="5">
        <f>VLOOKUP($A92,'NonXtal_SegEnds_Prot#'!$A:$AL,30,FALSE)</f>
        <v>256</v>
      </c>
      <c r="AB92" s="5">
        <f>VLOOKUP($A92,'NonXtal_SegEnds_Prot#'!$A:$AL,33,FALSE)</f>
        <v>299</v>
      </c>
      <c r="AC92" s="5">
        <f>VLOOKUP($A92,'NonXtal_SegEnds_Prot#'!$A:$AL,36,FALSE)</f>
        <v>328</v>
      </c>
      <c r="AD92" s="5">
        <f>VLOOKUP($A92,'NonXtal_SegEnds_Prot#'!$A:$AL,5,FALSE)</f>
        <v>62</v>
      </c>
      <c r="AE92" s="5">
        <f>VLOOKUP($A92,'NonXtal_SegEnds_Prot#'!$A:$AL,8,FALSE)</f>
        <v>66</v>
      </c>
      <c r="AF92" s="5">
        <f>VLOOKUP($A92,'NonXtal_SegEnds_Prot#'!$A:$AL,11,FALSE)</f>
        <v>97</v>
      </c>
      <c r="AG92" s="5">
        <f>VLOOKUP($A92,'NonXtal_SegEnds_Prot#'!$A:$AL,14,FALSE)</f>
        <v>102</v>
      </c>
      <c r="AH92" s="5">
        <f>VLOOKUP($A92,'NonXtal_SegEnds_Prot#'!$A:$AL,17,FALSE)</f>
        <v>138</v>
      </c>
      <c r="AI92" s="5" t="str">
        <f>VLOOKUP($A92,'NonXtal_SegEnds_Prot#'!$A:$AL,20,FALSE)</f>
        <v>-</v>
      </c>
      <c r="AJ92" s="5">
        <f>VLOOKUP($A92,'NonXtal_SegEnds_Prot#'!$A:$AL,23,FALSE)</f>
        <v>170</v>
      </c>
      <c r="AK92" s="5">
        <f>VLOOKUP($A92,'NonXtal_SegEnds_Prot#'!$A:$AL,26,FALSE)</f>
        <v>184</v>
      </c>
      <c r="AL92" s="5">
        <f>VLOOKUP($A92,'NonXtal_SegEnds_Prot#'!$A:$AL,29,FALSE)</f>
        <v>233</v>
      </c>
      <c r="AM92" s="5">
        <f>VLOOKUP($A92,'NonXtal_SegEnds_Prot#'!$A:$AL,32,FALSE)</f>
        <v>293</v>
      </c>
      <c r="AN92" s="5">
        <f>VLOOKUP($A92,'NonXtal_SegEnds_Prot#'!$A:$AL,35,FALSE)</f>
        <v>327</v>
      </c>
      <c r="AO92" s="5">
        <f>VLOOKUP($A92,'NonXtal_SegEnds_Prot#'!$A:$AL,38,FALSE)</f>
        <v>340</v>
      </c>
      <c r="AP92" s="5">
        <f t="shared" si="38"/>
        <v>36</v>
      </c>
      <c r="AQ92" s="4">
        <f t="shared" si="39"/>
        <v>3</v>
      </c>
      <c r="AR92" s="4">
        <f t="shared" si="40"/>
        <v>30</v>
      </c>
      <c r="AS92" s="4">
        <f t="shared" si="41"/>
        <v>3</v>
      </c>
      <c r="AT92" s="4">
        <f t="shared" si="42"/>
        <v>35</v>
      </c>
      <c r="AU92" s="4" t="str">
        <f t="shared" si="43"/>
        <v>-</v>
      </c>
      <c r="AV92" s="4">
        <f t="shared" si="44"/>
        <v>25</v>
      </c>
      <c r="AW92" s="4">
        <f t="shared" si="45"/>
        <v>2</v>
      </c>
      <c r="AX92" s="4">
        <f t="shared" si="46"/>
        <v>41</v>
      </c>
      <c r="AY92" s="4">
        <f t="shared" si="47"/>
        <v>37</v>
      </c>
      <c r="AZ92" s="4">
        <f t="shared" si="48"/>
        <v>28</v>
      </c>
      <c r="BA92" s="4">
        <f t="shared" si="49"/>
        <v>12</v>
      </c>
    </row>
    <row r="93" spans="1:53" x14ac:dyDescent="0.2">
      <c r="A93" s="1" t="str">
        <f>'NonXtal_SegEnds_Prot#'!A62</f>
        <v>taar1_human</v>
      </c>
      <c r="B93" s="1" t="str">
        <f t="shared" si="25"/>
        <v>KNNWSNDVRASLYSLMVLIILTTLVGNLIVIVSISHFTPTNWLIHSMATVDFLLGCLVMPYSMVRSAEGEVFCKIHTSTDIMLSSASIFHLSFISIDRYYAVCDILVICVMIFISWSVPAVFAFGMIFLESKISGVLTFMTSFYIPGSIMLCVYYRIYLIAKEQARLISDMKNGISQSKERKAVKTLGIVMGVFLICWCPFFICTVMDPFLPPTLNDVLIWFGYLNSTFNPMVYAFFYPWFRKALKMMLF</v>
      </c>
      <c r="C93" s="72" t="str">
        <f>IF(ISERROR(MATCH(A93,'Xtal_SegEnds_Prot#'!B:B, 0)), "NoXtal", "Xtal")</f>
        <v>NoXtal</v>
      </c>
      <c r="D93" s="4" t="str">
        <f>VLOOKUP(A93,Classification!A:D,2,FALSE)</f>
        <v>A</v>
      </c>
      <c r="E93" s="5" t="str">
        <f>VLOOKUP(A93,Seqs!A:B,2,FALSE)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93" s="5" t="str">
        <f t="shared" si="26"/>
        <v>KNNWSNDVRASLYSLMVLIILTTLVGNLIVIVSISHF</v>
      </c>
      <c r="G93" s="4" t="str">
        <f t="shared" si="27"/>
        <v>KQLH</v>
      </c>
      <c r="H93" s="4" t="str">
        <f t="shared" si="28"/>
        <v>TPTNWLIHSMATVDFLLGCLVMPYSMVRSAE</v>
      </c>
      <c r="I93" s="4" t="str">
        <f t="shared" si="29"/>
        <v>CWYF</v>
      </c>
      <c r="J93" s="4" t="str">
        <f t="shared" si="30"/>
        <v>GEVFCKIHTSTDIMLSSASIFHLSFISIDRYYAVCD</v>
      </c>
      <c r="K93" s="4" t="str">
        <f t="shared" si="31"/>
        <v>PLRYKAKM</v>
      </c>
      <c r="L93" s="4" t="str">
        <f t="shared" si="32"/>
        <v>ILVICVMIFISWSVPAVFAFGMIFLE</v>
      </c>
      <c r="M93" s="4" t="str">
        <f t="shared" si="33"/>
        <v>CSV</v>
      </c>
      <c r="N93" s="4" t="str">
        <f t="shared" si="34"/>
        <v>SKISGVLTFMTSFYIPGSIMLCVYYRIYLIAKEQARLISD</v>
      </c>
      <c r="O93" s="4" t="str">
        <f t="shared" si="35"/>
        <v>MKNGISQSKERKAVKTLGIVMGVFLICWCPFFICTVMDPFL</v>
      </c>
      <c r="P93" s="4" t="str">
        <f t="shared" si="36"/>
        <v>PPTLNDVLIWFGYLNSTFNPMVYAFF</v>
      </c>
      <c r="Q93" s="4" t="str">
        <f t="shared" si="37"/>
        <v>YPWFRKALKMMLF</v>
      </c>
      <c r="R93" s="5">
        <f>VLOOKUP($A93,'NonXtal_SegEnds_Prot#'!$A:$AL,3,FALSE)</f>
        <v>15</v>
      </c>
      <c r="S93" s="5">
        <f>VLOOKUP($A93,'NonXtal_SegEnds_Prot#'!$A:$AL,6,FALSE)</f>
        <v>52</v>
      </c>
      <c r="T93" s="5">
        <f>VLOOKUP($A93,'NonXtal_SegEnds_Prot#'!$A:$AL,9,FALSE)</f>
        <v>56</v>
      </c>
      <c r="U93" s="5">
        <f>VLOOKUP($A93,'NonXtal_SegEnds_Prot#'!$A:$AL,12,FALSE)</f>
        <v>88</v>
      </c>
      <c r="V93" s="5">
        <f>VLOOKUP($A93,'NonXtal_SegEnds_Prot#'!$A:$AL,15,FALSE)</f>
        <v>92</v>
      </c>
      <c r="W93" s="5">
        <f>VLOOKUP($A93,'NonXtal_SegEnds_Prot#'!$A:$AL,18,FALSE)</f>
        <v>128</v>
      </c>
      <c r="X93" s="5">
        <f>VLOOKUP($A93,'NonXtal_SegEnds_Prot#'!$A:$AL,21,FALSE)</f>
        <v>137</v>
      </c>
      <c r="Y93" s="5">
        <f>VLOOKUP($A93,'NonXtal_SegEnds_Prot#'!$A:$AL,24,FALSE)</f>
        <v>182</v>
      </c>
      <c r="Z93" s="5">
        <f>VLOOKUP($A93,'NonXtal_SegEnds_Prot#'!$A:$AL,27,FALSE)</f>
        <v>187</v>
      </c>
      <c r="AA93" s="5">
        <f>VLOOKUP($A93,'NonXtal_SegEnds_Prot#'!$A:$AL,30,FALSE)</f>
        <v>237</v>
      </c>
      <c r="AB93" s="5">
        <f>VLOOKUP($A93,'NonXtal_SegEnds_Prot#'!$A:$AL,33,FALSE)</f>
        <v>282</v>
      </c>
      <c r="AC93" s="5">
        <f>VLOOKUP($A93,'NonXtal_SegEnds_Prot#'!$A:$AL,36,FALSE)</f>
        <v>308</v>
      </c>
      <c r="AD93" s="5">
        <f>VLOOKUP($A93,'NonXtal_SegEnds_Prot#'!$A:$AL,5,FALSE)</f>
        <v>51</v>
      </c>
      <c r="AE93" s="5">
        <f>VLOOKUP($A93,'NonXtal_SegEnds_Prot#'!$A:$AL,8,FALSE)</f>
        <v>55</v>
      </c>
      <c r="AF93" s="5">
        <f>VLOOKUP($A93,'NonXtal_SegEnds_Prot#'!$A:$AL,11,FALSE)</f>
        <v>86</v>
      </c>
      <c r="AG93" s="5">
        <f>VLOOKUP($A93,'NonXtal_SegEnds_Prot#'!$A:$AL,14,FALSE)</f>
        <v>91</v>
      </c>
      <c r="AH93" s="5">
        <f>VLOOKUP($A93,'NonXtal_SegEnds_Prot#'!$A:$AL,17,FALSE)</f>
        <v>127</v>
      </c>
      <c r="AI93" s="5">
        <f>VLOOKUP($A93,'NonXtal_SegEnds_Prot#'!$A:$AL,20,FALSE)</f>
        <v>135</v>
      </c>
      <c r="AJ93" s="5">
        <f>VLOOKUP($A93,'NonXtal_SegEnds_Prot#'!$A:$AL,23,FALSE)</f>
        <v>162</v>
      </c>
      <c r="AK93" s="5">
        <f>VLOOKUP($A93,'NonXtal_SegEnds_Prot#'!$A:$AL,26,FALSE)</f>
        <v>184</v>
      </c>
      <c r="AL93" s="5">
        <f>VLOOKUP($A93,'NonXtal_SegEnds_Prot#'!$A:$AL,29,FALSE)</f>
        <v>226</v>
      </c>
      <c r="AM93" s="5">
        <f>VLOOKUP($A93,'NonXtal_SegEnds_Prot#'!$A:$AL,32,FALSE)</f>
        <v>277</v>
      </c>
      <c r="AN93" s="5">
        <f>VLOOKUP($A93,'NonXtal_SegEnds_Prot#'!$A:$AL,35,FALSE)</f>
        <v>307</v>
      </c>
      <c r="AO93" s="5">
        <f>VLOOKUP($A93,'NonXtal_SegEnds_Prot#'!$A:$AL,38,FALSE)</f>
        <v>320</v>
      </c>
      <c r="AP93" s="5">
        <f t="shared" si="38"/>
        <v>36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25</v>
      </c>
      <c r="AW93" s="4">
        <f t="shared" si="45"/>
        <v>2</v>
      </c>
      <c r="AX93" s="4">
        <f t="shared" si="46"/>
        <v>39</v>
      </c>
      <c r="AY93" s="4">
        <f t="shared" si="47"/>
        <v>40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'NonXtal_SegEnds_Prot#'!A63</f>
        <v>5ht6r_human</v>
      </c>
      <c r="B94" s="1" t="str">
        <f t="shared" si="25"/>
        <v>GPPSAPGGSGWVAAALCVVIALTAAANSLLIALICTQNTSNFFLVSLFTSDLMVGLVVMPPAMLNALYARGLCLLWTAFDVMCCSASILNLCLISLDRYLLILSPLRALALVLGAWSLAALASFLPLLLGSLPFVLVASGLTFFLPSGAICFTYCRILLAARKQAVQVASLTTKHSRKALKASLTLGILLGMFFVTWLPFFVANIVQAVCPGLFDVLTWLGYCNSTMNPIIYPLMRDFKRALGRFLP</v>
      </c>
      <c r="C94" s="72" t="str">
        <f>IF(ISERROR(MATCH(A94,'Xtal_SegEnds_Prot#'!B:B, 0)), "NoXtal", "Xtal")</f>
        <v>NoXtal</v>
      </c>
      <c r="D94" s="4" t="str">
        <f>VLOOKUP(A94,Classification!A:D,2,FALSE)</f>
        <v>A</v>
      </c>
      <c r="E94" s="5" t="str">
        <f>VLOOKUP(A94,Seqs!A:B,2,FALSE)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94" s="5" t="str">
        <f t="shared" si="26"/>
        <v>GPPSAPGGSGWVAAALCVVIALTAAANSLLIALICTQ</v>
      </c>
      <c r="G94" s="4" t="str">
        <f t="shared" si="27"/>
        <v>PALR</v>
      </c>
      <c r="H94" s="4" t="str">
        <f t="shared" si="28"/>
        <v>NTSNFFLVSLFTSDLMVGLVVMPPAMLNALY</v>
      </c>
      <c r="I94" s="4" t="str">
        <f t="shared" si="29"/>
        <v>RWVL</v>
      </c>
      <c r="J94" s="4" t="str">
        <f t="shared" si="30"/>
        <v>ARGLCLLWTAFDVMCCSASILNLCLISLDRYLLILS</v>
      </c>
      <c r="K94" s="4" t="str">
        <f t="shared" si="31"/>
        <v>PLRYKLRM</v>
      </c>
      <c r="L94" s="4" t="str">
        <f t="shared" si="32"/>
        <v>PLRALALVLGAWSLAALASFLPLLLG</v>
      </c>
      <c r="M94" s="4" t="str">
        <f t="shared" si="33"/>
        <v>CRL</v>
      </c>
      <c r="N94" s="4" t="str">
        <f t="shared" si="34"/>
        <v>SLPFVLVASGLTFFLPSGAICFTYCRILLAARKQAVQVASLT</v>
      </c>
      <c r="O94" s="4" t="str">
        <f t="shared" si="35"/>
        <v>TKHSRKALKASLTLGILLGMFFVTWLPFFVANIVQAVC</v>
      </c>
      <c r="P94" s="4" t="str">
        <f t="shared" si="36"/>
        <v>PGLFDVLTWLGYCNSTMNPIIYPL</v>
      </c>
      <c r="Q94" s="4" t="str">
        <f t="shared" si="37"/>
        <v>MRDFKRALGRFLP</v>
      </c>
      <c r="R94" s="5">
        <f>VLOOKUP($A94,'NonXtal_SegEnds_Prot#'!$A:$AL,3,FALSE)</f>
        <v>18</v>
      </c>
      <c r="S94" s="5">
        <f>VLOOKUP($A94,'NonXtal_SegEnds_Prot#'!$A:$AL,6,FALSE)</f>
        <v>55</v>
      </c>
      <c r="T94" s="5">
        <f>VLOOKUP($A94,'NonXtal_SegEnds_Prot#'!$A:$AL,9,FALSE)</f>
        <v>59</v>
      </c>
      <c r="U94" s="5">
        <f>VLOOKUP($A94,'NonXtal_SegEnds_Prot#'!$A:$AL,12,FALSE)</f>
        <v>91</v>
      </c>
      <c r="V94" s="5">
        <f>VLOOKUP($A94,'NonXtal_SegEnds_Prot#'!$A:$AL,15,FALSE)</f>
        <v>95</v>
      </c>
      <c r="W94" s="5">
        <f>VLOOKUP($A94,'NonXtal_SegEnds_Prot#'!$A:$AL,18,FALSE)</f>
        <v>131</v>
      </c>
      <c r="X94" s="5">
        <f>VLOOKUP($A94,'NonXtal_SegEnds_Prot#'!$A:$AL,21,FALSE)</f>
        <v>140</v>
      </c>
      <c r="Y94" s="5">
        <f>VLOOKUP($A94,'NonXtal_SegEnds_Prot#'!$A:$AL,24,FALSE)</f>
        <v>180</v>
      </c>
      <c r="Z94" s="5">
        <f>VLOOKUP($A94,'NonXtal_SegEnds_Prot#'!$A:$AL,27,FALSE)</f>
        <v>185</v>
      </c>
      <c r="AA94" s="5">
        <f>VLOOKUP($A94,'NonXtal_SegEnds_Prot#'!$A:$AL,30,FALSE)</f>
        <v>257</v>
      </c>
      <c r="AB94" s="5">
        <f>VLOOKUP($A94,'NonXtal_SegEnds_Prot#'!$A:$AL,33,FALSE)</f>
        <v>299</v>
      </c>
      <c r="AC94" s="5">
        <f>VLOOKUP($A94,'NonXtal_SegEnds_Prot#'!$A:$AL,36,FALSE)</f>
        <v>324</v>
      </c>
      <c r="AD94" s="5">
        <f>VLOOKUP($A94,'NonXtal_SegEnds_Prot#'!$A:$AL,5,FALSE)</f>
        <v>54</v>
      </c>
      <c r="AE94" s="5">
        <f>VLOOKUP($A94,'NonXtal_SegEnds_Prot#'!$A:$AL,8,FALSE)</f>
        <v>58</v>
      </c>
      <c r="AF94" s="5">
        <f>VLOOKUP($A94,'NonXtal_SegEnds_Prot#'!$A:$AL,11,FALSE)</f>
        <v>89</v>
      </c>
      <c r="AG94" s="5">
        <f>VLOOKUP($A94,'NonXtal_SegEnds_Prot#'!$A:$AL,14,FALSE)</f>
        <v>94</v>
      </c>
      <c r="AH94" s="5">
        <f>VLOOKUP($A94,'NonXtal_SegEnds_Prot#'!$A:$AL,17,FALSE)</f>
        <v>130</v>
      </c>
      <c r="AI94" s="5">
        <f>VLOOKUP($A94,'NonXtal_SegEnds_Prot#'!$A:$AL,20,FALSE)</f>
        <v>138</v>
      </c>
      <c r="AJ94" s="5">
        <f>VLOOKUP($A94,'NonXtal_SegEnds_Prot#'!$A:$AL,23,FALSE)</f>
        <v>165</v>
      </c>
      <c r="AK94" s="5">
        <f>VLOOKUP($A94,'NonXtal_SegEnds_Prot#'!$A:$AL,26,FALSE)</f>
        <v>182</v>
      </c>
      <c r="AL94" s="5">
        <f>VLOOKUP($A94,'NonXtal_SegEnds_Prot#'!$A:$AL,29,FALSE)</f>
        <v>226</v>
      </c>
      <c r="AM94" s="5">
        <f>VLOOKUP($A94,'NonXtal_SegEnds_Prot#'!$A:$AL,32,FALSE)</f>
        <v>294</v>
      </c>
      <c r="AN94" s="5">
        <f>VLOOKUP($A94,'NonXtal_SegEnds_Prot#'!$A:$AL,35,FALSE)</f>
        <v>322</v>
      </c>
      <c r="AO94" s="5">
        <f>VLOOKUP($A94,'NonXtal_SegEnds_Prot#'!$A:$AL,38,FALSE)</f>
        <v>336</v>
      </c>
      <c r="AP94" s="5">
        <f t="shared" si="38"/>
        <v>36</v>
      </c>
      <c r="AQ94" s="4">
        <f t="shared" si="39"/>
        <v>3</v>
      </c>
      <c r="AR94" s="4">
        <f t="shared" si="40"/>
        <v>30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25</v>
      </c>
      <c r="AW94" s="4">
        <f t="shared" si="45"/>
        <v>2</v>
      </c>
      <c r="AX94" s="4">
        <f t="shared" si="46"/>
        <v>41</v>
      </c>
      <c r="AY94" s="4">
        <f t="shared" si="47"/>
        <v>37</v>
      </c>
      <c r="AZ94" s="4">
        <f t="shared" si="48"/>
        <v>23</v>
      </c>
      <c r="BA94" s="4">
        <f t="shared" si="49"/>
        <v>12</v>
      </c>
    </row>
    <row r="95" spans="1:53" x14ac:dyDescent="0.2">
      <c r="A95" s="1" t="str">
        <f>'NonXtal_SegEnds_Prot#'!A64</f>
        <v>mtr1a_human</v>
      </c>
      <c r="B95" s="1" t="str">
        <f t="shared" si="25"/>
        <v>DGARPSWLASALACVLIFTIVVDILGNLLVILSVYRNNAGNIFVVSLAVADLVVAIYPYPLVLMSIFNGYLHCQVSGFLMGLSVIGSIFNITGIAINRYCYICHSKNSLCYVLLIWLLTLAAVLPNLRAGSSAYTIAVVVFHFLVPMIIVIFCYLRIWILVLQVRQRVPKLKPQDFRNFVTMFVVFVLFAICWAPLNFIGLAVASDPRIPEWLFVASYYMAYFNSCLNAIIYGLNQNFRKEYRRIIV</v>
      </c>
      <c r="C95" s="72" t="str">
        <f>IF(ISERROR(MATCH(A95,'Xtal_SegEnds_Prot#'!B:B, 0)), "NoXtal", "Xtal")</f>
        <v>NoXtal</v>
      </c>
      <c r="D95" s="4" t="str">
        <f>VLOOKUP(A95,Classification!A:D,2,FALSE)</f>
        <v>A</v>
      </c>
      <c r="E95" s="5" t="str">
        <f>VLOOKUP(A95,Seqs!A:B,2,FALSE)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95" s="5" t="str">
        <f t="shared" si="26"/>
        <v>DGARPSWLASALACVLIFTIVVDILGNLLVILSVYRN</v>
      </c>
      <c r="G95" s="4" t="str">
        <f t="shared" si="27"/>
        <v>KKLR</v>
      </c>
      <c r="H95" s="4" t="str">
        <f t="shared" si="28"/>
        <v>NAGNIFVVSLAVADLVVAIYPYPLVLMSIFN</v>
      </c>
      <c r="I95" s="4" t="str">
        <f t="shared" si="29"/>
        <v>GWNL</v>
      </c>
      <c r="J95" s="4" t="str">
        <f t="shared" si="30"/>
        <v>GYLHCQVSGFLMGLSVIGSIFNITGIAINRYCYICH</v>
      </c>
      <c r="K95" s="4" t="str">
        <f t="shared" si="31"/>
        <v>SLKYDKLY</v>
      </c>
      <c r="L95" s="4" t="str">
        <f t="shared" si="32"/>
        <v>SKNSLCYVLLIWLLTLAAVLPNLRAG</v>
      </c>
      <c r="M95" s="4" t="str">
        <f t="shared" si="33"/>
        <v>CTF</v>
      </c>
      <c r="N95" s="4" t="str">
        <f t="shared" si="34"/>
        <v>SSAYTIAVVVFHFLVPMIIVIFCYLRIWILVLQVRQRV</v>
      </c>
      <c r="O95" s="4" t="str">
        <f t="shared" si="35"/>
        <v>PKLKPQDFRNFVTMFVVFVLFAICWAPLNFIGLAVASD</v>
      </c>
      <c r="P95" s="4" t="str">
        <f t="shared" si="36"/>
        <v>PRIPEWLFVASYYMAYFNSCLNAIIYGL</v>
      </c>
      <c r="Q95" s="4" t="str">
        <f t="shared" si="37"/>
        <v>NQNFRKEYRRIIV</v>
      </c>
      <c r="R95" s="5">
        <f>VLOOKUP($A95,'NonXtal_SegEnds_Prot#'!$A:$AL,3,FALSE)</f>
        <v>19</v>
      </c>
      <c r="S95" s="5">
        <f>VLOOKUP($A95,'NonXtal_SegEnds_Prot#'!$A:$AL,6,FALSE)</f>
        <v>56</v>
      </c>
      <c r="T95" s="5">
        <f>VLOOKUP($A95,'NonXtal_SegEnds_Prot#'!$A:$AL,9,FALSE)</f>
        <v>60</v>
      </c>
      <c r="U95" s="5">
        <f>VLOOKUP($A95,'NonXtal_SegEnds_Prot#'!$A:$AL,12,FALSE)</f>
        <v>92</v>
      </c>
      <c r="V95" s="5">
        <f>VLOOKUP($A95,'NonXtal_SegEnds_Prot#'!$A:$AL,15,FALSE)</f>
        <v>96</v>
      </c>
      <c r="W95" s="5">
        <f>VLOOKUP($A95,'NonXtal_SegEnds_Prot#'!$A:$AL,18,FALSE)</f>
        <v>132</v>
      </c>
      <c r="X95" s="5">
        <f>VLOOKUP($A95,'NonXtal_SegEnds_Prot#'!$A:$AL,21,FALSE)</f>
        <v>141</v>
      </c>
      <c r="Y95" s="5">
        <f>VLOOKUP($A95,'NonXtal_SegEnds_Prot#'!$A:$AL,24,FALSE)</f>
        <v>177</v>
      </c>
      <c r="Z95" s="5">
        <f>VLOOKUP($A95,'NonXtal_SegEnds_Prot#'!$A:$AL,27,FALSE)</f>
        <v>184</v>
      </c>
      <c r="AA95" s="5">
        <f>VLOOKUP($A95,'NonXtal_SegEnds_Prot#'!$A:$AL,30,FALSE)</f>
        <v>227</v>
      </c>
      <c r="AB95" s="5">
        <f>VLOOKUP($A95,'NonXtal_SegEnds_Prot#'!$A:$AL,33,FALSE)</f>
        <v>270</v>
      </c>
      <c r="AC95" s="5">
        <f>VLOOKUP($A95,'NonXtal_SegEnds_Prot#'!$A:$AL,36,FALSE)</f>
        <v>299</v>
      </c>
      <c r="AD95" s="5">
        <f>VLOOKUP($A95,'NonXtal_SegEnds_Prot#'!$A:$AL,5,FALSE)</f>
        <v>55</v>
      </c>
      <c r="AE95" s="5">
        <f>VLOOKUP($A95,'NonXtal_SegEnds_Prot#'!$A:$AL,8,FALSE)</f>
        <v>59</v>
      </c>
      <c r="AF95" s="5">
        <f>VLOOKUP($A95,'NonXtal_SegEnds_Prot#'!$A:$AL,11,FALSE)</f>
        <v>90</v>
      </c>
      <c r="AG95" s="5">
        <f>VLOOKUP($A95,'NonXtal_SegEnds_Prot#'!$A:$AL,14,FALSE)</f>
        <v>95</v>
      </c>
      <c r="AH95" s="5">
        <f>VLOOKUP($A95,'NonXtal_SegEnds_Prot#'!$A:$AL,17,FALSE)</f>
        <v>131</v>
      </c>
      <c r="AI95" s="5">
        <f>VLOOKUP($A95,'NonXtal_SegEnds_Prot#'!$A:$AL,20,FALSE)</f>
        <v>139</v>
      </c>
      <c r="AJ95" s="5">
        <f>VLOOKUP($A95,'NonXtal_SegEnds_Prot#'!$A:$AL,23,FALSE)</f>
        <v>166</v>
      </c>
      <c r="AK95" s="5">
        <f>VLOOKUP($A95,'NonXtal_SegEnds_Prot#'!$A:$AL,26,FALSE)</f>
        <v>179</v>
      </c>
      <c r="AL95" s="5">
        <f>VLOOKUP($A95,'NonXtal_SegEnds_Prot#'!$A:$AL,29,FALSE)</f>
        <v>221</v>
      </c>
      <c r="AM95" s="5">
        <f>VLOOKUP($A95,'NonXtal_SegEnds_Prot#'!$A:$AL,32,FALSE)</f>
        <v>264</v>
      </c>
      <c r="AN95" s="5">
        <f>VLOOKUP($A95,'NonXtal_SegEnds_Prot#'!$A:$AL,35,FALSE)</f>
        <v>297</v>
      </c>
      <c r="AO95" s="5">
        <f>VLOOKUP($A95,'NonXtal_SegEnds_Prot#'!$A:$AL,38,FALSE)</f>
        <v>311</v>
      </c>
      <c r="AP95" s="5">
        <f t="shared" si="38"/>
        <v>36</v>
      </c>
      <c r="AQ95" s="4">
        <f t="shared" si="39"/>
        <v>3</v>
      </c>
      <c r="AR95" s="4">
        <f t="shared" si="40"/>
        <v>30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25</v>
      </c>
      <c r="AW95" s="4">
        <f t="shared" si="45"/>
        <v>2</v>
      </c>
      <c r="AX95" s="4">
        <f t="shared" si="46"/>
        <v>37</v>
      </c>
      <c r="AY95" s="4">
        <f t="shared" si="47"/>
        <v>37</v>
      </c>
      <c r="AZ95" s="4">
        <f t="shared" si="48"/>
        <v>27</v>
      </c>
      <c r="BA95" s="4">
        <f t="shared" si="49"/>
        <v>12</v>
      </c>
    </row>
    <row r="96" spans="1:53" x14ac:dyDescent="0.2">
      <c r="A96" s="1" t="str">
        <f>'NonXtal_SegEnds_Prot#'!A65</f>
        <v>hrh2_human</v>
      </c>
      <c r="B96" s="1" t="str">
        <f t="shared" si="25"/>
        <v>FCLDSTACKITITVVLAVLILITVAGNVVVCLAVGLNNLTNCFIVSLAITDLLLGLLVLPFSAIYQLSGKVFCNIYTSLDVMLCTASILNLFMISLDRYCAVMDPVRVAISLVLIWVISITLSFLSIHLGNEVYGLVDGLVTFYLPLLIMCITYYRIFKVARDQAKRINSWKAATIREHKATVTLAAVMGAFIICWFPYFTAFVYRGLRNEVLEAIVLWLGYANSALNPILYAALNRDFRTGYQQLFC</v>
      </c>
      <c r="C96" s="72" t="str">
        <f>IF(ISERROR(MATCH(A96,'Xtal_SegEnds_Prot#'!B:B, 0)), "NoXtal", "Xtal")</f>
        <v>NoXtal</v>
      </c>
      <c r="D96" s="4" t="str">
        <f>VLOOKUP(A96,Classification!A:D,2,FALSE)</f>
        <v>A</v>
      </c>
      <c r="E96" s="5" t="str">
        <f>VLOOKUP(A96,Seqs!A:B,2,FALSE)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96" s="5" t="str">
        <f t="shared" si="26"/>
        <v>FCLDSTACKITITVVLAVLILITVAGNVVVCLAVGLN</v>
      </c>
      <c r="G96" s="4" t="str">
        <f t="shared" si="27"/>
        <v>RRLR</v>
      </c>
      <c r="H96" s="4" t="str">
        <f t="shared" si="28"/>
        <v>NLTNCFIVSLAITDLLLGLLVLPFSAIYQLS</v>
      </c>
      <c r="I96" s="4" t="str">
        <f t="shared" si="29"/>
        <v>KWSF</v>
      </c>
      <c r="J96" s="4" t="str">
        <f t="shared" si="30"/>
        <v>GKVFCNIYTSLDVMLCTASILNLFMISLDRYCAVMD</v>
      </c>
      <c r="K96" s="4" t="str">
        <f t="shared" si="31"/>
        <v>PLRYPVLV</v>
      </c>
      <c r="L96" s="4" t="str">
        <f t="shared" si="32"/>
        <v>PVRVAISLVLIWVISITLSFLSIHLG</v>
      </c>
      <c r="M96" s="4" t="str">
        <f t="shared" si="33"/>
        <v>CKV</v>
      </c>
      <c r="N96" s="4" t="str">
        <f t="shared" si="34"/>
        <v>NEVYGLVDGLVTFYLPLLIMCITYYRIFKVARDQAKRIN</v>
      </c>
      <c r="O96" s="4" t="str">
        <f t="shared" si="35"/>
        <v>SWKAATIREHKATVTLAAVMGAFIICWFPYFTAFVYRGLR</v>
      </c>
      <c r="P96" s="4" t="str">
        <f t="shared" si="36"/>
        <v>NEVLEAIVLWLGYANSALNPILYAAL</v>
      </c>
      <c r="Q96" s="4" t="str">
        <f t="shared" si="37"/>
        <v>NRDFRTGYQQLFC</v>
      </c>
      <c r="R96" s="5">
        <f>VLOOKUP($A96,'NonXtal_SegEnds_Prot#'!$A:$AL,3,FALSE)</f>
        <v>10</v>
      </c>
      <c r="S96" s="5">
        <f>VLOOKUP($A96,'NonXtal_SegEnds_Prot#'!$A:$AL,6,FALSE)</f>
        <v>47</v>
      </c>
      <c r="T96" s="5">
        <f>VLOOKUP($A96,'NonXtal_SegEnds_Prot#'!$A:$AL,9,FALSE)</f>
        <v>51</v>
      </c>
      <c r="U96" s="5">
        <f>VLOOKUP($A96,'NonXtal_SegEnds_Prot#'!$A:$AL,12,FALSE)</f>
        <v>83</v>
      </c>
      <c r="V96" s="5">
        <f>VLOOKUP($A96,'NonXtal_SegEnds_Prot#'!$A:$AL,15,FALSE)</f>
        <v>87</v>
      </c>
      <c r="W96" s="5">
        <f>VLOOKUP($A96,'NonXtal_SegEnds_Prot#'!$A:$AL,18,FALSE)</f>
        <v>123</v>
      </c>
      <c r="X96" s="5">
        <f>VLOOKUP($A96,'NonXtal_SegEnds_Prot#'!$A:$AL,21,FALSE)</f>
        <v>132</v>
      </c>
      <c r="Y96" s="5">
        <f>VLOOKUP($A96,'NonXtal_SegEnds_Prot#'!$A:$AL,24,FALSE)</f>
        <v>174</v>
      </c>
      <c r="Z96" s="5">
        <f>VLOOKUP($A96,'NonXtal_SegEnds_Prot#'!$A:$AL,27,FALSE)</f>
        <v>179</v>
      </c>
      <c r="AA96" s="5">
        <f>VLOOKUP($A96,'NonXtal_SegEnds_Prot#'!$A:$AL,30,FALSE)</f>
        <v>221</v>
      </c>
      <c r="AB96" s="5">
        <f>VLOOKUP($A96,'NonXtal_SegEnds_Prot#'!$A:$AL,33,FALSE)</f>
        <v>266</v>
      </c>
      <c r="AC96" s="5">
        <f>VLOOKUP($A96,'NonXtal_SegEnds_Prot#'!$A:$AL,36,FALSE)</f>
        <v>292</v>
      </c>
      <c r="AD96" s="5">
        <f>VLOOKUP($A96,'NonXtal_SegEnds_Prot#'!$A:$AL,5,FALSE)</f>
        <v>46</v>
      </c>
      <c r="AE96" s="5">
        <f>VLOOKUP($A96,'NonXtal_SegEnds_Prot#'!$A:$AL,8,FALSE)</f>
        <v>50</v>
      </c>
      <c r="AF96" s="5">
        <f>VLOOKUP($A96,'NonXtal_SegEnds_Prot#'!$A:$AL,11,FALSE)</f>
        <v>81</v>
      </c>
      <c r="AG96" s="5">
        <f>VLOOKUP($A96,'NonXtal_SegEnds_Prot#'!$A:$AL,14,FALSE)</f>
        <v>86</v>
      </c>
      <c r="AH96" s="5">
        <f>VLOOKUP($A96,'NonXtal_SegEnds_Prot#'!$A:$AL,17,FALSE)</f>
        <v>122</v>
      </c>
      <c r="AI96" s="5">
        <f>VLOOKUP($A96,'NonXtal_SegEnds_Prot#'!$A:$AL,20,FALSE)</f>
        <v>130</v>
      </c>
      <c r="AJ96" s="5">
        <f>VLOOKUP($A96,'NonXtal_SegEnds_Prot#'!$A:$AL,23,FALSE)</f>
        <v>157</v>
      </c>
      <c r="AK96" s="5">
        <f>VLOOKUP($A96,'NonXtal_SegEnds_Prot#'!$A:$AL,26,FALSE)</f>
        <v>176</v>
      </c>
      <c r="AL96" s="5">
        <f>VLOOKUP($A96,'NonXtal_SegEnds_Prot#'!$A:$AL,29,FALSE)</f>
        <v>217</v>
      </c>
      <c r="AM96" s="5">
        <f>VLOOKUP($A96,'NonXtal_SegEnds_Prot#'!$A:$AL,32,FALSE)</f>
        <v>260</v>
      </c>
      <c r="AN96" s="5">
        <f>VLOOKUP($A96,'NonXtal_SegEnds_Prot#'!$A:$AL,35,FALSE)</f>
        <v>291</v>
      </c>
      <c r="AO96" s="5">
        <f>VLOOKUP($A96,'NonXtal_SegEnds_Prot#'!$A:$AL,38,FALSE)</f>
        <v>304</v>
      </c>
      <c r="AP96" s="5">
        <f t="shared" si="38"/>
        <v>36</v>
      </c>
      <c r="AQ96" s="4">
        <f t="shared" si="39"/>
        <v>3</v>
      </c>
      <c r="AR96" s="4">
        <f t="shared" si="40"/>
        <v>30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25</v>
      </c>
      <c r="AW96" s="4">
        <f t="shared" si="45"/>
        <v>2</v>
      </c>
      <c r="AX96" s="4">
        <f t="shared" si="46"/>
        <v>38</v>
      </c>
      <c r="AY96" s="4">
        <f t="shared" si="47"/>
        <v>39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'NonXtal_SegEnds_Prot#'!A66</f>
        <v>rxfp1_human</v>
      </c>
      <c r="B97" s="1" t="str">
        <f t="shared" si="25"/>
        <v>SLENLLASIIQRVFVWVVSAVTCFGNIFVICMRPYIKLYAMSIISLCCADCLMGIYLFVIGGFDLKFLWMESTHCQLVGSLAILSTEVSVLLLTFLTLEKYICIVYKCRTITVLILIWITGFIVAFIPLSNKAQIYSVAIFLGINLAAFIIIVFSYGSMFYSVHQSAITARNQVKKEMILAKRFFFIVFTDALCWIPIFVVKFLSLLQGTITSWVVIFILPINSALNPILYTLTTRPFKEMIHRFWY</v>
      </c>
      <c r="C97" s="72" t="str">
        <f>IF(ISERROR(MATCH(A97,'Xtal_SegEnds_Prot#'!B:B, 0)), "NoXtal", "Xtal")</f>
        <v>NoXtal</v>
      </c>
      <c r="D97" s="4" t="str">
        <f>VLOOKUP(A97,Classification!A:D,2,FALSE)</f>
        <v>A</v>
      </c>
      <c r="E97" s="5" t="str">
        <f>VLOOKUP(A97,Seqs!A:B,2,FALSE)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97" s="5" t="str">
        <f t="shared" si="26"/>
        <v>SLENLLASIIQRVFVWVVSAVTCFGNIFVICMRPYI</v>
      </c>
      <c r="G97" s="4" t="str">
        <f t="shared" si="27"/>
        <v>RSEN</v>
      </c>
      <c r="H97" s="4" t="str">
        <f t="shared" si="28"/>
        <v>KLYAMSIISLCCADCLMGIYLFVIGGFDLKF</v>
      </c>
      <c r="I97" s="4" t="str">
        <f t="shared" si="29"/>
        <v/>
      </c>
      <c r="J97" s="4" t="str">
        <f t="shared" si="30"/>
        <v>LWMESTHCQLVGSLAILSTEVSVLLLTFLTLEKYICIVY</v>
      </c>
      <c r="K97" s="4" t="str">
        <f t="shared" si="31"/>
        <v>PFRCVRPG</v>
      </c>
      <c r="L97" s="4" t="str">
        <f t="shared" si="32"/>
        <v>KCRTITVLILIWITGFIVAFIPLSNK</v>
      </c>
      <c r="M97" s="4" t="str">
        <f t="shared" si="33"/>
        <v>CFP</v>
      </c>
      <c r="N97" s="4" t="str">
        <f t="shared" si="34"/>
        <v>AQIYSVAIFLGINLAAFIIIVFSYGSMFYSVHQSAITA</v>
      </c>
      <c r="O97" s="4" t="str">
        <f t="shared" si="35"/>
        <v>RNQVKKEMILAKRFFFIVFTDALCWIPIFVVKFLSLLQ</v>
      </c>
      <c r="P97" s="4" t="str">
        <f t="shared" si="36"/>
        <v>GTITSWVVIFILPINSALNPILYTLT</v>
      </c>
      <c r="Q97" s="4" t="str">
        <f t="shared" si="37"/>
        <v>TRPFKEMIHRFWY</v>
      </c>
      <c r="R97" s="5">
        <f>VLOOKUP($A97,'NonXtal_SegEnds_Prot#'!$A:$AL,3,FALSE)</f>
        <v>398</v>
      </c>
      <c r="S97" s="5">
        <f>VLOOKUP($A97,'NonXtal_SegEnds_Prot#'!$A:$AL,6,FALSE)</f>
        <v>434</v>
      </c>
      <c r="T97" s="5">
        <f>VLOOKUP($A97,'NonXtal_SegEnds_Prot#'!$A:$AL,9,FALSE)</f>
        <v>438</v>
      </c>
      <c r="U97" s="5" t="str">
        <f>VLOOKUP($A97,'NonXtal_SegEnds_Prot#'!$A:$AL,12,FALSE)</f>
        <v>-</v>
      </c>
      <c r="V97" s="5">
        <f>VLOOKUP($A97,'NonXtal_SegEnds_Prot#'!$A:$AL,15,FALSE)</f>
        <v>478</v>
      </c>
      <c r="W97" s="5">
        <f>VLOOKUP($A97,'NonXtal_SegEnds_Prot#'!$A:$AL,18,FALSE)</f>
        <v>517</v>
      </c>
      <c r="X97" s="5">
        <f>VLOOKUP($A97,'NonXtal_SegEnds_Prot#'!$A:$AL,21,FALSE)</f>
        <v>525</v>
      </c>
      <c r="Y97" s="5">
        <f>VLOOKUP($A97,'NonXtal_SegEnds_Prot#'!$A:$AL,24,FALSE)</f>
        <v>563</v>
      </c>
      <c r="Z97" s="5">
        <f>VLOOKUP($A97,'NonXtal_SegEnds_Prot#'!$A:$AL,27,FALSE)</f>
        <v>576</v>
      </c>
      <c r="AA97" s="5">
        <f>VLOOKUP($A97,'NonXtal_SegEnds_Prot#'!$A:$AL,30,FALSE)</f>
        <v>617</v>
      </c>
      <c r="AB97" s="5">
        <f>VLOOKUP($A97,'NonXtal_SegEnds_Prot#'!$A:$AL,33,FALSE)</f>
        <v>659</v>
      </c>
      <c r="AC97" s="5">
        <f>VLOOKUP($A97,'NonXtal_SegEnds_Prot#'!$A:$AL,36,FALSE)</f>
        <v>685</v>
      </c>
      <c r="AD97" s="5">
        <f>VLOOKUP($A97,'NonXtal_SegEnds_Prot#'!$A:$AL,5,FALSE)</f>
        <v>433</v>
      </c>
      <c r="AE97" s="5">
        <f>VLOOKUP($A97,'NonXtal_SegEnds_Prot#'!$A:$AL,8,FALSE)</f>
        <v>437</v>
      </c>
      <c r="AF97" s="5">
        <f>VLOOKUP($A97,'NonXtal_SegEnds_Prot#'!$A:$AL,11,FALSE)</f>
        <v>468</v>
      </c>
      <c r="AG97" s="5" t="str">
        <f>VLOOKUP($A97,'NonXtal_SegEnds_Prot#'!$A:$AL,14,FALSE)</f>
        <v>-</v>
      </c>
      <c r="AH97" s="5">
        <f>VLOOKUP($A97,'NonXtal_SegEnds_Prot#'!$A:$AL,17,FALSE)</f>
        <v>516</v>
      </c>
      <c r="AI97" s="5">
        <f>VLOOKUP($A97,'NonXtal_SegEnds_Prot#'!$A:$AL,20,FALSE)</f>
        <v>524</v>
      </c>
      <c r="AJ97" s="5">
        <f>VLOOKUP($A97,'NonXtal_SegEnds_Prot#'!$A:$AL,23,FALSE)</f>
        <v>550</v>
      </c>
      <c r="AK97" s="5">
        <f>VLOOKUP($A97,'NonXtal_SegEnds_Prot#'!$A:$AL,26,FALSE)</f>
        <v>565</v>
      </c>
      <c r="AL97" s="5">
        <f>VLOOKUP($A97,'NonXtal_SegEnds_Prot#'!$A:$AL,29,FALSE)</f>
        <v>613</v>
      </c>
      <c r="AM97" s="5">
        <f>VLOOKUP($A97,'NonXtal_SegEnds_Prot#'!$A:$AL,32,FALSE)</f>
        <v>654</v>
      </c>
      <c r="AN97" s="5">
        <f>VLOOKUP($A97,'NonXtal_SegEnds_Prot#'!$A:$AL,35,FALSE)</f>
        <v>684</v>
      </c>
      <c r="AO97" s="5">
        <f>VLOOKUP($A97,'NonXtal_SegEnds_Prot#'!$A:$AL,38,FALSE)</f>
        <v>697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 t="str">
        <f t="shared" si="41"/>
        <v>-</v>
      </c>
      <c r="AT97" s="4">
        <f t="shared" si="42"/>
        <v>38</v>
      </c>
      <c r="AU97" s="4">
        <f t="shared" si="43"/>
        <v>7</v>
      </c>
      <c r="AV97" s="4">
        <f t="shared" si="44"/>
        <v>25</v>
      </c>
      <c r="AW97" s="4">
        <f t="shared" si="45"/>
        <v>2</v>
      </c>
      <c r="AX97" s="4">
        <f t="shared" si="46"/>
        <v>37</v>
      </c>
      <c r="AY97" s="4">
        <f t="shared" si="47"/>
        <v>37</v>
      </c>
      <c r="AZ97" s="4">
        <f t="shared" si="48"/>
        <v>25</v>
      </c>
      <c r="BA97" s="4">
        <f t="shared" si="49"/>
        <v>12</v>
      </c>
    </row>
    <row r="98" spans="1:53" x14ac:dyDescent="0.2">
      <c r="A98" s="1" t="str">
        <f>'NonXtal_SegEnds_Prot#'!A67</f>
        <v>adrb2_human</v>
      </c>
      <c r="B98" s="1" t="str">
        <f t="shared" si="25"/>
        <v>QERDEVWVVGMGIVMSLIVLAIVFGNVLVITAIAKFTVTNYFITSLACADLVMGLAVVPFGAAHILMGNFWCEFWTSIDVLCVTASIETLCVIAVDRYFAITSKNKARVIILMVWIVSGLTSFLPIQMHNQAYAIASSIVSFYVPLVIMVFVYSRVFQEAKRQLQKIDKSESKFCLKEHKALKTLGIIMGTFTLCWLPFFIVNIVHVIQRKEVYILLNWIGYVNSGFNPLIYCRSPDFRIAFQELLC</v>
      </c>
      <c r="C98" s="72" t="str">
        <f>IF(ISERROR(MATCH(A98,'Xtal_SegEnds_Prot#'!B:B, 0)), "NoXtal", "Xtal")</f>
        <v>Xtal</v>
      </c>
      <c r="D98" s="4" t="str">
        <f>VLOOKUP(A98,Classification!A:D,2,FALSE)</f>
        <v>A</v>
      </c>
      <c r="E98" s="5" t="str">
        <f>VLOOKUP(A98,Seqs!A:B,2,FALSE)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8" s="5" t="str">
        <f t="shared" si="26"/>
        <v>QERDEVWVVGMGIVMSLIVLAIVFGNVLVITAIAKF</v>
      </c>
      <c r="G98" s="4" t="str">
        <f t="shared" si="27"/>
        <v>ERLQ</v>
      </c>
      <c r="H98" s="4" t="str">
        <f t="shared" si="28"/>
        <v>TVTNYFITSLACADLVMGLAVVPFGAAHILM</v>
      </c>
      <c r="I98" s="4" t="str">
        <f t="shared" si="29"/>
        <v>MWTF</v>
      </c>
      <c r="J98" s="4" t="str">
        <f t="shared" si="30"/>
        <v>GNFWCEFWTSIDVLCVTASIETLCVIAVDRYFAITS</v>
      </c>
      <c r="K98" s="4" t="str">
        <f t="shared" si="31"/>
        <v>PFKYQSLL</v>
      </c>
      <c r="L98" s="4" t="str">
        <f t="shared" si="32"/>
        <v>KNKARVIILMVWIVSGLTSFLPIQMH</v>
      </c>
      <c r="M98" s="4" t="str">
        <f t="shared" si="33"/>
        <v>CDF</v>
      </c>
      <c r="N98" s="4" t="str">
        <f t="shared" si="34"/>
        <v>NQAYAIASSIVSFYVPLVIMVFVYSRVFQEAKRQLQKIDKSE</v>
      </c>
      <c r="O98" s="4" t="str">
        <f t="shared" si="35"/>
        <v>SKFCLKEHKALKTLGIIMGTFTLCWLPFFIVNIVHVIQ</v>
      </c>
      <c r="P98" s="4" t="str">
        <f t="shared" si="36"/>
        <v>RKEVYILLNWIGYVNSGFNPLIYCR</v>
      </c>
      <c r="Q98" s="4" t="str">
        <f t="shared" si="37"/>
        <v>SPDFRIAFQELLC</v>
      </c>
      <c r="R98" s="5">
        <f>VLOOKUP($A98,'NonXtal_SegEnds_Prot#'!$A:$AL,3,FALSE)</f>
        <v>26</v>
      </c>
      <c r="S98" s="5">
        <f>VLOOKUP($A98,'NonXtal_SegEnds_Prot#'!$A:$AL,6,FALSE)</f>
        <v>62</v>
      </c>
      <c r="T98" s="5">
        <f>VLOOKUP($A98,'NonXtal_SegEnds_Prot#'!$A:$AL,9,FALSE)</f>
        <v>66</v>
      </c>
      <c r="U98" s="5">
        <f>VLOOKUP($A98,'NonXtal_SegEnds_Prot#'!$A:$AL,12,FALSE)</f>
        <v>98</v>
      </c>
      <c r="V98" s="5">
        <f>VLOOKUP($A98,'NonXtal_SegEnds_Prot#'!$A:$AL,15,FALSE)</f>
        <v>102</v>
      </c>
      <c r="W98" s="5">
        <f>VLOOKUP($A98,'NonXtal_SegEnds_Prot#'!$A:$AL,18,FALSE)</f>
        <v>138</v>
      </c>
      <c r="X98" s="5">
        <f>VLOOKUP($A98,'NonXtal_SegEnds_Prot#'!$A:$AL,21,FALSE)</f>
        <v>147</v>
      </c>
      <c r="Y98" s="5">
        <f>VLOOKUP($A98,'NonXtal_SegEnds_Prot#'!$A:$AL,24,FALSE)</f>
        <v>191</v>
      </c>
      <c r="Z98" s="5">
        <f>VLOOKUP($A98,'NonXtal_SegEnds_Prot#'!$A:$AL,27,FALSE)</f>
        <v>196</v>
      </c>
      <c r="AA98" s="5">
        <f>VLOOKUP($A98,'NonXtal_SegEnds_Prot#'!$A:$AL,30,FALSE)</f>
        <v>262</v>
      </c>
      <c r="AB98" s="5">
        <f>VLOOKUP($A98,'NonXtal_SegEnds_Prot#'!$A:$AL,33,FALSE)</f>
        <v>304</v>
      </c>
      <c r="AC98" s="5">
        <f>VLOOKUP($A98,'NonXtal_SegEnds_Prot#'!$A:$AL,36,FALSE)</f>
        <v>329</v>
      </c>
      <c r="AD98" s="5">
        <f>VLOOKUP($A98,'NonXtal_SegEnds_Prot#'!$A:$AL,5,FALSE)</f>
        <v>61</v>
      </c>
      <c r="AE98" s="5">
        <f>VLOOKUP($A98,'NonXtal_SegEnds_Prot#'!$A:$AL,8,FALSE)</f>
        <v>65</v>
      </c>
      <c r="AF98" s="5">
        <f>VLOOKUP($A98,'NonXtal_SegEnds_Prot#'!$A:$AL,11,FALSE)</f>
        <v>96</v>
      </c>
      <c r="AG98" s="5">
        <f>VLOOKUP($A98,'NonXtal_SegEnds_Prot#'!$A:$AL,14,FALSE)</f>
        <v>101</v>
      </c>
      <c r="AH98" s="5">
        <f>VLOOKUP($A98,'NonXtal_SegEnds_Prot#'!$A:$AL,17,FALSE)</f>
        <v>137</v>
      </c>
      <c r="AI98" s="5">
        <f>VLOOKUP($A98,'NonXtal_SegEnds_Prot#'!$A:$AL,20,FALSE)</f>
        <v>145</v>
      </c>
      <c r="AJ98" s="5">
        <f>VLOOKUP($A98,'NonXtal_SegEnds_Prot#'!$A:$AL,23,FALSE)</f>
        <v>172</v>
      </c>
      <c r="AK98" s="5">
        <f>VLOOKUP($A98,'NonXtal_SegEnds_Prot#'!$A:$AL,26,FALSE)</f>
        <v>193</v>
      </c>
      <c r="AL98" s="5">
        <f>VLOOKUP($A98,'NonXtal_SegEnds_Prot#'!$A:$AL,29,FALSE)</f>
        <v>237</v>
      </c>
      <c r="AM98" s="5">
        <f>VLOOKUP($A98,'NonXtal_SegEnds_Prot#'!$A:$AL,32,FALSE)</f>
        <v>299</v>
      </c>
      <c r="AN98" s="5">
        <f>VLOOKUP($A98,'NonXtal_SegEnds_Prot#'!$A:$AL,35,FALSE)</f>
        <v>328</v>
      </c>
      <c r="AO98" s="5">
        <f>VLOOKUP($A98,'NonXtal_SegEnds_Prot#'!$A:$AL,38,FALSE)</f>
        <v>341</v>
      </c>
      <c r="AP98" s="5">
        <f t="shared" si="38"/>
        <v>35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25</v>
      </c>
      <c r="AW98" s="4">
        <f t="shared" si="45"/>
        <v>2</v>
      </c>
      <c r="AX98" s="4">
        <f t="shared" si="46"/>
        <v>41</v>
      </c>
      <c r="AY98" s="4">
        <f t="shared" si="47"/>
        <v>37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'NonXtal_SegEnds_Prot#'!A68</f>
        <v>mrgrg_human</v>
      </c>
      <c r="B99" s="1" t="str">
        <f t="shared" si="25"/>
        <v>TFDSVVFYLTLIVGLGGPVGNGLVLWNLGFRGPFSIYLLHLAAADFLFLSCRVGFSVATLYFVLTFLWFAVGLWLLAAFSVERCLSDLFRHASAVLCALVWTPTLPAVPLPANACCPRYHVASVTWFLVLARVAWTAGVVLFVWVTCCSTRPRLYGIVLGALLLLFFCGLPSVFYWSLQPLLPVFSPLATLLACVNSSSKPLIYSGLGRQPGKREPLRSVLR</v>
      </c>
      <c r="C99" s="72" t="str">
        <f>IF(ISERROR(MATCH(A99,'Xtal_SegEnds_Prot#'!B:B, 0)), "NoXtal", "Xtal")</f>
        <v>NoXtal</v>
      </c>
      <c r="D99" s="4" t="str">
        <f>VLOOKUP(A99,Classification!A:D,2,FALSE)</f>
        <v>A</v>
      </c>
      <c r="E99" s="5" t="str">
        <f>VLOOKUP(A99,Seqs!A:B,2,FALSE)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99" s="5" t="str">
        <f t="shared" si="26"/>
        <v>TFDSVVFYLTLIVGLGGPVGNGLVLWNLGFR</v>
      </c>
      <c r="G99" s="4" t="str">
        <f t="shared" si="27"/>
        <v/>
      </c>
      <c r="H99" s="4" t="str">
        <f t="shared" si="28"/>
        <v>GPFSIYLLHLAAADFLFLSCRVGFSVA</v>
      </c>
      <c r="I99" s="4" t="str">
        <f t="shared" si="29"/>
        <v/>
      </c>
      <c r="J99" s="4" t="str">
        <f t="shared" si="30"/>
        <v>TLYFVLTFLWFAVGLWLLAAFSVERCLSDLF</v>
      </c>
      <c r="K99" s="4" t="str">
        <f t="shared" si="31"/>
        <v>PACYQGCR</v>
      </c>
      <c r="L99" s="4" t="str">
        <f t="shared" si="32"/>
        <v>RHASAVLCALVWTPTLPAVPLPANAC</v>
      </c>
      <c r="M99" s="4" t="str">
        <f t="shared" si="33"/>
        <v/>
      </c>
      <c r="N99" s="4" t="str">
        <f t="shared" si="34"/>
        <v>CPRYHVASVTWFLVLARVAWTAGVVLFVWVTCCST</v>
      </c>
      <c r="O99" s="4" t="str">
        <f t="shared" si="35"/>
        <v>RPRLYGIVLGALLLLFFCGLPSVFYWSLQPLL</v>
      </c>
      <c r="P99" s="4" t="str">
        <f t="shared" si="36"/>
        <v>PVFSPLATLLACVNSSSKPLIYSGL</v>
      </c>
      <c r="Q99" s="4" t="str">
        <f t="shared" si="37"/>
        <v>GRQPGKREPLRSVLR</v>
      </c>
      <c r="R99" s="5">
        <f>VLOOKUP($A99,'NonXtal_SegEnds_Prot#'!$A:$AL,3,FALSE)</f>
        <v>10</v>
      </c>
      <c r="S99" s="5" t="str">
        <f>VLOOKUP($A99,'NonXtal_SegEnds_Prot#'!$A:$AL,6,FALSE)</f>
        <v>-</v>
      </c>
      <c r="T99" s="5">
        <f>VLOOKUP($A99,'NonXtal_SegEnds_Prot#'!$A:$AL,9,FALSE)</f>
        <v>44</v>
      </c>
      <c r="U99" s="5" t="str">
        <f>VLOOKUP($A99,'NonXtal_SegEnds_Prot#'!$A:$AL,12,FALSE)</f>
        <v>-</v>
      </c>
      <c r="V99" s="5">
        <f>VLOOKUP($A99,'NonXtal_SegEnds_Prot#'!$A:$AL,15,FALSE)</f>
        <v>79</v>
      </c>
      <c r="W99" s="5">
        <f>VLOOKUP($A99,'NonXtal_SegEnds_Prot#'!$A:$AL,18,FALSE)</f>
        <v>110</v>
      </c>
      <c r="X99" s="5">
        <f>VLOOKUP($A99,'NonXtal_SegEnds_Prot#'!$A:$AL,21,FALSE)</f>
        <v>119</v>
      </c>
      <c r="Y99" s="5" t="str">
        <f>VLOOKUP($A99,'NonXtal_SegEnds_Prot#'!$A:$AL,24,FALSE)</f>
        <v>-</v>
      </c>
      <c r="Z99" s="5">
        <f>VLOOKUP($A99,'NonXtal_SegEnds_Prot#'!$A:$AL,27,FALSE)</f>
        <v>156</v>
      </c>
      <c r="AA99" s="5">
        <f>VLOOKUP($A99,'NonXtal_SegEnds_Prot#'!$A:$AL,30,FALSE)</f>
        <v>193</v>
      </c>
      <c r="AB99" s="5">
        <f>VLOOKUP($A99,'NonXtal_SegEnds_Prot#'!$A:$AL,33,FALSE)</f>
        <v>229</v>
      </c>
      <c r="AC99" s="5">
        <f>VLOOKUP($A99,'NonXtal_SegEnds_Prot#'!$A:$AL,36,FALSE)</f>
        <v>254</v>
      </c>
      <c r="AD99" s="5">
        <f>VLOOKUP($A99,'NonXtal_SegEnds_Prot#'!$A:$AL,5,FALSE)</f>
        <v>40</v>
      </c>
      <c r="AE99" s="5" t="str">
        <f>VLOOKUP($A99,'NonXtal_SegEnds_Prot#'!$A:$AL,8,FALSE)</f>
        <v>-</v>
      </c>
      <c r="AF99" s="5">
        <f>VLOOKUP($A99,'NonXtal_SegEnds_Prot#'!$A:$AL,11,FALSE)</f>
        <v>70</v>
      </c>
      <c r="AG99" s="5" t="str">
        <f>VLOOKUP($A99,'NonXtal_SegEnds_Prot#'!$A:$AL,14,FALSE)</f>
        <v>-</v>
      </c>
      <c r="AH99" s="5">
        <f>VLOOKUP($A99,'NonXtal_SegEnds_Prot#'!$A:$AL,17,FALSE)</f>
        <v>109</v>
      </c>
      <c r="AI99" s="5">
        <f>VLOOKUP($A99,'NonXtal_SegEnds_Prot#'!$A:$AL,20,FALSE)</f>
        <v>117</v>
      </c>
      <c r="AJ99" s="5">
        <f>VLOOKUP($A99,'NonXtal_SegEnds_Prot#'!$A:$AL,23,FALSE)</f>
        <v>144</v>
      </c>
      <c r="AK99" s="5" t="str">
        <f>VLOOKUP($A99,'NonXtal_SegEnds_Prot#'!$A:$AL,26,FALSE)</f>
        <v>-</v>
      </c>
      <c r="AL99" s="5">
        <f>VLOOKUP($A99,'NonXtal_SegEnds_Prot#'!$A:$AL,29,FALSE)</f>
        <v>190</v>
      </c>
      <c r="AM99" s="5">
        <f>VLOOKUP($A99,'NonXtal_SegEnds_Prot#'!$A:$AL,32,FALSE)</f>
        <v>224</v>
      </c>
      <c r="AN99" s="5">
        <f>VLOOKUP($A99,'NonXtal_SegEnds_Prot#'!$A:$AL,35,FALSE)</f>
        <v>253</v>
      </c>
      <c r="AO99" s="5">
        <f>VLOOKUP($A99,'NonXtal_SegEnds_Prot#'!$A:$AL,38,FALSE)</f>
        <v>268</v>
      </c>
      <c r="AP99" s="5">
        <f t="shared" si="38"/>
        <v>30</v>
      </c>
      <c r="AQ99" s="4" t="str">
        <f t="shared" si="39"/>
        <v>-</v>
      </c>
      <c r="AR99" s="4">
        <f t="shared" si="40"/>
        <v>26</v>
      </c>
      <c r="AS99" s="4" t="str">
        <f t="shared" si="41"/>
        <v>-</v>
      </c>
      <c r="AT99" s="4">
        <f t="shared" si="42"/>
        <v>30</v>
      </c>
      <c r="AU99" s="4">
        <f t="shared" si="43"/>
        <v>7</v>
      </c>
      <c r="AV99" s="4">
        <f t="shared" si="44"/>
        <v>25</v>
      </c>
      <c r="AW99" s="4" t="str">
        <f t="shared" si="45"/>
        <v>-</v>
      </c>
      <c r="AX99" s="4">
        <f t="shared" si="46"/>
        <v>34</v>
      </c>
      <c r="AY99" s="4">
        <f t="shared" si="47"/>
        <v>31</v>
      </c>
      <c r="AZ99" s="4">
        <f t="shared" si="48"/>
        <v>24</v>
      </c>
      <c r="BA99" s="4">
        <f t="shared" si="49"/>
        <v>14</v>
      </c>
    </row>
    <row r="100" spans="1:53" x14ac:dyDescent="0.2">
      <c r="A100" s="1" t="str">
        <f>'NonXtal_SegEnds_Prot#'!A69</f>
        <v>mrgx2_human</v>
      </c>
      <c r="B100" s="1" t="str">
        <f t="shared" si="25"/>
        <v>KETLIPVFLILFIALVGLVGNGFVLWLLGFRNAFSVYVLSLAGADFLFLCFQIINCLVYLSCSISINFPSFFTTVMTCAYLAGLSMLSTVSTERCLSVLWRHLSAVVCVLLWALSLLLSILEGKFCCQTFDFITAAWLIFLFMVLCGSSLALLVRILCGSRLTRLYLTILLTVLVFLLCGLPFGIQWFLILWIDVLFCHIHPVSVVLSSLNSSANPIIYFFVGSFRKQWRLQQPILK</v>
      </c>
      <c r="C100" s="72" t="str">
        <f>IF(ISERROR(MATCH(A100,'Xtal_SegEnds_Prot#'!B:B,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100" s="5" t="str">
        <f t="shared" si="26"/>
        <v>KETLIPVFLILFIALVGLVGNGFVLWLLGFR</v>
      </c>
      <c r="G100" s="4" t="str">
        <f t="shared" si="27"/>
        <v/>
      </c>
      <c r="H100" s="4" t="str">
        <f t="shared" si="28"/>
        <v>NAFSVYVLSLAGADFLFLCFQIINCLVYLS</v>
      </c>
      <c r="I100" s="4" t="str">
        <f t="shared" si="29"/>
        <v/>
      </c>
      <c r="J100" s="4" t="str">
        <f t="shared" si="30"/>
        <v>CSISINFPSFFTTVMTCAYLAGLSMLSTVSTERCLSVLW</v>
      </c>
      <c r="K100" s="4" t="str">
        <f t="shared" si="31"/>
        <v>PIWYRCRR</v>
      </c>
      <c r="L100" s="4" t="str">
        <f t="shared" si="32"/>
        <v>RHLSAVVCVLLWALSLLLSILEGKFC</v>
      </c>
      <c r="M100" s="4" t="str">
        <f t="shared" si="33"/>
        <v/>
      </c>
      <c r="N100" s="4" t="str">
        <f t="shared" si="34"/>
        <v>CQTFDFITAAWLIFLFMVLCGSSLALLVRILCGSR</v>
      </c>
      <c r="O100" s="4" t="str">
        <f t="shared" si="35"/>
        <v>LTRLYLTILLTVLVFLLCGLPFGIQWFLILWI</v>
      </c>
      <c r="P100" s="4" t="str">
        <f t="shared" si="36"/>
        <v>DVLFCHIHPVSVVLSSLNSSANPIIYFFV</v>
      </c>
      <c r="Q100" s="4" t="str">
        <f t="shared" si="37"/>
        <v>GSFRKQWRLQQPILK</v>
      </c>
      <c r="R100" s="5">
        <f>VLOOKUP($A100,'NonXtal_SegEnds_Prot#'!$A:$AL,3,FALSE)</f>
        <v>28</v>
      </c>
      <c r="S100" s="5" t="str">
        <f>VLOOKUP($A100,'NonXtal_SegEnds_Prot#'!$A:$AL,6,FALSE)</f>
        <v>-</v>
      </c>
      <c r="T100" s="5">
        <f>VLOOKUP($A100,'NonXtal_SegEnds_Prot#'!$A:$AL,9,FALSE)</f>
        <v>62</v>
      </c>
      <c r="U100" s="5" t="str">
        <f>VLOOKUP($A100,'NonXtal_SegEnds_Prot#'!$A:$AL,12,FALSE)</f>
        <v>-</v>
      </c>
      <c r="V100" s="5">
        <f>VLOOKUP($A100,'NonXtal_SegEnds_Prot#'!$A:$AL,15,FALSE)</f>
        <v>95</v>
      </c>
      <c r="W100" s="5">
        <f>VLOOKUP($A100,'NonXtal_SegEnds_Prot#'!$A:$AL,18,FALSE)</f>
        <v>134</v>
      </c>
      <c r="X100" s="5">
        <f>VLOOKUP($A100,'NonXtal_SegEnds_Prot#'!$A:$AL,21,FALSE)</f>
        <v>143</v>
      </c>
      <c r="Y100" s="5" t="str">
        <f>VLOOKUP($A100,'NonXtal_SegEnds_Prot#'!$A:$AL,24,FALSE)</f>
        <v>-</v>
      </c>
      <c r="Z100" s="5">
        <f>VLOOKUP($A100,'NonXtal_SegEnds_Prot#'!$A:$AL,27,FALSE)</f>
        <v>180</v>
      </c>
      <c r="AA100" s="5">
        <f>VLOOKUP($A100,'NonXtal_SegEnds_Prot#'!$A:$AL,30,FALSE)</f>
        <v>218</v>
      </c>
      <c r="AB100" s="5">
        <f>VLOOKUP($A100,'NonXtal_SegEnds_Prot#'!$A:$AL,33,FALSE)</f>
        <v>254</v>
      </c>
      <c r="AC100" s="5">
        <f>VLOOKUP($A100,'NonXtal_SegEnds_Prot#'!$A:$AL,36,FALSE)</f>
        <v>283</v>
      </c>
      <c r="AD100" s="5">
        <f>VLOOKUP($A100,'NonXtal_SegEnds_Prot#'!$A:$AL,5,FALSE)</f>
        <v>58</v>
      </c>
      <c r="AE100" s="5" t="str">
        <f>VLOOKUP($A100,'NonXtal_SegEnds_Prot#'!$A:$AL,8,FALSE)</f>
        <v>-</v>
      </c>
      <c r="AF100" s="5">
        <f>VLOOKUP($A100,'NonXtal_SegEnds_Prot#'!$A:$AL,11,FALSE)</f>
        <v>91</v>
      </c>
      <c r="AG100" s="5" t="str">
        <f>VLOOKUP($A100,'NonXtal_SegEnds_Prot#'!$A:$AL,14,FALSE)</f>
        <v>-</v>
      </c>
      <c r="AH100" s="5">
        <f>VLOOKUP($A100,'NonXtal_SegEnds_Prot#'!$A:$AL,17,FALSE)</f>
        <v>133</v>
      </c>
      <c r="AI100" s="5">
        <f>VLOOKUP($A100,'NonXtal_SegEnds_Prot#'!$A:$AL,20,FALSE)</f>
        <v>141</v>
      </c>
      <c r="AJ100" s="5">
        <f>VLOOKUP($A100,'NonXtal_SegEnds_Prot#'!$A:$AL,23,FALSE)</f>
        <v>168</v>
      </c>
      <c r="AK100" s="5" t="str">
        <f>VLOOKUP($A100,'NonXtal_SegEnds_Prot#'!$A:$AL,26,FALSE)</f>
        <v>-</v>
      </c>
      <c r="AL100" s="5">
        <f>VLOOKUP($A100,'NonXtal_SegEnds_Prot#'!$A:$AL,29,FALSE)</f>
        <v>214</v>
      </c>
      <c r="AM100" s="5">
        <f>VLOOKUP($A100,'NonXtal_SegEnds_Prot#'!$A:$AL,32,FALSE)</f>
        <v>249</v>
      </c>
      <c r="AN100" s="5">
        <f>VLOOKUP($A100,'NonXtal_SegEnds_Prot#'!$A:$AL,35,FALSE)</f>
        <v>282</v>
      </c>
      <c r="AO100" s="5">
        <f>VLOOKUP($A100,'NonXtal_SegEnds_Prot#'!$A:$AL,38,FALSE)</f>
        <v>297</v>
      </c>
      <c r="AP100" s="5">
        <f t="shared" si="38"/>
        <v>30</v>
      </c>
      <c r="AQ100" s="4" t="str">
        <f t="shared" si="39"/>
        <v>-</v>
      </c>
      <c r="AR100" s="4">
        <f t="shared" si="40"/>
        <v>29</v>
      </c>
      <c r="AS100" s="4" t="str">
        <f t="shared" si="41"/>
        <v>-</v>
      </c>
      <c r="AT100" s="4">
        <f t="shared" si="42"/>
        <v>38</v>
      </c>
      <c r="AU100" s="4">
        <f t="shared" si="43"/>
        <v>7</v>
      </c>
      <c r="AV100" s="4">
        <f t="shared" si="44"/>
        <v>25</v>
      </c>
      <c r="AW100" s="4" t="str">
        <f t="shared" si="45"/>
        <v>-</v>
      </c>
      <c r="AX100" s="4">
        <f t="shared" si="46"/>
        <v>34</v>
      </c>
      <c r="AY100" s="4">
        <f t="shared" si="47"/>
        <v>31</v>
      </c>
      <c r="AZ100" s="4">
        <f t="shared" si="48"/>
        <v>28</v>
      </c>
      <c r="BA100" s="4">
        <f t="shared" si="49"/>
        <v>14</v>
      </c>
    </row>
    <row r="101" spans="1:53" x14ac:dyDescent="0.2">
      <c r="A101" s="1" t="str">
        <f>'NonXtal_SegEnds_Prot#'!A70</f>
        <v>gp143_human</v>
      </c>
      <c r="B101" s="1" t="str">
        <f t="shared" si="25"/>
        <v>PTRDAATQLVLSFQPRAFHALCLGSGGLRLALGLLQLLPGRSVRILRAAAACDLLGCLGMVIRSTVAFCVGSAMWIQLLYSACFWWLFCYAVDAYLVIRRSTILLYHIMAWGLATLLCVEGAAMLHAIPHYVTMYLPLLLVLVANPILMGAVIKIRFFKIMLVLIICWLSNIIFIMGILNPAQGFLLSLAFYGWTGCSLGFQSPRK</v>
      </c>
      <c r="C101" s="72" t="str">
        <f>IF(ISERROR(MATCH(A101,'Xtal_SegEnds_Prot#'!B:B, 0)), "NoXtal", "Xtal")</f>
        <v>NoXtal</v>
      </c>
      <c r="D101" s="4" t="str">
        <f>VLOOKUP(A101,Classification!A:D,2,FALSE)</f>
        <v>O</v>
      </c>
      <c r="E101" s="5" t="str">
        <f>VLOOKUP(A101,Seqs!A:B,2,FALSE)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101" s="5" t="str">
        <f t="shared" si="26"/>
        <v>PTRDAATQLVLSFQPRAFHALCLGSGGLRLALGLLQLLPGR</v>
      </c>
      <c r="G101" s="4" t="str">
        <f t="shared" si="27"/>
        <v/>
      </c>
      <c r="H101" s="4" t="str">
        <f t="shared" si="28"/>
        <v>SVRILRAAAACDLLGCLGMVIRSTV</v>
      </c>
      <c r="I101" s="4" t="str">
        <f t="shared" si="29"/>
        <v/>
      </c>
      <c r="J101" s="4" t="str">
        <f t="shared" si="30"/>
        <v>AFCVGSAMWIQLLYSACFWWLFCYAVDAYLVIRR</v>
      </c>
      <c r="K101" s="4" t="str">
        <f t="shared" si="31"/>
        <v/>
      </c>
      <c r="L101" s="4" t="str">
        <f t="shared" si="32"/>
        <v>STILLYHIMAWGLATLLCVEGAAML</v>
      </c>
      <c r="M101" s="4" t="str">
        <f t="shared" si="33"/>
        <v/>
      </c>
      <c r="N101" s="4" t="str">
        <f t="shared" si="34"/>
        <v>HAIPHYVTMYLPLLLVLVANPIL</v>
      </c>
      <c r="O101" s="4" t="str">
        <f t="shared" si="35"/>
        <v>MGAVIKIRFFKIMLVLIICWLSNII</v>
      </c>
      <c r="P101" s="4" t="str">
        <f t="shared" si="36"/>
        <v>FIMGILNPAQGFLLSLAFYGWT</v>
      </c>
      <c r="Q101" s="4" t="str">
        <f t="shared" si="37"/>
        <v>GCSLGFQSPRK</v>
      </c>
      <c r="R101" s="5">
        <f>VLOOKUP($A101,'NonXtal_SegEnds_Prot#'!$A:$AL,3,FALSE)</f>
        <v>12</v>
      </c>
      <c r="S101" s="5" t="str">
        <f>VLOOKUP($A101,'NonXtal_SegEnds_Prot#'!$A:$AL,6,FALSE)</f>
        <v>-</v>
      </c>
      <c r="T101" s="5">
        <f>VLOOKUP($A101,'NonXtal_SegEnds_Prot#'!$A:$AL,9,FALSE)</f>
        <v>67</v>
      </c>
      <c r="U101" s="5" t="str">
        <f>VLOOKUP($A101,'NonXtal_SegEnds_Prot#'!$A:$AL,12,FALSE)</f>
        <v>-</v>
      </c>
      <c r="V101" s="5">
        <f>VLOOKUP($A101,'NonXtal_SegEnds_Prot#'!$A:$AL,15,FALSE)</f>
        <v>114</v>
      </c>
      <c r="W101" s="5" t="str">
        <f>VLOOKUP($A101,'NonXtal_SegEnds_Prot#'!$A:$AL,18,FALSE)</f>
        <v>-</v>
      </c>
      <c r="X101" s="5">
        <f>VLOOKUP($A101,'NonXtal_SegEnds_Prot#'!$A:$AL,21,FALSE)</f>
        <v>152</v>
      </c>
      <c r="Y101" s="5" t="str">
        <f>VLOOKUP($A101,'NonXtal_SegEnds_Prot#'!$A:$AL,24,FALSE)</f>
        <v>-</v>
      </c>
      <c r="Z101" s="5">
        <f>VLOOKUP($A101,'NonXtal_SegEnds_Prot#'!$A:$AL,27,FALSE)</f>
        <v>190</v>
      </c>
      <c r="AA101" s="5">
        <f>VLOOKUP($A101,'NonXtal_SegEnds_Prot#'!$A:$AL,30,FALSE)</f>
        <v>238</v>
      </c>
      <c r="AB101" s="5">
        <f>VLOOKUP($A101,'NonXtal_SegEnds_Prot#'!$A:$AL,33,FALSE)</f>
        <v>293</v>
      </c>
      <c r="AC101" s="5">
        <f>VLOOKUP($A101,'NonXtal_SegEnds_Prot#'!$A:$AL,36,FALSE)</f>
        <v>315</v>
      </c>
      <c r="AD101" s="5">
        <f>VLOOKUP($A101,'NonXtal_SegEnds_Prot#'!$A:$AL,5,FALSE)</f>
        <v>52</v>
      </c>
      <c r="AE101" s="5" t="str">
        <f>VLOOKUP($A101,'NonXtal_SegEnds_Prot#'!$A:$AL,8,FALSE)</f>
        <v>-</v>
      </c>
      <c r="AF101" s="5">
        <f>VLOOKUP($A101,'NonXtal_SegEnds_Prot#'!$A:$AL,11,FALSE)</f>
        <v>91</v>
      </c>
      <c r="AG101" s="5" t="str">
        <f>VLOOKUP($A101,'NonXtal_SegEnds_Prot#'!$A:$AL,14,FALSE)</f>
        <v>-</v>
      </c>
      <c r="AH101" s="5">
        <f>VLOOKUP($A101,'NonXtal_SegEnds_Prot#'!$A:$AL,17,FALSE)</f>
        <v>147</v>
      </c>
      <c r="AI101" s="5" t="str">
        <f>VLOOKUP($A101,'NonXtal_SegEnds_Prot#'!$A:$AL,20,FALSE)</f>
        <v>-</v>
      </c>
      <c r="AJ101" s="5">
        <f>VLOOKUP($A101,'NonXtal_SegEnds_Prot#'!$A:$AL,23,FALSE)</f>
        <v>176</v>
      </c>
      <c r="AK101" s="5" t="str">
        <f>VLOOKUP($A101,'NonXtal_SegEnds_Prot#'!$A:$AL,26,FALSE)</f>
        <v>-</v>
      </c>
      <c r="AL101" s="5">
        <f>VLOOKUP($A101,'NonXtal_SegEnds_Prot#'!$A:$AL,29,FALSE)</f>
        <v>212</v>
      </c>
      <c r="AM101" s="5">
        <f>VLOOKUP($A101,'NonXtal_SegEnds_Prot#'!$A:$AL,32,FALSE)</f>
        <v>262</v>
      </c>
      <c r="AN101" s="5">
        <f>VLOOKUP($A101,'NonXtal_SegEnds_Prot#'!$A:$AL,35,FALSE)</f>
        <v>314</v>
      </c>
      <c r="AO101" s="5">
        <f>VLOOKUP($A101,'NonXtal_SegEnds_Prot#'!$A:$AL,38,FALSE)</f>
        <v>325</v>
      </c>
      <c r="AP101" s="5">
        <f t="shared" si="38"/>
        <v>40</v>
      </c>
      <c r="AQ101" s="4" t="str">
        <f t="shared" si="39"/>
        <v>-</v>
      </c>
      <c r="AR101" s="4">
        <f t="shared" si="40"/>
        <v>24</v>
      </c>
      <c r="AS101" s="4" t="str">
        <f t="shared" si="41"/>
        <v>-</v>
      </c>
      <c r="AT101" s="4">
        <f t="shared" si="42"/>
        <v>33</v>
      </c>
      <c r="AU101" s="4" t="str">
        <f t="shared" si="43"/>
        <v>-</v>
      </c>
      <c r="AV101" s="4">
        <f t="shared" si="44"/>
        <v>24</v>
      </c>
      <c r="AW101" s="4" t="str">
        <f t="shared" si="45"/>
        <v>-</v>
      </c>
      <c r="AX101" s="4">
        <f t="shared" si="46"/>
        <v>22</v>
      </c>
      <c r="AY101" s="4">
        <f t="shared" si="47"/>
        <v>24</v>
      </c>
      <c r="AZ101" s="4">
        <f t="shared" si="48"/>
        <v>21</v>
      </c>
      <c r="BA101" s="4">
        <f t="shared" si="49"/>
        <v>10</v>
      </c>
    </row>
    <row r="102" spans="1:53" x14ac:dyDescent="0.2">
      <c r="A102" s="1" t="str">
        <f>'NonXtal_SegEnds_Prot#'!A71</f>
        <v>t2r19_human</v>
      </c>
      <c r="B102" s="1" t="str">
        <f t="shared" si="25"/>
        <v>LIISSILVVFAFVLGNVANGFIALVNVIDWVISSAEQILTALVVSRIGLLWVMLFLWYATVFALYGLEVRIVASNAWAVTNHFSMWLAASLSIFCLLKIANRIKSVVLVILLGPLVFLICNLAVITMRNAIHLSSLTVTTLANLIPFTLSLICFLLLICSLCKHLKKMPSTKVHIKALQTVTSFLMLFAIYFLCIITSTWNSKLVLLLCQTVAIMYPSFHSFILIMGSRKLKQTFLSVLWQ</v>
      </c>
      <c r="C102" s="72" t="str">
        <f>IF(ISERROR(MATCH(A102,'Xtal_SegEnds_Prot#'!B:B, 0)), "NoXtal", "Xtal")</f>
        <v>NoXtal</v>
      </c>
      <c r="D102" s="4" t="str">
        <f>VLOOKUP(A102,Classification!A:D,2,FALSE)</f>
        <v>T</v>
      </c>
      <c r="E102" s="5" t="str">
        <f>VLOOKUP(A102,Seqs!A:B,2,FALSE)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102" s="5" t="str">
        <f t="shared" si="26"/>
        <v>LIISSILVVFAFVLGNVANGFIALVNVIDWV</v>
      </c>
      <c r="G102" s="4" t="str">
        <f t="shared" si="27"/>
        <v>NTRK</v>
      </c>
      <c r="H102" s="4" t="str">
        <f t="shared" si="28"/>
        <v>ISSAEQILTALVVSRIGLLWVMLFLWYATVF</v>
      </c>
      <c r="I102" s="4" t="str">
        <f t="shared" si="29"/>
        <v/>
      </c>
      <c r="J102" s="4" t="str">
        <f t="shared" si="30"/>
        <v>ALYGLEVRIVASNAWAVTNHFSMWLAASLSIFCLLKIAN</v>
      </c>
      <c r="K102" s="4" t="str">
        <f t="shared" si="31"/>
        <v>NLISLHLK</v>
      </c>
      <c r="L102" s="4" t="str">
        <f t="shared" si="32"/>
        <v>RIKSVVLVILLGPLVFLICNLAVITM</v>
      </c>
      <c r="M102" s="4" t="str">
        <f t="shared" si="33"/>
        <v/>
      </c>
      <c r="N102" s="4" t="str">
        <f t="shared" si="34"/>
        <v>RNAIHLSSLTVTTLANLIPFTLSLICFLLLICSLCKHLKKM</v>
      </c>
      <c r="O102" s="4" t="str">
        <f t="shared" si="35"/>
        <v>PSTKVHIKALQTVTSFLMLFAIYFLCIITSTWN</v>
      </c>
      <c r="P102" s="4" t="str">
        <f t="shared" si="36"/>
        <v>SKLVLLLCQTVAIMYPSFHSFILIMG</v>
      </c>
      <c r="Q102" s="4" t="str">
        <f t="shared" si="37"/>
        <v>SRKLKQTFLSVLWQ</v>
      </c>
      <c r="R102" s="5">
        <f>VLOOKUP($A102,'NonXtal_SegEnds_Prot#'!$A:$AL,3,FALSE)</f>
        <v>6</v>
      </c>
      <c r="S102" s="5">
        <f>VLOOKUP($A102,'NonXtal_SegEnds_Prot#'!$A:$AL,6,FALSE)</f>
        <v>37</v>
      </c>
      <c r="T102" s="5">
        <f>VLOOKUP($A102,'NonXtal_SegEnds_Prot#'!$A:$AL,9,FALSE)</f>
        <v>41</v>
      </c>
      <c r="U102" s="5" t="str">
        <f>VLOOKUP($A102,'NonXtal_SegEnds_Prot#'!$A:$AL,12,FALSE)</f>
        <v>-</v>
      </c>
      <c r="V102" s="5">
        <f>VLOOKUP($A102,'NonXtal_SegEnds_Prot#'!$A:$AL,15,FALSE)</f>
        <v>74</v>
      </c>
      <c r="W102" s="5">
        <f>VLOOKUP($A102,'NonXtal_SegEnds_Prot#'!$A:$AL,18,FALSE)</f>
        <v>115</v>
      </c>
      <c r="X102" s="5">
        <f>VLOOKUP($A102,'NonXtal_SegEnds_Prot#'!$A:$AL,21,FALSE)</f>
        <v>124</v>
      </c>
      <c r="Y102" s="5" t="str">
        <f>VLOOKUP($A102,'NonXtal_SegEnds_Prot#'!$A:$AL,24,FALSE)</f>
        <v>-</v>
      </c>
      <c r="Z102" s="5">
        <f>VLOOKUP($A102,'NonXtal_SegEnds_Prot#'!$A:$AL,27,FALSE)</f>
        <v>169</v>
      </c>
      <c r="AA102" s="5">
        <f>VLOOKUP($A102,'NonXtal_SegEnds_Prot#'!$A:$AL,30,FALSE)</f>
        <v>219</v>
      </c>
      <c r="AB102" s="5">
        <f>VLOOKUP($A102,'NonXtal_SegEnds_Prot#'!$A:$AL,33,FALSE)</f>
        <v>257</v>
      </c>
      <c r="AC102" s="5">
        <f>VLOOKUP($A102,'NonXtal_SegEnds_Prot#'!$A:$AL,36,FALSE)</f>
        <v>283</v>
      </c>
      <c r="AD102" s="5">
        <f>VLOOKUP($A102,'NonXtal_SegEnds_Prot#'!$A:$AL,5,FALSE)</f>
        <v>36</v>
      </c>
      <c r="AE102" s="5">
        <f>VLOOKUP($A102,'NonXtal_SegEnds_Prot#'!$A:$AL,8,FALSE)</f>
        <v>40</v>
      </c>
      <c r="AF102" s="5">
        <f>VLOOKUP($A102,'NonXtal_SegEnds_Prot#'!$A:$AL,11,FALSE)</f>
        <v>71</v>
      </c>
      <c r="AG102" s="5" t="str">
        <f>VLOOKUP($A102,'NonXtal_SegEnds_Prot#'!$A:$AL,14,FALSE)</f>
        <v>-</v>
      </c>
      <c r="AH102" s="5">
        <f>VLOOKUP($A102,'NonXtal_SegEnds_Prot#'!$A:$AL,17,FALSE)</f>
        <v>112</v>
      </c>
      <c r="AI102" s="5">
        <f>VLOOKUP($A102,'NonXtal_SegEnds_Prot#'!$A:$AL,20,FALSE)</f>
        <v>122</v>
      </c>
      <c r="AJ102" s="5">
        <f>VLOOKUP($A102,'NonXtal_SegEnds_Prot#'!$A:$AL,23,FALSE)</f>
        <v>149</v>
      </c>
      <c r="AK102" s="5" t="str">
        <f>VLOOKUP($A102,'NonXtal_SegEnds_Prot#'!$A:$AL,26,FALSE)</f>
        <v>-</v>
      </c>
      <c r="AL102" s="5">
        <f>VLOOKUP($A102,'NonXtal_SegEnds_Prot#'!$A:$AL,29,FALSE)</f>
        <v>209</v>
      </c>
      <c r="AM102" s="5">
        <f>VLOOKUP($A102,'NonXtal_SegEnds_Prot#'!$A:$AL,32,FALSE)</f>
        <v>251</v>
      </c>
      <c r="AN102" s="5">
        <f>VLOOKUP($A102,'NonXtal_SegEnds_Prot#'!$A:$AL,35,FALSE)</f>
        <v>282</v>
      </c>
      <c r="AO102" s="5">
        <f>VLOOKUP($A102,'NonXtal_SegEnds_Prot#'!$A:$AL,38,FALSE)</f>
        <v>296</v>
      </c>
      <c r="AP102" s="5">
        <f t="shared" si="38"/>
        <v>30</v>
      </c>
      <c r="AQ102" s="4">
        <f t="shared" si="39"/>
        <v>3</v>
      </c>
      <c r="AR102" s="4">
        <f t="shared" si="40"/>
        <v>30</v>
      </c>
      <c r="AS102" s="4" t="str">
        <f t="shared" si="41"/>
        <v>-</v>
      </c>
      <c r="AT102" s="4">
        <f t="shared" si="42"/>
        <v>38</v>
      </c>
      <c r="AU102" s="4">
        <f t="shared" si="43"/>
        <v>7</v>
      </c>
      <c r="AV102" s="4">
        <f t="shared" si="44"/>
        <v>25</v>
      </c>
      <c r="AW102" s="4" t="str">
        <f t="shared" si="45"/>
        <v>-</v>
      </c>
      <c r="AX102" s="4">
        <f t="shared" si="46"/>
        <v>40</v>
      </c>
      <c r="AY102" s="4">
        <f t="shared" si="47"/>
        <v>32</v>
      </c>
      <c r="AZ102" s="4">
        <f t="shared" si="48"/>
        <v>25</v>
      </c>
      <c r="BA102" s="4">
        <f t="shared" si="49"/>
        <v>13</v>
      </c>
    </row>
    <row r="103" spans="1:53" x14ac:dyDescent="0.2">
      <c r="A103" s="1" t="str">
        <f>'NonXtal_SegEnds_Prot#'!A72</f>
        <v>t2r20_human</v>
      </c>
      <c r="B103" s="1" t="str">
        <f t="shared" si="25"/>
        <v>HIVFSILVVVAFILGNFANGFIALINFIAWVISSADQIIAALAVSRVGLLWVILLHWYSTVLTSSNLKVIIFISNAWAVTNHFSIWLATSLSIFYLLKIVNKAKSVVLVIVLGSLFFLVCHLVMKHTRNAMHLSNLTVAMLANLIPFTLTLISFLLLIYSLCKHLKKMPSTKIHIKALQTVTSFLILLAIYFLCLIISFWNKEIVLMLCQAFGIIYPSFHSFILIWGNKTLKQTFLSVLWQ</v>
      </c>
      <c r="C103" s="72" t="str">
        <f>IF(ISERROR(MATCH(A103,'Xtal_SegEnds_Prot#'!B:B, 0)), "NoXtal", "Xtal")</f>
        <v>NoXtal</v>
      </c>
      <c r="D103" s="4" t="str">
        <f>VLOOKUP(A103,Classification!A:D,2,FALSE)</f>
        <v>T</v>
      </c>
      <c r="E103" s="5" t="str">
        <f>VLOOKUP(A103,Seqs!A:B,2,FALSE)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103" s="5" t="str">
        <f t="shared" si="26"/>
        <v>HIVFSILVVVAFILGNFANGFIALINFIAWV</v>
      </c>
      <c r="G103" s="4" t="str">
        <f t="shared" si="27"/>
        <v>KRQK</v>
      </c>
      <c r="H103" s="4" t="str">
        <f t="shared" si="28"/>
        <v>ISSADQIIAALAVSRVGLLWVILLHWYSTVL</v>
      </c>
      <c r="I103" s="4" t="str">
        <f t="shared" si="29"/>
        <v/>
      </c>
      <c r="J103" s="4" t="str">
        <f t="shared" si="30"/>
        <v>TSSNLKVIIFISNAWAVTNHFSIWLATSLSIFYLLKIVN</v>
      </c>
      <c r="K103" s="4" t="str">
        <f t="shared" si="31"/>
        <v>RLIFHHLK</v>
      </c>
      <c r="L103" s="4" t="str">
        <f t="shared" si="32"/>
        <v>KAKSVVLVIVLGSLFFLVCHLVMKHT</v>
      </c>
      <c r="M103" s="4" t="str">
        <f t="shared" si="33"/>
        <v/>
      </c>
      <c r="N103" s="4" t="str">
        <f t="shared" si="34"/>
        <v>RNAMHLSNLTVAMLANLIPFTLTLISFLLLIYSLCKHLKKM</v>
      </c>
      <c r="O103" s="4" t="str">
        <f t="shared" si="35"/>
        <v>PSTKIHIKALQTVTSFLILLAIYFLCLIISFWN</v>
      </c>
      <c r="P103" s="4" t="str">
        <f t="shared" si="36"/>
        <v>KEIVLMLCQAFGIIYPSFHSFILIWG</v>
      </c>
      <c r="Q103" s="4" t="str">
        <f t="shared" si="37"/>
        <v>NKTLKQTFLSVLWQ</v>
      </c>
      <c r="R103" s="5">
        <f>VLOOKUP($A103,'NonXtal_SegEnds_Prot#'!$A:$AL,3,FALSE)</f>
        <v>6</v>
      </c>
      <c r="S103" s="5">
        <f>VLOOKUP($A103,'NonXtal_SegEnds_Prot#'!$A:$AL,6,FALSE)</f>
        <v>37</v>
      </c>
      <c r="T103" s="5">
        <f>VLOOKUP($A103,'NonXtal_SegEnds_Prot#'!$A:$AL,9,FALSE)</f>
        <v>41</v>
      </c>
      <c r="U103" s="5" t="str">
        <f>VLOOKUP($A103,'NonXtal_SegEnds_Prot#'!$A:$AL,12,FALSE)</f>
        <v>-</v>
      </c>
      <c r="V103" s="5">
        <f>VLOOKUP($A103,'NonXtal_SegEnds_Prot#'!$A:$AL,15,FALSE)</f>
        <v>74</v>
      </c>
      <c r="W103" s="5">
        <f>VLOOKUP($A103,'NonXtal_SegEnds_Prot#'!$A:$AL,18,FALSE)</f>
        <v>115</v>
      </c>
      <c r="X103" s="5">
        <f>VLOOKUP($A103,'NonXtal_SegEnds_Prot#'!$A:$AL,21,FALSE)</f>
        <v>124</v>
      </c>
      <c r="Y103" s="5" t="str">
        <f>VLOOKUP($A103,'NonXtal_SegEnds_Prot#'!$A:$AL,24,FALSE)</f>
        <v>-</v>
      </c>
      <c r="Z103" s="5">
        <f>VLOOKUP($A103,'NonXtal_SegEnds_Prot#'!$A:$AL,27,FALSE)</f>
        <v>169</v>
      </c>
      <c r="AA103" s="5">
        <f>VLOOKUP($A103,'NonXtal_SegEnds_Prot#'!$A:$AL,30,FALSE)</f>
        <v>219</v>
      </c>
      <c r="AB103" s="5">
        <f>VLOOKUP($A103,'NonXtal_SegEnds_Prot#'!$A:$AL,33,FALSE)</f>
        <v>257</v>
      </c>
      <c r="AC103" s="5">
        <f>VLOOKUP($A103,'NonXtal_SegEnds_Prot#'!$A:$AL,36,FALSE)</f>
        <v>283</v>
      </c>
      <c r="AD103" s="5">
        <f>VLOOKUP($A103,'NonXtal_SegEnds_Prot#'!$A:$AL,5,FALSE)</f>
        <v>36</v>
      </c>
      <c r="AE103" s="5">
        <f>VLOOKUP($A103,'NonXtal_SegEnds_Prot#'!$A:$AL,8,FALSE)</f>
        <v>40</v>
      </c>
      <c r="AF103" s="5">
        <f>VLOOKUP($A103,'NonXtal_SegEnds_Prot#'!$A:$AL,11,FALSE)</f>
        <v>71</v>
      </c>
      <c r="AG103" s="5" t="str">
        <f>VLOOKUP($A103,'NonXtal_SegEnds_Prot#'!$A:$AL,14,FALSE)</f>
        <v>-</v>
      </c>
      <c r="AH103" s="5">
        <f>VLOOKUP($A103,'NonXtal_SegEnds_Prot#'!$A:$AL,17,FALSE)</f>
        <v>112</v>
      </c>
      <c r="AI103" s="5">
        <f>VLOOKUP($A103,'NonXtal_SegEnds_Prot#'!$A:$AL,20,FALSE)</f>
        <v>122</v>
      </c>
      <c r="AJ103" s="5">
        <f>VLOOKUP($A103,'NonXtal_SegEnds_Prot#'!$A:$AL,23,FALSE)</f>
        <v>149</v>
      </c>
      <c r="AK103" s="5" t="str">
        <f>VLOOKUP($A103,'NonXtal_SegEnds_Prot#'!$A:$AL,26,FALSE)</f>
        <v>-</v>
      </c>
      <c r="AL103" s="5">
        <f>VLOOKUP($A103,'NonXtal_SegEnds_Prot#'!$A:$AL,29,FALSE)</f>
        <v>209</v>
      </c>
      <c r="AM103" s="5">
        <f>VLOOKUP($A103,'NonXtal_SegEnds_Prot#'!$A:$AL,32,FALSE)</f>
        <v>251</v>
      </c>
      <c r="AN103" s="5">
        <f>VLOOKUP($A103,'NonXtal_SegEnds_Prot#'!$A:$AL,35,FALSE)</f>
        <v>282</v>
      </c>
      <c r="AO103" s="5">
        <f>VLOOKUP($A103,'NonXtal_SegEnds_Prot#'!$A:$AL,38,FALSE)</f>
        <v>296</v>
      </c>
      <c r="AP103" s="5">
        <f t="shared" si="38"/>
        <v>30</v>
      </c>
      <c r="AQ103" s="4">
        <f t="shared" si="39"/>
        <v>3</v>
      </c>
      <c r="AR103" s="4">
        <f t="shared" si="40"/>
        <v>30</v>
      </c>
      <c r="AS103" s="4" t="str">
        <f t="shared" si="41"/>
        <v>-</v>
      </c>
      <c r="AT103" s="4">
        <f t="shared" si="42"/>
        <v>38</v>
      </c>
      <c r="AU103" s="4">
        <f t="shared" si="43"/>
        <v>7</v>
      </c>
      <c r="AV103" s="4">
        <f t="shared" si="44"/>
        <v>25</v>
      </c>
      <c r="AW103" s="4" t="str">
        <f t="shared" si="45"/>
        <v>-</v>
      </c>
      <c r="AX103" s="4">
        <f t="shared" si="46"/>
        <v>40</v>
      </c>
      <c r="AY103" s="4">
        <f t="shared" si="47"/>
        <v>32</v>
      </c>
      <c r="AZ103" s="4">
        <f t="shared" si="48"/>
        <v>25</v>
      </c>
      <c r="BA103" s="4">
        <f t="shared" si="49"/>
        <v>13</v>
      </c>
    </row>
    <row r="104" spans="1:53" x14ac:dyDescent="0.2">
      <c r="A104" s="1" t="str">
        <f>'NonXtal_SegEnds_Prot#'!A73</f>
        <v>t2r30_human</v>
      </c>
      <c r="B104" s="1" t="str">
        <f t="shared" si="25"/>
        <v>PIIFSILIVVIFVIGNFANGFIALVNSIEWVISFVDQILTALAVSRVGLLWVLLLHWYATQLAFYSVEVRITAYNVWAVTNHFSSWLATSLSMFYLLRIANRVKSVVLVILLGPLLFLVCHLFVINMRSAMYHSNMTLTMLANFVPLTLTLISFLLLICSLCKHLKKMPSTKVHIKALQTVTSFLLLCAIYFLSMIISVCNKQPVFMFCQAIIFSYPSTHPFILILGNKKLKQIFLSVLRH</v>
      </c>
      <c r="C104" s="72" t="str">
        <f>IF(ISERROR(MATCH(A104,'Xtal_SegEnds_Prot#'!B:B, 0)), "NoXtal", "Xtal")</f>
        <v>NoXtal</v>
      </c>
      <c r="D104" s="4" t="str">
        <f>VLOOKUP(A104,Classification!A:D,2,FALSE)</f>
        <v>T</v>
      </c>
      <c r="E104" s="5" t="str">
        <f>VLOOKUP(A104,Seqs!A:B,2,FALSE)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104" s="5" t="str">
        <f t="shared" si="26"/>
        <v>PIIFSILIVVIFVIGNFANGFIALVNSIEWV</v>
      </c>
      <c r="G104" s="4" t="str">
        <f t="shared" si="27"/>
        <v>KRQK</v>
      </c>
      <c r="H104" s="4" t="str">
        <f t="shared" si="28"/>
        <v>ISFVDQILTALAVSRVGLLWVLLLHWYATQL</v>
      </c>
      <c r="I104" s="4" t="str">
        <f t="shared" si="29"/>
        <v/>
      </c>
      <c r="J104" s="4" t="str">
        <f t="shared" si="30"/>
        <v>AFYSVEVRITAYNVWAVTNHFSSWLATSLSMFYLLRIAN</v>
      </c>
      <c r="K104" s="4" t="str">
        <f t="shared" si="31"/>
        <v>NLIFLRIK</v>
      </c>
      <c r="L104" s="4" t="str">
        <f t="shared" si="32"/>
        <v>RVKSVVLVILLGPLLFLVCHLFVINM</v>
      </c>
      <c r="M104" s="4" t="str">
        <f t="shared" si="33"/>
        <v/>
      </c>
      <c r="N104" s="4" t="str">
        <f t="shared" si="34"/>
        <v>RSAMYHSNMTLTMLANFVPLTLTLISFLLLICSLCKHLKKM</v>
      </c>
      <c r="O104" s="4" t="str">
        <f t="shared" si="35"/>
        <v>PSTKVHIKALQTVTSFLLLCAIYFLSMIISVCN</v>
      </c>
      <c r="P104" s="4" t="str">
        <f t="shared" si="36"/>
        <v>KQPVFMFCQAIIFSYPSTHPFILILG</v>
      </c>
      <c r="Q104" s="4" t="str">
        <f t="shared" si="37"/>
        <v>NKKLKQIFLSVLRH</v>
      </c>
      <c r="R104" s="5">
        <f>VLOOKUP($A104,'NonXtal_SegEnds_Prot#'!$A:$AL,3,FALSE)</f>
        <v>6</v>
      </c>
      <c r="S104" s="5">
        <f>VLOOKUP($A104,'NonXtal_SegEnds_Prot#'!$A:$AL,6,FALSE)</f>
        <v>37</v>
      </c>
      <c r="T104" s="5">
        <f>VLOOKUP($A104,'NonXtal_SegEnds_Prot#'!$A:$AL,9,FALSE)</f>
        <v>41</v>
      </c>
      <c r="U104" s="5" t="str">
        <f>VLOOKUP($A104,'NonXtal_SegEnds_Prot#'!$A:$AL,12,FALSE)</f>
        <v>-</v>
      </c>
      <c r="V104" s="5">
        <f>VLOOKUP($A104,'NonXtal_SegEnds_Prot#'!$A:$AL,15,FALSE)</f>
        <v>74</v>
      </c>
      <c r="W104" s="5">
        <f>VLOOKUP($A104,'NonXtal_SegEnds_Prot#'!$A:$AL,18,FALSE)</f>
        <v>115</v>
      </c>
      <c r="X104" s="5">
        <f>VLOOKUP($A104,'NonXtal_SegEnds_Prot#'!$A:$AL,21,FALSE)</f>
        <v>124</v>
      </c>
      <c r="Y104" s="5" t="str">
        <f>VLOOKUP($A104,'NonXtal_SegEnds_Prot#'!$A:$AL,24,FALSE)</f>
        <v>-</v>
      </c>
      <c r="Z104" s="5">
        <f>VLOOKUP($A104,'NonXtal_SegEnds_Prot#'!$A:$AL,27,FALSE)</f>
        <v>169</v>
      </c>
      <c r="AA104" s="5">
        <f>VLOOKUP($A104,'NonXtal_SegEnds_Prot#'!$A:$AL,30,FALSE)</f>
        <v>219</v>
      </c>
      <c r="AB104" s="5">
        <f>VLOOKUP($A104,'NonXtal_SegEnds_Prot#'!$A:$AL,33,FALSE)</f>
        <v>257</v>
      </c>
      <c r="AC104" s="5">
        <f>VLOOKUP($A104,'NonXtal_SegEnds_Prot#'!$A:$AL,36,FALSE)</f>
        <v>283</v>
      </c>
      <c r="AD104" s="5">
        <f>VLOOKUP($A104,'NonXtal_SegEnds_Prot#'!$A:$AL,5,FALSE)</f>
        <v>36</v>
      </c>
      <c r="AE104" s="5">
        <f>VLOOKUP($A104,'NonXtal_SegEnds_Prot#'!$A:$AL,8,FALSE)</f>
        <v>40</v>
      </c>
      <c r="AF104" s="5">
        <f>VLOOKUP($A104,'NonXtal_SegEnds_Prot#'!$A:$AL,11,FALSE)</f>
        <v>71</v>
      </c>
      <c r="AG104" s="5" t="str">
        <f>VLOOKUP($A104,'NonXtal_SegEnds_Prot#'!$A:$AL,14,FALSE)</f>
        <v>-</v>
      </c>
      <c r="AH104" s="5">
        <f>VLOOKUP($A104,'NonXtal_SegEnds_Prot#'!$A:$AL,17,FALSE)</f>
        <v>112</v>
      </c>
      <c r="AI104" s="5">
        <f>VLOOKUP($A104,'NonXtal_SegEnds_Prot#'!$A:$AL,20,FALSE)</f>
        <v>122</v>
      </c>
      <c r="AJ104" s="5">
        <f>VLOOKUP($A104,'NonXtal_SegEnds_Prot#'!$A:$AL,23,FALSE)</f>
        <v>149</v>
      </c>
      <c r="AK104" s="5" t="str">
        <f>VLOOKUP($A104,'NonXtal_SegEnds_Prot#'!$A:$AL,26,FALSE)</f>
        <v>-</v>
      </c>
      <c r="AL104" s="5">
        <f>VLOOKUP($A104,'NonXtal_SegEnds_Prot#'!$A:$AL,29,FALSE)</f>
        <v>209</v>
      </c>
      <c r="AM104" s="5">
        <f>VLOOKUP($A104,'NonXtal_SegEnds_Prot#'!$A:$AL,32,FALSE)</f>
        <v>251</v>
      </c>
      <c r="AN104" s="5">
        <f>VLOOKUP($A104,'NonXtal_SegEnds_Prot#'!$A:$AL,35,FALSE)</f>
        <v>282</v>
      </c>
      <c r="AO104" s="5">
        <f>VLOOKUP($A104,'NonXtal_SegEnds_Prot#'!$A:$AL,38,FALSE)</f>
        <v>296</v>
      </c>
      <c r="AP104" s="5">
        <f t="shared" si="38"/>
        <v>30</v>
      </c>
      <c r="AQ104" s="4">
        <f t="shared" si="39"/>
        <v>3</v>
      </c>
      <c r="AR104" s="4">
        <f t="shared" si="40"/>
        <v>30</v>
      </c>
      <c r="AS104" s="4" t="str">
        <f t="shared" si="41"/>
        <v>-</v>
      </c>
      <c r="AT104" s="4">
        <f t="shared" si="42"/>
        <v>38</v>
      </c>
      <c r="AU104" s="4">
        <f t="shared" si="43"/>
        <v>7</v>
      </c>
      <c r="AV104" s="4">
        <f t="shared" si="44"/>
        <v>25</v>
      </c>
      <c r="AW104" s="4" t="str">
        <f t="shared" si="45"/>
        <v>-</v>
      </c>
      <c r="AX104" s="4">
        <f t="shared" si="46"/>
        <v>40</v>
      </c>
      <c r="AY104" s="4">
        <f t="shared" si="47"/>
        <v>32</v>
      </c>
      <c r="AZ104" s="4">
        <f t="shared" si="48"/>
        <v>25</v>
      </c>
      <c r="BA104" s="4">
        <f t="shared" si="49"/>
        <v>13</v>
      </c>
    </row>
    <row r="105" spans="1:53" x14ac:dyDescent="0.2">
      <c r="A105" s="1" t="str">
        <f>'NonXtal_SegEnds_Prot#'!A74</f>
        <v>t2r31_human</v>
      </c>
      <c r="B105" s="1" t="str">
        <f t="shared" si="25"/>
        <v>PIIFSSVVVVLFVIGNFANGFIALVNSIERVISFADQILTALAVSRVGLLWVLLLNWYSTVFAFYSVEVRTTAYNVWAVTGHFSNWLATSLSIFYLLKIANRVKSVILVMLLGPLLFLACQLFVINMRSAVYLSDATVTTLGNLVPFTLTLLCFLLLICSLCKHLKKMPSTKVHIKALQTVIFFLLLCAVYFLSIMISVWSNKPVFMFCKAIRFSYPSIHPFILIWGNKKLKQTFLSVLRQ</v>
      </c>
      <c r="C105" s="72" t="str">
        <f>IF(ISERROR(MATCH(A105,'Xtal_SegEnds_Prot#'!B:B, 0)), "NoXtal", "Xtal")</f>
        <v>NoXtal</v>
      </c>
      <c r="D105" s="4" t="str">
        <f>VLOOKUP(A105,Classification!A:D,2,FALSE)</f>
        <v>T</v>
      </c>
      <c r="E105" s="5" t="str">
        <f>VLOOKUP(A105,Seqs!A:B,2,FALSE)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105" s="5" t="str">
        <f t="shared" si="26"/>
        <v>PIIFSSVVVVLFVIGNFANGFIALVNSIERV</v>
      </c>
      <c r="G105" s="4" t="str">
        <f t="shared" si="27"/>
        <v>KRQK</v>
      </c>
      <c r="H105" s="4" t="str">
        <f t="shared" si="28"/>
        <v>ISFADQILTALAVSRVGLLWVLLLNWYSTVF</v>
      </c>
      <c r="I105" s="4" t="str">
        <f t="shared" si="29"/>
        <v/>
      </c>
      <c r="J105" s="4" t="str">
        <f t="shared" si="30"/>
        <v>AFYSVEVRTTAYNVWAVTGHFSNWLATSLSIFYLLKIAN</v>
      </c>
      <c r="K105" s="4" t="str">
        <f t="shared" si="31"/>
        <v>NLIFLHLK</v>
      </c>
      <c r="L105" s="4" t="str">
        <f t="shared" si="32"/>
        <v>RVKSVILVMLLGPLLFLACQLFVINM</v>
      </c>
      <c r="M105" s="4" t="str">
        <f t="shared" si="33"/>
        <v/>
      </c>
      <c r="N105" s="4" t="str">
        <f t="shared" si="34"/>
        <v>RSAVYLSDATVTTLGNLVPFTLTLLCFLLLICSLCKHLKKM</v>
      </c>
      <c r="O105" s="4" t="str">
        <f t="shared" si="35"/>
        <v>PSTKVHIKALQTVIFFLLLCAVYFLSIMISVWS</v>
      </c>
      <c r="P105" s="4" t="str">
        <f t="shared" si="36"/>
        <v>NKPVFMFCKAIRFSYPSIHPFILIWG</v>
      </c>
      <c r="Q105" s="4" t="str">
        <f t="shared" si="37"/>
        <v>NKKLKQTFLSVLRQ</v>
      </c>
      <c r="R105" s="5">
        <f>VLOOKUP($A105,'NonXtal_SegEnds_Prot#'!$A:$AL,3,FALSE)</f>
        <v>6</v>
      </c>
      <c r="S105" s="5">
        <f>VLOOKUP($A105,'NonXtal_SegEnds_Prot#'!$A:$AL,6,FALSE)</f>
        <v>37</v>
      </c>
      <c r="T105" s="5">
        <f>VLOOKUP($A105,'NonXtal_SegEnds_Prot#'!$A:$AL,9,FALSE)</f>
        <v>41</v>
      </c>
      <c r="U105" s="5" t="str">
        <f>VLOOKUP($A105,'NonXtal_SegEnds_Prot#'!$A:$AL,12,FALSE)</f>
        <v>-</v>
      </c>
      <c r="V105" s="5">
        <f>VLOOKUP($A105,'NonXtal_SegEnds_Prot#'!$A:$AL,15,FALSE)</f>
        <v>74</v>
      </c>
      <c r="W105" s="5">
        <f>VLOOKUP($A105,'NonXtal_SegEnds_Prot#'!$A:$AL,18,FALSE)</f>
        <v>115</v>
      </c>
      <c r="X105" s="5">
        <f>VLOOKUP($A105,'NonXtal_SegEnds_Prot#'!$A:$AL,21,FALSE)</f>
        <v>124</v>
      </c>
      <c r="Y105" s="5" t="str">
        <f>VLOOKUP($A105,'NonXtal_SegEnds_Prot#'!$A:$AL,24,FALSE)</f>
        <v>-</v>
      </c>
      <c r="Z105" s="5">
        <f>VLOOKUP($A105,'NonXtal_SegEnds_Prot#'!$A:$AL,27,FALSE)</f>
        <v>169</v>
      </c>
      <c r="AA105" s="5">
        <f>VLOOKUP($A105,'NonXtal_SegEnds_Prot#'!$A:$AL,30,FALSE)</f>
        <v>219</v>
      </c>
      <c r="AB105" s="5">
        <f>VLOOKUP($A105,'NonXtal_SegEnds_Prot#'!$A:$AL,33,FALSE)</f>
        <v>257</v>
      </c>
      <c r="AC105" s="5">
        <f>VLOOKUP($A105,'NonXtal_SegEnds_Prot#'!$A:$AL,36,FALSE)</f>
        <v>283</v>
      </c>
      <c r="AD105" s="5">
        <f>VLOOKUP($A105,'NonXtal_SegEnds_Prot#'!$A:$AL,5,FALSE)</f>
        <v>36</v>
      </c>
      <c r="AE105" s="5">
        <f>VLOOKUP($A105,'NonXtal_SegEnds_Prot#'!$A:$AL,8,FALSE)</f>
        <v>40</v>
      </c>
      <c r="AF105" s="5">
        <f>VLOOKUP($A105,'NonXtal_SegEnds_Prot#'!$A:$AL,11,FALSE)</f>
        <v>71</v>
      </c>
      <c r="AG105" s="5" t="str">
        <f>VLOOKUP($A105,'NonXtal_SegEnds_Prot#'!$A:$AL,14,FALSE)</f>
        <v>-</v>
      </c>
      <c r="AH105" s="5">
        <f>VLOOKUP($A105,'NonXtal_SegEnds_Prot#'!$A:$AL,17,FALSE)</f>
        <v>112</v>
      </c>
      <c r="AI105" s="5">
        <f>VLOOKUP($A105,'NonXtal_SegEnds_Prot#'!$A:$AL,20,FALSE)</f>
        <v>122</v>
      </c>
      <c r="AJ105" s="5">
        <f>VLOOKUP($A105,'NonXtal_SegEnds_Prot#'!$A:$AL,23,FALSE)</f>
        <v>149</v>
      </c>
      <c r="AK105" s="5" t="str">
        <f>VLOOKUP($A105,'NonXtal_SegEnds_Prot#'!$A:$AL,26,FALSE)</f>
        <v>-</v>
      </c>
      <c r="AL105" s="5">
        <f>VLOOKUP($A105,'NonXtal_SegEnds_Prot#'!$A:$AL,29,FALSE)</f>
        <v>209</v>
      </c>
      <c r="AM105" s="5">
        <f>VLOOKUP($A105,'NonXtal_SegEnds_Prot#'!$A:$AL,32,FALSE)</f>
        <v>251</v>
      </c>
      <c r="AN105" s="5">
        <f>VLOOKUP($A105,'NonXtal_SegEnds_Prot#'!$A:$AL,35,FALSE)</f>
        <v>282</v>
      </c>
      <c r="AO105" s="5">
        <f>VLOOKUP($A105,'NonXtal_SegEnds_Prot#'!$A:$AL,38,FALSE)</f>
        <v>296</v>
      </c>
      <c r="AP105" s="5">
        <f t="shared" si="38"/>
        <v>30</v>
      </c>
      <c r="AQ105" s="4">
        <f t="shared" si="39"/>
        <v>3</v>
      </c>
      <c r="AR105" s="4">
        <f t="shared" si="40"/>
        <v>30</v>
      </c>
      <c r="AS105" s="4" t="str">
        <f t="shared" si="41"/>
        <v>-</v>
      </c>
      <c r="AT105" s="4">
        <f t="shared" si="42"/>
        <v>38</v>
      </c>
      <c r="AU105" s="4">
        <f t="shared" si="43"/>
        <v>7</v>
      </c>
      <c r="AV105" s="4">
        <f t="shared" si="44"/>
        <v>25</v>
      </c>
      <c r="AW105" s="4" t="str">
        <f t="shared" si="45"/>
        <v>-</v>
      </c>
      <c r="AX105" s="4">
        <f t="shared" si="46"/>
        <v>40</v>
      </c>
      <c r="AY105" s="4">
        <f t="shared" si="47"/>
        <v>32</v>
      </c>
      <c r="AZ105" s="4">
        <f t="shared" si="48"/>
        <v>25</v>
      </c>
      <c r="BA105" s="4">
        <f t="shared" si="49"/>
        <v>13</v>
      </c>
    </row>
    <row r="106" spans="1:53" x14ac:dyDescent="0.2">
      <c r="A106" s="1" t="str">
        <f>'NonXtal_SegEnds_Prot#'!A75</f>
        <v>t2r38_human</v>
      </c>
      <c r="B106" s="1" t="str">
        <f t="shared" si="25"/>
        <v>RSTFLFISVLEFAVGFLTNAFVFLVNFWDVVLSNSDCVLLCLSISRLFLHGLLFLSAIQLTHFSEPLNHSYQAIIMLWMIANQANLWLAACLSLLYCSKLIRWVSRKISQMLLGIILCSCICTVLCVWKDLNLFYSFLFCYLWSVPPFLLFLVSSGMLTVSLGRHMRTMPSLEAHIKALKSLVSFFCFFVISSCAAFISVPLDKIGVMVCVGIMAACPSGHAAILISGNAKLRRAVMTILLW</v>
      </c>
      <c r="C106" s="72" t="str">
        <f>IF(ISERROR(MATCH(A106,'Xtal_SegEnds_Prot#'!B:B, 0)), "NoXtal", "Xtal")</f>
        <v>NoXtal</v>
      </c>
      <c r="D106" s="4" t="str">
        <f>VLOOKUP(A106,Classification!A:D,2,FALSE)</f>
        <v>T</v>
      </c>
      <c r="E106" s="5" t="str">
        <f>VLOOKUP(A106,Seqs!A:B,2,FALSE)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106" s="5" t="str">
        <f t="shared" si="26"/>
        <v>RSTFLFISVLEFAVGFLTNAFVFLVNFWDVV</v>
      </c>
      <c r="G106" s="4" t="str">
        <f t="shared" si="27"/>
        <v>KRQA</v>
      </c>
      <c r="H106" s="4" t="str">
        <f t="shared" si="28"/>
        <v>LSNSDCVLLCLSISRLFLHGLLFLSAIQLTHF</v>
      </c>
      <c r="I106" s="4" t="str">
        <f t="shared" si="29"/>
        <v/>
      </c>
      <c r="J106" s="4" t="str">
        <f t="shared" si="30"/>
        <v>SEPLNHSYQAIIMLWMIANQANLWLAACLSLLYCSKLIR</v>
      </c>
      <c r="K106" s="4" t="str">
        <f t="shared" si="31"/>
        <v>HTFLICLA</v>
      </c>
      <c r="L106" s="4" t="str">
        <f t="shared" si="32"/>
        <v>WVSRKISQMLLGIILCSCICTVLCVW</v>
      </c>
      <c r="M106" s="4" t="str">
        <f t="shared" si="33"/>
        <v/>
      </c>
      <c r="N106" s="4" t="str">
        <f t="shared" si="34"/>
        <v>KDLNLFYSFLFCYLWSVPPFLLFLVSSGMLTVSLGRHMRTM</v>
      </c>
      <c r="O106" s="4" t="str">
        <f t="shared" si="35"/>
        <v>PSLEAHIKALKSLVSFFCFFVISSCAAFISVPL</v>
      </c>
      <c r="P106" s="4" t="str">
        <f t="shared" si="36"/>
        <v>DKIGVMVCVGIMAACPSGHAAILISG</v>
      </c>
      <c r="Q106" s="4" t="str">
        <f t="shared" si="37"/>
        <v>NAKLRRAVMTILLW</v>
      </c>
      <c r="R106" s="5">
        <f>VLOOKUP($A106,'NonXtal_SegEnds_Prot#'!$A:$AL,3,FALSE)</f>
        <v>15</v>
      </c>
      <c r="S106" s="5">
        <f>VLOOKUP($A106,'NonXtal_SegEnds_Prot#'!$A:$AL,6,FALSE)</f>
        <v>46</v>
      </c>
      <c r="T106" s="5">
        <f>VLOOKUP($A106,'NonXtal_SegEnds_Prot#'!$A:$AL,9,FALSE)</f>
        <v>50</v>
      </c>
      <c r="U106" s="5" t="str">
        <f>VLOOKUP($A106,'NonXtal_SegEnds_Prot#'!$A:$AL,12,FALSE)</f>
        <v>-</v>
      </c>
      <c r="V106" s="5">
        <f>VLOOKUP($A106,'NonXtal_SegEnds_Prot#'!$A:$AL,15,FALSE)</f>
        <v>85</v>
      </c>
      <c r="W106" s="5">
        <f>VLOOKUP($A106,'NonXtal_SegEnds_Prot#'!$A:$AL,18,FALSE)</f>
        <v>126</v>
      </c>
      <c r="X106" s="5">
        <f>VLOOKUP($A106,'NonXtal_SegEnds_Prot#'!$A:$AL,21,FALSE)</f>
        <v>135</v>
      </c>
      <c r="Y106" s="5" t="str">
        <f>VLOOKUP($A106,'NonXtal_SegEnds_Prot#'!$A:$AL,24,FALSE)</f>
        <v>-</v>
      </c>
      <c r="Z106" s="5">
        <f>VLOOKUP($A106,'NonXtal_SegEnds_Prot#'!$A:$AL,27,FALSE)</f>
        <v>187</v>
      </c>
      <c r="AA106" s="5">
        <f>VLOOKUP($A106,'NonXtal_SegEnds_Prot#'!$A:$AL,30,FALSE)</f>
        <v>237</v>
      </c>
      <c r="AB106" s="5">
        <f>VLOOKUP($A106,'NonXtal_SegEnds_Prot#'!$A:$AL,33,FALSE)</f>
        <v>275</v>
      </c>
      <c r="AC106" s="5">
        <f>VLOOKUP($A106,'NonXtal_SegEnds_Prot#'!$A:$AL,36,FALSE)</f>
        <v>301</v>
      </c>
      <c r="AD106" s="5">
        <f>VLOOKUP($A106,'NonXtal_SegEnds_Prot#'!$A:$AL,5,FALSE)</f>
        <v>45</v>
      </c>
      <c r="AE106" s="5">
        <f>VLOOKUP($A106,'NonXtal_SegEnds_Prot#'!$A:$AL,8,FALSE)</f>
        <v>49</v>
      </c>
      <c r="AF106" s="5">
        <f>VLOOKUP($A106,'NonXtal_SegEnds_Prot#'!$A:$AL,11,FALSE)</f>
        <v>81</v>
      </c>
      <c r="AG106" s="5" t="str">
        <f>VLOOKUP($A106,'NonXtal_SegEnds_Prot#'!$A:$AL,14,FALSE)</f>
        <v>-</v>
      </c>
      <c r="AH106" s="5">
        <f>VLOOKUP($A106,'NonXtal_SegEnds_Prot#'!$A:$AL,17,FALSE)</f>
        <v>123</v>
      </c>
      <c r="AI106" s="5">
        <f>VLOOKUP($A106,'NonXtal_SegEnds_Prot#'!$A:$AL,20,FALSE)</f>
        <v>133</v>
      </c>
      <c r="AJ106" s="5">
        <f>VLOOKUP($A106,'NonXtal_SegEnds_Prot#'!$A:$AL,23,FALSE)</f>
        <v>160</v>
      </c>
      <c r="AK106" s="5" t="str">
        <f>VLOOKUP($A106,'NonXtal_SegEnds_Prot#'!$A:$AL,26,FALSE)</f>
        <v>-</v>
      </c>
      <c r="AL106" s="5">
        <f>VLOOKUP($A106,'NonXtal_SegEnds_Prot#'!$A:$AL,29,FALSE)</f>
        <v>227</v>
      </c>
      <c r="AM106" s="5">
        <f>VLOOKUP($A106,'NonXtal_SegEnds_Prot#'!$A:$AL,32,FALSE)</f>
        <v>269</v>
      </c>
      <c r="AN106" s="5">
        <f>VLOOKUP($A106,'NonXtal_SegEnds_Prot#'!$A:$AL,35,FALSE)</f>
        <v>300</v>
      </c>
      <c r="AO106" s="5">
        <f>VLOOKUP($A106,'NonXtal_SegEnds_Prot#'!$A:$AL,38,FALSE)</f>
        <v>314</v>
      </c>
      <c r="AP106" s="5">
        <f t="shared" si="38"/>
        <v>30</v>
      </c>
      <c r="AQ106" s="4">
        <f t="shared" si="39"/>
        <v>3</v>
      </c>
      <c r="AR106" s="4">
        <f t="shared" si="40"/>
        <v>31</v>
      </c>
      <c r="AS106" s="4" t="str">
        <f t="shared" si="41"/>
        <v>-</v>
      </c>
      <c r="AT106" s="4">
        <f t="shared" si="42"/>
        <v>38</v>
      </c>
      <c r="AU106" s="4">
        <f t="shared" si="43"/>
        <v>7</v>
      </c>
      <c r="AV106" s="4">
        <f t="shared" si="44"/>
        <v>25</v>
      </c>
      <c r="AW106" s="4" t="str">
        <f t="shared" si="45"/>
        <v>-</v>
      </c>
      <c r="AX106" s="4">
        <f t="shared" si="46"/>
        <v>40</v>
      </c>
      <c r="AY106" s="4">
        <f t="shared" si="47"/>
        <v>32</v>
      </c>
      <c r="AZ106" s="4">
        <f t="shared" si="48"/>
        <v>25</v>
      </c>
      <c r="BA106" s="4">
        <f t="shared" si="49"/>
        <v>13</v>
      </c>
    </row>
    <row r="107" spans="1:53" x14ac:dyDescent="0.2">
      <c r="A107" s="1" t="str">
        <f>'NonXtal_SegEnds_Prot#'!A76</f>
        <v>t2r41_human</v>
      </c>
      <c r="B107" s="1" t="str">
        <f t="shared" si="25"/>
        <v>TAFFVLLFSLLSLLGIAANGFIVLVLGREWLLLPLDMILISLGASRFCLQLVGTVHNFYYSAQEYSGGLGRQFFHLHWHFLNSATFWFCSWLSVLFCVKIANRFPGWVPWLLLGSVLISFIITLLFFWTRIETYYFPSLKLVIWSIPFSVFLVSIMLLINSLRRHTQRMPSTQAHTRALKSLISFLILYALSFLSLIIDAAKQNDFYWPWQIAVYLCISVHPFILIFSNLKLRSVFSQLLLL</v>
      </c>
      <c r="C107" s="72" t="str">
        <f>IF(ISERROR(MATCH(A107,'Xtal_SegEnds_Prot#'!B:B, 0)), "NoXtal", "Xtal")</f>
        <v>NoXtal</v>
      </c>
      <c r="D107" s="4" t="str">
        <f>VLOOKUP(A107,Classification!A:D,2,FALSE)</f>
        <v>T</v>
      </c>
      <c r="E107" s="5" t="str">
        <f>VLOOKUP(A107,Seqs!A:B,2,FALSE)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107" s="5" t="str">
        <f t="shared" si="26"/>
        <v>TAFFVLLFSLLSLLGIAANGFIVLVLGREWL</v>
      </c>
      <c r="G107" s="4" t="str">
        <f t="shared" si="27"/>
        <v>RYGR</v>
      </c>
      <c r="H107" s="4" t="str">
        <f t="shared" si="28"/>
        <v>LLPLDMILISLGASRFCLQLVGTVHNFYYSAQ</v>
      </c>
      <c r="I107" s="4" t="str">
        <f t="shared" si="29"/>
        <v/>
      </c>
      <c r="J107" s="4" t="str">
        <f t="shared" si="30"/>
        <v>EYSGGLGRQFFHLHWHFLNSATFWFCSWLSVLFCVKIAN</v>
      </c>
      <c r="K107" s="4" t="str">
        <f t="shared" si="31"/>
        <v>HSTFLWLK</v>
      </c>
      <c r="L107" s="4" t="str">
        <f t="shared" si="32"/>
        <v>RFPGWVPWLLLGSVLISFIITLLFFW</v>
      </c>
      <c r="M107" s="4" t="str">
        <f t="shared" si="33"/>
        <v/>
      </c>
      <c r="N107" s="4" t="str">
        <f t="shared" si="34"/>
        <v>TRIETYYFPSLKLVIWSIPFSVFLVSIMLLINSLRRHTQRM</v>
      </c>
      <c r="O107" s="4" t="str">
        <f t="shared" si="35"/>
        <v>PSTQAHTRALKSLISFLILYALSFLSLIIDAAK</v>
      </c>
      <c r="P107" s="4" t="str">
        <f t="shared" si="36"/>
        <v>QNDFYWPWQIAVYLCISVHPFILIFS</v>
      </c>
      <c r="Q107" s="4" t="str">
        <f t="shared" si="37"/>
        <v>NLKLRSVFSQLLLL</v>
      </c>
      <c r="R107" s="5">
        <f>VLOOKUP($A107,'NonXtal_SegEnds_Prot#'!$A:$AL,3,FALSE)</f>
        <v>6</v>
      </c>
      <c r="S107" s="5">
        <f>VLOOKUP($A107,'NonXtal_SegEnds_Prot#'!$A:$AL,6,FALSE)</f>
        <v>37</v>
      </c>
      <c r="T107" s="5">
        <f>VLOOKUP($A107,'NonXtal_SegEnds_Prot#'!$A:$AL,9,FALSE)</f>
        <v>41</v>
      </c>
      <c r="U107" s="5" t="str">
        <f>VLOOKUP($A107,'NonXtal_SegEnds_Prot#'!$A:$AL,12,FALSE)</f>
        <v>-</v>
      </c>
      <c r="V107" s="5">
        <f>VLOOKUP($A107,'NonXtal_SegEnds_Prot#'!$A:$AL,15,FALSE)</f>
        <v>75</v>
      </c>
      <c r="W107" s="5">
        <f>VLOOKUP($A107,'NonXtal_SegEnds_Prot#'!$A:$AL,18,FALSE)</f>
        <v>116</v>
      </c>
      <c r="X107" s="5">
        <f>VLOOKUP($A107,'NonXtal_SegEnds_Prot#'!$A:$AL,21,FALSE)</f>
        <v>125</v>
      </c>
      <c r="Y107" s="5" t="str">
        <f>VLOOKUP($A107,'NonXtal_SegEnds_Prot#'!$A:$AL,24,FALSE)</f>
        <v>-</v>
      </c>
      <c r="Z107" s="5">
        <f>VLOOKUP($A107,'NonXtal_SegEnds_Prot#'!$A:$AL,27,FALSE)</f>
        <v>174</v>
      </c>
      <c r="AA107" s="5">
        <f>VLOOKUP($A107,'NonXtal_SegEnds_Prot#'!$A:$AL,30,FALSE)</f>
        <v>224</v>
      </c>
      <c r="AB107" s="5">
        <f>VLOOKUP($A107,'NonXtal_SegEnds_Prot#'!$A:$AL,33,FALSE)</f>
        <v>261</v>
      </c>
      <c r="AC107" s="5">
        <f>VLOOKUP($A107,'NonXtal_SegEnds_Prot#'!$A:$AL,36,FALSE)</f>
        <v>287</v>
      </c>
      <c r="AD107" s="5">
        <f>VLOOKUP($A107,'NonXtal_SegEnds_Prot#'!$A:$AL,5,FALSE)</f>
        <v>36</v>
      </c>
      <c r="AE107" s="5">
        <f>VLOOKUP($A107,'NonXtal_SegEnds_Prot#'!$A:$AL,8,FALSE)</f>
        <v>40</v>
      </c>
      <c r="AF107" s="5">
        <f>VLOOKUP($A107,'NonXtal_SegEnds_Prot#'!$A:$AL,11,FALSE)</f>
        <v>72</v>
      </c>
      <c r="AG107" s="5" t="str">
        <f>VLOOKUP($A107,'NonXtal_SegEnds_Prot#'!$A:$AL,14,FALSE)</f>
        <v>-</v>
      </c>
      <c r="AH107" s="5">
        <f>VLOOKUP($A107,'NonXtal_SegEnds_Prot#'!$A:$AL,17,FALSE)</f>
        <v>113</v>
      </c>
      <c r="AI107" s="5">
        <f>VLOOKUP($A107,'NonXtal_SegEnds_Prot#'!$A:$AL,20,FALSE)</f>
        <v>123</v>
      </c>
      <c r="AJ107" s="5">
        <f>VLOOKUP($A107,'NonXtal_SegEnds_Prot#'!$A:$AL,23,FALSE)</f>
        <v>150</v>
      </c>
      <c r="AK107" s="5" t="str">
        <f>VLOOKUP($A107,'NonXtal_SegEnds_Prot#'!$A:$AL,26,FALSE)</f>
        <v>-</v>
      </c>
      <c r="AL107" s="5">
        <f>VLOOKUP($A107,'NonXtal_SegEnds_Prot#'!$A:$AL,29,FALSE)</f>
        <v>214</v>
      </c>
      <c r="AM107" s="5">
        <f>VLOOKUP($A107,'NonXtal_SegEnds_Prot#'!$A:$AL,32,FALSE)</f>
        <v>256</v>
      </c>
      <c r="AN107" s="5">
        <f>VLOOKUP($A107,'NonXtal_SegEnds_Prot#'!$A:$AL,35,FALSE)</f>
        <v>286</v>
      </c>
      <c r="AO107" s="5">
        <f>VLOOKUP($A107,'NonXtal_SegEnds_Prot#'!$A:$AL,38,FALSE)</f>
        <v>300</v>
      </c>
      <c r="AP107" s="5">
        <f t="shared" si="38"/>
        <v>30</v>
      </c>
      <c r="AQ107" s="4">
        <f t="shared" si="39"/>
        <v>3</v>
      </c>
      <c r="AR107" s="4">
        <f t="shared" si="40"/>
        <v>31</v>
      </c>
      <c r="AS107" s="4" t="str">
        <f t="shared" si="41"/>
        <v>-</v>
      </c>
      <c r="AT107" s="4">
        <f t="shared" si="42"/>
        <v>38</v>
      </c>
      <c r="AU107" s="4">
        <f t="shared" si="43"/>
        <v>7</v>
      </c>
      <c r="AV107" s="4">
        <f t="shared" si="44"/>
        <v>25</v>
      </c>
      <c r="AW107" s="4" t="str">
        <f t="shared" si="45"/>
        <v>-</v>
      </c>
      <c r="AX107" s="4">
        <f t="shared" si="46"/>
        <v>40</v>
      </c>
      <c r="AY107" s="4">
        <f t="shared" si="47"/>
        <v>32</v>
      </c>
      <c r="AZ107" s="4">
        <f t="shared" si="48"/>
        <v>25</v>
      </c>
      <c r="BA107" s="4">
        <f t="shared" si="49"/>
        <v>13</v>
      </c>
    </row>
    <row r="108" spans="1:53" x14ac:dyDescent="0.2">
      <c r="A108" s="1" t="str">
        <f>'NonXtal_SegEnds_Prot#'!A77</f>
        <v>t2r42_human</v>
      </c>
      <c r="B108" s="1" t="str">
        <f t="shared" si="25"/>
        <v>DKIFLILAIAEFIISMLGNVFIGLVNCSEGIVFSADFILTCLAISTIGQLLVILFDSFLVGLALYTTYRLGKTVIMLWHMTNHLTTWLATCLSIFYFFKIAHRMNGMIVMLLILSLFLLIFDSLVLEILYDKLSILKTLLSLTSFIPFSLFLTSLLFLFLSLVRHTRNLSSTEAHRRAMKMVMSFLFLFIVHFFSLQVANGINNKYIKFVMLALNAFPSCHSFILILGNSKLRQTAVRLLWH</v>
      </c>
      <c r="C108" s="72" t="str">
        <f>IF(ISERROR(MATCH(A108,'Xtal_SegEnds_Prot#'!B:B, 0)), "NoXtal", "Xtal")</f>
        <v>NoXtal</v>
      </c>
      <c r="D108" s="4" t="str">
        <f>VLOOKUP(A108,Classification!A:D,2,FALSE)</f>
        <v>T</v>
      </c>
      <c r="E108" s="5" t="str">
        <f>VLOOKUP(A108,Seqs!A:B,2,FALSE)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108" s="5" t="str">
        <f t="shared" si="26"/>
        <v>DKIFLILAIAEFIISMLGNVFIGLVNCSEGI</v>
      </c>
      <c r="G108" s="4" t="str">
        <f t="shared" si="27"/>
        <v>KNQK</v>
      </c>
      <c r="H108" s="4" t="str">
        <f t="shared" si="28"/>
        <v>VFSADFILTCLAISTIGQLLVILFDSFLVGLA</v>
      </c>
      <c r="I108" s="4" t="str">
        <f t="shared" si="29"/>
        <v/>
      </c>
      <c r="J108" s="4" t="str">
        <f t="shared" si="30"/>
        <v>LYTTYRLGKTVIMLWHMTNHLTTWLATCLSIFYFFKIAH</v>
      </c>
      <c r="K108" s="4" t="str">
        <f t="shared" si="31"/>
        <v>HSLFLWLR</v>
      </c>
      <c r="L108" s="4" t="str">
        <f t="shared" si="32"/>
        <v>RMNGMIVMLLILSLFLLIFDSLVLEI</v>
      </c>
      <c r="M108" s="4" t="str">
        <f t="shared" si="33"/>
        <v/>
      </c>
      <c r="N108" s="4" t="str">
        <f t="shared" si="34"/>
        <v>LYDKLSILKTLLSLTSFIPFSLFLTSLLFLFLSLVRHTRNL</v>
      </c>
      <c r="O108" s="4" t="str">
        <f t="shared" si="35"/>
        <v>SSTEAHRRAMKMVMSFLFLFIVHFFSLQVANGI</v>
      </c>
      <c r="P108" s="4" t="str">
        <f t="shared" si="36"/>
        <v>NNKYIKFVMLALNAFPSCHSFILILG</v>
      </c>
      <c r="Q108" s="4" t="str">
        <f t="shared" si="37"/>
        <v>NSKLRQTAVRLLWH</v>
      </c>
      <c r="R108" s="5">
        <f>VLOOKUP($A108,'NonXtal_SegEnds_Prot#'!$A:$AL,3,FALSE)</f>
        <v>6</v>
      </c>
      <c r="S108" s="5">
        <f>VLOOKUP($A108,'NonXtal_SegEnds_Prot#'!$A:$AL,6,FALSE)</f>
        <v>37</v>
      </c>
      <c r="T108" s="5">
        <f>VLOOKUP($A108,'NonXtal_SegEnds_Prot#'!$A:$AL,9,FALSE)</f>
        <v>41</v>
      </c>
      <c r="U108" s="5" t="str">
        <f>VLOOKUP($A108,'NonXtal_SegEnds_Prot#'!$A:$AL,12,FALSE)</f>
        <v>-</v>
      </c>
      <c r="V108" s="5">
        <f>VLOOKUP($A108,'NonXtal_SegEnds_Prot#'!$A:$AL,15,FALSE)</f>
        <v>75</v>
      </c>
      <c r="W108" s="5">
        <f>VLOOKUP($A108,'NonXtal_SegEnds_Prot#'!$A:$AL,18,FALSE)</f>
        <v>116</v>
      </c>
      <c r="X108" s="5">
        <f>VLOOKUP($A108,'NonXtal_SegEnds_Prot#'!$A:$AL,21,FALSE)</f>
        <v>125</v>
      </c>
      <c r="Y108" s="5" t="str">
        <f>VLOOKUP($A108,'NonXtal_SegEnds_Prot#'!$A:$AL,24,FALSE)</f>
        <v>-</v>
      </c>
      <c r="Z108" s="5">
        <f>VLOOKUP($A108,'NonXtal_SegEnds_Prot#'!$A:$AL,27,FALSE)</f>
        <v>174</v>
      </c>
      <c r="AA108" s="5">
        <f>VLOOKUP($A108,'NonXtal_SegEnds_Prot#'!$A:$AL,30,FALSE)</f>
        <v>224</v>
      </c>
      <c r="AB108" s="5">
        <f>VLOOKUP($A108,'NonXtal_SegEnds_Prot#'!$A:$AL,33,FALSE)</f>
        <v>262</v>
      </c>
      <c r="AC108" s="5">
        <f>VLOOKUP($A108,'NonXtal_SegEnds_Prot#'!$A:$AL,36,FALSE)</f>
        <v>288</v>
      </c>
      <c r="AD108" s="5">
        <f>VLOOKUP($A108,'NonXtal_SegEnds_Prot#'!$A:$AL,5,FALSE)</f>
        <v>36</v>
      </c>
      <c r="AE108" s="5">
        <f>VLOOKUP($A108,'NonXtal_SegEnds_Prot#'!$A:$AL,8,FALSE)</f>
        <v>40</v>
      </c>
      <c r="AF108" s="5">
        <f>VLOOKUP($A108,'NonXtal_SegEnds_Prot#'!$A:$AL,11,FALSE)</f>
        <v>72</v>
      </c>
      <c r="AG108" s="5" t="str">
        <f>VLOOKUP($A108,'NonXtal_SegEnds_Prot#'!$A:$AL,14,FALSE)</f>
        <v>-</v>
      </c>
      <c r="AH108" s="5">
        <f>VLOOKUP($A108,'NonXtal_SegEnds_Prot#'!$A:$AL,17,FALSE)</f>
        <v>113</v>
      </c>
      <c r="AI108" s="5">
        <f>VLOOKUP($A108,'NonXtal_SegEnds_Prot#'!$A:$AL,20,FALSE)</f>
        <v>123</v>
      </c>
      <c r="AJ108" s="5">
        <f>VLOOKUP($A108,'NonXtal_SegEnds_Prot#'!$A:$AL,23,FALSE)</f>
        <v>150</v>
      </c>
      <c r="AK108" s="5" t="str">
        <f>VLOOKUP($A108,'NonXtal_SegEnds_Prot#'!$A:$AL,26,FALSE)</f>
        <v>-</v>
      </c>
      <c r="AL108" s="5">
        <f>VLOOKUP($A108,'NonXtal_SegEnds_Prot#'!$A:$AL,29,FALSE)</f>
        <v>214</v>
      </c>
      <c r="AM108" s="5">
        <f>VLOOKUP($A108,'NonXtal_SegEnds_Prot#'!$A:$AL,32,FALSE)</f>
        <v>256</v>
      </c>
      <c r="AN108" s="5">
        <f>VLOOKUP($A108,'NonXtal_SegEnds_Prot#'!$A:$AL,35,FALSE)</f>
        <v>287</v>
      </c>
      <c r="AO108" s="5">
        <f>VLOOKUP($A108,'NonXtal_SegEnds_Prot#'!$A:$AL,38,FALSE)</f>
        <v>301</v>
      </c>
      <c r="AP108" s="5">
        <f t="shared" si="38"/>
        <v>30</v>
      </c>
      <c r="AQ108" s="4">
        <f t="shared" si="39"/>
        <v>3</v>
      </c>
      <c r="AR108" s="4">
        <f t="shared" si="40"/>
        <v>31</v>
      </c>
      <c r="AS108" s="4" t="str">
        <f t="shared" si="41"/>
        <v>-</v>
      </c>
      <c r="AT108" s="4">
        <f t="shared" si="42"/>
        <v>38</v>
      </c>
      <c r="AU108" s="4">
        <f t="shared" si="43"/>
        <v>7</v>
      </c>
      <c r="AV108" s="4">
        <f t="shared" si="44"/>
        <v>25</v>
      </c>
      <c r="AW108" s="4" t="str">
        <f t="shared" si="45"/>
        <v>-</v>
      </c>
      <c r="AX108" s="4">
        <f t="shared" si="46"/>
        <v>40</v>
      </c>
      <c r="AY108" s="4">
        <f t="shared" si="47"/>
        <v>32</v>
      </c>
      <c r="AZ108" s="4">
        <f t="shared" si="48"/>
        <v>25</v>
      </c>
      <c r="BA108" s="4">
        <f t="shared" si="49"/>
        <v>13</v>
      </c>
    </row>
    <row r="109" spans="1:53" x14ac:dyDescent="0.2">
      <c r="A109" s="1" t="str">
        <f>'NonXtal_SegEnds_Prot#'!A78</f>
        <v>t2r43_human</v>
      </c>
      <c r="B109" s="1" t="str">
        <f t="shared" si="25"/>
        <v>PIIFSSLVVVTFVIGNFANGFIALVNSIEWFISFADQILTALAVSRVGLLWVLLLNWYSTVLAFNSVEVRTTAYNIWAVINHFSNWLATTLSIFYLLKIANRVKSVILVMLLGPLLFLACHLFVINMKSAMYFSNMTVTMVANLVPFTLTLLSFMLLICSLCKHLKKMPSTKVHIKALQTVISFLLLCAIYFLSIMISVWSNKPVFMFCKAIRFSYPSIHPFILIWGNKKLKQTFLSVFWQ</v>
      </c>
      <c r="C109" s="72" t="str">
        <f>IF(ISERROR(MATCH(A109,'Xtal_SegEnds_Prot#'!B:B, 0)), "NoXtal", "Xtal")</f>
        <v>NoXtal</v>
      </c>
      <c r="D109" s="4" t="str">
        <f>VLOOKUP(A109,Classification!A:D,2,FALSE)</f>
        <v>T</v>
      </c>
      <c r="E109" s="5" t="str">
        <f>VLOOKUP(A109,Seqs!A:B,2,FALSE)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109" s="5" t="str">
        <f t="shared" si="26"/>
        <v>PIIFSSLVVVTFVIGNFANGFIALVNSIEWF</v>
      </c>
      <c r="G109" s="4" t="str">
        <f t="shared" si="27"/>
        <v>KRQK</v>
      </c>
      <c r="H109" s="4" t="str">
        <f t="shared" si="28"/>
        <v>ISFADQILTALAVSRVGLLWVLLLNWYSTVL</v>
      </c>
      <c r="I109" s="4" t="str">
        <f t="shared" si="29"/>
        <v/>
      </c>
      <c r="J109" s="4" t="str">
        <f t="shared" si="30"/>
        <v>AFNSVEVRTTAYNIWAVINHFSNWLATTLSIFYLLKIAN</v>
      </c>
      <c r="K109" s="4" t="str">
        <f t="shared" si="31"/>
        <v>NFIFLHLK</v>
      </c>
      <c r="L109" s="4" t="str">
        <f t="shared" si="32"/>
        <v>RVKSVILVMLLGPLLFLACHLFVINM</v>
      </c>
      <c r="M109" s="4" t="str">
        <f t="shared" si="33"/>
        <v/>
      </c>
      <c r="N109" s="4" t="str">
        <f t="shared" si="34"/>
        <v>KSAMYFSNMTVTMVANLVPFTLTLLSFMLLICSLCKHLKKM</v>
      </c>
      <c r="O109" s="4" t="str">
        <f t="shared" si="35"/>
        <v>PSTKVHIKALQTVISFLLLCAIYFLSIMISVWS</v>
      </c>
      <c r="P109" s="4" t="str">
        <f t="shared" si="36"/>
        <v>NKPVFMFCKAIRFSYPSIHPFILIWG</v>
      </c>
      <c r="Q109" s="4" t="str">
        <f t="shared" si="37"/>
        <v>NKKLKQTFLSVFWQ</v>
      </c>
      <c r="R109" s="5">
        <f>VLOOKUP($A109,'NonXtal_SegEnds_Prot#'!$A:$AL,3,FALSE)</f>
        <v>6</v>
      </c>
      <c r="S109" s="5">
        <f>VLOOKUP($A109,'NonXtal_SegEnds_Prot#'!$A:$AL,6,FALSE)</f>
        <v>37</v>
      </c>
      <c r="T109" s="5">
        <f>VLOOKUP($A109,'NonXtal_SegEnds_Prot#'!$A:$AL,9,FALSE)</f>
        <v>41</v>
      </c>
      <c r="U109" s="5" t="str">
        <f>VLOOKUP($A109,'NonXtal_SegEnds_Prot#'!$A:$AL,12,FALSE)</f>
        <v>-</v>
      </c>
      <c r="V109" s="5">
        <f>VLOOKUP($A109,'NonXtal_SegEnds_Prot#'!$A:$AL,15,FALSE)</f>
        <v>74</v>
      </c>
      <c r="W109" s="5">
        <f>VLOOKUP($A109,'NonXtal_SegEnds_Prot#'!$A:$AL,18,FALSE)</f>
        <v>115</v>
      </c>
      <c r="X109" s="5">
        <f>VLOOKUP($A109,'NonXtal_SegEnds_Prot#'!$A:$AL,21,FALSE)</f>
        <v>124</v>
      </c>
      <c r="Y109" s="5" t="str">
        <f>VLOOKUP($A109,'NonXtal_SegEnds_Prot#'!$A:$AL,24,FALSE)</f>
        <v>-</v>
      </c>
      <c r="Z109" s="5">
        <f>VLOOKUP($A109,'NonXtal_SegEnds_Prot#'!$A:$AL,27,FALSE)</f>
        <v>169</v>
      </c>
      <c r="AA109" s="5">
        <f>VLOOKUP($A109,'NonXtal_SegEnds_Prot#'!$A:$AL,30,FALSE)</f>
        <v>219</v>
      </c>
      <c r="AB109" s="5">
        <f>VLOOKUP($A109,'NonXtal_SegEnds_Prot#'!$A:$AL,33,FALSE)</f>
        <v>257</v>
      </c>
      <c r="AC109" s="5">
        <f>VLOOKUP($A109,'NonXtal_SegEnds_Prot#'!$A:$AL,36,FALSE)</f>
        <v>283</v>
      </c>
      <c r="AD109" s="5">
        <f>VLOOKUP($A109,'NonXtal_SegEnds_Prot#'!$A:$AL,5,FALSE)</f>
        <v>36</v>
      </c>
      <c r="AE109" s="5">
        <f>VLOOKUP($A109,'NonXtal_SegEnds_Prot#'!$A:$AL,8,FALSE)</f>
        <v>40</v>
      </c>
      <c r="AF109" s="5">
        <f>VLOOKUP($A109,'NonXtal_SegEnds_Prot#'!$A:$AL,11,FALSE)</f>
        <v>71</v>
      </c>
      <c r="AG109" s="5" t="str">
        <f>VLOOKUP($A109,'NonXtal_SegEnds_Prot#'!$A:$AL,14,FALSE)</f>
        <v>-</v>
      </c>
      <c r="AH109" s="5">
        <f>VLOOKUP($A109,'NonXtal_SegEnds_Prot#'!$A:$AL,17,FALSE)</f>
        <v>112</v>
      </c>
      <c r="AI109" s="5">
        <f>VLOOKUP($A109,'NonXtal_SegEnds_Prot#'!$A:$AL,20,FALSE)</f>
        <v>122</v>
      </c>
      <c r="AJ109" s="5">
        <f>VLOOKUP($A109,'NonXtal_SegEnds_Prot#'!$A:$AL,23,FALSE)</f>
        <v>149</v>
      </c>
      <c r="AK109" s="5" t="str">
        <f>VLOOKUP($A109,'NonXtal_SegEnds_Prot#'!$A:$AL,26,FALSE)</f>
        <v>-</v>
      </c>
      <c r="AL109" s="5">
        <f>VLOOKUP($A109,'NonXtal_SegEnds_Prot#'!$A:$AL,29,FALSE)</f>
        <v>209</v>
      </c>
      <c r="AM109" s="5">
        <f>VLOOKUP($A109,'NonXtal_SegEnds_Prot#'!$A:$AL,32,FALSE)</f>
        <v>251</v>
      </c>
      <c r="AN109" s="5">
        <f>VLOOKUP($A109,'NonXtal_SegEnds_Prot#'!$A:$AL,35,FALSE)</f>
        <v>282</v>
      </c>
      <c r="AO109" s="5">
        <f>VLOOKUP($A109,'NonXtal_SegEnds_Prot#'!$A:$AL,38,FALSE)</f>
        <v>296</v>
      </c>
      <c r="AP109" s="5">
        <f t="shared" si="38"/>
        <v>30</v>
      </c>
      <c r="AQ109" s="4">
        <f t="shared" si="39"/>
        <v>3</v>
      </c>
      <c r="AR109" s="4">
        <f t="shared" si="40"/>
        <v>30</v>
      </c>
      <c r="AS109" s="4" t="str">
        <f t="shared" si="41"/>
        <v>-</v>
      </c>
      <c r="AT109" s="4">
        <f t="shared" si="42"/>
        <v>38</v>
      </c>
      <c r="AU109" s="4">
        <f t="shared" si="43"/>
        <v>7</v>
      </c>
      <c r="AV109" s="4">
        <f t="shared" si="44"/>
        <v>25</v>
      </c>
      <c r="AW109" s="4" t="str">
        <f t="shared" si="45"/>
        <v>-</v>
      </c>
      <c r="AX109" s="4">
        <f t="shared" si="46"/>
        <v>40</v>
      </c>
      <c r="AY109" s="4">
        <f t="shared" si="47"/>
        <v>32</v>
      </c>
      <c r="AZ109" s="4">
        <f t="shared" si="48"/>
        <v>25</v>
      </c>
      <c r="BA109" s="4">
        <f t="shared" si="49"/>
        <v>13</v>
      </c>
    </row>
    <row r="110" spans="1:53" x14ac:dyDescent="0.2">
      <c r="A110" s="1" t="str">
        <f>'NonXtal_SegEnds_Prot#'!A79</f>
        <v>t2r45_human</v>
      </c>
      <c r="B110" s="1" t="str">
        <f t="shared" si="25"/>
        <v>PIIFSILVVVTFVIGNFANGFIALVNSTEWVISFADQIVTALAVSRVGLLWVLLLNWYSTVLAFCSVELRTTAYNIWAVTGHFSNWPATSLSIFYLLKIANRVKSVILVVLLGPLLFLACHLFVVNMRRAMYLSDTTVTMLANLVPFTVTLISFLLLVCSLCKHLKKMKVHIKVLQTVISFFLLRAIYFVSVIISVWSFKNPVFMFCQAIGFSCSSAHPFILIWGNKKLKQTYLSVLWQ</v>
      </c>
      <c r="C110" s="72" t="str">
        <f>IF(ISERROR(MATCH(A110,'Xtal_SegEnds_Prot#'!B:B, 0)), "NoXtal", "Xtal")</f>
        <v>NoXtal</v>
      </c>
      <c r="D110" s="4" t="str">
        <f>VLOOKUP(A110,Classification!A:D,2,FALSE)</f>
        <v>T</v>
      </c>
      <c r="E110" s="5" t="str">
        <f>VLOOKUP(A110,Seqs!A:B,2,FALSE)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110" s="5" t="str">
        <f t="shared" si="26"/>
        <v>PIIFSILVVVTFVIGNFANGFIALVNSTEWV</v>
      </c>
      <c r="G110" s="4" t="str">
        <f t="shared" si="27"/>
        <v>KRQK</v>
      </c>
      <c r="H110" s="4" t="str">
        <f t="shared" si="28"/>
        <v>ISFADQIVTALAVSRVGLLWVLLLNWYSTVL</v>
      </c>
      <c r="I110" s="4" t="str">
        <f t="shared" si="29"/>
        <v/>
      </c>
      <c r="J110" s="4" t="str">
        <f t="shared" si="30"/>
        <v>AFCSVELRTTAYNIWAVTGHFSNWPATSLSIFYLLKIAN</v>
      </c>
      <c r="K110" s="4" t="str">
        <f t="shared" si="31"/>
        <v>NLIFLRLK</v>
      </c>
      <c r="L110" s="4" t="str">
        <f t="shared" si="32"/>
        <v>RVKSVILVVLLGPLLFLACHLFVVNM</v>
      </c>
      <c r="M110" s="4" t="str">
        <f t="shared" si="33"/>
        <v/>
      </c>
      <c r="N110" s="4" t="str">
        <f t="shared" si="34"/>
        <v>RRAMYLSDTTVTMLANLVPFTVTLISFLLLVCSLCKHLKKM</v>
      </c>
      <c r="O110" s="4" t="str">
        <f t="shared" si="35"/>
        <v>KVHIKVLQTVISFFLLRAIYFVSVIISVWSFKN</v>
      </c>
      <c r="P110" s="4" t="str">
        <f t="shared" si="36"/>
        <v>PVFMFCQAIGFSCSSAHPFILIWG</v>
      </c>
      <c r="Q110" s="4" t="str">
        <f t="shared" si="37"/>
        <v>NKKLKQTYLSVLWQ</v>
      </c>
      <c r="R110" s="5">
        <f>VLOOKUP($A110,'NonXtal_SegEnds_Prot#'!$A:$AL,3,FALSE)</f>
        <v>6</v>
      </c>
      <c r="S110" s="5">
        <f>VLOOKUP($A110,'NonXtal_SegEnds_Prot#'!$A:$AL,6,FALSE)</f>
        <v>37</v>
      </c>
      <c r="T110" s="5">
        <f>VLOOKUP($A110,'NonXtal_SegEnds_Prot#'!$A:$AL,9,FALSE)</f>
        <v>41</v>
      </c>
      <c r="U110" s="5" t="str">
        <f>VLOOKUP($A110,'NonXtal_SegEnds_Prot#'!$A:$AL,12,FALSE)</f>
        <v>-</v>
      </c>
      <c r="V110" s="5">
        <f>VLOOKUP($A110,'NonXtal_SegEnds_Prot#'!$A:$AL,15,FALSE)</f>
        <v>74</v>
      </c>
      <c r="W110" s="5">
        <f>VLOOKUP($A110,'NonXtal_SegEnds_Prot#'!$A:$AL,18,FALSE)</f>
        <v>115</v>
      </c>
      <c r="X110" s="5">
        <f>VLOOKUP($A110,'NonXtal_SegEnds_Prot#'!$A:$AL,21,FALSE)</f>
        <v>124</v>
      </c>
      <c r="Y110" s="5" t="str">
        <f>VLOOKUP($A110,'NonXtal_SegEnds_Prot#'!$A:$AL,24,FALSE)</f>
        <v>-</v>
      </c>
      <c r="Z110" s="5">
        <f>VLOOKUP($A110,'NonXtal_SegEnds_Prot#'!$A:$AL,27,FALSE)</f>
        <v>169</v>
      </c>
      <c r="AA110" s="5">
        <f>VLOOKUP($A110,'NonXtal_SegEnds_Prot#'!$A:$AL,30,FALSE)</f>
        <v>222</v>
      </c>
      <c r="AB110" s="5">
        <f>VLOOKUP($A110,'NonXtal_SegEnds_Prot#'!$A:$AL,33,FALSE)</f>
        <v>259</v>
      </c>
      <c r="AC110" s="5">
        <f>VLOOKUP($A110,'NonXtal_SegEnds_Prot#'!$A:$AL,36,FALSE)</f>
        <v>283</v>
      </c>
      <c r="AD110" s="5">
        <f>VLOOKUP($A110,'NonXtal_SegEnds_Prot#'!$A:$AL,5,FALSE)</f>
        <v>36</v>
      </c>
      <c r="AE110" s="5">
        <f>VLOOKUP($A110,'NonXtal_SegEnds_Prot#'!$A:$AL,8,FALSE)</f>
        <v>40</v>
      </c>
      <c r="AF110" s="5">
        <f>VLOOKUP($A110,'NonXtal_SegEnds_Prot#'!$A:$AL,11,FALSE)</f>
        <v>71</v>
      </c>
      <c r="AG110" s="5" t="str">
        <f>VLOOKUP($A110,'NonXtal_SegEnds_Prot#'!$A:$AL,14,FALSE)</f>
        <v>-</v>
      </c>
      <c r="AH110" s="5">
        <f>VLOOKUP($A110,'NonXtal_SegEnds_Prot#'!$A:$AL,17,FALSE)</f>
        <v>112</v>
      </c>
      <c r="AI110" s="5">
        <f>VLOOKUP($A110,'NonXtal_SegEnds_Prot#'!$A:$AL,20,FALSE)</f>
        <v>122</v>
      </c>
      <c r="AJ110" s="5">
        <f>VLOOKUP($A110,'NonXtal_SegEnds_Prot#'!$A:$AL,23,FALSE)</f>
        <v>149</v>
      </c>
      <c r="AK110" s="5" t="str">
        <f>VLOOKUP($A110,'NonXtal_SegEnds_Prot#'!$A:$AL,26,FALSE)</f>
        <v>-</v>
      </c>
      <c r="AL110" s="5">
        <f>VLOOKUP($A110,'NonXtal_SegEnds_Prot#'!$A:$AL,29,FALSE)</f>
        <v>209</v>
      </c>
      <c r="AM110" s="5">
        <f>VLOOKUP($A110,'NonXtal_SegEnds_Prot#'!$A:$AL,32,FALSE)</f>
        <v>254</v>
      </c>
      <c r="AN110" s="5">
        <f>VLOOKUP($A110,'NonXtal_SegEnds_Prot#'!$A:$AL,35,FALSE)</f>
        <v>282</v>
      </c>
      <c r="AO110" s="5">
        <f>VLOOKUP($A110,'NonXtal_SegEnds_Prot#'!$A:$AL,38,FALSE)</f>
        <v>296</v>
      </c>
      <c r="AP110" s="5">
        <f t="shared" si="38"/>
        <v>30</v>
      </c>
      <c r="AQ110" s="4">
        <f t="shared" si="39"/>
        <v>3</v>
      </c>
      <c r="AR110" s="4">
        <f t="shared" si="40"/>
        <v>30</v>
      </c>
      <c r="AS110" s="4" t="str">
        <f t="shared" si="41"/>
        <v>-</v>
      </c>
      <c r="AT110" s="4">
        <f t="shared" si="42"/>
        <v>38</v>
      </c>
      <c r="AU110" s="4">
        <f t="shared" si="43"/>
        <v>7</v>
      </c>
      <c r="AV110" s="4">
        <f t="shared" si="44"/>
        <v>25</v>
      </c>
      <c r="AW110" s="4" t="str">
        <f t="shared" si="45"/>
        <v>-</v>
      </c>
      <c r="AX110" s="4">
        <f t="shared" si="46"/>
        <v>40</v>
      </c>
      <c r="AY110" s="4">
        <f t="shared" si="47"/>
        <v>32</v>
      </c>
      <c r="AZ110" s="4">
        <f t="shared" si="48"/>
        <v>23</v>
      </c>
      <c r="BA110" s="4">
        <f t="shared" si="49"/>
        <v>13</v>
      </c>
    </row>
    <row r="111" spans="1:53" x14ac:dyDescent="0.2">
      <c r="A111" s="1" t="str">
        <f>'NonXtal_SegEnds_Prot#'!A80</f>
        <v>t2r46_human</v>
      </c>
      <c r="B111" s="1" t="str">
        <f t="shared" si="25"/>
        <v>PIIFSILIVVTFVIGNFANGFIALVNSIEWFISFADQILTALAVSRVGLLWVLVLNWYATELAFNSIEVRITAYNVWAVINHFSNWLATSLSIFYLLKIANRVKSVVLVILLGPLLFLVCHLFVINMRSAMYLSNTTVTILANLVPFTLTLISFLLLICSLCKHLKKMPSMKVHIKALQTVTSFLLLCAIYFLSIIMSVWSNKPVFMFCEAIAFSYPSTHPFILIWGNKKLKQTFLSVLWH</v>
      </c>
      <c r="C111" s="72" t="str">
        <f>IF(ISERROR(MATCH(A111,'Xtal_SegEnds_Prot#'!B:B, 0)), "NoXtal", "Xtal")</f>
        <v>NoXtal</v>
      </c>
      <c r="D111" s="4" t="str">
        <f>VLOOKUP(A111,Classification!A:D,2,FALSE)</f>
        <v>T</v>
      </c>
      <c r="E111" s="5" t="str">
        <f>VLOOKUP(A111,Seqs!A:B,2,FALSE)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111" s="5" t="str">
        <f t="shared" si="26"/>
        <v>PIIFSILIVVTFVIGNFANGFIALVNSIEWF</v>
      </c>
      <c r="G111" s="4" t="str">
        <f t="shared" si="27"/>
        <v>KRQK</v>
      </c>
      <c r="H111" s="4" t="str">
        <f t="shared" si="28"/>
        <v>ISFADQILTALAVSRVGLLWVLVLNWYATEL</v>
      </c>
      <c r="I111" s="4" t="str">
        <f t="shared" si="29"/>
        <v/>
      </c>
      <c r="J111" s="4" t="str">
        <f t="shared" si="30"/>
        <v>AFNSIEVRITAYNVWAVINHFSNWLATSLSIFYLLKIAN</v>
      </c>
      <c r="K111" s="4" t="str">
        <f t="shared" si="31"/>
        <v>NLIFLHLK</v>
      </c>
      <c r="L111" s="4" t="str">
        <f t="shared" si="32"/>
        <v>RVKSVVLVILLGPLLFLVCHLFVINM</v>
      </c>
      <c r="M111" s="4" t="str">
        <f t="shared" si="33"/>
        <v/>
      </c>
      <c r="N111" s="4" t="str">
        <f t="shared" si="34"/>
        <v>RSAMYLSNTTVTILANLVPFTLTLISFLLLICSLCKHLKKM</v>
      </c>
      <c r="O111" s="4" t="str">
        <f t="shared" si="35"/>
        <v>PSMKVHIKALQTVTSFLLLCAIYFLSIIMSVWS</v>
      </c>
      <c r="P111" s="4" t="str">
        <f t="shared" si="36"/>
        <v>NKPVFMFCEAIAFSYPSTHPFILIWG</v>
      </c>
      <c r="Q111" s="4" t="str">
        <f t="shared" si="37"/>
        <v>NKKLKQTFLSVLWH</v>
      </c>
      <c r="R111" s="5">
        <f>VLOOKUP($A111,'NonXtal_SegEnds_Prot#'!$A:$AL,3,FALSE)</f>
        <v>6</v>
      </c>
      <c r="S111" s="5">
        <f>VLOOKUP($A111,'NonXtal_SegEnds_Prot#'!$A:$AL,6,FALSE)</f>
        <v>37</v>
      </c>
      <c r="T111" s="5">
        <f>VLOOKUP($A111,'NonXtal_SegEnds_Prot#'!$A:$AL,9,FALSE)</f>
        <v>41</v>
      </c>
      <c r="U111" s="5" t="str">
        <f>VLOOKUP($A111,'NonXtal_SegEnds_Prot#'!$A:$AL,12,FALSE)</f>
        <v>-</v>
      </c>
      <c r="V111" s="5">
        <f>VLOOKUP($A111,'NonXtal_SegEnds_Prot#'!$A:$AL,15,FALSE)</f>
        <v>74</v>
      </c>
      <c r="W111" s="5">
        <f>VLOOKUP($A111,'NonXtal_SegEnds_Prot#'!$A:$AL,18,FALSE)</f>
        <v>115</v>
      </c>
      <c r="X111" s="5">
        <f>VLOOKUP($A111,'NonXtal_SegEnds_Prot#'!$A:$AL,21,FALSE)</f>
        <v>124</v>
      </c>
      <c r="Y111" s="5" t="str">
        <f>VLOOKUP($A111,'NonXtal_SegEnds_Prot#'!$A:$AL,24,FALSE)</f>
        <v>-</v>
      </c>
      <c r="Z111" s="5">
        <f>VLOOKUP($A111,'NonXtal_SegEnds_Prot#'!$A:$AL,27,FALSE)</f>
        <v>169</v>
      </c>
      <c r="AA111" s="5">
        <f>VLOOKUP($A111,'NonXtal_SegEnds_Prot#'!$A:$AL,30,FALSE)</f>
        <v>219</v>
      </c>
      <c r="AB111" s="5">
        <f>VLOOKUP($A111,'NonXtal_SegEnds_Prot#'!$A:$AL,33,FALSE)</f>
        <v>257</v>
      </c>
      <c r="AC111" s="5">
        <f>VLOOKUP($A111,'NonXtal_SegEnds_Prot#'!$A:$AL,36,FALSE)</f>
        <v>283</v>
      </c>
      <c r="AD111" s="5">
        <f>VLOOKUP($A111,'NonXtal_SegEnds_Prot#'!$A:$AL,5,FALSE)</f>
        <v>36</v>
      </c>
      <c r="AE111" s="5">
        <f>VLOOKUP($A111,'NonXtal_SegEnds_Prot#'!$A:$AL,8,FALSE)</f>
        <v>40</v>
      </c>
      <c r="AF111" s="5">
        <f>VLOOKUP($A111,'NonXtal_SegEnds_Prot#'!$A:$AL,11,FALSE)</f>
        <v>71</v>
      </c>
      <c r="AG111" s="5" t="str">
        <f>VLOOKUP($A111,'NonXtal_SegEnds_Prot#'!$A:$AL,14,FALSE)</f>
        <v>-</v>
      </c>
      <c r="AH111" s="5">
        <f>VLOOKUP($A111,'NonXtal_SegEnds_Prot#'!$A:$AL,17,FALSE)</f>
        <v>112</v>
      </c>
      <c r="AI111" s="5">
        <f>VLOOKUP($A111,'NonXtal_SegEnds_Prot#'!$A:$AL,20,FALSE)</f>
        <v>122</v>
      </c>
      <c r="AJ111" s="5">
        <f>VLOOKUP($A111,'NonXtal_SegEnds_Prot#'!$A:$AL,23,FALSE)</f>
        <v>149</v>
      </c>
      <c r="AK111" s="5" t="str">
        <f>VLOOKUP($A111,'NonXtal_SegEnds_Prot#'!$A:$AL,26,FALSE)</f>
        <v>-</v>
      </c>
      <c r="AL111" s="5">
        <f>VLOOKUP($A111,'NonXtal_SegEnds_Prot#'!$A:$AL,29,FALSE)</f>
        <v>209</v>
      </c>
      <c r="AM111" s="5">
        <f>VLOOKUP($A111,'NonXtal_SegEnds_Prot#'!$A:$AL,32,FALSE)</f>
        <v>251</v>
      </c>
      <c r="AN111" s="5">
        <f>VLOOKUP($A111,'NonXtal_SegEnds_Prot#'!$A:$AL,35,FALSE)</f>
        <v>282</v>
      </c>
      <c r="AO111" s="5">
        <f>VLOOKUP($A111,'NonXtal_SegEnds_Prot#'!$A:$AL,38,FALSE)</f>
        <v>296</v>
      </c>
      <c r="AP111" s="5">
        <f t="shared" si="38"/>
        <v>30</v>
      </c>
      <c r="AQ111" s="4">
        <f t="shared" si="39"/>
        <v>3</v>
      </c>
      <c r="AR111" s="4">
        <f t="shared" si="40"/>
        <v>30</v>
      </c>
      <c r="AS111" s="4" t="str">
        <f t="shared" si="41"/>
        <v>-</v>
      </c>
      <c r="AT111" s="4">
        <f t="shared" si="42"/>
        <v>38</v>
      </c>
      <c r="AU111" s="4">
        <f t="shared" si="43"/>
        <v>7</v>
      </c>
      <c r="AV111" s="4">
        <f t="shared" si="44"/>
        <v>25</v>
      </c>
      <c r="AW111" s="4" t="str">
        <f t="shared" si="45"/>
        <v>-</v>
      </c>
      <c r="AX111" s="4">
        <f t="shared" si="46"/>
        <v>40</v>
      </c>
      <c r="AY111" s="4">
        <f t="shared" si="47"/>
        <v>32</v>
      </c>
      <c r="AZ111" s="4">
        <f t="shared" si="48"/>
        <v>25</v>
      </c>
      <c r="BA111" s="4">
        <f t="shared" si="49"/>
        <v>13</v>
      </c>
    </row>
    <row r="112" spans="1:53" x14ac:dyDescent="0.2">
      <c r="A112" s="1" t="str">
        <f>'NonXtal_SegEnds_Prot#'!A81</f>
        <v>t2r50_human</v>
      </c>
      <c r="B112" s="1" t="str">
        <f t="shared" si="25"/>
        <v>YIFFSILIMVLFVLGNFANGFIALVNFIDWVISSADQILTALAVSRIGLLWALLLNWYLTVLAFYSVELRITSYNAWVVTNHFSMWLAANLSIFYLLKIANRVRSVILVILLGTLIFLVCHLLVANMRNTVHLSYLTVTTLWSFIPFTLSLISFLMLICSLCKHLKKMLSTKVHIKALQTLISFLLLCAIFFLFLIVSVWSNDPVVMVSKAVGNIYLAFDSFILIWRTKKLKHTFLLILCQ</v>
      </c>
      <c r="C112" s="72" t="str">
        <f>IF(ISERROR(MATCH(A112,'Xtal_SegEnds_Prot#'!B:B, 0)), "NoXtal", "Xtal")</f>
        <v>NoXtal</v>
      </c>
      <c r="D112" s="4" t="str">
        <f>VLOOKUP(A112,Classification!A:D,2,FALSE)</f>
        <v>T</v>
      </c>
      <c r="E112" s="5" t="str">
        <f>VLOOKUP(A112,Seqs!A:B,2,FALSE)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112" s="5" t="str">
        <f t="shared" si="26"/>
        <v>YIFFSILIMVLFVLGNFANGFIALVNFIDWV</v>
      </c>
      <c r="G112" s="4" t="str">
        <f t="shared" si="27"/>
        <v>KRKK</v>
      </c>
      <c r="H112" s="4" t="str">
        <f t="shared" si="28"/>
        <v>ISSADQILTALAVSRIGLLWALLLNWYLTVL</v>
      </c>
      <c r="I112" s="4" t="str">
        <f t="shared" si="29"/>
        <v/>
      </c>
      <c r="J112" s="4" t="str">
        <f t="shared" si="30"/>
        <v>AFYSVELRITSYNAWVVTNHFSMWLAANLSIFYLLKIAN</v>
      </c>
      <c r="K112" s="4" t="str">
        <f t="shared" si="31"/>
        <v>NLLFLHLK</v>
      </c>
      <c r="L112" s="4" t="str">
        <f t="shared" si="32"/>
        <v>RVRSVILVILLGTLIFLVCHLLVANM</v>
      </c>
      <c r="M112" s="4" t="str">
        <f t="shared" si="33"/>
        <v/>
      </c>
      <c r="N112" s="4" t="str">
        <f t="shared" si="34"/>
        <v>RNTVHLSYLTVTTLWSFIPFTLSLISFLMLICSLCKHLKKM</v>
      </c>
      <c r="O112" s="4" t="str">
        <f t="shared" si="35"/>
        <v>LSTKVHIKALQTLISFLLLCAIFFLFLIVSVWS</v>
      </c>
      <c r="P112" s="4" t="str">
        <f t="shared" si="36"/>
        <v>NDPVVMVSKAVGNIYLAFDSFILIWR</v>
      </c>
      <c r="Q112" s="4" t="str">
        <f t="shared" si="37"/>
        <v>TKKLKHTFLLILCQ</v>
      </c>
      <c r="R112" s="5">
        <f>VLOOKUP($A112,'NonXtal_SegEnds_Prot#'!$A:$AL,3,FALSE)</f>
        <v>6</v>
      </c>
      <c r="S112" s="5">
        <f>VLOOKUP($A112,'NonXtal_SegEnds_Prot#'!$A:$AL,6,FALSE)</f>
        <v>37</v>
      </c>
      <c r="T112" s="5">
        <f>VLOOKUP($A112,'NonXtal_SegEnds_Prot#'!$A:$AL,9,FALSE)</f>
        <v>41</v>
      </c>
      <c r="U112" s="5" t="str">
        <f>VLOOKUP($A112,'NonXtal_SegEnds_Prot#'!$A:$AL,12,FALSE)</f>
        <v>-</v>
      </c>
      <c r="V112" s="5">
        <f>VLOOKUP($A112,'NonXtal_SegEnds_Prot#'!$A:$AL,15,FALSE)</f>
        <v>74</v>
      </c>
      <c r="W112" s="5">
        <f>VLOOKUP($A112,'NonXtal_SegEnds_Prot#'!$A:$AL,18,FALSE)</f>
        <v>115</v>
      </c>
      <c r="X112" s="5">
        <f>VLOOKUP($A112,'NonXtal_SegEnds_Prot#'!$A:$AL,21,FALSE)</f>
        <v>124</v>
      </c>
      <c r="Y112" s="5" t="str">
        <f>VLOOKUP($A112,'NonXtal_SegEnds_Prot#'!$A:$AL,24,FALSE)</f>
        <v>-</v>
      </c>
      <c r="Z112" s="5">
        <f>VLOOKUP($A112,'NonXtal_SegEnds_Prot#'!$A:$AL,27,FALSE)</f>
        <v>169</v>
      </c>
      <c r="AA112" s="5">
        <f>VLOOKUP($A112,'NonXtal_SegEnds_Prot#'!$A:$AL,30,FALSE)</f>
        <v>219</v>
      </c>
      <c r="AB112" s="5">
        <f>VLOOKUP($A112,'NonXtal_SegEnds_Prot#'!$A:$AL,33,FALSE)</f>
        <v>257</v>
      </c>
      <c r="AC112" s="5">
        <f>VLOOKUP($A112,'NonXtal_SegEnds_Prot#'!$A:$AL,36,FALSE)</f>
        <v>283</v>
      </c>
      <c r="AD112" s="5">
        <f>VLOOKUP($A112,'NonXtal_SegEnds_Prot#'!$A:$AL,5,FALSE)</f>
        <v>36</v>
      </c>
      <c r="AE112" s="5">
        <f>VLOOKUP($A112,'NonXtal_SegEnds_Prot#'!$A:$AL,8,FALSE)</f>
        <v>40</v>
      </c>
      <c r="AF112" s="5">
        <f>VLOOKUP($A112,'NonXtal_SegEnds_Prot#'!$A:$AL,11,FALSE)</f>
        <v>71</v>
      </c>
      <c r="AG112" s="5" t="str">
        <f>VLOOKUP($A112,'NonXtal_SegEnds_Prot#'!$A:$AL,14,FALSE)</f>
        <v>-</v>
      </c>
      <c r="AH112" s="5">
        <f>VLOOKUP($A112,'NonXtal_SegEnds_Prot#'!$A:$AL,17,FALSE)</f>
        <v>112</v>
      </c>
      <c r="AI112" s="5">
        <f>VLOOKUP($A112,'NonXtal_SegEnds_Prot#'!$A:$AL,20,FALSE)</f>
        <v>122</v>
      </c>
      <c r="AJ112" s="5">
        <f>VLOOKUP($A112,'NonXtal_SegEnds_Prot#'!$A:$AL,23,FALSE)</f>
        <v>149</v>
      </c>
      <c r="AK112" s="5" t="str">
        <f>VLOOKUP($A112,'NonXtal_SegEnds_Prot#'!$A:$AL,26,FALSE)</f>
        <v>-</v>
      </c>
      <c r="AL112" s="5">
        <f>VLOOKUP($A112,'NonXtal_SegEnds_Prot#'!$A:$AL,29,FALSE)</f>
        <v>209</v>
      </c>
      <c r="AM112" s="5">
        <f>VLOOKUP($A112,'NonXtal_SegEnds_Prot#'!$A:$AL,32,FALSE)</f>
        <v>251</v>
      </c>
      <c r="AN112" s="5">
        <f>VLOOKUP($A112,'NonXtal_SegEnds_Prot#'!$A:$AL,35,FALSE)</f>
        <v>282</v>
      </c>
      <c r="AO112" s="5">
        <f>VLOOKUP($A112,'NonXtal_SegEnds_Prot#'!$A:$AL,38,FALSE)</f>
        <v>296</v>
      </c>
      <c r="AP112" s="5">
        <f t="shared" si="38"/>
        <v>30</v>
      </c>
      <c r="AQ112" s="4">
        <f t="shared" si="39"/>
        <v>3</v>
      </c>
      <c r="AR112" s="4">
        <f t="shared" si="40"/>
        <v>30</v>
      </c>
      <c r="AS112" s="4" t="str">
        <f t="shared" si="41"/>
        <v>-</v>
      </c>
      <c r="AT112" s="4">
        <f t="shared" si="42"/>
        <v>38</v>
      </c>
      <c r="AU112" s="4">
        <f t="shared" si="43"/>
        <v>7</v>
      </c>
      <c r="AV112" s="4">
        <f t="shared" si="44"/>
        <v>25</v>
      </c>
      <c r="AW112" s="4" t="str">
        <f t="shared" si="45"/>
        <v>-</v>
      </c>
      <c r="AX112" s="4">
        <f t="shared" si="46"/>
        <v>40</v>
      </c>
      <c r="AY112" s="4">
        <f t="shared" si="47"/>
        <v>32</v>
      </c>
      <c r="AZ112" s="4">
        <f t="shared" si="48"/>
        <v>25</v>
      </c>
      <c r="BA112" s="4">
        <f t="shared" si="49"/>
        <v>13</v>
      </c>
    </row>
    <row r="113" spans="1:53" x14ac:dyDescent="0.2">
      <c r="A113" s="1" t="str">
        <f>'NonXtal_SegEnds_Prot#'!A82</f>
        <v>ta2r3_human</v>
      </c>
      <c r="B113" s="1" t="str">
        <f t="shared" si="25"/>
        <v>EGVFLILSGTQFTLGILVNCFIELVNGSSWFMSLSDFIITTLALLRIILLCIILTDSFLIEFSTHDSGIIMQIIDVSWTFTNHLSIWLATCLGVLYCLKIASRVSRVMVWMLLGALLLSCGSTASLINKRSEYYLIHVLGTLWYLPPLIVSLASYSLLIFSLGRHTRQMPTTEAHKRAIRIILSFFFLFLLYFLAFLIASFGTKMAKMIGEVMTMFYPAGHSFILILGNSKLKQTFVVMLRC</v>
      </c>
      <c r="C113" s="72" t="str">
        <f>IF(ISERROR(MATCH(A113,'Xtal_SegEnds_Prot#'!B:B, 0)), "NoXtal", "Xtal")</f>
        <v>NoXtal</v>
      </c>
      <c r="D113" s="4" t="str">
        <f>VLOOKUP(A113,Classification!A:D,2,FALSE)</f>
        <v>T</v>
      </c>
      <c r="E113" s="5" t="str">
        <f>VLOOKUP(A113,Seqs!A:B,2,FALSE)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113" s="5" t="str">
        <f t="shared" si="26"/>
        <v>EGVFLILSGTQFTLGILVNCFIELVNGSSWF</v>
      </c>
      <c r="G113" s="4" t="str">
        <f t="shared" si="27"/>
        <v>KTKR</v>
      </c>
      <c r="H113" s="4" t="str">
        <f t="shared" si="28"/>
        <v>MSLSDFIITTLALLRIILLCIILTDSFLIEFS</v>
      </c>
      <c r="I113" s="4" t="str">
        <f t="shared" si="29"/>
        <v/>
      </c>
      <c r="J113" s="4" t="str">
        <f t="shared" si="30"/>
        <v>THDSGIIMQIIDVSWTFTNHLSIWLATCLGVLYCLKIAS</v>
      </c>
      <c r="K113" s="4" t="str">
        <f t="shared" si="31"/>
        <v>HPTFLWLK</v>
      </c>
      <c r="L113" s="4" t="str">
        <f t="shared" si="32"/>
        <v>RVSRVMVWMLLGALLLSCGSTASLIN</v>
      </c>
      <c r="M113" s="4" t="str">
        <f t="shared" si="33"/>
        <v/>
      </c>
      <c r="N113" s="4" t="str">
        <f t="shared" si="34"/>
        <v>KRSEYYLIHVLGTLWYLPPLIVSLASYSLLIFSLGRHTRQM</v>
      </c>
      <c r="O113" s="4" t="str">
        <f t="shared" si="35"/>
        <v>PTTEAHKRAIRIILSFFFLFLLYFLAFLIASFG</v>
      </c>
      <c r="P113" s="4" t="str">
        <f t="shared" si="36"/>
        <v>TKMAKMIGEVMTMFYPAGHSFILILG</v>
      </c>
      <c r="Q113" s="4" t="str">
        <f t="shared" si="37"/>
        <v>NSKLKQTFVVMLRC</v>
      </c>
      <c r="R113" s="5">
        <f>VLOOKUP($A113,'NonXtal_SegEnds_Prot#'!$A:$AL,3,FALSE)</f>
        <v>6</v>
      </c>
      <c r="S113" s="5">
        <f>VLOOKUP($A113,'NonXtal_SegEnds_Prot#'!$A:$AL,6,FALSE)</f>
        <v>37</v>
      </c>
      <c r="T113" s="5">
        <f>VLOOKUP($A113,'NonXtal_SegEnds_Prot#'!$A:$AL,9,FALSE)</f>
        <v>41</v>
      </c>
      <c r="U113" s="5" t="str">
        <f>VLOOKUP($A113,'NonXtal_SegEnds_Prot#'!$A:$AL,12,FALSE)</f>
        <v>-</v>
      </c>
      <c r="V113" s="5">
        <f>VLOOKUP($A113,'NonXtal_SegEnds_Prot#'!$A:$AL,15,FALSE)</f>
        <v>75</v>
      </c>
      <c r="W113" s="5">
        <f>VLOOKUP($A113,'NonXtal_SegEnds_Prot#'!$A:$AL,18,FALSE)</f>
        <v>116</v>
      </c>
      <c r="X113" s="5">
        <f>VLOOKUP($A113,'NonXtal_SegEnds_Prot#'!$A:$AL,21,FALSE)</f>
        <v>125</v>
      </c>
      <c r="Y113" s="5" t="str">
        <f>VLOOKUP($A113,'NonXtal_SegEnds_Prot#'!$A:$AL,24,FALSE)</f>
        <v>-</v>
      </c>
      <c r="Z113" s="5">
        <f>VLOOKUP($A113,'NonXtal_SegEnds_Prot#'!$A:$AL,27,FALSE)</f>
        <v>174</v>
      </c>
      <c r="AA113" s="5">
        <f>VLOOKUP($A113,'NonXtal_SegEnds_Prot#'!$A:$AL,30,FALSE)</f>
        <v>224</v>
      </c>
      <c r="AB113" s="5">
        <f>VLOOKUP($A113,'NonXtal_SegEnds_Prot#'!$A:$AL,33,FALSE)</f>
        <v>262</v>
      </c>
      <c r="AC113" s="5">
        <f>VLOOKUP($A113,'NonXtal_SegEnds_Prot#'!$A:$AL,36,FALSE)</f>
        <v>288</v>
      </c>
      <c r="AD113" s="5">
        <f>VLOOKUP($A113,'NonXtal_SegEnds_Prot#'!$A:$AL,5,FALSE)</f>
        <v>36</v>
      </c>
      <c r="AE113" s="5">
        <f>VLOOKUP($A113,'NonXtal_SegEnds_Prot#'!$A:$AL,8,FALSE)</f>
        <v>40</v>
      </c>
      <c r="AF113" s="5">
        <f>VLOOKUP($A113,'NonXtal_SegEnds_Prot#'!$A:$AL,11,FALSE)</f>
        <v>72</v>
      </c>
      <c r="AG113" s="5" t="str">
        <f>VLOOKUP($A113,'NonXtal_SegEnds_Prot#'!$A:$AL,14,FALSE)</f>
        <v>-</v>
      </c>
      <c r="AH113" s="5">
        <f>VLOOKUP($A113,'NonXtal_SegEnds_Prot#'!$A:$AL,17,FALSE)</f>
        <v>113</v>
      </c>
      <c r="AI113" s="5">
        <f>VLOOKUP($A113,'NonXtal_SegEnds_Prot#'!$A:$AL,20,FALSE)</f>
        <v>123</v>
      </c>
      <c r="AJ113" s="5">
        <f>VLOOKUP($A113,'NonXtal_SegEnds_Prot#'!$A:$AL,23,FALSE)</f>
        <v>150</v>
      </c>
      <c r="AK113" s="5" t="str">
        <f>VLOOKUP($A113,'NonXtal_SegEnds_Prot#'!$A:$AL,26,FALSE)</f>
        <v>-</v>
      </c>
      <c r="AL113" s="5">
        <f>VLOOKUP($A113,'NonXtal_SegEnds_Prot#'!$A:$AL,29,FALSE)</f>
        <v>214</v>
      </c>
      <c r="AM113" s="5">
        <f>VLOOKUP($A113,'NonXtal_SegEnds_Prot#'!$A:$AL,32,FALSE)</f>
        <v>256</v>
      </c>
      <c r="AN113" s="5">
        <f>VLOOKUP($A113,'NonXtal_SegEnds_Prot#'!$A:$AL,35,FALSE)</f>
        <v>287</v>
      </c>
      <c r="AO113" s="5">
        <f>VLOOKUP($A113,'NonXtal_SegEnds_Prot#'!$A:$AL,38,FALSE)</f>
        <v>301</v>
      </c>
      <c r="AP113" s="5">
        <f t="shared" si="38"/>
        <v>30</v>
      </c>
      <c r="AQ113" s="4">
        <f t="shared" si="39"/>
        <v>3</v>
      </c>
      <c r="AR113" s="4">
        <f t="shared" si="40"/>
        <v>31</v>
      </c>
      <c r="AS113" s="4" t="str">
        <f t="shared" si="41"/>
        <v>-</v>
      </c>
      <c r="AT113" s="4">
        <f t="shared" si="42"/>
        <v>38</v>
      </c>
      <c r="AU113" s="4">
        <f t="shared" si="43"/>
        <v>7</v>
      </c>
      <c r="AV113" s="4">
        <f t="shared" si="44"/>
        <v>25</v>
      </c>
      <c r="AW113" s="4" t="str">
        <f t="shared" si="45"/>
        <v>-</v>
      </c>
      <c r="AX113" s="4">
        <f t="shared" si="46"/>
        <v>40</v>
      </c>
      <c r="AY113" s="4">
        <f t="shared" si="47"/>
        <v>32</v>
      </c>
      <c r="AZ113" s="4">
        <f t="shared" si="48"/>
        <v>25</v>
      </c>
      <c r="BA113" s="4">
        <f t="shared" si="49"/>
        <v>13</v>
      </c>
    </row>
    <row r="114" spans="1:53" x14ac:dyDescent="0.2">
      <c r="A114" s="1" t="str">
        <f>'NonXtal_SegEnds_Prot#'!A83</f>
        <v>ta2r7_human</v>
      </c>
      <c r="B114" s="1" t="str">
        <f t="shared" si="25"/>
        <v>QTTLLFLAVGEFSVGILGNAFIGLVNCMDWVIASIDLILTSLAISRICLLCVILLDCFILVLYVYATGKEMRIIDFFWTLTNHLSIWFATCLSIYYFFKIGNRIDRVISWILLGCVVLSVFISLPATENKTQHASTKLFLNLATLLPFCVCLMSFFLLILSLRRHIRRMPSTEAHVRALKAVISFLLLFIAYYLSFLIATSSTELAVIFGESIALIYPSSHSFILILGNNKLRHASLKVIWK</v>
      </c>
      <c r="C114" s="72" t="str">
        <f>IF(ISERROR(MATCH(A114,'Xtal_SegEnds_Prot#'!B:B, 0)), "NoXtal", "Xtal")</f>
        <v>NoXtal</v>
      </c>
      <c r="D114" s="4" t="str">
        <f>VLOOKUP(A114,Classification!A:D,2,FALSE)</f>
        <v>T</v>
      </c>
      <c r="E114" s="5" t="str">
        <f>VLOOKUP(A114,Seqs!A:B,2,FALSE)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114" s="5" t="str">
        <f t="shared" si="26"/>
        <v>QTTLLFLAVGEFSVGILGNAFIGLVNCMDWV</v>
      </c>
      <c r="G114" s="4" t="str">
        <f t="shared" si="27"/>
        <v>KKRK</v>
      </c>
      <c r="H114" s="4" t="str">
        <f t="shared" si="28"/>
        <v>IASIDLILTSLAISRICLLCVILLDCFILVLY</v>
      </c>
      <c r="I114" s="4" t="str">
        <f t="shared" si="29"/>
        <v/>
      </c>
      <c r="J114" s="4" t="str">
        <f t="shared" si="30"/>
        <v>VYATGKEMRIIDFFWTLTNHLSIWFATCLSIYYFFKIGN</v>
      </c>
      <c r="K114" s="4" t="str">
        <f t="shared" si="31"/>
        <v>HPLFLWMK</v>
      </c>
      <c r="L114" s="4" t="str">
        <f t="shared" si="32"/>
        <v>RIDRVISWILLGCVVLSVFISLPATE</v>
      </c>
      <c r="M114" s="4" t="str">
        <f t="shared" si="33"/>
        <v/>
      </c>
      <c r="N114" s="4" t="str">
        <f t="shared" si="34"/>
        <v>NKTQHASTKLFLNLATLLPFCVCLMSFFLLILSLRRHIRRM</v>
      </c>
      <c r="O114" s="4" t="str">
        <f t="shared" si="35"/>
        <v>PSTEAHVRALKAVISFLLLFIAYYLSFLIATSS</v>
      </c>
      <c r="P114" s="4" t="str">
        <f t="shared" si="36"/>
        <v>TELAVIFGESIALIYPSSHSFILILG</v>
      </c>
      <c r="Q114" s="4" t="str">
        <f t="shared" si="37"/>
        <v>NNKLRHASLKVIWK</v>
      </c>
      <c r="R114" s="5">
        <f>VLOOKUP($A114,'NonXtal_SegEnds_Prot#'!$A:$AL,3,FALSE)</f>
        <v>6</v>
      </c>
      <c r="S114" s="5">
        <f>VLOOKUP($A114,'NonXtal_SegEnds_Prot#'!$A:$AL,6,FALSE)</f>
        <v>37</v>
      </c>
      <c r="T114" s="5">
        <f>VLOOKUP($A114,'NonXtal_SegEnds_Prot#'!$A:$AL,9,FALSE)</f>
        <v>41</v>
      </c>
      <c r="U114" s="5" t="str">
        <f>VLOOKUP($A114,'NonXtal_SegEnds_Prot#'!$A:$AL,12,FALSE)</f>
        <v>-</v>
      </c>
      <c r="V114" s="5">
        <f>VLOOKUP($A114,'NonXtal_SegEnds_Prot#'!$A:$AL,15,FALSE)</f>
        <v>75</v>
      </c>
      <c r="W114" s="5">
        <f>VLOOKUP($A114,'NonXtal_SegEnds_Prot#'!$A:$AL,18,FALSE)</f>
        <v>116</v>
      </c>
      <c r="X114" s="5">
        <f>VLOOKUP($A114,'NonXtal_SegEnds_Prot#'!$A:$AL,21,FALSE)</f>
        <v>125</v>
      </c>
      <c r="Y114" s="5" t="str">
        <f>VLOOKUP($A114,'NonXtal_SegEnds_Prot#'!$A:$AL,24,FALSE)</f>
        <v>-</v>
      </c>
      <c r="Z114" s="5">
        <f>VLOOKUP($A114,'NonXtal_SegEnds_Prot#'!$A:$AL,27,FALSE)</f>
        <v>175</v>
      </c>
      <c r="AA114" s="5">
        <f>VLOOKUP($A114,'NonXtal_SegEnds_Prot#'!$A:$AL,30,FALSE)</f>
        <v>225</v>
      </c>
      <c r="AB114" s="5">
        <f>VLOOKUP($A114,'NonXtal_SegEnds_Prot#'!$A:$AL,33,FALSE)</f>
        <v>263</v>
      </c>
      <c r="AC114" s="5">
        <f>VLOOKUP($A114,'NonXtal_SegEnds_Prot#'!$A:$AL,36,FALSE)</f>
        <v>289</v>
      </c>
      <c r="AD114" s="5">
        <f>VLOOKUP($A114,'NonXtal_SegEnds_Prot#'!$A:$AL,5,FALSE)</f>
        <v>36</v>
      </c>
      <c r="AE114" s="5">
        <f>VLOOKUP($A114,'NonXtal_SegEnds_Prot#'!$A:$AL,8,FALSE)</f>
        <v>40</v>
      </c>
      <c r="AF114" s="5">
        <f>VLOOKUP($A114,'NonXtal_SegEnds_Prot#'!$A:$AL,11,FALSE)</f>
        <v>72</v>
      </c>
      <c r="AG114" s="5" t="str">
        <f>VLOOKUP($A114,'NonXtal_SegEnds_Prot#'!$A:$AL,14,FALSE)</f>
        <v>-</v>
      </c>
      <c r="AH114" s="5">
        <f>VLOOKUP($A114,'NonXtal_SegEnds_Prot#'!$A:$AL,17,FALSE)</f>
        <v>113</v>
      </c>
      <c r="AI114" s="5">
        <f>VLOOKUP($A114,'NonXtal_SegEnds_Prot#'!$A:$AL,20,FALSE)</f>
        <v>123</v>
      </c>
      <c r="AJ114" s="5">
        <f>VLOOKUP($A114,'NonXtal_SegEnds_Prot#'!$A:$AL,23,FALSE)</f>
        <v>150</v>
      </c>
      <c r="AK114" s="5" t="str">
        <f>VLOOKUP($A114,'NonXtal_SegEnds_Prot#'!$A:$AL,26,FALSE)</f>
        <v>-</v>
      </c>
      <c r="AL114" s="5">
        <f>VLOOKUP($A114,'NonXtal_SegEnds_Prot#'!$A:$AL,29,FALSE)</f>
        <v>215</v>
      </c>
      <c r="AM114" s="5">
        <f>VLOOKUP($A114,'NonXtal_SegEnds_Prot#'!$A:$AL,32,FALSE)</f>
        <v>257</v>
      </c>
      <c r="AN114" s="5">
        <f>VLOOKUP($A114,'NonXtal_SegEnds_Prot#'!$A:$AL,35,FALSE)</f>
        <v>288</v>
      </c>
      <c r="AO114" s="5">
        <f>VLOOKUP($A114,'NonXtal_SegEnds_Prot#'!$A:$AL,38,FALSE)</f>
        <v>302</v>
      </c>
      <c r="AP114" s="5">
        <f t="shared" si="38"/>
        <v>30</v>
      </c>
      <c r="AQ114" s="4">
        <f t="shared" si="39"/>
        <v>3</v>
      </c>
      <c r="AR114" s="4">
        <f t="shared" si="40"/>
        <v>31</v>
      </c>
      <c r="AS114" s="4" t="str">
        <f t="shared" si="41"/>
        <v>-</v>
      </c>
      <c r="AT114" s="4">
        <f t="shared" si="42"/>
        <v>38</v>
      </c>
      <c r="AU114" s="4">
        <f t="shared" si="43"/>
        <v>7</v>
      </c>
      <c r="AV114" s="4">
        <f t="shared" si="44"/>
        <v>25</v>
      </c>
      <c r="AW114" s="4" t="str">
        <f t="shared" si="45"/>
        <v>-</v>
      </c>
      <c r="AX114" s="4">
        <f t="shared" si="46"/>
        <v>40</v>
      </c>
      <c r="AY114" s="4">
        <f t="shared" si="47"/>
        <v>32</v>
      </c>
      <c r="AZ114" s="4">
        <f t="shared" si="48"/>
        <v>25</v>
      </c>
      <c r="BA114" s="4">
        <f t="shared" si="49"/>
        <v>13</v>
      </c>
    </row>
    <row r="115" spans="1:53" x14ac:dyDescent="0.2">
      <c r="A115" s="1" t="str">
        <f>'NonXtal_SegEnds_Prot#'!A84</f>
        <v>ta2r8_human</v>
      </c>
      <c r="B115" s="1" t="str">
        <f t="shared" si="25"/>
        <v>DNIFIILITGEFILGILGNGYIALVNWIDWIISTVDYILTNLVIARICLISVMVVNGIVIVLNVYTKNKQQIVIFTFWTFANYLNMWITTCLNVFYFLKIASKIDMVVHWILLGCFAISLLVSLIAAISKIPYFEPLTLFNLFAIVPFIVSLISFFLLVRSLWRHTKQIPSTEVHVRAIKTMTSFIFFFFLYYISSILMTFSYKLAVEFGEIAAILYPLGHSLILIVLNNKLRQTFVRMLTC</v>
      </c>
      <c r="C115" s="72" t="str">
        <f>IF(ISERROR(MATCH(A115,'Xtal_SegEnds_Prot#'!B:B, 0)), "NoXtal", "Xtal")</f>
        <v>NoXtal</v>
      </c>
      <c r="D115" s="4" t="str">
        <f>VLOOKUP(A115,Classification!A:D,2,FALSE)</f>
        <v>T</v>
      </c>
      <c r="E115" s="5" t="str">
        <f>VLOOKUP(A115,Seqs!A:B,2,FALSE)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115" s="5" t="str">
        <f t="shared" si="26"/>
        <v>DNIFIILITGEFILGILGNGYIALVNWIDWI</v>
      </c>
      <c r="G115" s="4" t="str">
        <f t="shared" si="27"/>
        <v>KKKK</v>
      </c>
      <c r="H115" s="4" t="str">
        <f t="shared" si="28"/>
        <v>ISTVDYILTNLVIARICLISVMVVNGIVIVLN</v>
      </c>
      <c r="I115" s="4" t="str">
        <f t="shared" si="29"/>
        <v/>
      </c>
      <c r="J115" s="4" t="str">
        <f t="shared" si="30"/>
        <v>VYTKNKQQIVIFTFWTFANYLNMWITTCLNVFYFLKIAS</v>
      </c>
      <c r="K115" s="4" t="str">
        <f t="shared" si="31"/>
        <v>HPLFLWLK</v>
      </c>
      <c r="L115" s="4" t="str">
        <f t="shared" si="32"/>
        <v>KIDMVVHWILLGCFAISLLVSLIAAI</v>
      </c>
      <c r="M115" s="4" t="str">
        <f t="shared" si="33"/>
        <v/>
      </c>
      <c r="N115" s="4" t="str">
        <f t="shared" si="34"/>
        <v>SKIPYFEPLTLFNLFAIVPFIVSLISFFLLVRSLWRHTKQI</v>
      </c>
      <c r="O115" s="4" t="str">
        <f t="shared" si="35"/>
        <v>PSTEVHVRAIKTMTSFIFFFFLYYISSILMTFS</v>
      </c>
      <c r="P115" s="4" t="str">
        <f t="shared" si="36"/>
        <v>YKLAVEFGEIAAILYPLGHSLILIVL</v>
      </c>
      <c r="Q115" s="4" t="str">
        <f t="shared" si="37"/>
        <v>NNKLRQTFVRMLTC</v>
      </c>
      <c r="R115" s="5">
        <f>VLOOKUP($A115,'NonXtal_SegEnds_Prot#'!$A:$AL,3,FALSE)</f>
        <v>6</v>
      </c>
      <c r="S115" s="5">
        <f>VLOOKUP($A115,'NonXtal_SegEnds_Prot#'!$A:$AL,6,FALSE)</f>
        <v>37</v>
      </c>
      <c r="T115" s="5">
        <f>VLOOKUP($A115,'NonXtal_SegEnds_Prot#'!$A:$AL,9,FALSE)</f>
        <v>41</v>
      </c>
      <c r="U115" s="5" t="str">
        <f>VLOOKUP($A115,'NonXtal_SegEnds_Prot#'!$A:$AL,12,FALSE)</f>
        <v>-</v>
      </c>
      <c r="V115" s="5">
        <f>VLOOKUP($A115,'NonXtal_SegEnds_Prot#'!$A:$AL,15,FALSE)</f>
        <v>75</v>
      </c>
      <c r="W115" s="5">
        <f>VLOOKUP($A115,'NonXtal_SegEnds_Prot#'!$A:$AL,18,FALSE)</f>
        <v>116</v>
      </c>
      <c r="X115" s="5">
        <f>VLOOKUP($A115,'NonXtal_SegEnds_Prot#'!$A:$AL,21,FALSE)</f>
        <v>125</v>
      </c>
      <c r="Y115" s="5" t="str">
        <f>VLOOKUP($A115,'NonXtal_SegEnds_Prot#'!$A:$AL,24,FALSE)</f>
        <v>-</v>
      </c>
      <c r="Z115" s="5">
        <f>VLOOKUP($A115,'NonXtal_SegEnds_Prot#'!$A:$AL,27,FALSE)</f>
        <v>175</v>
      </c>
      <c r="AA115" s="5">
        <f>VLOOKUP($A115,'NonXtal_SegEnds_Prot#'!$A:$AL,30,FALSE)</f>
        <v>225</v>
      </c>
      <c r="AB115" s="5">
        <f>VLOOKUP($A115,'NonXtal_SegEnds_Prot#'!$A:$AL,33,FALSE)</f>
        <v>263</v>
      </c>
      <c r="AC115" s="5">
        <f>VLOOKUP($A115,'NonXtal_SegEnds_Prot#'!$A:$AL,36,FALSE)</f>
        <v>289</v>
      </c>
      <c r="AD115" s="5">
        <f>VLOOKUP($A115,'NonXtal_SegEnds_Prot#'!$A:$AL,5,FALSE)</f>
        <v>36</v>
      </c>
      <c r="AE115" s="5">
        <f>VLOOKUP($A115,'NonXtal_SegEnds_Prot#'!$A:$AL,8,FALSE)</f>
        <v>40</v>
      </c>
      <c r="AF115" s="5">
        <f>VLOOKUP($A115,'NonXtal_SegEnds_Prot#'!$A:$AL,11,FALSE)</f>
        <v>72</v>
      </c>
      <c r="AG115" s="5" t="str">
        <f>VLOOKUP($A115,'NonXtal_SegEnds_Prot#'!$A:$AL,14,FALSE)</f>
        <v>-</v>
      </c>
      <c r="AH115" s="5">
        <f>VLOOKUP($A115,'NonXtal_SegEnds_Prot#'!$A:$AL,17,FALSE)</f>
        <v>113</v>
      </c>
      <c r="AI115" s="5">
        <f>VLOOKUP($A115,'NonXtal_SegEnds_Prot#'!$A:$AL,20,FALSE)</f>
        <v>123</v>
      </c>
      <c r="AJ115" s="5">
        <f>VLOOKUP($A115,'NonXtal_SegEnds_Prot#'!$A:$AL,23,FALSE)</f>
        <v>150</v>
      </c>
      <c r="AK115" s="5" t="str">
        <f>VLOOKUP($A115,'NonXtal_SegEnds_Prot#'!$A:$AL,26,FALSE)</f>
        <v>-</v>
      </c>
      <c r="AL115" s="5">
        <f>VLOOKUP($A115,'NonXtal_SegEnds_Prot#'!$A:$AL,29,FALSE)</f>
        <v>215</v>
      </c>
      <c r="AM115" s="5">
        <f>VLOOKUP($A115,'NonXtal_SegEnds_Prot#'!$A:$AL,32,FALSE)</f>
        <v>257</v>
      </c>
      <c r="AN115" s="5">
        <f>VLOOKUP($A115,'NonXtal_SegEnds_Prot#'!$A:$AL,35,FALSE)</f>
        <v>288</v>
      </c>
      <c r="AO115" s="5">
        <f>VLOOKUP($A115,'NonXtal_SegEnds_Prot#'!$A:$AL,38,FALSE)</f>
        <v>302</v>
      </c>
      <c r="AP115" s="5">
        <f t="shared" si="38"/>
        <v>30</v>
      </c>
      <c r="AQ115" s="4">
        <f t="shared" si="39"/>
        <v>3</v>
      </c>
      <c r="AR115" s="4">
        <f t="shared" si="40"/>
        <v>31</v>
      </c>
      <c r="AS115" s="4" t="str">
        <f t="shared" si="41"/>
        <v>-</v>
      </c>
      <c r="AT115" s="4">
        <f t="shared" si="42"/>
        <v>38</v>
      </c>
      <c r="AU115" s="4">
        <f t="shared" si="43"/>
        <v>7</v>
      </c>
      <c r="AV115" s="4">
        <f t="shared" si="44"/>
        <v>25</v>
      </c>
      <c r="AW115" s="4" t="str">
        <f t="shared" si="45"/>
        <v>-</v>
      </c>
      <c r="AX115" s="4">
        <f t="shared" si="46"/>
        <v>40</v>
      </c>
      <c r="AY115" s="4">
        <f t="shared" si="47"/>
        <v>32</v>
      </c>
      <c r="AZ115" s="4">
        <f t="shared" si="48"/>
        <v>25</v>
      </c>
      <c r="BA115" s="4">
        <f t="shared" si="49"/>
        <v>13</v>
      </c>
    </row>
    <row r="116" spans="1:53" x14ac:dyDescent="0.2">
      <c r="A116" s="1" t="str">
        <f>'NonXtal_SegEnds_Prot#'!A85</f>
        <v>ta2r9_human</v>
      </c>
      <c r="B116" s="1" t="str">
        <f t="shared" si="25"/>
        <v>EAIYIILIAGELTIGIWGNGFIVLVNCIDWLISLIDIILISLAISRICLLCVISLDGFFMLLFTYGNSVLVSIVNVVWTFANNSSLWFTSCLSIFYLLKIANKINKVMLAILLGSFLISLIISVPKNDSKIPGTFKQLTLNLGVMVPFILCLISFFLLLFSLVRHTKQIPSTEAHMRAIKAVIIFLLLLIVYYPVFLVMTSSGKLVLMIGDIVTVIFPSSHSFILIMGNSKLREAFLKMLRF</v>
      </c>
      <c r="C116" s="72" t="str">
        <f>IF(ISERROR(MATCH(A116,'Xtal_SegEnds_Prot#'!B:B, 0)), "NoXtal", "Xtal")</f>
        <v>NoXtal</v>
      </c>
      <c r="D116" s="4" t="str">
        <f>VLOOKUP(A116,Classification!A:D,2,FALSE)</f>
        <v>T</v>
      </c>
      <c r="E116" s="5" t="str">
        <f>VLOOKUP(A116,Seqs!A:B,2,FALSE)</f>
        <v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v>
      </c>
      <c r="F116" s="5" t="str">
        <f t="shared" si="26"/>
        <v>EAIYIILIAGELTIGIWGNGFIVLVNCIDWL</v>
      </c>
      <c r="G116" s="4" t="str">
        <f t="shared" si="27"/>
        <v>KRRD</v>
      </c>
      <c r="H116" s="4" t="str">
        <f t="shared" si="28"/>
        <v>ISLIDIILISLAISRICLLCVISLDGFFMLLF</v>
      </c>
      <c r="I116" s="4" t="str">
        <f t="shared" si="29"/>
        <v/>
      </c>
      <c r="J116" s="4" t="str">
        <f t="shared" si="30"/>
        <v>TYGNSVLVSIVNVVWTFANNSSLWFTSCLSIFYLLKIAN</v>
      </c>
      <c r="K116" s="4" t="str">
        <f t="shared" si="31"/>
        <v>HPFFFWLK</v>
      </c>
      <c r="L116" s="4" t="str">
        <f t="shared" si="32"/>
        <v>KINKVMLAILLGSFLISLIISVPKND</v>
      </c>
      <c r="M116" s="4" t="str">
        <f t="shared" si="33"/>
        <v/>
      </c>
      <c r="N116" s="4" t="str">
        <f t="shared" si="34"/>
        <v>SKIPGTFKQLTLNLGVMVPFILCLISFFLLLFSLVRHTKQI</v>
      </c>
      <c r="O116" s="4" t="str">
        <f t="shared" si="35"/>
        <v>PSTEAHMRAIKAVIIFLLLLIVYYPVFLVMTSS</v>
      </c>
      <c r="P116" s="4" t="str">
        <f t="shared" si="36"/>
        <v>GKLVLMIGDIVTVIFPSSHSFILIMG</v>
      </c>
      <c r="Q116" s="4" t="str">
        <f t="shared" si="37"/>
        <v>NSKLREAFLKMLRF</v>
      </c>
      <c r="R116" s="5">
        <f>VLOOKUP($A116,'NonXtal_SegEnds_Prot#'!$A:$AL,3,FALSE)</f>
        <v>6</v>
      </c>
      <c r="S116" s="5">
        <f>VLOOKUP($A116,'NonXtal_SegEnds_Prot#'!$A:$AL,6,FALSE)</f>
        <v>37</v>
      </c>
      <c r="T116" s="5">
        <f>VLOOKUP($A116,'NonXtal_SegEnds_Prot#'!$A:$AL,9,FALSE)</f>
        <v>41</v>
      </c>
      <c r="U116" s="5" t="str">
        <f>VLOOKUP($A116,'NonXtal_SegEnds_Prot#'!$A:$AL,12,FALSE)</f>
        <v>-</v>
      </c>
      <c r="V116" s="5">
        <f>VLOOKUP($A116,'NonXtal_SegEnds_Prot#'!$A:$AL,15,FALSE)</f>
        <v>75</v>
      </c>
      <c r="W116" s="5">
        <f>VLOOKUP($A116,'NonXtal_SegEnds_Prot#'!$A:$AL,18,FALSE)</f>
        <v>116</v>
      </c>
      <c r="X116" s="5">
        <f>VLOOKUP($A116,'NonXtal_SegEnds_Prot#'!$A:$AL,21,FALSE)</f>
        <v>125</v>
      </c>
      <c r="Y116" s="5" t="str">
        <f>VLOOKUP($A116,'NonXtal_SegEnds_Prot#'!$A:$AL,24,FALSE)</f>
        <v>-</v>
      </c>
      <c r="Z116" s="5">
        <f>VLOOKUP($A116,'NonXtal_SegEnds_Prot#'!$A:$AL,27,FALSE)</f>
        <v>172</v>
      </c>
      <c r="AA116" s="5">
        <f>VLOOKUP($A116,'NonXtal_SegEnds_Prot#'!$A:$AL,30,FALSE)</f>
        <v>222</v>
      </c>
      <c r="AB116" s="5">
        <f>VLOOKUP($A116,'NonXtal_SegEnds_Prot#'!$A:$AL,33,FALSE)</f>
        <v>260</v>
      </c>
      <c r="AC116" s="5">
        <f>VLOOKUP($A116,'NonXtal_SegEnds_Prot#'!$A:$AL,36,FALSE)</f>
        <v>286</v>
      </c>
      <c r="AD116" s="5">
        <f>VLOOKUP($A116,'NonXtal_SegEnds_Prot#'!$A:$AL,5,FALSE)</f>
        <v>36</v>
      </c>
      <c r="AE116" s="5">
        <f>VLOOKUP($A116,'NonXtal_SegEnds_Prot#'!$A:$AL,8,FALSE)</f>
        <v>40</v>
      </c>
      <c r="AF116" s="5">
        <f>VLOOKUP($A116,'NonXtal_SegEnds_Prot#'!$A:$AL,11,FALSE)</f>
        <v>72</v>
      </c>
      <c r="AG116" s="5" t="str">
        <f>VLOOKUP($A116,'NonXtal_SegEnds_Prot#'!$A:$AL,14,FALSE)</f>
        <v>-</v>
      </c>
      <c r="AH116" s="5">
        <f>VLOOKUP($A116,'NonXtal_SegEnds_Prot#'!$A:$AL,17,FALSE)</f>
        <v>113</v>
      </c>
      <c r="AI116" s="5">
        <f>VLOOKUP($A116,'NonXtal_SegEnds_Prot#'!$A:$AL,20,FALSE)</f>
        <v>123</v>
      </c>
      <c r="AJ116" s="5">
        <f>VLOOKUP($A116,'NonXtal_SegEnds_Prot#'!$A:$AL,23,FALSE)</f>
        <v>150</v>
      </c>
      <c r="AK116" s="5" t="str">
        <f>VLOOKUP($A116,'NonXtal_SegEnds_Prot#'!$A:$AL,26,FALSE)</f>
        <v>-</v>
      </c>
      <c r="AL116" s="5">
        <f>VLOOKUP($A116,'NonXtal_SegEnds_Prot#'!$A:$AL,29,FALSE)</f>
        <v>212</v>
      </c>
      <c r="AM116" s="5">
        <f>VLOOKUP($A116,'NonXtal_SegEnds_Prot#'!$A:$AL,32,FALSE)</f>
        <v>254</v>
      </c>
      <c r="AN116" s="5">
        <f>VLOOKUP($A116,'NonXtal_SegEnds_Prot#'!$A:$AL,35,FALSE)</f>
        <v>285</v>
      </c>
      <c r="AO116" s="5">
        <f>VLOOKUP($A116,'NonXtal_SegEnds_Prot#'!$A:$AL,38,FALSE)</f>
        <v>299</v>
      </c>
      <c r="AP116" s="5">
        <f t="shared" si="38"/>
        <v>30</v>
      </c>
      <c r="AQ116" s="4">
        <f t="shared" si="39"/>
        <v>3</v>
      </c>
      <c r="AR116" s="4">
        <f t="shared" si="40"/>
        <v>31</v>
      </c>
      <c r="AS116" s="4" t="str">
        <f t="shared" si="41"/>
        <v>-</v>
      </c>
      <c r="AT116" s="4">
        <f t="shared" si="42"/>
        <v>38</v>
      </c>
      <c r="AU116" s="4">
        <f t="shared" si="43"/>
        <v>7</v>
      </c>
      <c r="AV116" s="4">
        <f t="shared" si="44"/>
        <v>25</v>
      </c>
      <c r="AW116" s="4" t="str">
        <f t="shared" si="45"/>
        <v>-</v>
      </c>
      <c r="AX116" s="4">
        <f t="shared" si="46"/>
        <v>40</v>
      </c>
      <c r="AY116" s="4">
        <f t="shared" si="47"/>
        <v>32</v>
      </c>
      <c r="AZ116" s="4">
        <f t="shared" si="48"/>
        <v>25</v>
      </c>
      <c r="BA116" s="4">
        <f t="shared" si="49"/>
        <v>13</v>
      </c>
    </row>
    <row r="117" spans="1:53" x14ac:dyDescent="0.2">
      <c r="A117" s="1" t="str">
        <f>'NonXtal_SegEnds_Prot#'!A86</f>
        <v>lgr4_human</v>
      </c>
      <c r="B117" s="1" t="str">
        <f t="shared" si="25"/>
        <v>LGSWMIRLTVWFIFLVALFFNLLVILTTFASPSSKLFIGLISVSNLFMGIYTGILTFLDAVSWWETGSGCKVAGFLAVFSSESAIFLLMLATVERSLSAKDLKQFRVAALLAFLGATVAGCFPLFHRTPSLGFTVTLVLLNSLAFLLMAVIYTKLYCNLEKNSQSSMIKHVAWLIFTNCIFFCPVAFFSFAPLITPEIMKSVTLIFFPLPACLNPVLYVFFNPKFKEDWKLLKRRV</v>
      </c>
      <c r="C117" s="72" t="str">
        <f>IF(ISERROR(MATCH(A117,'Xtal_SegEnds_Prot#'!B:B,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17" s="5" t="str">
        <f t="shared" si="26"/>
        <v>LGSWMIRLTVWFIFLVALFFNLLVILTTFAS</v>
      </c>
      <c r="G117" s="4" t="str">
        <f t="shared" si="27"/>
        <v/>
      </c>
      <c r="H117" s="4" t="str">
        <f t="shared" si="28"/>
        <v>PSSKLFIGLISVSNLFMGIYTGILTFLDAVS</v>
      </c>
      <c r="I117" s="4" t="str">
        <f t="shared" si="29"/>
        <v/>
      </c>
      <c r="J117" s="4" t="str">
        <f t="shared" si="30"/>
        <v>WWETGSGCKVAGFLAVFSSESAIFLLMLATVERSLSAKD</v>
      </c>
      <c r="K117" s="4" t="str">
        <f t="shared" si="31"/>
        <v>IMKNGKSN</v>
      </c>
      <c r="L117" s="4" t="str">
        <f t="shared" si="32"/>
        <v>LKQFRVAALLAFLGATVAGCFPLFHR</v>
      </c>
      <c r="M117" s="4" t="str">
        <f t="shared" si="33"/>
        <v>CLP</v>
      </c>
      <c r="N117" s="4" t="str">
        <f t="shared" si="34"/>
        <v>TPSLGFTVTLVLLNSLAFLLMAVIYTKLYCNLEK</v>
      </c>
      <c r="O117" s="4" t="str">
        <f t="shared" si="35"/>
        <v>NSQSSMIKHVAWLIFTNCIFFCPVAFFSFAPLIT</v>
      </c>
      <c r="P117" s="4" t="str">
        <f t="shared" si="36"/>
        <v>PEIMKSVTLIFFPLPACLNPVLYVFF</v>
      </c>
      <c r="Q117" s="4" t="str">
        <f t="shared" si="37"/>
        <v>NPKFKEDWKLLKRRV</v>
      </c>
      <c r="R117" s="5">
        <f>VLOOKUP($A117,'NonXtal_SegEnds_Prot#'!$A:$AL,3,FALSE)</f>
        <v>536</v>
      </c>
      <c r="S117" s="5" t="str">
        <f>VLOOKUP($A117,'NonXtal_SegEnds_Prot#'!$A:$AL,6,FALSE)</f>
        <v>-</v>
      </c>
      <c r="T117" s="5">
        <f>VLOOKUP($A117,'NonXtal_SegEnds_Prot#'!$A:$AL,9,FALSE)</f>
        <v>571</v>
      </c>
      <c r="U117" s="5" t="str">
        <f>VLOOKUP($A117,'NonXtal_SegEnds_Prot#'!$A:$AL,12,FALSE)</f>
        <v>-</v>
      </c>
      <c r="V117" s="5">
        <f>VLOOKUP($A117,'NonXtal_SegEnds_Prot#'!$A:$AL,15,FALSE)</f>
        <v>611</v>
      </c>
      <c r="W117" s="5">
        <f>VLOOKUP($A117,'NonXtal_SegEnds_Prot#'!$A:$AL,18,FALSE)</f>
        <v>650</v>
      </c>
      <c r="X117" s="5">
        <f>VLOOKUP($A117,'NonXtal_SegEnds_Prot#'!$A:$AL,21,FALSE)</f>
        <v>659</v>
      </c>
      <c r="Y117" s="5">
        <f>VLOOKUP($A117,'NonXtal_SegEnds_Prot#'!$A:$AL,24,FALSE)</f>
        <v>693</v>
      </c>
      <c r="Z117" s="5">
        <f>VLOOKUP($A117,'NonXtal_SegEnds_Prot#'!$A:$AL,27,FALSE)</f>
        <v>701</v>
      </c>
      <c r="AA117" s="5">
        <f>VLOOKUP($A117,'NonXtal_SegEnds_Prot#'!$A:$AL,30,FALSE)</f>
        <v>740</v>
      </c>
      <c r="AB117" s="5">
        <f>VLOOKUP($A117,'NonXtal_SegEnds_Prot#'!$A:$AL,33,FALSE)</f>
        <v>779</v>
      </c>
      <c r="AC117" s="5">
        <f>VLOOKUP($A117,'NonXtal_SegEnds_Prot#'!$A:$AL,36,FALSE)</f>
        <v>805</v>
      </c>
      <c r="AD117" s="5">
        <f>VLOOKUP($A117,'NonXtal_SegEnds_Prot#'!$A:$AL,5,FALSE)</f>
        <v>566</v>
      </c>
      <c r="AE117" s="5" t="str">
        <f>VLOOKUP($A117,'NonXtal_SegEnds_Prot#'!$A:$AL,8,FALSE)</f>
        <v>-</v>
      </c>
      <c r="AF117" s="5">
        <f>VLOOKUP($A117,'NonXtal_SegEnds_Prot#'!$A:$AL,11,FALSE)</f>
        <v>601</v>
      </c>
      <c r="AG117" s="5" t="str">
        <f>VLOOKUP($A117,'NonXtal_SegEnds_Prot#'!$A:$AL,14,FALSE)</f>
        <v>-</v>
      </c>
      <c r="AH117" s="5">
        <f>VLOOKUP($A117,'NonXtal_SegEnds_Prot#'!$A:$AL,17,FALSE)</f>
        <v>649</v>
      </c>
      <c r="AI117" s="5">
        <f>VLOOKUP($A117,'NonXtal_SegEnds_Prot#'!$A:$AL,20,FALSE)</f>
        <v>657</v>
      </c>
      <c r="AJ117" s="5">
        <f>VLOOKUP($A117,'NonXtal_SegEnds_Prot#'!$A:$AL,23,FALSE)</f>
        <v>684</v>
      </c>
      <c r="AK117" s="5">
        <f>VLOOKUP($A117,'NonXtal_SegEnds_Prot#'!$A:$AL,26,FALSE)</f>
        <v>695</v>
      </c>
      <c r="AL117" s="5">
        <f>VLOOKUP($A117,'NonXtal_SegEnds_Prot#'!$A:$AL,29,FALSE)</f>
        <v>734</v>
      </c>
      <c r="AM117" s="5">
        <f>VLOOKUP($A117,'NonXtal_SegEnds_Prot#'!$A:$AL,32,FALSE)</f>
        <v>773</v>
      </c>
      <c r="AN117" s="5">
        <f>VLOOKUP($A117,'NonXtal_SegEnds_Prot#'!$A:$AL,35,FALSE)</f>
        <v>804</v>
      </c>
      <c r="AO117" s="5">
        <f>VLOOKUP($A117,'NonXtal_SegEnds_Prot#'!$A:$AL,38,FALSE)</f>
        <v>819</v>
      </c>
      <c r="AP117" s="5">
        <f t="shared" si="38"/>
        <v>30</v>
      </c>
      <c r="AQ117" s="4" t="str">
        <f t="shared" si="39"/>
        <v>-</v>
      </c>
      <c r="AR117" s="4">
        <f t="shared" si="40"/>
        <v>30</v>
      </c>
      <c r="AS117" s="4" t="str">
        <f t="shared" si="41"/>
        <v>-</v>
      </c>
      <c r="AT117" s="4">
        <f t="shared" si="42"/>
        <v>38</v>
      </c>
      <c r="AU117" s="4">
        <f t="shared" si="43"/>
        <v>7</v>
      </c>
      <c r="AV117" s="4">
        <f t="shared" si="44"/>
        <v>25</v>
      </c>
      <c r="AW117" s="4">
        <f t="shared" si="45"/>
        <v>2</v>
      </c>
      <c r="AX117" s="4">
        <f t="shared" si="46"/>
        <v>33</v>
      </c>
      <c r="AY117" s="4">
        <f t="shared" si="47"/>
        <v>33</v>
      </c>
      <c r="AZ117" s="4">
        <f t="shared" si="48"/>
        <v>25</v>
      </c>
      <c r="BA117" s="4">
        <f t="shared" si="49"/>
        <v>14</v>
      </c>
    </row>
    <row r="118" spans="1:53" x14ac:dyDescent="0.2">
      <c r="A118" s="1" t="str">
        <f>'NonXtal_SegEnds_Prot#'!A87</f>
        <v>rl3r1_human</v>
      </c>
      <c r="B118" s="1" t="str">
        <f t="shared" si="25"/>
        <v>RVRILISVVYWVVCALGLAGNLLVLYLMKSMKSSINLFVTNLALTDFQFVLTLPFWAVENALGKAMCKIVSMVTSMNMYASVFFLTAMSVTRYHSVASCFSAKALCVWIWALAALASLPSAIFSWLGLYHSQKVLLGFVLPLGIIILCYLLLVRFIADRRAAGTKRPTGASARRLSKVTKSVTIVVLSFFLCWLPNQALTTWSILIKFNSQEYFLCQVYAFPVSVCLAHSNSCLNPVLYCLVRREFRKALKSLLWRI</v>
      </c>
      <c r="C118" s="72" t="str">
        <f>IF(ISERROR(MATCH(A118,'Xtal_SegEnds_Prot#'!B:B,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118" s="5" t="str">
        <f t="shared" si="26"/>
        <v>RVRILISVVYWVVCALGLAGNLLVLYLMKSM</v>
      </c>
      <c r="G118" s="4" t="str">
        <f t="shared" si="27"/>
        <v>QGWR</v>
      </c>
      <c r="H118" s="4" t="str">
        <f t="shared" si="28"/>
        <v>KSSINLFVTNLALTDFQFVLTLPFWAVENAL</v>
      </c>
      <c r="I118" s="4" t="str">
        <f t="shared" si="29"/>
        <v>KWPF</v>
      </c>
      <c r="J118" s="4" t="str">
        <f t="shared" si="30"/>
        <v>GKAMCKIVSMVTSMNMYASVFFLTAMSVTRYHSVAS</v>
      </c>
      <c r="K118" s="4" t="str">
        <f t="shared" si="31"/>
        <v/>
      </c>
      <c r="L118" s="4" t="str">
        <f t="shared" si="32"/>
        <v>CFSAKALCVWIWALAALASLPSAIFS</v>
      </c>
      <c r="M118" s="4" t="str">
        <f t="shared" si="33"/>
        <v>CLV</v>
      </c>
      <c r="N118" s="4" t="str">
        <f t="shared" si="34"/>
        <v>WLGLYHSQKVLLGFVLPLGIIILCYLLLVRFIADRRAAGTK</v>
      </c>
      <c r="O118" s="4" t="str">
        <f t="shared" si="35"/>
        <v>RPTGASARRLSKVTKSVTIVVLSFFLCWLPNQALTTWSILIKFN</v>
      </c>
      <c r="P118" s="4" t="str">
        <f t="shared" si="36"/>
        <v>SQEYFLCQVYAFPVSVCLAHSNSCLNPVLYCLV</v>
      </c>
      <c r="Q118" s="4" t="str">
        <f t="shared" si="37"/>
        <v>RREFRKALKSLLWRI</v>
      </c>
      <c r="R118" s="5">
        <f>VLOOKUP($A118,'NonXtal_SegEnds_Prot#'!$A:$AL,3,FALSE)</f>
        <v>79</v>
      </c>
      <c r="S118" s="5">
        <f>VLOOKUP($A118,'NonXtal_SegEnds_Prot#'!$A:$AL,6,FALSE)</f>
        <v>110</v>
      </c>
      <c r="T118" s="5">
        <f>VLOOKUP($A118,'NonXtal_SegEnds_Prot#'!$A:$AL,9,FALSE)</f>
        <v>114</v>
      </c>
      <c r="U118" s="5">
        <f>VLOOKUP($A118,'NonXtal_SegEnds_Prot#'!$A:$AL,12,FALSE)</f>
        <v>147</v>
      </c>
      <c r="V118" s="5">
        <f>VLOOKUP($A118,'NonXtal_SegEnds_Prot#'!$A:$AL,15,FALSE)</f>
        <v>151</v>
      </c>
      <c r="W118" s="5" t="str">
        <f>VLOOKUP($A118,'NonXtal_SegEnds_Prot#'!$A:$AL,18,FALSE)</f>
        <v>-</v>
      </c>
      <c r="X118" s="5">
        <f>VLOOKUP($A118,'NonXtal_SegEnds_Prot#'!$A:$AL,21,FALSE)</f>
        <v>211</v>
      </c>
      <c r="Y118" s="5">
        <f>VLOOKUP($A118,'NonXtal_SegEnds_Prot#'!$A:$AL,24,FALSE)</f>
        <v>247</v>
      </c>
      <c r="Z118" s="5">
        <f>VLOOKUP($A118,'NonXtal_SegEnds_Prot#'!$A:$AL,27,FALSE)</f>
        <v>263</v>
      </c>
      <c r="AA118" s="5">
        <f>VLOOKUP($A118,'NonXtal_SegEnds_Prot#'!$A:$AL,30,FALSE)</f>
        <v>312</v>
      </c>
      <c r="AB118" s="5">
        <f>VLOOKUP($A118,'NonXtal_SegEnds_Prot#'!$A:$AL,33,FALSE)</f>
        <v>360</v>
      </c>
      <c r="AC118" s="5">
        <f>VLOOKUP($A118,'NonXtal_SegEnds_Prot#'!$A:$AL,36,FALSE)</f>
        <v>393</v>
      </c>
      <c r="AD118" s="5">
        <f>VLOOKUP($A118,'NonXtal_SegEnds_Prot#'!$A:$AL,5,FALSE)</f>
        <v>109</v>
      </c>
      <c r="AE118" s="5">
        <f>VLOOKUP($A118,'NonXtal_SegEnds_Prot#'!$A:$AL,8,FALSE)</f>
        <v>113</v>
      </c>
      <c r="AF118" s="5">
        <f>VLOOKUP($A118,'NonXtal_SegEnds_Prot#'!$A:$AL,11,FALSE)</f>
        <v>144</v>
      </c>
      <c r="AG118" s="5">
        <f>VLOOKUP($A118,'NonXtal_SegEnds_Prot#'!$A:$AL,14,FALSE)</f>
        <v>150</v>
      </c>
      <c r="AH118" s="5">
        <f>VLOOKUP($A118,'NonXtal_SegEnds_Prot#'!$A:$AL,17,FALSE)</f>
        <v>186</v>
      </c>
      <c r="AI118" s="5" t="str">
        <f>VLOOKUP($A118,'NonXtal_SegEnds_Prot#'!$A:$AL,20,FALSE)</f>
        <v>-</v>
      </c>
      <c r="AJ118" s="5">
        <f>VLOOKUP($A118,'NonXtal_SegEnds_Prot#'!$A:$AL,23,FALSE)</f>
        <v>236</v>
      </c>
      <c r="AK118" s="5">
        <f>VLOOKUP($A118,'NonXtal_SegEnds_Prot#'!$A:$AL,26,FALSE)</f>
        <v>249</v>
      </c>
      <c r="AL118" s="5">
        <f>VLOOKUP($A118,'NonXtal_SegEnds_Prot#'!$A:$AL,29,FALSE)</f>
        <v>303</v>
      </c>
      <c r="AM118" s="5">
        <f>VLOOKUP($A118,'NonXtal_SegEnds_Prot#'!$A:$AL,32,FALSE)</f>
        <v>355</v>
      </c>
      <c r="AN118" s="5">
        <f>VLOOKUP($A118,'NonXtal_SegEnds_Prot#'!$A:$AL,35,FALSE)</f>
        <v>392</v>
      </c>
      <c r="AO118" s="5">
        <f>VLOOKUP($A118,'NonXtal_SegEnds_Prot#'!$A:$AL,38,FALSE)</f>
        <v>407</v>
      </c>
      <c r="AP118" s="5">
        <f t="shared" si="38"/>
        <v>30</v>
      </c>
      <c r="AQ118" s="4">
        <f t="shared" si="39"/>
        <v>3</v>
      </c>
      <c r="AR118" s="4">
        <f t="shared" si="40"/>
        <v>30</v>
      </c>
      <c r="AS118" s="4">
        <f t="shared" si="41"/>
        <v>3</v>
      </c>
      <c r="AT118" s="4">
        <f t="shared" si="42"/>
        <v>35</v>
      </c>
      <c r="AU118" s="4" t="str">
        <f t="shared" si="43"/>
        <v>-</v>
      </c>
      <c r="AV118" s="4">
        <f t="shared" si="44"/>
        <v>25</v>
      </c>
      <c r="AW118" s="4">
        <f t="shared" si="45"/>
        <v>2</v>
      </c>
      <c r="AX118" s="4">
        <f t="shared" si="46"/>
        <v>40</v>
      </c>
      <c r="AY118" s="4">
        <f t="shared" si="47"/>
        <v>43</v>
      </c>
      <c r="AZ118" s="4">
        <f t="shared" si="48"/>
        <v>32</v>
      </c>
      <c r="BA118" s="4">
        <f t="shared" si="49"/>
        <v>14</v>
      </c>
    </row>
    <row r="119" spans="1:53" x14ac:dyDescent="0.2">
      <c r="A119" s="1" t="str">
        <f>'NonXtal_SegEnds_Prot#'!A88</f>
        <v>bkrb2_human</v>
      </c>
      <c r="B119" s="1" t="str">
        <f t="shared" si="25"/>
        <v>WLNTIQPPFLWVLFVLATLENIFVLSVFCLHTVAEIYLGNLAAADLILACGLPFWAITISNGETLCRVVNAIISMNLYSSICFLMLVSIDRYLALVKVRWAKLYSLVIWGCTLLLSSPMLVFRWEVFTNMLLNVVGFLLPLSVITFCTMQIMQVLRNNQTERRATVLVLVVLLLFIICWLPFQISTFLDTLHRLGSCQDERIIDVITQIASFMAYSNSCLNPLVYVIVGKRFRKKSWEVYQGV</v>
      </c>
      <c r="C119" s="72" t="str">
        <f>IF(ISERROR(MATCH(A119,'Xtal_SegEnds_Prot#'!B:B, 0)), "NoXtal", "Xtal")</f>
        <v>NoXtal</v>
      </c>
      <c r="D119" s="4" t="str">
        <f>VLOOKUP(A119,Classification!A:D,2,FALSE)</f>
        <v>A</v>
      </c>
      <c r="E119" s="5" t="str">
        <f>VLOOKUP(A119,Seqs!A:B,2,FALSE)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19" s="5" t="str">
        <f t="shared" si="26"/>
        <v>WLNTIQPPFLWVLFVLATLENIFVLSVFCLH</v>
      </c>
      <c r="G119" s="4" t="str">
        <f t="shared" si="27"/>
        <v>KSSC</v>
      </c>
      <c r="H119" s="4" t="str">
        <f t="shared" si="28"/>
        <v>TVAEIYLGNLAAADLILACGLPFWAITISN</v>
      </c>
      <c r="I119" s="4" t="str">
        <f t="shared" si="29"/>
        <v>DWLF</v>
      </c>
      <c r="J119" s="4" t="str">
        <f t="shared" si="30"/>
        <v>GETLCRVVNAIISMNLYSSICFLMLVSIDRYLALVK</v>
      </c>
      <c r="K119" s="4" t="str">
        <f t="shared" si="31"/>
        <v>TMSMGRMR</v>
      </c>
      <c r="L119" s="4" t="str">
        <f t="shared" si="32"/>
        <v>VRWAKLYSLVIWGCTLLLSSPMLVFR</v>
      </c>
      <c r="M119" s="4" t="str">
        <f t="shared" si="33"/>
        <v>CVI</v>
      </c>
      <c r="N119" s="4" t="str">
        <f t="shared" si="34"/>
        <v>WEVFTNMLLNVVGFLLPLSVITFCTMQIMQVLRNN</v>
      </c>
      <c r="O119" s="4" t="str">
        <f t="shared" si="35"/>
        <v>QTERRATVLVLVVLLLFIICWLPFQISTFLDTLHRLG</v>
      </c>
      <c r="P119" s="4" t="str">
        <f t="shared" si="36"/>
        <v>SCQDERIIDVITQIASFMAYSNSCLNPLVYVIV</v>
      </c>
      <c r="Q119" s="4" t="str">
        <f t="shared" si="37"/>
        <v>GKRFRKKSWEVYQGV</v>
      </c>
      <c r="R119" s="5">
        <f>VLOOKUP($A119,'NonXtal_SegEnds_Prot#'!$A:$AL,3,FALSE)</f>
        <v>55</v>
      </c>
      <c r="S119" s="5">
        <f>VLOOKUP($A119,'NonXtal_SegEnds_Prot#'!$A:$AL,6,FALSE)</f>
        <v>86</v>
      </c>
      <c r="T119" s="5">
        <f>VLOOKUP($A119,'NonXtal_SegEnds_Prot#'!$A:$AL,9,FALSE)</f>
        <v>90</v>
      </c>
      <c r="U119" s="5">
        <f>VLOOKUP($A119,'NonXtal_SegEnds_Prot#'!$A:$AL,12,FALSE)</f>
        <v>122</v>
      </c>
      <c r="V119" s="5">
        <f>VLOOKUP($A119,'NonXtal_SegEnds_Prot#'!$A:$AL,15,FALSE)</f>
        <v>126</v>
      </c>
      <c r="W119" s="5">
        <f>VLOOKUP($A119,'NonXtal_SegEnds_Prot#'!$A:$AL,18,FALSE)</f>
        <v>162</v>
      </c>
      <c r="X119" s="5">
        <f>VLOOKUP($A119,'NonXtal_SegEnds_Prot#'!$A:$AL,21,FALSE)</f>
        <v>171</v>
      </c>
      <c r="Y119" s="5">
        <f>VLOOKUP($A119,'NonXtal_SegEnds_Prot#'!$A:$AL,24,FALSE)</f>
        <v>211</v>
      </c>
      <c r="Z119" s="5">
        <f>VLOOKUP($A119,'NonXtal_SegEnds_Prot#'!$A:$AL,27,FALSE)</f>
        <v>220</v>
      </c>
      <c r="AA119" s="5">
        <f>VLOOKUP($A119,'NonXtal_SegEnds_Prot#'!$A:$AL,30,FALSE)</f>
        <v>263</v>
      </c>
      <c r="AB119" s="5">
        <f>VLOOKUP($A119,'NonXtal_SegEnds_Prot#'!$A:$AL,33,FALSE)</f>
        <v>303</v>
      </c>
      <c r="AC119" s="5">
        <f>VLOOKUP($A119,'NonXtal_SegEnds_Prot#'!$A:$AL,36,FALSE)</f>
        <v>336</v>
      </c>
      <c r="AD119" s="5">
        <f>VLOOKUP($A119,'NonXtal_SegEnds_Prot#'!$A:$AL,5,FALSE)</f>
        <v>85</v>
      </c>
      <c r="AE119" s="5">
        <f>VLOOKUP($A119,'NonXtal_SegEnds_Prot#'!$A:$AL,8,FALSE)</f>
        <v>89</v>
      </c>
      <c r="AF119" s="5">
        <f>VLOOKUP($A119,'NonXtal_SegEnds_Prot#'!$A:$AL,11,FALSE)</f>
        <v>119</v>
      </c>
      <c r="AG119" s="5">
        <f>VLOOKUP($A119,'NonXtal_SegEnds_Prot#'!$A:$AL,14,FALSE)</f>
        <v>125</v>
      </c>
      <c r="AH119" s="5">
        <f>VLOOKUP($A119,'NonXtal_SegEnds_Prot#'!$A:$AL,17,FALSE)</f>
        <v>161</v>
      </c>
      <c r="AI119" s="5">
        <f>VLOOKUP($A119,'NonXtal_SegEnds_Prot#'!$A:$AL,20,FALSE)</f>
        <v>169</v>
      </c>
      <c r="AJ119" s="5">
        <f>VLOOKUP($A119,'NonXtal_SegEnds_Prot#'!$A:$AL,23,FALSE)</f>
        <v>196</v>
      </c>
      <c r="AK119" s="5">
        <f>VLOOKUP($A119,'NonXtal_SegEnds_Prot#'!$A:$AL,26,FALSE)</f>
        <v>213</v>
      </c>
      <c r="AL119" s="5">
        <f>VLOOKUP($A119,'NonXtal_SegEnds_Prot#'!$A:$AL,29,FALSE)</f>
        <v>254</v>
      </c>
      <c r="AM119" s="5">
        <f>VLOOKUP($A119,'NonXtal_SegEnds_Prot#'!$A:$AL,32,FALSE)</f>
        <v>299</v>
      </c>
      <c r="AN119" s="5">
        <f>VLOOKUP($A119,'NonXtal_SegEnds_Prot#'!$A:$AL,35,FALSE)</f>
        <v>335</v>
      </c>
      <c r="AO119" s="5">
        <f>VLOOKUP($A119,'NonXtal_SegEnds_Prot#'!$A:$AL,38,FALSE)</f>
        <v>350</v>
      </c>
      <c r="AP119" s="5">
        <f t="shared" si="38"/>
        <v>30</v>
      </c>
      <c r="AQ119" s="4">
        <f t="shared" si="39"/>
        <v>3</v>
      </c>
      <c r="AR119" s="4">
        <f t="shared" si="40"/>
        <v>29</v>
      </c>
      <c r="AS119" s="4">
        <f t="shared" si="41"/>
        <v>3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>
        <f t="shared" si="45"/>
        <v>2</v>
      </c>
      <c r="AX119" s="4">
        <f t="shared" si="46"/>
        <v>34</v>
      </c>
      <c r="AY119" s="4">
        <f t="shared" si="47"/>
        <v>36</v>
      </c>
      <c r="AZ119" s="4">
        <f t="shared" si="48"/>
        <v>32</v>
      </c>
      <c r="BA119" s="4">
        <f t="shared" si="49"/>
        <v>14</v>
      </c>
    </row>
    <row r="120" spans="1:53" x14ac:dyDescent="0.2">
      <c r="A120" s="1" t="str">
        <f>'NonXtal_SegEnds_Prot#'!A89</f>
        <v>gper1_human</v>
      </c>
      <c r="B120" s="1" t="str">
        <f t="shared" si="25"/>
        <v>IGLFLSCLYTIFLFPIGFVGNILILVVNISFTIPDLYFINLAVADLILVADSLIEVFNLHEAVLCTFMSLFLQVNMYSSVFFLTWMSFDRYIALARKHHARLSCGLIWMASVSATLVPFTAVDVREVQWLEVTLGFIVPFAIIGLCYSLIVRVLVRAPRRQKALRMILAVVLVFFVCWLPENVFISVHLLQRTQKQSFRHAHPLTGHIVNLAAFSNSCLNPLIYSFLGETFRDKLRLYIEQK</v>
      </c>
      <c r="C120" s="72" t="str">
        <f>IF(ISERROR(MATCH(A120,'Xtal_SegEnds_Prot#'!B:B,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20" s="5" t="str">
        <f t="shared" si="26"/>
        <v>IGLFLSCLYTIFLFPIGFVGNILILVVNISF</v>
      </c>
      <c r="G120" s="4" t="str">
        <f t="shared" si="27"/>
        <v>REKM</v>
      </c>
      <c r="H120" s="4" t="str">
        <f t="shared" si="28"/>
        <v>TIPDLYFINLAVADLILVADSLIEVFNLHE</v>
      </c>
      <c r="I120" s="4" t="str">
        <f t="shared" si="29"/>
        <v>YYDI</v>
      </c>
      <c r="J120" s="4" t="str">
        <f t="shared" si="30"/>
        <v>AVLCTFMSLFLQVNMYSSVFFLTWMSFDRYIALAR</v>
      </c>
      <c r="K120" s="4" t="str">
        <f t="shared" si="31"/>
        <v>AMRCSLFR</v>
      </c>
      <c r="L120" s="4" t="str">
        <f t="shared" si="32"/>
        <v>KHHARLSCGLIWMASVSATLVPFTAV</v>
      </c>
      <c r="M120" s="4" t="str">
        <f t="shared" si="33"/>
        <v>CFC</v>
      </c>
      <c r="N120" s="4" t="str">
        <f t="shared" si="34"/>
        <v>DVREVQWLEVTLGFIVPFAIIGLCYSLIVRVLVRA</v>
      </c>
      <c r="O120" s="4" t="str">
        <f t="shared" si="35"/>
        <v>PRRQKALRMILAVVLVFFVCWLPENVFISVHLLQRTQ</v>
      </c>
      <c r="P120" s="4" t="str">
        <f t="shared" si="36"/>
        <v>KQSFRHAHPLTGHIVNLAAFSNSCLNPLIYSFL</v>
      </c>
      <c r="Q120" s="4" t="str">
        <f t="shared" si="37"/>
        <v>GETFRDKLRLYIEQK</v>
      </c>
      <c r="R120" s="5">
        <f>VLOOKUP($A120,'NonXtal_SegEnds_Prot#'!$A:$AL,3,FALSE)</f>
        <v>57</v>
      </c>
      <c r="S120" s="5">
        <f>VLOOKUP($A120,'NonXtal_SegEnds_Prot#'!$A:$AL,6,FALSE)</f>
        <v>88</v>
      </c>
      <c r="T120" s="5">
        <f>VLOOKUP($A120,'NonXtal_SegEnds_Prot#'!$A:$AL,9,FALSE)</f>
        <v>92</v>
      </c>
      <c r="U120" s="5">
        <f>VLOOKUP($A120,'NonXtal_SegEnds_Prot#'!$A:$AL,12,FALSE)</f>
        <v>123</v>
      </c>
      <c r="V120" s="5">
        <f>VLOOKUP($A120,'NonXtal_SegEnds_Prot#'!$A:$AL,15,FALSE)</f>
        <v>127</v>
      </c>
      <c r="W120" s="5">
        <f>VLOOKUP($A120,'NonXtal_SegEnds_Prot#'!$A:$AL,18,FALSE)</f>
        <v>162</v>
      </c>
      <c r="X120" s="5">
        <f>VLOOKUP($A120,'NonXtal_SegEnds_Prot#'!$A:$AL,21,FALSE)</f>
        <v>171</v>
      </c>
      <c r="Y120" s="5">
        <f>VLOOKUP($A120,'NonXtal_SegEnds_Prot#'!$A:$AL,24,FALSE)</f>
        <v>205</v>
      </c>
      <c r="Z120" s="5">
        <f>VLOOKUP($A120,'NonXtal_SegEnds_Prot#'!$A:$AL,27,FALSE)</f>
        <v>210</v>
      </c>
      <c r="AA120" s="5">
        <f>VLOOKUP($A120,'NonXtal_SegEnds_Prot#'!$A:$AL,30,FALSE)</f>
        <v>252</v>
      </c>
      <c r="AB120" s="5">
        <f>VLOOKUP($A120,'NonXtal_SegEnds_Prot#'!$A:$AL,33,FALSE)</f>
        <v>295</v>
      </c>
      <c r="AC120" s="5">
        <f>VLOOKUP($A120,'NonXtal_SegEnds_Prot#'!$A:$AL,36,FALSE)</f>
        <v>328</v>
      </c>
      <c r="AD120" s="5">
        <f>VLOOKUP($A120,'NonXtal_SegEnds_Prot#'!$A:$AL,5,FALSE)</f>
        <v>87</v>
      </c>
      <c r="AE120" s="5">
        <f>VLOOKUP($A120,'NonXtal_SegEnds_Prot#'!$A:$AL,8,FALSE)</f>
        <v>91</v>
      </c>
      <c r="AF120" s="5">
        <f>VLOOKUP($A120,'NonXtal_SegEnds_Prot#'!$A:$AL,11,FALSE)</f>
        <v>121</v>
      </c>
      <c r="AG120" s="5">
        <f>VLOOKUP($A120,'NonXtal_SegEnds_Prot#'!$A:$AL,14,FALSE)</f>
        <v>126</v>
      </c>
      <c r="AH120" s="5">
        <f>VLOOKUP($A120,'NonXtal_SegEnds_Prot#'!$A:$AL,17,FALSE)</f>
        <v>161</v>
      </c>
      <c r="AI120" s="5">
        <f>VLOOKUP($A120,'NonXtal_SegEnds_Prot#'!$A:$AL,20,FALSE)</f>
        <v>169</v>
      </c>
      <c r="AJ120" s="5">
        <f>VLOOKUP($A120,'NonXtal_SegEnds_Prot#'!$A:$AL,23,FALSE)</f>
        <v>196</v>
      </c>
      <c r="AK120" s="5">
        <f>VLOOKUP($A120,'NonXtal_SegEnds_Prot#'!$A:$AL,26,FALSE)</f>
        <v>207</v>
      </c>
      <c r="AL120" s="5">
        <f>VLOOKUP($A120,'NonXtal_SegEnds_Prot#'!$A:$AL,29,FALSE)</f>
        <v>244</v>
      </c>
      <c r="AM120" s="5">
        <f>VLOOKUP($A120,'NonXtal_SegEnds_Prot#'!$A:$AL,32,FALSE)</f>
        <v>288</v>
      </c>
      <c r="AN120" s="5">
        <f>VLOOKUP($A120,'NonXtal_SegEnds_Prot#'!$A:$AL,35,FALSE)</f>
        <v>327</v>
      </c>
      <c r="AO120" s="5">
        <f>VLOOKUP($A120,'NonXtal_SegEnds_Prot#'!$A:$AL,38,FALSE)</f>
        <v>342</v>
      </c>
      <c r="AP120" s="5">
        <f t="shared" si="38"/>
        <v>30</v>
      </c>
      <c r="AQ120" s="4">
        <f t="shared" si="39"/>
        <v>3</v>
      </c>
      <c r="AR120" s="4">
        <f t="shared" si="40"/>
        <v>29</v>
      </c>
      <c r="AS120" s="4">
        <f t="shared" si="41"/>
        <v>3</v>
      </c>
      <c r="AT120" s="4">
        <f t="shared" si="42"/>
        <v>34</v>
      </c>
      <c r="AU120" s="4">
        <f t="shared" si="43"/>
        <v>7</v>
      </c>
      <c r="AV120" s="4">
        <f t="shared" si="44"/>
        <v>25</v>
      </c>
      <c r="AW120" s="4">
        <f t="shared" si="45"/>
        <v>2</v>
      </c>
      <c r="AX120" s="4">
        <f t="shared" si="46"/>
        <v>34</v>
      </c>
      <c r="AY120" s="4">
        <f t="shared" si="47"/>
        <v>36</v>
      </c>
      <c r="AZ120" s="4">
        <f t="shared" si="48"/>
        <v>32</v>
      </c>
      <c r="BA120" s="4">
        <f t="shared" si="49"/>
        <v>14</v>
      </c>
    </row>
    <row r="121" spans="1:53" x14ac:dyDescent="0.2">
      <c r="A121" s="1" t="str">
        <f>'NonXtal_SegEnds_Prot#'!A90</f>
        <v>gp182_human</v>
      </c>
      <c r="B121" s="1" t="str">
        <f t="shared" si="25"/>
        <v>TKRVVLFALYLAMFVVGLVENLLVICVNWRGGLMNLYILNMAIADLGIVLSLPVWMLEVTLGSFSCRFTHYFYFVNMYSSIFFLVCLSVDRYVTLTSHRVRRAMCAGIWVLSAIIPLPEVVHIWALAVALSTTILGFLLPFPLITVFNVLTACRLRQPSRRHCLLLCAYVAVFVMCWLPYHVTLLLLTLHGTHHCHLVHLLYFFYDVIDCFSMLHCVINPILYNFLSPHFRGRLLNAVVHY</v>
      </c>
      <c r="C121" s="72" t="str">
        <f>IF(ISERROR(MATCH(A121,'Xtal_SegEnds_Prot#'!B:B,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21" s="5" t="str">
        <f t="shared" si="26"/>
        <v>TKRVVLFALYLAMFVVGLVENLLVICVNWRG</v>
      </c>
      <c r="G121" s="4" t="str">
        <f t="shared" si="27"/>
        <v>SGRA</v>
      </c>
      <c r="H121" s="4" t="str">
        <f t="shared" si="28"/>
        <v>GLMNLYILNMAIADLGIVLSLPVWMLEVTL</v>
      </c>
      <c r="I121" s="4" t="str">
        <f t="shared" si="29"/>
        <v>TWLW</v>
      </c>
      <c r="J121" s="4" t="str">
        <f t="shared" si="30"/>
        <v>GSFSCRFTHYFYFVNMYSSIFFLVCLSVDRYVTLTS</v>
      </c>
      <c r="K121" s="4" t="str">
        <f t="shared" si="31"/>
        <v>ASPSWQRY</v>
      </c>
      <c r="L121" s="4" t="str">
        <f t="shared" si="32"/>
        <v>HRVRRAMCAGIWVLSAIIPLPEVVHI</v>
      </c>
      <c r="M121" s="4" t="str">
        <f t="shared" si="33"/>
        <v>CLF</v>
      </c>
      <c r="N121" s="4" t="str">
        <f t="shared" si="34"/>
        <v>WALAVALSTTILGFLLPFPLITVFNVLTACRLRQP</v>
      </c>
      <c r="O121" s="4" t="str">
        <f t="shared" si="35"/>
        <v>SRRHCLLLCAYVAVFVMCWLPYHVTLLLLTLHGTH</v>
      </c>
      <c r="P121" s="4" t="str">
        <f t="shared" si="36"/>
        <v>HCHLVHLLYFFYDVIDCFSMLHCVINPILYNFL</v>
      </c>
      <c r="Q121" s="4" t="str">
        <f t="shared" si="37"/>
        <v>SPHFRGRLLNAVVHY</v>
      </c>
      <c r="R121" s="5">
        <f>VLOOKUP($A121,'NonXtal_SegEnds_Prot#'!$A:$AL,3,FALSE)</f>
        <v>51</v>
      </c>
      <c r="S121" s="5">
        <f>VLOOKUP($A121,'NonXtal_SegEnds_Prot#'!$A:$AL,6,FALSE)</f>
        <v>82</v>
      </c>
      <c r="T121" s="5">
        <f>VLOOKUP($A121,'NonXtal_SegEnds_Prot#'!$A:$AL,9,FALSE)</f>
        <v>86</v>
      </c>
      <c r="U121" s="5">
        <f>VLOOKUP($A121,'NonXtal_SegEnds_Prot#'!$A:$AL,12,FALSE)</f>
        <v>118</v>
      </c>
      <c r="V121" s="5">
        <f>VLOOKUP($A121,'NonXtal_SegEnds_Prot#'!$A:$AL,15,FALSE)</f>
        <v>122</v>
      </c>
      <c r="W121" s="5">
        <f>VLOOKUP($A121,'NonXtal_SegEnds_Prot#'!$A:$AL,18,FALSE)</f>
        <v>158</v>
      </c>
      <c r="X121" s="5">
        <f>VLOOKUP($A121,'NonXtal_SegEnds_Prot#'!$A:$AL,21,FALSE)</f>
        <v>167</v>
      </c>
      <c r="Y121" s="5">
        <f>VLOOKUP($A121,'NonXtal_SegEnds_Prot#'!$A:$AL,24,FALSE)</f>
        <v>202</v>
      </c>
      <c r="Z121" s="5">
        <f>VLOOKUP($A121,'NonXtal_SegEnds_Prot#'!$A:$AL,27,FALSE)</f>
        <v>214</v>
      </c>
      <c r="AA121" s="5">
        <f>VLOOKUP($A121,'NonXtal_SegEnds_Prot#'!$A:$AL,30,FALSE)</f>
        <v>253</v>
      </c>
      <c r="AB121" s="5">
        <f>VLOOKUP($A121,'NonXtal_SegEnds_Prot#'!$A:$AL,33,FALSE)</f>
        <v>291</v>
      </c>
      <c r="AC121" s="5">
        <f>VLOOKUP($A121,'NonXtal_SegEnds_Prot#'!$A:$AL,36,FALSE)</f>
        <v>324</v>
      </c>
      <c r="AD121" s="5">
        <f>VLOOKUP($A121,'NonXtal_SegEnds_Prot#'!$A:$AL,5,FALSE)</f>
        <v>81</v>
      </c>
      <c r="AE121" s="5">
        <f>VLOOKUP($A121,'NonXtal_SegEnds_Prot#'!$A:$AL,8,FALSE)</f>
        <v>85</v>
      </c>
      <c r="AF121" s="5">
        <f>VLOOKUP($A121,'NonXtal_SegEnds_Prot#'!$A:$AL,11,FALSE)</f>
        <v>115</v>
      </c>
      <c r="AG121" s="5">
        <f>VLOOKUP($A121,'NonXtal_SegEnds_Prot#'!$A:$AL,14,FALSE)</f>
        <v>121</v>
      </c>
      <c r="AH121" s="5">
        <f>VLOOKUP($A121,'NonXtal_SegEnds_Prot#'!$A:$AL,17,FALSE)</f>
        <v>157</v>
      </c>
      <c r="AI121" s="5">
        <f>VLOOKUP($A121,'NonXtal_SegEnds_Prot#'!$A:$AL,20,FALSE)</f>
        <v>165</v>
      </c>
      <c r="AJ121" s="5">
        <f>VLOOKUP($A121,'NonXtal_SegEnds_Prot#'!$A:$AL,23,FALSE)</f>
        <v>192</v>
      </c>
      <c r="AK121" s="5">
        <f>VLOOKUP($A121,'NonXtal_SegEnds_Prot#'!$A:$AL,26,FALSE)</f>
        <v>204</v>
      </c>
      <c r="AL121" s="5">
        <f>VLOOKUP($A121,'NonXtal_SegEnds_Prot#'!$A:$AL,29,FALSE)</f>
        <v>248</v>
      </c>
      <c r="AM121" s="5">
        <f>VLOOKUP($A121,'NonXtal_SegEnds_Prot#'!$A:$AL,32,FALSE)</f>
        <v>287</v>
      </c>
      <c r="AN121" s="5">
        <f>VLOOKUP($A121,'NonXtal_SegEnds_Prot#'!$A:$AL,35,FALSE)</f>
        <v>323</v>
      </c>
      <c r="AO121" s="5">
        <f>VLOOKUP($A121,'NonXtal_SegEnds_Prot#'!$A:$AL,38,FALSE)</f>
        <v>338</v>
      </c>
      <c r="AP121" s="5">
        <f t="shared" si="38"/>
        <v>30</v>
      </c>
      <c r="AQ121" s="4">
        <f t="shared" si="39"/>
        <v>3</v>
      </c>
      <c r="AR121" s="4">
        <f t="shared" si="40"/>
        <v>29</v>
      </c>
      <c r="AS121" s="4">
        <f t="shared" si="41"/>
        <v>3</v>
      </c>
      <c r="AT121" s="4">
        <f t="shared" si="42"/>
        <v>35</v>
      </c>
      <c r="AU121" s="4">
        <f t="shared" si="43"/>
        <v>7</v>
      </c>
      <c r="AV121" s="4">
        <f t="shared" si="44"/>
        <v>25</v>
      </c>
      <c r="AW121" s="4">
        <f t="shared" si="45"/>
        <v>2</v>
      </c>
      <c r="AX121" s="4">
        <f t="shared" si="46"/>
        <v>34</v>
      </c>
      <c r="AY121" s="4">
        <f t="shared" si="47"/>
        <v>34</v>
      </c>
      <c r="AZ121" s="4">
        <f t="shared" si="48"/>
        <v>32</v>
      </c>
      <c r="BA121" s="4">
        <f t="shared" si="49"/>
        <v>14</v>
      </c>
    </row>
    <row r="122" spans="1:53" x14ac:dyDescent="0.2">
      <c r="A122" s="1" t="str">
        <f>'NonXtal_SegEnds_Prot#'!A91</f>
        <v>ackr3_human</v>
      </c>
      <c r="B122" s="1" t="str">
        <f t="shared" si="25"/>
        <v>VLLYTLSFIYIFIFVIGMIANSVVVWVNIQAYDTHCYILNLAIADLWVVLTIPVWVVSLVQWPMGELTCKVTHLIFSINLFGSIFFLTCMSVDRYLSITYKMVRRVVCILVWLLAFCVSLPDTYYLWLIGMELVSVVLGFAVPFSIIAVFYFLLARAISASKHSSRKIIFSYVVVFLVCWLPYHVAVLLDIFSILHTCRLEHALFTALHVTQCLSLVHCCVNPVLYSFINRNYRYELMKAFIFK</v>
      </c>
      <c r="C122" s="72" t="str">
        <f>IF(ISERROR(MATCH(A122,'Xtal_SegEnds_Prot#'!B:B,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122" s="5" t="str">
        <f t="shared" si="26"/>
        <v>VLLYTLSFIYIFIFVIGMIANSVVVWVNIQA</v>
      </c>
      <c r="G122" s="4" t="str">
        <f t="shared" si="27"/>
        <v>KTTG</v>
      </c>
      <c r="H122" s="4" t="str">
        <f t="shared" si="28"/>
        <v>YDTHCYILNLAIADLWVVLTIPVWVVSLVQ</v>
      </c>
      <c r="I122" s="4" t="str">
        <f t="shared" si="29"/>
        <v/>
      </c>
      <c r="J122" s="4" t="str">
        <f t="shared" si="30"/>
        <v>WPMGELTCKVTHLIFSINLFGSIFFLTCMSVDRYLSITY</v>
      </c>
      <c r="K122" s="4" t="str">
        <f t="shared" si="31"/>
        <v/>
      </c>
      <c r="L122" s="4" t="str">
        <f t="shared" si="32"/>
        <v>KMVRRVVCILVWLLAFCVSLPDTYYL</v>
      </c>
      <c r="M122" s="4" t="str">
        <f t="shared" si="33"/>
        <v>CRS</v>
      </c>
      <c r="N122" s="4" t="str">
        <f t="shared" si="34"/>
        <v>WLIGMELVSVVLGFAVPFSIIAVFYFLLARAISAS</v>
      </c>
      <c r="O122" s="4" t="str">
        <f t="shared" si="35"/>
        <v>KHSSRKIIFSYVVVFLVCWLPYHVAVLLDIFSILH</v>
      </c>
      <c r="P122" s="4" t="str">
        <f t="shared" si="36"/>
        <v>TCRLEHALFTALHVTQCLSLVHCCVNPVLYSFI</v>
      </c>
      <c r="Q122" s="4" t="str">
        <f t="shared" si="37"/>
        <v>NRNYRYELMKAFIFK</v>
      </c>
      <c r="R122" s="5">
        <f>VLOOKUP($A122,'NonXtal_SegEnds_Prot#'!$A:$AL,3,FALSE)</f>
        <v>42</v>
      </c>
      <c r="S122" s="5">
        <f>VLOOKUP($A122,'NonXtal_SegEnds_Prot#'!$A:$AL,6,FALSE)</f>
        <v>73</v>
      </c>
      <c r="T122" s="5">
        <f>VLOOKUP($A122,'NonXtal_SegEnds_Prot#'!$A:$AL,9,FALSE)</f>
        <v>77</v>
      </c>
      <c r="U122" s="5" t="str">
        <f>VLOOKUP($A122,'NonXtal_SegEnds_Prot#'!$A:$AL,12,FALSE)</f>
        <v>-</v>
      </c>
      <c r="V122" s="5">
        <f>VLOOKUP($A122,'NonXtal_SegEnds_Prot#'!$A:$AL,15,FALSE)</f>
        <v>110</v>
      </c>
      <c r="W122" s="5" t="str">
        <f>VLOOKUP($A122,'NonXtal_SegEnds_Prot#'!$A:$AL,18,FALSE)</f>
        <v>-</v>
      </c>
      <c r="X122" s="5">
        <f>VLOOKUP($A122,'NonXtal_SegEnds_Prot#'!$A:$AL,21,FALSE)</f>
        <v>158</v>
      </c>
      <c r="Y122" s="5">
        <f>VLOOKUP($A122,'NonXtal_SegEnds_Prot#'!$A:$AL,24,FALSE)</f>
        <v>196</v>
      </c>
      <c r="Z122" s="5">
        <f>VLOOKUP($A122,'NonXtal_SegEnds_Prot#'!$A:$AL,27,FALSE)</f>
        <v>208</v>
      </c>
      <c r="AA122" s="5">
        <f>VLOOKUP($A122,'NonXtal_SegEnds_Prot#'!$A:$AL,30,FALSE)</f>
        <v>247</v>
      </c>
      <c r="AB122" s="5">
        <f>VLOOKUP($A122,'NonXtal_SegEnds_Prot#'!$A:$AL,33,FALSE)</f>
        <v>286</v>
      </c>
      <c r="AC122" s="5">
        <f>VLOOKUP($A122,'NonXtal_SegEnds_Prot#'!$A:$AL,36,FALSE)</f>
        <v>319</v>
      </c>
      <c r="AD122" s="5">
        <f>VLOOKUP($A122,'NonXtal_SegEnds_Prot#'!$A:$AL,5,FALSE)</f>
        <v>72</v>
      </c>
      <c r="AE122" s="5">
        <f>VLOOKUP($A122,'NonXtal_SegEnds_Prot#'!$A:$AL,8,FALSE)</f>
        <v>76</v>
      </c>
      <c r="AF122" s="5">
        <f>VLOOKUP($A122,'NonXtal_SegEnds_Prot#'!$A:$AL,11,FALSE)</f>
        <v>106</v>
      </c>
      <c r="AG122" s="5" t="str">
        <f>VLOOKUP($A122,'NonXtal_SegEnds_Prot#'!$A:$AL,14,FALSE)</f>
        <v>-</v>
      </c>
      <c r="AH122" s="5">
        <f>VLOOKUP($A122,'NonXtal_SegEnds_Prot#'!$A:$AL,17,FALSE)</f>
        <v>148</v>
      </c>
      <c r="AI122" s="5" t="str">
        <f>VLOOKUP($A122,'NonXtal_SegEnds_Prot#'!$A:$AL,20,FALSE)</f>
        <v>-</v>
      </c>
      <c r="AJ122" s="5">
        <f>VLOOKUP($A122,'NonXtal_SegEnds_Prot#'!$A:$AL,23,FALSE)</f>
        <v>183</v>
      </c>
      <c r="AK122" s="5">
        <f>VLOOKUP($A122,'NonXtal_SegEnds_Prot#'!$A:$AL,26,FALSE)</f>
        <v>198</v>
      </c>
      <c r="AL122" s="5">
        <f>VLOOKUP($A122,'NonXtal_SegEnds_Prot#'!$A:$AL,29,FALSE)</f>
        <v>242</v>
      </c>
      <c r="AM122" s="5">
        <f>VLOOKUP($A122,'NonXtal_SegEnds_Prot#'!$A:$AL,32,FALSE)</f>
        <v>281</v>
      </c>
      <c r="AN122" s="5">
        <f>VLOOKUP($A122,'NonXtal_SegEnds_Prot#'!$A:$AL,35,FALSE)</f>
        <v>318</v>
      </c>
      <c r="AO122" s="5">
        <f>VLOOKUP($A122,'NonXtal_SegEnds_Prot#'!$A:$AL,38,FALSE)</f>
        <v>333</v>
      </c>
      <c r="AP122" s="5">
        <f t="shared" si="38"/>
        <v>30</v>
      </c>
      <c r="AQ122" s="4">
        <f t="shared" si="39"/>
        <v>3</v>
      </c>
      <c r="AR122" s="4">
        <f t="shared" si="40"/>
        <v>29</v>
      </c>
      <c r="AS122" s="4" t="str">
        <f t="shared" si="41"/>
        <v>-</v>
      </c>
      <c r="AT122" s="4">
        <f t="shared" si="42"/>
        <v>38</v>
      </c>
      <c r="AU122" s="4" t="str">
        <f t="shared" si="43"/>
        <v>-</v>
      </c>
      <c r="AV122" s="4">
        <f t="shared" si="44"/>
        <v>25</v>
      </c>
      <c r="AW122" s="4">
        <f t="shared" si="45"/>
        <v>2</v>
      </c>
      <c r="AX122" s="4">
        <f t="shared" si="46"/>
        <v>34</v>
      </c>
      <c r="AY122" s="4">
        <f t="shared" si="47"/>
        <v>34</v>
      </c>
      <c r="AZ122" s="4">
        <f t="shared" si="48"/>
        <v>32</v>
      </c>
      <c r="BA122" s="4">
        <f t="shared" si="49"/>
        <v>14</v>
      </c>
    </row>
    <row r="123" spans="1:53" x14ac:dyDescent="0.2">
      <c r="A123" s="1" t="str">
        <f>'NonXtal_SegEnds_Prot#'!A92</f>
        <v>agtr2_human</v>
      </c>
      <c r="B123" s="1" t="str">
        <f t="shared" si="25"/>
        <v>KHLDAIPILYYIIFVIGFLVNIVVVTLFCCQKVSSIYIFNLAVADLLLLATLPLWATYYSYGPVMCKVFGSFLTLNMFASIFFITCMSVDRYQSVIYPWQASYIVPLVWCMACLSSLPTFYFRWSAGIALMKNILGFIIPLIFIATCYFGIRKHLLKTITRDQVLKMAAAVVLAFIICWLPFHVLTFLDALAWMGSCEVIAVIDLALPFAILLGFTNSCVNPFLYCFVGNRFQQKLRSVFRVP</v>
      </c>
      <c r="C123" s="72" t="str">
        <f>IF(ISERROR(MATCH(A123,'Xtal_SegEnds_Prot#'!B:B, 0)), "NoXtal", "Xtal")</f>
        <v>NoXtal</v>
      </c>
      <c r="D123" s="4" t="str">
        <f>VLOOKUP(A123,Classification!A:D,2,FALSE)</f>
        <v>A</v>
      </c>
      <c r="E123" s="5" t="str">
        <f>VLOOKUP(A123,Seqs!A:B,2,FALSE)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123" s="5" t="str">
        <f t="shared" si="26"/>
        <v>KHLDAIPILYYIIFVIGFLVNIVVVTLFCCQ</v>
      </c>
      <c r="G123" s="4" t="str">
        <f t="shared" si="27"/>
        <v/>
      </c>
      <c r="H123" s="4" t="str">
        <f t="shared" si="28"/>
        <v>KVSSIYIFNLAVADLLLLATLPLWATYYSY</v>
      </c>
      <c r="I123" s="4" t="str">
        <f t="shared" si="29"/>
        <v>DWLF</v>
      </c>
      <c r="J123" s="4" t="str">
        <f t="shared" si="30"/>
        <v>GPVMCKVFGSFLTLNMFASIFFITCMSVDRYQSVIY</v>
      </c>
      <c r="K123" s="4" t="str">
        <f t="shared" si="31"/>
        <v>PFLSQRRN</v>
      </c>
      <c r="L123" s="4" t="str">
        <f t="shared" si="32"/>
        <v>PWQASYIVPLVWCMACLSSLPTFYFR</v>
      </c>
      <c r="M123" s="4" t="str">
        <f t="shared" si="33"/>
        <v>CIM</v>
      </c>
      <c r="N123" s="4" t="str">
        <f t="shared" si="34"/>
        <v>WSAGIALMKNILGFIIPLIFIATCYFGIRKHLLKT</v>
      </c>
      <c r="O123" s="4" t="str">
        <f t="shared" si="35"/>
        <v>ITRDQVLKMAAAVVLAFIICWLPFHVLTFLDALAWMG</v>
      </c>
      <c r="P123" s="4" t="str">
        <f t="shared" si="36"/>
        <v>SCEVIAVIDLALPFAILLGFTNSCVNPFLYCFV</v>
      </c>
      <c r="Q123" s="4" t="str">
        <f t="shared" si="37"/>
        <v>GNRFQQKLRSVFRVP</v>
      </c>
      <c r="R123" s="5">
        <f>VLOOKUP($A123,'NonXtal_SegEnds_Prot#'!$A:$AL,3,FALSE)</f>
        <v>42</v>
      </c>
      <c r="S123" s="5" t="str">
        <f>VLOOKUP($A123,'NonXtal_SegEnds_Prot#'!$A:$AL,6,FALSE)</f>
        <v>-</v>
      </c>
      <c r="T123" s="5">
        <f>VLOOKUP($A123,'NonXtal_SegEnds_Prot#'!$A:$AL,9,FALSE)</f>
        <v>77</v>
      </c>
      <c r="U123" s="5">
        <f>VLOOKUP($A123,'NonXtal_SegEnds_Prot#'!$A:$AL,12,FALSE)</f>
        <v>109</v>
      </c>
      <c r="V123" s="5">
        <f>VLOOKUP($A123,'NonXtal_SegEnds_Prot#'!$A:$AL,15,FALSE)</f>
        <v>113</v>
      </c>
      <c r="W123" s="5">
        <f>VLOOKUP($A123,'NonXtal_SegEnds_Prot#'!$A:$AL,18,FALSE)</f>
        <v>149</v>
      </c>
      <c r="X123" s="5">
        <f>VLOOKUP($A123,'NonXtal_SegEnds_Prot#'!$A:$AL,21,FALSE)</f>
        <v>157</v>
      </c>
      <c r="Y123" s="5">
        <f>VLOOKUP($A123,'NonXtal_SegEnds_Prot#'!$A:$AL,24,FALSE)</f>
        <v>195</v>
      </c>
      <c r="Z123" s="5">
        <f>VLOOKUP($A123,'NonXtal_SegEnds_Prot#'!$A:$AL,27,FALSE)</f>
        <v>207</v>
      </c>
      <c r="AA123" s="5">
        <f>VLOOKUP($A123,'NonXtal_SegEnds_Prot#'!$A:$AL,30,FALSE)</f>
        <v>249</v>
      </c>
      <c r="AB123" s="5">
        <f>VLOOKUP($A123,'NonXtal_SegEnds_Prot#'!$A:$AL,33,FALSE)</f>
        <v>289</v>
      </c>
      <c r="AC123" s="5">
        <f>VLOOKUP($A123,'NonXtal_SegEnds_Prot#'!$A:$AL,36,FALSE)</f>
        <v>322</v>
      </c>
      <c r="AD123" s="5">
        <f>VLOOKUP($A123,'NonXtal_SegEnds_Prot#'!$A:$AL,5,FALSE)</f>
        <v>72</v>
      </c>
      <c r="AE123" s="5" t="str">
        <f>VLOOKUP($A123,'NonXtal_SegEnds_Prot#'!$A:$AL,8,FALSE)</f>
        <v>-</v>
      </c>
      <c r="AF123" s="5">
        <f>VLOOKUP($A123,'NonXtal_SegEnds_Prot#'!$A:$AL,11,FALSE)</f>
        <v>106</v>
      </c>
      <c r="AG123" s="5">
        <f>VLOOKUP($A123,'NonXtal_SegEnds_Prot#'!$A:$AL,14,FALSE)</f>
        <v>112</v>
      </c>
      <c r="AH123" s="5">
        <f>VLOOKUP($A123,'NonXtal_SegEnds_Prot#'!$A:$AL,17,FALSE)</f>
        <v>148</v>
      </c>
      <c r="AI123" s="5">
        <f>VLOOKUP($A123,'NonXtal_SegEnds_Prot#'!$A:$AL,20,FALSE)</f>
        <v>156</v>
      </c>
      <c r="AJ123" s="5">
        <f>VLOOKUP($A123,'NonXtal_SegEnds_Prot#'!$A:$AL,23,FALSE)</f>
        <v>182</v>
      </c>
      <c r="AK123" s="5">
        <f>VLOOKUP($A123,'NonXtal_SegEnds_Prot#'!$A:$AL,26,FALSE)</f>
        <v>197</v>
      </c>
      <c r="AL123" s="5">
        <f>VLOOKUP($A123,'NonXtal_SegEnds_Prot#'!$A:$AL,29,FALSE)</f>
        <v>241</v>
      </c>
      <c r="AM123" s="5">
        <f>VLOOKUP($A123,'NonXtal_SegEnds_Prot#'!$A:$AL,32,FALSE)</f>
        <v>285</v>
      </c>
      <c r="AN123" s="5">
        <f>VLOOKUP($A123,'NonXtal_SegEnds_Prot#'!$A:$AL,35,FALSE)</f>
        <v>321</v>
      </c>
      <c r="AO123" s="5">
        <f>VLOOKUP($A123,'NonXtal_SegEnds_Prot#'!$A:$AL,38,FALSE)</f>
        <v>336</v>
      </c>
      <c r="AP123" s="5">
        <f t="shared" si="38"/>
        <v>30</v>
      </c>
      <c r="AQ123" s="4" t="str">
        <f t="shared" si="39"/>
        <v>-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25</v>
      </c>
      <c r="AW123" s="4">
        <f t="shared" si="45"/>
        <v>2</v>
      </c>
      <c r="AX123" s="4">
        <f t="shared" si="46"/>
        <v>34</v>
      </c>
      <c r="AY123" s="4">
        <f t="shared" si="47"/>
        <v>36</v>
      </c>
      <c r="AZ123" s="4">
        <f t="shared" si="48"/>
        <v>32</v>
      </c>
      <c r="BA123" s="4">
        <f t="shared" si="49"/>
        <v>14</v>
      </c>
    </row>
    <row r="124" spans="1:53" x14ac:dyDescent="0.2">
      <c r="A124" s="1" t="str">
        <f>'NonXtal_SegEnds_Prot#'!A93</f>
        <v>gpr25_human</v>
      </c>
      <c r="B124" s="1" t="str">
        <f t="shared" si="25"/>
        <v>YGYVYIPALYLAAFAVGLLGNAFVVWLLAGRRLVDTFVLHLAAADLGFVLTLPLWAAAAALGDGLCKLSSFALAGTRCAGALLLAGMSVDRYLAVVKPRCALASCCGVWAVALLAGLPSLVYRAFQGLSLLLLLLTFVLPLVVTLFCYCRISRRLRRRARRNSLRIIFAIESTFVGSWLPFSALRAVFHLARLGPCPLLLALRWGLTIATCLAFVNSCANPLIYLLLDRSFRARALDGACGR</v>
      </c>
      <c r="C124" s="72" t="str">
        <f>IF(ISERROR(MATCH(A124,'Xtal_SegEnds_Prot#'!B:B,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24" s="5" t="str">
        <f t="shared" si="26"/>
        <v>YGYVYIPALYLAAFAVGLLGNAFVVWLLAGR</v>
      </c>
      <c r="G124" s="4" t="str">
        <f t="shared" si="27"/>
        <v>RGPR</v>
      </c>
      <c r="H124" s="4" t="str">
        <f t="shared" si="28"/>
        <v>RLVDTFVLHLAAADLGFVLTLPLWAAAAAL</v>
      </c>
      <c r="I124" s="4" t="str">
        <f t="shared" si="29"/>
        <v>RWPF</v>
      </c>
      <c r="J124" s="4" t="str">
        <f t="shared" si="30"/>
        <v>GDGLCKLSSFALAGTRCAGALLLAGMSVDRYLAVVK</v>
      </c>
      <c r="K124" s="4" t="str">
        <f t="shared" si="31"/>
        <v>LLEARPLR</v>
      </c>
      <c r="L124" s="4" t="str">
        <f t="shared" si="32"/>
        <v>PRCALASCCGVWAVALLAGLPSLVYR</v>
      </c>
      <c r="M124" s="4" t="str">
        <f t="shared" si="33"/>
        <v>CGE</v>
      </c>
      <c r="N124" s="4" t="str">
        <f t="shared" si="34"/>
        <v>AFQGLSLLLLLLTFVLPLVVTLFCYCRISRRLRR</v>
      </c>
      <c r="O124" s="4" t="str">
        <f t="shared" si="35"/>
        <v>RARRNSLRIIFAIESTFVGSWLPFSALRAVFHLARLG</v>
      </c>
      <c r="P124" s="4" t="str">
        <f t="shared" si="36"/>
        <v>PCPLLLALRWGLTIATCLAFVNSCANPLIYLLL</v>
      </c>
      <c r="Q124" s="4" t="str">
        <f t="shared" si="37"/>
        <v>DRSFRARALDGACGR</v>
      </c>
      <c r="R124" s="5">
        <f>VLOOKUP($A124,'NonXtal_SegEnds_Prot#'!$A:$AL,3,FALSE)</f>
        <v>37</v>
      </c>
      <c r="S124" s="5">
        <f>VLOOKUP($A124,'NonXtal_SegEnds_Prot#'!$A:$AL,6,FALSE)</f>
        <v>68</v>
      </c>
      <c r="T124" s="5">
        <f>VLOOKUP($A124,'NonXtal_SegEnds_Prot#'!$A:$AL,9,FALSE)</f>
        <v>72</v>
      </c>
      <c r="U124" s="5">
        <f>VLOOKUP($A124,'NonXtal_SegEnds_Prot#'!$A:$AL,12,FALSE)</f>
        <v>104</v>
      </c>
      <c r="V124" s="5">
        <f>VLOOKUP($A124,'NonXtal_SegEnds_Prot#'!$A:$AL,15,FALSE)</f>
        <v>108</v>
      </c>
      <c r="W124" s="5">
        <f>VLOOKUP($A124,'NonXtal_SegEnds_Prot#'!$A:$AL,18,FALSE)</f>
        <v>144</v>
      </c>
      <c r="X124" s="5">
        <f>VLOOKUP($A124,'NonXtal_SegEnds_Prot#'!$A:$AL,21,FALSE)</f>
        <v>153</v>
      </c>
      <c r="Y124" s="5">
        <f>VLOOKUP($A124,'NonXtal_SegEnds_Prot#'!$A:$AL,24,FALSE)</f>
        <v>191</v>
      </c>
      <c r="Z124" s="5">
        <f>VLOOKUP($A124,'NonXtal_SegEnds_Prot#'!$A:$AL,27,FALSE)</f>
        <v>198</v>
      </c>
      <c r="AA124" s="5">
        <f>VLOOKUP($A124,'NonXtal_SegEnds_Prot#'!$A:$AL,30,FALSE)</f>
        <v>237</v>
      </c>
      <c r="AB124" s="5">
        <f>VLOOKUP($A124,'NonXtal_SegEnds_Prot#'!$A:$AL,33,FALSE)</f>
        <v>278</v>
      </c>
      <c r="AC124" s="5">
        <f>VLOOKUP($A124,'NonXtal_SegEnds_Prot#'!$A:$AL,36,FALSE)</f>
        <v>311</v>
      </c>
      <c r="AD124" s="5">
        <f>VLOOKUP($A124,'NonXtal_SegEnds_Prot#'!$A:$AL,5,FALSE)</f>
        <v>67</v>
      </c>
      <c r="AE124" s="5">
        <f>VLOOKUP($A124,'NonXtal_SegEnds_Prot#'!$A:$AL,8,FALSE)</f>
        <v>71</v>
      </c>
      <c r="AF124" s="5">
        <f>VLOOKUP($A124,'NonXtal_SegEnds_Prot#'!$A:$AL,11,FALSE)</f>
        <v>101</v>
      </c>
      <c r="AG124" s="5">
        <f>VLOOKUP($A124,'NonXtal_SegEnds_Prot#'!$A:$AL,14,FALSE)</f>
        <v>107</v>
      </c>
      <c r="AH124" s="5">
        <f>VLOOKUP($A124,'NonXtal_SegEnds_Prot#'!$A:$AL,17,FALSE)</f>
        <v>143</v>
      </c>
      <c r="AI124" s="5">
        <f>VLOOKUP($A124,'NonXtal_SegEnds_Prot#'!$A:$AL,20,FALSE)</f>
        <v>151</v>
      </c>
      <c r="AJ124" s="5">
        <f>VLOOKUP($A124,'NonXtal_SegEnds_Prot#'!$A:$AL,23,FALSE)</f>
        <v>178</v>
      </c>
      <c r="AK124" s="5">
        <f>VLOOKUP($A124,'NonXtal_SegEnds_Prot#'!$A:$AL,26,FALSE)</f>
        <v>193</v>
      </c>
      <c r="AL124" s="5">
        <f>VLOOKUP($A124,'NonXtal_SegEnds_Prot#'!$A:$AL,29,FALSE)</f>
        <v>231</v>
      </c>
      <c r="AM124" s="5">
        <f>VLOOKUP($A124,'NonXtal_SegEnds_Prot#'!$A:$AL,32,FALSE)</f>
        <v>273</v>
      </c>
      <c r="AN124" s="5">
        <f>VLOOKUP($A124,'NonXtal_SegEnds_Prot#'!$A:$AL,35,FALSE)</f>
        <v>310</v>
      </c>
      <c r="AO124" s="5">
        <f>VLOOKUP($A124,'NonXtal_SegEnds_Prot#'!$A:$AL,38,FALSE)</f>
        <v>325</v>
      </c>
      <c r="AP124" s="5">
        <f t="shared" si="38"/>
        <v>30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25</v>
      </c>
      <c r="AW124" s="4">
        <f t="shared" si="45"/>
        <v>2</v>
      </c>
      <c r="AX124" s="4">
        <f t="shared" si="46"/>
        <v>33</v>
      </c>
      <c r="AY124" s="4">
        <f t="shared" si="47"/>
        <v>36</v>
      </c>
      <c r="AZ124" s="4">
        <f t="shared" si="48"/>
        <v>32</v>
      </c>
      <c r="BA124" s="4">
        <f t="shared" si="49"/>
        <v>14</v>
      </c>
    </row>
    <row r="125" spans="1:53" x14ac:dyDescent="0.2">
      <c r="A125" s="1" t="str">
        <f>'NonXtal_SegEnds_Prot#'!A94</f>
        <v>rl3r2_human</v>
      </c>
      <c r="B125" s="1" t="str">
        <f t="shared" si="25"/>
        <v>ALRLMVALAYGLVGAIGLLGNLAVLWVLSNCGPPSDTFVFNLALADLGLALTLPFWAAESALGGALCKMVLTATVLNVYASIFLITALSVARYWVVAMLFWARIATLAVWAAAALVTVPTAVFGWLGAYQLQRVVLAFMVPLGVITTSYLLLLAFLQRQDSRVVARSVRILVASFFLCWFPNHVVTLWGVLVKFDNSTFYTIQTYVFPVTTCLAHSNSCLNPVLYCLLRREPRQALAGTFRDL</v>
      </c>
      <c r="C125" s="72" t="str">
        <f>IF(ISERROR(MATCH(A125,'Xtal_SegEnds_Prot#'!B:B,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125" s="5" t="str">
        <f t="shared" si="26"/>
        <v>ALRLMVALAYGLVGAIGLLGNLAVLWVLSNC</v>
      </c>
      <c r="G125" s="4" t="str">
        <f t="shared" si="27"/>
        <v>RRAP</v>
      </c>
      <c r="H125" s="4" t="str">
        <f t="shared" si="28"/>
        <v>GPPSDTFVFNLALADLGLALTLPFWAAESAL</v>
      </c>
      <c r="I125" s="4" t="str">
        <f t="shared" si="29"/>
        <v>HWPF</v>
      </c>
      <c r="J125" s="4" t="str">
        <f t="shared" si="30"/>
        <v>GGALCKMVLTATVLNVYASIFLITALSVARYWVVAM</v>
      </c>
      <c r="K125" s="4" t="str">
        <f t="shared" si="31"/>
        <v>AAGPGTHL</v>
      </c>
      <c r="L125" s="4" t="str">
        <f t="shared" si="32"/>
        <v>LFWARIATLAVWAAAALVTVPTAVFG</v>
      </c>
      <c r="M125" s="4" t="str">
        <f t="shared" si="33"/>
        <v>CLL</v>
      </c>
      <c r="N125" s="4" t="str">
        <f t="shared" si="34"/>
        <v>WLGAYQLQRVVLAFMVPLGVITTSYLLLLAFLQR</v>
      </c>
      <c r="O125" s="4" t="str">
        <f t="shared" si="35"/>
        <v>QDSRVVARSVRILVASFFLCWFPNHVVTLWGVLVKFD</v>
      </c>
      <c r="P125" s="4" t="str">
        <f t="shared" si="36"/>
        <v>NSTFYTIQTYVFPVTTCLAHSNSCLNPVLYCLL</v>
      </c>
      <c r="Q125" s="4" t="str">
        <f t="shared" si="37"/>
        <v>RREPRQALAGTFRDL</v>
      </c>
      <c r="R125" s="5">
        <f>VLOOKUP($A125,'NonXtal_SegEnds_Prot#'!$A:$AL,3,FALSE)</f>
        <v>37</v>
      </c>
      <c r="S125" s="5">
        <f>VLOOKUP($A125,'NonXtal_SegEnds_Prot#'!$A:$AL,6,FALSE)</f>
        <v>69</v>
      </c>
      <c r="T125" s="5">
        <f>VLOOKUP($A125,'NonXtal_SegEnds_Prot#'!$A:$AL,9,FALSE)</f>
        <v>73</v>
      </c>
      <c r="U125" s="5">
        <f>VLOOKUP($A125,'NonXtal_SegEnds_Prot#'!$A:$AL,12,FALSE)</f>
        <v>106</v>
      </c>
      <c r="V125" s="5">
        <f>VLOOKUP($A125,'NonXtal_SegEnds_Prot#'!$A:$AL,15,FALSE)</f>
        <v>110</v>
      </c>
      <c r="W125" s="5">
        <f>VLOOKUP($A125,'NonXtal_SegEnds_Prot#'!$A:$AL,18,FALSE)</f>
        <v>146</v>
      </c>
      <c r="X125" s="5">
        <f>VLOOKUP($A125,'NonXtal_SegEnds_Prot#'!$A:$AL,21,FALSE)</f>
        <v>155</v>
      </c>
      <c r="Y125" s="5">
        <f>VLOOKUP($A125,'NonXtal_SegEnds_Prot#'!$A:$AL,24,FALSE)</f>
        <v>191</v>
      </c>
      <c r="Z125" s="5">
        <f>VLOOKUP($A125,'NonXtal_SegEnds_Prot#'!$A:$AL,27,FALSE)</f>
        <v>200</v>
      </c>
      <c r="AA125" s="5">
        <f>VLOOKUP($A125,'NonXtal_SegEnds_Prot#'!$A:$AL,30,FALSE)</f>
        <v>239</v>
      </c>
      <c r="AB125" s="5">
        <f>VLOOKUP($A125,'NonXtal_SegEnds_Prot#'!$A:$AL,33,FALSE)</f>
        <v>280</v>
      </c>
      <c r="AC125" s="5">
        <f>VLOOKUP($A125,'NonXtal_SegEnds_Prot#'!$A:$AL,36,FALSE)</f>
        <v>313</v>
      </c>
      <c r="AD125" s="5">
        <f>VLOOKUP($A125,'NonXtal_SegEnds_Prot#'!$A:$AL,5,FALSE)</f>
        <v>67</v>
      </c>
      <c r="AE125" s="5">
        <f>VLOOKUP($A125,'NonXtal_SegEnds_Prot#'!$A:$AL,8,FALSE)</f>
        <v>72</v>
      </c>
      <c r="AF125" s="5">
        <f>VLOOKUP($A125,'NonXtal_SegEnds_Prot#'!$A:$AL,11,FALSE)</f>
        <v>103</v>
      </c>
      <c r="AG125" s="5">
        <f>VLOOKUP($A125,'NonXtal_SegEnds_Prot#'!$A:$AL,14,FALSE)</f>
        <v>109</v>
      </c>
      <c r="AH125" s="5">
        <f>VLOOKUP($A125,'NonXtal_SegEnds_Prot#'!$A:$AL,17,FALSE)</f>
        <v>145</v>
      </c>
      <c r="AI125" s="5">
        <f>VLOOKUP($A125,'NonXtal_SegEnds_Prot#'!$A:$AL,20,FALSE)</f>
        <v>153</v>
      </c>
      <c r="AJ125" s="5">
        <f>VLOOKUP($A125,'NonXtal_SegEnds_Prot#'!$A:$AL,23,FALSE)</f>
        <v>180</v>
      </c>
      <c r="AK125" s="5">
        <f>VLOOKUP($A125,'NonXtal_SegEnds_Prot#'!$A:$AL,26,FALSE)</f>
        <v>193</v>
      </c>
      <c r="AL125" s="5">
        <f>VLOOKUP($A125,'NonXtal_SegEnds_Prot#'!$A:$AL,29,FALSE)</f>
        <v>233</v>
      </c>
      <c r="AM125" s="5">
        <f>VLOOKUP($A125,'NonXtal_SegEnds_Prot#'!$A:$AL,32,FALSE)</f>
        <v>275</v>
      </c>
      <c r="AN125" s="5">
        <f>VLOOKUP($A125,'NonXtal_SegEnds_Prot#'!$A:$AL,35,FALSE)</f>
        <v>312</v>
      </c>
      <c r="AO125" s="5">
        <f>VLOOKUP($A125,'NonXtal_SegEnds_Prot#'!$A:$AL,38,FALSE)</f>
        <v>327</v>
      </c>
      <c r="AP125" s="5">
        <f t="shared" si="38"/>
        <v>30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35</v>
      </c>
      <c r="AU125" s="4">
        <f t="shared" si="43"/>
        <v>7</v>
      </c>
      <c r="AV125" s="4">
        <f t="shared" si="44"/>
        <v>25</v>
      </c>
      <c r="AW125" s="4">
        <f t="shared" si="45"/>
        <v>2</v>
      </c>
      <c r="AX125" s="4">
        <f t="shared" si="46"/>
        <v>33</v>
      </c>
      <c r="AY125" s="4">
        <f t="shared" si="47"/>
        <v>36</v>
      </c>
      <c r="AZ125" s="4">
        <f t="shared" si="48"/>
        <v>32</v>
      </c>
      <c r="BA125" s="4">
        <f t="shared" si="49"/>
        <v>14</v>
      </c>
    </row>
    <row r="126" spans="1:53" x14ac:dyDescent="0.2">
      <c r="A126" s="1" t="str">
        <f>'NonXtal_SegEnds_Prot#'!A95</f>
        <v>bkrb1_human</v>
      </c>
      <c r="B126" s="1" t="str">
        <f t="shared" si="25"/>
        <v>LLHRVLPTFIISICFFGLLGNLFVLLVFLLPNVAEIYLANLAASDLVFVLGLPFWAENIWNGALLCRVINGVIKANLFISIFLVVAISQDRYRVLVHRRQARVTCVLIWVVGGLLSIPTFLLRWHFARIVELNILGFLLPLAAIVFFNYHILASLRTRTRCGGRKDSKTTALILTLVVAFLVCWAPYHFFAFLEFLFQVQGCFWEDFIDLGLQLANFFAFTNSSLNPVIYVFVGRLFRTKVWELYKQC</v>
      </c>
      <c r="C126" s="72" t="str">
        <f>IF(ISERROR(MATCH(A126,'Xtal_SegEnds_Prot#'!B:B, 0)), "NoXtal", "Xtal")</f>
        <v>NoXtal</v>
      </c>
      <c r="D126" s="4" t="str">
        <f>VLOOKUP(A126,Classification!A:D,2,FALSE)</f>
        <v>A</v>
      </c>
      <c r="E126" s="5" t="str">
        <f>VLOOKUP(A126,Seqs!A:B,2,FALSE)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26" s="5" t="str">
        <f t="shared" si="26"/>
        <v>LLHRVLPTFIISICFFGLLGNLFVLLVFLLP</v>
      </c>
      <c r="G126" s="4" t="str">
        <f t="shared" si="27"/>
        <v>RRQL</v>
      </c>
      <c r="H126" s="4" t="str">
        <f t="shared" si="28"/>
        <v>NVAEIYLANLAASDLVFVLGLPFWAENIWN</v>
      </c>
      <c r="I126" s="4" t="str">
        <f t="shared" si="29"/>
        <v>NWPF</v>
      </c>
      <c r="J126" s="4" t="str">
        <f t="shared" si="30"/>
        <v>GALLCRVINGVIKANLFISIFLVVAISQDRYRVLVH</v>
      </c>
      <c r="K126" s="4" t="str">
        <f t="shared" si="31"/>
        <v>PMASRRQQ</v>
      </c>
      <c r="L126" s="4" t="str">
        <f t="shared" si="32"/>
        <v>RRQARVTCVLIWVVGGLLSIPTFLLR</v>
      </c>
      <c r="M126" s="4" t="str">
        <f t="shared" si="33"/>
        <v>CIL</v>
      </c>
      <c r="N126" s="4" t="str">
        <f t="shared" si="34"/>
        <v>WHFARIVELNILGFLLPLAAIVFFNYHILASLRTR</v>
      </c>
      <c r="O126" s="4" t="str">
        <f t="shared" si="35"/>
        <v>TRCGGRKDSKTTALILTLVVAFLVCWAPYHFFAFLEFLFQVQ</v>
      </c>
      <c r="P126" s="4" t="str">
        <f t="shared" si="36"/>
        <v>GCFWEDFIDLGLQLANFFAFTNSSLNPVIYVFV</v>
      </c>
      <c r="Q126" s="4" t="str">
        <f t="shared" si="37"/>
        <v>GRLFRTKVWELYKQC</v>
      </c>
      <c r="R126" s="5">
        <f>VLOOKUP($A126,'NonXtal_SegEnds_Prot#'!$A:$AL,3,FALSE)</f>
        <v>35</v>
      </c>
      <c r="S126" s="5">
        <f>VLOOKUP($A126,'NonXtal_SegEnds_Prot#'!$A:$AL,6,FALSE)</f>
        <v>66</v>
      </c>
      <c r="T126" s="5">
        <f>VLOOKUP($A126,'NonXtal_SegEnds_Prot#'!$A:$AL,9,FALSE)</f>
        <v>70</v>
      </c>
      <c r="U126" s="5">
        <f>VLOOKUP($A126,'NonXtal_SegEnds_Prot#'!$A:$AL,12,FALSE)</f>
        <v>102</v>
      </c>
      <c r="V126" s="5">
        <f>VLOOKUP($A126,'NonXtal_SegEnds_Prot#'!$A:$AL,15,FALSE)</f>
        <v>106</v>
      </c>
      <c r="W126" s="5">
        <f>VLOOKUP($A126,'NonXtal_SegEnds_Prot#'!$A:$AL,18,FALSE)</f>
        <v>142</v>
      </c>
      <c r="X126" s="5">
        <f>VLOOKUP($A126,'NonXtal_SegEnds_Prot#'!$A:$AL,21,FALSE)</f>
        <v>151</v>
      </c>
      <c r="Y126" s="5">
        <f>VLOOKUP($A126,'NonXtal_SegEnds_Prot#'!$A:$AL,24,FALSE)</f>
        <v>189</v>
      </c>
      <c r="Z126" s="5">
        <f>VLOOKUP($A126,'NonXtal_SegEnds_Prot#'!$A:$AL,27,FALSE)</f>
        <v>198</v>
      </c>
      <c r="AA126" s="5">
        <f>VLOOKUP($A126,'NonXtal_SegEnds_Prot#'!$A:$AL,30,FALSE)</f>
        <v>238</v>
      </c>
      <c r="AB126" s="5">
        <f>VLOOKUP($A126,'NonXtal_SegEnds_Prot#'!$A:$AL,33,FALSE)</f>
        <v>283</v>
      </c>
      <c r="AC126" s="5">
        <f>VLOOKUP($A126,'NonXtal_SegEnds_Prot#'!$A:$AL,36,FALSE)</f>
        <v>316</v>
      </c>
      <c r="AD126" s="5">
        <f>VLOOKUP($A126,'NonXtal_SegEnds_Prot#'!$A:$AL,5,FALSE)</f>
        <v>65</v>
      </c>
      <c r="AE126" s="5">
        <f>VLOOKUP($A126,'NonXtal_SegEnds_Prot#'!$A:$AL,8,FALSE)</f>
        <v>69</v>
      </c>
      <c r="AF126" s="5">
        <f>VLOOKUP($A126,'NonXtal_SegEnds_Prot#'!$A:$AL,11,FALSE)</f>
        <v>99</v>
      </c>
      <c r="AG126" s="5">
        <f>VLOOKUP($A126,'NonXtal_SegEnds_Prot#'!$A:$AL,14,FALSE)</f>
        <v>105</v>
      </c>
      <c r="AH126" s="5">
        <f>VLOOKUP($A126,'NonXtal_SegEnds_Prot#'!$A:$AL,17,FALSE)</f>
        <v>141</v>
      </c>
      <c r="AI126" s="5">
        <f>VLOOKUP($A126,'NonXtal_SegEnds_Prot#'!$A:$AL,20,FALSE)</f>
        <v>149</v>
      </c>
      <c r="AJ126" s="5">
        <f>VLOOKUP($A126,'NonXtal_SegEnds_Prot#'!$A:$AL,23,FALSE)</f>
        <v>176</v>
      </c>
      <c r="AK126" s="5">
        <f>VLOOKUP($A126,'NonXtal_SegEnds_Prot#'!$A:$AL,26,FALSE)</f>
        <v>191</v>
      </c>
      <c r="AL126" s="5">
        <f>VLOOKUP($A126,'NonXtal_SegEnds_Prot#'!$A:$AL,29,FALSE)</f>
        <v>232</v>
      </c>
      <c r="AM126" s="5">
        <f>VLOOKUP($A126,'NonXtal_SegEnds_Prot#'!$A:$AL,32,FALSE)</f>
        <v>279</v>
      </c>
      <c r="AN126" s="5">
        <f>VLOOKUP($A126,'NonXtal_SegEnds_Prot#'!$A:$AL,35,FALSE)</f>
        <v>315</v>
      </c>
      <c r="AO126" s="5">
        <f>VLOOKUP($A126,'NonXtal_SegEnds_Prot#'!$A:$AL,38,FALSE)</f>
        <v>330</v>
      </c>
      <c r="AP126" s="5">
        <f t="shared" si="38"/>
        <v>30</v>
      </c>
      <c r="AQ126" s="4">
        <f t="shared" si="39"/>
        <v>3</v>
      </c>
      <c r="AR126" s="4">
        <f t="shared" si="40"/>
        <v>29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34</v>
      </c>
      <c r="AY126" s="4">
        <f t="shared" si="47"/>
        <v>41</v>
      </c>
      <c r="AZ126" s="4">
        <f t="shared" si="48"/>
        <v>32</v>
      </c>
      <c r="BA126" s="4">
        <f t="shared" si="49"/>
        <v>14</v>
      </c>
    </row>
    <row r="127" spans="1:53" x14ac:dyDescent="0.2">
      <c r="A127" s="1" t="str">
        <f>'NonXtal_SegEnds_Prot#'!A96</f>
        <v>cml1_human</v>
      </c>
      <c r="B127" s="1" t="str">
        <f t="shared" si="25"/>
        <v>VTRIFLVVVYSIVCFLGILGNGLVIIIATFKTVNMVWFLNLAVADFLFNVFLPIHITYAAMGTAMCKISNFLLIHNMFTSVFLLTIISSDRCISVLLVRLAYMACMVIWVLAFFLSSPSLVFRRHMVVTVTRFLCGFLVPVLIITACYLTIVCKLQRNTKKPFKIIVTIIITFFLCWCPYHTLNLLELHHGSVFSLGLPLATALAIANSCMNPILYVFMGQDFKKFKVALFSRL</v>
      </c>
      <c r="C127" s="72" t="str">
        <f>IF(ISERROR(MATCH(A127,'Xtal_SegEnds_Prot#'!B:B,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27" s="5" t="str">
        <f t="shared" si="26"/>
        <v>VTRIFLVVVYSIVCFLGILGNGLVIIIATFK</v>
      </c>
      <c r="G127" s="4" t="str">
        <f t="shared" si="27"/>
        <v/>
      </c>
      <c r="H127" s="4" t="str">
        <f t="shared" si="28"/>
        <v>TVNMVWFLNLAVADFLFNVFLPIHITYAAM</v>
      </c>
      <c r="I127" s="4" t="str">
        <f t="shared" si="29"/>
        <v>HWVF</v>
      </c>
      <c r="J127" s="4" t="str">
        <f t="shared" si="30"/>
        <v>GTAMCKISNFLLIHNMFTSVFLLTIISSDRCISVLL</v>
      </c>
      <c r="K127" s="4" t="str">
        <f t="shared" si="31"/>
        <v>PVWSQNHR</v>
      </c>
      <c r="L127" s="4" t="str">
        <f t="shared" si="32"/>
        <v>VRLAYMACMVIWVLAFFLSSPSLVFR</v>
      </c>
      <c r="M127" s="4" t="str">
        <f t="shared" si="33"/>
        <v>CFN</v>
      </c>
      <c r="N127" s="4" t="str">
        <f t="shared" si="34"/>
        <v>RHMVVTVTRFLCGFLVPVLIITACYLTIVCKLQRN</v>
      </c>
      <c r="O127" s="4" t="str">
        <f t="shared" si="35"/>
        <v>TKKPFKIIVTIIITFFLCWCPYHTLNLLELHH</v>
      </c>
      <c r="P127" s="4" t="str">
        <f t="shared" si="36"/>
        <v>GSVFSLGLPLATALAIANSCMNPILYVFM</v>
      </c>
      <c r="Q127" s="4" t="str">
        <f t="shared" si="37"/>
        <v>GQDFKKFKVALFSRL</v>
      </c>
      <c r="R127" s="5">
        <f>VLOOKUP($A127,'NonXtal_SegEnds_Prot#'!$A:$AL,3,FALSE)</f>
        <v>38</v>
      </c>
      <c r="S127" s="5" t="str">
        <f>VLOOKUP($A127,'NonXtal_SegEnds_Prot#'!$A:$AL,6,FALSE)</f>
        <v>-</v>
      </c>
      <c r="T127" s="5">
        <f>VLOOKUP($A127,'NonXtal_SegEnds_Prot#'!$A:$AL,9,FALSE)</f>
        <v>72</v>
      </c>
      <c r="U127" s="5">
        <f>VLOOKUP($A127,'NonXtal_SegEnds_Prot#'!$A:$AL,12,FALSE)</f>
        <v>104</v>
      </c>
      <c r="V127" s="5">
        <f>VLOOKUP($A127,'NonXtal_SegEnds_Prot#'!$A:$AL,15,FALSE)</f>
        <v>108</v>
      </c>
      <c r="W127" s="5">
        <f>VLOOKUP($A127,'NonXtal_SegEnds_Prot#'!$A:$AL,18,FALSE)</f>
        <v>144</v>
      </c>
      <c r="X127" s="5">
        <f>VLOOKUP($A127,'NonXtal_SegEnds_Prot#'!$A:$AL,21,FALSE)</f>
        <v>153</v>
      </c>
      <c r="Y127" s="5">
        <f>VLOOKUP($A127,'NonXtal_SegEnds_Prot#'!$A:$AL,24,FALSE)</f>
        <v>189</v>
      </c>
      <c r="Z127" s="5">
        <f>VLOOKUP($A127,'NonXtal_SegEnds_Prot#'!$A:$AL,27,FALSE)</f>
        <v>216</v>
      </c>
      <c r="AA127" s="5">
        <f>VLOOKUP($A127,'NonXtal_SegEnds_Prot#'!$A:$AL,30,FALSE)</f>
        <v>255</v>
      </c>
      <c r="AB127" s="5">
        <f>VLOOKUP($A127,'NonXtal_SegEnds_Prot#'!$A:$AL,33,FALSE)</f>
        <v>291</v>
      </c>
      <c r="AC127" s="5">
        <f>VLOOKUP($A127,'NonXtal_SegEnds_Prot#'!$A:$AL,36,FALSE)</f>
        <v>320</v>
      </c>
      <c r="AD127" s="5">
        <f>VLOOKUP($A127,'NonXtal_SegEnds_Prot#'!$A:$AL,5,FALSE)</f>
        <v>68</v>
      </c>
      <c r="AE127" s="5" t="str">
        <f>VLOOKUP($A127,'NonXtal_SegEnds_Prot#'!$A:$AL,8,FALSE)</f>
        <v>-</v>
      </c>
      <c r="AF127" s="5">
        <f>VLOOKUP($A127,'NonXtal_SegEnds_Prot#'!$A:$AL,11,FALSE)</f>
        <v>101</v>
      </c>
      <c r="AG127" s="5">
        <f>VLOOKUP($A127,'NonXtal_SegEnds_Prot#'!$A:$AL,14,FALSE)</f>
        <v>107</v>
      </c>
      <c r="AH127" s="5">
        <f>VLOOKUP($A127,'NonXtal_SegEnds_Prot#'!$A:$AL,17,FALSE)</f>
        <v>143</v>
      </c>
      <c r="AI127" s="5">
        <f>VLOOKUP($A127,'NonXtal_SegEnds_Prot#'!$A:$AL,20,FALSE)</f>
        <v>151</v>
      </c>
      <c r="AJ127" s="5">
        <f>VLOOKUP($A127,'NonXtal_SegEnds_Prot#'!$A:$AL,23,FALSE)</f>
        <v>178</v>
      </c>
      <c r="AK127" s="5">
        <f>VLOOKUP($A127,'NonXtal_SegEnds_Prot#'!$A:$AL,26,FALSE)</f>
        <v>191</v>
      </c>
      <c r="AL127" s="5">
        <f>VLOOKUP($A127,'NonXtal_SegEnds_Prot#'!$A:$AL,29,FALSE)</f>
        <v>250</v>
      </c>
      <c r="AM127" s="5">
        <f>VLOOKUP($A127,'NonXtal_SegEnds_Prot#'!$A:$AL,32,FALSE)</f>
        <v>286</v>
      </c>
      <c r="AN127" s="5">
        <f>VLOOKUP($A127,'NonXtal_SegEnds_Prot#'!$A:$AL,35,FALSE)</f>
        <v>319</v>
      </c>
      <c r="AO127" s="5">
        <f>VLOOKUP($A127,'NonXtal_SegEnds_Prot#'!$A:$AL,38,FALSE)</f>
        <v>334</v>
      </c>
      <c r="AP127" s="5">
        <f t="shared" si="38"/>
        <v>30</v>
      </c>
      <c r="AQ127" s="4" t="str">
        <f t="shared" si="39"/>
        <v>-</v>
      </c>
      <c r="AR127" s="4">
        <f t="shared" si="40"/>
        <v>29</v>
      </c>
      <c r="AS127" s="4">
        <f t="shared" si="41"/>
        <v>3</v>
      </c>
      <c r="AT127" s="4">
        <f t="shared" si="42"/>
        <v>35</v>
      </c>
      <c r="AU127" s="4">
        <f t="shared" si="43"/>
        <v>7</v>
      </c>
      <c r="AV127" s="4">
        <f t="shared" si="44"/>
        <v>25</v>
      </c>
      <c r="AW127" s="4">
        <f t="shared" si="45"/>
        <v>2</v>
      </c>
      <c r="AX127" s="4">
        <f t="shared" si="46"/>
        <v>34</v>
      </c>
      <c r="AY127" s="4">
        <f t="shared" si="47"/>
        <v>31</v>
      </c>
      <c r="AZ127" s="4">
        <f t="shared" si="48"/>
        <v>28</v>
      </c>
      <c r="BA127" s="4">
        <f t="shared" si="49"/>
        <v>14</v>
      </c>
    </row>
    <row r="128" spans="1:53" x14ac:dyDescent="0.2">
      <c r="A128" s="1" t="str">
        <f>'NonXtal_SegEnds_Prot#'!A97</f>
        <v>c5ar1_human</v>
      </c>
      <c r="B128" s="1" t="str">
        <f t="shared" si="25"/>
        <v>VPDILALVIFAVVFLVGVLGNALVVWVTAFETINAIWFLNLAVADFLSCLALPILFTSIVQGGAACSILPSLILLNMYASILLLATISADRFLLVFKAGLAWIACAVAWGLALLLTIPSFLYRRERAVAIVRLVLGFLWPLLTLTICYTFILLRTWSRSTKTLKVVVAVVASFFIFWLPYQVTGIMMSFLFLLLKKLDSLCVSFAYINCCINPIIYVVAGQGFQGRLRKSLPSL</v>
      </c>
      <c r="C128" s="72" t="str">
        <f>IF(ISERROR(MATCH(A128,'Xtal_SegEnds_Prot#'!B:B,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28" s="5" t="str">
        <f t="shared" si="26"/>
        <v>VPDILALVIFAVVFLVGVLGNALVVWVTAFE</v>
      </c>
      <c r="G128" s="4" t="str">
        <f t="shared" si="27"/>
        <v/>
      </c>
      <c r="H128" s="4" t="str">
        <f t="shared" si="28"/>
        <v>TINAIWFLNLAVADFLSCLALPILFTSIVQ</v>
      </c>
      <c r="I128" s="4" t="str">
        <f t="shared" si="29"/>
        <v>HWPF</v>
      </c>
      <c r="J128" s="4" t="str">
        <f t="shared" si="30"/>
        <v>GGAACSILPSLILLNMYASILLLATISADRFLLVFK</v>
      </c>
      <c r="K128" s="4" t="str">
        <f t="shared" si="31"/>
        <v>PIWCQNFR</v>
      </c>
      <c r="L128" s="4" t="str">
        <f t="shared" si="32"/>
        <v>AGLAWIACAVAWGLALLLTIPSFLYR</v>
      </c>
      <c r="M128" s="4" t="str">
        <f t="shared" si="33"/>
        <v>CGV</v>
      </c>
      <c r="N128" s="4" t="str">
        <f t="shared" si="34"/>
        <v>RERAVAIVRLVLGFLWPLLTLTICYTFILLRTWSR</v>
      </c>
      <c r="O128" s="4" t="str">
        <f t="shared" si="35"/>
        <v>STKTLKVVVAVVASFFIFWLPYQVTGIMMSFL</v>
      </c>
      <c r="P128" s="4" t="str">
        <f t="shared" si="36"/>
        <v>FLLLKKLDSLCVSFAYINCCINPIIYVVA</v>
      </c>
      <c r="Q128" s="4" t="str">
        <f t="shared" si="37"/>
        <v>GQGFQGRLRKSLPSL</v>
      </c>
      <c r="R128" s="5">
        <f>VLOOKUP($A128,'NonXtal_SegEnds_Prot#'!$A:$AL,3,FALSE)</f>
        <v>35</v>
      </c>
      <c r="S128" s="5" t="str">
        <f>VLOOKUP($A128,'NonXtal_SegEnds_Prot#'!$A:$AL,6,FALSE)</f>
        <v>-</v>
      </c>
      <c r="T128" s="5">
        <f>VLOOKUP($A128,'NonXtal_SegEnds_Prot#'!$A:$AL,9,FALSE)</f>
        <v>69</v>
      </c>
      <c r="U128" s="5">
        <f>VLOOKUP($A128,'NonXtal_SegEnds_Prot#'!$A:$AL,12,FALSE)</f>
        <v>101</v>
      </c>
      <c r="V128" s="5">
        <f>VLOOKUP($A128,'NonXtal_SegEnds_Prot#'!$A:$AL,15,FALSE)</f>
        <v>105</v>
      </c>
      <c r="W128" s="5">
        <f>VLOOKUP($A128,'NonXtal_SegEnds_Prot#'!$A:$AL,18,FALSE)</f>
        <v>141</v>
      </c>
      <c r="X128" s="5">
        <f>VLOOKUP($A128,'NonXtal_SegEnds_Prot#'!$A:$AL,21,FALSE)</f>
        <v>150</v>
      </c>
      <c r="Y128" s="5">
        <f>VLOOKUP($A128,'NonXtal_SegEnds_Prot#'!$A:$AL,24,FALSE)</f>
        <v>188</v>
      </c>
      <c r="Z128" s="5">
        <f>VLOOKUP($A128,'NonXtal_SegEnds_Prot#'!$A:$AL,27,FALSE)</f>
        <v>198</v>
      </c>
      <c r="AA128" s="5">
        <f>VLOOKUP($A128,'NonXtal_SegEnds_Prot#'!$A:$AL,30,FALSE)</f>
        <v>237</v>
      </c>
      <c r="AB128" s="5">
        <f>VLOOKUP($A128,'NonXtal_SegEnds_Prot#'!$A:$AL,33,FALSE)</f>
        <v>275</v>
      </c>
      <c r="AC128" s="5">
        <f>VLOOKUP($A128,'NonXtal_SegEnds_Prot#'!$A:$AL,36,FALSE)</f>
        <v>304</v>
      </c>
      <c r="AD128" s="5">
        <f>VLOOKUP($A128,'NonXtal_SegEnds_Prot#'!$A:$AL,5,FALSE)</f>
        <v>65</v>
      </c>
      <c r="AE128" s="5" t="str">
        <f>VLOOKUP($A128,'NonXtal_SegEnds_Prot#'!$A:$AL,8,FALSE)</f>
        <v>-</v>
      </c>
      <c r="AF128" s="5">
        <f>VLOOKUP($A128,'NonXtal_SegEnds_Prot#'!$A:$AL,11,FALSE)</f>
        <v>98</v>
      </c>
      <c r="AG128" s="5">
        <f>VLOOKUP($A128,'NonXtal_SegEnds_Prot#'!$A:$AL,14,FALSE)</f>
        <v>104</v>
      </c>
      <c r="AH128" s="5">
        <f>VLOOKUP($A128,'NonXtal_SegEnds_Prot#'!$A:$AL,17,FALSE)</f>
        <v>140</v>
      </c>
      <c r="AI128" s="5">
        <f>VLOOKUP($A128,'NonXtal_SegEnds_Prot#'!$A:$AL,20,FALSE)</f>
        <v>148</v>
      </c>
      <c r="AJ128" s="5">
        <f>VLOOKUP($A128,'NonXtal_SegEnds_Prot#'!$A:$AL,23,FALSE)</f>
        <v>175</v>
      </c>
      <c r="AK128" s="5">
        <f>VLOOKUP($A128,'NonXtal_SegEnds_Prot#'!$A:$AL,26,FALSE)</f>
        <v>190</v>
      </c>
      <c r="AL128" s="5">
        <f>VLOOKUP($A128,'NonXtal_SegEnds_Prot#'!$A:$AL,29,FALSE)</f>
        <v>232</v>
      </c>
      <c r="AM128" s="5">
        <f>VLOOKUP($A128,'NonXtal_SegEnds_Prot#'!$A:$AL,32,FALSE)</f>
        <v>268</v>
      </c>
      <c r="AN128" s="5">
        <f>VLOOKUP($A128,'NonXtal_SegEnds_Prot#'!$A:$AL,35,FALSE)</f>
        <v>303</v>
      </c>
      <c r="AO128" s="5">
        <f>VLOOKUP($A128,'NonXtal_SegEnds_Prot#'!$A:$AL,38,FALSE)</f>
        <v>318</v>
      </c>
      <c r="AP128" s="5">
        <f t="shared" si="38"/>
        <v>30</v>
      </c>
      <c r="AQ128" s="4" t="str">
        <f t="shared" si="39"/>
        <v>-</v>
      </c>
      <c r="AR128" s="4">
        <f t="shared" si="40"/>
        <v>29</v>
      </c>
      <c r="AS128" s="4">
        <f t="shared" si="41"/>
        <v>3</v>
      </c>
      <c r="AT128" s="4">
        <f t="shared" si="42"/>
        <v>35</v>
      </c>
      <c r="AU128" s="4">
        <f t="shared" si="43"/>
        <v>7</v>
      </c>
      <c r="AV128" s="4">
        <f t="shared" si="44"/>
        <v>25</v>
      </c>
      <c r="AW128" s="4">
        <f t="shared" si="45"/>
        <v>2</v>
      </c>
      <c r="AX128" s="4">
        <f t="shared" si="46"/>
        <v>34</v>
      </c>
      <c r="AY128" s="4">
        <f t="shared" si="47"/>
        <v>31</v>
      </c>
      <c r="AZ128" s="4">
        <f t="shared" si="48"/>
        <v>28</v>
      </c>
      <c r="BA128" s="4">
        <f t="shared" si="49"/>
        <v>14</v>
      </c>
    </row>
    <row r="129" spans="1:53" x14ac:dyDescent="0.2">
      <c r="A129" s="1" t="str">
        <f>'NonXtal_SegEnds_Prot#'!A98</f>
        <v>gpr1_human</v>
      </c>
      <c r="B129" s="1" t="str">
        <f t="shared" si="25"/>
        <v>VVHWVSLVLYCLAFVLGIPGNAIVIWFTGFKTVTTLWFLNLAIADFIFLLFLPLYISYVAMGIWLCKANSFTAQLNMFASVFFLTVISLDHYIHLIHLKNSLIVIIFIWLLASLIGGPALYFRRHHVLTWVKFIIGYLFPLLTMSICYLCLIFKVKKRSSRHFWTILVVVVAFVVCWTPYHLFSIWELTIHHVMQAGIPLSTGLAFLNSCLNPILYVLISKKFQARFRSSVAEI</v>
      </c>
      <c r="C129" s="72" t="str">
        <f>IF(ISERROR(MATCH(A129,'Xtal_SegEnds_Prot#'!B:B, 0)), "NoXtal", "Xtal")</f>
        <v>NoXtal</v>
      </c>
      <c r="D129" s="4" t="str">
        <f>VLOOKUP(A129,Classification!A:D,2,FALSE)</f>
        <v>A</v>
      </c>
      <c r="E129" s="5" t="str">
        <f>VLOOKUP(A129,Seqs!A:B,2,FALSE)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29" s="5" t="str">
        <f t="shared" si="26"/>
        <v>VVHWVSLVLYCLAFVLGIPGNAIVIWFTGFK</v>
      </c>
      <c r="G129" s="4" t="str">
        <f t="shared" si="27"/>
        <v/>
      </c>
      <c r="H129" s="4" t="str">
        <f t="shared" si="28"/>
        <v>TVTTLWFLNLAIADFIFLLFLPLYISYVAM</v>
      </c>
      <c r="I129" s="4" t="str">
        <f t="shared" si="29"/>
        <v>HWPF</v>
      </c>
      <c r="J129" s="4" t="str">
        <f t="shared" si="30"/>
        <v>GIWLCKANSFTAQLNMFASVFFLTVISLDHYIHLIH</v>
      </c>
      <c r="K129" s="4" t="str">
        <f t="shared" si="31"/>
        <v>PVLSHRHR</v>
      </c>
      <c r="L129" s="4" t="str">
        <f t="shared" si="32"/>
        <v>LKNSLIVIIFIWLLASLIGGPALYFR</v>
      </c>
      <c r="M129" s="4" t="str">
        <f t="shared" si="33"/>
        <v>CYN</v>
      </c>
      <c r="N129" s="4" t="str">
        <f t="shared" si="34"/>
        <v>RHHVLTWVKFIIGYLFPLLTMSICYLCLIFKVKKR</v>
      </c>
      <c r="O129" s="4" t="str">
        <f t="shared" si="35"/>
        <v>SSRHFWTILVVVVAFVVCWTPYHLFSIWELTI</v>
      </c>
      <c r="P129" s="4" t="str">
        <f t="shared" si="36"/>
        <v>HHVMQAGIPLSTGLAFLNSCLNPILYVLI</v>
      </c>
      <c r="Q129" s="4" t="str">
        <f t="shared" si="37"/>
        <v>SKKFQARFRSSVAEI</v>
      </c>
      <c r="R129" s="5">
        <f>VLOOKUP($A129,'NonXtal_SegEnds_Prot#'!$A:$AL,3,FALSE)</f>
        <v>36</v>
      </c>
      <c r="S129" s="5" t="str">
        <f>VLOOKUP($A129,'NonXtal_SegEnds_Prot#'!$A:$AL,6,FALSE)</f>
        <v>-</v>
      </c>
      <c r="T129" s="5">
        <f>VLOOKUP($A129,'NonXtal_SegEnds_Prot#'!$A:$AL,9,FALSE)</f>
        <v>70</v>
      </c>
      <c r="U129" s="5">
        <f>VLOOKUP($A129,'NonXtal_SegEnds_Prot#'!$A:$AL,12,FALSE)</f>
        <v>102</v>
      </c>
      <c r="V129" s="5">
        <f>VLOOKUP($A129,'NonXtal_SegEnds_Prot#'!$A:$AL,15,FALSE)</f>
        <v>106</v>
      </c>
      <c r="W129" s="5">
        <f>VLOOKUP($A129,'NonXtal_SegEnds_Prot#'!$A:$AL,18,FALSE)</f>
        <v>142</v>
      </c>
      <c r="X129" s="5">
        <f>VLOOKUP($A129,'NonXtal_SegEnds_Prot#'!$A:$AL,21,FALSE)</f>
        <v>151</v>
      </c>
      <c r="Y129" s="5">
        <f>VLOOKUP($A129,'NonXtal_SegEnds_Prot#'!$A:$AL,24,FALSE)</f>
        <v>187</v>
      </c>
      <c r="Z129" s="5">
        <f>VLOOKUP($A129,'NonXtal_SegEnds_Prot#'!$A:$AL,27,FALSE)</f>
        <v>202</v>
      </c>
      <c r="AA129" s="5">
        <f>VLOOKUP($A129,'NonXtal_SegEnds_Prot#'!$A:$AL,30,FALSE)</f>
        <v>241</v>
      </c>
      <c r="AB129" s="5">
        <f>VLOOKUP($A129,'NonXtal_SegEnds_Prot#'!$A:$AL,33,FALSE)</f>
        <v>279</v>
      </c>
      <c r="AC129" s="5">
        <f>VLOOKUP($A129,'NonXtal_SegEnds_Prot#'!$A:$AL,36,FALSE)</f>
        <v>308</v>
      </c>
      <c r="AD129" s="5">
        <f>VLOOKUP($A129,'NonXtal_SegEnds_Prot#'!$A:$AL,5,FALSE)</f>
        <v>66</v>
      </c>
      <c r="AE129" s="5" t="str">
        <f>VLOOKUP($A129,'NonXtal_SegEnds_Prot#'!$A:$AL,8,FALSE)</f>
        <v>-</v>
      </c>
      <c r="AF129" s="5">
        <f>VLOOKUP($A129,'NonXtal_SegEnds_Prot#'!$A:$AL,11,FALSE)</f>
        <v>99</v>
      </c>
      <c r="AG129" s="5">
        <f>VLOOKUP($A129,'NonXtal_SegEnds_Prot#'!$A:$AL,14,FALSE)</f>
        <v>105</v>
      </c>
      <c r="AH129" s="5">
        <f>VLOOKUP($A129,'NonXtal_SegEnds_Prot#'!$A:$AL,17,FALSE)</f>
        <v>141</v>
      </c>
      <c r="AI129" s="5">
        <f>VLOOKUP($A129,'NonXtal_SegEnds_Prot#'!$A:$AL,20,FALSE)</f>
        <v>149</v>
      </c>
      <c r="AJ129" s="5">
        <f>VLOOKUP($A129,'NonXtal_SegEnds_Prot#'!$A:$AL,23,FALSE)</f>
        <v>176</v>
      </c>
      <c r="AK129" s="5">
        <f>VLOOKUP($A129,'NonXtal_SegEnds_Prot#'!$A:$AL,26,FALSE)</f>
        <v>189</v>
      </c>
      <c r="AL129" s="5">
        <f>VLOOKUP($A129,'NonXtal_SegEnds_Prot#'!$A:$AL,29,FALSE)</f>
        <v>236</v>
      </c>
      <c r="AM129" s="5">
        <f>VLOOKUP($A129,'NonXtal_SegEnds_Prot#'!$A:$AL,32,FALSE)</f>
        <v>272</v>
      </c>
      <c r="AN129" s="5">
        <f>VLOOKUP($A129,'NonXtal_SegEnds_Prot#'!$A:$AL,35,FALSE)</f>
        <v>307</v>
      </c>
      <c r="AO129" s="5">
        <f>VLOOKUP($A129,'NonXtal_SegEnds_Prot#'!$A:$AL,38,FALSE)</f>
        <v>322</v>
      </c>
      <c r="AP129" s="5">
        <f t="shared" si="38"/>
        <v>30</v>
      </c>
      <c r="AQ129" s="4" t="str">
        <f t="shared" si="39"/>
        <v>-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25</v>
      </c>
      <c r="AW129" s="4">
        <f t="shared" si="45"/>
        <v>2</v>
      </c>
      <c r="AX129" s="4">
        <f t="shared" si="46"/>
        <v>34</v>
      </c>
      <c r="AY129" s="4">
        <f t="shared" si="47"/>
        <v>31</v>
      </c>
      <c r="AZ129" s="4">
        <f t="shared" si="48"/>
        <v>28</v>
      </c>
      <c r="BA129" s="4">
        <f t="shared" si="49"/>
        <v>14</v>
      </c>
    </row>
    <row r="130" spans="1:53" x14ac:dyDescent="0.2">
      <c r="A130" s="1" t="str">
        <f>'NonXtal_SegEnds_Prot#'!A99</f>
        <v>gpr15_human</v>
      </c>
      <c r="B130" s="1" t="str">
        <f t="shared" ref="B130:B193" si="50">F130&amp;H130&amp;J130&amp;L130&amp;N130&amp;O130&amp;P130&amp;Q130</f>
        <v>YTSVFLPVFYTAVFLTGVLGNLVLMGALHFKRLIDIFIINLAASDFIFLVTLPLWVDKEASGSFLCKGSSYMISVNMHCSVLLLTCMSVDRYLAIVWTDCAYVVCASIWFISCLLGLPTLLSRIKLIWSLVALIFTFFVPLLSIVTCYCCIARKLCAHKKLKKSIKIIFIVVAAFLVSWLPFNTFKFLAIVSHYLPSAILQLGMEVSGPLAFANSCVNPFIYYIFDSYIRRAIVHCLCPC</v>
      </c>
      <c r="C130" s="72" t="str">
        <f>IF(ISERROR(MATCH(A130,'Xtal_SegEnds_Prot#'!B:B,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30" s="5" t="str">
        <f t="shared" ref="F130:F193" si="51">IFERROR(MID($E130,R130,(AP130+1)),"")</f>
        <v>YTSVFLPVFYTAVFLTGVLGNLVLMGALHFK</v>
      </c>
      <c r="G130" s="4" t="str">
        <f t="shared" ref="G130:G193" si="52">IFERROR(MID($E130,S130,(AQ130+1)),"")</f>
        <v/>
      </c>
      <c r="H130" s="4" t="str">
        <f t="shared" ref="H130:H193" si="53">IFERROR(MID($E130,T130,(AR130+1)),"")</f>
        <v>RLIDIFIINLAASDFIFLVTLPLWVDKEAS</v>
      </c>
      <c r="I130" s="4" t="str">
        <f t="shared" ref="I130:I193" si="54">IFERROR(MID($E130,U130,(AS130+1)),"")</f>
        <v>LWRT</v>
      </c>
      <c r="J130" s="4" t="str">
        <f t="shared" ref="J130:J193" si="55">IFERROR(MID($E130,V130,(AT130+1)),"")</f>
        <v>GSFLCKGSSYMISVNMHCSVLLLTCMSVDRYLAIVW</v>
      </c>
      <c r="K130" s="4" t="str">
        <f t="shared" ref="K130:K193" si="56">IFERROR(MID($E130,W130,(AU130+1)),"")</f>
        <v>PVVSRKFR</v>
      </c>
      <c r="L130" s="4" t="str">
        <f t="shared" ref="L130:L193" si="57">IFERROR(MID($E130,X130,(AV130+1)),"")</f>
        <v>TDCAYVVCASIWFISCLLGLPTLLSR</v>
      </c>
      <c r="M130" s="4" t="str">
        <f t="shared" ref="M130:M193" si="58">IFERROR(MID($E130,Y130,(AW130+1)),"")</f>
        <v>CAE</v>
      </c>
      <c r="N130" s="4" t="str">
        <f t="shared" ref="N130:N193" si="59">IFERROR(MID($E130,Z130,(AX130+1)),"")</f>
        <v>IKLIWSLVALIFTFFVPLLSIVTCYCCIARKLCAH</v>
      </c>
      <c r="O130" s="4" t="str">
        <f t="shared" ref="O130:O193" si="60">IFERROR(MID($E130,AA130,(AY130+1)),"")</f>
        <v>KKLKKSIKIIFIVVAAFLVSWLPFNTFKFLAIVS</v>
      </c>
      <c r="P130" s="4" t="str">
        <f t="shared" ref="P130:P193" si="61">IFERROR(MID($E130,AB130,(AZ130+1)),"")</f>
        <v>HYLPSAILQLGMEVSGPLAFANSCVNPFIYYIF</v>
      </c>
      <c r="Q130" s="4" t="str">
        <f t="shared" ref="Q130:Q193" si="62">IFERROR(MID($E130,AC130,(BA130+1)),"")</f>
        <v>DSYIRRAIVHCLCPC</v>
      </c>
      <c r="R130" s="5">
        <f>VLOOKUP($A130,'NonXtal_SegEnds_Prot#'!$A:$AL,3,FALSE)</f>
        <v>31</v>
      </c>
      <c r="S130" s="5" t="str">
        <f>VLOOKUP($A130,'NonXtal_SegEnds_Prot#'!$A:$AL,6,FALSE)</f>
        <v>-</v>
      </c>
      <c r="T130" s="5">
        <f>VLOOKUP($A130,'NonXtal_SegEnds_Prot#'!$A:$AL,9,FALSE)</f>
        <v>66</v>
      </c>
      <c r="U130" s="5">
        <f>VLOOKUP($A130,'NonXtal_SegEnds_Prot#'!$A:$AL,12,FALSE)</f>
        <v>98</v>
      </c>
      <c r="V130" s="5">
        <f>VLOOKUP($A130,'NonXtal_SegEnds_Prot#'!$A:$AL,15,FALSE)</f>
        <v>102</v>
      </c>
      <c r="W130" s="5">
        <f>VLOOKUP($A130,'NonXtal_SegEnds_Prot#'!$A:$AL,18,FALSE)</f>
        <v>138</v>
      </c>
      <c r="X130" s="5">
        <f>VLOOKUP($A130,'NonXtal_SegEnds_Prot#'!$A:$AL,21,FALSE)</f>
        <v>147</v>
      </c>
      <c r="Y130" s="5">
        <f>VLOOKUP($A130,'NonXtal_SegEnds_Prot#'!$A:$AL,24,FALSE)</f>
        <v>183</v>
      </c>
      <c r="Z130" s="5">
        <f>VLOOKUP($A130,'NonXtal_SegEnds_Prot#'!$A:$AL,27,FALSE)</f>
        <v>191</v>
      </c>
      <c r="AA130" s="5">
        <f>VLOOKUP($A130,'NonXtal_SegEnds_Prot#'!$A:$AL,30,FALSE)</f>
        <v>234</v>
      </c>
      <c r="AB130" s="5">
        <f>VLOOKUP($A130,'NonXtal_SegEnds_Prot#'!$A:$AL,33,FALSE)</f>
        <v>273</v>
      </c>
      <c r="AC130" s="5">
        <f>VLOOKUP($A130,'NonXtal_SegEnds_Prot#'!$A:$AL,36,FALSE)</f>
        <v>306</v>
      </c>
      <c r="AD130" s="5">
        <f>VLOOKUP($A130,'NonXtal_SegEnds_Prot#'!$A:$AL,5,FALSE)</f>
        <v>61</v>
      </c>
      <c r="AE130" s="5" t="str">
        <f>VLOOKUP($A130,'NonXtal_SegEnds_Prot#'!$A:$AL,8,FALSE)</f>
        <v>-</v>
      </c>
      <c r="AF130" s="5">
        <f>VLOOKUP($A130,'NonXtal_SegEnds_Prot#'!$A:$AL,11,FALSE)</f>
        <v>95</v>
      </c>
      <c r="AG130" s="5">
        <f>VLOOKUP($A130,'NonXtal_SegEnds_Prot#'!$A:$AL,14,FALSE)</f>
        <v>101</v>
      </c>
      <c r="AH130" s="5">
        <f>VLOOKUP($A130,'NonXtal_SegEnds_Prot#'!$A:$AL,17,FALSE)</f>
        <v>137</v>
      </c>
      <c r="AI130" s="5">
        <f>VLOOKUP($A130,'NonXtal_SegEnds_Prot#'!$A:$AL,20,FALSE)</f>
        <v>145</v>
      </c>
      <c r="AJ130" s="5">
        <f>VLOOKUP($A130,'NonXtal_SegEnds_Prot#'!$A:$AL,23,FALSE)</f>
        <v>172</v>
      </c>
      <c r="AK130" s="5">
        <f>VLOOKUP($A130,'NonXtal_SegEnds_Prot#'!$A:$AL,26,FALSE)</f>
        <v>185</v>
      </c>
      <c r="AL130" s="5">
        <f>VLOOKUP($A130,'NonXtal_SegEnds_Prot#'!$A:$AL,29,FALSE)</f>
        <v>225</v>
      </c>
      <c r="AM130" s="5">
        <f>VLOOKUP($A130,'NonXtal_SegEnds_Prot#'!$A:$AL,32,FALSE)</f>
        <v>267</v>
      </c>
      <c r="AN130" s="5">
        <f>VLOOKUP($A130,'NonXtal_SegEnds_Prot#'!$A:$AL,35,FALSE)</f>
        <v>305</v>
      </c>
      <c r="AO130" s="5">
        <f>VLOOKUP($A130,'NonXtal_SegEnds_Prot#'!$A:$AL,38,FALSE)</f>
        <v>320</v>
      </c>
      <c r="AP130" s="5">
        <f t="shared" ref="AP130:AP193" si="63">IFERROR(AD130-R130,"-")</f>
        <v>30</v>
      </c>
      <c r="AQ130" s="4" t="str">
        <f t="shared" ref="AQ130:AQ193" si="64">IFERROR(AE130-S130,"-")</f>
        <v>-</v>
      </c>
      <c r="AR130" s="4">
        <f t="shared" ref="AR130:AR193" si="65">IFERROR(AF130-T130,"-")</f>
        <v>29</v>
      </c>
      <c r="AS130" s="4">
        <f t="shared" ref="AS130:AS193" si="66">IFERROR(AG130-U130,"-")</f>
        <v>3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25</v>
      </c>
      <c r="AW130" s="4">
        <f t="shared" ref="AW130:AW193" si="70">IFERROR(AK130-Y130,"-")</f>
        <v>2</v>
      </c>
      <c r="AX130" s="4">
        <f t="shared" ref="AX130:AX193" si="71">IFERROR(AL130-Z130,"-")</f>
        <v>34</v>
      </c>
      <c r="AY130" s="4">
        <f t="shared" ref="AY130:AY193" si="72">IFERROR(AM130-AA130,"-")</f>
        <v>33</v>
      </c>
      <c r="AZ130" s="4">
        <f t="shared" ref="AZ130:AZ193" si="73">IFERROR(AN130-AB130,"-")</f>
        <v>32</v>
      </c>
      <c r="BA130" s="4">
        <f t="shared" ref="BA130:BA193" si="74">IFERROR(AO130-AC130,"-")</f>
        <v>14</v>
      </c>
    </row>
    <row r="131" spans="1:53" x14ac:dyDescent="0.2">
      <c r="A131" s="1" t="str">
        <f>'NonXtal_SegEnds_Prot#'!A100</f>
        <v>apj_human</v>
      </c>
      <c r="B131" s="1" t="str">
        <f t="shared" si="50"/>
        <v>SSGALIPAIYMLVFLLGTTGNGLVLWTVFRSRSADIFIASLAVADLTFVVTLPLWATYTYRGTFFCKLSSYLIFVNMYASVFCLTGLSFDRYLAIVRRVSGAVATAVLWVLAALLAMPVMVLRWEVGLGVSSTTVGFVVPFTIMLTCYFFIAQTIAGHFRKEKRRRLLSIIVVLVVTFALCWMPYHLVKTLYMLGPCDFDLFLMNIFPYCTCISYVNSCLNPFLYAFFDPRFRQACTSMLCCG</v>
      </c>
      <c r="C131" s="72" t="str">
        <f>IF(ISERROR(MATCH(A131,'Xtal_SegEnds_Prot#'!B:B, 0)), "NoXtal", "Xtal")</f>
        <v>NoXtal</v>
      </c>
      <c r="D131" s="4" t="str">
        <f>VLOOKUP(A131,Classification!A:D,2,FALSE)</f>
        <v>A</v>
      </c>
      <c r="E131" s="5" t="str">
        <f>VLOOKUP(A131,Seqs!A:B,2,FALSE)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31" s="5" t="str">
        <f t="shared" si="51"/>
        <v>SSGALIPAIYMLVFLLGTTGNGLVLWTVFRS</v>
      </c>
      <c r="G131" s="4" t="str">
        <f t="shared" si="52"/>
        <v/>
      </c>
      <c r="H131" s="4" t="str">
        <f t="shared" si="53"/>
        <v>RSADIFIASLAVADLTFVVTLPLWATYTYR</v>
      </c>
      <c r="I131" s="4" t="str">
        <f t="shared" si="54"/>
        <v>DWPF</v>
      </c>
      <c r="J131" s="4" t="str">
        <f t="shared" si="55"/>
        <v>GTFFCKLSSYLIFVNMYASVFCLTGLSFDRYLAIVR</v>
      </c>
      <c r="K131" s="4" t="str">
        <f t="shared" si="56"/>
        <v>PVANARLR</v>
      </c>
      <c r="L131" s="4" t="str">
        <f t="shared" si="57"/>
        <v>RVSGAVATAVLWVLAALLAMPVMVLR</v>
      </c>
      <c r="M131" s="4" t="str">
        <f t="shared" si="58"/>
        <v>CYM</v>
      </c>
      <c r="N131" s="4" t="str">
        <f t="shared" si="59"/>
        <v>WEVGLGVSSTTVGFVVPFTIMLTCYFFIAQTIAGHFRKE</v>
      </c>
      <c r="O131" s="4" t="str">
        <f t="shared" si="60"/>
        <v>KRRRLLSIIVVLVVTFALCWMPYHLVKTLYMLG</v>
      </c>
      <c r="P131" s="4" t="str">
        <f t="shared" si="61"/>
        <v>PCDFDLFLMNIFPYCTCISYVNSCLNPFLYAFF</v>
      </c>
      <c r="Q131" s="4" t="str">
        <f t="shared" si="62"/>
        <v>DPRFRQACTSMLCCG</v>
      </c>
      <c r="R131" s="5">
        <f>VLOOKUP($A131,'NonXtal_SegEnds_Prot#'!$A:$AL,3,FALSE)</f>
        <v>26</v>
      </c>
      <c r="S131" s="5" t="str">
        <f>VLOOKUP($A131,'NonXtal_SegEnds_Prot#'!$A:$AL,6,FALSE)</f>
        <v>-</v>
      </c>
      <c r="T131" s="5">
        <f>VLOOKUP($A131,'NonXtal_SegEnds_Prot#'!$A:$AL,9,FALSE)</f>
        <v>62</v>
      </c>
      <c r="U131" s="5">
        <f>VLOOKUP($A131,'NonXtal_SegEnds_Prot#'!$A:$AL,12,FALSE)</f>
        <v>94</v>
      </c>
      <c r="V131" s="5">
        <f>VLOOKUP($A131,'NonXtal_SegEnds_Prot#'!$A:$AL,15,FALSE)</f>
        <v>98</v>
      </c>
      <c r="W131" s="5">
        <f>VLOOKUP($A131,'NonXtal_SegEnds_Prot#'!$A:$AL,18,FALSE)</f>
        <v>134</v>
      </c>
      <c r="X131" s="5">
        <f>VLOOKUP($A131,'NonXtal_SegEnds_Prot#'!$A:$AL,21,FALSE)</f>
        <v>143</v>
      </c>
      <c r="Y131" s="5">
        <f>VLOOKUP($A131,'NonXtal_SegEnds_Prot#'!$A:$AL,24,FALSE)</f>
        <v>181</v>
      </c>
      <c r="Z131" s="5">
        <f>VLOOKUP($A131,'NonXtal_SegEnds_Prot#'!$A:$AL,27,FALSE)</f>
        <v>197</v>
      </c>
      <c r="AA131" s="5">
        <f>VLOOKUP($A131,'NonXtal_SegEnds_Prot#'!$A:$AL,30,FALSE)</f>
        <v>242</v>
      </c>
      <c r="AB131" s="5">
        <f>VLOOKUP($A131,'NonXtal_SegEnds_Prot#'!$A:$AL,33,FALSE)</f>
        <v>280</v>
      </c>
      <c r="AC131" s="5">
        <f>VLOOKUP($A131,'NonXtal_SegEnds_Prot#'!$A:$AL,36,FALSE)</f>
        <v>313</v>
      </c>
      <c r="AD131" s="5">
        <f>VLOOKUP($A131,'NonXtal_SegEnds_Prot#'!$A:$AL,5,FALSE)</f>
        <v>56</v>
      </c>
      <c r="AE131" s="5" t="str">
        <f>VLOOKUP($A131,'NonXtal_SegEnds_Prot#'!$A:$AL,8,FALSE)</f>
        <v>-</v>
      </c>
      <c r="AF131" s="5">
        <f>VLOOKUP($A131,'NonXtal_SegEnds_Prot#'!$A:$AL,11,FALSE)</f>
        <v>91</v>
      </c>
      <c r="AG131" s="5">
        <f>VLOOKUP($A131,'NonXtal_SegEnds_Prot#'!$A:$AL,14,FALSE)</f>
        <v>97</v>
      </c>
      <c r="AH131" s="5">
        <f>VLOOKUP($A131,'NonXtal_SegEnds_Prot#'!$A:$AL,17,FALSE)</f>
        <v>133</v>
      </c>
      <c r="AI131" s="5">
        <f>VLOOKUP($A131,'NonXtal_SegEnds_Prot#'!$A:$AL,20,FALSE)</f>
        <v>141</v>
      </c>
      <c r="AJ131" s="5">
        <f>VLOOKUP($A131,'NonXtal_SegEnds_Prot#'!$A:$AL,23,FALSE)</f>
        <v>168</v>
      </c>
      <c r="AK131" s="5">
        <f>VLOOKUP($A131,'NonXtal_SegEnds_Prot#'!$A:$AL,26,FALSE)</f>
        <v>183</v>
      </c>
      <c r="AL131" s="5">
        <f>VLOOKUP($A131,'NonXtal_SegEnds_Prot#'!$A:$AL,29,FALSE)</f>
        <v>235</v>
      </c>
      <c r="AM131" s="5">
        <f>VLOOKUP($A131,'NonXtal_SegEnds_Prot#'!$A:$AL,32,FALSE)</f>
        <v>274</v>
      </c>
      <c r="AN131" s="5">
        <f>VLOOKUP($A131,'NonXtal_SegEnds_Prot#'!$A:$AL,35,FALSE)</f>
        <v>312</v>
      </c>
      <c r="AO131" s="5">
        <f>VLOOKUP($A131,'NonXtal_SegEnds_Prot#'!$A:$AL,38,FALSE)</f>
        <v>327</v>
      </c>
      <c r="AP131" s="5">
        <f t="shared" si="63"/>
        <v>30</v>
      </c>
      <c r="AQ131" s="4" t="str">
        <f t="shared" si="64"/>
        <v>-</v>
      </c>
      <c r="AR131" s="4">
        <f t="shared" si="65"/>
        <v>29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25</v>
      </c>
      <c r="AW131" s="4">
        <f t="shared" si="70"/>
        <v>2</v>
      </c>
      <c r="AX131" s="4">
        <f t="shared" si="71"/>
        <v>38</v>
      </c>
      <c r="AY131" s="4">
        <f t="shared" si="72"/>
        <v>32</v>
      </c>
      <c r="AZ131" s="4">
        <f t="shared" si="73"/>
        <v>32</v>
      </c>
      <c r="BA131" s="4">
        <f t="shared" si="74"/>
        <v>14</v>
      </c>
    </row>
    <row r="132" spans="1:53" x14ac:dyDescent="0.2">
      <c r="A132" s="1" t="str">
        <f>'NonXtal_SegEnds_Prot#'!A101</f>
        <v>agtr1_human</v>
      </c>
      <c r="B132" s="1" t="str">
        <f t="shared" si="50"/>
        <v>YIFVMIPTLYSIIFVVGIFGNSLVVIVIYFYTVASVFLLNLALADLCFLLTLPLWAVYTAMGNYLCKIASASVSFNLYASVFLLTCLSIDRYLAIVHMLVAKVTCIIIWLLAGLASLPAIIHRLPIGLGLTKNILGFLFPFLIILTSYTLIWKALKKAPRNDDIFKIIMAIVLFFFFSWIPHQIFTFLDVLIQLGDCRIADIVDTAMPITICIAYFNNCLNPLFYGFLGKKFKRYFLQLLKYI</v>
      </c>
      <c r="C132" s="72" t="str">
        <f>IF(ISERROR(MATCH(A132,'Xtal_SegEnds_Prot#'!B:B, 0)), "NoXtal", "Xtal")</f>
        <v>Xtal</v>
      </c>
      <c r="D132" s="4" t="str">
        <f>VLOOKUP(A132,Classification!A:D,2,FALSE)</f>
        <v>A</v>
      </c>
      <c r="E132" s="5" t="str">
        <f>VLOOKUP(A132,Seqs!A:B,2,FALSE)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32" s="5" t="str">
        <f t="shared" si="51"/>
        <v>YIFVMIPTLYSIIFVVGIFGNSLVVIVIYFY</v>
      </c>
      <c r="G132" s="4" t="str">
        <f t="shared" si="52"/>
        <v>MKLK</v>
      </c>
      <c r="H132" s="4" t="str">
        <f t="shared" si="53"/>
        <v>TVASVFLLNLALADLCFLLTLPLWAVYTAM</v>
      </c>
      <c r="I132" s="4" t="str">
        <f t="shared" si="54"/>
        <v>RWPF</v>
      </c>
      <c r="J132" s="4" t="str">
        <f t="shared" si="55"/>
        <v>GNYLCKIASASVSFNLYASVFLLTCLSIDRYLAIVH</v>
      </c>
      <c r="K132" s="4" t="str">
        <f t="shared" si="56"/>
        <v>PMKSRLRR</v>
      </c>
      <c r="L132" s="4" t="str">
        <f t="shared" si="57"/>
        <v>MLVAKVTCIIIWLLAGLASLPAIIHR</v>
      </c>
      <c r="M132" s="4" t="str">
        <f t="shared" si="58"/>
        <v>CAF</v>
      </c>
      <c r="N132" s="4" t="str">
        <f t="shared" si="59"/>
        <v>LPIGLGLTKNILGFLFPFLIILTSYTLIWKALKKA</v>
      </c>
      <c r="O132" s="4" t="str">
        <f t="shared" si="60"/>
        <v>PRNDDIFKIIMAIVLFFFFSWIPHQIFTFLDVLIQLG</v>
      </c>
      <c r="P132" s="4" t="str">
        <f t="shared" si="61"/>
        <v>DCRIADIVDTAMPITICIAYFNNCLNPLFYGFL</v>
      </c>
      <c r="Q132" s="4" t="str">
        <f t="shared" si="62"/>
        <v>GKKFKRYFLQLLKYI</v>
      </c>
      <c r="R132" s="5">
        <f>VLOOKUP($A132,'NonXtal_SegEnds_Prot#'!$A:$AL,3,FALSE)</f>
        <v>26</v>
      </c>
      <c r="S132" s="5">
        <f>VLOOKUP($A132,'NonXtal_SegEnds_Prot#'!$A:$AL,6,FALSE)</f>
        <v>57</v>
      </c>
      <c r="T132" s="5">
        <f>VLOOKUP($A132,'NonXtal_SegEnds_Prot#'!$A:$AL,9,FALSE)</f>
        <v>61</v>
      </c>
      <c r="U132" s="5">
        <f>VLOOKUP($A132,'NonXtal_SegEnds_Prot#'!$A:$AL,12,FALSE)</f>
        <v>93</v>
      </c>
      <c r="V132" s="5">
        <f>VLOOKUP($A132,'NonXtal_SegEnds_Prot#'!$A:$AL,15,FALSE)</f>
        <v>97</v>
      </c>
      <c r="W132" s="5">
        <f>VLOOKUP($A132,'NonXtal_SegEnds_Prot#'!$A:$AL,18,FALSE)</f>
        <v>133</v>
      </c>
      <c r="X132" s="5">
        <f>VLOOKUP($A132,'NonXtal_SegEnds_Prot#'!$A:$AL,21,FALSE)</f>
        <v>142</v>
      </c>
      <c r="Y132" s="5">
        <f>VLOOKUP($A132,'NonXtal_SegEnds_Prot#'!$A:$AL,24,FALSE)</f>
        <v>180</v>
      </c>
      <c r="Z132" s="5">
        <f>VLOOKUP($A132,'NonXtal_SegEnds_Prot#'!$A:$AL,27,FALSE)</f>
        <v>191</v>
      </c>
      <c r="AA132" s="5">
        <f>VLOOKUP($A132,'NonXtal_SegEnds_Prot#'!$A:$AL,30,FALSE)</f>
        <v>233</v>
      </c>
      <c r="AB132" s="5">
        <f>VLOOKUP($A132,'NonXtal_SegEnds_Prot#'!$A:$AL,33,FALSE)</f>
        <v>273</v>
      </c>
      <c r="AC132" s="5">
        <f>VLOOKUP($A132,'NonXtal_SegEnds_Prot#'!$A:$AL,36,FALSE)</f>
        <v>306</v>
      </c>
      <c r="AD132" s="5">
        <f>VLOOKUP($A132,'NonXtal_SegEnds_Prot#'!$A:$AL,5,FALSE)</f>
        <v>56</v>
      </c>
      <c r="AE132" s="5">
        <f>VLOOKUP($A132,'NonXtal_SegEnds_Prot#'!$A:$AL,8,FALSE)</f>
        <v>60</v>
      </c>
      <c r="AF132" s="5">
        <f>VLOOKUP($A132,'NonXtal_SegEnds_Prot#'!$A:$AL,11,FALSE)</f>
        <v>90</v>
      </c>
      <c r="AG132" s="5">
        <f>VLOOKUP($A132,'NonXtal_SegEnds_Prot#'!$A:$AL,14,FALSE)</f>
        <v>96</v>
      </c>
      <c r="AH132" s="5">
        <f>VLOOKUP($A132,'NonXtal_SegEnds_Prot#'!$A:$AL,17,FALSE)</f>
        <v>132</v>
      </c>
      <c r="AI132" s="5">
        <f>VLOOKUP($A132,'NonXtal_SegEnds_Prot#'!$A:$AL,20,FALSE)</f>
        <v>140</v>
      </c>
      <c r="AJ132" s="5">
        <f>VLOOKUP($A132,'NonXtal_SegEnds_Prot#'!$A:$AL,23,FALSE)</f>
        <v>167</v>
      </c>
      <c r="AK132" s="5">
        <f>VLOOKUP($A132,'NonXtal_SegEnds_Prot#'!$A:$AL,26,FALSE)</f>
        <v>182</v>
      </c>
      <c r="AL132" s="5">
        <f>VLOOKUP($A132,'NonXtal_SegEnds_Prot#'!$A:$AL,29,FALSE)</f>
        <v>225</v>
      </c>
      <c r="AM132" s="5">
        <f>VLOOKUP($A132,'NonXtal_SegEnds_Prot#'!$A:$AL,32,FALSE)</f>
        <v>269</v>
      </c>
      <c r="AN132" s="5">
        <f>VLOOKUP($A132,'NonXtal_SegEnds_Prot#'!$A:$AL,35,FALSE)</f>
        <v>305</v>
      </c>
      <c r="AO132" s="5">
        <f>VLOOKUP($A132,'NonXtal_SegEnds_Prot#'!$A:$AL,38,FALSE)</f>
        <v>320</v>
      </c>
      <c r="AP132" s="5">
        <f t="shared" si="63"/>
        <v>30</v>
      </c>
      <c r="AQ132" s="4">
        <f t="shared" si="64"/>
        <v>3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25</v>
      </c>
      <c r="AW132" s="4">
        <f t="shared" si="70"/>
        <v>2</v>
      </c>
      <c r="AX132" s="4">
        <f t="shared" si="71"/>
        <v>34</v>
      </c>
      <c r="AY132" s="4">
        <f t="shared" si="72"/>
        <v>36</v>
      </c>
      <c r="AZ132" s="4">
        <f t="shared" si="73"/>
        <v>32</v>
      </c>
      <c r="BA132" s="4">
        <f t="shared" si="74"/>
        <v>14</v>
      </c>
    </row>
    <row r="133" spans="1:53" x14ac:dyDescent="0.2">
      <c r="A133" s="1" t="str">
        <f>'NonXtal_SegEnds_Prot#'!A102</f>
        <v>gpr33_human</v>
      </c>
      <c r="B133" s="1" t="str">
        <f t="shared" si="50"/>
        <v>ASKMIIALSLYISSIIGTITNGLYLWVLRFKTVNTLLFFHLILSYFISTMILPFMATSQLQGTALCKVFNGTLSLGMFTSVFFLSAIGLDRYLLTLHPRWASSIVLGVWISAAALSIPYLIFRIHVACFISRFLLGFLLPFFIIIFCYERVASKVKERSSKPFKVMMTAIISFFVCWMPYHIHQGLLLTTLELTLILTVLTTSFNTIFSPTLYLFVGENFKKVFKKSILAL</v>
      </c>
      <c r="C133" s="72" t="str">
        <f>IF(ISERROR(MATCH(A133,'Xtal_SegEnds_Prot#'!B:B,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33" s="5" t="str">
        <f t="shared" si="51"/>
        <v>ASKMIIALSLYISSIIGTITNGLYLWVLRFK</v>
      </c>
      <c r="G133" s="4" t="str">
        <f t="shared" si="52"/>
        <v/>
      </c>
      <c r="H133" s="4" t="str">
        <f t="shared" si="53"/>
        <v>TVNTLLFFHLILSYFISTMILPFMATSQLQ</v>
      </c>
      <c r="I133" s="4" t="str">
        <f t="shared" si="54"/>
        <v>HWNF</v>
      </c>
      <c r="J133" s="4" t="str">
        <f t="shared" si="55"/>
        <v>GTALCKVFNGTLSLGMFTSVFFLSAIGLDRYLLTLH</v>
      </c>
      <c r="K133" s="4" t="str">
        <f t="shared" si="56"/>
        <v>PVWSQQHR</v>
      </c>
      <c r="L133" s="4" t="str">
        <f t="shared" si="57"/>
        <v>PRWASSIVLGVWISAAALSIPYLIFR</v>
      </c>
      <c r="M133" s="4" t="str">
        <f t="shared" si="58"/>
        <v>CQN</v>
      </c>
      <c r="N133" s="4" t="str">
        <f t="shared" si="59"/>
        <v>IHVACFISRFLLGFLLPFFIIIFCYERVASKVKER</v>
      </c>
      <c r="O133" s="4" t="str">
        <f t="shared" si="60"/>
        <v>SSKPFKVMMTAIISFFVCWMPYHIHQGLLLTT</v>
      </c>
      <c r="P133" s="4" t="str">
        <f t="shared" si="61"/>
        <v>LELTLILTVLTTSFNTIFSPTLYLFV</v>
      </c>
      <c r="Q133" s="4" t="str">
        <f t="shared" si="62"/>
        <v>GENFKKVFKKSILAL</v>
      </c>
      <c r="R133" s="5">
        <f>VLOOKUP($A133,'NonXtal_SegEnds_Prot#'!$A:$AL,3,FALSE)</f>
        <v>27</v>
      </c>
      <c r="S133" s="5" t="str">
        <f>VLOOKUP($A133,'NonXtal_SegEnds_Prot#'!$A:$AL,6,FALSE)</f>
        <v>-</v>
      </c>
      <c r="T133" s="5">
        <f>VLOOKUP($A133,'NonXtal_SegEnds_Prot#'!$A:$AL,9,FALSE)</f>
        <v>61</v>
      </c>
      <c r="U133" s="5">
        <f>VLOOKUP($A133,'NonXtal_SegEnds_Prot#'!$A:$AL,12,FALSE)</f>
        <v>93</v>
      </c>
      <c r="V133" s="5">
        <f>VLOOKUP($A133,'NonXtal_SegEnds_Prot#'!$A:$AL,15,FALSE)</f>
        <v>97</v>
      </c>
      <c r="W133" s="5">
        <f>VLOOKUP($A133,'NonXtal_SegEnds_Prot#'!$A:$AL,18,FALSE)</f>
        <v>133</v>
      </c>
      <c r="X133" s="5">
        <f>VLOOKUP($A133,'NonXtal_SegEnds_Prot#'!$A:$AL,21,FALSE)</f>
        <v>142</v>
      </c>
      <c r="Y133" s="5">
        <f>VLOOKUP($A133,'NonXtal_SegEnds_Prot#'!$A:$AL,24,FALSE)</f>
        <v>179</v>
      </c>
      <c r="Z133" s="5">
        <f>VLOOKUP($A133,'NonXtal_SegEnds_Prot#'!$A:$AL,27,FALSE)</f>
        <v>201</v>
      </c>
      <c r="AA133" s="5">
        <f>VLOOKUP($A133,'NonXtal_SegEnds_Prot#'!$A:$AL,30,FALSE)</f>
        <v>240</v>
      </c>
      <c r="AB133" s="5">
        <f>VLOOKUP($A133,'NonXtal_SegEnds_Prot#'!$A:$AL,33,FALSE)</f>
        <v>277</v>
      </c>
      <c r="AC133" s="5">
        <f>VLOOKUP($A133,'NonXtal_SegEnds_Prot#'!$A:$AL,36,FALSE)</f>
        <v>303</v>
      </c>
      <c r="AD133" s="5">
        <f>VLOOKUP($A133,'NonXtal_SegEnds_Prot#'!$A:$AL,5,FALSE)</f>
        <v>57</v>
      </c>
      <c r="AE133" s="5" t="str">
        <f>VLOOKUP($A133,'NonXtal_SegEnds_Prot#'!$A:$AL,8,FALSE)</f>
        <v>-</v>
      </c>
      <c r="AF133" s="5">
        <f>VLOOKUP($A133,'NonXtal_SegEnds_Prot#'!$A:$AL,11,FALSE)</f>
        <v>90</v>
      </c>
      <c r="AG133" s="5">
        <f>VLOOKUP($A133,'NonXtal_SegEnds_Prot#'!$A:$AL,14,FALSE)</f>
        <v>96</v>
      </c>
      <c r="AH133" s="5">
        <f>VLOOKUP($A133,'NonXtal_SegEnds_Prot#'!$A:$AL,17,FALSE)</f>
        <v>132</v>
      </c>
      <c r="AI133" s="5">
        <f>VLOOKUP($A133,'NonXtal_SegEnds_Prot#'!$A:$AL,20,FALSE)</f>
        <v>140</v>
      </c>
      <c r="AJ133" s="5">
        <f>VLOOKUP($A133,'NonXtal_SegEnds_Prot#'!$A:$AL,23,FALSE)</f>
        <v>167</v>
      </c>
      <c r="AK133" s="5">
        <f>VLOOKUP($A133,'NonXtal_SegEnds_Prot#'!$A:$AL,26,FALSE)</f>
        <v>181</v>
      </c>
      <c r="AL133" s="5">
        <f>VLOOKUP($A133,'NonXtal_SegEnds_Prot#'!$A:$AL,29,FALSE)</f>
        <v>235</v>
      </c>
      <c r="AM133" s="5">
        <f>VLOOKUP($A133,'NonXtal_SegEnds_Prot#'!$A:$AL,32,FALSE)</f>
        <v>271</v>
      </c>
      <c r="AN133" s="5">
        <f>VLOOKUP($A133,'NonXtal_SegEnds_Prot#'!$A:$AL,35,FALSE)</f>
        <v>302</v>
      </c>
      <c r="AO133" s="5">
        <f>VLOOKUP($A133,'NonXtal_SegEnds_Prot#'!$A:$AL,38,FALSE)</f>
        <v>317</v>
      </c>
      <c r="AP133" s="5">
        <f t="shared" si="63"/>
        <v>30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34</v>
      </c>
      <c r="AY133" s="4">
        <f t="shared" si="72"/>
        <v>31</v>
      </c>
      <c r="AZ133" s="4">
        <f t="shared" si="73"/>
        <v>25</v>
      </c>
      <c r="BA133" s="4">
        <f t="shared" si="74"/>
        <v>14</v>
      </c>
    </row>
    <row r="134" spans="1:53" x14ac:dyDescent="0.2">
      <c r="A134" s="1" t="str">
        <f>'NonXtal_SegEnds_Prot#'!A103</f>
        <v>ogr1_human</v>
      </c>
      <c r="B134" s="1" t="str">
        <f t="shared" si="50"/>
        <v>IHQTLAPVVYVTVLVVGFPANCLSLYFGYLQNELGVYLCNLTVADLFYICSLPFWLQYVLQGDLSCQVCGILLYENIYISVGFLCCISVDRYLAVAHLKAAVGVSVVIWAKELLTSIYFLMHEWQRAINYYRFLVGFLFPICLLLASYQGILRAVRRQKSRKDQIQRLVLSTVVIFLACFLPYHVLLLVRSVWAKGVFNAYHFSLLLTSFNCVADPVLYCFVSETTHRDLARLRGAC</v>
      </c>
      <c r="C134" s="72" t="str">
        <f>IF(ISERROR(MATCH(A134,'Xtal_SegEnds_Prot#'!B:B,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134" s="5" t="str">
        <f t="shared" si="51"/>
        <v>IHQTLAPVVYVTVLVVGFPANCLSLYFGYLQ</v>
      </c>
      <c r="G134" s="4" t="str">
        <f t="shared" si="52"/>
        <v/>
      </c>
      <c r="H134" s="4" t="str">
        <f t="shared" si="53"/>
        <v>NELGVYLCNLTVADLFYICSLPFWLQYVLQ</v>
      </c>
      <c r="I134" s="4" t="str">
        <f t="shared" si="54"/>
        <v>NWSH</v>
      </c>
      <c r="J134" s="4" t="str">
        <f t="shared" si="55"/>
        <v>GDLSCQVCGILLYENIYISVGFLCCISVDRYLAVAH</v>
      </c>
      <c r="K134" s="4" t="str">
        <f t="shared" si="56"/>
        <v>PFRFHQFR</v>
      </c>
      <c r="L134" s="4" t="str">
        <f t="shared" si="57"/>
        <v>LKAAVGVSVVIWAKELLTSIYFLMHE</v>
      </c>
      <c r="M134" s="4" t="str">
        <f t="shared" si="58"/>
        <v>CFE</v>
      </c>
      <c r="N134" s="4" t="str">
        <f t="shared" si="59"/>
        <v>WQRAINYYRFLVGFLFPICLLLASYQGILRAVRR</v>
      </c>
      <c r="O134" s="4" t="str">
        <f t="shared" si="60"/>
        <v>QKSRKDQIQRLVLSTVVIFLACFLPYHVLLLVRSVW</v>
      </c>
      <c r="P134" s="4" t="str">
        <f t="shared" si="61"/>
        <v>AKGVFNAYHFSLLLTSFNCVADPVLYCFV</v>
      </c>
      <c r="Q134" s="4" t="str">
        <f t="shared" si="62"/>
        <v>SETTHRDLARLRGAC</v>
      </c>
      <c r="R134" s="5">
        <f>VLOOKUP($A134,'NonXtal_SegEnds_Prot#'!$A:$AL,3,FALSE)</f>
        <v>19</v>
      </c>
      <c r="S134" s="5" t="str">
        <f>VLOOKUP($A134,'NonXtal_SegEnds_Prot#'!$A:$AL,6,FALSE)</f>
        <v>-</v>
      </c>
      <c r="T134" s="5">
        <f>VLOOKUP($A134,'NonXtal_SegEnds_Prot#'!$A:$AL,9,FALSE)</f>
        <v>54</v>
      </c>
      <c r="U134" s="5">
        <f>VLOOKUP($A134,'NonXtal_SegEnds_Prot#'!$A:$AL,12,FALSE)</f>
        <v>86</v>
      </c>
      <c r="V134" s="5">
        <f>VLOOKUP($A134,'NonXtal_SegEnds_Prot#'!$A:$AL,15,FALSE)</f>
        <v>90</v>
      </c>
      <c r="W134" s="5">
        <f>VLOOKUP($A134,'NonXtal_SegEnds_Prot#'!$A:$AL,18,FALSE)</f>
        <v>126</v>
      </c>
      <c r="X134" s="5">
        <f>VLOOKUP($A134,'NonXtal_SegEnds_Prot#'!$A:$AL,21,FALSE)</f>
        <v>135</v>
      </c>
      <c r="Y134" s="5">
        <f>VLOOKUP($A134,'NonXtal_SegEnds_Prot#'!$A:$AL,24,FALSE)</f>
        <v>172</v>
      </c>
      <c r="Z134" s="5">
        <f>VLOOKUP($A134,'NonXtal_SegEnds_Prot#'!$A:$AL,27,FALSE)</f>
        <v>181</v>
      </c>
      <c r="AA134" s="5">
        <f>VLOOKUP($A134,'NonXtal_SegEnds_Prot#'!$A:$AL,30,FALSE)</f>
        <v>219</v>
      </c>
      <c r="AB134" s="5">
        <f>VLOOKUP($A134,'NonXtal_SegEnds_Prot#'!$A:$AL,33,FALSE)</f>
        <v>261</v>
      </c>
      <c r="AC134" s="5">
        <f>VLOOKUP($A134,'NonXtal_SegEnds_Prot#'!$A:$AL,36,FALSE)</f>
        <v>290</v>
      </c>
      <c r="AD134" s="5">
        <f>VLOOKUP($A134,'NonXtal_SegEnds_Prot#'!$A:$AL,5,FALSE)</f>
        <v>49</v>
      </c>
      <c r="AE134" s="5" t="str">
        <f>VLOOKUP($A134,'NonXtal_SegEnds_Prot#'!$A:$AL,8,FALSE)</f>
        <v>-</v>
      </c>
      <c r="AF134" s="5">
        <f>VLOOKUP($A134,'NonXtal_SegEnds_Prot#'!$A:$AL,11,FALSE)</f>
        <v>83</v>
      </c>
      <c r="AG134" s="5">
        <f>VLOOKUP($A134,'NonXtal_SegEnds_Prot#'!$A:$AL,14,FALSE)</f>
        <v>89</v>
      </c>
      <c r="AH134" s="5">
        <f>VLOOKUP($A134,'NonXtal_SegEnds_Prot#'!$A:$AL,17,FALSE)</f>
        <v>125</v>
      </c>
      <c r="AI134" s="5">
        <f>VLOOKUP($A134,'NonXtal_SegEnds_Prot#'!$A:$AL,20,FALSE)</f>
        <v>133</v>
      </c>
      <c r="AJ134" s="5">
        <f>VLOOKUP($A134,'NonXtal_SegEnds_Prot#'!$A:$AL,23,FALSE)</f>
        <v>160</v>
      </c>
      <c r="AK134" s="5">
        <f>VLOOKUP($A134,'NonXtal_SegEnds_Prot#'!$A:$AL,26,FALSE)</f>
        <v>174</v>
      </c>
      <c r="AL134" s="5">
        <f>VLOOKUP($A134,'NonXtal_SegEnds_Prot#'!$A:$AL,29,FALSE)</f>
        <v>214</v>
      </c>
      <c r="AM134" s="5">
        <f>VLOOKUP($A134,'NonXtal_SegEnds_Prot#'!$A:$AL,32,FALSE)</f>
        <v>254</v>
      </c>
      <c r="AN134" s="5">
        <f>VLOOKUP($A134,'NonXtal_SegEnds_Prot#'!$A:$AL,35,FALSE)</f>
        <v>289</v>
      </c>
      <c r="AO134" s="5">
        <f>VLOOKUP($A134,'NonXtal_SegEnds_Prot#'!$A:$AL,38,FALSE)</f>
        <v>304</v>
      </c>
      <c r="AP134" s="5">
        <f t="shared" si="63"/>
        <v>30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25</v>
      </c>
      <c r="AW134" s="4">
        <f t="shared" si="70"/>
        <v>2</v>
      </c>
      <c r="AX134" s="4">
        <f t="shared" si="71"/>
        <v>33</v>
      </c>
      <c r="AY134" s="4">
        <f t="shared" si="72"/>
        <v>35</v>
      </c>
      <c r="AZ134" s="4">
        <f t="shared" si="73"/>
        <v>28</v>
      </c>
      <c r="BA134" s="4">
        <f t="shared" si="74"/>
        <v>14</v>
      </c>
    </row>
    <row r="135" spans="1:53" x14ac:dyDescent="0.2">
      <c r="A135" s="1" t="str">
        <f>'NonXtal_SegEnds_Prot#'!A104</f>
        <v>lt4r1_human</v>
      </c>
      <c r="B135" s="1" t="str">
        <f t="shared" si="50"/>
        <v>FISLLAIILLSVALAVGLPGNSFVVWSILKRSVTALMVLNLALADLAVLLTAPFFLHFLAQGLAGCRLCHYVCGVSMYASVLLITAMSLDRSLAVARKAMARRVLAGIWVLSFLLATPVLAYRHRAFHLIFEAVTGFLLPFLAVVASYSDIGRRLQARSRRTGRLVVLIILTFAAFWLPYHVVNLAEAGRALALGLVGKRLSLARNVLIALAFLSSSVNPVLYACAGGGLLRSAGVGFVAK</v>
      </c>
      <c r="C135" s="72" t="str">
        <f>IF(ISERROR(MATCH(A135,'Xtal_SegEnds_Prot#'!B:B,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35" s="5" t="str">
        <f t="shared" si="51"/>
        <v>FISLLAIILLSVALAVGLPGNSFVVWSILKR</v>
      </c>
      <c r="G135" s="4" t="str">
        <f t="shared" si="52"/>
        <v>MQKR</v>
      </c>
      <c r="H135" s="4" t="str">
        <f t="shared" si="53"/>
        <v>SVTALMVLNLALADLAVLLTAPFFLHFLAQ</v>
      </c>
      <c r="I135" s="4" t="str">
        <f t="shared" si="54"/>
        <v>TWSF</v>
      </c>
      <c r="J135" s="4" t="str">
        <f t="shared" si="55"/>
        <v>GLAGCRLCHYVCGVSMYASVLLITAMSLDRSLAVAR</v>
      </c>
      <c r="K135" s="4" t="str">
        <f t="shared" si="56"/>
        <v>PFVSQKLR</v>
      </c>
      <c r="L135" s="4" t="str">
        <f t="shared" si="57"/>
        <v>KAMARRVLAGIWVLSFLLATPVLAYR</v>
      </c>
      <c r="M135" s="4" t="str">
        <f t="shared" si="58"/>
        <v>CFP</v>
      </c>
      <c r="N135" s="4" t="str">
        <f t="shared" si="59"/>
        <v>HRAFHLIFEAVTGFLLPFLAVVASYSDIGRRLQAR</v>
      </c>
      <c r="O135" s="4" t="str">
        <f t="shared" si="60"/>
        <v>SRRTGRLVVLIILTFAAFWLPYHVVNLAEAGRALA</v>
      </c>
      <c r="P135" s="4" t="str">
        <f t="shared" si="61"/>
        <v>LGLVGKRLSLARNVLIALAFLSSSVNPVLYACA</v>
      </c>
      <c r="Q135" s="4" t="str">
        <f t="shared" si="62"/>
        <v>GGGLLRSAGVGFVAK</v>
      </c>
      <c r="R135" s="5">
        <f>VLOOKUP($A135,'NonXtal_SegEnds_Prot#'!$A:$AL,3,FALSE)</f>
        <v>16</v>
      </c>
      <c r="S135" s="5">
        <f>VLOOKUP($A135,'NonXtal_SegEnds_Prot#'!$A:$AL,6,FALSE)</f>
        <v>47</v>
      </c>
      <c r="T135" s="5">
        <f>VLOOKUP($A135,'NonXtal_SegEnds_Prot#'!$A:$AL,9,FALSE)</f>
        <v>51</v>
      </c>
      <c r="U135" s="5">
        <f>VLOOKUP($A135,'NonXtal_SegEnds_Prot#'!$A:$AL,12,FALSE)</f>
        <v>82</v>
      </c>
      <c r="V135" s="5">
        <f>VLOOKUP($A135,'NonXtal_SegEnds_Prot#'!$A:$AL,15,FALSE)</f>
        <v>86</v>
      </c>
      <c r="W135" s="5">
        <f>VLOOKUP($A135,'NonXtal_SegEnds_Prot#'!$A:$AL,18,FALSE)</f>
        <v>122</v>
      </c>
      <c r="X135" s="5">
        <f>VLOOKUP($A135,'NonXtal_SegEnds_Prot#'!$A:$AL,21,FALSE)</f>
        <v>131</v>
      </c>
      <c r="Y135" s="5">
        <f>VLOOKUP($A135,'NonXtal_SegEnds_Prot#'!$A:$AL,24,FALSE)</f>
        <v>168</v>
      </c>
      <c r="Z135" s="5">
        <f>VLOOKUP($A135,'NonXtal_SegEnds_Prot#'!$A:$AL,27,FALSE)</f>
        <v>177</v>
      </c>
      <c r="AA135" s="5">
        <f>VLOOKUP($A135,'NonXtal_SegEnds_Prot#'!$A:$AL,30,FALSE)</f>
        <v>216</v>
      </c>
      <c r="AB135" s="5">
        <f>VLOOKUP($A135,'NonXtal_SegEnds_Prot#'!$A:$AL,33,FALSE)</f>
        <v>256</v>
      </c>
      <c r="AC135" s="5">
        <f>VLOOKUP($A135,'NonXtal_SegEnds_Prot#'!$A:$AL,36,FALSE)</f>
        <v>289</v>
      </c>
      <c r="AD135" s="5">
        <f>VLOOKUP($A135,'NonXtal_SegEnds_Prot#'!$A:$AL,5,FALSE)</f>
        <v>46</v>
      </c>
      <c r="AE135" s="5">
        <f>VLOOKUP($A135,'NonXtal_SegEnds_Prot#'!$A:$AL,8,FALSE)</f>
        <v>50</v>
      </c>
      <c r="AF135" s="5">
        <f>VLOOKUP($A135,'NonXtal_SegEnds_Prot#'!$A:$AL,11,FALSE)</f>
        <v>80</v>
      </c>
      <c r="AG135" s="5">
        <f>VLOOKUP($A135,'NonXtal_SegEnds_Prot#'!$A:$AL,14,FALSE)</f>
        <v>85</v>
      </c>
      <c r="AH135" s="5">
        <f>VLOOKUP($A135,'NonXtal_SegEnds_Prot#'!$A:$AL,17,FALSE)</f>
        <v>121</v>
      </c>
      <c r="AI135" s="5">
        <f>VLOOKUP($A135,'NonXtal_SegEnds_Prot#'!$A:$AL,20,FALSE)</f>
        <v>129</v>
      </c>
      <c r="AJ135" s="5">
        <f>VLOOKUP($A135,'NonXtal_SegEnds_Prot#'!$A:$AL,23,FALSE)</f>
        <v>156</v>
      </c>
      <c r="AK135" s="5">
        <f>VLOOKUP($A135,'NonXtal_SegEnds_Prot#'!$A:$AL,26,FALSE)</f>
        <v>170</v>
      </c>
      <c r="AL135" s="5">
        <f>VLOOKUP($A135,'NonXtal_SegEnds_Prot#'!$A:$AL,29,FALSE)</f>
        <v>211</v>
      </c>
      <c r="AM135" s="5">
        <f>VLOOKUP($A135,'NonXtal_SegEnds_Prot#'!$A:$AL,32,FALSE)</f>
        <v>250</v>
      </c>
      <c r="AN135" s="5">
        <f>VLOOKUP($A135,'NonXtal_SegEnds_Prot#'!$A:$AL,35,FALSE)</f>
        <v>288</v>
      </c>
      <c r="AO135" s="5">
        <f>VLOOKUP($A135,'NonXtal_SegEnds_Prot#'!$A:$AL,38,FALSE)</f>
        <v>303</v>
      </c>
      <c r="AP135" s="5">
        <f t="shared" si="63"/>
        <v>30</v>
      </c>
      <c r="AQ135" s="4">
        <f t="shared" si="64"/>
        <v>3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25</v>
      </c>
      <c r="AW135" s="4">
        <f t="shared" si="70"/>
        <v>2</v>
      </c>
      <c r="AX135" s="4">
        <f t="shared" si="71"/>
        <v>34</v>
      </c>
      <c r="AY135" s="4">
        <f t="shared" si="72"/>
        <v>34</v>
      </c>
      <c r="AZ135" s="4">
        <f t="shared" si="73"/>
        <v>32</v>
      </c>
      <c r="BA135" s="4">
        <f t="shared" si="74"/>
        <v>14</v>
      </c>
    </row>
    <row r="136" spans="1:53" x14ac:dyDescent="0.2">
      <c r="A136" s="1" t="str">
        <f>'NonXtal_SegEnds_Prot#'!A105</f>
        <v>ccr7_human</v>
      </c>
      <c r="B136" s="1" t="str">
        <f t="shared" si="50"/>
        <v>VRNFKAWFLPIMYSIICFVGLLGNGLVVLTYIYFTMTDTYLLNLAVADILFLLTLPFWAYSAAKGVHFCKLIFAIYKMSFFSGMLLLLCISIDRYVAIVQLLISKLSCVGIWILATVLSIPELLYSHVEAFITIQVAQMVIGFLVPLLAMSFCYLVIIRTLLQARNKAIKVIIAVVVVFIVFQLPYNGVVLAQTVANFNITCELSKQLNIAYDVTYSLACVRCCVNPFLYAFIGVKFRNDLFKLFK</v>
      </c>
      <c r="C136" s="72" t="str">
        <f>IF(ISERROR(MATCH(A136,'Xtal_SegEnds_Prot#'!B:B,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136" s="5" t="str">
        <f t="shared" si="51"/>
        <v>VRNFKAWFLPIMYSIICFVGLLGNGLVVLTYIYF</v>
      </c>
      <c r="G136" s="4" t="str">
        <f t="shared" si="52"/>
        <v>KRLK</v>
      </c>
      <c r="H136" s="4" t="str">
        <f t="shared" si="53"/>
        <v>TMTDTYLLNLAVADILFLLTLPFWAYSAAK</v>
      </c>
      <c r="I136" s="4" t="str">
        <f t="shared" si="54"/>
        <v>SWVF</v>
      </c>
      <c r="J136" s="4" t="str">
        <f t="shared" si="55"/>
        <v>GVHFCKLIFAIYKMSFFSGMLLLLCISIDRYVAIVQ</v>
      </c>
      <c r="K136" s="4" t="str">
        <f t="shared" si="56"/>
        <v>AVSAHRHRA</v>
      </c>
      <c r="L136" s="4" t="str">
        <f t="shared" si="57"/>
        <v>LLISKLSCVGIWILATVLSIPELLYS</v>
      </c>
      <c r="M136" s="4" t="str">
        <f t="shared" si="58"/>
        <v>CSL</v>
      </c>
      <c r="N136" s="4" t="str">
        <f t="shared" si="59"/>
        <v>HVEAFITIQVAQMVIGFLVPLLAMSFCYLVIIRTLLQA</v>
      </c>
      <c r="O136" s="4" t="str">
        <f t="shared" si="60"/>
        <v>RNKAIKVIIAVVVVFIVFQLPYNGVVLAQTVANFNI</v>
      </c>
      <c r="P136" s="4" t="str">
        <f t="shared" si="61"/>
        <v>TCELSKQLNIAYDVTYSLACVRCCVNPFLYAFI</v>
      </c>
      <c r="Q136" s="4" t="str">
        <f t="shared" si="62"/>
        <v>GVKFRNDLFKLFK</v>
      </c>
      <c r="R136" s="5">
        <f>VLOOKUP($A136,'NonXtal_SegEnds_Prot#'!$A:$AL,3,FALSE)</f>
        <v>53</v>
      </c>
      <c r="S136" s="5">
        <f>VLOOKUP($A136,'NonXtal_SegEnds_Prot#'!$A:$AL,6,FALSE)</f>
        <v>87</v>
      </c>
      <c r="T136" s="5">
        <f>VLOOKUP($A136,'NonXtal_SegEnds_Prot#'!$A:$AL,9,FALSE)</f>
        <v>91</v>
      </c>
      <c r="U136" s="5">
        <f>VLOOKUP($A136,'NonXtal_SegEnds_Prot#'!$A:$AL,12,FALSE)</f>
        <v>121</v>
      </c>
      <c r="V136" s="5">
        <f>VLOOKUP($A136,'NonXtal_SegEnds_Prot#'!$A:$AL,15,FALSE)</f>
        <v>125</v>
      </c>
      <c r="W136" s="5">
        <f>VLOOKUP($A136,'NonXtal_SegEnds_Prot#'!$A:$AL,18,FALSE)</f>
        <v>161</v>
      </c>
      <c r="X136" s="5">
        <f>VLOOKUP($A136,'NonXtal_SegEnds_Prot#'!$A:$AL,21,FALSE)</f>
        <v>172</v>
      </c>
      <c r="Y136" s="5">
        <f>VLOOKUP($A136,'NonXtal_SegEnds_Prot#'!$A:$AL,24,FALSE)</f>
        <v>210</v>
      </c>
      <c r="Z136" s="5">
        <f>VLOOKUP($A136,'NonXtal_SegEnds_Prot#'!$A:$AL,27,FALSE)</f>
        <v>216</v>
      </c>
      <c r="AA136" s="5">
        <f>VLOOKUP($A136,'NonXtal_SegEnds_Prot#'!$A:$AL,30,FALSE)</f>
        <v>258</v>
      </c>
      <c r="AB136" s="5">
        <f>VLOOKUP($A136,'NonXtal_SegEnds_Prot#'!$A:$AL,33,FALSE)</f>
        <v>297</v>
      </c>
      <c r="AC136" s="5">
        <f>VLOOKUP($A136,'NonXtal_SegEnds_Prot#'!$A:$AL,36,FALSE)</f>
        <v>330</v>
      </c>
      <c r="AD136" s="5">
        <f>VLOOKUP($A136,'NonXtal_SegEnds_Prot#'!$A:$AL,5,FALSE)</f>
        <v>86</v>
      </c>
      <c r="AE136" s="5">
        <f>VLOOKUP($A136,'NonXtal_SegEnds_Prot#'!$A:$AL,8,FALSE)</f>
        <v>90</v>
      </c>
      <c r="AF136" s="5">
        <f>VLOOKUP($A136,'NonXtal_SegEnds_Prot#'!$A:$AL,11,FALSE)</f>
        <v>120</v>
      </c>
      <c r="AG136" s="5">
        <f>VLOOKUP($A136,'NonXtal_SegEnds_Prot#'!$A:$AL,14,FALSE)</f>
        <v>124</v>
      </c>
      <c r="AH136" s="5">
        <f>VLOOKUP($A136,'NonXtal_SegEnds_Prot#'!$A:$AL,17,FALSE)</f>
        <v>160</v>
      </c>
      <c r="AI136" s="5">
        <f>VLOOKUP($A136,'NonXtal_SegEnds_Prot#'!$A:$AL,20,FALSE)</f>
        <v>169</v>
      </c>
      <c r="AJ136" s="5">
        <f>VLOOKUP($A136,'NonXtal_SegEnds_Prot#'!$A:$AL,23,FALSE)</f>
        <v>197</v>
      </c>
      <c r="AK136" s="5">
        <f>VLOOKUP($A136,'NonXtal_SegEnds_Prot#'!$A:$AL,26,FALSE)</f>
        <v>212</v>
      </c>
      <c r="AL136" s="5">
        <f>VLOOKUP($A136,'NonXtal_SegEnds_Prot#'!$A:$AL,29,FALSE)</f>
        <v>253</v>
      </c>
      <c r="AM136" s="5">
        <f>VLOOKUP($A136,'NonXtal_SegEnds_Prot#'!$A:$AL,32,FALSE)</f>
        <v>293</v>
      </c>
      <c r="AN136" s="5">
        <f>VLOOKUP($A136,'NonXtal_SegEnds_Prot#'!$A:$AL,35,FALSE)</f>
        <v>329</v>
      </c>
      <c r="AO136" s="5">
        <f>VLOOKUP($A136,'NonXtal_SegEnds_Prot#'!$A:$AL,38,FALSE)</f>
        <v>342</v>
      </c>
      <c r="AP136" s="5">
        <f t="shared" si="63"/>
        <v>33</v>
      </c>
      <c r="AQ136" s="4">
        <f t="shared" si="64"/>
        <v>3</v>
      </c>
      <c r="AR136" s="4">
        <f t="shared" si="65"/>
        <v>29</v>
      </c>
      <c r="AS136" s="4">
        <f t="shared" si="66"/>
        <v>3</v>
      </c>
      <c r="AT136" s="4">
        <f t="shared" si="67"/>
        <v>35</v>
      </c>
      <c r="AU136" s="4">
        <f t="shared" si="68"/>
        <v>8</v>
      </c>
      <c r="AV136" s="4">
        <f t="shared" si="69"/>
        <v>25</v>
      </c>
      <c r="AW136" s="4">
        <f t="shared" si="70"/>
        <v>2</v>
      </c>
      <c r="AX136" s="4">
        <f t="shared" si="71"/>
        <v>37</v>
      </c>
      <c r="AY136" s="4">
        <f t="shared" si="72"/>
        <v>35</v>
      </c>
      <c r="AZ136" s="4">
        <f t="shared" si="73"/>
        <v>32</v>
      </c>
      <c r="BA136" s="4">
        <f t="shared" si="74"/>
        <v>12</v>
      </c>
    </row>
    <row r="137" spans="1:53" x14ac:dyDescent="0.2">
      <c r="A137" s="1" t="str">
        <f>'NonXtal_SegEnds_Prot#'!A106</f>
        <v>ccr9_human</v>
      </c>
      <c r="B137" s="1" t="str">
        <f t="shared" si="50"/>
        <v>VRQFASHFLPPLYWLVFIVGALGNSLVILVYWYCTMTDMFLLNLAIADLLFLVTLPFWAIAAADQTFMCKVVNSMYKMNFYSCVLLIMCISVDRYIAIAQLLYSKMVCFTIWVLAAALCIPEILYSSTKLKSAVLTLKVILGFFLPFVVMACCYTIIIHTLIQAKHKALKVTITVLTVFVLSQFPYNCILLVQTIDAYAMNCAVSTNIDICFQVTQTIAFFHSCLNPVLYVFVGERFRRDLVKTLK</v>
      </c>
      <c r="C137" s="72" t="str">
        <f>IF(ISERROR(MATCH(A137,'Xtal_SegEnds_Prot#'!B:B,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137" s="5" t="str">
        <f t="shared" si="51"/>
        <v>VRQFASHFLPPLYWLVFIVGALGNSLVILVYWYC</v>
      </c>
      <c r="G137" s="4" t="str">
        <f t="shared" si="52"/>
        <v>TRVK</v>
      </c>
      <c r="H137" s="4" t="str">
        <f t="shared" si="53"/>
        <v>TMTDMFLLNLAIADLLFLVTLPFWAIAAAD</v>
      </c>
      <c r="I137" s="4" t="str">
        <f t="shared" si="54"/>
        <v>QWKF</v>
      </c>
      <c r="J137" s="4" t="str">
        <f t="shared" si="55"/>
        <v>QTFMCKVVNSMYKMNFYSCVLLIMCISVDRYIAIAQ</v>
      </c>
      <c r="K137" s="4" t="str">
        <f t="shared" si="56"/>
        <v>AMRAHTWRE</v>
      </c>
      <c r="L137" s="4" t="str">
        <f t="shared" si="57"/>
        <v>LLYSKMVCFTIWVLAAALCIPEILYS</v>
      </c>
      <c r="M137" s="4" t="str">
        <f t="shared" si="58"/>
        <v>CTM</v>
      </c>
      <c r="N137" s="4" t="str">
        <f t="shared" si="59"/>
        <v>STKLKSAVLTLKVILGFFLPFVVMACCYTIIIHTLIQA</v>
      </c>
      <c r="O137" s="4" t="str">
        <f t="shared" si="60"/>
        <v>KHKALKVTITVLTVFVLSQFPYNCILLVQTIDAYAM</v>
      </c>
      <c r="P137" s="4" t="str">
        <f t="shared" si="61"/>
        <v>NCAVSTNIDICFQVTQTIAFFHSCLNPVLYVFV</v>
      </c>
      <c r="Q137" s="4" t="str">
        <f t="shared" si="62"/>
        <v>GERFRRDLVKTLK</v>
      </c>
      <c r="R137" s="5">
        <f>VLOOKUP($A137,'NonXtal_SegEnds_Prot#'!$A:$AL,3,FALSE)</f>
        <v>43</v>
      </c>
      <c r="S137" s="5">
        <f>VLOOKUP($A137,'NonXtal_SegEnds_Prot#'!$A:$AL,6,FALSE)</f>
        <v>77</v>
      </c>
      <c r="T137" s="5">
        <f>VLOOKUP($A137,'NonXtal_SegEnds_Prot#'!$A:$AL,9,FALSE)</f>
        <v>81</v>
      </c>
      <c r="U137" s="5">
        <f>VLOOKUP($A137,'NonXtal_SegEnds_Prot#'!$A:$AL,12,FALSE)</f>
        <v>111</v>
      </c>
      <c r="V137" s="5">
        <f>VLOOKUP($A137,'NonXtal_SegEnds_Prot#'!$A:$AL,15,FALSE)</f>
        <v>115</v>
      </c>
      <c r="W137" s="5">
        <f>VLOOKUP($A137,'NonXtal_SegEnds_Prot#'!$A:$AL,18,FALSE)</f>
        <v>151</v>
      </c>
      <c r="X137" s="5">
        <f>VLOOKUP($A137,'NonXtal_SegEnds_Prot#'!$A:$AL,21,FALSE)</f>
        <v>162</v>
      </c>
      <c r="Y137" s="5">
        <f>VLOOKUP($A137,'NonXtal_SegEnds_Prot#'!$A:$AL,24,FALSE)</f>
        <v>198</v>
      </c>
      <c r="Z137" s="5">
        <f>VLOOKUP($A137,'NonXtal_SegEnds_Prot#'!$A:$AL,27,FALSE)</f>
        <v>207</v>
      </c>
      <c r="AA137" s="5">
        <f>VLOOKUP($A137,'NonXtal_SegEnds_Prot#'!$A:$AL,30,FALSE)</f>
        <v>249</v>
      </c>
      <c r="AB137" s="5">
        <f>VLOOKUP($A137,'NonXtal_SegEnds_Prot#'!$A:$AL,33,FALSE)</f>
        <v>288</v>
      </c>
      <c r="AC137" s="5">
        <f>VLOOKUP($A137,'NonXtal_SegEnds_Prot#'!$A:$AL,36,FALSE)</f>
        <v>321</v>
      </c>
      <c r="AD137" s="5">
        <f>VLOOKUP($A137,'NonXtal_SegEnds_Prot#'!$A:$AL,5,FALSE)</f>
        <v>76</v>
      </c>
      <c r="AE137" s="5">
        <f>VLOOKUP($A137,'NonXtal_SegEnds_Prot#'!$A:$AL,8,FALSE)</f>
        <v>80</v>
      </c>
      <c r="AF137" s="5">
        <f>VLOOKUP($A137,'NonXtal_SegEnds_Prot#'!$A:$AL,11,FALSE)</f>
        <v>110</v>
      </c>
      <c r="AG137" s="5">
        <f>VLOOKUP($A137,'NonXtal_SegEnds_Prot#'!$A:$AL,14,FALSE)</f>
        <v>114</v>
      </c>
      <c r="AH137" s="5">
        <f>VLOOKUP($A137,'NonXtal_SegEnds_Prot#'!$A:$AL,17,FALSE)</f>
        <v>150</v>
      </c>
      <c r="AI137" s="5">
        <f>VLOOKUP($A137,'NonXtal_SegEnds_Prot#'!$A:$AL,20,FALSE)</f>
        <v>159</v>
      </c>
      <c r="AJ137" s="5">
        <f>VLOOKUP($A137,'NonXtal_SegEnds_Prot#'!$A:$AL,23,FALSE)</f>
        <v>187</v>
      </c>
      <c r="AK137" s="5">
        <f>VLOOKUP($A137,'NonXtal_SegEnds_Prot#'!$A:$AL,26,FALSE)</f>
        <v>200</v>
      </c>
      <c r="AL137" s="5">
        <f>VLOOKUP($A137,'NonXtal_SegEnds_Prot#'!$A:$AL,29,FALSE)</f>
        <v>244</v>
      </c>
      <c r="AM137" s="5">
        <f>VLOOKUP($A137,'NonXtal_SegEnds_Prot#'!$A:$AL,32,FALSE)</f>
        <v>284</v>
      </c>
      <c r="AN137" s="5">
        <f>VLOOKUP($A137,'NonXtal_SegEnds_Prot#'!$A:$AL,35,FALSE)</f>
        <v>320</v>
      </c>
      <c r="AO137" s="5">
        <f>VLOOKUP($A137,'NonXtal_SegEnds_Prot#'!$A:$AL,38,FALSE)</f>
        <v>333</v>
      </c>
      <c r="AP137" s="5">
        <f t="shared" si="63"/>
        <v>33</v>
      </c>
      <c r="AQ137" s="4">
        <f t="shared" si="64"/>
        <v>3</v>
      </c>
      <c r="AR137" s="4">
        <f t="shared" si="65"/>
        <v>29</v>
      </c>
      <c r="AS137" s="4">
        <f t="shared" si="66"/>
        <v>3</v>
      </c>
      <c r="AT137" s="4">
        <f t="shared" si="67"/>
        <v>35</v>
      </c>
      <c r="AU137" s="4">
        <f t="shared" si="68"/>
        <v>8</v>
      </c>
      <c r="AV137" s="4">
        <f t="shared" si="69"/>
        <v>25</v>
      </c>
      <c r="AW137" s="4">
        <f t="shared" si="70"/>
        <v>2</v>
      </c>
      <c r="AX137" s="4">
        <f t="shared" si="71"/>
        <v>37</v>
      </c>
      <c r="AY137" s="4">
        <f t="shared" si="72"/>
        <v>35</v>
      </c>
      <c r="AZ137" s="4">
        <f t="shared" si="73"/>
        <v>32</v>
      </c>
      <c r="BA137" s="4">
        <f t="shared" si="74"/>
        <v>12</v>
      </c>
    </row>
    <row r="138" spans="1:53" x14ac:dyDescent="0.2">
      <c r="A138" s="1" t="str">
        <f>'NonXtal_SegEnds_Prot#'!A107</f>
        <v>ccr6_human</v>
      </c>
      <c r="B138" s="1" t="str">
        <f t="shared" si="50"/>
        <v>VRQFSRLFVPIAYSLICVFGLLGNILVVITFAFYSMTDVYLLNMAIADILFVLTLPFWAVSHATSNATCKLLKGIYAINFNCGMLLLTCISMDRYIAIVQLPRSKIICLVVWGLSVIISSSTFVFNPIRWKLLMLGLELLFGFFIPLMFMIFCYTFIVKTLVQARHKAIRVIIAVVLVFLACQIPHNMVLLVTAANLGKMSCQSEKLIGYTKTVTEVLAFLHCCLNPVLYAFIGQKFRNYFLKILK</v>
      </c>
      <c r="C138" s="72" t="str">
        <f>IF(ISERROR(MATCH(A138,'Xtal_SegEnds_Prot#'!B:B,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138" s="5" t="str">
        <f t="shared" si="51"/>
        <v>VRQFSRLFVPIAYSLICVFGLLGNILVVITFAFY</v>
      </c>
      <c r="G138" s="4" t="str">
        <f t="shared" si="52"/>
        <v>KKAR</v>
      </c>
      <c r="H138" s="4" t="str">
        <f t="shared" si="53"/>
        <v>SMTDVYLLNMAIADILFVLTLPFWAVSHAT</v>
      </c>
      <c r="I138" s="4" t="str">
        <f t="shared" si="54"/>
        <v>AWVF</v>
      </c>
      <c r="J138" s="4" t="str">
        <f t="shared" si="55"/>
        <v>SNATCKLLKGIYAINFNCGMLLLTCISMDRYIAIVQ</v>
      </c>
      <c r="K138" s="4" t="str">
        <f t="shared" si="56"/>
        <v>ATKSFRLRS</v>
      </c>
      <c r="L138" s="4" t="str">
        <f t="shared" si="57"/>
        <v>LPRSKIICLVVWGLSVIISSSTFVFN</v>
      </c>
      <c r="M138" s="4" t="str">
        <f t="shared" si="58"/>
        <v>CEP</v>
      </c>
      <c r="N138" s="4" t="str">
        <f t="shared" si="59"/>
        <v>PIRWKLLMLGLELLFGFFIPLMFMIFCYTFIVKTLVQA</v>
      </c>
      <c r="O138" s="4" t="str">
        <f t="shared" si="60"/>
        <v>RHKAIRVIIAVVLVFLACQIPHNMVLLVTAANLGKM</v>
      </c>
      <c r="P138" s="4" t="str">
        <f t="shared" si="61"/>
        <v>SCQSEKLIGYTKTVTEVLAFLHCCLNPVLYAFI</v>
      </c>
      <c r="Q138" s="4" t="str">
        <f t="shared" si="62"/>
        <v>GQKFRNYFLKILK</v>
      </c>
      <c r="R138" s="5">
        <f>VLOOKUP($A138,'NonXtal_SegEnds_Prot#'!$A:$AL,3,FALSE)</f>
        <v>41</v>
      </c>
      <c r="S138" s="5">
        <f>VLOOKUP($A138,'NonXtal_SegEnds_Prot#'!$A:$AL,6,FALSE)</f>
        <v>75</v>
      </c>
      <c r="T138" s="5">
        <f>VLOOKUP($A138,'NonXtal_SegEnds_Prot#'!$A:$AL,9,FALSE)</f>
        <v>79</v>
      </c>
      <c r="U138" s="5">
        <f>VLOOKUP($A138,'NonXtal_SegEnds_Prot#'!$A:$AL,12,FALSE)</f>
        <v>110</v>
      </c>
      <c r="V138" s="5">
        <f>VLOOKUP($A138,'NonXtal_SegEnds_Prot#'!$A:$AL,15,FALSE)</f>
        <v>114</v>
      </c>
      <c r="W138" s="5">
        <f>VLOOKUP($A138,'NonXtal_SegEnds_Prot#'!$A:$AL,18,FALSE)</f>
        <v>150</v>
      </c>
      <c r="X138" s="5">
        <f>VLOOKUP($A138,'NonXtal_SegEnds_Prot#'!$A:$AL,21,FALSE)</f>
        <v>161</v>
      </c>
      <c r="Y138" s="5">
        <f>VLOOKUP($A138,'NonXtal_SegEnds_Prot#'!$A:$AL,24,FALSE)</f>
        <v>197</v>
      </c>
      <c r="Z138" s="5">
        <f>VLOOKUP($A138,'NonXtal_SegEnds_Prot#'!$A:$AL,27,FALSE)</f>
        <v>207</v>
      </c>
      <c r="AA138" s="5">
        <f>VLOOKUP($A138,'NonXtal_SegEnds_Prot#'!$A:$AL,30,FALSE)</f>
        <v>249</v>
      </c>
      <c r="AB138" s="5">
        <f>VLOOKUP($A138,'NonXtal_SegEnds_Prot#'!$A:$AL,33,FALSE)</f>
        <v>287</v>
      </c>
      <c r="AC138" s="5">
        <f>VLOOKUP($A138,'NonXtal_SegEnds_Prot#'!$A:$AL,36,FALSE)</f>
        <v>320</v>
      </c>
      <c r="AD138" s="5">
        <f>VLOOKUP($A138,'NonXtal_SegEnds_Prot#'!$A:$AL,5,FALSE)</f>
        <v>74</v>
      </c>
      <c r="AE138" s="5">
        <f>VLOOKUP($A138,'NonXtal_SegEnds_Prot#'!$A:$AL,8,FALSE)</f>
        <v>78</v>
      </c>
      <c r="AF138" s="5">
        <f>VLOOKUP($A138,'NonXtal_SegEnds_Prot#'!$A:$AL,11,FALSE)</f>
        <v>108</v>
      </c>
      <c r="AG138" s="5">
        <f>VLOOKUP($A138,'NonXtal_SegEnds_Prot#'!$A:$AL,14,FALSE)</f>
        <v>113</v>
      </c>
      <c r="AH138" s="5">
        <f>VLOOKUP($A138,'NonXtal_SegEnds_Prot#'!$A:$AL,17,FALSE)</f>
        <v>149</v>
      </c>
      <c r="AI138" s="5">
        <f>VLOOKUP($A138,'NonXtal_SegEnds_Prot#'!$A:$AL,20,FALSE)</f>
        <v>158</v>
      </c>
      <c r="AJ138" s="5">
        <f>VLOOKUP($A138,'NonXtal_SegEnds_Prot#'!$A:$AL,23,FALSE)</f>
        <v>186</v>
      </c>
      <c r="AK138" s="5">
        <f>VLOOKUP($A138,'NonXtal_SegEnds_Prot#'!$A:$AL,26,FALSE)</f>
        <v>199</v>
      </c>
      <c r="AL138" s="5">
        <f>VLOOKUP($A138,'NonXtal_SegEnds_Prot#'!$A:$AL,29,FALSE)</f>
        <v>244</v>
      </c>
      <c r="AM138" s="5">
        <f>VLOOKUP($A138,'NonXtal_SegEnds_Prot#'!$A:$AL,32,FALSE)</f>
        <v>284</v>
      </c>
      <c r="AN138" s="5">
        <f>VLOOKUP($A138,'NonXtal_SegEnds_Prot#'!$A:$AL,35,FALSE)</f>
        <v>319</v>
      </c>
      <c r="AO138" s="5">
        <f>VLOOKUP($A138,'NonXtal_SegEnds_Prot#'!$A:$AL,38,FALSE)</f>
        <v>332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35</v>
      </c>
      <c r="AU138" s="4">
        <f t="shared" si="68"/>
        <v>8</v>
      </c>
      <c r="AV138" s="4">
        <f t="shared" si="69"/>
        <v>25</v>
      </c>
      <c r="AW138" s="4">
        <f t="shared" si="70"/>
        <v>2</v>
      </c>
      <c r="AX138" s="4">
        <f t="shared" si="71"/>
        <v>37</v>
      </c>
      <c r="AY138" s="4">
        <f t="shared" si="72"/>
        <v>35</v>
      </c>
      <c r="AZ138" s="4">
        <f t="shared" si="73"/>
        <v>32</v>
      </c>
      <c r="BA138" s="4">
        <f t="shared" si="74"/>
        <v>12</v>
      </c>
    </row>
    <row r="139" spans="1:53" x14ac:dyDescent="0.2">
      <c r="A139" s="1" t="str">
        <f>'NonXtal_SegEnds_Prot#'!A108</f>
        <v>cxcr2_human</v>
      </c>
      <c r="B139" s="1" t="str">
        <f t="shared" si="50"/>
        <v>SLEINKYFVVIIYALVFLLSLLGNSLVMLVILYSSVTDVYLLNLALADLLFALTLPIWAASKVNGTFLCKVVSLLKEVNFYSGILLLACISVDRYLAIVHRYLVKFICLSIWGLSLLLALPVLLFRTANWRMLLRILPQSFGFIVPLLIMLFCYGFTLRTLFKAKHRAMRVIFAVVLIFLLCWLPYNLVLLADTLMRTQTCERRNHIDRALDATEILGILHSCLNPLIYAFIGQKFRHGLLKILA</v>
      </c>
      <c r="C139" s="72" t="str">
        <f>IF(ISERROR(MATCH(A139,'Xtal_SegEnds_Prot#'!B:B,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139" s="5" t="str">
        <f t="shared" si="51"/>
        <v>SLEINKYFVVIIYALVFLLSLLGNSLVMLVILYS</v>
      </c>
      <c r="G139" s="4" t="str">
        <f t="shared" si="52"/>
        <v>RVGR</v>
      </c>
      <c r="H139" s="4" t="str">
        <f t="shared" si="53"/>
        <v>SVTDVYLLNLALADLLFALTLPIWAASKVN</v>
      </c>
      <c r="I139" s="4" t="str">
        <f t="shared" si="54"/>
        <v>GWIF</v>
      </c>
      <c r="J139" s="4" t="str">
        <f t="shared" si="55"/>
        <v>GTFLCKVVSLLKEVNFYSGILLLACISVDRYLAIVH</v>
      </c>
      <c r="K139" s="4" t="str">
        <f t="shared" si="56"/>
        <v>ATRTLTQK</v>
      </c>
      <c r="L139" s="4" t="str">
        <f t="shared" si="57"/>
        <v>RYLVKFICLSIWGLSLLLALPVLLFR</v>
      </c>
      <c r="M139" s="4" t="str">
        <f t="shared" si="58"/>
        <v>CYE</v>
      </c>
      <c r="N139" s="4" t="str">
        <f t="shared" si="59"/>
        <v>TANWRMLLRILPQSFGFIVPLLIMLFCYGFTLRTLFKA</v>
      </c>
      <c r="O139" s="4" t="str">
        <f t="shared" si="60"/>
        <v>KHRAMRVIFAVVLIFLLCWLPYNLVLLADTLMRTQ</v>
      </c>
      <c r="P139" s="4" t="str">
        <f t="shared" si="61"/>
        <v>TCERRNHIDRALDATEILGILHSCLNPLIYAFI</v>
      </c>
      <c r="Q139" s="4" t="str">
        <f t="shared" si="62"/>
        <v>GQKFRHGLLKILA</v>
      </c>
      <c r="R139" s="5">
        <f>VLOOKUP($A139,'NonXtal_SegEnds_Prot#'!$A:$AL,3,FALSE)</f>
        <v>43</v>
      </c>
      <c r="S139" s="5">
        <f>VLOOKUP($A139,'NonXtal_SegEnds_Prot#'!$A:$AL,6,FALSE)</f>
        <v>77</v>
      </c>
      <c r="T139" s="5">
        <f>VLOOKUP($A139,'NonXtal_SegEnds_Prot#'!$A:$AL,9,FALSE)</f>
        <v>81</v>
      </c>
      <c r="U139" s="5">
        <f>VLOOKUP($A139,'NonXtal_SegEnds_Prot#'!$A:$AL,12,FALSE)</f>
        <v>111</v>
      </c>
      <c r="V139" s="5">
        <f>VLOOKUP($A139,'NonXtal_SegEnds_Prot#'!$A:$AL,15,FALSE)</f>
        <v>115</v>
      </c>
      <c r="W139" s="5">
        <f>VLOOKUP($A139,'NonXtal_SegEnds_Prot#'!$A:$AL,18,FALSE)</f>
        <v>151</v>
      </c>
      <c r="X139" s="5">
        <f>VLOOKUP($A139,'NonXtal_SegEnds_Prot#'!$A:$AL,21,FALSE)</f>
        <v>159</v>
      </c>
      <c r="Y139" s="5">
        <f>VLOOKUP($A139,'NonXtal_SegEnds_Prot#'!$A:$AL,24,FALSE)</f>
        <v>196</v>
      </c>
      <c r="Z139" s="5">
        <f>VLOOKUP($A139,'NonXtal_SegEnds_Prot#'!$A:$AL,27,FALSE)</f>
        <v>204</v>
      </c>
      <c r="AA139" s="5">
        <f>VLOOKUP($A139,'NonXtal_SegEnds_Prot#'!$A:$AL,30,FALSE)</f>
        <v>246</v>
      </c>
      <c r="AB139" s="5">
        <f>VLOOKUP($A139,'NonXtal_SegEnds_Prot#'!$A:$AL,33,FALSE)</f>
        <v>285</v>
      </c>
      <c r="AC139" s="5">
        <f>VLOOKUP($A139,'NonXtal_SegEnds_Prot#'!$A:$AL,36,FALSE)</f>
        <v>318</v>
      </c>
      <c r="AD139" s="5">
        <f>VLOOKUP($A139,'NonXtal_SegEnds_Prot#'!$A:$AL,5,FALSE)</f>
        <v>76</v>
      </c>
      <c r="AE139" s="5">
        <f>VLOOKUP($A139,'NonXtal_SegEnds_Prot#'!$A:$AL,8,FALSE)</f>
        <v>80</v>
      </c>
      <c r="AF139" s="5">
        <f>VLOOKUP($A139,'NonXtal_SegEnds_Prot#'!$A:$AL,11,FALSE)</f>
        <v>110</v>
      </c>
      <c r="AG139" s="5">
        <f>VLOOKUP($A139,'NonXtal_SegEnds_Prot#'!$A:$AL,14,FALSE)</f>
        <v>114</v>
      </c>
      <c r="AH139" s="5">
        <f>VLOOKUP($A139,'NonXtal_SegEnds_Prot#'!$A:$AL,17,FALSE)</f>
        <v>150</v>
      </c>
      <c r="AI139" s="5">
        <f>VLOOKUP($A139,'NonXtal_SegEnds_Prot#'!$A:$AL,20,FALSE)</f>
        <v>158</v>
      </c>
      <c r="AJ139" s="5">
        <f>VLOOKUP($A139,'NonXtal_SegEnds_Prot#'!$A:$AL,23,FALSE)</f>
        <v>184</v>
      </c>
      <c r="AK139" s="5">
        <f>VLOOKUP($A139,'NonXtal_SegEnds_Prot#'!$A:$AL,26,FALSE)</f>
        <v>198</v>
      </c>
      <c r="AL139" s="5">
        <f>VLOOKUP($A139,'NonXtal_SegEnds_Prot#'!$A:$AL,29,FALSE)</f>
        <v>241</v>
      </c>
      <c r="AM139" s="5">
        <f>VLOOKUP($A139,'NonXtal_SegEnds_Prot#'!$A:$AL,32,FALSE)</f>
        <v>280</v>
      </c>
      <c r="AN139" s="5">
        <f>VLOOKUP($A139,'NonXtal_SegEnds_Prot#'!$A:$AL,35,FALSE)</f>
        <v>317</v>
      </c>
      <c r="AO139" s="5">
        <f>VLOOKUP($A139,'NonXtal_SegEnds_Prot#'!$A:$AL,38,FALSE)</f>
        <v>330</v>
      </c>
      <c r="AP139" s="5">
        <f t="shared" si="63"/>
        <v>33</v>
      </c>
      <c r="AQ139" s="4">
        <f t="shared" si="64"/>
        <v>3</v>
      </c>
      <c r="AR139" s="4">
        <f t="shared" si="65"/>
        <v>29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25</v>
      </c>
      <c r="AW139" s="4">
        <f t="shared" si="70"/>
        <v>2</v>
      </c>
      <c r="AX139" s="4">
        <f t="shared" si="71"/>
        <v>37</v>
      </c>
      <c r="AY139" s="4">
        <f t="shared" si="72"/>
        <v>34</v>
      </c>
      <c r="AZ139" s="4">
        <f t="shared" si="73"/>
        <v>32</v>
      </c>
      <c r="BA139" s="4">
        <f t="shared" si="74"/>
        <v>12</v>
      </c>
    </row>
    <row r="140" spans="1:53" x14ac:dyDescent="0.2">
      <c r="A140" s="1" t="str">
        <f>'NonXtal_SegEnds_Prot#'!A109</f>
        <v>ackr1_human</v>
      </c>
      <c r="B140" s="1" t="str">
        <f t="shared" si="50"/>
        <v>SCNLLDDSALPFFILTSVLGILASSTVLFMLFRPCPGWPVLAQLAVGSALFSIVVPVLAPGLGSLCSLGYCVWYGSAFAQALLLGCHASLGHRLGAGPGLTLGLTVGIWGVAALLTLPVTLASYSTELKALQATHTVACLAIFVLLPLGLFGAKGLKPGPWMNILWAWFIFWWPHGVVLGLDFLVRSKTCLAQQALDLLLNLAEALAILHCVATPLLLALFCHQATRTLLPSLP</v>
      </c>
      <c r="C140" s="72" t="str">
        <f>IF(ISERROR(MATCH(A140,'Xtal_SegEnds_Prot#'!B:B,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140" s="5" t="str">
        <f t="shared" si="51"/>
        <v>SCNLLDDSALPFFILTSVLGILASSTVLFMLFRP</v>
      </c>
      <c r="G140" s="4" t="str">
        <f t="shared" si="52"/>
        <v/>
      </c>
      <c r="H140" s="4" t="str">
        <f t="shared" si="53"/>
        <v>CPGWPVLAQLAVGSALFSIVVPVLAPGLGS</v>
      </c>
      <c r="I140" s="4" t="str">
        <f t="shared" si="54"/>
        <v/>
      </c>
      <c r="J140" s="4" t="str">
        <f t="shared" si="55"/>
        <v>LCSLGYCVWYGSAFAQALLLGCHASLGHRLGAG</v>
      </c>
      <c r="K140" s="4" t="str">
        <f t="shared" si="56"/>
        <v/>
      </c>
      <c r="L140" s="4" t="str">
        <f t="shared" si="57"/>
        <v>PGLTLGLTVGIWGVAALLTLPVTLAS</v>
      </c>
      <c r="M140" s="4" t="str">
        <f t="shared" si="58"/>
        <v>CTL</v>
      </c>
      <c r="N140" s="4" t="str">
        <f t="shared" si="59"/>
        <v>YSTELKALQATHTVACLAIFVLLPLGLFGAKGLK</v>
      </c>
      <c r="O140" s="4" t="str">
        <f t="shared" si="60"/>
        <v>PGPWMNILWAWFIFWWPHGVVLGLDFLVRSK</v>
      </c>
      <c r="P140" s="4" t="str">
        <f t="shared" si="61"/>
        <v>TCLAQQALDLLLNLAEALAILHCVATPLLLALF</v>
      </c>
      <c r="Q140" s="4" t="str">
        <f t="shared" si="62"/>
        <v>CHQATRTLLPSLP</v>
      </c>
      <c r="R140" s="5">
        <f>VLOOKUP($A140,'NonXtal_SegEnds_Prot#'!$A:$AL,3,FALSE)</f>
        <v>53</v>
      </c>
      <c r="S140" s="5" t="str">
        <f>VLOOKUP($A140,'NonXtal_SegEnds_Prot#'!$A:$AL,6,FALSE)</f>
        <v>-</v>
      </c>
      <c r="T140" s="5">
        <f>VLOOKUP($A140,'NonXtal_SegEnds_Prot#'!$A:$AL,9,FALSE)</f>
        <v>93</v>
      </c>
      <c r="U140" s="5" t="str">
        <f>VLOOKUP($A140,'NonXtal_SegEnds_Prot#'!$A:$AL,12,FALSE)</f>
        <v>-</v>
      </c>
      <c r="V140" s="5">
        <f>VLOOKUP($A140,'NonXtal_SegEnds_Prot#'!$A:$AL,15,FALSE)</f>
        <v>128</v>
      </c>
      <c r="W140" s="5" t="str">
        <f>VLOOKUP($A140,'NonXtal_SegEnds_Prot#'!$A:$AL,18,FALSE)</f>
        <v>-</v>
      </c>
      <c r="X140" s="5">
        <f>VLOOKUP($A140,'NonXtal_SegEnds_Prot#'!$A:$AL,21,FALSE)</f>
        <v>163</v>
      </c>
      <c r="Y140" s="5">
        <f>VLOOKUP($A140,'NonXtal_SegEnds_Prot#'!$A:$AL,24,FALSE)</f>
        <v>195</v>
      </c>
      <c r="Z140" s="5">
        <f>VLOOKUP($A140,'NonXtal_SegEnds_Prot#'!$A:$AL,27,FALSE)</f>
        <v>199</v>
      </c>
      <c r="AA140" s="5">
        <f>VLOOKUP($A140,'NonXtal_SegEnds_Prot#'!$A:$AL,30,FALSE)</f>
        <v>239</v>
      </c>
      <c r="AB140" s="5">
        <f>VLOOKUP($A140,'NonXtal_SegEnds_Prot#'!$A:$AL,33,FALSE)</f>
        <v>275</v>
      </c>
      <c r="AC140" s="5">
        <f>VLOOKUP($A140,'NonXtal_SegEnds_Prot#'!$A:$AL,36,FALSE)</f>
        <v>308</v>
      </c>
      <c r="AD140" s="5">
        <f>VLOOKUP($A140,'NonXtal_SegEnds_Prot#'!$A:$AL,5,FALSE)</f>
        <v>86</v>
      </c>
      <c r="AE140" s="5" t="str">
        <f>VLOOKUP($A140,'NonXtal_SegEnds_Prot#'!$A:$AL,8,FALSE)</f>
        <v>-</v>
      </c>
      <c r="AF140" s="5">
        <f>VLOOKUP($A140,'NonXtal_SegEnds_Prot#'!$A:$AL,11,FALSE)</f>
        <v>122</v>
      </c>
      <c r="AG140" s="5" t="str">
        <f>VLOOKUP($A140,'NonXtal_SegEnds_Prot#'!$A:$AL,14,FALSE)</f>
        <v>-</v>
      </c>
      <c r="AH140" s="5">
        <f>VLOOKUP($A140,'NonXtal_SegEnds_Prot#'!$A:$AL,17,FALSE)</f>
        <v>160</v>
      </c>
      <c r="AI140" s="5" t="str">
        <f>VLOOKUP($A140,'NonXtal_SegEnds_Prot#'!$A:$AL,20,FALSE)</f>
        <v>-</v>
      </c>
      <c r="AJ140" s="5">
        <f>VLOOKUP($A140,'NonXtal_SegEnds_Prot#'!$A:$AL,23,FALSE)</f>
        <v>188</v>
      </c>
      <c r="AK140" s="5">
        <f>VLOOKUP($A140,'NonXtal_SegEnds_Prot#'!$A:$AL,26,FALSE)</f>
        <v>197</v>
      </c>
      <c r="AL140" s="5">
        <f>VLOOKUP($A140,'NonXtal_SegEnds_Prot#'!$A:$AL,29,FALSE)</f>
        <v>232</v>
      </c>
      <c r="AM140" s="5">
        <f>VLOOKUP($A140,'NonXtal_SegEnds_Prot#'!$A:$AL,32,FALSE)</f>
        <v>269</v>
      </c>
      <c r="AN140" s="5">
        <f>VLOOKUP($A140,'NonXtal_SegEnds_Prot#'!$A:$AL,35,FALSE)</f>
        <v>307</v>
      </c>
      <c r="AO140" s="5">
        <f>VLOOKUP($A140,'NonXtal_SegEnds_Prot#'!$A:$AL,38,FALSE)</f>
        <v>320</v>
      </c>
      <c r="AP140" s="5">
        <f t="shared" si="63"/>
        <v>33</v>
      </c>
      <c r="AQ140" s="4" t="str">
        <f t="shared" si="64"/>
        <v>-</v>
      </c>
      <c r="AR140" s="4">
        <f t="shared" si="65"/>
        <v>29</v>
      </c>
      <c r="AS140" s="4" t="str">
        <f t="shared" si="66"/>
        <v>-</v>
      </c>
      <c r="AT140" s="4">
        <f t="shared" si="67"/>
        <v>32</v>
      </c>
      <c r="AU140" s="4" t="str">
        <f t="shared" si="68"/>
        <v>-</v>
      </c>
      <c r="AV140" s="4">
        <f t="shared" si="69"/>
        <v>25</v>
      </c>
      <c r="AW140" s="4">
        <f t="shared" si="70"/>
        <v>2</v>
      </c>
      <c r="AX140" s="4">
        <f t="shared" si="71"/>
        <v>33</v>
      </c>
      <c r="AY140" s="4">
        <f t="shared" si="72"/>
        <v>30</v>
      </c>
      <c r="AZ140" s="4">
        <f t="shared" si="73"/>
        <v>32</v>
      </c>
      <c r="BA140" s="4">
        <f t="shared" si="74"/>
        <v>12</v>
      </c>
    </row>
    <row r="141" spans="1:53" x14ac:dyDescent="0.2">
      <c r="A141" s="1" t="str">
        <f>'NonXtal_SegEnds_Prot#'!A110</f>
        <v>ackr2_human</v>
      </c>
      <c r="B141" s="1" t="str">
        <f t="shared" si="50"/>
        <v>VVSFGKVFLPVFYSLIFVLGLSGNLLLLMVLLRYRMVEIYLLNLAISNLLFLVTLPFWGISVAWLCKMVSTLYTINFYSGIFFISCMSLDKYLEIVHRAKSLLLATIVWAVSLAVSIPDMVFVGTIWKLFLRFQQNLLGFLLPLLAMIFFYSRIGCVLVRLQGRALKIAAALVVAFFVLWFPYNLTLFLHTLLDLQNCEVSQHLDYALQVTESIAFLHCCFSPILYAFSSHRFRQYLKAFLA</v>
      </c>
      <c r="C141" s="72" t="str">
        <f>IF(ISERROR(MATCH(A141,'Xtal_SegEnds_Prot#'!B:B,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141" s="5" t="str">
        <f t="shared" si="51"/>
        <v>VVSFGKVFLPVFYSLIFVLGLSGNLLLLMVLLRY</v>
      </c>
      <c r="G141" s="4" t="str">
        <f t="shared" si="52"/>
        <v>VPRR</v>
      </c>
      <c r="H141" s="4" t="str">
        <f t="shared" si="53"/>
        <v>RMVEIYLLNLAISNLLFLVTLPFWGISVAW</v>
      </c>
      <c r="I141" s="4" t="str">
        <f t="shared" si="54"/>
        <v/>
      </c>
      <c r="J141" s="4" t="str">
        <f t="shared" si="55"/>
        <v>LCKMVSTLYTINFYSGIFFISCMSLDKYLEIVH</v>
      </c>
      <c r="K141" s="4" t="str">
        <f t="shared" si="56"/>
        <v>AQPYHRLR</v>
      </c>
      <c r="L141" s="4" t="str">
        <f t="shared" si="57"/>
        <v>RAKSLLLATIVWAVSLAVSIPDMVFV</v>
      </c>
      <c r="M141" s="4" t="str">
        <f t="shared" si="58"/>
        <v>CHA</v>
      </c>
      <c r="N141" s="4" t="str">
        <f t="shared" si="59"/>
        <v>GTIWKLFLRFQQNLLGFLLPLLAMIFFYSRIGCVLVRL</v>
      </c>
      <c r="O141" s="4" t="str">
        <f t="shared" si="60"/>
        <v>QGRALKIAAALVVAFFVLWFPYNLTLFLHTLLDLQ</v>
      </c>
      <c r="P141" s="4" t="str">
        <f t="shared" si="61"/>
        <v>NCEVSQHLDYALQVTESIAFLHCCFSPILYAFS</v>
      </c>
      <c r="Q141" s="4" t="str">
        <f t="shared" si="62"/>
        <v>SHRFRQYLKAFLA</v>
      </c>
      <c r="R141" s="5">
        <f>VLOOKUP($A141,'NonXtal_SegEnds_Prot#'!$A:$AL,3,FALSE)</f>
        <v>41</v>
      </c>
      <c r="S141" s="5">
        <f>VLOOKUP($A141,'NonXtal_SegEnds_Prot#'!$A:$AL,6,FALSE)</f>
        <v>75</v>
      </c>
      <c r="T141" s="5">
        <f>VLOOKUP($A141,'NonXtal_SegEnds_Prot#'!$A:$AL,9,FALSE)</f>
        <v>79</v>
      </c>
      <c r="U141" s="5" t="str">
        <f>VLOOKUP($A141,'NonXtal_SegEnds_Prot#'!$A:$AL,12,FALSE)</f>
        <v>-</v>
      </c>
      <c r="V141" s="5">
        <f>VLOOKUP($A141,'NonXtal_SegEnds_Prot#'!$A:$AL,15,FALSE)</f>
        <v>116</v>
      </c>
      <c r="W141" s="5">
        <f>VLOOKUP($A141,'NonXtal_SegEnds_Prot#'!$A:$AL,18,FALSE)</f>
        <v>149</v>
      </c>
      <c r="X141" s="5">
        <f>VLOOKUP($A141,'NonXtal_SegEnds_Prot#'!$A:$AL,21,FALSE)</f>
        <v>158</v>
      </c>
      <c r="Y141" s="5">
        <f>VLOOKUP($A141,'NonXtal_SegEnds_Prot#'!$A:$AL,24,FALSE)</f>
        <v>195</v>
      </c>
      <c r="Z141" s="5">
        <f>VLOOKUP($A141,'NonXtal_SegEnds_Prot#'!$A:$AL,27,FALSE)</f>
        <v>203</v>
      </c>
      <c r="AA141" s="5">
        <f>VLOOKUP($A141,'NonXtal_SegEnds_Prot#'!$A:$AL,30,FALSE)</f>
        <v>245</v>
      </c>
      <c r="AB141" s="5">
        <f>VLOOKUP($A141,'NonXtal_SegEnds_Prot#'!$A:$AL,33,FALSE)</f>
        <v>283</v>
      </c>
      <c r="AC141" s="5">
        <f>VLOOKUP($A141,'NonXtal_SegEnds_Prot#'!$A:$AL,36,FALSE)</f>
        <v>316</v>
      </c>
      <c r="AD141" s="5">
        <f>VLOOKUP($A141,'NonXtal_SegEnds_Prot#'!$A:$AL,5,FALSE)</f>
        <v>74</v>
      </c>
      <c r="AE141" s="5">
        <f>VLOOKUP($A141,'NonXtal_SegEnds_Prot#'!$A:$AL,8,FALSE)</f>
        <v>78</v>
      </c>
      <c r="AF141" s="5">
        <f>VLOOKUP($A141,'NonXtal_SegEnds_Prot#'!$A:$AL,11,FALSE)</f>
        <v>108</v>
      </c>
      <c r="AG141" s="5" t="str">
        <f>VLOOKUP($A141,'NonXtal_SegEnds_Prot#'!$A:$AL,14,FALSE)</f>
        <v>-</v>
      </c>
      <c r="AH141" s="5">
        <f>VLOOKUP($A141,'NonXtal_SegEnds_Prot#'!$A:$AL,17,FALSE)</f>
        <v>148</v>
      </c>
      <c r="AI141" s="5">
        <f>VLOOKUP($A141,'NonXtal_SegEnds_Prot#'!$A:$AL,20,FALSE)</f>
        <v>156</v>
      </c>
      <c r="AJ141" s="5">
        <f>VLOOKUP($A141,'NonXtal_SegEnds_Prot#'!$A:$AL,23,FALSE)</f>
        <v>183</v>
      </c>
      <c r="AK141" s="5">
        <f>VLOOKUP($A141,'NonXtal_SegEnds_Prot#'!$A:$AL,26,FALSE)</f>
        <v>197</v>
      </c>
      <c r="AL141" s="5">
        <f>VLOOKUP($A141,'NonXtal_SegEnds_Prot#'!$A:$AL,29,FALSE)</f>
        <v>240</v>
      </c>
      <c r="AM141" s="5">
        <f>VLOOKUP($A141,'NonXtal_SegEnds_Prot#'!$A:$AL,32,FALSE)</f>
        <v>279</v>
      </c>
      <c r="AN141" s="5">
        <f>VLOOKUP($A141,'NonXtal_SegEnds_Prot#'!$A:$AL,35,FALSE)</f>
        <v>315</v>
      </c>
      <c r="AO141" s="5">
        <f>VLOOKUP($A141,'NonXtal_SegEnds_Prot#'!$A:$AL,38,FALSE)</f>
        <v>328</v>
      </c>
      <c r="AP141" s="5">
        <f t="shared" si="63"/>
        <v>33</v>
      </c>
      <c r="AQ141" s="4">
        <f t="shared" si="64"/>
        <v>3</v>
      </c>
      <c r="AR141" s="4">
        <f t="shared" si="65"/>
        <v>29</v>
      </c>
      <c r="AS141" s="4" t="str">
        <f t="shared" si="66"/>
        <v>-</v>
      </c>
      <c r="AT141" s="4">
        <f t="shared" si="67"/>
        <v>32</v>
      </c>
      <c r="AU141" s="4">
        <f t="shared" si="68"/>
        <v>7</v>
      </c>
      <c r="AV141" s="4">
        <f t="shared" si="69"/>
        <v>25</v>
      </c>
      <c r="AW141" s="4">
        <f t="shared" si="70"/>
        <v>2</v>
      </c>
      <c r="AX141" s="4">
        <f t="shared" si="71"/>
        <v>37</v>
      </c>
      <c r="AY141" s="4">
        <f t="shared" si="72"/>
        <v>34</v>
      </c>
      <c r="AZ141" s="4">
        <f t="shared" si="73"/>
        <v>32</v>
      </c>
      <c r="BA141" s="4">
        <f t="shared" si="74"/>
        <v>12</v>
      </c>
    </row>
    <row r="142" spans="1:53" x14ac:dyDescent="0.2">
      <c r="A142" s="1" t="str">
        <f>'NonXtal_SegEnds_Prot#'!A112</f>
        <v>ccr2_human</v>
      </c>
      <c r="B142" s="1" t="str">
        <f t="shared" si="50"/>
        <v>VKQIGAQLLPPLYSLVFIFGFVGNMLVVLILINCCLTDIYLLNLAISDLLFLITLPLWAHSAANGNAMCKLFTGLYHIGYFGGIFFIILLTIDRYLAIVHVTFGVVTSVITWLVAVFASVPGIIFTPRGWNNFHTIMRNILGLVLPLLIMVICYSGILKTLLRCRHRAVRVIFTIMIVYFLFWTPYNIVILLNTFQEFFGNCESTSQLDQATQVTETLGMTHCCINPIIYAFVGEKFRSLFHIALG</v>
      </c>
      <c r="C142" s="72" t="str">
        <f>IF(ISERROR(MATCH(A142,'Xtal_SegEnds_Prot#'!B:B,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42" s="5" t="str">
        <f t="shared" si="51"/>
        <v>VKQIGAQLLPPLYSLVFIFGFVGNMLVVLILINC</v>
      </c>
      <c r="G142" s="4" t="str">
        <f t="shared" si="52"/>
        <v>KKLK</v>
      </c>
      <c r="H142" s="4" t="str">
        <f t="shared" si="53"/>
        <v>CLTDIYLLNLAISDLLFLITLPLWAHSAAN</v>
      </c>
      <c r="I142" s="4" t="str">
        <f t="shared" si="54"/>
        <v>EWVF</v>
      </c>
      <c r="J142" s="4" t="str">
        <f t="shared" si="55"/>
        <v>GNAMCKLFTGLYHIGYFGGIFFIILLTIDRYLAIVH</v>
      </c>
      <c r="K142" s="4" t="str">
        <f t="shared" si="56"/>
        <v>AVFALKAR</v>
      </c>
      <c r="L142" s="4" t="str">
        <f t="shared" si="57"/>
        <v>VTFGVVTSVITWLVAVFASVPGIIFT</v>
      </c>
      <c r="M142" s="4" t="str">
        <f t="shared" si="58"/>
        <v>CGP</v>
      </c>
      <c r="N142" s="4" t="str">
        <f t="shared" si="59"/>
        <v>PRGWNNFHTIMRNILGLVLPLLIMVICYSGILKTLLRC</v>
      </c>
      <c r="O142" s="4" t="str">
        <f t="shared" si="60"/>
        <v>RHRAVRVIFTIMIVYFLFWTPYNIVILLNTFQEFFG</v>
      </c>
      <c r="P142" s="4" t="str">
        <f t="shared" si="61"/>
        <v>NCESTSQLDQATQVTETLGMTHCCINPIIYAFV</v>
      </c>
      <c r="Q142" s="4" t="str">
        <f t="shared" si="62"/>
        <v>GEKFRSLFHIALG</v>
      </c>
      <c r="R142" s="5">
        <f>VLOOKUP($A142,'NonXtal_SegEnds_Prot#'!$A:$AL,3,FALSE)</f>
        <v>37</v>
      </c>
      <c r="S142" s="5">
        <f>VLOOKUP($A142,'NonXtal_SegEnds_Prot#'!$A:$AL,6,FALSE)</f>
        <v>71</v>
      </c>
      <c r="T142" s="5">
        <f>VLOOKUP($A142,'NonXtal_SegEnds_Prot#'!$A:$AL,9,FALSE)</f>
        <v>75</v>
      </c>
      <c r="U142" s="5">
        <f>VLOOKUP($A142,'NonXtal_SegEnds_Prot#'!$A:$AL,12,FALSE)</f>
        <v>105</v>
      </c>
      <c r="V142" s="5">
        <f>VLOOKUP($A142,'NonXtal_SegEnds_Prot#'!$A:$AL,15,FALSE)</f>
        <v>109</v>
      </c>
      <c r="W142" s="5">
        <f>VLOOKUP($A142,'NonXtal_SegEnds_Prot#'!$A:$AL,18,FALSE)</f>
        <v>145</v>
      </c>
      <c r="X142" s="5">
        <f>VLOOKUP($A142,'NonXtal_SegEnds_Prot#'!$A:$AL,21,FALSE)</f>
        <v>154</v>
      </c>
      <c r="Y142" s="5">
        <f>VLOOKUP($A142,'NonXtal_SegEnds_Prot#'!$A:$AL,24,FALSE)</f>
        <v>190</v>
      </c>
      <c r="Z142" s="5">
        <f>VLOOKUP($A142,'NonXtal_SegEnds_Prot#'!$A:$AL,27,FALSE)</f>
        <v>195</v>
      </c>
      <c r="AA142" s="5">
        <f>VLOOKUP($A142,'NonXtal_SegEnds_Prot#'!$A:$AL,30,FALSE)</f>
        <v>238</v>
      </c>
      <c r="AB142" s="5">
        <f>VLOOKUP($A142,'NonXtal_SegEnds_Prot#'!$A:$AL,33,FALSE)</f>
        <v>276</v>
      </c>
      <c r="AC142" s="5">
        <f>VLOOKUP($A142,'NonXtal_SegEnds_Prot#'!$A:$AL,36,FALSE)</f>
        <v>309</v>
      </c>
      <c r="AD142" s="5">
        <f>VLOOKUP($A142,'NonXtal_SegEnds_Prot#'!$A:$AL,5,FALSE)</f>
        <v>70</v>
      </c>
      <c r="AE142" s="5">
        <f>VLOOKUP($A142,'NonXtal_SegEnds_Prot#'!$A:$AL,8,FALSE)</f>
        <v>74</v>
      </c>
      <c r="AF142" s="5">
        <f>VLOOKUP($A142,'NonXtal_SegEnds_Prot#'!$A:$AL,11,FALSE)</f>
        <v>104</v>
      </c>
      <c r="AG142" s="5">
        <f>VLOOKUP($A142,'NonXtal_SegEnds_Prot#'!$A:$AL,14,FALSE)</f>
        <v>108</v>
      </c>
      <c r="AH142" s="5">
        <f>VLOOKUP($A142,'NonXtal_SegEnds_Prot#'!$A:$AL,17,FALSE)</f>
        <v>144</v>
      </c>
      <c r="AI142" s="5">
        <f>VLOOKUP($A142,'NonXtal_SegEnds_Prot#'!$A:$AL,20,FALSE)</f>
        <v>152</v>
      </c>
      <c r="AJ142" s="5">
        <f>VLOOKUP($A142,'NonXtal_SegEnds_Prot#'!$A:$AL,23,FALSE)</f>
        <v>179</v>
      </c>
      <c r="AK142" s="5">
        <f>VLOOKUP($A142,'NonXtal_SegEnds_Prot#'!$A:$AL,26,FALSE)</f>
        <v>192</v>
      </c>
      <c r="AL142" s="5">
        <f>VLOOKUP($A142,'NonXtal_SegEnds_Prot#'!$A:$AL,29,FALSE)</f>
        <v>232</v>
      </c>
      <c r="AM142" s="5">
        <f>VLOOKUP($A142,'NonXtal_SegEnds_Prot#'!$A:$AL,32,FALSE)</f>
        <v>273</v>
      </c>
      <c r="AN142" s="5">
        <f>VLOOKUP($A142,'NonXtal_SegEnds_Prot#'!$A:$AL,35,FALSE)</f>
        <v>308</v>
      </c>
      <c r="AO142" s="5">
        <f>VLOOKUP($A142,'NonXtal_SegEnds_Prot#'!$A:$AL,38,FALSE)</f>
        <v>321</v>
      </c>
      <c r="AP142" s="5">
        <f t="shared" si="63"/>
        <v>33</v>
      </c>
      <c r="AQ142" s="4">
        <f t="shared" si="64"/>
        <v>3</v>
      </c>
      <c r="AR142" s="4">
        <f t="shared" si="65"/>
        <v>29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25</v>
      </c>
      <c r="AW142" s="4">
        <f t="shared" si="70"/>
        <v>2</v>
      </c>
      <c r="AX142" s="4">
        <f t="shared" si="71"/>
        <v>37</v>
      </c>
      <c r="AY142" s="4">
        <f t="shared" si="72"/>
        <v>35</v>
      </c>
      <c r="AZ142" s="4">
        <f t="shared" si="73"/>
        <v>32</v>
      </c>
      <c r="BA142" s="4">
        <f t="shared" si="74"/>
        <v>12</v>
      </c>
    </row>
    <row r="143" spans="1:53" x14ac:dyDescent="0.2">
      <c r="A143" s="1" t="str">
        <f>'NonXtal_SegEnds_Prot#'!A113</f>
        <v>ccr4_human</v>
      </c>
      <c r="B143" s="1" t="str">
        <f t="shared" si="50"/>
        <v>IKAFGELFLPPLYSLVFVFGLLGNSVVVLVLFKYSMTDVYLLNLAISDLLFVFSLPFWGYYAADGLGLCKMISWMYLVGFYSGIFFVMLMSIDRYLAIVHLTYGVITSLATWSVAVFASLPGFLFSSTTWKVLSSLEINILGLVIPLGIMLFCYSMIIRTLQHCKNKAVKMIFAVVVLFLGFWTPYNIVLFLETLVELEVDCTFERYLDYAIQATETLAFVHCCLNPIIYFFLGEKFRKYILQLFK</v>
      </c>
      <c r="C143" s="72" t="str">
        <f>IF(ISERROR(MATCH(A143,'Xtal_SegEnds_Prot#'!B:B,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43" s="5" t="str">
        <f t="shared" si="51"/>
        <v>IKAFGELFLPPLYSLVFVFGLLGNSVVVLVLFKY</v>
      </c>
      <c r="G143" s="4" t="str">
        <f t="shared" si="52"/>
        <v>KRLR</v>
      </c>
      <c r="H143" s="4" t="str">
        <f t="shared" si="53"/>
        <v>SMTDVYLLNLAISDLLFVFSLPFWGYYAAD</v>
      </c>
      <c r="I143" s="4" t="str">
        <f t="shared" si="54"/>
        <v>QWVF</v>
      </c>
      <c r="J143" s="4" t="str">
        <f t="shared" si="55"/>
        <v>GLGLCKMISWMYLVGFYSGIFFVMLMSIDRYLAIVH</v>
      </c>
      <c r="K143" s="4" t="str">
        <f t="shared" si="56"/>
        <v>AVFSLRAR</v>
      </c>
      <c r="L143" s="4" t="str">
        <f t="shared" si="57"/>
        <v>LTYGVITSLATWSVAVFASLPGFLFS</v>
      </c>
      <c r="M143" s="4" t="str">
        <f t="shared" si="58"/>
        <v>CKT</v>
      </c>
      <c r="N143" s="4" t="str">
        <f t="shared" si="59"/>
        <v>STTWKVLSSLEINILGLVIPLGIMLFCYSMIIRTLQHC</v>
      </c>
      <c r="O143" s="4" t="str">
        <f t="shared" si="60"/>
        <v>KNKAVKMIFAVVVLFLGFWTPYNIVLFLETLVELEV</v>
      </c>
      <c r="P143" s="4" t="str">
        <f t="shared" si="61"/>
        <v>DCTFERYLDYAIQATETLAFVHCCLNPIIYFFL</v>
      </c>
      <c r="Q143" s="4" t="str">
        <f t="shared" si="62"/>
        <v>GEKFRKYILQLFK</v>
      </c>
      <c r="R143" s="5">
        <f>VLOOKUP($A143,'NonXtal_SegEnds_Prot#'!$A:$AL,3,FALSE)</f>
        <v>34</v>
      </c>
      <c r="S143" s="5">
        <f>VLOOKUP($A143,'NonXtal_SegEnds_Prot#'!$A:$AL,6,FALSE)</f>
        <v>68</v>
      </c>
      <c r="T143" s="5">
        <f>VLOOKUP($A143,'NonXtal_SegEnds_Prot#'!$A:$AL,9,FALSE)</f>
        <v>72</v>
      </c>
      <c r="U143" s="5">
        <f>VLOOKUP($A143,'NonXtal_SegEnds_Prot#'!$A:$AL,12,FALSE)</f>
        <v>102</v>
      </c>
      <c r="V143" s="5">
        <f>VLOOKUP($A143,'NonXtal_SegEnds_Prot#'!$A:$AL,15,FALSE)</f>
        <v>106</v>
      </c>
      <c r="W143" s="5">
        <f>VLOOKUP($A143,'NonXtal_SegEnds_Prot#'!$A:$AL,18,FALSE)</f>
        <v>142</v>
      </c>
      <c r="X143" s="5">
        <f>VLOOKUP($A143,'NonXtal_SegEnds_Prot#'!$A:$AL,21,FALSE)</f>
        <v>151</v>
      </c>
      <c r="Y143" s="5">
        <f>VLOOKUP($A143,'NonXtal_SegEnds_Prot#'!$A:$AL,24,FALSE)</f>
        <v>187</v>
      </c>
      <c r="Z143" s="5">
        <f>VLOOKUP($A143,'NonXtal_SegEnds_Prot#'!$A:$AL,27,FALSE)</f>
        <v>195</v>
      </c>
      <c r="AA143" s="5">
        <f>VLOOKUP($A143,'NonXtal_SegEnds_Prot#'!$A:$AL,30,FALSE)</f>
        <v>237</v>
      </c>
      <c r="AB143" s="5">
        <f>VLOOKUP($A143,'NonXtal_SegEnds_Prot#'!$A:$AL,33,FALSE)</f>
        <v>275</v>
      </c>
      <c r="AC143" s="5">
        <f>VLOOKUP($A143,'NonXtal_SegEnds_Prot#'!$A:$AL,36,FALSE)</f>
        <v>308</v>
      </c>
      <c r="AD143" s="5">
        <f>VLOOKUP($A143,'NonXtal_SegEnds_Prot#'!$A:$AL,5,FALSE)</f>
        <v>67</v>
      </c>
      <c r="AE143" s="5">
        <f>VLOOKUP($A143,'NonXtal_SegEnds_Prot#'!$A:$AL,8,FALSE)</f>
        <v>71</v>
      </c>
      <c r="AF143" s="5">
        <f>VLOOKUP($A143,'NonXtal_SegEnds_Prot#'!$A:$AL,11,FALSE)</f>
        <v>101</v>
      </c>
      <c r="AG143" s="5">
        <f>VLOOKUP($A143,'NonXtal_SegEnds_Prot#'!$A:$AL,14,FALSE)</f>
        <v>105</v>
      </c>
      <c r="AH143" s="5">
        <f>VLOOKUP($A143,'NonXtal_SegEnds_Prot#'!$A:$AL,17,FALSE)</f>
        <v>141</v>
      </c>
      <c r="AI143" s="5">
        <f>VLOOKUP($A143,'NonXtal_SegEnds_Prot#'!$A:$AL,20,FALSE)</f>
        <v>149</v>
      </c>
      <c r="AJ143" s="5">
        <f>VLOOKUP($A143,'NonXtal_SegEnds_Prot#'!$A:$AL,23,FALSE)</f>
        <v>176</v>
      </c>
      <c r="AK143" s="5">
        <f>VLOOKUP($A143,'NonXtal_SegEnds_Prot#'!$A:$AL,26,FALSE)</f>
        <v>189</v>
      </c>
      <c r="AL143" s="5">
        <f>VLOOKUP($A143,'NonXtal_SegEnds_Prot#'!$A:$AL,29,FALSE)</f>
        <v>232</v>
      </c>
      <c r="AM143" s="5">
        <f>VLOOKUP($A143,'NonXtal_SegEnds_Prot#'!$A:$AL,32,FALSE)</f>
        <v>272</v>
      </c>
      <c r="AN143" s="5">
        <f>VLOOKUP($A143,'NonXtal_SegEnds_Prot#'!$A:$AL,35,FALSE)</f>
        <v>307</v>
      </c>
      <c r="AO143" s="5">
        <f>VLOOKUP($A143,'NonXtal_SegEnds_Prot#'!$A:$AL,38,FALSE)</f>
        <v>320</v>
      </c>
      <c r="AP143" s="5">
        <f t="shared" si="63"/>
        <v>33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25</v>
      </c>
      <c r="AW143" s="4">
        <f t="shared" si="70"/>
        <v>2</v>
      </c>
      <c r="AX143" s="4">
        <f t="shared" si="71"/>
        <v>37</v>
      </c>
      <c r="AY143" s="4">
        <f t="shared" si="72"/>
        <v>35</v>
      </c>
      <c r="AZ143" s="4">
        <f t="shared" si="73"/>
        <v>32</v>
      </c>
      <c r="BA143" s="4">
        <f t="shared" si="74"/>
        <v>12</v>
      </c>
    </row>
    <row r="144" spans="1:53" x14ac:dyDescent="0.2">
      <c r="A144" s="1" t="str">
        <f>'NonXtal_SegEnds_Prot#'!A114</f>
        <v>cxcr1_human</v>
      </c>
      <c r="B144" s="1" t="str">
        <f t="shared" si="50"/>
        <v>TETLNKYVVIIAYALVFLLSLLGNSLVMLVILYSSVTDVYLLNLALADLLFALTLPIWAASKVNGTFLCKVVSLLKEVNFYSGILLLACISVDRYLAIVHRHLVKFVCLGCWGLSMNLSLPFFLFRTAKWRMVLRILPHTFGFIVPLFVMLFCYGFTLRTLFKAKHRAMRVIFAVVLIFLLCWLPYNLVLLADTLMRTQSCERRNNIGRALDATEILGFLHSCLNPIIYAFIGQNFRHGFLKILA</v>
      </c>
      <c r="C144" s="72" t="str">
        <f>IF(ISERROR(MATCH(A144,'Xtal_SegEnds_Prot#'!B:B,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144" s="5" t="str">
        <f t="shared" si="51"/>
        <v>TETLNKYVVIIAYALVFLLSLLGNSLVMLVILYS</v>
      </c>
      <c r="G144" s="4" t="str">
        <f t="shared" si="52"/>
        <v>RVGR</v>
      </c>
      <c r="H144" s="4" t="str">
        <f t="shared" si="53"/>
        <v>SVTDVYLLNLALADLLFALTLPIWAASKVN</v>
      </c>
      <c r="I144" s="4" t="str">
        <f t="shared" si="54"/>
        <v>GWIF</v>
      </c>
      <c r="J144" s="4" t="str">
        <f t="shared" si="55"/>
        <v>GTFLCKVVSLLKEVNFYSGILLLACISVDRYLAIVH</v>
      </c>
      <c r="K144" s="4" t="str">
        <f t="shared" si="56"/>
        <v>ATRTLTQK</v>
      </c>
      <c r="L144" s="4" t="str">
        <f t="shared" si="57"/>
        <v>RHLVKFVCLGCWGLSMNLSLPFFLFR</v>
      </c>
      <c r="M144" s="4" t="str">
        <f t="shared" si="58"/>
        <v>CYE</v>
      </c>
      <c r="N144" s="4" t="str">
        <f t="shared" si="59"/>
        <v>TAKWRMVLRILPHTFGFIVPLFVMLFCYGFTLRTLFKA</v>
      </c>
      <c r="O144" s="4" t="str">
        <f t="shared" si="60"/>
        <v>KHRAMRVIFAVVLIFLLCWLPYNLVLLADTLMRTQ</v>
      </c>
      <c r="P144" s="4" t="str">
        <f t="shared" si="61"/>
        <v>SCERRNNIGRALDATEILGFLHSCLNPIIYAFI</v>
      </c>
      <c r="Q144" s="4" t="str">
        <f t="shared" si="62"/>
        <v>GQNFRHGFLKILA</v>
      </c>
      <c r="R144" s="5">
        <f>VLOOKUP($A144,'NonXtal_SegEnds_Prot#'!$A:$AL,3,FALSE)</f>
        <v>34</v>
      </c>
      <c r="S144" s="5">
        <f>VLOOKUP($A144,'NonXtal_SegEnds_Prot#'!$A:$AL,6,FALSE)</f>
        <v>68</v>
      </c>
      <c r="T144" s="5">
        <f>VLOOKUP($A144,'NonXtal_SegEnds_Prot#'!$A:$AL,9,FALSE)</f>
        <v>72</v>
      </c>
      <c r="U144" s="5">
        <f>VLOOKUP($A144,'NonXtal_SegEnds_Prot#'!$A:$AL,12,FALSE)</f>
        <v>102</v>
      </c>
      <c r="V144" s="5">
        <f>VLOOKUP($A144,'NonXtal_SegEnds_Prot#'!$A:$AL,15,FALSE)</f>
        <v>106</v>
      </c>
      <c r="W144" s="5">
        <f>VLOOKUP($A144,'NonXtal_SegEnds_Prot#'!$A:$AL,18,FALSE)</f>
        <v>142</v>
      </c>
      <c r="X144" s="5">
        <f>VLOOKUP($A144,'NonXtal_SegEnds_Prot#'!$A:$AL,21,FALSE)</f>
        <v>150</v>
      </c>
      <c r="Y144" s="5">
        <f>VLOOKUP($A144,'NonXtal_SegEnds_Prot#'!$A:$AL,24,FALSE)</f>
        <v>187</v>
      </c>
      <c r="Z144" s="5">
        <f>VLOOKUP($A144,'NonXtal_SegEnds_Prot#'!$A:$AL,27,FALSE)</f>
        <v>195</v>
      </c>
      <c r="AA144" s="5">
        <f>VLOOKUP($A144,'NonXtal_SegEnds_Prot#'!$A:$AL,30,FALSE)</f>
        <v>237</v>
      </c>
      <c r="AB144" s="5">
        <f>VLOOKUP($A144,'NonXtal_SegEnds_Prot#'!$A:$AL,33,FALSE)</f>
        <v>276</v>
      </c>
      <c r="AC144" s="5">
        <f>VLOOKUP($A144,'NonXtal_SegEnds_Prot#'!$A:$AL,36,FALSE)</f>
        <v>309</v>
      </c>
      <c r="AD144" s="5">
        <f>VLOOKUP($A144,'NonXtal_SegEnds_Prot#'!$A:$AL,5,FALSE)</f>
        <v>67</v>
      </c>
      <c r="AE144" s="5">
        <f>VLOOKUP($A144,'NonXtal_SegEnds_Prot#'!$A:$AL,8,FALSE)</f>
        <v>71</v>
      </c>
      <c r="AF144" s="5">
        <f>VLOOKUP($A144,'NonXtal_SegEnds_Prot#'!$A:$AL,11,FALSE)</f>
        <v>101</v>
      </c>
      <c r="AG144" s="5">
        <f>VLOOKUP($A144,'NonXtal_SegEnds_Prot#'!$A:$AL,14,FALSE)</f>
        <v>105</v>
      </c>
      <c r="AH144" s="5">
        <f>VLOOKUP($A144,'NonXtal_SegEnds_Prot#'!$A:$AL,17,FALSE)</f>
        <v>141</v>
      </c>
      <c r="AI144" s="5">
        <f>VLOOKUP($A144,'NonXtal_SegEnds_Prot#'!$A:$AL,20,FALSE)</f>
        <v>149</v>
      </c>
      <c r="AJ144" s="5">
        <f>VLOOKUP($A144,'NonXtal_SegEnds_Prot#'!$A:$AL,23,FALSE)</f>
        <v>175</v>
      </c>
      <c r="AK144" s="5">
        <f>VLOOKUP($A144,'NonXtal_SegEnds_Prot#'!$A:$AL,26,FALSE)</f>
        <v>189</v>
      </c>
      <c r="AL144" s="5">
        <f>VLOOKUP($A144,'NonXtal_SegEnds_Prot#'!$A:$AL,29,FALSE)</f>
        <v>232</v>
      </c>
      <c r="AM144" s="5">
        <f>VLOOKUP($A144,'NonXtal_SegEnds_Prot#'!$A:$AL,32,FALSE)</f>
        <v>271</v>
      </c>
      <c r="AN144" s="5">
        <f>VLOOKUP($A144,'NonXtal_SegEnds_Prot#'!$A:$AL,35,FALSE)</f>
        <v>308</v>
      </c>
      <c r="AO144" s="5">
        <f>VLOOKUP($A144,'NonXtal_SegEnds_Prot#'!$A:$AL,38,FALSE)</f>
        <v>321</v>
      </c>
      <c r="AP144" s="5">
        <f t="shared" si="63"/>
        <v>33</v>
      </c>
      <c r="AQ144" s="4">
        <f t="shared" si="64"/>
        <v>3</v>
      </c>
      <c r="AR144" s="4">
        <f t="shared" si="65"/>
        <v>29</v>
      </c>
      <c r="AS144" s="4">
        <f t="shared" si="66"/>
        <v>3</v>
      </c>
      <c r="AT144" s="4">
        <f t="shared" si="67"/>
        <v>35</v>
      </c>
      <c r="AU144" s="4">
        <f t="shared" si="68"/>
        <v>7</v>
      </c>
      <c r="AV144" s="4">
        <f t="shared" si="69"/>
        <v>25</v>
      </c>
      <c r="AW144" s="4">
        <f t="shared" si="70"/>
        <v>2</v>
      </c>
      <c r="AX144" s="4">
        <f t="shared" si="71"/>
        <v>37</v>
      </c>
      <c r="AY144" s="4">
        <f t="shared" si="72"/>
        <v>34</v>
      </c>
      <c r="AZ144" s="4">
        <f t="shared" si="73"/>
        <v>32</v>
      </c>
      <c r="BA144" s="4">
        <f t="shared" si="74"/>
        <v>12</v>
      </c>
    </row>
    <row r="145" spans="1:53" x14ac:dyDescent="0.2">
      <c r="A145" s="1" t="str">
        <f>'NonXtal_SegEnds_Prot#'!A115</f>
        <v>ackr4_human</v>
      </c>
      <c r="B145" s="1" t="str">
        <f t="shared" si="50"/>
        <v>VREFAKVFLPVFLTIVFVIGLAGNSMVVAIYAYYTKTDVYILNLAVADLLLLFTLPFWAVNAVHMCKITSALYTLNFVSGMQFLACISIDRYVAVTKGKPCWIICFCVWMAAILLSIPQLVFYGTSMKALIQMLEICIGFVVPFLIMGVCYFITARTLMKMISRPLKVLLTVVIVFIVTQLPYNIVKFCRAIDIIYSCNMSKRMDIAIQVTESIALFHSCLNPILYVFMGASFKNYVMKVAK</v>
      </c>
      <c r="C145" s="72" t="str">
        <f>IF(ISERROR(MATCH(A145,'Xtal_SegEnds_Prot#'!B:B,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145" s="5" t="str">
        <f t="shared" si="51"/>
        <v>VREFAKVFLPVFLTIVFVIGLAGNSMVVAIYAYY</v>
      </c>
      <c r="G145" s="4" t="str">
        <f t="shared" si="52"/>
        <v>KKQR</v>
      </c>
      <c r="H145" s="4" t="str">
        <f t="shared" si="53"/>
        <v>TKTDVYILNLAVADLLLLFTLPFWAVNAVH</v>
      </c>
      <c r="I145" s="4" t="str">
        <f t="shared" si="54"/>
        <v/>
      </c>
      <c r="J145" s="4" t="str">
        <f t="shared" si="55"/>
        <v>MCKITSALYTLNFVSGMQFLACISIDRYVAVTK</v>
      </c>
      <c r="K145" s="4" t="str">
        <f t="shared" si="56"/>
        <v/>
      </c>
      <c r="L145" s="4" t="str">
        <f t="shared" si="57"/>
        <v>GKPCWIICFCVWMAAILLSIPQLVFY</v>
      </c>
      <c r="M145" s="4" t="str">
        <f t="shared" si="58"/>
        <v>CIP</v>
      </c>
      <c r="N145" s="4" t="str">
        <f t="shared" si="59"/>
        <v>GTSMKALIQMLEICIGFVVPFLIMGVCYFITARTLMKM</v>
      </c>
      <c r="O145" s="4" t="str">
        <f t="shared" si="60"/>
        <v>ISRPLKVLLTVVIVFIVTQLPYNIVKFCRAIDIIY</v>
      </c>
      <c r="P145" s="4" t="str">
        <f t="shared" si="61"/>
        <v>SCNMSKRMDIAIQVTESIALFHSCLNPILYVFM</v>
      </c>
      <c r="Q145" s="4" t="str">
        <f t="shared" si="62"/>
        <v>GASFKNYVMKVAK</v>
      </c>
      <c r="R145" s="5">
        <f>VLOOKUP($A145,'NonXtal_SegEnds_Prot#'!$A:$AL,3,FALSE)</f>
        <v>36</v>
      </c>
      <c r="S145" s="5">
        <f>VLOOKUP($A145,'NonXtal_SegEnds_Prot#'!$A:$AL,6,FALSE)</f>
        <v>70</v>
      </c>
      <c r="T145" s="5">
        <f>VLOOKUP($A145,'NonXtal_SegEnds_Prot#'!$A:$AL,9,FALSE)</f>
        <v>74</v>
      </c>
      <c r="U145" s="5" t="str">
        <f>VLOOKUP($A145,'NonXtal_SegEnds_Prot#'!$A:$AL,12,FALSE)</f>
        <v>-</v>
      </c>
      <c r="V145" s="5">
        <f>VLOOKUP($A145,'NonXtal_SegEnds_Prot#'!$A:$AL,15,FALSE)</f>
        <v>111</v>
      </c>
      <c r="W145" s="5" t="str">
        <f>VLOOKUP($A145,'NonXtal_SegEnds_Prot#'!$A:$AL,18,FALSE)</f>
        <v>-</v>
      </c>
      <c r="X145" s="5">
        <f>VLOOKUP($A145,'NonXtal_SegEnds_Prot#'!$A:$AL,21,FALSE)</f>
        <v>151</v>
      </c>
      <c r="Y145" s="5">
        <f>VLOOKUP($A145,'NonXtal_SegEnds_Prot#'!$A:$AL,24,FALSE)</f>
        <v>184</v>
      </c>
      <c r="Z145" s="5">
        <f>VLOOKUP($A145,'NonXtal_SegEnds_Prot#'!$A:$AL,27,FALSE)</f>
        <v>193</v>
      </c>
      <c r="AA145" s="5">
        <f>VLOOKUP($A145,'NonXtal_SegEnds_Prot#'!$A:$AL,30,FALSE)</f>
        <v>235</v>
      </c>
      <c r="AB145" s="5">
        <f>VLOOKUP($A145,'NonXtal_SegEnds_Prot#'!$A:$AL,33,FALSE)</f>
        <v>274</v>
      </c>
      <c r="AC145" s="5">
        <f>VLOOKUP($A145,'NonXtal_SegEnds_Prot#'!$A:$AL,36,FALSE)</f>
        <v>307</v>
      </c>
      <c r="AD145" s="5">
        <f>VLOOKUP($A145,'NonXtal_SegEnds_Prot#'!$A:$AL,5,FALSE)</f>
        <v>69</v>
      </c>
      <c r="AE145" s="5">
        <f>VLOOKUP($A145,'NonXtal_SegEnds_Prot#'!$A:$AL,8,FALSE)</f>
        <v>73</v>
      </c>
      <c r="AF145" s="5">
        <f>VLOOKUP($A145,'NonXtal_SegEnds_Prot#'!$A:$AL,11,FALSE)</f>
        <v>103</v>
      </c>
      <c r="AG145" s="5" t="str">
        <f>VLOOKUP($A145,'NonXtal_SegEnds_Prot#'!$A:$AL,14,FALSE)</f>
        <v>-</v>
      </c>
      <c r="AH145" s="5">
        <f>VLOOKUP($A145,'NonXtal_SegEnds_Prot#'!$A:$AL,17,FALSE)</f>
        <v>143</v>
      </c>
      <c r="AI145" s="5" t="str">
        <f>VLOOKUP($A145,'NonXtal_SegEnds_Prot#'!$A:$AL,20,FALSE)</f>
        <v>-</v>
      </c>
      <c r="AJ145" s="5">
        <f>VLOOKUP($A145,'NonXtal_SegEnds_Prot#'!$A:$AL,23,FALSE)</f>
        <v>176</v>
      </c>
      <c r="AK145" s="5">
        <f>VLOOKUP($A145,'NonXtal_SegEnds_Prot#'!$A:$AL,26,FALSE)</f>
        <v>186</v>
      </c>
      <c r="AL145" s="5">
        <f>VLOOKUP($A145,'NonXtal_SegEnds_Prot#'!$A:$AL,29,FALSE)</f>
        <v>230</v>
      </c>
      <c r="AM145" s="5">
        <f>VLOOKUP($A145,'NonXtal_SegEnds_Prot#'!$A:$AL,32,FALSE)</f>
        <v>269</v>
      </c>
      <c r="AN145" s="5">
        <f>VLOOKUP($A145,'NonXtal_SegEnds_Prot#'!$A:$AL,35,FALSE)</f>
        <v>306</v>
      </c>
      <c r="AO145" s="5">
        <f>VLOOKUP($A145,'NonXtal_SegEnds_Prot#'!$A:$AL,38,FALSE)</f>
        <v>319</v>
      </c>
      <c r="AP145" s="5">
        <f t="shared" si="63"/>
        <v>33</v>
      </c>
      <c r="AQ145" s="4">
        <f t="shared" si="64"/>
        <v>3</v>
      </c>
      <c r="AR145" s="4">
        <f t="shared" si="65"/>
        <v>29</v>
      </c>
      <c r="AS145" s="4" t="str">
        <f t="shared" si="66"/>
        <v>-</v>
      </c>
      <c r="AT145" s="4">
        <f t="shared" si="67"/>
        <v>32</v>
      </c>
      <c r="AU145" s="4" t="str">
        <f t="shared" si="68"/>
        <v>-</v>
      </c>
      <c r="AV145" s="4">
        <f t="shared" si="69"/>
        <v>25</v>
      </c>
      <c r="AW145" s="4">
        <f t="shared" si="70"/>
        <v>2</v>
      </c>
      <c r="AX145" s="4">
        <f t="shared" si="71"/>
        <v>37</v>
      </c>
      <c r="AY145" s="4">
        <f t="shared" si="72"/>
        <v>34</v>
      </c>
      <c r="AZ145" s="4">
        <f t="shared" si="73"/>
        <v>32</v>
      </c>
      <c r="BA145" s="4">
        <f t="shared" si="74"/>
        <v>12</v>
      </c>
    </row>
    <row r="146" spans="1:53" x14ac:dyDescent="0.2">
      <c r="A146" s="1" t="str">
        <f>'NonXtal_SegEnds_Prot#'!A116</f>
        <v>ccr1_human</v>
      </c>
      <c r="B146" s="1" t="str">
        <f t="shared" si="50"/>
        <v>ERAFGAQLLPPLYSLVFVIGLVGNILVVLVLVQYNMTSIYLLNLAISDLLFLFTLPFWIDYKLKGDAMCKILSGFYYTGLYSEIFFIILLTIDRYLAIVHVTFGVITSIIIWALAILASMPGLYFSLREWKLFQALKLNLFGLVLPLLVMIICYTGIIKILLRRKSKAVRLIFVIMIIFFLFWTPYNLTILISVFQDFLFECEQSRHLDLAVQVTEVIAYTHCCVNPVIYAFVGERFRKYLRQLFH</v>
      </c>
      <c r="C146" s="72" t="str">
        <f>IF(ISERROR(MATCH(A146,'Xtal_SegEnds_Prot#'!B:B,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46" s="5" t="str">
        <f t="shared" si="51"/>
        <v>ERAFGAQLLPPLYSLVFVIGLVGNILVVLVLVQY</v>
      </c>
      <c r="G146" s="4" t="str">
        <f t="shared" si="52"/>
        <v>KRLK</v>
      </c>
      <c r="H146" s="4" t="str">
        <f t="shared" si="53"/>
        <v>NMTSIYLLNLAISDLLFLFTLPFWIDYKLK</v>
      </c>
      <c r="I146" s="4" t="str">
        <f t="shared" si="54"/>
        <v>DWVF</v>
      </c>
      <c r="J146" s="4" t="str">
        <f t="shared" si="55"/>
        <v>GDAMCKILSGFYYTGLYSEIFFIILLTIDRYLAIVH</v>
      </c>
      <c r="K146" s="4" t="str">
        <f t="shared" si="56"/>
        <v>AVFALRAR</v>
      </c>
      <c r="L146" s="4" t="str">
        <f t="shared" si="57"/>
        <v>VTFGVITSIIIWALAILASMPGLYFS</v>
      </c>
      <c r="M146" s="4" t="str">
        <f t="shared" si="58"/>
        <v>CSL</v>
      </c>
      <c r="N146" s="4" t="str">
        <f t="shared" si="59"/>
        <v>LREWKLFQALKLNLFGLVLPLLVMIICYTGIIKILLRR</v>
      </c>
      <c r="O146" s="4" t="str">
        <f t="shared" si="60"/>
        <v>KSKAVRLIFVIMIIFFLFWTPYNLTILISVFQDFLF</v>
      </c>
      <c r="P146" s="4" t="str">
        <f t="shared" si="61"/>
        <v>ECEQSRHLDLAVQVTEVIAYTHCCVNPVIYAFV</v>
      </c>
      <c r="Q146" s="4" t="str">
        <f t="shared" si="62"/>
        <v>GERFRKYLRQLFH</v>
      </c>
      <c r="R146" s="5">
        <f>VLOOKUP($A146,'NonXtal_SegEnds_Prot#'!$A:$AL,3,FALSE)</f>
        <v>29</v>
      </c>
      <c r="S146" s="5">
        <f>VLOOKUP($A146,'NonXtal_SegEnds_Prot#'!$A:$AL,6,FALSE)</f>
        <v>63</v>
      </c>
      <c r="T146" s="5">
        <f>VLOOKUP($A146,'NonXtal_SegEnds_Prot#'!$A:$AL,9,FALSE)</f>
        <v>67</v>
      </c>
      <c r="U146" s="5">
        <f>VLOOKUP($A146,'NonXtal_SegEnds_Prot#'!$A:$AL,12,FALSE)</f>
        <v>98</v>
      </c>
      <c r="V146" s="5">
        <f>VLOOKUP($A146,'NonXtal_SegEnds_Prot#'!$A:$AL,15,FALSE)</f>
        <v>102</v>
      </c>
      <c r="W146" s="5">
        <f>VLOOKUP($A146,'NonXtal_SegEnds_Prot#'!$A:$AL,18,FALSE)</f>
        <v>138</v>
      </c>
      <c r="X146" s="5">
        <f>VLOOKUP($A146,'NonXtal_SegEnds_Prot#'!$A:$AL,21,FALSE)</f>
        <v>147</v>
      </c>
      <c r="Y146" s="5">
        <f>VLOOKUP($A146,'NonXtal_SegEnds_Prot#'!$A:$AL,24,FALSE)</f>
        <v>183</v>
      </c>
      <c r="Z146" s="5">
        <f>VLOOKUP($A146,'NonXtal_SegEnds_Prot#'!$A:$AL,27,FALSE)</f>
        <v>192</v>
      </c>
      <c r="AA146" s="5">
        <f>VLOOKUP($A146,'NonXtal_SegEnds_Prot#'!$A:$AL,30,FALSE)</f>
        <v>234</v>
      </c>
      <c r="AB146" s="5">
        <f>VLOOKUP($A146,'NonXtal_SegEnds_Prot#'!$A:$AL,33,FALSE)</f>
        <v>272</v>
      </c>
      <c r="AC146" s="5">
        <f>VLOOKUP($A146,'NonXtal_SegEnds_Prot#'!$A:$AL,36,FALSE)</f>
        <v>305</v>
      </c>
      <c r="AD146" s="5">
        <f>VLOOKUP($A146,'NonXtal_SegEnds_Prot#'!$A:$AL,5,FALSE)</f>
        <v>62</v>
      </c>
      <c r="AE146" s="5">
        <f>VLOOKUP($A146,'NonXtal_SegEnds_Prot#'!$A:$AL,8,FALSE)</f>
        <v>66</v>
      </c>
      <c r="AF146" s="5">
        <f>VLOOKUP($A146,'NonXtal_SegEnds_Prot#'!$A:$AL,11,FALSE)</f>
        <v>96</v>
      </c>
      <c r="AG146" s="5">
        <f>VLOOKUP($A146,'NonXtal_SegEnds_Prot#'!$A:$AL,14,FALSE)</f>
        <v>101</v>
      </c>
      <c r="AH146" s="5">
        <f>VLOOKUP($A146,'NonXtal_SegEnds_Prot#'!$A:$AL,17,FALSE)</f>
        <v>137</v>
      </c>
      <c r="AI146" s="5">
        <f>VLOOKUP($A146,'NonXtal_SegEnds_Prot#'!$A:$AL,20,FALSE)</f>
        <v>145</v>
      </c>
      <c r="AJ146" s="5">
        <f>VLOOKUP($A146,'NonXtal_SegEnds_Prot#'!$A:$AL,23,FALSE)</f>
        <v>172</v>
      </c>
      <c r="AK146" s="5">
        <f>VLOOKUP($A146,'NonXtal_SegEnds_Prot#'!$A:$AL,26,FALSE)</f>
        <v>185</v>
      </c>
      <c r="AL146" s="5">
        <f>VLOOKUP($A146,'NonXtal_SegEnds_Prot#'!$A:$AL,29,FALSE)</f>
        <v>229</v>
      </c>
      <c r="AM146" s="5">
        <f>VLOOKUP($A146,'NonXtal_SegEnds_Prot#'!$A:$AL,32,FALSE)</f>
        <v>269</v>
      </c>
      <c r="AN146" s="5">
        <f>VLOOKUP($A146,'NonXtal_SegEnds_Prot#'!$A:$AL,35,FALSE)</f>
        <v>304</v>
      </c>
      <c r="AO146" s="5">
        <f>VLOOKUP($A146,'NonXtal_SegEnds_Prot#'!$A:$AL,38,FALSE)</f>
        <v>317</v>
      </c>
      <c r="AP146" s="5">
        <f t="shared" si="63"/>
        <v>33</v>
      </c>
      <c r="AQ146" s="4">
        <f t="shared" si="64"/>
        <v>3</v>
      </c>
      <c r="AR146" s="4">
        <f t="shared" si="65"/>
        <v>29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>
        <f t="shared" si="70"/>
        <v>2</v>
      </c>
      <c r="AX146" s="4">
        <f t="shared" si="71"/>
        <v>37</v>
      </c>
      <c r="AY146" s="4">
        <f t="shared" si="72"/>
        <v>35</v>
      </c>
      <c r="AZ146" s="4">
        <f t="shared" si="73"/>
        <v>32</v>
      </c>
      <c r="BA146" s="4">
        <f t="shared" si="74"/>
        <v>12</v>
      </c>
    </row>
    <row r="147" spans="1:53" x14ac:dyDescent="0.2">
      <c r="A147" s="1" t="str">
        <f>'NonXtal_SegEnds_Prot#'!A117</f>
        <v>ccr3_human</v>
      </c>
      <c r="B147" s="1" t="str">
        <f t="shared" si="50"/>
        <v>TRALMAQFVPPLYSLVFTVGLLGNVVVVMILIKYIMTNIYLLNLAISDLLFLVTLPFWIHYVRGGHGMCKLLSGFYHTGLYSEIFFIILLTIDRYLAIVHVTFGVITSIVTWGLAVLAALPEFIFYVYSWRHFHTLRMTIFCLVLPLLVMAICYTGIIKTLLRCKYKAIRLIFVIMAVFFIFWTPYNVAILLSSYQSILFDCERSKHLDLVMLVTEVIAYSHCCMNPVIYAFVGERFRKYLRHFFH</v>
      </c>
      <c r="C147" s="72" t="str">
        <f>IF(ISERROR(MATCH(A147,'Xtal_SegEnds_Prot#'!B:B,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47" s="5" t="str">
        <f t="shared" si="51"/>
        <v>TRALMAQFVPPLYSLVFTVGLLGNVVVVMILIKY</v>
      </c>
      <c r="G147" s="4" t="str">
        <f t="shared" si="52"/>
        <v>RRLR</v>
      </c>
      <c r="H147" s="4" t="str">
        <f t="shared" si="53"/>
        <v>IMTNIYLLNLAISDLLFLVTLPFWIHYVRG</v>
      </c>
      <c r="I147" s="4" t="str">
        <f t="shared" si="54"/>
        <v>NWVF</v>
      </c>
      <c r="J147" s="4" t="str">
        <f t="shared" si="55"/>
        <v>GHGMCKLLSGFYHTGLYSEIFFIILLTIDRYLAIVH</v>
      </c>
      <c r="K147" s="4" t="str">
        <f t="shared" si="56"/>
        <v>AVFALRAR</v>
      </c>
      <c r="L147" s="4" t="str">
        <f t="shared" si="57"/>
        <v>VTFGVITSIVTWGLAVLAALPEFIFY</v>
      </c>
      <c r="M147" s="4" t="str">
        <f t="shared" si="58"/>
        <v>CSA</v>
      </c>
      <c r="N147" s="4" t="str">
        <f t="shared" si="59"/>
        <v>VYSWRHFHTLRMTIFCLVLPLLVMAICYTGIIKTLLRC</v>
      </c>
      <c r="O147" s="4" t="str">
        <f t="shared" si="60"/>
        <v>KYKAIRLIFVIMAVFFIFWTPYNVAILLSSYQSILF</v>
      </c>
      <c r="P147" s="4" t="str">
        <f t="shared" si="61"/>
        <v>DCERSKHLDLVMLVTEVIAYSHCCMNPVIYAFV</v>
      </c>
      <c r="Q147" s="4" t="str">
        <f t="shared" si="62"/>
        <v>GERFRKYLRHFFH</v>
      </c>
      <c r="R147" s="5">
        <f>VLOOKUP($A147,'NonXtal_SegEnds_Prot#'!$A:$AL,3,FALSE)</f>
        <v>29</v>
      </c>
      <c r="S147" s="5">
        <f>VLOOKUP($A147,'NonXtal_SegEnds_Prot#'!$A:$AL,6,FALSE)</f>
        <v>63</v>
      </c>
      <c r="T147" s="5">
        <f>VLOOKUP($A147,'NonXtal_SegEnds_Prot#'!$A:$AL,9,FALSE)</f>
        <v>67</v>
      </c>
      <c r="U147" s="5">
        <f>VLOOKUP($A147,'NonXtal_SegEnds_Prot#'!$A:$AL,12,FALSE)</f>
        <v>98</v>
      </c>
      <c r="V147" s="5">
        <f>VLOOKUP($A147,'NonXtal_SegEnds_Prot#'!$A:$AL,15,FALSE)</f>
        <v>102</v>
      </c>
      <c r="W147" s="5">
        <f>VLOOKUP($A147,'NonXtal_SegEnds_Prot#'!$A:$AL,18,FALSE)</f>
        <v>138</v>
      </c>
      <c r="X147" s="5">
        <f>VLOOKUP($A147,'NonXtal_SegEnds_Prot#'!$A:$AL,21,FALSE)</f>
        <v>147</v>
      </c>
      <c r="Y147" s="5">
        <f>VLOOKUP($A147,'NonXtal_SegEnds_Prot#'!$A:$AL,24,FALSE)</f>
        <v>183</v>
      </c>
      <c r="Z147" s="5">
        <f>VLOOKUP($A147,'NonXtal_SegEnds_Prot#'!$A:$AL,27,FALSE)</f>
        <v>192</v>
      </c>
      <c r="AA147" s="5">
        <f>VLOOKUP($A147,'NonXtal_SegEnds_Prot#'!$A:$AL,30,FALSE)</f>
        <v>234</v>
      </c>
      <c r="AB147" s="5">
        <f>VLOOKUP($A147,'NonXtal_SegEnds_Prot#'!$A:$AL,33,FALSE)</f>
        <v>272</v>
      </c>
      <c r="AC147" s="5">
        <f>VLOOKUP($A147,'NonXtal_SegEnds_Prot#'!$A:$AL,36,FALSE)</f>
        <v>305</v>
      </c>
      <c r="AD147" s="5">
        <f>VLOOKUP($A147,'NonXtal_SegEnds_Prot#'!$A:$AL,5,FALSE)</f>
        <v>62</v>
      </c>
      <c r="AE147" s="5">
        <f>VLOOKUP($A147,'NonXtal_SegEnds_Prot#'!$A:$AL,8,FALSE)</f>
        <v>66</v>
      </c>
      <c r="AF147" s="5">
        <f>VLOOKUP($A147,'NonXtal_SegEnds_Prot#'!$A:$AL,11,FALSE)</f>
        <v>96</v>
      </c>
      <c r="AG147" s="5">
        <f>VLOOKUP($A147,'NonXtal_SegEnds_Prot#'!$A:$AL,14,FALSE)</f>
        <v>101</v>
      </c>
      <c r="AH147" s="5">
        <f>VLOOKUP($A147,'NonXtal_SegEnds_Prot#'!$A:$AL,17,FALSE)</f>
        <v>137</v>
      </c>
      <c r="AI147" s="5">
        <f>VLOOKUP($A147,'NonXtal_SegEnds_Prot#'!$A:$AL,20,FALSE)</f>
        <v>145</v>
      </c>
      <c r="AJ147" s="5">
        <f>VLOOKUP($A147,'NonXtal_SegEnds_Prot#'!$A:$AL,23,FALSE)</f>
        <v>172</v>
      </c>
      <c r="AK147" s="5">
        <f>VLOOKUP($A147,'NonXtal_SegEnds_Prot#'!$A:$AL,26,FALSE)</f>
        <v>185</v>
      </c>
      <c r="AL147" s="5">
        <f>VLOOKUP($A147,'NonXtal_SegEnds_Prot#'!$A:$AL,29,FALSE)</f>
        <v>229</v>
      </c>
      <c r="AM147" s="5">
        <f>VLOOKUP($A147,'NonXtal_SegEnds_Prot#'!$A:$AL,32,FALSE)</f>
        <v>269</v>
      </c>
      <c r="AN147" s="5">
        <f>VLOOKUP($A147,'NonXtal_SegEnds_Prot#'!$A:$AL,35,FALSE)</f>
        <v>304</v>
      </c>
      <c r="AO147" s="5">
        <f>VLOOKUP($A147,'NonXtal_SegEnds_Prot#'!$A:$AL,38,FALSE)</f>
        <v>317</v>
      </c>
      <c r="AP147" s="5">
        <f t="shared" si="63"/>
        <v>33</v>
      </c>
      <c r="AQ147" s="4">
        <f t="shared" si="64"/>
        <v>3</v>
      </c>
      <c r="AR147" s="4">
        <f t="shared" si="65"/>
        <v>29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25</v>
      </c>
      <c r="AW147" s="4">
        <f t="shared" si="70"/>
        <v>2</v>
      </c>
      <c r="AX147" s="4">
        <f t="shared" si="71"/>
        <v>37</v>
      </c>
      <c r="AY147" s="4">
        <f t="shared" si="72"/>
        <v>35</v>
      </c>
      <c r="AZ147" s="4">
        <f t="shared" si="73"/>
        <v>32</v>
      </c>
      <c r="BA147" s="4">
        <f t="shared" si="74"/>
        <v>12</v>
      </c>
    </row>
    <row r="148" spans="1:53" x14ac:dyDescent="0.2">
      <c r="A148" s="1" t="str">
        <f>'NonXtal_SegEnds_Prot#'!A118</f>
        <v>ccr8_human</v>
      </c>
      <c r="B148" s="1" t="str">
        <f t="shared" si="50"/>
        <v>IQTNGKLLLAVFYCLLFVFSLLGNSLVILVLVVCSITDVYLLNLALSDLLFVFSFPFQTYYLLDGTVMCKVVSGFYYIGFYSSMFFITLMSVDRYLAVVHIRMGTTLCLAVWLTAIMATIPLLVFYTLKWKIFTNFKMNILGLLIPFTIFMFCYIKILHQLKRCKTKAIRLVLIVVIASLLFWVPFNVVLFLTSLHSMHIGCSISQQLTYATHVTEIISFTHCCVNPVIYAFVGEKFKKHLSEIFQ</v>
      </c>
      <c r="C148" s="72" t="str">
        <f>IF(ISERROR(MATCH(A148,'Xtal_SegEnds_Prot#'!B:B,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48" s="5" t="str">
        <f t="shared" si="51"/>
        <v>IQTNGKLLLAVFYCLLFVFSLLGNSLVILVLVVC</v>
      </c>
      <c r="G148" s="4" t="str">
        <f t="shared" si="52"/>
        <v>KKLR</v>
      </c>
      <c r="H148" s="4" t="str">
        <f t="shared" si="53"/>
        <v>SITDVYLLNLALSDLLFVFSFPFQTYYLLD</v>
      </c>
      <c r="I148" s="4" t="str">
        <f t="shared" si="54"/>
        <v>QWVF</v>
      </c>
      <c r="J148" s="4" t="str">
        <f t="shared" si="55"/>
        <v>GTVMCKVVSGFYYIGFYSSMFFITLMSVDRYLAVVH</v>
      </c>
      <c r="K148" s="4" t="str">
        <f t="shared" si="56"/>
        <v>AVYALKVR</v>
      </c>
      <c r="L148" s="4" t="str">
        <f t="shared" si="57"/>
        <v>IRMGTTLCLAVWLTAIMATIPLLVFY</v>
      </c>
      <c r="M148" s="4" t="str">
        <f t="shared" si="58"/>
        <v>CYS</v>
      </c>
      <c r="N148" s="4" t="str">
        <f t="shared" si="59"/>
        <v>TLKWKIFTNFKMNILGLLIPFTIFMFCYIKILHQLKRC</v>
      </c>
      <c r="O148" s="4" t="str">
        <f t="shared" si="60"/>
        <v>KTKAIRLVLIVVIASLLFWVPFNVVLFLTSLHSMHI</v>
      </c>
      <c r="P148" s="4" t="str">
        <f t="shared" si="61"/>
        <v>GCSISQQLTYATHVTEIISFTHCCVNPVIYAFV</v>
      </c>
      <c r="Q148" s="4" t="str">
        <f t="shared" si="62"/>
        <v>GEKFKKHLSEIFQ</v>
      </c>
      <c r="R148" s="5">
        <f>VLOOKUP($A148,'NonXtal_SegEnds_Prot#'!$A:$AL,3,FALSE)</f>
        <v>30</v>
      </c>
      <c r="S148" s="5">
        <f>VLOOKUP($A148,'NonXtal_SegEnds_Prot#'!$A:$AL,6,FALSE)</f>
        <v>64</v>
      </c>
      <c r="T148" s="5">
        <f>VLOOKUP($A148,'NonXtal_SegEnds_Prot#'!$A:$AL,9,FALSE)</f>
        <v>68</v>
      </c>
      <c r="U148" s="5">
        <f>VLOOKUP($A148,'NonXtal_SegEnds_Prot#'!$A:$AL,12,FALSE)</f>
        <v>98</v>
      </c>
      <c r="V148" s="5">
        <f>VLOOKUP($A148,'NonXtal_SegEnds_Prot#'!$A:$AL,15,FALSE)</f>
        <v>102</v>
      </c>
      <c r="W148" s="5">
        <f>VLOOKUP($A148,'NonXtal_SegEnds_Prot#'!$A:$AL,18,FALSE)</f>
        <v>138</v>
      </c>
      <c r="X148" s="5">
        <f>VLOOKUP($A148,'NonXtal_SegEnds_Prot#'!$A:$AL,21,FALSE)</f>
        <v>147</v>
      </c>
      <c r="Y148" s="5">
        <f>VLOOKUP($A148,'NonXtal_SegEnds_Prot#'!$A:$AL,24,FALSE)</f>
        <v>183</v>
      </c>
      <c r="Z148" s="5">
        <f>VLOOKUP($A148,'NonXtal_SegEnds_Prot#'!$A:$AL,27,FALSE)</f>
        <v>191</v>
      </c>
      <c r="AA148" s="5">
        <f>VLOOKUP($A148,'NonXtal_SegEnds_Prot#'!$A:$AL,30,FALSE)</f>
        <v>233</v>
      </c>
      <c r="AB148" s="5">
        <f>VLOOKUP($A148,'NonXtal_SegEnds_Prot#'!$A:$AL,33,FALSE)</f>
        <v>271</v>
      </c>
      <c r="AC148" s="5">
        <f>VLOOKUP($A148,'NonXtal_SegEnds_Prot#'!$A:$AL,36,FALSE)</f>
        <v>304</v>
      </c>
      <c r="AD148" s="5">
        <f>VLOOKUP($A148,'NonXtal_SegEnds_Prot#'!$A:$AL,5,FALSE)</f>
        <v>63</v>
      </c>
      <c r="AE148" s="5">
        <f>VLOOKUP($A148,'NonXtal_SegEnds_Prot#'!$A:$AL,8,FALSE)</f>
        <v>67</v>
      </c>
      <c r="AF148" s="5">
        <f>VLOOKUP($A148,'NonXtal_SegEnds_Prot#'!$A:$AL,11,FALSE)</f>
        <v>97</v>
      </c>
      <c r="AG148" s="5">
        <f>VLOOKUP($A148,'NonXtal_SegEnds_Prot#'!$A:$AL,14,FALSE)</f>
        <v>101</v>
      </c>
      <c r="AH148" s="5">
        <f>VLOOKUP($A148,'NonXtal_SegEnds_Prot#'!$A:$AL,17,FALSE)</f>
        <v>137</v>
      </c>
      <c r="AI148" s="5">
        <f>VLOOKUP($A148,'NonXtal_SegEnds_Prot#'!$A:$AL,20,FALSE)</f>
        <v>145</v>
      </c>
      <c r="AJ148" s="5">
        <f>VLOOKUP($A148,'NonXtal_SegEnds_Prot#'!$A:$AL,23,FALSE)</f>
        <v>172</v>
      </c>
      <c r="AK148" s="5">
        <f>VLOOKUP($A148,'NonXtal_SegEnds_Prot#'!$A:$AL,26,FALSE)</f>
        <v>185</v>
      </c>
      <c r="AL148" s="5">
        <f>VLOOKUP($A148,'NonXtal_SegEnds_Prot#'!$A:$AL,29,FALSE)</f>
        <v>228</v>
      </c>
      <c r="AM148" s="5">
        <f>VLOOKUP($A148,'NonXtal_SegEnds_Prot#'!$A:$AL,32,FALSE)</f>
        <v>268</v>
      </c>
      <c r="AN148" s="5">
        <f>VLOOKUP($A148,'NonXtal_SegEnds_Prot#'!$A:$AL,35,FALSE)</f>
        <v>303</v>
      </c>
      <c r="AO148" s="5">
        <f>VLOOKUP($A148,'NonXtal_SegEnds_Prot#'!$A:$AL,38,FALSE)</f>
        <v>316</v>
      </c>
      <c r="AP148" s="5">
        <f t="shared" si="63"/>
        <v>33</v>
      </c>
      <c r="AQ148" s="4">
        <f t="shared" si="64"/>
        <v>3</v>
      </c>
      <c r="AR148" s="4">
        <f t="shared" si="65"/>
        <v>29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37</v>
      </c>
      <c r="AY148" s="4">
        <f t="shared" si="72"/>
        <v>35</v>
      </c>
      <c r="AZ148" s="4">
        <f t="shared" si="73"/>
        <v>32</v>
      </c>
      <c r="BA148" s="4">
        <f t="shared" si="74"/>
        <v>12</v>
      </c>
    </row>
    <row r="149" spans="1:53" x14ac:dyDescent="0.2">
      <c r="A149" s="1" t="str">
        <f>'NonXtal_SegEnds_Prot#'!A119</f>
        <v>ccrl2_human</v>
      </c>
      <c r="B149" s="1" t="str">
        <f t="shared" si="50"/>
        <v>AQALSAQLVPSLCSAVFVIGVLDNLLVVLILVKYRVENIYLLNLAVSNLCFLLTLPFWAHAKILIGLYFVGLYSETFFNCLLTVQRYLVFLHVPCGIITSVLAWVTAILATLPEFVVYETFWKHFLTLKMNISVLVLPLFIFTFLYVQMRKTLRFRRYSLFKLVFAIMVVFLLMWAPYNIAFFLSTFKEHFDCKSSYNLDKSVHITKLIATTHCCINPLLYAFLDGTFSKYLCRCFH</v>
      </c>
      <c r="C149" s="72" t="str">
        <f>IF(ISERROR(MATCH(A149,'Xtal_SegEnds_Prot#'!B:B,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149" s="5" t="str">
        <f t="shared" si="51"/>
        <v>AQALSAQLVPSLCSAVFVIGVLDNLLVVLILVKY</v>
      </c>
      <c r="G149" s="4" t="str">
        <f t="shared" si="52"/>
        <v>KGLK</v>
      </c>
      <c r="H149" s="4" t="str">
        <f t="shared" si="53"/>
        <v>RVENIYLLNLAVSNLCFLLTLPFWAHA</v>
      </c>
      <c r="I149" s="4" t="str">
        <f t="shared" si="54"/>
        <v/>
      </c>
      <c r="J149" s="4" t="str">
        <f t="shared" si="55"/>
        <v>KILIGLYFVGLYSETFFNCLLTVQRYLVFLH</v>
      </c>
      <c r="K149" s="4" t="str">
        <f t="shared" si="56"/>
        <v>KGNFFSARR</v>
      </c>
      <c r="L149" s="4" t="str">
        <f t="shared" si="57"/>
        <v>VPCGIITSVLAWVTAILATLPEFVVY</v>
      </c>
      <c r="M149" s="4" t="str">
        <f t="shared" si="58"/>
        <v>CAF</v>
      </c>
      <c r="N149" s="4" t="str">
        <f t="shared" si="59"/>
        <v>ETFWKHFLTLKMNISVLVLPLFIFTFLYVQMRKTLRFR</v>
      </c>
      <c r="O149" s="4" t="str">
        <f t="shared" si="60"/>
        <v>RYSLFKLVFAIMVVFLLMWAPYNIAFFLSTFKEHF</v>
      </c>
      <c r="P149" s="4" t="str">
        <f t="shared" si="61"/>
        <v>DCKSSYNLDKSVHITKLIATTHCCINPLLYAFL</v>
      </c>
      <c r="Q149" s="4" t="str">
        <f t="shared" si="62"/>
        <v>DGTFSKYLCRCFH</v>
      </c>
      <c r="R149" s="5">
        <f>VLOOKUP($A149,'NonXtal_SegEnds_Prot#'!$A:$AL,3,FALSE)</f>
        <v>33</v>
      </c>
      <c r="S149" s="5">
        <f>VLOOKUP($A149,'NonXtal_SegEnds_Prot#'!$A:$AL,6,FALSE)</f>
        <v>67</v>
      </c>
      <c r="T149" s="5">
        <f>VLOOKUP($A149,'NonXtal_SegEnds_Prot#'!$A:$AL,9,FALSE)</f>
        <v>71</v>
      </c>
      <c r="U149" s="5" t="str">
        <f>VLOOKUP($A149,'NonXtal_SegEnds_Prot#'!$A:$AL,12,FALSE)</f>
        <v>-</v>
      </c>
      <c r="V149" s="5">
        <f>VLOOKUP($A149,'NonXtal_SegEnds_Prot#'!$A:$AL,15,FALSE)</f>
        <v>104</v>
      </c>
      <c r="W149" s="5">
        <f>VLOOKUP($A149,'NonXtal_SegEnds_Prot#'!$A:$AL,18,FALSE)</f>
        <v>135</v>
      </c>
      <c r="X149" s="5">
        <f>VLOOKUP($A149,'NonXtal_SegEnds_Prot#'!$A:$AL,21,FALSE)</f>
        <v>145</v>
      </c>
      <c r="Y149" s="5">
        <f>VLOOKUP($A149,'NonXtal_SegEnds_Prot#'!$A:$AL,24,FALSE)</f>
        <v>181</v>
      </c>
      <c r="Z149" s="5">
        <f>VLOOKUP($A149,'NonXtal_SegEnds_Prot#'!$A:$AL,27,FALSE)</f>
        <v>193</v>
      </c>
      <c r="AA149" s="5">
        <f>VLOOKUP($A149,'NonXtal_SegEnds_Prot#'!$A:$AL,30,FALSE)</f>
        <v>233</v>
      </c>
      <c r="AB149" s="5">
        <f>VLOOKUP($A149,'NonXtal_SegEnds_Prot#'!$A:$AL,33,FALSE)</f>
        <v>271</v>
      </c>
      <c r="AC149" s="5">
        <f>VLOOKUP($A149,'NonXtal_SegEnds_Prot#'!$A:$AL,36,FALSE)</f>
        <v>304</v>
      </c>
      <c r="AD149" s="5">
        <f>VLOOKUP($A149,'NonXtal_SegEnds_Prot#'!$A:$AL,5,FALSE)</f>
        <v>66</v>
      </c>
      <c r="AE149" s="5">
        <f>VLOOKUP($A149,'NonXtal_SegEnds_Prot#'!$A:$AL,8,FALSE)</f>
        <v>70</v>
      </c>
      <c r="AF149" s="5">
        <f>VLOOKUP($A149,'NonXtal_SegEnds_Prot#'!$A:$AL,11,FALSE)</f>
        <v>97</v>
      </c>
      <c r="AG149" s="5" t="str">
        <f>VLOOKUP($A149,'NonXtal_SegEnds_Prot#'!$A:$AL,14,FALSE)</f>
        <v>-</v>
      </c>
      <c r="AH149" s="5">
        <f>VLOOKUP($A149,'NonXtal_SegEnds_Prot#'!$A:$AL,17,FALSE)</f>
        <v>134</v>
      </c>
      <c r="AI149" s="5">
        <f>VLOOKUP($A149,'NonXtal_SegEnds_Prot#'!$A:$AL,20,FALSE)</f>
        <v>143</v>
      </c>
      <c r="AJ149" s="5">
        <f>VLOOKUP($A149,'NonXtal_SegEnds_Prot#'!$A:$AL,23,FALSE)</f>
        <v>170</v>
      </c>
      <c r="AK149" s="5">
        <f>VLOOKUP($A149,'NonXtal_SegEnds_Prot#'!$A:$AL,26,FALSE)</f>
        <v>183</v>
      </c>
      <c r="AL149" s="5">
        <f>VLOOKUP($A149,'NonXtal_SegEnds_Prot#'!$A:$AL,29,FALSE)</f>
        <v>230</v>
      </c>
      <c r="AM149" s="5">
        <f>VLOOKUP($A149,'NonXtal_SegEnds_Prot#'!$A:$AL,32,FALSE)</f>
        <v>267</v>
      </c>
      <c r="AN149" s="5">
        <f>VLOOKUP($A149,'NonXtal_SegEnds_Prot#'!$A:$AL,35,FALSE)</f>
        <v>303</v>
      </c>
      <c r="AO149" s="5">
        <f>VLOOKUP($A149,'NonXtal_SegEnds_Prot#'!$A:$AL,38,FALSE)</f>
        <v>316</v>
      </c>
      <c r="AP149" s="5">
        <f t="shared" si="63"/>
        <v>33</v>
      </c>
      <c r="AQ149" s="4">
        <f t="shared" si="64"/>
        <v>3</v>
      </c>
      <c r="AR149" s="4">
        <f t="shared" si="65"/>
        <v>26</v>
      </c>
      <c r="AS149" s="4" t="str">
        <f t="shared" si="66"/>
        <v>-</v>
      </c>
      <c r="AT149" s="4">
        <f t="shared" si="67"/>
        <v>30</v>
      </c>
      <c r="AU149" s="4">
        <f t="shared" si="68"/>
        <v>8</v>
      </c>
      <c r="AV149" s="4">
        <f t="shared" si="69"/>
        <v>25</v>
      </c>
      <c r="AW149" s="4">
        <f t="shared" si="70"/>
        <v>2</v>
      </c>
      <c r="AX149" s="4">
        <f t="shared" si="71"/>
        <v>37</v>
      </c>
      <c r="AY149" s="4">
        <f t="shared" si="72"/>
        <v>34</v>
      </c>
      <c r="AZ149" s="4">
        <f t="shared" si="73"/>
        <v>32</v>
      </c>
      <c r="BA149" s="4">
        <f t="shared" si="74"/>
        <v>12</v>
      </c>
    </row>
    <row r="150" spans="1:53" x14ac:dyDescent="0.2">
      <c r="A150" s="1" t="str">
        <f>'NonXtal_SegEnds_Prot#'!A120</f>
        <v>cxcr6_human</v>
      </c>
      <c r="B150" s="1" t="str">
        <f t="shared" si="50"/>
        <v>FLQFSKVFLPCMYLVVFVCGLVGNSLVLVISIFYSLTDVFLVNLPLADLVFVCTLPFWAYAGIHGQVMCKSLLGIYTINFYTSMLILTCITVDRFIVVVKMTWGKVTSLLIWVISLLVSLPQIIYGDEAISTVVLATQMTLGFFLPLLTMIVCYSVIIKTLLHAKHRSLKIIFLVMAVFLLTQMPFNLMKFIRSTHMTSFHYTIMVTEAIAYLRACLNPVLYAFVSLKFRKNFWKLVK</v>
      </c>
      <c r="C150" s="72" t="str">
        <f>IF(ISERROR(MATCH(A150,'Xtal_SegEnds_Prot#'!B:B,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150" s="5" t="str">
        <f t="shared" si="51"/>
        <v>FLQFSKVFLPCMYLVVFVCGLVGNSLVLVISIFY</v>
      </c>
      <c r="G150" s="4" t="str">
        <f t="shared" si="52"/>
        <v>HKLQ</v>
      </c>
      <c r="H150" s="4" t="str">
        <f t="shared" si="53"/>
        <v>SLTDVFLVNLPLADLVFVCTLPFWAYAGIH</v>
      </c>
      <c r="I150" s="4" t="str">
        <f t="shared" si="54"/>
        <v>EWVF</v>
      </c>
      <c r="J150" s="4" t="str">
        <f t="shared" si="55"/>
        <v>GQVMCKSLLGIYTINFYTSMLILTCITVDRFIVVVK</v>
      </c>
      <c r="K150" s="4" t="str">
        <f t="shared" si="56"/>
        <v>ATKAYNQQA</v>
      </c>
      <c r="L150" s="4" t="str">
        <f t="shared" si="57"/>
        <v>MTWGKVTSLLIWVISLLVSLPQIIYG</v>
      </c>
      <c r="M150" s="4" t="str">
        <f t="shared" si="58"/>
        <v>CGY</v>
      </c>
      <c r="N150" s="4" t="str">
        <f t="shared" si="59"/>
        <v>DEAISTVVLATQMTLGFFLPLLTMIVCYSVIIKTLLHA</v>
      </c>
      <c r="O150" s="4" t="str">
        <f t="shared" si="60"/>
        <v>KHRSLKIIFLVMAVFLLTQMPFNLMKFIRSTH</v>
      </c>
      <c r="P150" s="4" t="str">
        <f t="shared" si="61"/>
        <v>MTSFHYTIMVTEAIAYLRACLNPVLYAFV</v>
      </c>
      <c r="Q150" s="4" t="str">
        <f t="shared" si="62"/>
        <v>SLKFRKNFWKLVK</v>
      </c>
      <c r="R150" s="5">
        <f>VLOOKUP($A150,'NonXtal_SegEnds_Prot#'!$A:$AL,3,FALSE)</f>
        <v>26</v>
      </c>
      <c r="S150" s="5">
        <f>VLOOKUP($A150,'NonXtal_SegEnds_Prot#'!$A:$AL,6,FALSE)</f>
        <v>60</v>
      </c>
      <c r="T150" s="5">
        <f>VLOOKUP($A150,'NonXtal_SegEnds_Prot#'!$A:$AL,9,FALSE)</f>
        <v>64</v>
      </c>
      <c r="U150" s="5">
        <f>VLOOKUP($A150,'NonXtal_SegEnds_Prot#'!$A:$AL,12,FALSE)</f>
        <v>94</v>
      </c>
      <c r="V150" s="5">
        <f>VLOOKUP($A150,'NonXtal_SegEnds_Prot#'!$A:$AL,15,FALSE)</f>
        <v>98</v>
      </c>
      <c r="W150" s="5">
        <f>VLOOKUP($A150,'NonXtal_SegEnds_Prot#'!$A:$AL,18,FALSE)</f>
        <v>134</v>
      </c>
      <c r="X150" s="5">
        <f>VLOOKUP($A150,'NonXtal_SegEnds_Prot#'!$A:$AL,21,FALSE)</f>
        <v>145</v>
      </c>
      <c r="Y150" s="5">
        <f>VLOOKUP($A150,'NonXtal_SegEnds_Prot#'!$A:$AL,24,FALSE)</f>
        <v>180</v>
      </c>
      <c r="Z150" s="5">
        <f>VLOOKUP($A150,'NonXtal_SegEnds_Prot#'!$A:$AL,27,FALSE)</f>
        <v>184</v>
      </c>
      <c r="AA150" s="5">
        <f>VLOOKUP($A150,'NonXtal_SegEnds_Prot#'!$A:$AL,30,FALSE)</f>
        <v>226</v>
      </c>
      <c r="AB150" s="5">
        <f>VLOOKUP($A150,'NonXtal_SegEnds_Prot#'!$A:$AL,33,FALSE)</f>
        <v>263</v>
      </c>
      <c r="AC150" s="5">
        <f>VLOOKUP($A150,'NonXtal_SegEnds_Prot#'!$A:$AL,36,FALSE)</f>
        <v>292</v>
      </c>
      <c r="AD150" s="5">
        <f>VLOOKUP($A150,'NonXtal_SegEnds_Prot#'!$A:$AL,5,FALSE)</f>
        <v>59</v>
      </c>
      <c r="AE150" s="5">
        <f>VLOOKUP($A150,'NonXtal_SegEnds_Prot#'!$A:$AL,8,FALSE)</f>
        <v>63</v>
      </c>
      <c r="AF150" s="5">
        <f>VLOOKUP($A150,'NonXtal_SegEnds_Prot#'!$A:$AL,11,FALSE)</f>
        <v>93</v>
      </c>
      <c r="AG150" s="5">
        <f>VLOOKUP($A150,'NonXtal_SegEnds_Prot#'!$A:$AL,14,FALSE)</f>
        <v>97</v>
      </c>
      <c r="AH150" s="5">
        <f>VLOOKUP($A150,'NonXtal_SegEnds_Prot#'!$A:$AL,17,FALSE)</f>
        <v>133</v>
      </c>
      <c r="AI150" s="5">
        <f>VLOOKUP($A150,'NonXtal_SegEnds_Prot#'!$A:$AL,20,FALSE)</f>
        <v>142</v>
      </c>
      <c r="AJ150" s="5">
        <f>VLOOKUP($A150,'NonXtal_SegEnds_Prot#'!$A:$AL,23,FALSE)</f>
        <v>170</v>
      </c>
      <c r="AK150" s="5">
        <f>VLOOKUP($A150,'NonXtal_SegEnds_Prot#'!$A:$AL,26,FALSE)</f>
        <v>182</v>
      </c>
      <c r="AL150" s="5">
        <f>VLOOKUP($A150,'NonXtal_SegEnds_Prot#'!$A:$AL,29,FALSE)</f>
        <v>221</v>
      </c>
      <c r="AM150" s="5">
        <f>VLOOKUP($A150,'NonXtal_SegEnds_Prot#'!$A:$AL,32,FALSE)</f>
        <v>257</v>
      </c>
      <c r="AN150" s="5">
        <f>VLOOKUP($A150,'NonXtal_SegEnds_Prot#'!$A:$AL,35,FALSE)</f>
        <v>291</v>
      </c>
      <c r="AO150" s="5">
        <f>VLOOKUP($A150,'NonXtal_SegEnds_Prot#'!$A:$AL,38,FALSE)</f>
        <v>304</v>
      </c>
      <c r="AP150" s="5">
        <f t="shared" si="63"/>
        <v>33</v>
      </c>
      <c r="AQ150" s="4">
        <f t="shared" si="64"/>
        <v>3</v>
      </c>
      <c r="AR150" s="4">
        <f t="shared" si="65"/>
        <v>29</v>
      </c>
      <c r="AS150" s="4">
        <f t="shared" si="66"/>
        <v>3</v>
      </c>
      <c r="AT150" s="4">
        <f t="shared" si="67"/>
        <v>35</v>
      </c>
      <c r="AU150" s="4">
        <f t="shared" si="68"/>
        <v>8</v>
      </c>
      <c r="AV150" s="4">
        <f t="shared" si="69"/>
        <v>25</v>
      </c>
      <c r="AW150" s="4">
        <f t="shared" si="70"/>
        <v>2</v>
      </c>
      <c r="AX150" s="4">
        <f t="shared" si="71"/>
        <v>37</v>
      </c>
      <c r="AY150" s="4">
        <f t="shared" si="72"/>
        <v>31</v>
      </c>
      <c r="AZ150" s="4">
        <f t="shared" si="73"/>
        <v>28</v>
      </c>
      <c r="BA150" s="4">
        <f t="shared" si="74"/>
        <v>12</v>
      </c>
    </row>
    <row r="151" spans="1:53" x14ac:dyDescent="0.2">
      <c r="A151" s="1" t="str">
        <f>'NonXtal_SegEnds_Prot#'!A124</f>
        <v>gpr98_human</v>
      </c>
      <c r="B151" s="1" t="str">
        <f t="shared" si="50"/>
        <v>VYARTDNLSSYNEAFFTSGFICISGLCLAVLSHIFCARMFAAKLLTHMMAASLGTQILFLASAYAESCSAMAAVTHYLYLCQFSWMLIQSVNFWYVLVMRRYLLFFLLSWGLPAFVVILLIVILKGIYYAALFTAALVPLTCLVVVFVVFIHAYQVKPQWKATNAAEIPLILYLFALISVTWLWGGLHFWMLVLFVIFNSLQGLYVFMVYFILHNQMCCPMKASYTVEMN</v>
      </c>
      <c r="C151" s="72" t="str">
        <f>IF(ISERROR(MATCH(A151,'Xtal_SegEnds_Prot#'!B:B, 0)), "NoXtal", "Xtal")</f>
        <v>NoXtal</v>
      </c>
      <c r="D151" s="4" t="str">
        <f>VLOOKUP(A151,Classification!A:D,2,FALSE)</f>
        <v>B2</v>
      </c>
      <c r="E151" s="5" t="str">
        <f>VLOOKUP(A151,Seqs!A:B,2,FALSE)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151" s="5" t="str">
        <f t="shared" si="51"/>
        <v>VYARTDNLSSYNEAFFTSGFICISGLCLAVLSHIFCAR</v>
      </c>
      <c r="G151" s="4" t="str">
        <f t="shared" si="52"/>
        <v/>
      </c>
      <c r="H151" s="4" t="str">
        <f t="shared" si="53"/>
        <v>MFAAKLLTHMMAASLGTQILFLASAYA</v>
      </c>
      <c r="I151" s="4" t="str">
        <f t="shared" si="54"/>
        <v/>
      </c>
      <c r="J151" s="4" t="str">
        <f t="shared" si="55"/>
        <v>ESCSAMAAVTHYLYLCQFSWMLIQSVNFWYVLVM</v>
      </c>
      <c r="K151" s="4" t="str">
        <f t="shared" si="56"/>
        <v/>
      </c>
      <c r="L151" s="4" t="str">
        <f t="shared" si="57"/>
        <v>RRYLLFFLLSWGLPAFVVILLIVILKGIY</v>
      </c>
      <c r="M151" s="4" t="str">
        <f t="shared" si="58"/>
        <v>CFI</v>
      </c>
      <c r="N151" s="4" t="str">
        <f t="shared" si="59"/>
        <v>YAALFTAALVPLTCLVVVFVVFIHAYQVKPQWKA</v>
      </c>
      <c r="O151" s="4" t="str">
        <f t="shared" si="60"/>
        <v>TNAAEIPLILYLFALISVTWLWGGL</v>
      </c>
      <c r="P151" s="4" t="str">
        <f t="shared" si="61"/>
        <v>HFWMLVLFVIFNSLQGLYVFMVYFIL</v>
      </c>
      <c r="Q151" s="4" t="str">
        <f t="shared" si="62"/>
        <v>HNQMCCPMKASYTVEMN</v>
      </c>
      <c r="R151" s="5">
        <f>VLOOKUP($A151,'NonXtal_SegEnds_Prot#'!$A:$AL,3,FALSE)</f>
        <v>5895</v>
      </c>
      <c r="S151" s="5" t="str">
        <f>VLOOKUP($A151,'NonXtal_SegEnds_Prot#'!$A:$AL,6,FALSE)</f>
        <v>-</v>
      </c>
      <c r="T151" s="5">
        <f>VLOOKUP($A151,'NonXtal_SegEnds_Prot#'!$A:$AL,9,FALSE)</f>
        <v>5935</v>
      </c>
      <c r="U151" s="5" t="str">
        <f>VLOOKUP($A151,'NonXtal_SegEnds_Prot#'!$A:$AL,12,FALSE)</f>
        <v>-</v>
      </c>
      <c r="V151" s="5">
        <f>VLOOKUP($A151,'NonXtal_SegEnds_Prot#'!$A:$AL,15,FALSE)</f>
        <v>5968</v>
      </c>
      <c r="W151" s="5" t="str">
        <f>VLOOKUP($A151,'NonXtal_SegEnds_Prot#'!$A:$AL,18,FALSE)</f>
        <v>-</v>
      </c>
      <c r="X151" s="5">
        <f>VLOOKUP($A151,'NonXtal_SegEnds_Prot#'!$A:$AL,21,FALSE)</f>
        <v>6008</v>
      </c>
      <c r="Y151" s="5">
        <f>VLOOKUP($A151,'NonXtal_SegEnds_Prot#'!$A:$AL,24,FALSE)</f>
        <v>6052</v>
      </c>
      <c r="Z151" s="5">
        <f>VLOOKUP($A151,'NonXtal_SegEnds_Prot#'!$A:$AL,27,FALSE)</f>
        <v>6058</v>
      </c>
      <c r="AA151" s="5">
        <f>VLOOKUP($A151,'NonXtal_SegEnds_Prot#'!$A:$AL,30,FALSE)</f>
        <v>6100</v>
      </c>
      <c r="AB151" s="5">
        <f>VLOOKUP($A151,'NonXtal_SegEnds_Prot#'!$A:$AL,33,FALSE)</f>
        <v>6130</v>
      </c>
      <c r="AC151" s="5">
        <f>VLOOKUP($A151,'NonXtal_SegEnds_Prot#'!$A:$AL,36,FALSE)</f>
        <v>6156</v>
      </c>
      <c r="AD151" s="5">
        <f>VLOOKUP($A151,'NonXtal_SegEnds_Prot#'!$A:$AL,5,FALSE)</f>
        <v>5932</v>
      </c>
      <c r="AE151" s="5" t="str">
        <f>VLOOKUP($A151,'NonXtal_SegEnds_Prot#'!$A:$AL,8,FALSE)</f>
        <v>-</v>
      </c>
      <c r="AF151" s="5">
        <f>VLOOKUP($A151,'NonXtal_SegEnds_Prot#'!$A:$AL,11,FALSE)</f>
        <v>5961</v>
      </c>
      <c r="AG151" s="5" t="str">
        <f>VLOOKUP($A151,'NonXtal_SegEnds_Prot#'!$A:$AL,14,FALSE)</f>
        <v>-</v>
      </c>
      <c r="AH151" s="5">
        <f>VLOOKUP($A151,'NonXtal_SegEnds_Prot#'!$A:$AL,17,FALSE)</f>
        <v>6001</v>
      </c>
      <c r="AI151" s="5" t="str">
        <f>VLOOKUP($A151,'NonXtal_SegEnds_Prot#'!$A:$AL,20,FALSE)</f>
        <v>-</v>
      </c>
      <c r="AJ151" s="5">
        <f>VLOOKUP($A151,'NonXtal_SegEnds_Prot#'!$A:$AL,23,FALSE)</f>
        <v>6036</v>
      </c>
      <c r="AK151" s="5">
        <f>VLOOKUP($A151,'NonXtal_SegEnds_Prot#'!$A:$AL,26,FALSE)</f>
        <v>6054</v>
      </c>
      <c r="AL151" s="5">
        <f>VLOOKUP($A151,'NonXtal_SegEnds_Prot#'!$A:$AL,29,FALSE)</f>
        <v>6091</v>
      </c>
      <c r="AM151" s="5">
        <f>VLOOKUP($A151,'NonXtal_SegEnds_Prot#'!$A:$AL,32,FALSE)</f>
        <v>6124</v>
      </c>
      <c r="AN151" s="5">
        <f>VLOOKUP($A151,'NonXtal_SegEnds_Prot#'!$A:$AL,35,FALSE)</f>
        <v>6155</v>
      </c>
      <c r="AO151" s="5">
        <f>VLOOKUP($A151,'NonXtal_SegEnds_Prot#'!$A:$AL,38,FALSE)</f>
        <v>6172</v>
      </c>
      <c r="AP151" s="5">
        <f t="shared" si="63"/>
        <v>37</v>
      </c>
      <c r="AQ151" s="4" t="str">
        <f t="shared" si="64"/>
        <v>-</v>
      </c>
      <c r="AR151" s="4">
        <f t="shared" si="65"/>
        <v>26</v>
      </c>
      <c r="AS151" s="4" t="str">
        <f t="shared" si="66"/>
        <v>-</v>
      </c>
      <c r="AT151" s="4">
        <f t="shared" si="67"/>
        <v>33</v>
      </c>
      <c r="AU151" s="4" t="str">
        <f t="shared" si="68"/>
        <v>-</v>
      </c>
      <c r="AV151" s="4">
        <f t="shared" si="69"/>
        <v>28</v>
      </c>
      <c r="AW151" s="4">
        <f t="shared" si="70"/>
        <v>2</v>
      </c>
      <c r="AX151" s="4">
        <f t="shared" si="71"/>
        <v>33</v>
      </c>
      <c r="AY151" s="4">
        <f t="shared" si="72"/>
        <v>24</v>
      </c>
      <c r="AZ151" s="4">
        <f t="shared" si="73"/>
        <v>25</v>
      </c>
      <c r="BA151" s="4">
        <f t="shared" si="74"/>
        <v>16</v>
      </c>
    </row>
    <row r="152" spans="1:53" x14ac:dyDescent="0.2">
      <c r="A152" s="1" t="str">
        <f>'NonXtal_SegEnds_Prot#'!A125</f>
        <v>agrg4_human</v>
      </c>
      <c r="B152" s="1" t="str">
        <f t="shared" si="50"/>
        <v>SRSTVDSVNEQILALITYTGCGISSIFLGVAVVTYIAFDYPAKILINLCTALLMLNLVFLINSWLGVCITAAVALHYFLLVSFTWMGLEAVHMYLALVKNYILKFCLVGWGIPAIMVAITVSVKKDLYDSIFYISVVAYFCLIFLMNLSMFCTVLVQLNSVKMILHDLKGTMSLTFLLGLTWGFAFFRNFFLYLFAIFNTLQGFFIFVFHCVMKESVREQWQIHLCCGWL</v>
      </c>
      <c r="C152" s="72" t="str">
        <f>IF(ISERROR(MATCH(A152,'Xtal_SegEnds_Prot#'!B:B, 0)), "NoXtal", "Xtal")</f>
        <v>NoXtal</v>
      </c>
      <c r="D152" s="4" t="str">
        <f>VLOOKUP(A152,Classification!A:D,2,FALSE)</f>
        <v>B2</v>
      </c>
      <c r="E152" s="5" t="str">
        <f>VLOOKUP(A152,Seqs!A:B,2,FALSE)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152" s="5" t="str">
        <f t="shared" si="51"/>
        <v>SRSTVDSVNEQILALITYTGCGISSIFLGVAVVTYIAF</v>
      </c>
      <c r="G152" s="4" t="str">
        <f t="shared" si="52"/>
        <v/>
      </c>
      <c r="H152" s="4" t="str">
        <f t="shared" si="53"/>
        <v>DYPAKILINLCTALLMLNLVFLINSWL</v>
      </c>
      <c r="I152" s="4" t="str">
        <f t="shared" si="54"/>
        <v/>
      </c>
      <c r="J152" s="4" t="str">
        <f t="shared" si="55"/>
        <v>GVCITAAVALHYFLLVSFTWMGLEAVHMYLALVK</v>
      </c>
      <c r="K152" s="4" t="str">
        <f t="shared" si="56"/>
        <v/>
      </c>
      <c r="L152" s="4" t="str">
        <f t="shared" si="57"/>
        <v>NYILKFCLVGWGIPAIMVAITVSVKKDLY</v>
      </c>
      <c r="M152" s="4" t="str">
        <f t="shared" si="58"/>
        <v>CWI</v>
      </c>
      <c r="N152" s="4" t="str">
        <f t="shared" si="59"/>
        <v>DSIFYISVVAYFCLIFLMNLSMFCTVLVQLNSVK</v>
      </c>
      <c r="O152" s="4" t="str">
        <f t="shared" si="60"/>
        <v>MILHDLKGTMSLTFLLGLTWGFAFF</v>
      </c>
      <c r="P152" s="4" t="str">
        <f t="shared" si="61"/>
        <v>RNFFLYLFAIFNTLQGFFIFVFHCVM</v>
      </c>
      <c r="Q152" s="4" t="str">
        <f t="shared" si="62"/>
        <v>KESVREQWQIHLCCGWL</v>
      </c>
      <c r="R152" s="5">
        <f>VLOOKUP($A152,'NonXtal_SegEnds_Prot#'!$A:$AL,3,FALSE)</f>
        <v>2731</v>
      </c>
      <c r="S152" s="5" t="str">
        <f>VLOOKUP($A152,'NonXtal_SegEnds_Prot#'!$A:$AL,6,FALSE)</f>
        <v>-</v>
      </c>
      <c r="T152" s="5">
        <f>VLOOKUP($A152,'NonXtal_SegEnds_Prot#'!$A:$AL,9,FALSE)</f>
        <v>2774</v>
      </c>
      <c r="U152" s="5" t="str">
        <f>VLOOKUP($A152,'NonXtal_SegEnds_Prot#'!$A:$AL,12,FALSE)</f>
        <v>-</v>
      </c>
      <c r="V152" s="5">
        <f>VLOOKUP($A152,'NonXtal_SegEnds_Prot#'!$A:$AL,15,FALSE)</f>
        <v>2807</v>
      </c>
      <c r="W152" s="5" t="str">
        <f>VLOOKUP($A152,'NonXtal_SegEnds_Prot#'!$A:$AL,18,FALSE)</f>
        <v>-</v>
      </c>
      <c r="X152" s="5">
        <f>VLOOKUP($A152,'NonXtal_SegEnds_Prot#'!$A:$AL,21,FALSE)</f>
        <v>2848</v>
      </c>
      <c r="Y152" s="5">
        <f>VLOOKUP($A152,'NonXtal_SegEnds_Prot#'!$A:$AL,24,FALSE)</f>
        <v>2886</v>
      </c>
      <c r="Z152" s="5">
        <f>VLOOKUP($A152,'NonXtal_SegEnds_Prot#'!$A:$AL,27,FALSE)</f>
        <v>2891</v>
      </c>
      <c r="AA152" s="5">
        <f>VLOOKUP($A152,'NonXtal_SegEnds_Prot#'!$A:$AL,30,FALSE)</f>
        <v>2934</v>
      </c>
      <c r="AB152" s="5">
        <f>VLOOKUP($A152,'NonXtal_SegEnds_Prot#'!$A:$AL,33,FALSE)</f>
        <v>2964</v>
      </c>
      <c r="AC152" s="5">
        <f>VLOOKUP($A152,'NonXtal_SegEnds_Prot#'!$A:$AL,36,FALSE)</f>
        <v>2990</v>
      </c>
      <c r="AD152" s="5">
        <f>VLOOKUP($A152,'NonXtal_SegEnds_Prot#'!$A:$AL,5,FALSE)</f>
        <v>2768</v>
      </c>
      <c r="AE152" s="5" t="str">
        <f>VLOOKUP($A152,'NonXtal_SegEnds_Prot#'!$A:$AL,8,FALSE)</f>
        <v>-</v>
      </c>
      <c r="AF152" s="5">
        <f>VLOOKUP($A152,'NonXtal_SegEnds_Prot#'!$A:$AL,11,FALSE)</f>
        <v>2800</v>
      </c>
      <c r="AG152" s="5" t="str">
        <f>VLOOKUP($A152,'NonXtal_SegEnds_Prot#'!$A:$AL,14,FALSE)</f>
        <v>-</v>
      </c>
      <c r="AH152" s="5">
        <f>VLOOKUP($A152,'NonXtal_SegEnds_Prot#'!$A:$AL,17,FALSE)</f>
        <v>2840</v>
      </c>
      <c r="AI152" s="5" t="str">
        <f>VLOOKUP($A152,'NonXtal_SegEnds_Prot#'!$A:$AL,20,FALSE)</f>
        <v>-</v>
      </c>
      <c r="AJ152" s="5">
        <f>VLOOKUP($A152,'NonXtal_SegEnds_Prot#'!$A:$AL,23,FALSE)</f>
        <v>2876</v>
      </c>
      <c r="AK152" s="5">
        <f>VLOOKUP($A152,'NonXtal_SegEnds_Prot#'!$A:$AL,26,FALSE)</f>
        <v>2888</v>
      </c>
      <c r="AL152" s="5">
        <f>VLOOKUP($A152,'NonXtal_SegEnds_Prot#'!$A:$AL,29,FALSE)</f>
        <v>2924</v>
      </c>
      <c r="AM152" s="5">
        <f>VLOOKUP($A152,'NonXtal_SegEnds_Prot#'!$A:$AL,32,FALSE)</f>
        <v>2958</v>
      </c>
      <c r="AN152" s="5">
        <f>VLOOKUP($A152,'NonXtal_SegEnds_Prot#'!$A:$AL,35,FALSE)</f>
        <v>2989</v>
      </c>
      <c r="AO152" s="5">
        <f>VLOOKUP($A152,'NonXtal_SegEnds_Prot#'!$A:$AL,38,FALSE)</f>
        <v>3006</v>
      </c>
      <c r="AP152" s="5">
        <f t="shared" si="63"/>
        <v>37</v>
      </c>
      <c r="AQ152" s="4" t="str">
        <f t="shared" si="64"/>
        <v>-</v>
      </c>
      <c r="AR152" s="4">
        <f t="shared" si="65"/>
        <v>26</v>
      </c>
      <c r="AS152" s="4" t="str">
        <f t="shared" si="66"/>
        <v>-</v>
      </c>
      <c r="AT152" s="4">
        <f t="shared" si="67"/>
        <v>33</v>
      </c>
      <c r="AU152" s="4" t="str">
        <f t="shared" si="68"/>
        <v>-</v>
      </c>
      <c r="AV152" s="4">
        <f t="shared" si="69"/>
        <v>28</v>
      </c>
      <c r="AW152" s="4">
        <f t="shared" si="70"/>
        <v>2</v>
      </c>
      <c r="AX152" s="4">
        <f t="shared" si="71"/>
        <v>33</v>
      </c>
      <c r="AY152" s="4">
        <f t="shared" si="72"/>
        <v>24</v>
      </c>
      <c r="AZ152" s="4">
        <f t="shared" si="73"/>
        <v>25</v>
      </c>
      <c r="BA152" s="4">
        <f t="shared" si="74"/>
        <v>16</v>
      </c>
    </row>
    <row r="153" spans="1:53" x14ac:dyDescent="0.2">
      <c r="A153" s="1" t="str">
        <f>'NonXtal_SegEnds_Prot#'!A126</f>
        <v>celr1_human</v>
      </c>
      <c r="B153" s="1" t="str">
        <f t="shared" si="50"/>
        <v>DISRRENGEVLPLKIVTYAAVSLSLAALLVAFVLLSLVSNLHSIHKHLAVALFLSQLVFVIGINQFLCTVVAILLHYIYMSTFAWTLVESLHVYRMLTEGPMRFYYVVGWGIPAIVTGLAVGLDPQGYQDTLIWSFAGPIGAVIIINTVTSVLSAKVSCQRKGIVSLLRTAFLLLLLISATWLLGLLALSFHYLFAIFSGLQGPFVLLFHCVLNQEVRKHLKGVLGGRKL</v>
      </c>
      <c r="C153" s="72" t="str">
        <f>IF(ISERROR(MATCH(A153,'Xtal_SegEnds_Prot#'!B:B, 0)), "NoXtal", "Xtal")</f>
        <v>NoXtal</v>
      </c>
      <c r="D153" s="4" t="str">
        <f>VLOOKUP(A153,Classification!A:D,2,FALSE)</f>
        <v>B2</v>
      </c>
      <c r="E153" s="5" t="str">
        <f>VLOOKUP(A153,Seqs!A:B,2,FALSE)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153" s="5" t="str">
        <f t="shared" si="51"/>
        <v>DISRRENGEVLPLKIVTYAAVSLSLAALLVAFVLLSLV</v>
      </c>
      <c r="G153" s="4" t="str">
        <f t="shared" si="52"/>
        <v>RMLR</v>
      </c>
      <c r="H153" s="4" t="str">
        <f t="shared" si="53"/>
        <v>SNLHSIHKHLAVALFLSQLVFVIGINQ</v>
      </c>
      <c r="I153" s="4" t="str">
        <f t="shared" si="54"/>
        <v/>
      </c>
      <c r="J153" s="4" t="str">
        <f t="shared" si="55"/>
        <v>FLCTVVAILLHYIYMSTFAWTLVESLHVYRMLTE</v>
      </c>
      <c r="K153" s="4" t="str">
        <f t="shared" si="56"/>
        <v/>
      </c>
      <c r="L153" s="4" t="str">
        <f t="shared" si="57"/>
        <v>GPMRFYYVVGWGIPAIVTGLAVGLDPQGY</v>
      </c>
      <c r="M153" s="4" t="str">
        <f t="shared" si="58"/>
        <v>CWL</v>
      </c>
      <c r="N153" s="4" t="str">
        <f t="shared" si="59"/>
        <v>QDTLIWSFAGPIGAVIIINTVTSVLSAKVSCQRK</v>
      </c>
      <c r="O153" s="4" t="str">
        <f t="shared" si="60"/>
        <v>GIVSLLRTAFLLLLLISATWLLGLL</v>
      </c>
      <c r="P153" s="4" t="str">
        <f t="shared" si="61"/>
        <v>ALSFHYLFAIFSGLQGPFVLLFHCVL</v>
      </c>
      <c r="Q153" s="4" t="str">
        <f t="shared" si="62"/>
        <v>NQEVRKHLKGVLGGRKL</v>
      </c>
      <c r="R153" s="5">
        <f>VLOOKUP($A153,'NonXtal_SegEnds_Prot#'!$A:$AL,3,FALSE)</f>
        <v>2456</v>
      </c>
      <c r="S153" s="5">
        <f>VLOOKUP($A153,'NonXtal_SegEnds_Prot#'!$A:$AL,6,FALSE)</f>
        <v>2494</v>
      </c>
      <c r="T153" s="5">
        <f>VLOOKUP($A153,'NonXtal_SegEnds_Prot#'!$A:$AL,9,FALSE)</f>
        <v>2498</v>
      </c>
      <c r="U153" s="5" t="str">
        <f>VLOOKUP($A153,'NonXtal_SegEnds_Prot#'!$A:$AL,12,FALSE)</f>
        <v>-</v>
      </c>
      <c r="V153" s="5">
        <f>VLOOKUP($A153,'NonXtal_SegEnds_Prot#'!$A:$AL,15,FALSE)</f>
        <v>2529</v>
      </c>
      <c r="W153" s="5" t="str">
        <f>VLOOKUP($A153,'NonXtal_SegEnds_Prot#'!$A:$AL,18,FALSE)</f>
        <v>-</v>
      </c>
      <c r="X153" s="5">
        <f>VLOOKUP($A153,'NonXtal_SegEnds_Prot#'!$A:$AL,21,FALSE)</f>
        <v>2569</v>
      </c>
      <c r="Y153" s="5">
        <f>VLOOKUP($A153,'NonXtal_SegEnds_Prot#'!$A:$AL,24,FALSE)</f>
        <v>2603</v>
      </c>
      <c r="Z153" s="5">
        <f>VLOOKUP($A153,'NonXtal_SegEnds_Prot#'!$A:$AL,27,FALSE)</f>
        <v>2608</v>
      </c>
      <c r="AA153" s="5">
        <f>VLOOKUP($A153,'NonXtal_SegEnds_Prot#'!$A:$AL,30,FALSE)</f>
        <v>2649</v>
      </c>
      <c r="AB153" s="5">
        <f>VLOOKUP($A153,'NonXtal_SegEnds_Prot#'!$A:$AL,33,FALSE)</f>
        <v>2679</v>
      </c>
      <c r="AC153" s="5">
        <f>VLOOKUP($A153,'NonXtal_SegEnds_Prot#'!$A:$AL,36,FALSE)</f>
        <v>2705</v>
      </c>
      <c r="AD153" s="5">
        <f>VLOOKUP($A153,'NonXtal_SegEnds_Prot#'!$A:$AL,5,FALSE)</f>
        <v>2493</v>
      </c>
      <c r="AE153" s="5">
        <f>VLOOKUP($A153,'NonXtal_SegEnds_Prot#'!$A:$AL,8,FALSE)</f>
        <v>2497</v>
      </c>
      <c r="AF153" s="5">
        <f>VLOOKUP($A153,'NonXtal_SegEnds_Prot#'!$A:$AL,11,FALSE)</f>
        <v>2524</v>
      </c>
      <c r="AG153" s="5" t="str">
        <f>VLOOKUP($A153,'NonXtal_SegEnds_Prot#'!$A:$AL,14,FALSE)</f>
        <v>-</v>
      </c>
      <c r="AH153" s="5">
        <f>VLOOKUP($A153,'NonXtal_SegEnds_Prot#'!$A:$AL,17,FALSE)</f>
        <v>2562</v>
      </c>
      <c r="AI153" s="5" t="str">
        <f>VLOOKUP($A153,'NonXtal_SegEnds_Prot#'!$A:$AL,20,FALSE)</f>
        <v>-</v>
      </c>
      <c r="AJ153" s="5">
        <f>VLOOKUP($A153,'NonXtal_SegEnds_Prot#'!$A:$AL,23,FALSE)</f>
        <v>2597</v>
      </c>
      <c r="AK153" s="5">
        <f>VLOOKUP($A153,'NonXtal_SegEnds_Prot#'!$A:$AL,26,FALSE)</f>
        <v>2605</v>
      </c>
      <c r="AL153" s="5">
        <f>VLOOKUP($A153,'NonXtal_SegEnds_Prot#'!$A:$AL,29,FALSE)</f>
        <v>2641</v>
      </c>
      <c r="AM153" s="5">
        <f>VLOOKUP($A153,'NonXtal_SegEnds_Prot#'!$A:$AL,32,FALSE)</f>
        <v>2673</v>
      </c>
      <c r="AN153" s="5">
        <f>VLOOKUP($A153,'NonXtal_SegEnds_Prot#'!$A:$AL,35,FALSE)</f>
        <v>2704</v>
      </c>
      <c r="AO153" s="5">
        <f>VLOOKUP($A153,'NonXtal_SegEnds_Prot#'!$A:$AL,38,FALSE)</f>
        <v>2721</v>
      </c>
      <c r="AP153" s="5">
        <f t="shared" si="63"/>
        <v>37</v>
      </c>
      <c r="AQ153" s="4">
        <f t="shared" si="64"/>
        <v>3</v>
      </c>
      <c r="AR153" s="4">
        <f t="shared" si="65"/>
        <v>26</v>
      </c>
      <c r="AS153" s="4" t="str">
        <f t="shared" si="66"/>
        <v>-</v>
      </c>
      <c r="AT153" s="4">
        <f t="shared" si="67"/>
        <v>33</v>
      </c>
      <c r="AU153" s="4" t="str">
        <f t="shared" si="68"/>
        <v>-</v>
      </c>
      <c r="AV153" s="4">
        <f t="shared" si="69"/>
        <v>28</v>
      </c>
      <c r="AW153" s="4">
        <f t="shared" si="70"/>
        <v>2</v>
      </c>
      <c r="AX153" s="4">
        <f t="shared" si="71"/>
        <v>33</v>
      </c>
      <c r="AY153" s="4">
        <f t="shared" si="72"/>
        <v>24</v>
      </c>
      <c r="AZ153" s="4">
        <f t="shared" si="73"/>
        <v>25</v>
      </c>
      <c r="BA153" s="4">
        <f t="shared" si="74"/>
        <v>16</v>
      </c>
    </row>
    <row r="154" spans="1:53" x14ac:dyDescent="0.2">
      <c r="A154" s="1" t="str">
        <f>'NonXtal_SegEnds_Prot#'!A127</f>
        <v>celr2_human</v>
      </c>
      <c r="B154" s="1" t="str">
        <f t="shared" si="50"/>
        <v>DVSRRENGEILPLKTLTYVALGVTLAALLLTFFFLTLLSNQHGIRRNLTAALGLAQLVFLLGINQFACTVIAILLHFLYLCTFSWALLEALHLYRALTEGPMRFYYMLGWGVPAFITGLAVGLDPEGYYDTLIWSFAGPVAFAVSMSVFLYILAARASCAAQGPVSGLQPSFAVLLLLSATWLLALLTLLFHYLFATCNCIQGPFIFLSYVVLSKEVRKALKLACSRKPS</v>
      </c>
      <c r="C154" s="72" t="str">
        <f>IF(ISERROR(MATCH(A154,'Xtal_SegEnds_Prot#'!B:B, 0)), "NoXtal", "Xtal")</f>
        <v>NoXtal</v>
      </c>
      <c r="D154" s="4" t="str">
        <f>VLOOKUP(A154,Classification!A:D,2,FALSE)</f>
        <v>B2</v>
      </c>
      <c r="E154" s="5" t="str">
        <f>VLOOKUP(A154,Seqs!A:B,2,FALSE)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154" s="5" t="str">
        <f t="shared" si="51"/>
        <v>DVSRRENGEILPLKTLTYVALGVTLAALLLTFFFLTLL</v>
      </c>
      <c r="G154" s="4" t="str">
        <f t="shared" si="52"/>
        <v>RILR</v>
      </c>
      <c r="H154" s="4" t="str">
        <f t="shared" si="53"/>
        <v>SNQHGIRRNLTAALGLAQLVFLLGINQ</v>
      </c>
      <c r="I154" s="4" t="str">
        <f t="shared" si="54"/>
        <v/>
      </c>
      <c r="J154" s="4" t="str">
        <f t="shared" si="55"/>
        <v>FACTVIAILLHFLYLCTFSWALLEALHLYRALTE</v>
      </c>
      <c r="K154" s="4" t="str">
        <f t="shared" si="56"/>
        <v/>
      </c>
      <c r="L154" s="4" t="str">
        <f t="shared" si="57"/>
        <v>GPMRFYYMLGWGVPAFITGLAVGLDPEGY</v>
      </c>
      <c r="M154" s="4" t="str">
        <f t="shared" si="58"/>
        <v>CWL</v>
      </c>
      <c r="N154" s="4" t="str">
        <f t="shared" si="59"/>
        <v>YDTLIWSFAGPVAFAVSMSVFLYILAARASCAAQ</v>
      </c>
      <c r="O154" s="4" t="str">
        <f t="shared" si="60"/>
        <v>GPVSGLQPSFAVLLLLSATWLLALL</v>
      </c>
      <c r="P154" s="4" t="str">
        <f t="shared" si="61"/>
        <v>TLLFHYLFATCNCIQGPFIFLSYVVL</v>
      </c>
      <c r="Q154" s="4" t="str">
        <f t="shared" si="62"/>
        <v>SKEVRKALKLACSRKPS</v>
      </c>
      <c r="R154" s="5">
        <f>VLOOKUP($A154,'NonXtal_SegEnds_Prot#'!$A:$AL,3,FALSE)</f>
        <v>2364</v>
      </c>
      <c r="S154" s="5">
        <f>VLOOKUP($A154,'NonXtal_SegEnds_Prot#'!$A:$AL,6,FALSE)</f>
        <v>2402</v>
      </c>
      <c r="T154" s="5">
        <f>VLOOKUP($A154,'NonXtal_SegEnds_Prot#'!$A:$AL,9,FALSE)</f>
        <v>2406</v>
      </c>
      <c r="U154" s="5" t="str">
        <f>VLOOKUP($A154,'NonXtal_SegEnds_Prot#'!$A:$AL,12,FALSE)</f>
        <v>-</v>
      </c>
      <c r="V154" s="5">
        <f>VLOOKUP($A154,'NonXtal_SegEnds_Prot#'!$A:$AL,15,FALSE)</f>
        <v>2437</v>
      </c>
      <c r="W154" s="5" t="str">
        <f>VLOOKUP($A154,'NonXtal_SegEnds_Prot#'!$A:$AL,18,FALSE)</f>
        <v>-</v>
      </c>
      <c r="X154" s="5">
        <f>VLOOKUP($A154,'NonXtal_SegEnds_Prot#'!$A:$AL,21,FALSE)</f>
        <v>2477</v>
      </c>
      <c r="Y154" s="5">
        <f>VLOOKUP($A154,'NonXtal_SegEnds_Prot#'!$A:$AL,24,FALSE)</f>
        <v>2511</v>
      </c>
      <c r="Z154" s="5">
        <f>VLOOKUP($A154,'NonXtal_SegEnds_Prot#'!$A:$AL,27,FALSE)</f>
        <v>2516</v>
      </c>
      <c r="AA154" s="5">
        <f>VLOOKUP($A154,'NonXtal_SegEnds_Prot#'!$A:$AL,30,FALSE)</f>
        <v>2557</v>
      </c>
      <c r="AB154" s="5">
        <f>VLOOKUP($A154,'NonXtal_SegEnds_Prot#'!$A:$AL,33,FALSE)</f>
        <v>2587</v>
      </c>
      <c r="AC154" s="5">
        <f>VLOOKUP($A154,'NonXtal_SegEnds_Prot#'!$A:$AL,36,FALSE)</f>
        <v>2613</v>
      </c>
      <c r="AD154" s="5">
        <f>VLOOKUP($A154,'NonXtal_SegEnds_Prot#'!$A:$AL,5,FALSE)</f>
        <v>2401</v>
      </c>
      <c r="AE154" s="5">
        <f>VLOOKUP($A154,'NonXtal_SegEnds_Prot#'!$A:$AL,8,FALSE)</f>
        <v>2405</v>
      </c>
      <c r="AF154" s="5">
        <f>VLOOKUP($A154,'NonXtal_SegEnds_Prot#'!$A:$AL,11,FALSE)</f>
        <v>2432</v>
      </c>
      <c r="AG154" s="5" t="str">
        <f>VLOOKUP($A154,'NonXtal_SegEnds_Prot#'!$A:$AL,14,FALSE)</f>
        <v>-</v>
      </c>
      <c r="AH154" s="5">
        <f>VLOOKUP($A154,'NonXtal_SegEnds_Prot#'!$A:$AL,17,FALSE)</f>
        <v>2470</v>
      </c>
      <c r="AI154" s="5" t="str">
        <f>VLOOKUP($A154,'NonXtal_SegEnds_Prot#'!$A:$AL,20,FALSE)</f>
        <v>-</v>
      </c>
      <c r="AJ154" s="5">
        <f>VLOOKUP($A154,'NonXtal_SegEnds_Prot#'!$A:$AL,23,FALSE)</f>
        <v>2505</v>
      </c>
      <c r="AK154" s="5">
        <f>VLOOKUP($A154,'NonXtal_SegEnds_Prot#'!$A:$AL,26,FALSE)</f>
        <v>2513</v>
      </c>
      <c r="AL154" s="5">
        <f>VLOOKUP($A154,'NonXtal_SegEnds_Prot#'!$A:$AL,29,FALSE)</f>
        <v>2549</v>
      </c>
      <c r="AM154" s="5">
        <f>VLOOKUP($A154,'NonXtal_SegEnds_Prot#'!$A:$AL,32,FALSE)</f>
        <v>2581</v>
      </c>
      <c r="AN154" s="5">
        <f>VLOOKUP($A154,'NonXtal_SegEnds_Prot#'!$A:$AL,35,FALSE)</f>
        <v>2612</v>
      </c>
      <c r="AO154" s="5">
        <f>VLOOKUP($A154,'NonXtal_SegEnds_Prot#'!$A:$AL,38,FALSE)</f>
        <v>2629</v>
      </c>
      <c r="AP154" s="5">
        <f t="shared" si="63"/>
        <v>37</v>
      </c>
      <c r="AQ154" s="4">
        <f t="shared" si="64"/>
        <v>3</v>
      </c>
      <c r="AR154" s="4">
        <f t="shared" si="65"/>
        <v>26</v>
      </c>
      <c r="AS154" s="4" t="str">
        <f t="shared" si="66"/>
        <v>-</v>
      </c>
      <c r="AT154" s="4">
        <f t="shared" si="67"/>
        <v>33</v>
      </c>
      <c r="AU154" s="4" t="str">
        <f t="shared" si="68"/>
        <v>-</v>
      </c>
      <c r="AV154" s="4">
        <f t="shared" si="69"/>
        <v>28</v>
      </c>
      <c r="AW154" s="4">
        <f t="shared" si="70"/>
        <v>2</v>
      </c>
      <c r="AX154" s="4">
        <f t="shared" si="71"/>
        <v>33</v>
      </c>
      <c r="AY154" s="4">
        <f t="shared" si="72"/>
        <v>24</v>
      </c>
      <c r="AZ154" s="4">
        <f t="shared" si="73"/>
        <v>25</v>
      </c>
      <c r="BA154" s="4">
        <f t="shared" si="74"/>
        <v>16</v>
      </c>
    </row>
    <row r="155" spans="1:53" x14ac:dyDescent="0.2">
      <c r="A155" s="1" t="str">
        <f>'NonXtal_SegEnds_Prot#'!A128</f>
        <v>agrf5_human</v>
      </c>
      <c r="B155" s="1" t="str">
        <f t="shared" si="50"/>
        <v>DSPDPSSLLGILLDIISYVGVGFSILSLAACLVVEAVVKNRTSYMRHTCIVNIAASLLVANTWFIVVTACVAATFFIHFFYLSVFFWMLTLGLMLFYRLVFTQKAIAFCLGYGCPLAISVITLGATQPREDTKALLAFAIPALIIVVVNITITIVVITKILRPSSLFQISKSIGVLTPLLGLTWGFGLTNLVFHIIFAILNVFQGLFILLFGCLWDLKVQEALLNKFSLSRW</v>
      </c>
      <c r="C155" s="72" t="str">
        <f>IF(ISERROR(MATCH(A155,'Xtal_SegEnds_Prot#'!B:B, 0)), "NoXtal", "Xtal")</f>
        <v>NoXtal</v>
      </c>
      <c r="D155" s="4" t="str">
        <f>VLOOKUP(A155,Classification!A:D,2,FALSE)</f>
        <v>B2</v>
      </c>
      <c r="E155" s="5" t="str">
        <f>VLOOKUP(A155,Seqs!A:B,2,FALSE)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155" s="5" t="str">
        <f t="shared" si="51"/>
        <v>DSPDPSSLLGILLDIISYVGVGFSILSLAACLVVEAVV</v>
      </c>
      <c r="G155" s="4" t="str">
        <f t="shared" si="52"/>
        <v>KSVT</v>
      </c>
      <c r="H155" s="4" t="str">
        <f t="shared" si="53"/>
        <v>KNRTSYMRHTCIVNIAASLLVANTWFIVV</v>
      </c>
      <c r="I155" s="4" t="str">
        <f t="shared" si="54"/>
        <v/>
      </c>
      <c r="J155" s="4" t="str">
        <f t="shared" si="55"/>
        <v>TACVAATFFIHFFYLSVFFWMLTLGLMLFYRLVF</v>
      </c>
      <c r="K155" s="4" t="str">
        <f t="shared" si="56"/>
        <v/>
      </c>
      <c r="L155" s="4" t="str">
        <f t="shared" si="57"/>
        <v>TQKAIAFCLGYGCPLAISVITLGATQPRE</v>
      </c>
      <c r="M155" s="4" t="str">
        <f t="shared" si="58"/>
        <v>CWL</v>
      </c>
      <c r="N155" s="4" t="str">
        <f t="shared" si="59"/>
        <v>DTKALLAFAIPALIIVVVNITITIVVITKILRPS</v>
      </c>
      <c r="O155" s="4" t="str">
        <f t="shared" si="60"/>
        <v>SLFQISKSIGVLTPLLGLTWGFGLT</v>
      </c>
      <c r="P155" s="4" t="str">
        <f t="shared" si="61"/>
        <v>NLVFHIIFAILNVFQGLFILLFGCLW</v>
      </c>
      <c r="Q155" s="4" t="str">
        <f t="shared" si="62"/>
        <v>DLKVQEALLNKFSLSRW</v>
      </c>
      <c r="R155" s="5">
        <f>VLOOKUP($A155,'NonXtal_SegEnds_Prot#'!$A:$AL,3,FALSE)</f>
        <v>1000</v>
      </c>
      <c r="S155" s="5">
        <f>VLOOKUP($A155,'NonXtal_SegEnds_Prot#'!$A:$AL,6,FALSE)</f>
        <v>1039</v>
      </c>
      <c r="T155" s="5">
        <f>VLOOKUP($A155,'NonXtal_SegEnds_Prot#'!$A:$AL,9,FALSE)</f>
        <v>1043</v>
      </c>
      <c r="U155" s="5" t="str">
        <f>VLOOKUP($A155,'NonXtal_SegEnds_Prot#'!$A:$AL,12,FALSE)</f>
        <v>-</v>
      </c>
      <c r="V155" s="5">
        <f>VLOOKUP($A155,'NonXtal_SegEnds_Prot#'!$A:$AL,15,FALSE)</f>
        <v>1084</v>
      </c>
      <c r="W155" s="5" t="str">
        <f>VLOOKUP($A155,'NonXtal_SegEnds_Prot#'!$A:$AL,18,FALSE)</f>
        <v>-</v>
      </c>
      <c r="X155" s="5">
        <f>VLOOKUP($A155,'NonXtal_SegEnds_Prot#'!$A:$AL,21,FALSE)</f>
        <v>1126</v>
      </c>
      <c r="Y155" s="5">
        <f>VLOOKUP($A155,'NonXtal_SegEnds_Prot#'!$A:$AL,24,FALSE)</f>
        <v>1162</v>
      </c>
      <c r="Z155" s="5">
        <f>VLOOKUP($A155,'NonXtal_SegEnds_Prot#'!$A:$AL,27,FALSE)</f>
        <v>1168</v>
      </c>
      <c r="AA155" s="5">
        <f>VLOOKUP($A155,'NonXtal_SegEnds_Prot#'!$A:$AL,30,FALSE)</f>
        <v>1213</v>
      </c>
      <c r="AB155" s="5">
        <f>VLOOKUP($A155,'NonXtal_SegEnds_Prot#'!$A:$AL,33,FALSE)</f>
        <v>1244</v>
      </c>
      <c r="AC155" s="5">
        <f>VLOOKUP($A155,'NonXtal_SegEnds_Prot#'!$A:$AL,36,FALSE)</f>
        <v>1270</v>
      </c>
      <c r="AD155" s="5">
        <f>VLOOKUP($A155,'NonXtal_SegEnds_Prot#'!$A:$AL,5,FALSE)</f>
        <v>1037</v>
      </c>
      <c r="AE155" s="5">
        <f>VLOOKUP($A155,'NonXtal_SegEnds_Prot#'!$A:$AL,8,FALSE)</f>
        <v>1042</v>
      </c>
      <c r="AF155" s="5">
        <f>VLOOKUP($A155,'NonXtal_SegEnds_Prot#'!$A:$AL,11,FALSE)</f>
        <v>1071</v>
      </c>
      <c r="AG155" s="5" t="str">
        <f>VLOOKUP($A155,'NonXtal_SegEnds_Prot#'!$A:$AL,14,FALSE)</f>
        <v>-</v>
      </c>
      <c r="AH155" s="5">
        <f>VLOOKUP($A155,'NonXtal_SegEnds_Prot#'!$A:$AL,17,FALSE)</f>
        <v>1117</v>
      </c>
      <c r="AI155" s="5" t="str">
        <f>VLOOKUP($A155,'NonXtal_SegEnds_Prot#'!$A:$AL,20,FALSE)</f>
        <v>-</v>
      </c>
      <c r="AJ155" s="5">
        <f>VLOOKUP($A155,'NonXtal_SegEnds_Prot#'!$A:$AL,23,FALSE)</f>
        <v>1154</v>
      </c>
      <c r="AK155" s="5">
        <f>VLOOKUP($A155,'NonXtal_SegEnds_Prot#'!$A:$AL,26,FALSE)</f>
        <v>1164</v>
      </c>
      <c r="AL155" s="5">
        <f>VLOOKUP($A155,'NonXtal_SegEnds_Prot#'!$A:$AL,29,FALSE)</f>
        <v>1201</v>
      </c>
      <c r="AM155" s="5">
        <f>VLOOKUP($A155,'NonXtal_SegEnds_Prot#'!$A:$AL,32,FALSE)</f>
        <v>1237</v>
      </c>
      <c r="AN155" s="5">
        <f>VLOOKUP($A155,'NonXtal_SegEnds_Prot#'!$A:$AL,35,FALSE)</f>
        <v>1269</v>
      </c>
      <c r="AO155" s="5">
        <f>VLOOKUP($A155,'NonXtal_SegEnds_Prot#'!$A:$AL,38,FALSE)</f>
        <v>1286</v>
      </c>
      <c r="AP155" s="5">
        <f t="shared" si="63"/>
        <v>37</v>
      </c>
      <c r="AQ155" s="4">
        <f t="shared" si="64"/>
        <v>3</v>
      </c>
      <c r="AR155" s="4">
        <f t="shared" si="65"/>
        <v>28</v>
      </c>
      <c r="AS155" s="4" t="str">
        <f t="shared" si="66"/>
        <v>-</v>
      </c>
      <c r="AT155" s="4">
        <f t="shared" si="67"/>
        <v>33</v>
      </c>
      <c r="AU155" s="4" t="str">
        <f t="shared" si="68"/>
        <v>-</v>
      </c>
      <c r="AV155" s="4">
        <f t="shared" si="69"/>
        <v>28</v>
      </c>
      <c r="AW155" s="4">
        <f t="shared" si="70"/>
        <v>2</v>
      </c>
      <c r="AX155" s="4">
        <f t="shared" si="71"/>
        <v>33</v>
      </c>
      <c r="AY155" s="4">
        <f t="shared" si="72"/>
        <v>24</v>
      </c>
      <c r="AZ155" s="4">
        <f t="shared" si="73"/>
        <v>25</v>
      </c>
      <c r="BA155" s="4">
        <f t="shared" si="74"/>
        <v>16</v>
      </c>
    </row>
    <row r="156" spans="1:53" x14ac:dyDescent="0.2">
      <c r="A156" s="1" t="str">
        <f>'NonXtal_SegEnds_Prot#'!A129</f>
        <v>bai1_human</v>
      </c>
      <c r="B156" s="1" t="str">
        <f t="shared" si="50"/>
        <v>LSADANMEKATLPSVTLIVGCGVSSLTLLMLVIIYVSVSERSVILINFCLSIISSNALILIGQTQVVCTLVAAFLHFFFLSSFCWVLTEAWQSYMAVTGLIRKRFLCLGWGLPALVVAISVGFTKAKGEGGLLYAFVGPAAAVVLVNMVIGILVFNKLVSKDRAGASLWSSCVVLPLLALTWMSAVLSALFQILFAVFDSLEGFVIVMVHCILRREVQDAVKCRVVDRQE</v>
      </c>
      <c r="C156" s="72" t="str">
        <f>IF(ISERROR(MATCH(A156,'Xtal_SegEnds_Prot#'!B:B, 0)), "NoXtal", "Xtal")</f>
        <v>NoXtal</v>
      </c>
      <c r="D156" s="4" t="str">
        <f>VLOOKUP(A156,Classification!A:D,2,FALSE)</f>
        <v>B2</v>
      </c>
      <c r="E156" s="5" t="str">
        <f>VLOOKUP(A156,Seqs!A:B,2,FALSE)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156" s="5" t="str">
        <f t="shared" si="51"/>
        <v>LSADANMEKATLPSVTLIVGCGVSSLTLLMLVIIYVSV</v>
      </c>
      <c r="G156" s="4" t="str">
        <f t="shared" si="52"/>
        <v/>
      </c>
      <c r="H156" s="4" t="str">
        <f t="shared" si="53"/>
        <v>SERSVILINFCLSIISSNALILIGQTQ</v>
      </c>
      <c r="I156" s="4" t="str">
        <f t="shared" si="54"/>
        <v/>
      </c>
      <c r="J156" s="4" t="str">
        <f t="shared" si="55"/>
        <v>VVCTLVAAFLHFFFLSSFCWVLTEAWQSYMAVTG</v>
      </c>
      <c r="K156" s="4" t="str">
        <f t="shared" si="56"/>
        <v/>
      </c>
      <c r="L156" s="4" t="str">
        <f t="shared" si="57"/>
        <v>LIRKRFLCLGWGLPALVVAISVGFTKAKG</v>
      </c>
      <c r="M156" s="4" t="str">
        <f t="shared" si="58"/>
        <v>CWL</v>
      </c>
      <c r="N156" s="4" t="str">
        <f t="shared" si="59"/>
        <v>EGGLLYAFVGPAAAVVLVNMVIGILVFNKLVSKD</v>
      </c>
      <c r="O156" s="4" t="str">
        <f t="shared" si="60"/>
        <v>RAGASLWSSCVVLPLLALTWMSAVL</v>
      </c>
      <c r="P156" s="4" t="str">
        <f t="shared" si="61"/>
        <v>SALFQILFAVFDSLEGFVIVMVHCIL</v>
      </c>
      <c r="Q156" s="4" t="str">
        <f t="shared" si="62"/>
        <v>RREVQDAVKCRVVDRQE</v>
      </c>
      <c r="R156" s="5">
        <f>VLOOKUP($A156,'NonXtal_SegEnds_Prot#'!$A:$AL,3,FALSE)</f>
        <v>935</v>
      </c>
      <c r="S156" s="5" t="str">
        <f>VLOOKUP($A156,'NonXtal_SegEnds_Prot#'!$A:$AL,6,FALSE)</f>
        <v>-</v>
      </c>
      <c r="T156" s="5">
        <f>VLOOKUP($A156,'NonXtal_SegEnds_Prot#'!$A:$AL,9,FALSE)</f>
        <v>978</v>
      </c>
      <c r="U156" s="5" t="str">
        <f>VLOOKUP($A156,'NonXtal_SegEnds_Prot#'!$A:$AL,12,FALSE)</f>
        <v>-</v>
      </c>
      <c r="V156" s="5">
        <f>VLOOKUP($A156,'NonXtal_SegEnds_Prot#'!$A:$AL,15,FALSE)</f>
        <v>1009</v>
      </c>
      <c r="W156" s="5" t="str">
        <f>VLOOKUP($A156,'NonXtal_SegEnds_Prot#'!$A:$AL,18,FALSE)</f>
        <v>-</v>
      </c>
      <c r="X156" s="5">
        <f>VLOOKUP($A156,'NonXtal_SegEnds_Prot#'!$A:$AL,21,FALSE)</f>
        <v>1048</v>
      </c>
      <c r="Y156" s="5">
        <f>VLOOKUP($A156,'NonXtal_SegEnds_Prot#'!$A:$AL,24,FALSE)</f>
        <v>1083</v>
      </c>
      <c r="Z156" s="5">
        <f>VLOOKUP($A156,'NonXtal_SegEnds_Prot#'!$A:$AL,27,FALSE)</f>
        <v>1088</v>
      </c>
      <c r="AA156" s="5">
        <f>VLOOKUP($A156,'NonXtal_SegEnds_Prot#'!$A:$AL,30,FALSE)</f>
        <v>1131</v>
      </c>
      <c r="AB156" s="5">
        <f>VLOOKUP($A156,'NonXtal_SegEnds_Prot#'!$A:$AL,33,FALSE)</f>
        <v>1162</v>
      </c>
      <c r="AC156" s="5">
        <f>VLOOKUP($A156,'NonXtal_SegEnds_Prot#'!$A:$AL,36,FALSE)</f>
        <v>1188</v>
      </c>
      <c r="AD156" s="5">
        <f>VLOOKUP($A156,'NonXtal_SegEnds_Prot#'!$A:$AL,5,FALSE)</f>
        <v>972</v>
      </c>
      <c r="AE156" s="5" t="str">
        <f>VLOOKUP($A156,'NonXtal_SegEnds_Prot#'!$A:$AL,8,FALSE)</f>
        <v>-</v>
      </c>
      <c r="AF156" s="5">
        <f>VLOOKUP($A156,'NonXtal_SegEnds_Prot#'!$A:$AL,11,FALSE)</f>
        <v>1004</v>
      </c>
      <c r="AG156" s="5" t="str">
        <f>VLOOKUP($A156,'NonXtal_SegEnds_Prot#'!$A:$AL,14,FALSE)</f>
        <v>-</v>
      </c>
      <c r="AH156" s="5">
        <f>VLOOKUP($A156,'NonXtal_SegEnds_Prot#'!$A:$AL,17,FALSE)</f>
        <v>1042</v>
      </c>
      <c r="AI156" s="5" t="str">
        <f>VLOOKUP($A156,'NonXtal_SegEnds_Prot#'!$A:$AL,20,FALSE)</f>
        <v>-</v>
      </c>
      <c r="AJ156" s="5">
        <f>VLOOKUP($A156,'NonXtal_SegEnds_Prot#'!$A:$AL,23,FALSE)</f>
        <v>1076</v>
      </c>
      <c r="AK156" s="5">
        <f>VLOOKUP($A156,'NonXtal_SegEnds_Prot#'!$A:$AL,26,FALSE)</f>
        <v>1085</v>
      </c>
      <c r="AL156" s="5">
        <f>VLOOKUP($A156,'NonXtal_SegEnds_Prot#'!$A:$AL,29,FALSE)</f>
        <v>1121</v>
      </c>
      <c r="AM156" s="5">
        <f>VLOOKUP($A156,'NonXtal_SegEnds_Prot#'!$A:$AL,32,FALSE)</f>
        <v>1155</v>
      </c>
      <c r="AN156" s="5">
        <f>VLOOKUP($A156,'NonXtal_SegEnds_Prot#'!$A:$AL,35,FALSE)</f>
        <v>1187</v>
      </c>
      <c r="AO156" s="5">
        <f>VLOOKUP($A156,'NonXtal_SegEnds_Prot#'!$A:$AL,38,FALSE)</f>
        <v>1204</v>
      </c>
      <c r="AP156" s="5">
        <f t="shared" si="63"/>
        <v>37</v>
      </c>
      <c r="AQ156" s="4" t="str">
        <f t="shared" si="64"/>
        <v>-</v>
      </c>
      <c r="AR156" s="4">
        <f t="shared" si="65"/>
        <v>26</v>
      </c>
      <c r="AS156" s="4" t="str">
        <f t="shared" si="66"/>
        <v>-</v>
      </c>
      <c r="AT156" s="4">
        <f t="shared" si="67"/>
        <v>33</v>
      </c>
      <c r="AU156" s="4" t="str">
        <f t="shared" si="68"/>
        <v>-</v>
      </c>
      <c r="AV156" s="4">
        <f t="shared" si="69"/>
        <v>28</v>
      </c>
      <c r="AW156" s="4">
        <f t="shared" si="70"/>
        <v>2</v>
      </c>
      <c r="AX156" s="4">
        <f t="shared" si="71"/>
        <v>33</v>
      </c>
      <c r="AY156" s="4">
        <f t="shared" si="72"/>
        <v>24</v>
      </c>
      <c r="AZ156" s="4">
        <f t="shared" si="73"/>
        <v>25</v>
      </c>
      <c r="BA156" s="4">
        <f t="shared" si="74"/>
        <v>16</v>
      </c>
    </row>
    <row r="157" spans="1:53" x14ac:dyDescent="0.2">
      <c r="A157" s="1" t="str">
        <f>'NonXtal_SegEnds_Prot#'!A130</f>
        <v>agrb2_human</v>
      </c>
      <c r="B157" s="1" t="str">
        <f t="shared" si="50"/>
        <v>PPKDLTLELAGSPSVPLVIGCAVSCMALLTLLAIYAAFSERSIILLNFCLSILASNILILVGQSRGVCTMTAAFLHFFFLSSFCWVLTEAWQSYLAVIGLVRKRFLCLGWGLPALVVAVSVGFTRTKGEGGLLYAFVGPAAVIVLVNMLIGIIVFNKLMARDNAMASLWSSCVVLPLLALTWMSAVLSVLFQALFAVFNSAQGFVITAVHCFLRREVQDVVKCQMGVCRA</v>
      </c>
      <c r="C157" s="72" t="str">
        <f>IF(ISERROR(MATCH(A157,'Xtal_SegEnds_Prot#'!B:B, 0)), "NoXtal", "Xtal")</f>
        <v>NoXtal</v>
      </c>
      <c r="D157" s="4" t="str">
        <f>VLOOKUP(A157,Classification!A:D,2,FALSE)</f>
        <v>B2</v>
      </c>
      <c r="E157" s="5" t="str">
        <f>VLOOKUP(A157,Seqs!A:B,2,FALSE)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157" s="5" t="str">
        <f t="shared" si="51"/>
        <v>PPKDLTLELAGSPSVPLVIGCAVSCMALLTLLAIYAAF</v>
      </c>
      <c r="G157" s="4" t="str">
        <f t="shared" si="52"/>
        <v/>
      </c>
      <c r="H157" s="4" t="str">
        <f t="shared" si="53"/>
        <v>SERSIILLNFCLSILASNILILVGQSR</v>
      </c>
      <c r="I157" s="4" t="str">
        <f t="shared" si="54"/>
        <v/>
      </c>
      <c r="J157" s="4" t="str">
        <f t="shared" si="55"/>
        <v>GVCTMTAAFLHFFFLSSFCWVLTEAWQSYLAVIG</v>
      </c>
      <c r="K157" s="4" t="str">
        <f t="shared" si="56"/>
        <v/>
      </c>
      <c r="L157" s="4" t="str">
        <f t="shared" si="57"/>
        <v>LVRKRFLCLGWGLPALVVAVSVGFTRTKG</v>
      </c>
      <c r="M157" s="4" t="str">
        <f t="shared" si="58"/>
        <v>CWL</v>
      </c>
      <c r="N157" s="4" t="str">
        <f t="shared" si="59"/>
        <v>EGGLLYAFVGPAAVIVLVNMLIGIIVFNKLMARD</v>
      </c>
      <c r="O157" s="4" t="str">
        <f t="shared" si="60"/>
        <v>NAMASLWSSCVVLPLLALTWMSAVL</v>
      </c>
      <c r="P157" s="4" t="str">
        <f t="shared" si="61"/>
        <v>SVLFQALFAVFNSAQGFVITAVHCFL</v>
      </c>
      <c r="Q157" s="4" t="str">
        <f t="shared" si="62"/>
        <v>RREVQDVVKCQMGVCRA</v>
      </c>
      <c r="R157" s="5">
        <f>VLOOKUP($A157,'NonXtal_SegEnds_Prot#'!$A:$AL,3,FALSE)</f>
        <v>920</v>
      </c>
      <c r="S157" s="5" t="str">
        <f>VLOOKUP($A157,'NonXtal_SegEnds_Prot#'!$A:$AL,6,FALSE)</f>
        <v>-</v>
      </c>
      <c r="T157" s="5">
        <f>VLOOKUP($A157,'NonXtal_SegEnds_Prot#'!$A:$AL,9,FALSE)</f>
        <v>963</v>
      </c>
      <c r="U157" s="5" t="str">
        <f>VLOOKUP($A157,'NonXtal_SegEnds_Prot#'!$A:$AL,12,FALSE)</f>
        <v>-</v>
      </c>
      <c r="V157" s="5">
        <f>VLOOKUP($A157,'NonXtal_SegEnds_Prot#'!$A:$AL,15,FALSE)</f>
        <v>994</v>
      </c>
      <c r="W157" s="5" t="str">
        <f>VLOOKUP($A157,'NonXtal_SegEnds_Prot#'!$A:$AL,18,FALSE)</f>
        <v>-</v>
      </c>
      <c r="X157" s="5">
        <f>VLOOKUP($A157,'NonXtal_SegEnds_Prot#'!$A:$AL,21,FALSE)</f>
        <v>1033</v>
      </c>
      <c r="Y157" s="5">
        <f>VLOOKUP($A157,'NonXtal_SegEnds_Prot#'!$A:$AL,24,FALSE)</f>
        <v>1068</v>
      </c>
      <c r="Z157" s="5">
        <f>VLOOKUP($A157,'NonXtal_SegEnds_Prot#'!$A:$AL,27,FALSE)</f>
        <v>1073</v>
      </c>
      <c r="AA157" s="5">
        <f>VLOOKUP($A157,'NonXtal_SegEnds_Prot#'!$A:$AL,30,FALSE)</f>
        <v>1149</v>
      </c>
      <c r="AB157" s="5">
        <f>VLOOKUP($A157,'NonXtal_SegEnds_Prot#'!$A:$AL,33,FALSE)</f>
        <v>1180</v>
      </c>
      <c r="AC157" s="5">
        <f>VLOOKUP($A157,'NonXtal_SegEnds_Prot#'!$A:$AL,36,FALSE)</f>
        <v>1206</v>
      </c>
      <c r="AD157" s="5">
        <f>VLOOKUP($A157,'NonXtal_SegEnds_Prot#'!$A:$AL,5,FALSE)</f>
        <v>957</v>
      </c>
      <c r="AE157" s="5" t="str">
        <f>VLOOKUP($A157,'NonXtal_SegEnds_Prot#'!$A:$AL,8,FALSE)</f>
        <v>-</v>
      </c>
      <c r="AF157" s="5">
        <f>VLOOKUP($A157,'NonXtal_SegEnds_Prot#'!$A:$AL,11,FALSE)</f>
        <v>989</v>
      </c>
      <c r="AG157" s="5" t="str">
        <f>VLOOKUP($A157,'NonXtal_SegEnds_Prot#'!$A:$AL,14,FALSE)</f>
        <v>-</v>
      </c>
      <c r="AH157" s="5">
        <f>VLOOKUP($A157,'NonXtal_SegEnds_Prot#'!$A:$AL,17,FALSE)</f>
        <v>1027</v>
      </c>
      <c r="AI157" s="5" t="str">
        <f>VLOOKUP($A157,'NonXtal_SegEnds_Prot#'!$A:$AL,20,FALSE)</f>
        <v>-</v>
      </c>
      <c r="AJ157" s="5">
        <f>VLOOKUP($A157,'NonXtal_SegEnds_Prot#'!$A:$AL,23,FALSE)</f>
        <v>1061</v>
      </c>
      <c r="AK157" s="5">
        <f>VLOOKUP($A157,'NonXtal_SegEnds_Prot#'!$A:$AL,26,FALSE)</f>
        <v>1070</v>
      </c>
      <c r="AL157" s="5">
        <f>VLOOKUP($A157,'NonXtal_SegEnds_Prot#'!$A:$AL,29,FALSE)</f>
        <v>1106</v>
      </c>
      <c r="AM157" s="5">
        <f>VLOOKUP($A157,'NonXtal_SegEnds_Prot#'!$A:$AL,32,FALSE)</f>
        <v>1173</v>
      </c>
      <c r="AN157" s="5">
        <f>VLOOKUP($A157,'NonXtal_SegEnds_Prot#'!$A:$AL,35,FALSE)</f>
        <v>1205</v>
      </c>
      <c r="AO157" s="5">
        <f>VLOOKUP($A157,'NonXtal_SegEnds_Prot#'!$A:$AL,38,FALSE)</f>
        <v>1222</v>
      </c>
      <c r="AP157" s="5">
        <f t="shared" si="63"/>
        <v>37</v>
      </c>
      <c r="AQ157" s="4" t="str">
        <f t="shared" si="64"/>
        <v>-</v>
      </c>
      <c r="AR157" s="4">
        <f t="shared" si="65"/>
        <v>26</v>
      </c>
      <c r="AS157" s="4" t="str">
        <f t="shared" si="66"/>
        <v>-</v>
      </c>
      <c r="AT157" s="4">
        <f t="shared" si="67"/>
        <v>33</v>
      </c>
      <c r="AU157" s="4" t="str">
        <f t="shared" si="68"/>
        <v>-</v>
      </c>
      <c r="AV157" s="4">
        <f t="shared" si="69"/>
        <v>28</v>
      </c>
      <c r="AW157" s="4">
        <f t="shared" si="70"/>
        <v>2</v>
      </c>
      <c r="AX157" s="4">
        <f t="shared" si="71"/>
        <v>33</v>
      </c>
      <c r="AY157" s="4">
        <f t="shared" si="72"/>
        <v>24</v>
      </c>
      <c r="AZ157" s="4">
        <f t="shared" si="73"/>
        <v>25</v>
      </c>
      <c r="BA157" s="4">
        <f t="shared" si="74"/>
        <v>16</v>
      </c>
    </row>
    <row r="158" spans="1:53" x14ac:dyDescent="0.2">
      <c r="A158" s="1" t="str">
        <f>'NonXtal_SegEnds_Prot#'!A131</f>
        <v>agrb3_human</v>
      </c>
      <c r="B158" s="1" t="str">
        <f t="shared" si="50"/>
        <v>QPREIIMESSGTPSVTLIVGSGLSCLALITLAVVYAALSERSIILINFCLSIISSNILILVGQTQSICTTTTAFLHFFFLASFCWVLTEAWQSYMAVTGLIRKRFLCLGWGLPALVVATSVGFTRTKGEGGLLYAFVGPAAAVVLVNMVIGILVFNKLVSRDNAMASLWSSCVVLPLLALTWMSAVLSILFQILFAVFDSLQGFVIVMVHCILRREVQDAFRCRLRNCQD</v>
      </c>
      <c r="C158" s="72" t="str">
        <f>IF(ISERROR(MATCH(A158,'Xtal_SegEnds_Prot#'!B:B, 0)), "NoXtal", "Xtal")</f>
        <v>NoXtal</v>
      </c>
      <c r="D158" s="4" t="str">
        <f>VLOOKUP(A158,Classification!A:D,2,FALSE)</f>
        <v>B2</v>
      </c>
      <c r="E158" s="5" t="str">
        <f>VLOOKUP(A158,Seqs!A:B,2,FALSE)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158" s="5" t="str">
        <f t="shared" si="51"/>
        <v>QPREIIMESSGTPSVTLIVGSGLSCLALITLAVVYAAL</v>
      </c>
      <c r="G158" s="4" t="str">
        <f t="shared" si="52"/>
        <v/>
      </c>
      <c r="H158" s="4" t="str">
        <f t="shared" si="53"/>
        <v>SERSIILINFCLSIISSNILILVGQTQ</v>
      </c>
      <c r="I158" s="4" t="str">
        <f t="shared" si="54"/>
        <v/>
      </c>
      <c r="J158" s="4" t="str">
        <f t="shared" si="55"/>
        <v>SICTTTTAFLHFFFLASFCWVLTEAWQSYMAVTG</v>
      </c>
      <c r="K158" s="4" t="str">
        <f t="shared" si="56"/>
        <v/>
      </c>
      <c r="L158" s="4" t="str">
        <f t="shared" si="57"/>
        <v>LIRKRFLCLGWGLPALVVATSVGFTRTKG</v>
      </c>
      <c r="M158" s="4" t="str">
        <f t="shared" si="58"/>
        <v>CWL</v>
      </c>
      <c r="N158" s="4" t="str">
        <f t="shared" si="59"/>
        <v>EGGLLYAFVGPAAAVVLVNMVIGILVFNKLVSRD</v>
      </c>
      <c r="O158" s="4" t="str">
        <f t="shared" si="60"/>
        <v>NAMASLWSSCVVLPLLALTWMSAVL</v>
      </c>
      <c r="P158" s="4" t="str">
        <f t="shared" si="61"/>
        <v>SILFQILFAVFDSLQGFVIVMVHCIL</v>
      </c>
      <c r="Q158" s="4" t="str">
        <f t="shared" si="62"/>
        <v>RREVQDAFRCRLRNCQD</v>
      </c>
      <c r="R158" s="5">
        <f>VLOOKUP($A158,'NonXtal_SegEnds_Prot#'!$A:$AL,3,FALSE)</f>
        <v>865</v>
      </c>
      <c r="S158" s="5" t="str">
        <f>VLOOKUP($A158,'NonXtal_SegEnds_Prot#'!$A:$AL,6,FALSE)</f>
        <v>-</v>
      </c>
      <c r="T158" s="5">
        <f>VLOOKUP($A158,'NonXtal_SegEnds_Prot#'!$A:$AL,9,FALSE)</f>
        <v>908</v>
      </c>
      <c r="U158" s="5" t="str">
        <f>VLOOKUP($A158,'NonXtal_SegEnds_Prot#'!$A:$AL,12,FALSE)</f>
        <v>-</v>
      </c>
      <c r="V158" s="5">
        <f>VLOOKUP($A158,'NonXtal_SegEnds_Prot#'!$A:$AL,15,FALSE)</f>
        <v>939</v>
      </c>
      <c r="W158" s="5" t="str">
        <f>VLOOKUP($A158,'NonXtal_SegEnds_Prot#'!$A:$AL,18,FALSE)</f>
        <v>-</v>
      </c>
      <c r="X158" s="5">
        <f>VLOOKUP($A158,'NonXtal_SegEnds_Prot#'!$A:$AL,21,FALSE)</f>
        <v>978</v>
      </c>
      <c r="Y158" s="5">
        <f>VLOOKUP($A158,'NonXtal_SegEnds_Prot#'!$A:$AL,24,FALSE)</f>
        <v>1013</v>
      </c>
      <c r="Z158" s="5">
        <f>VLOOKUP($A158,'NonXtal_SegEnds_Prot#'!$A:$AL,27,FALSE)</f>
        <v>1018</v>
      </c>
      <c r="AA158" s="5">
        <f>VLOOKUP($A158,'NonXtal_SegEnds_Prot#'!$A:$AL,30,FALSE)</f>
        <v>1094</v>
      </c>
      <c r="AB158" s="5">
        <f>VLOOKUP($A158,'NonXtal_SegEnds_Prot#'!$A:$AL,33,FALSE)</f>
        <v>1125</v>
      </c>
      <c r="AC158" s="5">
        <f>VLOOKUP($A158,'NonXtal_SegEnds_Prot#'!$A:$AL,36,FALSE)</f>
        <v>1151</v>
      </c>
      <c r="AD158" s="5">
        <f>VLOOKUP($A158,'NonXtal_SegEnds_Prot#'!$A:$AL,5,FALSE)</f>
        <v>902</v>
      </c>
      <c r="AE158" s="5" t="str">
        <f>VLOOKUP($A158,'NonXtal_SegEnds_Prot#'!$A:$AL,8,FALSE)</f>
        <v>-</v>
      </c>
      <c r="AF158" s="5">
        <f>VLOOKUP($A158,'NonXtal_SegEnds_Prot#'!$A:$AL,11,FALSE)</f>
        <v>934</v>
      </c>
      <c r="AG158" s="5" t="str">
        <f>VLOOKUP($A158,'NonXtal_SegEnds_Prot#'!$A:$AL,14,FALSE)</f>
        <v>-</v>
      </c>
      <c r="AH158" s="5">
        <f>VLOOKUP($A158,'NonXtal_SegEnds_Prot#'!$A:$AL,17,FALSE)</f>
        <v>972</v>
      </c>
      <c r="AI158" s="5" t="str">
        <f>VLOOKUP($A158,'NonXtal_SegEnds_Prot#'!$A:$AL,20,FALSE)</f>
        <v>-</v>
      </c>
      <c r="AJ158" s="5">
        <f>VLOOKUP($A158,'NonXtal_SegEnds_Prot#'!$A:$AL,23,FALSE)</f>
        <v>1006</v>
      </c>
      <c r="AK158" s="5">
        <f>VLOOKUP($A158,'NonXtal_SegEnds_Prot#'!$A:$AL,26,FALSE)</f>
        <v>1015</v>
      </c>
      <c r="AL158" s="5">
        <f>VLOOKUP($A158,'NonXtal_SegEnds_Prot#'!$A:$AL,29,FALSE)</f>
        <v>1051</v>
      </c>
      <c r="AM158" s="5">
        <f>VLOOKUP($A158,'NonXtal_SegEnds_Prot#'!$A:$AL,32,FALSE)</f>
        <v>1118</v>
      </c>
      <c r="AN158" s="5">
        <f>VLOOKUP($A158,'NonXtal_SegEnds_Prot#'!$A:$AL,35,FALSE)</f>
        <v>1150</v>
      </c>
      <c r="AO158" s="5">
        <f>VLOOKUP($A158,'NonXtal_SegEnds_Prot#'!$A:$AL,38,FALSE)</f>
        <v>1167</v>
      </c>
      <c r="AP158" s="5">
        <f t="shared" si="63"/>
        <v>37</v>
      </c>
      <c r="AQ158" s="4" t="str">
        <f t="shared" si="64"/>
        <v>-</v>
      </c>
      <c r="AR158" s="4">
        <f t="shared" si="65"/>
        <v>26</v>
      </c>
      <c r="AS158" s="4" t="str">
        <f t="shared" si="66"/>
        <v>-</v>
      </c>
      <c r="AT158" s="4">
        <f t="shared" si="67"/>
        <v>33</v>
      </c>
      <c r="AU158" s="4" t="str">
        <f t="shared" si="68"/>
        <v>-</v>
      </c>
      <c r="AV158" s="4">
        <f t="shared" si="69"/>
        <v>28</v>
      </c>
      <c r="AW158" s="4">
        <f t="shared" si="70"/>
        <v>2</v>
      </c>
      <c r="AX158" s="4">
        <f t="shared" si="71"/>
        <v>33</v>
      </c>
      <c r="AY158" s="4">
        <f t="shared" si="72"/>
        <v>24</v>
      </c>
      <c r="AZ158" s="4">
        <f t="shared" si="73"/>
        <v>25</v>
      </c>
      <c r="BA158" s="4">
        <f t="shared" si="74"/>
        <v>16</v>
      </c>
    </row>
    <row r="159" spans="1:53" x14ac:dyDescent="0.2">
      <c r="A159" s="1" t="str">
        <f>'NonXtal_SegEnds_Prot#'!A132</f>
        <v>gp126_human</v>
      </c>
      <c r="B159" s="1" t="str">
        <f t="shared" si="50"/>
        <v>SASQLDARNTKVLTFISYIGCGISAIFSAATLLTYVAFRDYPSKILMNLSTALLFLNLLFLLDGWIGLCIAVAVLLHFFLLATFTWMGLEAIHMYIALVKRYILKFCIIGWGLPALVVSVVLASRNNNEPVIFYVTCAGYFGVMFFLNIAMFIVVMVQICGRNEVLRNLRSVVSLTFLLGMTWGFAFFNIPFMYLFSIFNSLQGLFIFIFHCAMKENVQKQWRQHLCCGRF</v>
      </c>
      <c r="C159" s="72" t="str">
        <f>IF(ISERROR(MATCH(A159,'Xtal_SegEnds_Prot#'!B:B, 0)), "NoXtal", "Xtal")</f>
        <v>NoXtal</v>
      </c>
      <c r="D159" s="4" t="str">
        <f>VLOOKUP(A159,Classification!A:D,2,FALSE)</f>
        <v>B2</v>
      </c>
      <c r="E159" s="5" t="str">
        <f>VLOOKUP(A159,Seqs!A:B,2,FALSE)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159" s="5" t="str">
        <f t="shared" si="51"/>
        <v>SASQLDARNTKVLTFISYIGCGISAIFSAATLLTYVAF</v>
      </c>
      <c r="G159" s="4" t="str">
        <f t="shared" si="52"/>
        <v>EKLR</v>
      </c>
      <c r="H159" s="4" t="str">
        <f t="shared" si="53"/>
        <v>RDYPSKILMNLSTALLFLNLLFLLDGWI</v>
      </c>
      <c r="I159" s="4" t="str">
        <f t="shared" si="54"/>
        <v/>
      </c>
      <c r="J159" s="4" t="str">
        <f t="shared" si="55"/>
        <v>GLCIAVAVLLHFFLLATFTWMGLEAIHMYIALVK</v>
      </c>
      <c r="K159" s="4" t="str">
        <f t="shared" si="56"/>
        <v/>
      </c>
      <c r="L159" s="4" t="str">
        <f t="shared" si="57"/>
        <v>RYILKFCIIGWGLPALVVSVVLASRNNNE</v>
      </c>
      <c r="M159" s="4" t="str">
        <f t="shared" si="58"/>
        <v>CWI</v>
      </c>
      <c r="N159" s="4" t="str">
        <f t="shared" si="59"/>
        <v>PVIFYVTCAGYFGVMFFLNIAMFIVVMVQICGRN</v>
      </c>
      <c r="O159" s="4" t="str">
        <f t="shared" si="60"/>
        <v>EVLRNLRSVVSLTFLLGMTWGFAFF</v>
      </c>
      <c r="P159" s="4" t="str">
        <f t="shared" si="61"/>
        <v>NIPFMYLFSIFNSLQGLFIFIFHCAM</v>
      </c>
      <c r="Q159" s="4" t="str">
        <f t="shared" si="62"/>
        <v>KENVQKQWRQHLCCGRF</v>
      </c>
      <c r="R159" s="5">
        <f>VLOOKUP($A159,'NonXtal_SegEnds_Prot#'!$A:$AL,3,FALSE)</f>
        <v>852</v>
      </c>
      <c r="S159" s="5">
        <f>VLOOKUP($A159,'NonXtal_SegEnds_Prot#'!$A:$AL,6,FALSE)</f>
        <v>890</v>
      </c>
      <c r="T159" s="5">
        <f>VLOOKUP($A159,'NonXtal_SegEnds_Prot#'!$A:$AL,9,FALSE)</f>
        <v>894</v>
      </c>
      <c r="U159" s="5" t="str">
        <f>VLOOKUP($A159,'NonXtal_SegEnds_Prot#'!$A:$AL,12,FALSE)</f>
        <v>-</v>
      </c>
      <c r="V159" s="5">
        <f>VLOOKUP($A159,'NonXtal_SegEnds_Prot#'!$A:$AL,15,FALSE)</f>
        <v>928</v>
      </c>
      <c r="W159" s="5" t="str">
        <f>VLOOKUP($A159,'NonXtal_SegEnds_Prot#'!$A:$AL,18,FALSE)</f>
        <v>-</v>
      </c>
      <c r="X159" s="5">
        <f>VLOOKUP($A159,'NonXtal_SegEnds_Prot#'!$A:$AL,21,FALSE)</f>
        <v>969</v>
      </c>
      <c r="Y159" s="5">
        <f>VLOOKUP($A159,'NonXtal_SegEnds_Prot#'!$A:$AL,24,FALSE)</f>
        <v>1013</v>
      </c>
      <c r="Z159" s="5">
        <f>VLOOKUP($A159,'NonXtal_SegEnds_Prot#'!$A:$AL,27,FALSE)</f>
        <v>1018</v>
      </c>
      <c r="AA159" s="5">
        <f>VLOOKUP($A159,'NonXtal_SegEnds_Prot#'!$A:$AL,30,FALSE)</f>
        <v>1062</v>
      </c>
      <c r="AB159" s="5">
        <f>VLOOKUP($A159,'NonXtal_SegEnds_Prot#'!$A:$AL,33,FALSE)</f>
        <v>1092</v>
      </c>
      <c r="AC159" s="5">
        <f>VLOOKUP($A159,'NonXtal_SegEnds_Prot#'!$A:$AL,36,FALSE)</f>
        <v>1118</v>
      </c>
      <c r="AD159" s="5">
        <f>VLOOKUP($A159,'NonXtal_SegEnds_Prot#'!$A:$AL,5,FALSE)</f>
        <v>889</v>
      </c>
      <c r="AE159" s="5">
        <f>VLOOKUP($A159,'NonXtal_SegEnds_Prot#'!$A:$AL,8,FALSE)</f>
        <v>893</v>
      </c>
      <c r="AF159" s="5">
        <f>VLOOKUP($A159,'NonXtal_SegEnds_Prot#'!$A:$AL,11,FALSE)</f>
        <v>921</v>
      </c>
      <c r="AG159" s="5" t="str">
        <f>VLOOKUP($A159,'NonXtal_SegEnds_Prot#'!$A:$AL,14,FALSE)</f>
        <v>-</v>
      </c>
      <c r="AH159" s="5">
        <f>VLOOKUP($A159,'NonXtal_SegEnds_Prot#'!$A:$AL,17,FALSE)</f>
        <v>961</v>
      </c>
      <c r="AI159" s="5" t="str">
        <f>VLOOKUP($A159,'NonXtal_SegEnds_Prot#'!$A:$AL,20,FALSE)</f>
        <v>-</v>
      </c>
      <c r="AJ159" s="5">
        <f>VLOOKUP($A159,'NonXtal_SegEnds_Prot#'!$A:$AL,23,FALSE)</f>
        <v>997</v>
      </c>
      <c r="AK159" s="5">
        <f>VLOOKUP($A159,'NonXtal_SegEnds_Prot#'!$A:$AL,26,FALSE)</f>
        <v>1015</v>
      </c>
      <c r="AL159" s="5">
        <f>VLOOKUP($A159,'NonXtal_SegEnds_Prot#'!$A:$AL,29,FALSE)</f>
        <v>1051</v>
      </c>
      <c r="AM159" s="5">
        <f>VLOOKUP($A159,'NonXtal_SegEnds_Prot#'!$A:$AL,32,FALSE)</f>
        <v>1086</v>
      </c>
      <c r="AN159" s="5">
        <f>VLOOKUP($A159,'NonXtal_SegEnds_Prot#'!$A:$AL,35,FALSE)</f>
        <v>1117</v>
      </c>
      <c r="AO159" s="5">
        <f>VLOOKUP($A159,'NonXtal_SegEnds_Prot#'!$A:$AL,38,FALSE)</f>
        <v>1134</v>
      </c>
      <c r="AP159" s="5">
        <f t="shared" si="63"/>
        <v>37</v>
      </c>
      <c r="AQ159" s="4">
        <f t="shared" si="64"/>
        <v>3</v>
      </c>
      <c r="AR159" s="4">
        <f t="shared" si="65"/>
        <v>27</v>
      </c>
      <c r="AS159" s="4" t="str">
        <f t="shared" si="66"/>
        <v>-</v>
      </c>
      <c r="AT159" s="4">
        <f t="shared" si="67"/>
        <v>33</v>
      </c>
      <c r="AU159" s="4" t="str">
        <f t="shared" si="68"/>
        <v>-</v>
      </c>
      <c r="AV159" s="4">
        <f t="shared" si="69"/>
        <v>28</v>
      </c>
      <c r="AW159" s="4">
        <f t="shared" si="70"/>
        <v>2</v>
      </c>
      <c r="AX159" s="4">
        <f t="shared" si="71"/>
        <v>33</v>
      </c>
      <c r="AY159" s="4">
        <f t="shared" si="72"/>
        <v>24</v>
      </c>
      <c r="AZ159" s="4">
        <f t="shared" si="73"/>
        <v>25</v>
      </c>
      <c r="BA159" s="4">
        <f t="shared" si="74"/>
        <v>16</v>
      </c>
    </row>
    <row r="160" spans="1:53" x14ac:dyDescent="0.2">
      <c r="A160" s="1" t="str">
        <f>'NonXtal_SegEnds_Prot#'!A133</f>
        <v>agrl3_human</v>
      </c>
      <c r="B160" s="1" t="str">
        <f t="shared" si="50"/>
        <v>EVKHSDAVHDLLLDVITWVGILLSLVCLLICIFTFCFFSDRNTIHKNLCISLFVAELLFLIGINRIACAVFAALLHFFFLAAFTWMFLEGVQLYIMLVESRRKYFYLVGYGMPALIVAVSAAVDYRSYDTYFIWSFIGPATLIIMLNVIFLGIALYKMFHHTNIKSWVIGAIALLCLLGLTWAFGLMTVIMAYLFTIFNSLQGMFIFIFHCVLQKKVRKEYGKCLRTHCC</v>
      </c>
      <c r="C160" s="72" t="str">
        <f>IF(ISERROR(MATCH(A160,'Xtal_SegEnds_Prot#'!B:B, 0)), "NoXtal", "Xtal")</f>
        <v>NoXtal</v>
      </c>
      <c r="D160" s="4" t="str">
        <f>VLOOKUP(A160,Classification!A:D,2,FALSE)</f>
        <v>B2</v>
      </c>
      <c r="E160" s="5" t="str">
        <f>VLOOKUP(A160,Seqs!A:B,2,FALSE)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160" s="5" t="str">
        <f t="shared" si="51"/>
        <v>EVKHSDAVHDLLLDVITWVGILLSLVCLLICIFTFCFF</v>
      </c>
      <c r="G160" s="4" t="str">
        <f t="shared" si="52"/>
        <v>RGLQ</v>
      </c>
      <c r="H160" s="4" t="str">
        <f t="shared" si="53"/>
        <v>SDRNTIHKNLCISLFVAELLFLIGINR</v>
      </c>
      <c r="I160" s="4" t="str">
        <f t="shared" si="54"/>
        <v/>
      </c>
      <c r="J160" s="4" t="str">
        <f t="shared" si="55"/>
        <v>IACAVFAALLHFFFLAAFTWMFLEGVQLYIMLVE</v>
      </c>
      <c r="K160" s="4" t="str">
        <f t="shared" si="56"/>
        <v/>
      </c>
      <c r="L160" s="4" t="str">
        <f t="shared" si="57"/>
        <v>SRRKYFYLVGYGMPALIVAVSAAVDYRSY</v>
      </c>
      <c r="M160" s="4" t="str">
        <f t="shared" si="58"/>
        <v>CWL</v>
      </c>
      <c r="N160" s="4" t="str">
        <f t="shared" si="59"/>
        <v>DTYFIWSFIGPATLIIMLNVIFLGIALYKMFHHT</v>
      </c>
      <c r="O160" s="4" t="str">
        <f t="shared" si="60"/>
        <v>NIKSWVIGAIALLCLLGLTWAFGLM</v>
      </c>
      <c r="P160" s="4" t="str">
        <f t="shared" si="61"/>
        <v>TVIMAYLFTIFNSLQGMFIFIFHCVL</v>
      </c>
      <c r="Q160" s="4" t="str">
        <f t="shared" si="62"/>
        <v>QKKVRKEYGKCLRTHCC</v>
      </c>
      <c r="R160" s="5">
        <f>VLOOKUP($A160,'NonXtal_SegEnds_Prot#'!$A:$AL,3,FALSE)</f>
        <v>852</v>
      </c>
      <c r="S160" s="5">
        <f>VLOOKUP($A160,'NonXtal_SegEnds_Prot#'!$A:$AL,6,FALSE)</f>
        <v>890</v>
      </c>
      <c r="T160" s="5">
        <f>VLOOKUP($A160,'NonXtal_SegEnds_Prot#'!$A:$AL,9,FALSE)</f>
        <v>894</v>
      </c>
      <c r="U160" s="5" t="str">
        <f>VLOOKUP($A160,'NonXtal_SegEnds_Prot#'!$A:$AL,12,FALSE)</f>
        <v>-</v>
      </c>
      <c r="V160" s="5">
        <f>VLOOKUP($A160,'NonXtal_SegEnds_Prot#'!$A:$AL,15,FALSE)</f>
        <v>925</v>
      </c>
      <c r="W160" s="5" t="str">
        <f>VLOOKUP($A160,'NonXtal_SegEnds_Prot#'!$A:$AL,18,FALSE)</f>
        <v>-</v>
      </c>
      <c r="X160" s="5">
        <f>VLOOKUP($A160,'NonXtal_SegEnds_Prot#'!$A:$AL,21,FALSE)</f>
        <v>965</v>
      </c>
      <c r="Y160" s="5">
        <f>VLOOKUP($A160,'NonXtal_SegEnds_Prot#'!$A:$AL,24,FALSE)</f>
        <v>999</v>
      </c>
      <c r="Z160" s="5">
        <f>VLOOKUP($A160,'NonXtal_SegEnds_Prot#'!$A:$AL,27,FALSE)</f>
        <v>1004</v>
      </c>
      <c r="AA160" s="5">
        <f>VLOOKUP($A160,'NonXtal_SegEnds_Prot#'!$A:$AL,30,FALSE)</f>
        <v>1049</v>
      </c>
      <c r="AB160" s="5">
        <f>VLOOKUP($A160,'NonXtal_SegEnds_Prot#'!$A:$AL,33,FALSE)</f>
        <v>1079</v>
      </c>
      <c r="AC160" s="5">
        <f>VLOOKUP($A160,'NonXtal_SegEnds_Prot#'!$A:$AL,36,FALSE)</f>
        <v>1105</v>
      </c>
      <c r="AD160" s="5">
        <f>VLOOKUP($A160,'NonXtal_SegEnds_Prot#'!$A:$AL,5,FALSE)</f>
        <v>889</v>
      </c>
      <c r="AE160" s="5">
        <f>VLOOKUP($A160,'NonXtal_SegEnds_Prot#'!$A:$AL,8,FALSE)</f>
        <v>893</v>
      </c>
      <c r="AF160" s="5">
        <f>VLOOKUP($A160,'NonXtal_SegEnds_Prot#'!$A:$AL,11,FALSE)</f>
        <v>920</v>
      </c>
      <c r="AG160" s="5" t="str">
        <f>VLOOKUP($A160,'NonXtal_SegEnds_Prot#'!$A:$AL,14,FALSE)</f>
        <v>-</v>
      </c>
      <c r="AH160" s="5">
        <f>VLOOKUP($A160,'NonXtal_SegEnds_Prot#'!$A:$AL,17,FALSE)</f>
        <v>958</v>
      </c>
      <c r="AI160" s="5" t="str">
        <f>VLOOKUP($A160,'NonXtal_SegEnds_Prot#'!$A:$AL,20,FALSE)</f>
        <v>-</v>
      </c>
      <c r="AJ160" s="5">
        <f>VLOOKUP($A160,'NonXtal_SegEnds_Prot#'!$A:$AL,23,FALSE)</f>
        <v>993</v>
      </c>
      <c r="AK160" s="5">
        <f>VLOOKUP($A160,'NonXtal_SegEnds_Prot#'!$A:$AL,26,FALSE)</f>
        <v>1001</v>
      </c>
      <c r="AL160" s="5">
        <f>VLOOKUP($A160,'NonXtal_SegEnds_Prot#'!$A:$AL,29,FALSE)</f>
        <v>1037</v>
      </c>
      <c r="AM160" s="5">
        <f>VLOOKUP($A160,'NonXtal_SegEnds_Prot#'!$A:$AL,32,FALSE)</f>
        <v>1073</v>
      </c>
      <c r="AN160" s="5">
        <f>VLOOKUP($A160,'NonXtal_SegEnds_Prot#'!$A:$AL,35,FALSE)</f>
        <v>1104</v>
      </c>
      <c r="AO160" s="5">
        <f>VLOOKUP($A160,'NonXtal_SegEnds_Prot#'!$A:$AL,38,FALSE)</f>
        <v>1121</v>
      </c>
      <c r="AP160" s="5">
        <f t="shared" si="63"/>
        <v>37</v>
      </c>
      <c r="AQ160" s="4">
        <f t="shared" si="64"/>
        <v>3</v>
      </c>
      <c r="AR160" s="4">
        <f t="shared" si="65"/>
        <v>26</v>
      </c>
      <c r="AS160" s="4" t="str">
        <f t="shared" si="66"/>
        <v>-</v>
      </c>
      <c r="AT160" s="4">
        <f t="shared" si="67"/>
        <v>33</v>
      </c>
      <c r="AU160" s="4" t="str">
        <f t="shared" si="68"/>
        <v>-</v>
      </c>
      <c r="AV160" s="4">
        <f t="shared" si="69"/>
        <v>28</v>
      </c>
      <c r="AW160" s="4">
        <f t="shared" si="70"/>
        <v>2</v>
      </c>
      <c r="AX160" s="4">
        <f t="shared" si="71"/>
        <v>33</v>
      </c>
      <c r="AY160" s="4">
        <f t="shared" si="72"/>
        <v>24</v>
      </c>
      <c r="AZ160" s="4">
        <f t="shared" si="73"/>
        <v>25</v>
      </c>
      <c r="BA160" s="4">
        <f t="shared" si="74"/>
        <v>16</v>
      </c>
    </row>
    <row r="161" spans="1:53" x14ac:dyDescent="0.2">
      <c r="A161" s="1" t="str">
        <f>'NonXtal_SegEnds_Prot#'!A134</f>
        <v>agrl1_human</v>
      </c>
      <c r="B161" s="1" t="str">
        <f t="shared" si="50"/>
        <v>REIYQGRINELLLSVITWVGIVISLVCLAICISTFCFLTDRNTIHKNLCINLFLAELLFLVGIDKIACPIFAGLLHYFFLAAFSWLCLEGVHLYLLLVESRTKYYYLGGYCFPALVVGIAAAIDYRSYDNYFIWSFIGPVSFVIVVNLVFLMVTLHKMIRSSNIKSWALGAIALLFLLGLTWAFGLLSVVMAYLFTTFNAFQGVFIFVFHCALQKKVHKEYSKCLRHSYC</v>
      </c>
      <c r="C161" s="72" t="str">
        <f>IF(ISERROR(MATCH(A161,'Xtal_SegEnds_Prot#'!B:B, 0)), "NoXtal", "Xtal")</f>
        <v>NoXtal</v>
      </c>
      <c r="D161" s="4" t="str">
        <f>VLOOKUP(A161,Classification!A:D,2,FALSE)</f>
        <v>B2</v>
      </c>
      <c r="E161" s="5" t="str">
        <f>VLOOKUP(A161,Seqs!A:B,2,FALSE)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161" s="5" t="str">
        <f t="shared" si="51"/>
        <v>REIYQGRINELLLSVITWVGIVISLVCLAICISTFCFL</v>
      </c>
      <c r="G161" s="4" t="str">
        <f t="shared" si="52"/>
        <v>RGLQ</v>
      </c>
      <c r="H161" s="4" t="str">
        <f t="shared" si="53"/>
        <v>TDRNTIHKNLCINLFLAELLFLVGIDK</v>
      </c>
      <c r="I161" s="4" t="str">
        <f t="shared" si="54"/>
        <v/>
      </c>
      <c r="J161" s="4" t="str">
        <f t="shared" si="55"/>
        <v>IACPIFAGLLHYFFLAAFSWLCLEGVHLYLLLVE</v>
      </c>
      <c r="K161" s="4" t="str">
        <f t="shared" si="56"/>
        <v/>
      </c>
      <c r="L161" s="4" t="str">
        <f t="shared" si="57"/>
        <v>SRTKYYYLGGYCFPALVVGIAAAIDYRSY</v>
      </c>
      <c r="M161" s="4" t="str">
        <f t="shared" si="58"/>
        <v>CWL</v>
      </c>
      <c r="N161" s="4" t="str">
        <f t="shared" si="59"/>
        <v>DNYFIWSFIGPVSFVIVVNLVFLMVTLHKMIRSS</v>
      </c>
      <c r="O161" s="4" t="str">
        <f t="shared" si="60"/>
        <v>NIKSWALGAIALLFLLGLTWAFGLL</v>
      </c>
      <c r="P161" s="4" t="str">
        <f t="shared" si="61"/>
        <v>SVVMAYLFTTFNAFQGVFIFVFHCAL</v>
      </c>
      <c r="Q161" s="4" t="str">
        <f t="shared" si="62"/>
        <v>QKKVHKEYSKCLRHSYC</v>
      </c>
      <c r="R161" s="5">
        <f>VLOOKUP($A161,'NonXtal_SegEnds_Prot#'!$A:$AL,3,FALSE)</f>
        <v>848</v>
      </c>
      <c r="S161" s="5">
        <f>VLOOKUP($A161,'NonXtal_SegEnds_Prot#'!$A:$AL,6,FALSE)</f>
        <v>886</v>
      </c>
      <c r="T161" s="5">
        <f>VLOOKUP($A161,'NonXtal_SegEnds_Prot#'!$A:$AL,9,FALSE)</f>
        <v>890</v>
      </c>
      <c r="U161" s="5" t="str">
        <f>VLOOKUP($A161,'NonXtal_SegEnds_Prot#'!$A:$AL,12,FALSE)</f>
        <v>-</v>
      </c>
      <c r="V161" s="5">
        <f>VLOOKUP($A161,'NonXtal_SegEnds_Prot#'!$A:$AL,15,FALSE)</f>
        <v>921</v>
      </c>
      <c r="W161" s="5" t="str">
        <f>VLOOKUP($A161,'NonXtal_SegEnds_Prot#'!$A:$AL,18,FALSE)</f>
        <v>-</v>
      </c>
      <c r="X161" s="5">
        <f>VLOOKUP($A161,'NonXtal_SegEnds_Prot#'!$A:$AL,21,FALSE)</f>
        <v>961</v>
      </c>
      <c r="Y161" s="5">
        <f>VLOOKUP($A161,'NonXtal_SegEnds_Prot#'!$A:$AL,24,FALSE)</f>
        <v>995</v>
      </c>
      <c r="Z161" s="5">
        <f>VLOOKUP($A161,'NonXtal_SegEnds_Prot#'!$A:$AL,27,FALSE)</f>
        <v>1000</v>
      </c>
      <c r="AA161" s="5">
        <f>VLOOKUP($A161,'NonXtal_SegEnds_Prot#'!$A:$AL,30,FALSE)</f>
        <v>1045</v>
      </c>
      <c r="AB161" s="5">
        <f>VLOOKUP($A161,'NonXtal_SegEnds_Prot#'!$A:$AL,33,FALSE)</f>
        <v>1075</v>
      </c>
      <c r="AC161" s="5">
        <f>VLOOKUP($A161,'NonXtal_SegEnds_Prot#'!$A:$AL,36,FALSE)</f>
        <v>1101</v>
      </c>
      <c r="AD161" s="5">
        <f>VLOOKUP($A161,'NonXtal_SegEnds_Prot#'!$A:$AL,5,FALSE)</f>
        <v>885</v>
      </c>
      <c r="AE161" s="5">
        <f>VLOOKUP($A161,'NonXtal_SegEnds_Prot#'!$A:$AL,8,FALSE)</f>
        <v>889</v>
      </c>
      <c r="AF161" s="5">
        <f>VLOOKUP($A161,'NonXtal_SegEnds_Prot#'!$A:$AL,11,FALSE)</f>
        <v>916</v>
      </c>
      <c r="AG161" s="5" t="str">
        <f>VLOOKUP($A161,'NonXtal_SegEnds_Prot#'!$A:$AL,14,FALSE)</f>
        <v>-</v>
      </c>
      <c r="AH161" s="5">
        <f>VLOOKUP($A161,'NonXtal_SegEnds_Prot#'!$A:$AL,17,FALSE)</f>
        <v>954</v>
      </c>
      <c r="AI161" s="5" t="str">
        <f>VLOOKUP($A161,'NonXtal_SegEnds_Prot#'!$A:$AL,20,FALSE)</f>
        <v>-</v>
      </c>
      <c r="AJ161" s="5">
        <f>VLOOKUP($A161,'NonXtal_SegEnds_Prot#'!$A:$AL,23,FALSE)</f>
        <v>989</v>
      </c>
      <c r="AK161" s="5">
        <f>VLOOKUP($A161,'NonXtal_SegEnds_Prot#'!$A:$AL,26,FALSE)</f>
        <v>997</v>
      </c>
      <c r="AL161" s="5">
        <f>VLOOKUP($A161,'NonXtal_SegEnds_Prot#'!$A:$AL,29,FALSE)</f>
        <v>1033</v>
      </c>
      <c r="AM161" s="5">
        <f>VLOOKUP($A161,'NonXtal_SegEnds_Prot#'!$A:$AL,32,FALSE)</f>
        <v>1069</v>
      </c>
      <c r="AN161" s="5">
        <f>VLOOKUP($A161,'NonXtal_SegEnds_Prot#'!$A:$AL,35,FALSE)</f>
        <v>1100</v>
      </c>
      <c r="AO161" s="5">
        <f>VLOOKUP($A161,'NonXtal_SegEnds_Prot#'!$A:$AL,38,FALSE)</f>
        <v>1117</v>
      </c>
      <c r="AP161" s="5">
        <f t="shared" si="63"/>
        <v>37</v>
      </c>
      <c r="AQ161" s="4">
        <f t="shared" si="64"/>
        <v>3</v>
      </c>
      <c r="AR161" s="4">
        <f t="shared" si="65"/>
        <v>26</v>
      </c>
      <c r="AS161" s="4" t="str">
        <f t="shared" si="66"/>
        <v>-</v>
      </c>
      <c r="AT161" s="4">
        <f t="shared" si="67"/>
        <v>33</v>
      </c>
      <c r="AU161" s="4" t="str">
        <f t="shared" si="68"/>
        <v>-</v>
      </c>
      <c r="AV161" s="4">
        <f t="shared" si="69"/>
        <v>28</v>
      </c>
      <c r="AW161" s="4">
        <f t="shared" si="70"/>
        <v>2</v>
      </c>
      <c r="AX161" s="4">
        <f t="shared" si="71"/>
        <v>33</v>
      </c>
      <c r="AY161" s="4">
        <f t="shared" si="72"/>
        <v>24</v>
      </c>
      <c r="AZ161" s="4">
        <f t="shared" si="73"/>
        <v>25</v>
      </c>
      <c r="BA161" s="4">
        <f t="shared" si="74"/>
        <v>16</v>
      </c>
    </row>
    <row r="162" spans="1:53" x14ac:dyDescent="0.2">
      <c r="A162" s="1" t="str">
        <f>'NonXtal_SegEnds_Prot#'!A135</f>
        <v>agrl2_human</v>
      </c>
      <c r="B162" s="1" t="str">
        <f t="shared" si="50"/>
        <v>EIAYKDGVHELLLTVITWVGIVISLVCLAICIFTFCFFSDRNTIHKNLCINLFIAEFIFLIGIDKIACPIFAGLLHFFFLAAFAWMCLEGVQLYLMLVESRKKYYYVAGYLFPATVVGVSAAIDYKSYDNYFIWSFIGPVTFIILLNIIFLVITLCKMVKHSNIKSWVLGAFALLCLLGLTWSFGLLTIVMAYLFTIFNAFQGVFIFIFHCALQKKVRKEYGKCFRHSYC</v>
      </c>
      <c r="C162" s="72" t="str">
        <f>IF(ISERROR(MATCH(A162,'Xtal_SegEnds_Prot#'!B:B, 0)), "NoXtal", "Xtal")</f>
        <v>NoXtal</v>
      </c>
      <c r="D162" s="4" t="str">
        <f>VLOOKUP(A162,Classification!A:D,2,FALSE)</f>
        <v>B2</v>
      </c>
      <c r="E162" s="5" t="str">
        <f>VLOOKUP(A162,Seqs!A:B,2,FALSE)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162" s="5" t="str">
        <f t="shared" si="51"/>
        <v>EIAYKDGVHELLLTVITWVGIVISLVCLAICIFTFCFF</v>
      </c>
      <c r="G162" s="4" t="str">
        <f t="shared" si="52"/>
        <v/>
      </c>
      <c r="H162" s="4" t="str">
        <f t="shared" si="53"/>
        <v>SDRNTIHKNLCINLFIAEFIFLIGIDK</v>
      </c>
      <c r="I162" s="4" t="str">
        <f t="shared" si="54"/>
        <v/>
      </c>
      <c r="J162" s="4" t="str">
        <f t="shared" si="55"/>
        <v>IACPIFAGLLHFFFLAAFAWMCLEGVQLYLMLVE</v>
      </c>
      <c r="K162" s="4" t="str">
        <f t="shared" si="56"/>
        <v/>
      </c>
      <c r="L162" s="4" t="str">
        <f t="shared" si="57"/>
        <v>SRKKYYYVAGYLFPATVVGVSAAIDYKSY</v>
      </c>
      <c r="M162" s="4" t="str">
        <f t="shared" si="58"/>
        <v>CWL</v>
      </c>
      <c r="N162" s="4" t="str">
        <f t="shared" si="59"/>
        <v>DNYFIWSFIGPVTFIILLNIIFLVITLCKMVKHS</v>
      </c>
      <c r="O162" s="4" t="str">
        <f t="shared" si="60"/>
        <v>NIKSWVLGAFALLCLLGLTWSFGLL</v>
      </c>
      <c r="P162" s="4" t="str">
        <f t="shared" si="61"/>
        <v>TIVMAYLFTIFNAFQGVFIFIFHCAL</v>
      </c>
      <c r="Q162" s="4" t="str">
        <f t="shared" si="62"/>
        <v>QKKVRKEYGKCFRHSYC</v>
      </c>
      <c r="R162" s="5">
        <f>VLOOKUP($A162,'NonXtal_SegEnds_Prot#'!$A:$AL,3,FALSE)</f>
        <v>835</v>
      </c>
      <c r="S162" s="5" t="str">
        <f>VLOOKUP($A162,'NonXtal_SegEnds_Prot#'!$A:$AL,6,FALSE)</f>
        <v>-</v>
      </c>
      <c r="T162" s="5">
        <f>VLOOKUP($A162,'NonXtal_SegEnds_Prot#'!$A:$AL,9,FALSE)</f>
        <v>877</v>
      </c>
      <c r="U162" s="5" t="str">
        <f>VLOOKUP($A162,'NonXtal_SegEnds_Prot#'!$A:$AL,12,FALSE)</f>
        <v>-</v>
      </c>
      <c r="V162" s="5">
        <f>VLOOKUP($A162,'NonXtal_SegEnds_Prot#'!$A:$AL,15,FALSE)</f>
        <v>908</v>
      </c>
      <c r="W162" s="5" t="str">
        <f>VLOOKUP($A162,'NonXtal_SegEnds_Prot#'!$A:$AL,18,FALSE)</f>
        <v>-</v>
      </c>
      <c r="X162" s="5">
        <f>VLOOKUP($A162,'NonXtal_SegEnds_Prot#'!$A:$AL,21,FALSE)</f>
        <v>948</v>
      </c>
      <c r="Y162" s="5">
        <f>VLOOKUP($A162,'NonXtal_SegEnds_Prot#'!$A:$AL,24,FALSE)</f>
        <v>982</v>
      </c>
      <c r="Z162" s="5">
        <f>VLOOKUP($A162,'NonXtal_SegEnds_Prot#'!$A:$AL,27,FALSE)</f>
        <v>987</v>
      </c>
      <c r="AA162" s="5">
        <f>VLOOKUP($A162,'NonXtal_SegEnds_Prot#'!$A:$AL,30,FALSE)</f>
        <v>1032</v>
      </c>
      <c r="AB162" s="5">
        <f>VLOOKUP($A162,'NonXtal_SegEnds_Prot#'!$A:$AL,33,FALSE)</f>
        <v>1062</v>
      </c>
      <c r="AC162" s="5">
        <f>VLOOKUP($A162,'NonXtal_SegEnds_Prot#'!$A:$AL,36,FALSE)</f>
        <v>1088</v>
      </c>
      <c r="AD162" s="5">
        <f>VLOOKUP($A162,'NonXtal_SegEnds_Prot#'!$A:$AL,5,FALSE)</f>
        <v>872</v>
      </c>
      <c r="AE162" s="5" t="str">
        <f>VLOOKUP($A162,'NonXtal_SegEnds_Prot#'!$A:$AL,8,FALSE)</f>
        <v>-</v>
      </c>
      <c r="AF162" s="5">
        <f>VLOOKUP($A162,'NonXtal_SegEnds_Prot#'!$A:$AL,11,FALSE)</f>
        <v>903</v>
      </c>
      <c r="AG162" s="5" t="str">
        <f>VLOOKUP($A162,'NonXtal_SegEnds_Prot#'!$A:$AL,14,FALSE)</f>
        <v>-</v>
      </c>
      <c r="AH162" s="5">
        <f>VLOOKUP($A162,'NonXtal_SegEnds_Prot#'!$A:$AL,17,FALSE)</f>
        <v>941</v>
      </c>
      <c r="AI162" s="5" t="str">
        <f>VLOOKUP($A162,'NonXtal_SegEnds_Prot#'!$A:$AL,20,FALSE)</f>
        <v>-</v>
      </c>
      <c r="AJ162" s="5">
        <f>VLOOKUP($A162,'NonXtal_SegEnds_Prot#'!$A:$AL,23,FALSE)</f>
        <v>976</v>
      </c>
      <c r="AK162" s="5">
        <f>VLOOKUP($A162,'NonXtal_SegEnds_Prot#'!$A:$AL,26,FALSE)</f>
        <v>984</v>
      </c>
      <c r="AL162" s="5">
        <f>VLOOKUP($A162,'NonXtal_SegEnds_Prot#'!$A:$AL,29,FALSE)</f>
        <v>1020</v>
      </c>
      <c r="AM162" s="5">
        <f>VLOOKUP($A162,'NonXtal_SegEnds_Prot#'!$A:$AL,32,FALSE)</f>
        <v>1056</v>
      </c>
      <c r="AN162" s="5">
        <f>VLOOKUP($A162,'NonXtal_SegEnds_Prot#'!$A:$AL,35,FALSE)</f>
        <v>1087</v>
      </c>
      <c r="AO162" s="5">
        <f>VLOOKUP($A162,'NonXtal_SegEnds_Prot#'!$A:$AL,38,FALSE)</f>
        <v>1104</v>
      </c>
      <c r="AP162" s="5">
        <f t="shared" si="63"/>
        <v>37</v>
      </c>
      <c r="AQ162" s="4" t="str">
        <f t="shared" si="64"/>
        <v>-</v>
      </c>
      <c r="AR162" s="4">
        <f t="shared" si="65"/>
        <v>26</v>
      </c>
      <c r="AS162" s="4" t="str">
        <f t="shared" si="66"/>
        <v>-</v>
      </c>
      <c r="AT162" s="4">
        <f t="shared" si="67"/>
        <v>33</v>
      </c>
      <c r="AU162" s="4" t="str">
        <f t="shared" si="68"/>
        <v>-</v>
      </c>
      <c r="AV162" s="4">
        <f t="shared" si="69"/>
        <v>28</v>
      </c>
      <c r="AW162" s="4">
        <f t="shared" si="70"/>
        <v>2</v>
      </c>
      <c r="AX162" s="4">
        <f t="shared" si="71"/>
        <v>33</v>
      </c>
      <c r="AY162" s="4">
        <f t="shared" si="72"/>
        <v>24</v>
      </c>
      <c r="AZ162" s="4">
        <f t="shared" si="73"/>
        <v>25</v>
      </c>
      <c r="BA162" s="4">
        <f t="shared" si="74"/>
        <v>16</v>
      </c>
    </row>
    <row r="163" spans="1:53" x14ac:dyDescent="0.2">
      <c r="A163" s="1" t="str">
        <f>'NonXtal_SegEnds_Prot#'!A136</f>
        <v>agra2_human</v>
      </c>
      <c r="B163" s="1" t="str">
        <f t="shared" si="50"/>
        <v>REVGGAGAGLHPVVYPCTALLLLCLFATIITYILNHSSVSRKGWHMLLNLCFHIAMTSAVFAGGIMVCQAVGITLHYSSLSTLLWMGVKARVLHKELTWSPMLRFYLIAGGIPLIICGITAAVNIHNYWRPSLGAFYIPVALILLITWIYFLCAGLRLRGPLSPGVQLGALVTTHFLYLAMWACGALLPRVVCSCLYGVAASALGLFVFTHHCARRRDVRASWRACCPPASP</v>
      </c>
      <c r="C163" s="72" t="str">
        <f>IF(ISERROR(MATCH(A163,'Xtal_SegEnds_Prot#'!B:B, 0)), "NoXtal", "Xtal")</f>
        <v>NoXtal</v>
      </c>
      <c r="D163" s="4" t="str">
        <f>VLOOKUP(A163,Classification!A:D,2,FALSE)</f>
        <v>B2</v>
      </c>
      <c r="E163" s="5" t="str">
        <f>VLOOKUP(A163,Seqs!A:B,2,FALSE)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163" s="5" t="str">
        <f t="shared" si="51"/>
        <v>REVGGAGAGLHPVVYPCTALLLLCLFATIITYILNHSS</v>
      </c>
      <c r="G163" s="4" t="str">
        <f t="shared" si="52"/>
        <v/>
      </c>
      <c r="H163" s="4" t="str">
        <f t="shared" si="53"/>
        <v>VSRKGWHMLLNLCFHIAMTSAVFAGGI</v>
      </c>
      <c r="I163" s="4" t="str">
        <f t="shared" si="54"/>
        <v/>
      </c>
      <c r="J163" s="4" t="str">
        <f t="shared" si="55"/>
        <v>MVCQAVGITLHYSSLSTLLWMGVKARVLHKELTW</v>
      </c>
      <c r="K163" s="4" t="str">
        <f t="shared" si="56"/>
        <v/>
      </c>
      <c r="L163" s="4" t="str">
        <f t="shared" si="57"/>
        <v>SPMLRFYLIAGGIPLIICGITAAVNIHNY</v>
      </c>
      <c r="M163" s="4" t="str">
        <f t="shared" si="58"/>
        <v>CWL</v>
      </c>
      <c r="N163" s="4" t="str">
        <f t="shared" si="59"/>
        <v>WRPSLGAFYIPVALILLITWIYFLCAGLRLRGPL</v>
      </c>
      <c r="O163" s="4" t="str">
        <f t="shared" si="60"/>
        <v>SPGVQLGALVTTHFLYLAMWACGAL</v>
      </c>
      <c r="P163" s="4" t="str">
        <f t="shared" si="61"/>
        <v>LPRVVCSCLYGVAASALGLFVFTHHCAR</v>
      </c>
      <c r="Q163" s="4" t="str">
        <f t="shared" si="62"/>
        <v>RRDVRASWRACCPPASP</v>
      </c>
      <c r="R163" s="5">
        <f>VLOOKUP($A163,'NonXtal_SegEnds_Prot#'!$A:$AL,3,FALSE)</f>
        <v>760</v>
      </c>
      <c r="S163" s="5" t="str">
        <f>VLOOKUP($A163,'NonXtal_SegEnds_Prot#'!$A:$AL,6,FALSE)</f>
        <v>-</v>
      </c>
      <c r="T163" s="5">
        <f>VLOOKUP($A163,'NonXtal_SegEnds_Prot#'!$A:$AL,9,FALSE)</f>
        <v>800</v>
      </c>
      <c r="U163" s="5" t="str">
        <f>VLOOKUP($A163,'NonXtal_SegEnds_Prot#'!$A:$AL,12,FALSE)</f>
        <v>-</v>
      </c>
      <c r="V163" s="5">
        <f>VLOOKUP($A163,'NonXtal_SegEnds_Prot#'!$A:$AL,15,FALSE)</f>
        <v>833</v>
      </c>
      <c r="W163" s="5" t="str">
        <f>VLOOKUP($A163,'NonXtal_SegEnds_Prot#'!$A:$AL,18,FALSE)</f>
        <v>-</v>
      </c>
      <c r="X163" s="5">
        <f>VLOOKUP($A163,'NonXtal_SegEnds_Prot#'!$A:$AL,21,FALSE)</f>
        <v>882</v>
      </c>
      <c r="Y163" s="5">
        <f>VLOOKUP($A163,'NonXtal_SegEnds_Prot#'!$A:$AL,24,FALSE)</f>
        <v>917</v>
      </c>
      <c r="Z163" s="5">
        <f>VLOOKUP($A163,'NonXtal_SegEnds_Prot#'!$A:$AL,27,FALSE)</f>
        <v>921</v>
      </c>
      <c r="AA163" s="5">
        <f>VLOOKUP($A163,'NonXtal_SegEnds_Prot#'!$A:$AL,30,FALSE)</f>
        <v>1014</v>
      </c>
      <c r="AB163" s="5">
        <f>VLOOKUP($A163,'NonXtal_SegEnds_Prot#'!$A:$AL,33,FALSE)</f>
        <v>1045</v>
      </c>
      <c r="AC163" s="5">
        <f>VLOOKUP($A163,'NonXtal_SegEnds_Prot#'!$A:$AL,36,FALSE)</f>
        <v>1073</v>
      </c>
      <c r="AD163" s="5">
        <f>VLOOKUP($A163,'NonXtal_SegEnds_Prot#'!$A:$AL,5,FALSE)</f>
        <v>797</v>
      </c>
      <c r="AE163" s="5" t="str">
        <f>VLOOKUP($A163,'NonXtal_SegEnds_Prot#'!$A:$AL,8,FALSE)</f>
        <v>-</v>
      </c>
      <c r="AF163" s="5">
        <f>VLOOKUP($A163,'NonXtal_SegEnds_Prot#'!$A:$AL,11,FALSE)</f>
        <v>826</v>
      </c>
      <c r="AG163" s="5" t="str">
        <f>VLOOKUP($A163,'NonXtal_SegEnds_Prot#'!$A:$AL,14,FALSE)</f>
        <v>-</v>
      </c>
      <c r="AH163" s="5">
        <f>VLOOKUP($A163,'NonXtal_SegEnds_Prot#'!$A:$AL,17,FALSE)</f>
        <v>866</v>
      </c>
      <c r="AI163" s="5" t="str">
        <f>VLOOKUP($A163,'NonXtal_SegEnds_Prot#'!$A:$AL,20,FALSE)</f>
        <v>-</v>
      </c>
      <c r="AJ163" s="5">
        <f>VLOOKUP($A163,'NonXtal_SegEnds_Prot#'!$A:$AL,23,FALSE)</f>
        <v>910</v>
      </c>
      <c r="AK163" s="5">
        <f>VLOOKUP($A163,'NonXtal_SegEnds_Prot#'!$A:$AL,26,FALSE)</f>
        <v>919</v>
      </c>
      <c r="AL163" s="5">
        <f>VLOOKUP($A163,'NonXtal_SegEnds_Prot#'!$A:$AL,29,FALSE)</f>
        <v>954</v>
      </c>
      <c r="AM163" s="5">
        <f>VLOOKUP($A163,'NonXtal_SegEnds_Prot#'!$A:$AL,32,FALSE)</f>
        <v>1038</v>
      </c>
      <c r="AN163" s="5">
        <f>VLOOKUP($A163,'NonXtal_SegEnds_Prot#'!$A:$AL,35,FALSE)</f>
        <v>1072</v>
      </c>
      <c r="AO163" s="5">
        <f>VLOOKUP($A163,'NonXtal_SegEnds_Prot#'!$A:$AL,38,FALSE)</f>
        <v>1089</v>
      </c>
      <c r="AP163" s="5">
        <f t="shared" si="63"/>
        <v>37</v>
      </c>
      <c r="AQ163" s="4" t="str">
        <f t="shared" si="64"/>
        <v>-</v>
      </c>
      <c r="AR163" s="4">
        <f t="shared" si="65"/>
        <v>26</v>
      </c>
      <c r="AS163" s="4" t="str">
        <f t="shared" si="66"/>
        <v>-</v>
      </c>
      <c r="AT163" s="4">
        <f t="shared" si="67"/>
        <v>33</v>
      </c>
      <c r="AU163" s="4" t="str">
        <f t="shared" si="68"/>
        <v>-</v>
      </c>
      <c r="AV163" s="4">
        <f t="shared" si="69"/>
        <v>28</v>
      </c>
      <c r="AW163" s="4">
        <f t="shared" si="70"/>
        <v>2</v>
      </c>
      <c r="AX163" s="4">
        <f t="shared" si="71"/>
        <v>33</v>
      </c>
      <c r="AY163" s="4">
        <f t="shared" si="72"/>
        <v>24</v>
      </c>
      <c r="AZ163" s="4">
        <f t="shared" si="73"/>
        <v>27</v>
      </c>
      <c r="BA163" s="4">
        <f t="shared" si="74"/>
        <v>16</v>
      </c>
    </row>
    <row r="164" spans="1:53" x14ac:dyDescent="0.2">
      <c r="A164" s="1" t="str">
        <f>'NonXtal_SegEnds_Prot#'!A137</f>
        <v>agrf3_human</v>
      </c>
      <c r="B164" s="1" t="str">
        <f t="shared" si="50"/>
        <v>LMSPHTVPEEPALALLTQVGLGASILALLVCLGVYWLVKISYFRHAALLNMVFCLLAADTCFLGAPLCLAAAFLCHFLYLATFFWMLAQALVLAHQLLFRVLPLMVLLGYLCPLGLAGVTLGLYLPQGKGGALYTFVGPVLAIIGVNGLVLAMAMLKLLRPSALLGVIKALLILTPIFGLTWGLGLASTVPHYIFTILNTLQGVFILLFGCLMDRKIQEALRKRFCRAQA</v>
      </c>
      <c r="C164" s="72" t="str">
        <f>IF(ISERROR(MATCH(A164,'Xtal_SegEnds_Prot#'!B:B, 0)), "NoXtal", "Xtal")</f>
        <v>NoXtal</v>
      </c>
      <c r="D164" s="4" t="str">
        <f>VLOOKUP(A164,Classification!A:D,2,FALSE)</f>
        <v>B2</v>
      </c>
      <c r="E164" s="5" t="str">
        <f>VLOOKUP(A164,Seqs!A:B,2,FALSE)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164" s="5" t="str">
        <f t="shared" si="51"/>
        <v>LMSPHTVPEEPALALLTQVGLGASILALLVCLGVYWLV</v>
      </c>
      <c r="G164" s="4" t="str">
        <f t="shared" si="52"/>
        <v/>
      </c>
      <c r="H164" s="4" t="str">
        <f t="shared" si="53"/>
        <v>KISYFRHAALLNMVFCLLAADTCFLGA</v>
      </c>
      <c r="I164" s="4" t="str">
        <f t="shared" si="54"/>
        <v/>
      </c>
      <c r="J164" s="4" t="str">
        <f t="shared" si="55"/>
        <v>PLCLAAAFLCHFLYLATFFWMLAQALVLAHQLLF</v>
      </c>
      <c r="K164" s="4" t="str">
        <f t="shared" si="56"/>
        <v/>
      </c>
      <c r="L164" s="4" t="str">
        <f t="shared" si="57"/>
        <v>RVLPLMVLLGYLCPLGLAGVTLGLYLPQG</v>
      </c>
      <c r="M164" s="4" t="str">
        <f t="shared" si="58"/>
        <v>CWL</v>
      </c>
      <c r="N164" s="4" t="str">
        <f t="shared" si="59"/>
        <v>KGGALYTFVGPVLAIIGVNGLVLAMAMLKLLRPS</v>
      </c>
      <c r="O164" s="4" t="str">
        <f t="shared" si="60"/>
        <v>ALLGVIKALLILTPIFGLTWGLGLA</v>
      </c>
      <c r="P164" s="4" t="str">
        <f t="shared" si="61"/>
        <v>STVPHYIFTILNTLQGVFILLFGCLM</v>
      </c>
      <c r="Q164" s="4" t="str">
        <f t="shared" si="62"/>
        <v>DRKIQEALRKRFCRAQA</v>
      </c>
      <c r="R164" s="5">
        <f>VLOOKUP($A164,'NonXtal_SegEnds_Prot#'!$A:$AL,3,FALSE)</f>
        <v>758</v>
      </c>
      <c r="S164" s="5" t="str">
        <f>VLOOKUP($A164,'NonXtal_SegEnds_Prot#'!$A:$AL,6,FALSE)</f>
        <v>-</v>
      </c>
      <c r="T164" s="5">
        <f>VLOOKUP($A164,'NonXtal_SegEnds_Prot#'!$A:$AL,9,FALSE)</f>
        <v>803</v>
      </c>
      <c r="U164" s="5" t="str">
        <f>VLOOKUP($A164,'NonXtal_SegEnds_Prot#'!$A:$AL,12,FALSE)</f>
        <v>-</v>
      </c>
      <c r="V164" s="5">
        <f>VLOOKUP($A164,'NonXtal_SegEnds_Prot#'!$A:$AL,15,FALSE)</f>
        <v>839</v>
      </c>
      <c r="W164" s="5" t="str">
        <f>VLOOKUP($A164,'NonXtal_SegEnds_Prot#'!$A:$AL,18,FALSE)</f>
        <v>-</v>
      </c>
      <c r="X164" s="5">
        <f>VLOOKUP($A164,'NonXtal_SegEnds_Prot#'!$A:$AL,21,FALSE)</f>
        <v>881</v>
      </c>
      <c r="Y164" s="5">
        <f>VLOOKUP($A164,'NonXtal_SegEnds_Prot#'!$A:$AL,24,FALSE)</f>
        <v>917</v>
      </c>
      <c r="Z164" s="5">
        <f>VLOOKUP($A164,'NonXtal_SegEnds_Prot#'!$A:$AL,27,FALSE)</f>
        <v>922</v>
      </c>
      <c r="AA164" s="5">
        <f>VLOOKUP($A164,'NonXtal_SegEnds_Prot#'!$A:$AL,30,FALSE)</f>
        <v>967</v>
      </c>
      <c r="AB164" s="5">
        <f>VLOOKUP($A164,'NonXtal_SegEnds_Prot#'!$A:$AL,33,FALSE)</f>
        <v>998</v>
      </c>
      <c r="AC164" s="5">
        <f>VLOOKUP($A164,'NonXtal_SegEnds_Prot#'!$A:$AL,36,FALSE)</f>
        <v>1024</v>
      </c>
      <c r="AD164" s="5">
        <f>VLOOKUP($A164,'NonXtal_SegEnds_Prot#'!$A:$AL,5,FALSE)</f>
        <v>795</v>
      </c>
      <c r="AE164" s="5" t="str">
        <f>VLOOKUP($A164,'NonXtal_SegEnds_Prot#'!$A:$AL,8,FALSE)</f>
        <v>-</v>
      </c>
      <c r="AF164" s="5">
        <f>VLOOKUP($A164,'NonXtal_SegEnds_Prot#'!$A:$AL,11,FALSE)</f>
        <v>829</v>
      </c>
      <c r="AG164" s="5" t="str">
        <f>VLOOKUP($A164,'NonXtal_SegEnds_Prot#'!$A:$AL,14,FALSE)</f>
        <v>-</v>
      </c>
      <c r="AH164" s="5">
        <f>VLOOKUP($A164,'NonXtal_SegEnds_Prot#'!$A:$AL,17,FALSE)</f>
        <v>872</v>
      </c>
      <c r="AI164" s="5" t="str">
        <f>VLOOKUP($A164,'NonXtal_SegEnds_Prot#'!$A:$AL,20,FALSE)</f>
        <v>-</v>
      </c>
      <c r="AJ164" s="5">
        <f>VLOOKUP($A164,'NonXtal_SegEnds_Prot#'!$A:$AL,23,FALSE)</f>
        <v>909</v>
      </c>
      <c r="AK164" s="5">
        <f>VLOOKUP($A164,'NonXtal_SegEnds_Prot#'!$A:$AL,26,FALSE)</f>
        <v>919</v>
      </c>
      <c r="AL164" s="5">
        <f>VLOOKUP($A164,'NonXtal_SegEnds_Prot#'!$A:$AL,29,FALSE)</f>
        <v>955</v>
      </c>
      <c r="AM164" s="5">
        <f>VLOOKUP($A164,'NonXtal_SegEnds_Prot#'!$A:$AL,32,FALSE)</f>
        <v>991</v>
      </c>
      <c r="AN164" s="5">
        <f>VLOOKUP($A164,'NonXtal_SegEnds_Prot#'!$A:$AL,35,FALSE)</f>
        <v>1023</v>
      </c>
      <c r="AO164" s="5">
        <f>VLOOKUP($A164,'NonXtal_SegEnds_Prot#'!$A:$AL,38,FALSE)</f>
        <v>1040</v>
      </c>
      <c r="AP164" s="5">
        <f t="shared" si="63"/>
        <v>37</v>
      </c>
      <c r="AQ164" s="4" t="str">
        <f t="shared" si="64"/>
        <v>-</v>
      </c>
      <c r="AR164" s="4">
        <f t="shared" si="65"/>
        <v>26</v>
      </c>
      <c r="AS164" s="4" t="str">
        <f t="shared" si="66"/>
        <v>-</v>
      </c>
      <c r="AT164" s="4">
        <f t="shared" si="67"/>
        <v>33</v>
      </c>
      <c r="AU164" s="4" t="str">
        <f t="shared" si="68"/>
        <v>-</v>
      </c>
      <c r="AV164" s="4">
        <f t="shared" si="69"/>
        <v>28</v>
      </c>
      <c r="AW164" s="4">
        <f t="shared" si="70"/>
        <v>2</v>
      </c>
      <c r="AX164" s="4">
        <f t="shared" si="71"/>
        <v>33</v>
      </c>
      <c r="AY164" s="4">
        <f t="shared" si="72"/>
        <v>24</v>
      </c>
      <c r="AZ164" s="4">
        <f t="shared" si="73"/>
        <v>25</v>
      </c>
      <c r="BA164" s="4">
        <f t="shared" si="74"/>
        <v>16</v>
      </c>
    </row>
    <row r="165" spans="1:53" x14ac:dyDescent="0.2">
      <c r="A165" s="1" t="str">
        <f>'NonXtal_SegEnds_Prot#'!A138</f>
        <v>agra3_human</v>
      </c>
      <c r="B165" s="1" t="str">
        <f t="shared" si="50"/>
        <v>ELYTQAASLLHPVVYTTAIILLLCLLAVIVSYIYHHSLISLKSWHMLVNLCFHIFLTCVVFVGGISICQAVGIILHYSTLATVLWVGVTARNIYKQVTKRPMLRFYLIGGGIPIIVCGITAAANIKNYWEPSLGAFYGPASFITFVNCMYFLSIFIQLKRHPTFHSQLLGASLTLLLYVALWMFGALPLDLVFSFVFGATSLSFSAFFVVHHCVNREDVRLAWIMTCCPGRS</v>
      </c>
      <c r="C165" s="72" t="str">
        <f>IF(ISERROR(MATCH(A165,'Xtal_SegEnds_Prot#'!B:B, 0)), "NoXtal", "Xtal")</f>
        <v>NoXtal</v>
      </c>
      <c r="D165" s="4" t="str">
        <f>VLOOKUP(A165,Classification!A:D,2,FALSE)</f>
        <v>B2</v>
      </c>
      <c r="E165" s="5" t="str">
        <f>VLOOKUP(A165,Seqs!A:B,2,FALSE)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165" s="5" t="str">
        <f t="shared" si="51"/>
        <v>ELYTQAASLLHPVVYTTAIILLLCLLAVIVSYIYHHSL</v>
      </c>
      <c r="G165" s="4" t="str">
        <f t="shared" si="52"/>
        <v/>
      </c>
      <c r="H165" s="4" t="str">
        <f t="shared" si="53"/>
        <v>ISLKSWHMLVNLCFHIFLTCVVFVGGI</v>
      </c>
      <c r="I165" s="4" t="str">
        <f t="shared" si="54"/>
        <v/>
      </c>
      <c r="J165" s="4" t="str">
        <f t="shared" si="55"/>
        <v>SICQAVGIILHYSTLATVLWVGVTARNIYKQVTK</v>
      </c>
      <c r="K165" s="4" t="str">
        <f t="shared" si="56"/>
        <v/>
      </c>
      <c r="L165" s="4" t="str">
        <f t="shared" si="57"/>
        <v>RPMLRFYLIGGGIPIIVCGITAAANIKNY</v>
      </c>
      <c r="M165" s="4" t="str">
        <f t="shared" si="58"/>
        <v>CWM</v>
      </c>
      <c r="N165" s="4" t="str">
        <f t="shared" si="59"/>
        <v>WEPSLGAFYGPASFITFVNCMYFLSIFIQLKRHP</v>
      </c>
      <c r="O165" s="4" t="str">
        <f t="shared" si="60"/>
        <v>TFHSQLLGASLTLLLYVALWMFGAL</v>
      </c>
      <c r="P165" s="4" t="str">
        <f t="shared" si="61"/>
        <v>PLDLVFSFVFGATSLSFSAFFVVHHCVN</v>
      </c>
      <c r="Q165" s="4" t="str">
        <f t="shared" si="62"/>
        <v>REDVRLAWIMTCCPGRS</v>
      </c>
      <c r="R165" s="5">
        <f>VLOOKUP($A165,'NonXtal_SegEnds_Prot#'!$A:$AL,3,FALSE)</f>
        <v>750</v>
      </c>
      <c r="S165" s="5" t="str">
        <f>VLOOKUP($A165,'NonXtal_SegEnds_Prot#'!$A:$AL,6,FALSE)</f>
        <v>-</v>
      </c>
      <c r="T165" s="5">
        <f>VLOOKUP($A165,'NonXtal_SegEnds_Prot#'!$A:$AL,9,FALSE)</f>
        <v>790</v>
      </c>
      <c r="U165" s="5" t="str">
        <f>VLOOKUP($A165,'NonXtal_SegEnds_Prot#'!$A:$AL,12,FALSE)</f>
        <v>-</v>
      </c>
      <c r="V165" s="5">
        <f>VLOOKUP($A165,'NonXtal_SegEnds_Prot#'!$A:$AL,15,FALSE)</f>
        <v>823</v>
      </c>
      <c r="W165" s="5" t="str">
        <f>VLOOKUP($A165,'NonXtal_SegEnds_Prot#'!$A:$AL,18,FALSE)</f>
        <v>-</v>
      </c>
      <c r="X165" s="5">
        <f>VLOOKUP($A165,'NonXtal_SegEnds_Prot#'!$A:$AL,21,FALSE)</f>
        <v>872</v>
      </c>
      <c r="Y165" s="5">
        <f>VLOOKUP($A165,'NonXtal_SegEnds_Prot#'!$A:$AL,24,FALSE)</f>
        <v>909</v>
      </c>
      <c r="Z165" s="5">
        <f>VLOOKUP($A165,'NonXtal_SegEnds_Prot#'!$A:$AL,27,FALSE)</f>
        <v>913</v>
      </c>
      <c r="AA165" s="5">
        <f>VLOOKUP($A165,'NonXtal_SegEnds_Prot#'!$A:$AL,30,FALSE)</f>
        <v>991</v>
      </c>
      <c r="AB165" s="5">
        <f>VLOOKUP($A165,'NonXtal_SegEnds_Prot#'!$A:$AL,33,FALSE)</f>
        <v>1022</v>
      </c>
      <c r="AC165" s="5">
        <f>VLOOKUP($A165,'NonXtal_SegEnds_Prot#'!$A:$AL,36,FALSE)</f>
        <v>1050</v>
      </c>
      <c r="AD165" s="5">
        <f>VLOOKUP($A165,'NonXtal_SegEnds_Prot#'!$A:$AL,5,FALSE)</f>
        <v>787</v>
      </c>
      <c r="AE165" s="5" t="str">
        <f>VLOOKUP($A165,'NonXtal_SegEnds_Prot#'!$A:$AL,8,FALSE)</f>
        <v>-</v>
      </c>
      <c r="AF165" s="5">
        <f>VLOOKUP($A165,'NonXtal_SegEnds_Prot#'!$A:$AL,11,FALSE)</f>
        <v>816</v>
      </c>
      <c r="AG165" s="5" t="str">
        <f>VLOOKUP($A165,'NonXtal_SegEnds_Prot#'!$A:$AL,14,FALSE)</f>
        <v>-</v>
      </c>
      <c r="AH165" s="5">
        <f>VLOOKUP($A165,'NonXtal_SegEnds_Prot#'!$A:$AL,17,FALSE)</f>
        <v>856</v>
      </c>
      <c r="AI165" s="5" t="str">
        <f>VLOOKUP($A165,'NonXtal_SegEnds_Prot#'!$A:$AL,20,FALSE)</f>
        <v>-</v>
      </c>
      <c r="AJ165" s="5">
        <f>VLOOKUP($A165,'NonXtal_SegEnds_Prot#'!$A:$AL,23,FALSE)</f>
        <v>900</v>
      </c>
      <c r="AK165" s="5">
        <f>VLOOKUP($A165,'NonXtal_SegEnds_Prot#'!$A:$AL,26,FALSE)</f>
        <v>911</v>
      </c>
      <c r="AL165" s="5">
        <f>VLOOKUP($A165,'NonXtal_SegEnds_Prot#'!$A:$AL,29,FALSE)</f>
        <v>946</v>
      </c>
      <c r="AM165" s="5">
        <f>VLOOKUP($A165,'NonXtal_SegEnds_Prot#'!$A:$AL,32,FALSE)</f>
        <v>1015</v>
      </c>
      <c r="AN165" s="5">
        <f>VLOOKUP($A165,'NonXtal_SegEnds_Prot#'!$A:$AL,35,FALSE)</f>
        <v>1049</v>
      </c>
      <c r="AO165" s="5">
        <f>VLOOKUP($A165,'NonXtal_SegEnds_Prot#'!$A:$AL,38,FALSE)</f>
        <v>1066</v>
      </c>
      <c r="AP165" s="5">
        <f t="shared" si="63"/>
        <v>37</v>
      </c>
      <c r="AQ165" s="4" t="str">
        <f t="shared" si="64"/>
        <v>-</v>
      </c>
      <c r="AR165" s="4">
        <f t="shared" si="65"/>
        <v>26</v>
      </c>
      <c r="AS165" s="4" t="str">
        <f t="shared" si="66"/>
        <v>-</v>
      </c>
      <c r="AT165" s="4">
        <f t="shared" si="67"/>
        <v>33</v>
      </c>
      <c r="AU165" s="4" t="str">
        <f t="shared" si="68"/>
        <v>-</v>
      </c>
      <c r="AV165" s="4">
        <f t="shared" si="69"/>
        <v>28</v>
      </c>
      <c r="AW165" s="4">
        <f t="shared" si="70"/>
        <v>2</v>
      </c>
      <c r="AX165" s="4">
        <f t="shared" si="71"/>
        <v>33</v>
      </c>
      <c r="AY165" s="4">
        <f t="shared" si="72"/>
        <v>24</v>
      </c>
      <c r="AZ165" s="4">
        <f t="shared" si="73"/>
        <v>27</v>
      </c>
      <c r="BA165" s="4">
        <f t="shared" si="74"/>
        <v>16</v>
      </c>
    </row>
    <row r="166" spans="1:53" x14ac:dyDescent="0.2">
      <c r="A166" s="1" t="str">
        <f>'NonXtal_SegEnds_Prot#'!A139</f>
        <v>agrd2_human</v>
      </c>
      <c r="B166" s="1" t="str">
        <f t="shared" si="50"/>
        <v>YEVQRGPEEESLLRTLSFVGCGVSFCALTTTFLLFLVASERTTVHKNLTFSLASAEGFLMTSEWAVACVAVTVAMHFLFLVAFSWMLVEGLLLWRKVVAPGMRLYHATGWGVPVGIVAVTLAMLPHDYHTNAIWAFVGPVLFVLTANTCILARVVMITVSSAKPVLVLLPVLGLTWLAGILVHLAWAYAAVGLNSIQGLYIFLVYAACNEEVRSALQRMAEKKVA</v>
      </c>
      <c r="C166" s="72" t="str">
        <f>IF(ISERROR(MATCH(A166,'Xtal_SegEnds_Prot#'!B:B, 0)), "NoXtal", "Xtal")</f>
        <v>NoXtal</v>
      </c>
      <c r="D166" s="4" t="str">
        <f>VLOOKUP(A166,Classification!A:D,2,FALSE)</f>
        <v>B2</v>
      </c>
      <c r="E166" s="5" t="str">
        <f>VLOOKUP(A166,Seqs!A:B,2,FALSE)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166" s="5" t="str">
        <f t="shared" si="51"/>
        <v>YEVQRGPEEESLLRTLSFVGCGVSFCALTTTFLLFLVA</v>
      </c>
      <c r="G166" s="4" t="str">
        <f t="shared" si="52"/>
        <v/>
      </c>
      <c r="H166" s="4" t="str">
        <f t="shared" si="53"/>
        <v>SERTTVHKNLTFSLASAEGFLMTSEWA</v>
      </c>
      <c r="I166" s="4" t="str">
        <f t="shared" si="54"/>
        <v/>
      </c>
      <c r="J166" s="4" t="str">
        <f t="shared" si="55"/>
        <v>VACVAVTVAMHFLFLVAFSWMLVEGLLLWRKVVA</v>
      </c>
      <c r="K166" s="4" t="str">
        <f t="shared" si="56"/>
        <v/>
      </c>
      <c r="L166" s="4" t="str">
        <f t="shared" si="57"/>
        <v>PGMRLYHATGWGVPVGIVAVTLAMLPHDY</v>
      </c>
      <c r="M166" s="4" t="str">
        <f t="shared" si="58"/>
        <v>CWL</v>
      </c>
      <c r="N166" s="4" t="str">
        <f t="shared" si="59"/>
        <v>HTNAIWAFVGPVLFVLTANTCILARVVMITVSSA</v>
      </c>
      <c r="O166" s="4" t="str">
        <f t="shared" si="60"/>
        <v>KPVLVLLPVLGLTWLAGILVHL</v>
      </c>
      <c r="P166" s="4" t="str">
        <f t="shared" si="61"/>
        <v>AWAYAAVGLNSIQGLYIFLVYAAC</v>
      </c>
      <c r="Q166" s="4" t="str">
        <f t="shared" si="62"/>
        <v>NEEVRSALQRMAEKKVA</v>
      </c>
      <c r="R166" s="5">
        <f>VLOOKUP($A166,'NonXtal_SegEnds_Prot#'!$A:$AL,3,FALSE)</f>
        <v>646</v>
      </c>
      <c r="S166" s="5" t="str">
        <f>VLOOKUP($A166,'NonXtal_SegEnds_Prot#'!$A:$AL,6,FALSE)</f>
        <v>-</v>
      </c>
      <c r="T166" s="5">
        <f>VLOOKUP($A166,'NonXtal_SegEnds_Prot#'!$A:$AL,9,FALSE)</f>
        <v>688</v>
      </c>
      <c r="U166" s="5" t="str">
        <f>VLOOKUP($A166,'NonXtal_SegEnds_Prot#'!$A:$AL,12,FALSE)</f>
        <v>-</v>
      </c>
      <c r="V166" s="5">
        <f>VLOOKUP($A166,'NonXtal_SegEnds_Prot#'!$A:$AL,15,FALSE)</f>
        <v>719</v>
      </c>
      <c r="W166" s="5" t="str">
        <f>VLOOKUP($A166,'NonXtal_SegEnds_Prot#'!$A:$AL,18,FALSE)</f>
        <v>-</v>
      </c>
      <c r="X166" s="5">
        <f>VLOOKUP($A166,'NonXtal_SegEnds_Prot#'!$A:$AL,21,FALSE)</f>
        <v>759</v>
      </c>
      <c r="Y166" s="5">
        <f>VLOOKUP($A166,'NonXtal_SegEnds_Prot#'!$A:$AL,24,FALSE)</f>
        <v>793</v>
      </c>
      <c r="Z166" s="5">
        <f>VLOOKUP($A166,'NonXtal_SegEnds_Prot#'!$A:$AL,27,FALSE)</f>
        <v>798</v>
      </c>
      <c r="AA166" s="5">
        <f>VLOOKUP($A166,'NonXtal_SegEnds_Prot#'!$A:$AL,30,FALSE)</f>
        <v>857</v>
      </c>
      <c r="AB166" s="5">
        <f>VLOOKUP($A166,'NonXtal_SegEnds_Prot#'!$A:$AL,33,FALSE)</f>
        <v>881</v>
      </c>
      <c r="AC166" s="5">
        <f>VLOOKUP($A166,'NonXtal_SegEnds_Prot#'!$A:$AL,36,FALSE)</f>
        <v>905</v>
      </c>
      <c r="AD166" s="5">
        <f>VLOOKUP($A166,'NonXtal_SegEnds_Prot#'!$A:$AL,5,FALSE)</f>
        <v>683</v>
      </c>
      <c r="AE166" s="5" t="str">
        <f>VLOOKUP($A166,'NonXtal_SegEnds_Prot#'!$A:$AL,8,FALSE)</f>
        <v>-</v>
      </c>
      <c r="AF166" s="5">
        <f>VLOOKUP($A166,'NonXtal_SegEnds_Prot#'!$A:$AL,11,FALSE)</f>
        <v>714</v>
      </c>
      <c r="AG166" s="5" t="str">
        <f>VLOOKUP($A166,'NonXtal_SegEnds_Prot#'!$A:$AL,14,FALSE)</f>
        <v>-</v>
      </c>
      <c r="AH166" s="5">
        <f>VLOOKUP($A166,'NonXtal_SegEnds_Prot#'!$A:$AL,17,FALSE)</f>
        <v>752</v>
      </c>
      <c r="AI166" s="5" t="str">
        <f>VLOOKUP($A166,'NonXtal_SegEnds_Prot#'!$A:$AL,20,FALSE)</f>
        <v>-</v>
      </c>
      <c r="AJ166" s="5">
        <f>VLOOKUP($A166,'NonXtal_SegEnds_Prot#'!$A:$AL,23,FALSE)</f>
        <v>787</v>
      </c>
      <c r="AK166" s="5">
        <f>VLOOKUP($A166,'NonXtal_SegEnds_Prot#'!$A:$AL,26,FALSE)</f>
        <v>795</v>
      </c>
      <c r="AL166" s="5">
        <f>VLOOKUP($A166,'NonXtal_SegEnds_Prot#'!$A:$AL,29,FALSE)</f>
        <v>831</v>
      </c>
      <c r="AM166" s="5">
        <f>VLOOKUP($A166,'NonXtal_SegEnds_Prot#'!$A:$AL,32,FALSE)</f>
        <v>878</v>
      </c>
      <c r="AN166" s="5">
        <f>VLOOKUP($A166,'NonXtal_SegEnds_Prot#'!$A:$AL,35,FALSE)</f>
        <v>904</v>
      </c>
      <c r="AO166" s="5">
        <f>VLOOKUP($A166,'NonXtal_SegEnds_Prot#'!$A:$AL,38,FALSE)</f>
        <v>921</v>
      </c>
      <c r="AP166" s="5">
        <f t="shared" si="63"/>
        <v>37</v>
      </c>
      <c r="AQ166" s="4" t="str">
        <f t="shared" si="64"/>
        <v>-</v>
      </c>
      <c r="AR166" s="4">
        <f t="shared" si="65"/>
        <v>26</v>
      </c>
      <c r="AS166" s="4" t="str">
        <f t="shared" si="66"/>
        <v>-</v>
      </c>
      <c r="AT166" s="4">
        <f t="shared" si="67"/>
        <v>33</v>
      </c>
      <c r="AU166" s="4" t="str">
        <f t="shared" si="68"/>
        <v>-</v>
      </c>
      <c r="AV166" s="4">
        <f t="shared" si="69"/>
        <v>28</v>
      </c>
      <c r="AW166" s="4">
        <f t="shared" si="70"/>
        <v>2</v>
      </c>
      <c r="AX166" s="4">
        <f t="shared" si="71"/>
        <v>33</v>
      </c>
      <c r="AY166" s="4">
        <f t="shared" si="72"/>
        <v>21</v>
      </c>
      <c r="AZ166" s="4">
        <f t="shared" si="73"/>
        <v>23</v>
      </c>
      <c r="BA166" s="4">
        <f t="shared" si="74"/>
        <v>16</v>
      </c>
    </row>
    <row r="167" spans="1:53" x14ac:dyDescent="0.2">
      <c r="A167" s="1" t="str">
        <f>'NonXtal_SegEnds_Prot#'!A140</f>
        <v>agrg2_human</v>
      </c>
      <c r="B167" s="1" t="str">
        <f t="shared" si="50"/>
        <v>SRTSVLPAQMMALTFITYIGCGLSSIFLSVTLVTYIAFDYPSKILIQLCAALLLLNLVFLLDSWIGLCISVAVFLHYFLLVSFTWMGLEAFHMYLALVKKYILKFCIVGWGVPAVVVTIILTISPDNYNAVFYITVVGYFCVIFLLNVSMFIVVLVQLCRIKTSIQDLRSIAGLTFLLGITWGFAFFNVTFMYLFAIFNTLQGFFIFIFYCVAKENVRKQWRRYLCCGKL</v>
      </c>
      <c r="C167" s="72" t="str">
        <f>IF(ISERROR(MATCH(A167,'Xtal_SegEnds_Prot#'!B:B, 0)), "NoXtal", "Xtal")</f>
        <v>NoXtal</v>
      </c>
      <c r="D167" s="4" t="str">
        <f>VLOOKUP(A167,Classification!A:D,2,FALSE)</f>
        <v>B2</v>
      </c>
      <c r="E167" s="5" t="str">
        <f>VLOOKUP(A167,Seqs!A:B,2,FALSE)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167" s="5" t="str">
        <f t="shared" si="51"/>
        <v>SRTSVLPAQMMALTFITYIGCGLSSIFLSVTLVTYIAF</v>
      </c>
      <c r="G167" s="4" t="str">
        <f t="shared" si="52"/>
        <v/>
      </c>
      <c r="H167" s="4" t="str">
        <f t="shared" si="53"/>
        <v>DYPSKILIQLCAALLLLNLVFLLDSWI</v>
      </c>
      <c r="I167" s="4" t="str">
        <f t="shared" si="54"/>
        <v/>
      </c>
      <c r="J167" s="4" t="str">
        <f t="shared" si="55"/>
        <v>GLCISVAVFLHYFLLVSFTWMGLEAFHMYLALVK</v>
      </c>
      <c r="K167" s="4" t="str">
        <f t="shared" si="56"/>
        <v/>
      </c>
      <c r="L167" s="4" t="str">
        <f t="shared" si="57"/>
        <v>KYILKFCIVGWGVPAVVVTIILTISPDNY</v>
      </c>
      <c r="M167" s="4" t="str">
        <f t="shared" si="58"/>
        <v>CWI</v>
      </c>
      <c r="N167" s="4" t="str">
        <f t="shared" si="59"/>
        <v>NAVFYITVVGYFCVIFLLNVSMFIVVLVQLCRIK</v>
      </c>
      <c r="O167" s="4" t="str">
        <f t="shared" si="60"/>
        <v>TSIQDLRSIAGLTFLLGITWGFAFF</v>
      </c>
      <c r="P167" s="4" t="str">
        <f t="shared" si="61"/>
        <v>NVTFMYLFAIFNTLQGFFIFIFYCVA</v>
      </c>
      <c r="Q167" s="4" t="str">
        <f t="shared" si="62"/>
        <v>KENVRKQWRRYLCCGKL</v>
      </c>
      <c r="R167" s="5">
        <f>VLOOKUP($A167,'NonXtal_SegEnds_Prot#'!$A:$AL,3,FALSE)</f>
        <v>616</v>
      </c>
      <c r="S167" s="5" t="str">
        <f>VLOOKUP($A167,'NonXtal_SegEnds_Prot#'!$A:$AL,6,FALSE)</f>
        <v>-</v>
      </c>
      <c r="T167" s="5">
        <f>VLOOKUP($A167,'NonXtal_SegEnds_Prot#'!$A:$AL,9,FALSE)</f>
        <v>659</v>
      </c>
      <c r="U167" s="5" t="str">
        <f>VLOOKUP($A167,'NonXtal_SegEnds_Prot#'!$A:$AL,12,FALSE)</f>
        <v>-</v>
      </c>
      <c r="V167" s="5">
        <f>VLOOKUP($A167,'NonXtal_SegEnds_Prot#'!$A:$AL,15,FALSE)</f>
        <v>692</v>
      </c>
      <c r="W167" s="5" t="str">
        <f>VLOOKUP($A167,'NonXtal_SegEnds_Prot#'!$A:$AL,18,FALSE)</f>
        <v>-</v>
      </c>
      <c r="X167" s="5">
        <f>VLOOKUP($A167,'NonXtal_SegEnds_Prot#'!$A:$AL,21,FALSE)</f>
        <v>733</v>
      </c>
      <c r="Y167" s="5">
        <f>VLOOKUP($A167,'NonXtal_SegEnds_Prot#'!$A:$AL,24,FALSE)</f>
        <v>778</v>
      </c>
      <c r="Z167" s="5">
        <f>VLOOKUP($A167,'NonXtal_SegEnds_Prot#'!$A:$AL,27,FALSE)</f>
        <v>783</v>
      </c>
      <c r="AA167" s="5">
        <f>VLOOKUP($A167,'NonXtal_SegEnds_Prot#'!$A:$AL,30,FALSE)</f>
        <v>827</v>
      </c>
      <c r="AB167" s="5">
        <f>VLOOKUP($A167,'NonXtal_SegEnds_Prot#'!$A:$AL,33,FALSE)</f>
        <v>857</v>
      </c>
      <c r="AC167" s="5">
        <f>VLOOKUP($A167,'NonXtal_SegEnds_Prot#'!$A:$AL,36,FALSE)</f>
        <v>883</v>
      </c>
      <c r="AD167" s="5">
        <f>VLOOKUP($A167,'NonXtal_SegEnds_Prot#'!$A:$AL,5,FALSE)</f>
        <v>653</v>
      </c>
      <c r="AE167" s="5" t="str">
        <f>VLOOKUP($A167,'NonXtal_SegEnds_Prot#'!$A:$AL,8,FALSE)</f>
        <v>-</v>
      </c>
      <c r="AF167" s="5">
        <f>VLOOKUP($A167,'NonXtal_SegEnds_Prot#'!$A:$AL,11,FALSE)</f>
        <v>685</v>
      </c>
      <c r="AG167" s="5" t="str">
        <f>VLOOKUP($A167,'NonXtal_SegEnds_Prot#'!$A:$AL,14,FALSE)</f>
        <v>-</v>
      </c>
      <c r="AH167" s="5">
        <f>VLOOKUP($A167,'NonXtal_SegEnds_Prot#'!$A:$AL,17,FALSE)</f>
        <v>725</v>
      </c>
      <c r="AI167" s="5" t="str">
        <f>VLOOKUP($A167,'NonXtal_SegEnds_Prot#'!$A:$AL,20,FALSE)</f>
        <v>-</v>
      </c>
      <c r="AJ167" s="5">
        <f>VLOOKUP($A167,'NonXtal_SegEnds_Prot#'!$A:$AL,23,FALSE)</f>
        <v>761</v>
      </c>
      <c r="AK167" s="5">
        <f>VLOOKUP($A167,'NonXtal_SegEnds_Prot#'!$A:$AL,26,FALSE)</f>
        <v>780</v>
      </c>
      <c r="AL167" s="5">
        <f>VLOOKUP($A167,'NonXtal_SegEnds_Prot#'!$A:$AL,29,FALSE)</f>
        <v>816</v>
      </c>
      <c r="AM167" s="5">
        <f>VLOOKUP($A167,'NonXtal_SegEnds_Prot#'!$A:$AL,32,FALSE)</f>
        <v>851</v>
      </c>
      <c r="AN167" s="5">
        <f>VLOOKUP($A167,'NonXtal_SegEnds_Prot#'!$A:$AL,35,FALSE)</f>
        <v>882</v>
      </c>
      <c r="AO167" s="5">
        <f>VLOOKUP($A167,'NonXtal_SegEnds_Prot#'!$A:$AL,38,FALSE)</f>
        <v>899</v>
      </c>
      <c r="AP167" s="5">
        <f t="shared" si="63"/>
        <v>37</v>
      </c>
      <c r="AQ167" s="4" t="str">
        <f t="shared" si="64"/>
        <v>-</v>
      </c>
      <c r="AR167" s="4">
        <f t="shared" si="65"/>
        <v>26</v>
      </c>
      <c r="AS167" s="4" t="str">
        <f t="shared" si="66"/>
        <v>-</v>
      </c>
      <c r="AT167" s="4">
        <f t="shared" si="67"/>
        <v>33</v>
      </c>
      <c r="AU167" s="4" t="str">
        <f t="shared" si="68"/>
        <v>-</v>
      </c>
      <c r="AV167" s="4">
        <f t="shared" si="69"/>
        <v>28</v>
      </c>
      <c r="AW167" s="4">
        <f t="shared" si="70"/>
        <v>2</v>
      </c>
      <c r="AX167" s="4">
        <f t="shared" si="71"/>
        <v>33</v>
      </c>
      <c r="AY167" s="4">
        <f t="shared" si="72"/>
        <v>24</v>
      </c>
      <c r="AZ167" s="4">
        <f t="shared" si="73"/>
        <v>25</v>
      </c>
      <c r="BA167" s="4">
        <f t="shared" si="74"/>
        <v>16</v>
      </c>
    </row>
    <row r="168" spans="1:53" x14ac:dyDescent="0.2">
      <c r="A168" s="1" t="str">
        <f>'NonXtal_SegEnds_Prot#'!A141</f>
        <v>agre1_human</v>
      </c>
      <c r="B168" s="1" t="str">
        <f t="shared" si="50"/>
        <v>IMASGELTMDFSLYIISHVGIIISLVCLVLAIATFLLCNHNTYLHLHLCVCLLLAKTLFLAGIHKMGCAIIAGFLHYLFLACFFWMLVEAVILFLMVRNIKMLHICAFGYGLPMLVVVISASVQPQGYETGFIWSFLGPVCTVIVINSLLLTWTLWILRQRLDTRLLTFKAFAQLFILGCSWVLGIFAGVMAYLFTIINSLQGAFIFLIHCLLNGQVREEYKRWITGKTK</v>
      </c>
      <c r="C168" s="72" t="str">
        <f>IF(ISERROR(MATCH(A168,'Xtal_SegEnds_Prot#'!B:B, 0)), "NoXtal", "Xtal")</f>
        <v>NoXtal</v>
      </c>
      <c r="D168" s="4" t="str">
        <f>VLOOKUP(A168,Classification!A:D,2,FALSE)</f>
        <v>B2</v>
      </c>
      <c r="E168" s="5" t="str">
        <f>VLOOKUP(A168,Seqs!A:B,2,FALSE)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168" s="5" t="str">
        <f t="shared" si="51"/>
        <v>IMASGELTMDFSLYIISHVGIIISLVCLVLAIATFLLC</v>
      </c>
      <c r="G168" s="4" t="str">
        <f t="shared" si="52"/>
        <v/>
      </c>
      <c r="H168" s="4" t="str">
        <f t="shared" si="53"/>
        <v>NHNTYLHLHLCVCLLLAKTLFLAGIHK</v>
      </c>
      <c r="I168" s="4" t="str">
        <f t="shared" si="54"/>
        <v/>
      </c>
      <c r="J168" s="4" t="str">
        <f t="shared" si="55"/>
        <v>MGCAIIAGFLHYLFLACFFWMLVEAVILFLMVRN</v>
      </c>
      <c r="K168" s="4" t="str">
        <f t="shared" si="56"/>
        <v/>
      </c>
      <c r="L168" s="4" t="str">
        <f t="shared" si="57"/>
        <v>IKMLHICAFGYGLPMLVVVISASVQPQGY</v>
      </c>
      <c r="M168" s="4" t="str">
        <f t="shared" si="58"/>
        <v>CWL</v>
      </c>
      <c r="N168" s="4" t="str">
        <f t="shared" si="59"/>
        <v>ETGFIWSFLGPVCTVIVINSLLLTWTLWILRQRL</v>
      </c>
      <c r="O168" s="4" t="str">
        <f t="shared" si="60"/>
        <v>DTRLLTFKAFAQLFILGCSWVLGIF</v>
      </c>
      <c r="P168" s="4" t="str">
        <f t="shared" si="61"/>
        <v>AGVMAYLFTIINSLQGAFIFLIHCLL</v>
      </c>
      <c r="Q168" s="4" t="str">
        <f t="shared" si="62"/>
        <v>NGQVREEYKRWITGKTK</v>
      </c>
      <c r="R168" s="5">
        <f>VLOOKUP($A168,'NonXtal_SegEnds_Prot#'!$A:$AL,3,FALSE)</f>
        <v>590</v>
      </c>
      <c r="S168" s="5" t="str">
        <f>VLOOKUP($A168,'NonXtal_SegEnds_Prot#'!$A:$AL,6,FALSE)</f>
        <v>-</v>
      </c>
      <c r="T168" s="5">
        <f>VLOOKUP($A168,'NonXtal_SegEnds_Prot#'!$A:$AL,9,FALSE)</f>
        <v>632</v>
      </c>
      <c r="U168" s="5" t="str">
        <f>VLOOKUP($A168,'NonXtal_SegEnds_Prot#'!$A:$AL,12,FALSE)</f>
        <v>-</v>
      </c>
      <c r="V168" s="5">
        <f>VLOOKUP($A168,'NonXtal_SegEnds_Prot#'!$A:$AL,15,FALSE)</f>
        <v>663</v>
      </c>
      <c r="W168" s="5" t="str">
        <f>VLOOKUP($A168,'NonXtal_SegEnds_Prot#'!$A:$AL,18,FALSE)</f>
        <v>-</v>
      </c>
      <c r="X168" s="5">
        <f>VLOOKUP($A168,'NonXtal_SegEnds_Prot#'!$A:$AL,21,FALSE)</f>
        <v>708</v>
      </c>
      <c r="Y168" s="5">
        <f>VLOOKUP($A168,'NonXtal_SegEnds_Prot#'!$A:$AL,24,FALSE)</f>
        <v>742</v>
      </c>
      <c r="Z168" s="5">
        <f>VLOOKUP($A168,'NonXtal_SegEnds_Prot#'!$A:$AL,27,FALSE)</f>
        <v>747</v>
      </c>
      <c r="AA168" s="5">
        <f>VLOOKUP($A168,'NonXtal_SegEnds_Prot#'!$A:$AL,30,FALSE)</f>
        <v>792</v>
      </c>
      <c r="AB168" s="5">
        <f>VLOOKUP($A168,'NonXtal_SegEnds_Prot#'!$A:$AL,33,FALSE)</f>
        <v>822</v>
      </c>
      <c r="AC168" s="5">
        <f>VLOOKUP($A168,'NonXtal_SegEnds_Prot#'!$A:$AL,36,FALSE)</f>
        <v>848</v>
      </c>
      <c r="AD168" s="5">
        <f>VLOOKUP($A168,'NonXtal_SegEnds_Prot#'!$A:$AL,5,FALSE)</f>
        <v>627</v>
      </c>
      <c r="AE168" s="5" t="str">
        <f>VLOOKUP($A168,'NonXtal_SegEnds_Prot#'!$A:$AL,8,FALSE)</f>
        <v>-</v>
      </c>
      <c r="AF168" s="5">
        <f>VLOOKUP($A168,'NonXtal_SegEnds_Prot#'!$A:$AL,11,FALSE)</f>
        <v>658</v>
      </c>
      <c r="AG168" s="5" t="str">
        <f>VLOOKUP($A168,'NonXtal_SegEnds_Prot#'!$A:$AL,14,FALSE)</f>
        <v>-</v>
      </c>
      <c r="AH168" s="5">
        <f>VLOOKUP($A168,'NonXtal_SegEnds_Prot#'!$A:$AL,17,FALSE)</f>
        <v>696</v>
      </c>
      <c r="AI168" s="5" t="str">
        <f>VLOOKUP($A168,'NonXtal_SegEnds_Prot#'!$A:$AL,20,FALSE)</f>
        <v>-</v>
      </c>
      <c r="AJ168" s="5">
        <f>VLOOKUP($A168,'NonXtal_SegEnds_Prot#'!$A:$AL,23,FALSE)</f>
        <v>736</v>
      </c>
      <c r="AK168" s="5">
        <f>VLOOKUP($A168,'NonXtal_SegEnds_Prot#'!$A:$AL,26,FALSE)</f>
        <v>744</v>
      </c>
      <c r="AL168" s="5">
        <f>VLOOKUP($A168,'NonXtal_SegEnds_Prot#'!$A:$AL,29,FALSE)</f>
        <v>780</v>
      </c>
      <c r="AM168" s="5">
        <f>VLOOKUP($A168,'NonXtal_SegEnds_Prot#'!$A:$AL,32,FALSE)</f>
        <v>816</v>
      </c>
      <c r="AN168" s="5">
        <f>VLOOKUP($A168,'NonXtal_SegEnds_Prot#'!$A:$AL,35,FALSE)</f>
        <v>847</v>
      </c>
      <c r="AO168" s="5">
        <f>VLOOKUP($A168,'NonXtal_SegEnds_Prot#'!$A:$AL,38,FALSE)</f>
        <v>864</v>
      </c>
      <c r="AP168" s="5">
        <f t="shared" si="63"/>
        <v>37</v>
      </c>
      <c r="AQ168" s="4" t="str">
        <f t="shared" si="64"/>
        <v>-</v>
      </c>
      <c r="AR168" s="4">
        <f t="shared" si="65"/>
        <v>26</v>
      </c>
      <c r="AS168" s="4" t="str">
        <f t="shared" si="66"/>
        <v>-</v>
      </c>
      <c r="AT168" s="4">
        <f t="shared" si="67"/>
        <v>33</v>
      </c>
      <c r="AU168" s="4" t="str">
        <f t="shared" si="68"/>
        <v>-</v>
      </c>
      <c r="AV168" s="4">
        <f t="shared" si="69"/>
        <v>28</v>
      </c>
      <c r="AW168" s="4">
        <f t="shared" si="70"/>
        <v>2</v>
      </c>
      <c r="AX168" s="4">
        <f t="shared" si="71"/>
        <v>33</v>
      </c>
      <c r="AY168" s="4">
        <f t="shared" si="72"/>
        <v>24</v>
      </c>
      <c r="AZ168" s="4">
        <f t="shared" si="73"/>
        <v>25</v>
      </c>
      <c r="BA168" s="4">
        <f t="shared" si="74"/>
        <v>16</v>
      </c>
    </row>
    <row r="169" spans="1:53" x14ac:dyDescent="0.2">
      <c r="A169" s="1" t="str">
        <f>'NonXtal_SegEnds_Prot#'!A142</f>
        <v>agrf1_human</v>
      </c>
      <c r="B169" s="1" t="str">
        <f t="shared" si="50"/>
        <v>MSPFVPSTIFPVVKWITYVGLGISIGSLILCLIIEALFQTSHTRRICMVNIALSLLIADVWFIVGGVCTAAVFFTHFFYLSLFFWMLMLGILLAYRIILLMMAVGFCLGYGCPLIISVITIAVTQPSNGSKPLLAFVVPALAIVAVNFVVVLLVLTKLWRPTTIIRVGKSLLILTPLLGLTWGFGIGNLAWHVIFALLNAFQGFFILCFGILLDSKLRQLLFNKLSALSS</v>
      </c>
      <c r="C169" s="72" t="str">
        <f>IF(ISERROR(MATCH(A169,'Xtal_SegEnds_Prot#'!B:B, 0)), "NoXtal", "Xtal")</f>
        <v>NoXtal</v>
      </c>
      <c r="D169" s="4" t="str">
        <f>VLOOKUP(A169,Classification!A:D,2,FALSE)</f>
        <v>B2</v>
      </c>
      <c r="E169" s="5" t="str">
        <f>VLOOKUP(A169,Seqs!A:B,2,FALSE)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169" s="5" t="str">
        <f t="shared" si="51"/>
        <v>MSPFVPSTIFPVVKWITYVGLGISIGSLILCLIIEALF</v>
      </c>
      <c r="G169" s="4" t="str">
        <f t="shared" si="52"/>
        <v/>
      </c>
      <c r="H169" s="4" t="str">
        <f t="shared" si="53"/>
        <v>QTSHTRRICMVNIALSLLIADVWFIVG</v>
      </c>
      <c r="I169" s="4" t="str">
        <f t="shared" si="54"/>
        <v/>
      </c>
      <c r="J169" s="4" t="str">
        <f t="shared" si="55"/>
        <v>GVCTAAVFFTHFFYLSLFFWMLMLGILLAYRIIL</v>
      </c>
      <c r="K169" s="4" t="str">
        <f t="shared" si="56"/>
        <v/>
      </c>
      <c r="L169" s="4" t="str">
        <f t="shared" si="57"/>
        <v>LMMAVGFCLGYGCPLIISVITIAVTQPSN</v>
      </c>
      <c r="M169" s="4" t="str">
        <f t="shared" si="58"/>
        <v>CWL</v>
      </c>
      <c r="N169" s="4" t="str">
        <f t="shared" si="59"/>
        <v>GSKPLLAFVVPALAIVAVNFVVVLLVLTKLWRPT</v>
      </c>
      <c r="O169" s="4" t="str">
        <f t="shared" si="60"/>
        <v>TIIRVGKSLLILTPLLGLTWGFGIG</v>
      </c>
      <c r="P169" s="4" t="str">
        <f t="shared" si="61"/>
        <v>NLAWHVIFALLNAFQGFFILCFGILL</v>
      </c>
      <c r="Q169" s="4" t="str">
        <f t="shared" si="62"/>
        <v>DSKLRQLLFNKLSALSS</v>
      </c>
      <c r="R169" s="5">
        <f>VLOOKUP($A169,'NonXtal_SegEnds_Prot#'!$A:$AL,3,FALSE)</f>
        <v>573</v>
      </c>
      <c r="S169" s="5" t="str">
        <f>VLOOKUP($A169,'NonXtal_SegEnds_Prot#'!$A:$AL,6,FALSE)</f>
        <v>-</v>
      </c>
      <c r="T169" s="5">
        <f>VLOOKUP($A169,'NonXtal_SegEnds_Prot#'!$A:$AL,9,FALSE)</f>
        <v>618</v>
      </c>
      <c r="U169" s="5" t="str">
        <f>VLOOKUP($A169,'NonXtal_SegEnds_Prot#'!$A:$AL,12,FALSE)</f>
        <v>-</v>
      </c>
      <c r="V169" s="5">
        <f>VLOOKUP($A169,'NonXtal_SegEnds_Prot#'!$A:$AL,15,FALSE)</f>
        <v>655</v>
      </c>
      <c r="W169" s="5" t="str">
        <f>VLOOKUP($A169,'NonXtal_SegEnds_Prot#'!$A:$AL,18,FALSE)</f>
        <v>-</v>
      </c>
      <c r="X169" s="5">
        <f>VLOOKUP($A169,'NonXtal_SegEnds_Prot#'!$A:$AL,21,FALSE)</f>
        <v>697</v>
      </c>
      <c r="Y169" s="5">
        <f>VLOOKUP($A169,'NonXtal_SegEnds_Prot#'!$A:$AL,24,FALSE)</f>
        <v>733</v>
      </c>
      <c r="Z169" s="5">
        <f>VLOOKUP($A169,'NonXtal_SegEnds_Prot#'!$A:$AL,27,FALSE)</f>
        <v>740</v>
      </c>
      <c r="AA169" s="5">
        <f>VLOOKUP($A169,'NonXtal_SegEnds_Prot#'!$A:$AL,30,FALSE)</f>
        <v>785</v>
      </c>
      <c r="AB169" s="5">
        <f>VLOOKUP($A169,'NonXtal_SegEnds_Prot#'!$A:$AL,33,FALSE)</f>
        <v>816</v>
      </c>
      <c r="AC169" s="5">
        <f>VLOOKUP($A169,'NonXtal_SegEnds_Prot#'!$A:$AL,36,FALSE)</f>
        <v>842</v>
      </c>
      <c r="AD169" s="5">
        <f>VLOOKUP($A169,'NonXtal_SegEnds_Prot#'!$A:$AL,5,FALSE)</f>
        <v>610</v>
      </c>
      <c r="AE169" s="5" t="str">
        <f>VLOOKUP($A169,'NonXtal_SegEnds_Prot#'!$A:$AL,8,FALSE)</f>
        <v>-</v>
      </c>
      <c r="AF169" s="5">
        <f>VLOOKUP($A169,'NonXtal_SegEnds_Prot#'!$A:$AL,11,FALSE)</f>
        <v>644</v>
      </c>
      <c r="AG169" s="5" t="str">
        <f>VLOOKUP($A169,'NonXtal_SegEnds_Prot#'!$A:$AL,14,FALSE)</f>
        <v>-</v>
      </c>
      <c r="AH169" s="5">
        <f>VLOOKUP($A169,'NonXtal_SegEnds_Prot#'!$A:$AL,17,FALSE)</f>
        <v>688</v>
      </c>
      <c r="AI169" s="5" t="str">
        <f>VLOOKUP($A169,'NonXtal_SegEnds_Prot#'!$A:$AL,20,FALSE)</f>
        <v>-</v>
      </c>
      <c r="AJ169" s="5">
        <f>VLOOKUP($A169,'NonXtal_SegEnds_Prot#'!$A:$AL,23,FALSE)</f>
        <v>725</v>
      </c>
      <c r="AK169" s="5">
        <f>VLOOKUP($A169,'NonXtal_SegEnds_Prot#'!$A:$AL,26,FALSE)</f>
        <v>735</v>
      </c>
      <c r="AL169" s="5">
        <f>VLOOKUP($A169,'NonXtal_SegEnds_Prot#'!$A:$AL,29,FALSE)</f>
        <v>773</v>
      </c>
      <c r="AM169" s="5">
        <f>VLOOKUP($A169,'NonXtal_SegEnds_Prot#'!$A:$AL,32,FALSE)</f>
        <v>809</v>
      </c>
      <c r="AN169" s="5">
        <f>VLOOKUP($A169,'NonXtal_SegEnds_Prot#'!$A:$AL,35,FALSE)</f>
        <v>841</v>
      </c>
      <c r="AO169" s="5">
        <f>VLOOKUP($A169,'NonXtal_SegEnds_Prot#'!$A:$AL,38,FALSE)</f>
        <v>858</v>
      </c>
      <c r="AP169" s="5">
        <f t="shared" si="63"/>
        <v>37</v>
      </c>
      <c r="AQ169" s="4" t="str">
        <f t="shared" si="64"/>
        <v>-</v>
      </c>
      <c r="AR169" s="4">
        <f t="shared" si="65"/>
        <v>26</v>
      </c>
      <c r="AS169" s="4" t="str">
        <f t="shared" si="66"/>
        <v>-</v>
      </c>
      <c r="AT169" s="4">
        <f t="shared" si="67"/>
        <v>33</v>
      </c>
      <c r="AU169" s="4" t="str">
        <f t="shared" si="68"/>
        <v>-</v>
      </c>
      <c r="AV169" s="4">
        <f t="shared" si="69"/>
        <v>28</v>
      </c>
      <c r="AW169" s="4">
        <f t="shared" si="70"/>
        <v>2</v>
      </c>
      <c r="AX169" s="4">
        <f t="shared" si="71"/>
        <v>33</v>
      </c>
      <c r="AY169" s="4">
        <f t="shared" si="72"/>
        <v>24</v>
      </c>
      <c r="AZ169" s="4">
        <f t="shared" si="73"/>
        <v>25</v>
      </c>
      <c r="BA169" s="4">
        <f t="shared" si="74"/>
        <v>16</v>
      </c>
    </row>
    <row r="170" spans="1:53" x14ac:dyDescent="0.2">
      <c r="A170" s="1" t="str">
        <f>'NonXtal_SegEnds_Prot#'!A143</f>
        <v>agrd1_human</v>
      </c>
      <c r="B170" s="1" t="str">
        <f t="shared" si="50"/>
        <v>VPLELARGHQVALSSISYVGCSLSVLCLVATLVTFAVLTIRNQRYHIHANLSFAVLVAQVLLLISFRLTPCQVMAVLLHYFFLSAFAWMLVEGLHLYSMVIKSKHRYYYGMGWGFPLLICIISLSFAMDSYASGAIWAFVAPALFVIVVNIGILIAVTRVISQISAFKLTAKAVAVLLPILGTSWVFGVLAVVFQYMFATLNSLQGLFIFLFHCLLNSEVRAAFKHKTKVWSL</v>
      </c>
      <c r="C170" s="72" t="str">
        <f>IF(ISERROR(MATCH(A170,'Xtal_SegEnds_Prot#'!B:B, 0)), "NoXtal", "Xtal")</f>
        <v>NoXtal</v>
      </c>
      <c r="D170" s="4" t="str">
        <f>VLOOKUP(A170,Classification!A:D,2,FALSE)</f>
        <v>B2</v>
      </c>
      <c r="E170" s="5" t="str">
        <f>VLOOKUP(A170,Seqs!A:B,2,FALSE)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170" s="5" t="str">
        <f t="shared" si="51"/>
        <v>VPLELARGHQVALSSISYVGCSLSVLCLVATLVTFAVL</v>
      </c>
      <c r="G170" s="4" t="str">
        <f t="shared" si="52"/>
        <v>SSVS</v>
      </c>
      <c r="H170" s="4" t="str">
        <f t="shared" si="53"/>
        <v>TIRNQRYHIHANLSFAVLVAQVLLLISFRL</v>
      </c>
      <c r="I170" s="4" t="str">
        <f t="shared" si="54"/>
        <v/>
      </c>
      <c r="J170" s="4" t="str">
        <f t="shared" si="55"/>
        <v>TPCQVMAVLLHYFFLSAFAWMLVEGLHLYSMVIK</v>
      </c>
      <c r="K170" s="4" t="str">
        <f t="shared" si="56"/>
        <v/>
      </c>
      <c r="L170" s="4" t="str">
        <f t="shared" si="57"/>
        <v>SKHRYYYGMGWGFPLLICIISLSFAMDSY</v>
      </c>
      <c r="M170" s="4" t="str">
        <f t="shared" si="58"/>
        <v>CWL</v>
      </c>
      <c r="N170" s="4" t="str">
        <f t="shared" si="59"/>
        <v>ASGAIWAFVAPALFVIVVNIGILIAVTRVISQIS</v>
      </c>
      <c r="O170" s="4" t="str">
        <f t="shared" si="60"/>
        <v>AFKLTAKAVAVLLPILGTSWVFGVL</v>
      </c>
      <c r="P170" s="4" t="str">
        <f t="shared" si="61"/>
        <v>AVVFQYMFATLNSLQGLFIFLFHCLL</v>
      </c>
      <c r="Q170" s="4" t="str">
        <f t="shared" si="62"/>
        <v>NSEVRAAFKHKTKVWSL</v>
      </c>
      <c r="R170" s="5">
        <f>VLOOKUP($A170,'NonXtal_SegEnds_Prot#'!$A:$AL,3,FALSE)</f>
        <v>554</v>
      </c>
      <c r="S170" s="5">
        <f>VLOOKUP($A170,'NonXtal_SegEnds_Prot#'!$A:$AL,6,FALSE)</f>
        <v>592</v>
      </c>
      <c r="T170" s="5">
        <f>VLOOKUP($A170,'NonXtal_SegEnds_Prot#'!$A:$AL,9,FALSE)</f>
        <v>596</v>
      </c>
      <c r="U170" s="5" t="str">
        <f>VLOOKUP($A170,'NonXtal_SegEnds_Prot#'!$A:$AL,12,FALSE)</f>
        <v>-</v>
      </c>
      <c r="V170" s="5">
        <f>VLOOKUP($A170,'NonXtal_SegEnds_Prot#'!$A:$AL,15,FALSE)</f>
        <v>630</v>
      </c>
      <c r="W170" s="5" t="str">
        <f>VLOOKUP($A170,'NonXtal_SegEnds_Prot#'!$A:$AL,18,FALSE)</f>
        <v>-</v>
      </c>
      <c r="X170" s="5">
        <f>VLOOKUP($A170,'NonXtal_SegEnds_Prot#'!$A:$AL,21,FALSE)</f>
        <v>670</v>
      </c>
      <c r="Y170" s="5">
        <f>VLOOKUP($A170,'NonXtal_SegEnds_Prot#'!$A:$AL,24,FALSE)</f>
        <v>704</v>
      </c>
      <c r="Z170" s="5">
        <f>VLOOKUP($A170,'NonXtal_SegEnds_Prot#'!$A:$AL,27,FALSE)</f>
        <v>709</v>
      </c>
      <c r="AA170" s="5">
        <f>VLOOKUP($A170,'NonXtal_SegEnds_Prot#'!$A:$AL,30,FALSE)</f>
        <v>754</v>
      </c>
      <c r="AB170" s="5">
        <f>VLOOKUP($A170,'NonXtal_SegEnds_Prot#'!$A:$AL,33,FALSE)</f>
        <v>784</v>
      </c>
      <c r="AC170" s="5">
        <f>VLOOKUP($A170,'NonXtal_SegEnds_Prot#'!$A:$AL,36,FALSE)</f>
        <v>810</v>
      </c>
      <c r="AD170" s="5">
        <f>VLOOKUP($A170,'NonXtal_SegEnds_Prot#'!$A:$AL,5,FALSE)</f>
        <v>591</v>
      </c>
      <c r="AE170" s="5">
        <f>VLOOKUP($A170,'NonXtal_SegEnds_Prot#'!$A:$AL,8,FALSE)</f>
        <v>595</v>
      </c>
      <c r="AF170" s="5">
        <f>VLOOKUP($A170,'NonXtal_SegEnds_Prot#'!$A:$AL,11,FALSE)</f>
        <v>625</v>
      </c>
      <c r="AG170" s="5" t="str">
        <f>VLOOKUP($A170,'NonXtal_SegEnds_Prot#'!$A:$AL,14,FALSE)</f>
        <v>-</v>
      </c>
      <c r="AH170" s="5">
        <f>VLOOKUP($A170,'NonXtal_SegEnds_Prot#'!$A:$AL,17,FALSE)</f>
        <v>663</v>
      </c>
      <c r="AI170" s="5" t="str">
        <f>VLOOKUP($A170,'NonXtal_SegEnds_Prot#'!$A:$AL,20,FALSE)</f>
        <v>-</v>
      </c>
      <c r="AJ170" s="5">
        <f>VLOOKUP($A170,'NonXtal_SegEnds_Prot#'!$A:$AL,23,FALSE)</f>
        <v>698</v>
      </c>
      <c r="AK170" s="5">
        <f>VLOOKUP($A170,'NonXtal_SegEnds_Prot#'!$A:$AL,26,FALSE)</f>
        <v>706</v>
      </c>
      <c r="AL170" s="5">
        <f>VLOOKUP($A170,'NonXtal_SegEnds_Prot#'!$A:$AL,29,FALSE)</f>
        <v>742</v>
      </c>
      <c r="AM170" s="5">
        <f>VLOOKUP($A170,'NonXtal_SegEnds_Prot#'!$A:$AL,32,FALSE)</f>
        <v>778</v>
      </c>
      <c r="AN170" s="5">
        <f>VLOOKUP($A170,'NonXtal_SegEnds_Prot#'!$A:$AL,35,FALSE)</f>
        <v>809</v>
      </c>
      <c r="AO170" s="5">
        <f>VLOOKUP($A170,'NonXtal_SegEnds_Prot#'!$A:$AL,38,FALSE)</f>
        <v>826</v>
      </c>
      <c r="AP170" s="5">
        <f t="shared" si="63"/>
        <v>37</v>
      </c>
      <c r="AQ170" s="4">
        <f t="shared" si="64"/>
        <v>3</v>
      </c>
      <c r="AR170" s="4">
        <f t="shared" si="65"/>
        <v>29</v>
      </c>
      <c r="AS170" s="4" t="str">
        <f t="shared" si="66"/>
        <v>-</v>
      </c>
      <c r="AT170" s="4">
        <f t="shared" si="67"/>
        <v>33</v>
      </c>
      <c r="AU170" s="4" t="str">
        <f t="shared" si="68"/>
        <v>-</v>
      </c>
      <c r="AV170" s="4">
        <f t="shared" si="69"/>
        <v>28</v>
      </c>
      <c r="AW170" s="4">
        <f t="shared" si="70"/>
        <v>2</v>
      </c>
      <c r="AX170" s="4">
        <f t="shared" si="71"/>
        <v>33</v>
      </c>
      <c r="AY170" s="4">
        <f t="shared" si="72"/>
        <v>24</v>
      </c>
      <c r="AZ170" s="4">
        <f t="shared" si="73"/>
        <v>25</v>
      </c>
      <c r="BA170" s="4">
        <f t="shared" si="74"/>
        <v>16</v>
      </c>
    </row>
    <row r="171" spans="1:53" x14ac:dyDescent="0.2">
      <c r="A171" s="1" t="str">
        <f>'NonXtal_SegEnds_Prot#'!A144</f>
        <v>agre2_human</v>
      </c>
      <c r="B171" s="1" t="str">
        <f t="shared" si="50"/>
        <v>MAHYDVQEEDPVLTVITYMGLSVSLLCLLLAALTFLLCNTSTSLHLQLSLCLFLAHLLFLVAIDQVLCSIIAGTLHYLYLATLTWMLLEALYLFLTARNFMKKLMFPVGYGVPAVTVAISAASRPHLYEKGFIWGFLGPVCAIFSVNLVLFLVTLWILKNRLNTRMLAFKATAQLFILGCTWCLGILARVMAYLFTIINSLQGVFIFLVYCLLSQQVREQYGKWSKGIRK</v>
      </c>
      <c r="C171" s="72" t="str">
        <f>IF(ISERROR(MATCH(A171,'Xtal_SegEnds_Prot#'!B:B, 0)), "NoXtal", "Xtal")</f>
        <v>NoXtal</v>
      </c>
      <c r="D171" s="4" t="str">
        <f>VLOOKUP(A171,Classification!A:D,2,FALSE)</f>
        <v>B2</v>
      </c>
      <c r="E171" s="5" t="str">
        <f>VLOOKUP(A171,Seqs!A:B,2,FALSE)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171" s="5" t="str">
        <f t="shared" si="51"/>
        <v>MAHYDVQEEDPVLTVITYMGLSVSLLCLLLAALTFLLC</v>
      </c>
      <c r="G171" s="4" t="str">
        <f t="shared" si="52"/>
        <v>KAIQ</v>
      </c>
      <c r="H171" s="4" t="str">
        <f t="shared" si="53"/>
        <v>NTSTSLHLQLSLCLFLAHLLFLVAIDQ</v>
      </c>
      <c r="I171" s="4" t="str">
        <f t="shared" si="54"/>
        <v/>
      </c>
      <c r="J171" s="4" t="str">
        <f t="shared" si="55"/>
        <v>VLCSIIAGTLHYLYLATLTWMLLEALYLFLTARN</v>
      </c>
      <c r="K171" s="4" t="str">
        <f t="shared" si="56"/>
        <v/>
      </c>
      <c r="L171" s="4" t="str">
        <f t="shared" si="57"/>
        <v>FMKKLMFPVGYGVPAVTVAISAASRPHLY</v>
      </c>
      <c r="M171" s="4" t="str">
        <f t="shared" si="58"/>
        <v>CWL</v>
      </c>
      <c r="N171" s="4" t="str">
        <f t="shared" si="59"/>
        <v>EKGFIWGFLGPVCAIFSVNLVLFLVTLWILKNRL</v>
      </c>
      <c r="O171" s="4" t="str">
        <f t="shared" si="60"/>
        <v>NTRMLAFKATAQLFILGCTWCLGIL</v>
      </c>
      <c r="P171" s="4" t="str">
        <f t="shared" si="61"/>
        <v>ARVMAYLFTIINSLQGVFIFLVYCLL</v>
      </c>
      <c r="Q171" s="4" t="str">
        <f t="shared" si="62"/>
        <v>SQQVREQYGKWSKGIRK</v>
      </c>
      <c r="R171" s="5">
        <f>VLOOKUP($A171,'NonXtal_SegEnds_Prot#'!$A:$AL,3,FALSE)</f>
        <v>524</v>
      </c>
      <c r="S171" s="5">
        <f>VLOOKUP($A171,'NonXtal_SegEnds_Prot#'!$A:$AL,6,FALSE)</f>
        <v>562</v>
      </c>
      <c r="T171" s="5">
        <f>VLOOKUP($A171,'NonXtal_SegEnds_Prot#'!$A:$AL,9,FALSE)</f>
        <v>566</v>
      </c>
      <c r="U171" s="5" t="str">
        <f>VLOOKUP($A171,'NonXtal_SegEnds_Prot#'!$A:$AL,12,FALSE)</f>
        <v>-</v>
      </c>
      <c r="V171" s="5">
        <f>VLOOKUP($A171,'NonXtal_SegEnds_Prot#'!$A:$AL,15,FALSE)</f>
        <v>597</v>
      </c>
      <c r="W171" s="5" t="str">
        <f>VLOOKUP($A171,'NonXtal_SegEnds_Prot#'!$A:$AL,18,FALSE)</f>
        <v>-</v>
      </c>
      <c r="X171" s="5">
        <f>VLOOKUP($A171,'NonXtal_SegEnds_Prot#'!$A:$AL,21,FALSE)</f>
        <v>642</v>
      </c>
      <c r="Y171" s="5">
        <f>VLOOKUP($A171,'NonXtal_SegEnds_Prot#'!$A:$AL,24,FALSE)</f>
        <v>676</v>
      </c>
      <c r="Z171" s="5">
        <f>VLOOKUP($A171,'NonXtal_SegEnds_Prot#'!$A:$AL,27,FALSE)</f>
        <v>681</v>
      </c>
      <c r="AA171" s="5">
        <f>VLOOKUP($A171,'NonXtal_SegEnds_Prot#'!$A:$AL,30,FALSE)</f>
        <v>726</v>
      </c>
      <c r="AB171" s="5">
        <f>VLOOKUP($A171,'NonXtal_SegEnds_Prot#'!$A:$AL,33,FALSE)</f>
        <v>756</v>
      </c>
      <c r="AC171" s="5">
        <f>VLOOKUP($A171,'NonXtal_SegEnds_Prot#'!$A:$AL,36,FALSE)</f>
        <v>782</v>
      </c>
      <c r="AD171" s="5">
        <f>VLOOKUP($A171,'NonXtal_SegEnds_Prot#'!$A:$AL,5,FALSE)</f>
        <v>561</v>
      </c>
      <c r="AE171" s="5">
        <f>VLOOKUP($A171,'NonXtal_SegEnds_Prot#'!$A:$AL,8,FALSE)</f>
        <v>565</v>
      </c>
      <c r="AF171" s="5">
        <f>VLOOKUP($A171,'NonXtal_SegEnds_Prot#'!$A:$AL,11,FALSE)</f>
        <v>592</v>
      </c>
      <c r="AG171" s="5" t="str">
        <f>VLOOKUP($A171,'NonXtal_SegEnds_Prot#'!$A:$AL,14,FALSE)</f>
        <v>-</v>
      </c>
      <c r="AH171" s="5">
        <f>VLOOKUP($A171,'NonXtal_SegEnds_Prot#'!$A:$AL,17,FALSE)</f>
        <v>630</v>
      </c>
      <c r="AI171" s="5" t="str">
        <f>VLOOKUP($A171,'NonXtal_SegEnds_Prot#'!$A:$AL,20,FALSE)</f>
        <v>-</v>
      </c>
      <c r="AJ171" s="5">
        <f>VLOOKUP($A171,'NonXtal_SegEnds_Prot#'!$A:$AL,23,FALSE)</f>
        <v>670</v>
      </c>
      <c r="AK171" s="5">
        <f>VLOOKUP($A171,'NonXtal_SegEnds_Prot#'!$A:$AL,26,FALSE)</f>
        <v>678</v>
      </c>
      <c r="AL171" s="5">
        <f>VLOOKUP($A171,'NonXtal_SegEnds_Prot#'!$A:$AL,29,FALSE)</f>
        <v>714</v>
      </c>
      <c r="AM171" s="5">
        <f>VLOOKUP($A171,'NonXtal_SegEnds_Prot#'!$A:$AL,32,FALSE)</f>
        <v>750</v>
      </c>
      <c r="AN171" s="5">
        <f>VLOOKUP($A171,'NonXtal_SegEnds_Prot#'!$A:$AL,35,FALSE)</f>
        <v>781</v>
      </c>
      <c r="AO171" s="5">
        <f>VLOOKUP($A171,'NonXtal_SegEnds_Prot#'!$A:$AL,38,FALSE)</f>
        <v>798</v>
      </c>
      <c r="AP171" s="5">
        <f t="shared" si="63"/>
        <v>37</v>
      </c>
      <c r="AQ171" s="4">
        <f t="shared" si="64"/>
        <v>3</v>
      </c>
      <c r="AR171" s="4">
        <f t="shared" si="65"/>
        <v>26</v>
      </c>
      <c r="AS171" s="4" t="str">
        <f t="shared" si="66"/>
        <v>-</v>
      </c>
      <c r="AT171" s="4">
        <f t="shared" si="67"/>
        <v>33</v>
      </c>
      <c r="AU171" s="4" t="str">
        <f t="shared" si="68"/>
        <v>-</v>
      </c>
      <c r="AV171" s="4">
        <f t="shared" si="69"/>
        <v>28</v>
      </c>
      <c r="AW171" s="4">
        <f t="shared" si="70"/>
        <v>2</v>
      </c>
      <c r="AX171" s="4">
        <f t="shared" si="71"/>
        <v>33</v>
      </c>
      <c r="AY171" s="4">
        <f t="shared" si="72"/>
        <v>24</v>
      </c>
      <c r="AZ171" s="4">
        <f t="shared" si="73"/>
        <v>25</v>
      </c>
      <c r="BA171" s="4">
        <f t="shared" si="74"/>
        <v>16</v>
      </c>
    </row>
    <row r="172" spans="1:53" x14ac:dyDescent="0.2">
      <c r="A172" s="1" t="str">
        <f>'NonXtal_SegEnds_Prot#'!A145</f>
        <v>agrg7_human</v>
      </c>
      <c r="B172" s="1" t="str">
        <f t="shared" si="50"/>
        <v>MTFKKDYQYPKSLDILSNVGCALSVTGLALTVIFQIVTTSVTWVLVNLCISMLIFNLLFVFGIENSNINIPNPMCTAIAALLHYFLLVTFTWNALSAAQLYYLLIRHFILFISLIGWGVPAIVVAITVGVIYSQNKSPLLWSFIVPVTIILISNVVMFITISIKVLWKNSSMKKIVSTLSVAVVFGITWILAYLSIRIVFSYIFCLFNTTQGLQIFILYTVRTKVFQSEASKVLMLLSS</v>
      </c>
      <c r="C172" s="72" t="str">
        <f>IF(ISERROR(MATCH(A172,'Xtal_SegEnds_Prot#'!B:B, 0)), "NoXtal", "Xtal")</f>
        <v>NoXtal</v>
      </c>
      <c r="D172" s="4" t="str">
        <f>VLOOKUP(A172,Classification!A:D,2,FALSE)</f>
        <v>B2</v>
      </c>
      <c r="E172" s="5" t="str">
        <f>VLOOKUP(A172,Seqs!A:B,2,FALSE)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172" s="5" t="str">
        <f t="shared" si="51"/>
        <v>MTFKKDYQYPKSLDILSNVGCALSVTGLALTVIFQIVT</v>
      </c>
      <c r="G172" s="4" t="str">
        <f t="shared" si="52"/>
        <v/>
      </c>
      <c r="H172" s="4" t="str">
        <f t="shared" si="53"/>
        <v>TSVTWVLVNLCISMLIFNLLFVFGIENSN</v>
      </c>
      <c r="I172" s="4" t="str">
        <f t="shared" si="54"/>
        <v/>
      </c>
      <c r="J172" s="4" t="str">
        <f t="shared" si="55"/>
        <v>INIPNPMCTAIAALLHYFLLVTFTWNALSAAQLYYLLIR</v>
      </c>
      <c r="K172" s="4" t="str">
        <f t="shared" si="56"/>
        <v/>
      </c>
      <c r="L172" s="4" t="str">
        <f t="shared" si="57"/>
        <v>HFILFISLIGWGVPAIVVAITVGVIYSQN</v>
      </c>
      <c r="M172" s="4" t="str">
        <f t="shared" si="58"/>
        <v>CWL</v>
      </c>
      <c r="N172" s="4" t="str">
        <f t="shared" si="59"/>
        <v>KSPLLWSFIVPVTIILISNVVMFITISIKVLWKN</v>
      </c>
      <c r="O172" s="4" t="str">
        <f t="shared" si="60"/>
        <v>SSMKKIVSTLSVAVVFGITWILAYL</v>
      </c>
      <c r="P172" s="4" t="str">
        <f t="shared" si="61"/>
        <v>SIRIVFSYIFCLFNTTQGLQIFILYTVR</v>
      </c>
      <c r="Q172" s="4" t="str">
        <f t="shared" si="62"/>
        <v>TKVFQSEASKVLMLLSS</v>
      </c>
      <c r="R172" s="5">
        <f>VLOOKUP($A172,'NonXtal_SegEnds_Prot#'!$A:$AL,3,FALSE)</f>
        <v>422</v>
      </c>
      <c r="S172" s="5" t="str">
        <f>VLOOKUP($A172,'NonXtal_SegEnds_Prot#'!$A:$AL,6,FALSE)</f>
        <v>-</v>
      </c>
      <c r="T172" s="5">
        <f>VLOOKUP($A172,'NonXtal_SegEnds_Prot#'!$A:$AL,9,FALSE)</f>
        <v>465</v>
      </c>
      <c r="U172" s="5" t="str">
        <f>VLOOKUP($A172,'NonXtal_SegEnds_Prot#'!$A:$AL,12,FALSE)</f>
        <v>-</v>
      </c>
      <c r="V172" s="5">
        <f>VLOOKUP($A172,'NonXtal_SegEnds_Prot#'!$A:$AL,15,FALSE)</f>
        <v>519</v>
      </c>
      <c r="W172" s="5" t="str">
        <f>VLOOKUP($A172,'NonXtal_SegEnds_Prot#'!$A:$AL,18,FALSE)</f>
        <v>-</v>
      </c>
      <c r="X172" s="5">
        <f>VLOOKUP($A172,'NonXtal_SegEnds_Prot#'!$A:$AL,21,FALSE)</f>
        <v>565</v>
      </c>
      <c r="Y172" s="5">
        <f>VLOOKUP($A172,'NonXtal_SegEnds_Prot#'!$A:$AL,24,FALSE)</f>
        <v>609</v>
      </c>
      <c r="Z172" s="5">
        <f>VLOOKUP($A172,'NonXtal_SegEnds_Prot#'!$A:$AL,27,FALSE)</f>
        <v>621</v>
      </c>
      <c r="AA172" s="5">
        <f>VLOOKUP($A172,'NonXtal_SegEnds_Prot#'!$A:$AL,30,FALSE)</f>
        <v>665</v>
      </c>
      <c r="AB172" s="5">
        <f>VLOOKUP($A172,'NonXtal_SegEnds_Prot#'!$A:$AL,33,FALSE)</f>
        <v>696</v>
      </c>
      <c r="AC172" s="5">
        <f>VLOOKUP($A172,'NonXtal_SegEnds_Prot#'!$A:$AL,36,FALSE)</f>
        <v>724</v>
      </c>
      <c r="AD172" s="5">
        <f>VLOOKUP($A172,'NonXtal_SegEnds_Prot#'!$A:$AL,5,FALSE)</f>
        <v>459</v>
      </c>
      <c r="AE172" s="5" t="str">
        <f>VLOOKUP($A172,'NonXtal_SegEnds_Prot#'!$A:$AL,8,FALSE)</f>
        <v>-</v>
      </c>
      <c r="AF172" s="5">
        <f>VLOOKUP($A172,'NonXtal_SegEnds_Prot#'!$A:$AL,11,FALSE)</f>
        <v>493</v>
      </c>
      <c r="AG172" s="5" t="str">
        <f>VLOOKUP($A172,'NonXtal_SegEnds_Prot#'!$A:$AL,14,FALSE)</f>
        <v>-</v>
      </c>
      <c r="AH172" s="5">
        <f>VLOOKUP($A172,'NonXtal_SegEnds_Prot#'!$A:$AL,17,FALSE)</f>
        <v>557</v>
      </c>
      <c r="AI172" s="5" t="str">
        <f>VLOOKUP($A172,'NonXtal_SegEnds_Prot#'!$A:$AL,20,FALSE)</f>
        <v>-</v>
      </c>
      <c r="AJ172" s="5">
        <f>VLOOKUP($A172,'NonXtal_SegEnds_Prot#'!$A:$AL,23,FALSE)</f>
        <v>593</v>
      </c>
      <c r="AK172" s="5">
        <f>VLOOKUP($A172,'NonXtal_SegEnds_Prot#'!$A:$AL,26,FALSE)</f>
        <v>611</v>
      </c>
      <c r="AL172" s="5">
        <f>VLOOKUP($A172,'NonXtal_SegEnds_Prot#'!$A:$AL,29,FALSE)</f>
        <v>654</v>
      </c>
      <c r="AM172" s="5">
        <f>VLOOKUP($A172,'NonXtal_SegEnds_Prot#'!$A:$AL,32,FALSE)</f>
        <v>689</v>
      </c>
      <c r="AN172" s="5">
        <f>VLOOKUP($A172,'NonXtal_SegEnds_Prot#'!$A:$AL,35,FALSE)</f>
        <v>723</v>
      </c>
      <c r="AO172" s="5">
        <f>VLOOKUP($A172,'NonXtal_SegEnds_Prot#'!$A:$AL,38,FALSE)</f>
        <v>740</v>
      </c>
      <c r="AP172" s="5">
        <f t="shared" si="63"/>
        <v>37</v>
      </c>
      <c r="AQ172" s="4" t="str">
        <f t="shared" si="64"/>
        <v>-</v>
      </c>
      <c r="AR172" s="4">
        <f t="shared" si="65"/>
        <v>28</v>
      </c>
      <c r="AS172" s="4" t="str">
        <f t="shared" si="66"/>
        <v>-</v>
      </c>
      <c r="AT172" s="4">
        <f t="shared" si="67"/>
        <v>38</v>
      </c>
      <c r="AU172" s="4" t="str">
        <f t="shared" si="68"/>
        <v>-</v>
      </c>
      <c r="AV172" s="4">
        <f t="shared" si="69"/>
        <v>28</v>
      </c>
      <c r="AW172" s="4">
        <f t="shared" si="70"/>
        <v>2</v>
      </c>
      <c r="AX172" s="4">
        <f t="shared" si="71"/>
        <v>33</v>
      </c>
      <c r="AY172" s="4">
        <f t="shared" si="72"/>
        <v>24</v>
      </c>
      <c r="AZ172" s="4">
        <f t="shared" si="73"/>
        <v>27</v>
      </c>
      <c r="BA172" s="4">
        <f t="shared" si="74"/>
        <v>16</v>
      </c>
    </row>
    <row r="173" spans="1:53" x14ac:dyDescent="0.2">
      <c r="A173" s="1" t="str">
        <f>'NonXtal_SegEnds_Prot#'!A147</f>
        <v>agrg1_human</v>
      </c>
      <c r="B173" s="1" t="str">
        <f t="shared" si="50"/>
        <v>SSVEVDAVHKHYLSLLSYVGCVVSALACLVTIAAYLCSCRRKPRDYTIKVHMNLLLAVFLLDTSFLLSEPVAGCRASAIFLHFSLLTCLSWMGLEGYNLYRLVVEGYLLKLSAMGWGFPIFLVTLVALVDVDNYSLVSYITNLGLFSLVFLFNMAMLATMVVQILRLRQKWSHVLTLLGLSLVLGLPWALIFFFQLVVLYLFSIITSFQGFLIFIWYWSMRLQARGGPSPLKSNSDS</v>
      </c>
      <c r="C173" s="72" t="str">
        <f>IF(ISERROR(MATCH(A173,'Xtal_SegEnds_Prot#'!B:B, 0)), "NoXtal", "Xtal")</f>
        <v>NoXtal</v>
      </c>
      <c r="D173" s="4" t="str">
        <f>VLOOKUP(A173,Classification!A:D,2,FALSE)</f>
        <v>B2</v>
      </c>
      <c r="E173" s="5" t="str">
        <f>VLOOKUP(A173,Seqs!A:B,2,FALSE)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173" s="5" t="str">
        <f t="shared" si="51"/>
        <v>SSVEVDAVHKHYLSLLSYVGCVVSALACLVTIAAYLCS</v>
      </c>
      <c r="G173" s="4" t="str">
        <f t="shared" si="52"/>
        <v>VPLP</v>
      </c>
      <c r="H173" s="4" t="str">
        <f t="shared" si="53"/>
        <v>CRRKPRDYTIKVHMNLLLAVFLLDTSFLLSEPV</v>
      </c>
      <c r="I173" s="4" t="str">
        <f t="shared" si="54"/>
        <v/>
      </c>
      <c r="J173" s="4" t="str">
        <f t="shared" si="55"/>
        <v>AGCRASAIFLHFSLLTCLSWMGLEGYNLYRLVVE</v>
      </c>
      <c r="K173" s="4" t="str">
        <f t="shared" si="56"/>
        <v/>
      </c>
      <c r="L173" s="4" t="str">
        <f t="shared" si="57"/>
        <v>GYLLKLSAMGWGFPIFLVTLVALVDVDNY</v>
      </c>
      <c r="M173" s="4" t="str">
        <f t="shared" si="58"/>
        <v>CWI</v>
      </c>
      <c r="N173" s="4" t="str">
        <f t="shared" si="59"/>
        <v>SLVSYITNLGLFSLVFLFNMAMLATMVVQILRLR</v>
      </c>
      <c r="O173" s="4" t="str">
        <f t="shared" si="60"/>
        <v>QKWSHVLTLLGLSLVLGLPWALIFF</v>
      </c>
      <c r="P173" s="4" t="str">
        <f t="shared" si="61"/>
        <v>FQLVVLYLFSIITSFQGFLIFIWYWSM</v>
      </c>
      <c r="Q173" s="4" t="str">
        <f t="shared" si="62"/>
        <v>RLQARGGPSPLKSNSDS</v>
      </c>
      <c r="R173" s="5">
        <f>VLOOKUP($A173,'NonXtal_SegEnds_Prot#'!$A:$AL,3,FALSE)</f>
        <v>391</v>
      </c>
      <c r="S173" s="5">
        <f>VLOOKUP($A173,'NonXtal_SegEnds_Prot#'!$A:$AL,6,FALSE)</f>
        <v>430</v>
      </c>
      <c r="T173" s="5">
        <f>VLOOKUP($A173,'NonXtal_SegEnds_Prot#'!$A:$AL,9,FALSE)</f>
        <v>434</v>
      </c>
      <c r="U173" s="5" t="str">
        <f>VLOOKUP($A173,'NonXtal_SegEnds_Prot#'!$A:$AL,12,FALSE)</f>
        <v>-</v>
      </c>
      <c r="V173" s="5">
        <f>VLOOKUP($A173,'NonXtal_SegEnds_Prot#'!$A:$AL,15,FALSE)</f>
        <v>473</v>
      </c>
      <c r="W173" s="5" t="str">
        <f>VLOOKUP($A173,'NonXtal_SegEnds_Prot#'!$A:$AL,18,FALSE)</f>
        <v>-</v>
      </c>
      <c r="X173" s="5">
        <f>VLOOKUP($A173,'NonXtal_SegEnds_Prot#'!$A:$AL,21,FALSE)</f>
        <v>514</v>
      </c>
      <c r="Y173" s="5">
        <f>VLOOKUP($A173,'NonXtal_SegEnds_Prot#'!$A:$AL,24,FALSE)</f>
        <v>562</v>
      </c>
      <c r="Z173" s="5">
        <f>VLOOKUP($A173,'NonXtal_SegEnds_Prot#'!$A:$AL,27,FALSE)</f>
        <v>567</v>
      </c>
      <c r="AA173" s="5">
        <f>VLOOKUP($A173,'NonXtal_SegEnds_Prot#'!$A:$AL,30,FALSE)</f>
        <v>604</v>
      </c>
      <c r="AB173" s="5">
        <f>VLOOKUP($A173,'NonXtal_SegEnds_Prot#'!$A:$AL,33,FALSE)</f>
        <v>635</v>
      </c>
      <c r="AC173" s="5">
        <f>VLOOKUP($A173,'NonXtal_SegEnds_Prot#'!$A:$AL,36,FALSE)</f>
        <v>662</v>
      </c>
      <c r="AD173" s="5">
        <f>VLOOKUP($A173,'NonXtal_SegEnds_Prot#'!$A:$AL,5,FALSE)</f>
        <v>428</v>
      </c>
      <c r="AE173" s="5">
        <f>VLOOKUP($A173,'NonXtal_SegEnds_Prot#'!$A:$AL,8,FALSE)</f>
        <v>433</v>
      </c>
      <c r="AF173" s="5">
        <f>VLOOKUP($A173,'NonXtal_SegEnds_Prot#'!$A:$AL,11,FALSE)</f>
        <v>466</v>
      </c>
      <c r="AG173" s="5" t="str">
        <f>VLOOKUP($A173,'NonXtal_SegEnds_Prot#'!$A:$AL,14,FALSE)</f>
        <v>-</v>
      </c>
      <c r="AH173" s="5">
        <f>VLOOKUP($A173,'NonXtal_SegEnds_Prot#'!$A:$AL,17,FALSE)</f>
        <v>506</v>
      </c>
      <c r="AI173" s="5" t="str">
        <f>VLOOKUP($A173,'NonXtal_SegEnds_Prot#'!$A:$AL,20,FALSE)</f>
        <v>-</v>
      </c>
      <c r="AJ173" s="5">
        <f>VLOOKUP($A173,'NonXtal_SegEnds_Prot#'!$A:$AL,23,FALSE)</f>
        <v>542</v>
      </c>
      <c r="AK173" s="5">
        <f>VLOOKUP($A173,'NonXtal_SegEnds_Prot#'!$A:$AL,26,FALSE)</f>
        <v>564</v>
      </c>
      <c r="AL173" s="5">
        <f>VLOOKUP($A173,'NonXtal_SegEnds_Prot#'!$A:$AL,29,FALSE)</f>
        <v>600</v>
      </c>
      <c r="AM173" s="5">
        <f>VLOOKUP($A173,'NonXtal_SegEnds_Prot#'!$A:$AL,32,FALSE)</f>
        <v>628</v>
      </c>
      <c r="AN173" s="5">
        <f>VLOOKUP($A173,'NonXtal_SegEnds_Prot#'!$A:$AL,35,FALSE)</f>
        <v>661</v>
      </c>
      <c r="AO173" s="5">
        <f>VLOOKUP($A173,'NonXtal_SegEnds_Prot#'!$A:$AL,38,FALSE)</f>
        <v>678</v>
      </c>
      <c r="AP173" s="5">
        <f t="shared" si="63"/>
        <v>37</v>
      </c>
      <c r="AQ173" s="4">
        <f t="shared" si="64"/>
        <v>3</v>
      </c>
      <c r="AR173" s="4">
        <f t="shared" si="65"/>
        <v>32</v>
      </c>
      <c r="AS173" s="4" t="str">
        <f t="shared" si="66"/>
        <v>-</v>
      </c>
      <c r="AT173" s="4">
        <f t="shared" si="67"/>
        <v>33</v>
      </c>
      <c r="AU173" s="4" t="str">
        <f t="shared" si="68"/>
        <v>-</v>
      </c>
      <c r="AV173" s="4">
        <f t="shared" si="69"/>
        <v>28</v>
      </c>
      <c r="AW173" s="4">
        <f t="shared" si="70"/>
        <v>2</v>
      </c>
      <c r="AX173" s="4">
        <f t="shared" si="71"/>
        <v>33</v>
      </c>
      <c r="AY173" s="4">
        <f t="shared" si="72"/>
        <v>24</v>
      </c>
      <c r="AZ173" s="4">
        <f t="shared" si="73"/>
        <v>26</v>
      </c>
      <c r="BA173" s="4">
        <f t="shared" si="74"/>
        <v>16</v>
      </c>
    </row>
    <row r="174" spans="1:53" x14ac:dyDescent="0.2">
      <c r="A174" s="1" t="str">
        <f>'NonXtal_SegEnds_Prot#'!A148</f>
        <v>agrl4_human</v>
      </c>
      <c r="B174" s="1" t="str">
        <f t="shared" si="50"/>
        <v>SGPSIGIKDYNILTRITQLGIIISLICLAICIFTFWFFSTRTTIHKNLCCSLFLAELVFLVGINTLFCSIIAGLLHYFFLAAFAWMCIEGIHLYLIVVGFLHKNFYIFGYLSPAVVVGFSAALGYRYYENNFIWSFIGPACLIILVNLLAFGVIIYKVFRHTNIRSCARGALALLFLLGTTWIFGVLSVVTAYLFTVSNAFQGMFIFLFLCVLSRKIQEEYYRLFKNVPC</v>
      </c>
      <c r="C174" s="72" t="str">
        <f>IF(ISERROR(MATCH(A174,'Xtal_SegEnds_Prot#'!B:B, 0)), "NoXtal", "Xtal")</f>
        <v>NoXtal</v>
      </c>
      <c r="D174" s="4" t="str">
        <f>VLOOKUP(A174,Classification!A:D,2,FALSE)</f>
        <v>B2</v>
      </c>
      <c r="E174" s="5" t="str">
        <f>VLOOKUP(A174,Seqs!A:B,2,FALSE)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174" s="5" t="str">
        <f t="shared" si="51"/>
        <v>SGPSIGIKDYNILTRITQLGIIISLICLAICIFTFWFF</v>
      </c>
      <c r="G174" s="4" t="str">
        <f t="shared" si="52"/>
        <v/>
      </c>
      <c r="H174" s="4" t="str">
        <f t="shared" si="53"/>
        <v>STRTTIHKNLCCSLFLAELVFLVGINT</v>
      </c>
      <c r="I174" s="4" t="str">
        <f t="shared" si="54"/>
        <v/>
      </c>
      <c r="J174" s="4" t="str">
        <f t="shared" si="55"/>
        <v>LFCSIIAGLLHYFFLAAFAWMCIEGIHLYLIVVG</v>
      </c>
      <c r="K174" s="4" t="str">
        <f t="shared" si="56"/>
        <v/>
      </c>
      <c r="L174" s="4" t="str">
        <f t="shared" si="57"/>
        <v>FLHKNFYIFGYLSPAVVVGFSAALGYRYY</v>
      </c>
      <c r="M174" s="4" t="str">
        <f t="shared" si="58"/>
        <v>CWL</v>
      </c>
      <c r="N174" s="4" t="str">
        <f t="shared" si="59"/>
        <v>ENNFIWSFIGPACLIILVNLLAFGVIIYKVFRHT</v>
      </c>
      <c r="O174" s="4" t="str">
        <f t="shared" si="60"/>
        <v>NIRSCARGALALLFLLGTTWIFGVL</v>
      </c>
      <c r="P174" s="4" t="str">
        <f t="shared" si="61"/>
        <v>SVVTAYLFTVSNAFQGMFIFLFLCVL</v>
      </c>
      <c r="Q174" s="4" t="str">
        <f t="shared" si="62"/>
        <v>SRKIQEEYYRLFKNVPC</v>
      </c>
      <c r="R174" s="5">
        <f>VLOOKUP($A174,'NonXtal_SegEnds_Prot#'!$A:$AL,3,FALSE)</f>
        <v>415</v>
      </c>
      <c r="S174" s="5" t="str">
        <f>VLOOKUP($A174,'NonXtal_SegEnds_Prot#'!$A:$AL,6,FALSE)</f>
        <v>-</v>
      </c>
      <c r="T174" s="5">
        <f>VLOOKUP($A174,'NonXtal_SegEnds_Prot#'!$A:$AL,9,FALSE)</f>
        <v>457</v>
      </c>
      <c r="U174" s="5" t="str">
        <f>VLOOKUP($A174,'NonXtal_SegEnds_Prot#'!$A:$AL,12,FALSE)</f>
        <v>-</v>
      </c>
      <c r="V174" s="5">
        <f>VLOOKUP($A174,'NonXtal_SegEnds_Prot#'!$A:$AL,15,FALSE)</f>
        <v>488</v>
      </c>
      <c r="W174" s="5" t="str">
        <f>VLOOKUP($A174,'NonXtal_SegEnds_Prot#'!$A:$AL,18,FALSE)</f>
        <v>-</v>
      </c>
      <c r="X174" s="5">
        <f>VLOOKUP($A174,'NonXtal_SegEnds_Prot#'!$A:$AL,21,FALSE)</f>
        <v>528</v>
      </c>
      <c r="Y174" s="5">
        <f>VLOOKUP($A174,'NonXtal_SegEnds_Prot#'!$A:$AL,24,FALSE)</f>
        <v>562</v>
      </c>
      <c r="Z174" s="5">
        <f>VLOOKUP($A174,'NonXtal_SegEnds_Prot#'!$A:$AL,27,FALSE)</f>
        <v>567</v>
      </c>
      <c r="AA174" s="5">
        <f>VLOOKUP($A174,'NonXtal_SegEnds_Prot#'!$A:$AL,30,FALSE)</f>
        <v>612</v>
      </c>
      <c r="AB174" s="5">
        <f>VLOOKUP($A174,'NonXtal_SegEnds_Prot#'!$A:$AL,33,FALSE)</f>
        <v>642</v>
      </c>
      <c r="AC174" s="5">
        <f>VLOOKUP($A174,'NonXtal_SegEnds_Prot#'!$A:$AL,36,FALSE)</f>
        <v>668</v>
      </c>
      <c r="AD174" s="5">
        <f>VLOOKUP($A174,'NonXtal_SegEnds_Prot#'!$A:$AL,5,FALSE)</f>
        <v>452</v>
      </c>
      <c r="AE174" s="5" t="str">
        <f>VLOOKUP($A174,'NonXtal_SegEnds_Prot#'!$A:$AL,8,FALSE)</f>
        <v>-</v>
      </c>
      <c r="AF174" s="5">
        <f>VLOOKUP($A174,'NonXtal_SegEnds_Prot#'!$A:$AL,11,FALSE)</f>
        <v>483</v>
      </c>
      <c r="AG174" s="5" t="str">
        <f>VLOOKUP($A174,'NonXtal_SegEnds_Prot#'!$A:$AL,14,FALSE)</f>
        <v>-</v>
      </c>
      <c r="AH174" s="5">
        <f>VLOOKUP($A174,'NonXtal_SegEnds_Prot#'!$A:$AL,17,FALSE)</f>
        <v>521</v>
      </c>
      <c r="AI174" s="5" t="str">
        <f>VLOOKUP($A174,'NonXtal_SegEnds_Prot#'!$A:$AL,20,FALSE)</f>
        <v>-</v>
      </c>
      <c r="AJ174" s="5">
        <f>VLOOKUP($A174,'NonXtal_SegEnds_Prot#'!$A:$AL,23,FALSE)</f>
        <v>556</v>
      </c>
      <c r="AK174" s="5">
        <f>VLOOKUP($A174,'NonXtal_SegEnds_Prot#'!$A:$AL,26,FALSE)</f>
        <v>564</v>
      </c>
      <c r="AL174" s="5">
        <f>VLOOKUP($A174,'NonXtal_SegEnds_Prot#'!$A:$AL,29,FALSE)</f>
        <v>600</v>
      </c>
      <c r="AM174" s="5">
        <f>VLOOKUP($A174,'NonXtal_SegEnds_Prot#'!$A:$AL,32,FALSE)</f>
        <v>636</v>
      </c>
      <c r="AN174" s="5">
        <f>VLOOKUP($A174,'NonXtal_SegEnds_Prot#'!$A:$AL,35,FALSE)</f>
        <v>667</v>
      </c>
      <c r="AO174" s="5">
        <f>VLOOKUP($A174,'NonXtal_SegEnds_Prot#'!$A:$AL,38,FALSE)</f>
        <v>684</v>
      </c>
      <c r="AP174" s="5">
        <f t="shared" si="63"/>
        <v>37</v>
      </c>
      <c r="AQ174" s="4" t="str">
        <f t="shared" si="64"/>
        <v>-</v>
      </c>
      <c r="AR174" s="4">
        <f t="shared" si="65"/>
        <v>26</v>
      </c>
      <c r="AS174" s="4" t="str">
        <f t="shared" si="66"/>
        <v>-</v>
      </c>
      <c r="AT174" s="4">
        <f t="shared" si="67"/>
        <v>33</v>
      </c>
      <c r="AU174" s="4" t="str">
        <f t="shared" si="68"/>
        <v>-</v>
      </c>
      <c r="AV174" s="4">
        <f t="shared" si="69"/>
        <v>28</v>
      </c>
      <c r="AW174" s="4">
        <f t="shared" si="70"/>
        <v>2</v>
      </c>
      <c r="AX174" s="4">
        <f t="shared" si="71"/>
        <v>33</v>
      </c>
      <c r="AY174" s="4">
        <f t="shared" si="72"/>
        <v>24</v>
      </c>
      <c r="AZ174" s="4">
        <f t="shared" si="73"/>
        <v>25</v>
      </c>
      <c r="BA174" s="4">
        <f t="shared" si="74"/>
        <v>16</v>
      </c>
    </row>
    <row r="175" spans="1:53" x14ac:dyDescent="0.2">
      <c r="A175" s="1" t="str">
        <f>'NonXtal_SegEnds_Prot#'!A149</f>
        <v>agrf4_human</v>
      </c>
      <c r="B175" s="1" t="str">
        <f t="shared" si="50"/>
        <v>ILMSSKSMTDKVLDYITCIGLSVSILSLVLCLIIEATVEISYMRHVCIVNIAVSLLTANVWFIIGNMCVAVTFFSHFFYLSLFFWMLFKALLIIYGILVRMMVIGFAIGYGCPLIIAVTTVAITEPEKNTKALLAFAIPAFVIVAVNLIVVLVVAVNTQRPSIIMRISKNVAILTPLLGLTWGFGIASLTFHIIFALLNAFQGFFILLFGTIMDHKIRDALRMRMSSLKG</v>
      </c>
      <c r="C175" s="72" t="str">
        <f>IF(ISERROR(MATCH(A175,'Xtal_SegEnds_Prot#'!B:B, 0)), "NoXtal", "Xtal")</f>
        <v>NoXtal</v>
      </c>
      <c r="D175" s="4" t="str">
        <f>VLOOKUP(A175,Classification!A:D,2,FALSE)</f>
        <v>B2</v>
      </c>
      <c r="E175" s="5" t="str">
        <f>VLOOKUP(A175,Seqs!A:B,2,FALSE)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175" s="5" t="str">
        <f t="shared" si="51"/>
        <v>ILMSSKSMTDKVLDYITCIGLSVSILSLVLCLIIEATV</v>
      </c>
      <c r="G175" s="4" t="str">
        <f t="shared" si="52"/>
        <v/>
      </c>
      <c r="H175" s="4" t="str">
        <f t="shared" si="53"/>
        <v>EISYMRHVCIVNIAVSLLTANVWFIIG</v>
      </c>
      <c r="I175" s="4" t="str">
        <f t="shared" si="54"/>
        <v/>
      </c>
      <c r="J175" s="4" t="str">
        <f t="shared" si="55"/>
        <v>NMCVAVTFFSHFFYLSLFFWMLFKALLIIYGILV</v>
      </c>
      <c r="K175" s="4" t="str">
        <f t="shared" si="56"/>
        <v/>
      </c>
      <c r="L175" s="4" t="str">
        <f t="shared" si="57"/>
        <v>RMMVIGFAIGYGCPLIIAVTTVAITEPEK</v>
      </c>
      <c r="M175" s="4" t="str">
        <f t="shared" si="58"/>
        <v>CWL</v>
      </c>
      <c r="N175" s="4" t="str">
        <f t="shared" si="59"/>
        <v>NTKALLAFAIPAFVIVAVNLIVVLVVAVNTQRPS</v>
      </c>
      <c r="O175" s="4" t="str">
        <f t="shared" si="60"/>
        <v>IIMRISKNVAILTPLLGLTWGFGIA</v>
      </c>
      <c r="P175" s="4" t="str">
        <f t="shared" si="61"/>
        <v>SLTFHIIFALLNAFQGFFILLFGTIM</v>
      </c>
      <c r="Q175" s="4" t="str">
        <f t="shared" si="62"/>
        <v>DHKIRDALRMRMSSLKG</v>
      </c>
      <c r="R175" s="5">
        <f>VLOOKUP($A175,'NonXtal_SegEnds_Prot#'!$A:$AL,3,FALSE)</f>
        <v>389</v>
      </c>
      <c r="S175" s="5" t="str">
        <f>VLOOKUP($A175,'NonXtal_SegEnds_Prot#'!$A:$AL,6,FALSE)</f>
        <v>-</v>
      </c>
      <c r="T175" s="5">
        <f>VLOOKUP($A175,'NonXtal_SegEnds_Prot#'!$A:$AL,9,FALSE)</f>
        <v>434</v>
      </c>
      <c r="U175" s="5" t="str">
        <f>VLOOKUP($A175,'NonXtal_SegEnds_Prot#'!$A:$AL,12,FALSE)</f>
        <v>-</v>
      </c>
      <c r="V175" s="5">
        <f>VLOOKUP($A175,'NonXtal_SegEnds_Prot#'!$A:$AL,15,FALSE)</f>
        <v>471</v>
      </c>
      <c r="W175" s="5" t="str">
        <f>VLOOKUP($A175,'NonXtal_SegEnds_Prot#'!$A:$AL,18,FALSE)</f>
        <v>-</v>
      </c>
      <c r="X175" s="5">
        <f>VLOOKUP($A175,'NonXtal_SegEnds_Prot#'!$A:$AL,21,FALSE)</f>
        <v>513</v>
      </c>
      <c r="Y175" s="5">
        <f>VLOOKUP($A175,'NonXtal_SegEnds_Prot#'!$A:$AL,24,FALSE)</f>
        <v>549</v>
      </c>
      <c r="Z175" s="5">
        <f>VLOOKUP($A175,'NonXtal_SegEnds_Prot#'!$A:$AL,27,FALSE)</f>
        <v>555</v>
      </c>
      <c r="AA175" s="5">
        <f>VLOOKUP($A175,'NonXtal_SegEnds_Prot#'!$A:$AL,30,FALSE)</f>
        <v>599</v>
      </c>
      <c r="AB175" s="5">
        <f>VLOOKUP($A175,'NonXtal_SegEnds_Prot#'!$A:$AL,33,FALSE)</f>
        <v>630</v>
      </c>
      <c r="AC175" s="5">
        <f>VLOOKUP($A175,'NonXtal_SegEnds_Prot#'!$A:$AL,36,FALSE)</f>
        <v>656</v>
      </c>
      <c r="AD175" s="5">
        <f>VLOOKUP($A175,'NonXtal_SegEnds_Prot#'!$A:$AL,5,FALSE)</f>
        <v>426</v>
      </c>
      <c r="AE175" s="5" t="str">
        <f>VLOOKUP($A175,'NonXtal_SegEnds_Prot#'!$A:$AL,8,FALSE)</f>
        <v>-</v>
      </c>
      <c r="AF175" s="5">
        <f>VLOOKUP($A175,'NonXtal_SegEnds_Prot#'!$A:$AL,11,FALSE)</f>
        <v>460</v>
      </c>
      <c r="AG175" s="5" t="str">
        <f>VLOOKUP($A175,'NonXtal_SegEnds_Prot#'!$A:$AL,14,FALSE)</f>
        <v>-</v>
      </c>
      <c r="AH175" s="5">
        <f>VLOOKUP($A175,'NonXtal_SegEnds_Prot#'!$A:$AL,17,FALSE)</f>
        <v>504</v>
      </c>
      <c r="AI175" s="5" t="str">
        <f>VLOOKUP($A175,'NonXtal_SegEnds_Prot#'!$A:$AL,20,FALSE)</f>
        <v>-</v>
      </c>
      <c r="AJ175" s="5">
        <f>VLOOKUP($A175,'NonXtal_SegEnds_Prot#'!$A:$AL,23,FALSE)</f>
        <v>541</v>
      </c>
      <c r="AK175" s="5">
        <f>VLOOKUP($A175,'NonXtal_SegEnds_Prot#'!$A:$AL,26,FALSE)</f>
        <v>551</v>
      </c>
      <c r="AL175" s="5">
        <f>VLOOKUP($A175,'NonXtal_SegEnds_Prot#'!$A:$AL,29,FALSE)</f>
        <v>588</v>
      </c>
      <c r="AM175" s="5">
        <f>VLOOKUP($A175,'NonXtal_SegEnds_Prot#'!$A:$AL,32,FALSE)</f>
        <v>623</v>
      </c>
      <c r="AN175" s="5">
        <f>VLOOKUP($A175,'NonXtal_SegEnds_Prot#'!$A:$AL,35,FALSE)</f>
        <v>655</v>
      </c>
      <c r="AO175" s="5">
        <f>VLOOKUP($A175,'NonXtal_SegEnds_Prot#'!$A:$AL,38,FALSE)</f>
        <v>672</v>
      </c>
      <c r="AP175" s="5">
        <f t="shared" si="63"/>
        <v>37</v>
      </c>
      <c r="AQ175" s="4" t="str">
        <f t="shared" si="64"/>
        <v>-</v>
      </c>
      <c r="AR175" s="4">
        <f t="shared" si="65"/>
        <v>26</v>
      </c>
      <c r="AS175" s="4" t="str">
        <f t="shared" si="66"/>
        <v>-</v>
      </c>
      <c r="AT175" s="4">
        <f t="shared" si="67"/>
        <v>33</v>
      </c>
      <c r="AU175" s="4" t="str">
        <f t="shared" si="68"/>
        <v>-</v>
      </c>
      <c r="AV175" s="4">
        <f t="shared" si="69"/>
        <v>28</v>
      </c>
      <c r="AW175" s="4">
        <f t="shared" si="70"/>
        <v>2</v>
      </c>
      <c r="AX175" s="4">
        <f t="shared" si="71"/>
        <v>33</v>
      </c>
      <c r="AY175" s="4">
        <f t="shared" si="72"/>
        <v>24</v>
      </c>
      <c r="AZ175" s="4">
        <f t="shared" si="73"/>
        <v>25</v>
      </c>
      <c r="BA175" s="4">
        <f t="shared" si="74"/>
        <v>16</v>
      </c>
    </row>
    <row r="176" spans="1:53" x14ac:dyDescent="0.2">
      <c r="A176" s="1" t="str">
        <f>'NonXtal_SegEnds_Prot#'!A150</f>
        <v>agre3_human</v>
      </c>
      <c r="B176" s="1" t="str">
        <f t="shared" si="50"/>
        <v>LMALTSQEEDPVLTVITYVGLSVSLLCLLLAALTFLLCNTSTSLHLQLSLCLFLAHLLFLVGIDRVLCSIIAGALHYLYLAAFTWMLLEGVHLFLTARNLMKWIMFPVGYGVPAVTVAISAASWPHLYDQGFMWSFLGPVCAIFSANLVLFILVFWILKRKLNTRMLAFKATAQLFILGCTWCLGLLAQVMAYLFTIINSLQGFFIFLVYCLLSQQVQKQYQKWFREIVK</v>
      </c>
      <c r="C176" s="72" t="str">
        <f>IF(ISERROR(MATCH(A176,'Xtal_SegEnds_Prot#'!B:B, 0)), "NoXtal", "Xtal")</f>
        <v>NoXtal</v>
      </c>
      <c r="D176" s="4" t="str">
        <f>VLOOKUP(A176,Classification!A:D,2,FALSE)</f>
        <v>B2</v>
      </c>
      <c r="E176" s="5" t="str">
        <f>VLOOKUP(A176,Seqs!A:B,2,FALSE)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176" s="5" t="str">
        <f t="shared" si="51"/>
        <v>LMALTSQEEDPVLTVITYVGLSVSLLCLLLAALTFLLC</v>
      </c>
      <c r="G176" s="4" t="str">
        <f t="shared" si="52"/>
        <v>KAIR</v>
      </c>
      <c r="H176" s="4" t="str">
        <f t="shared" si="53"/>
        <v>NTSTSLHLQLSLCLFLAHLLFLVGIDR</v>
      </c>
      <c r="I176" s="4" t="str">
        <f t="shared" si="54"/>
        <v/>
      </c>
      <c r="J176" s="4" t="str">
        <f t="shared" si="55"/>
        <v>VLCSIIAGALHYLYLAAFTWMLLEGVHLFLTARN</v>
      </c>
      <c r="K176" s="4" t="str">
        <f t="shared" si="56"/>
        <v/>
      </c>
      <c r="L176" s="4" t="str">
        <f t="shared" si="57"/>
        <v>LMKWIMFPVGYGVPAVTVAISAASWPHLY</v>
      </c>
      <c r="M176" s="4" t="str">
        <f t="shared" si="58"/>
        <v>CWL</v>
      </c>
      <c r="N176" s="4" t="str">
        <f t="shared" si="59"/>
        <v>DQGFMWSFLGPVCAIFSANLVLFILVFWILKRKL</v>
      </c>
      <c r="O176" s="4" t="str">
        <f t="shared" si="60"/>
        <v>NTRMLAFKATAQLFILGCTWCLGLL</v>
      </c>
      <c r="P176" s="4" t="str">
        <f t="shared" si="61"/>
        <v>AQVMAYLFTIINSLQGFFIFLVYCLL</v>
      </c>
      <c r="Q176" s="4" t="str">
        <f t="shared" si="62"/>
        <v>SQQVQKQYQKWFREIVK</v>
      </c>
      <c r="R176" s="5">
        <f>VLOOKUP($A176,'NonXtal_SegEnds_Prot#'!$A:$AL,3,FALSE)</f>
        <v>344</v>
      </c>
      <c r="S176" s="5">
        <f>VLOOKUP($A176,'NonXtal_SegEnds_Prot#'!$A:$AL,6,FALSE)</f>
        <v>382</v>
      </c>
      <c r="T176" s="5">
        <f>VLOOKUP($A176,'NonXtal_SegEnds_Prot#'!$A:$AL,9,FALSE)</f>
        <v>386</v>
      </c>
      <c r="U176" s="5" t="str">
        <f>VLOOKUP($A176,'NonXtal_SegEnds_Prot#'!$A:$AL,12,FALSE)</f>
        <v>-</v>
      </c>
      <c r="V176" s="5">
        <f>VLOOKUP($A176,'NonXtal_SegEnds_Prot#'!$A:$AL,15,FALSE)</f>
        <v>417</v>
      </c>
      <c r="W176" s="5" t="str">
        <f>VLOOKUP($A176,'NonXtal_SegEnds_Prot#'!$A:$AL,18,FALSE)</f>
        <v>-</v>
      </c>
      <c r="X176" s="5">
        <f>VLOOKUP($A176,'NonXtal_SegEnds_Prot#'!$A:$AL,21,FALSE)</f>
        <v>462</v>
      </c>
      <c r="Y176" s="5">
        <f>VLOOKUP($A176,'NonXtal_SegEnds_Prot#'!$A:$AL,24,FALSE)</f>
        <v>496</v>
      </c>
      <c r="Z176" s="5">
        <f>VLOOKUP($A176,'NonXtal_SegEnds_Prot#'!$A:$AL,27,FALSE)</f>
        <v>501</v>
      </c>
      <c r="AA176" s="5">
        <f>VLOOKUP($A176,'NonXtal_SegEnds_Prot#'!$A:$AL,30,FALSE)</f>
        <v>546</v>
      </c>
      <c r="AB176" s="5">
        <f>VLOOKUP($A176,'NonXtal_SegEnds_Prot#'!$A:$AL,33,FALSE)</f>
        <v>576</v>
      </c>
      <c r="AC176" s="5">
        <f>VLOOKUP($A176,'NonXtal_SegEnds_Prot#'!$A:$AL,36,FALSE)</f>
        <v>602</v>
      </c>
      <c r="AD176" s="5">
        <f>VLOOKUP($A176,'NonXtal_SegEnds_Prot#'!$A:$AL,5,FALSE)</f>
        <v>381</v>
      </c>
      <c r="AE176" s="5">
        <f>VLOOKUP($A176,'NonXtal_SegEnds_Prot#'!$A:$AL,8,FALSE)</f>
        <v>385</v>
      </c>
      <c r="AF176" s="5">
        <f>VLOOKUP($A176,'NonXtal_SegEnds_Prot#'!$A:$AL,11,FALSE)</f>
        <v>412</v>
      </c>
      <c r="AG176" s="5" t="str">
        <f>VLOOKUP($A176,'NonXtal_SegEnds_Prot#'!$A:$AL,14,FALSE)</f>
        <v>-</v>
      </c>
      <c r="AH176" s="5">
        <f>VLOOKUP($A176,'NonXtal_SegEnds_Prot#'!$A:$AL,17,FALSE)</f>
        <v>450</v>
      </c>
      <c r="AI176" s="5" t="str">
        <f>VLOOKUP($A176,'NonXtal_SegEnds_Prot#'!$A:$AL,20,FALSE)</f>
        <v>-</v>
      </c>
      <c r="AJ176" s="5">
        <f>VLOOKUP($A176,'NonXtal_SegEnds_Prot#'!$A:$AL,23,FALSE)</f>
        <v>490</v>
      </c>
      <c r="AK176" s="5">
        <f>VLOOKUP($A176,'NonXtal_SegEnds_Prot#'!$A:$AL,26,FALSE)</f>
        <v>498</v>
      </c>
      <c r="AL176" s="5">
        <f>VLOOKUP($A176,'NonXtal_SegEnds_Prot#'!$A:$AL,29,FALSE)</f>
        <v>534</v>
      </c>
      <c r="AM176" s="5">
        <f>VLOOKUP($A176,'NonXtal_SegEnds_Prot#'!$A:$AL,32,FALSE)</f>
        <v>570</v>
      </c>
      <c r="AN176" s="5">
        <f>VLOOKUP($A176,'NonXtal_SegEnds_Prot#'!$A:$AL,35,FALSE)</f>
        <v>601</v>
      </c>
      <c r="AO176" s="5">
        <f>VLOOKUP($A176,'NonXtal_SegEnds_Prot#'!$A:$AL,38,FALSE)</f>
        <v>618</v>
      </c>
      <c r="AP176" s="5">
        <f t="shared" si="63"/>
        <v>37</v>
      </c>
      <c r="AQ176" s="4">
        <f t="shared" si="64"/>
        <v>3</v>
      </c>
      <c r="AR176" s="4">
        <f t="shared" si="65"/>
        <v>26</v>
      </c>
      <c r="AS176" s="4" t="str">
        <f t="shared" si="66"/>
        <v>-</v>
      </c>
      <c r="AT176" s="4">
        <f t="shared" si="67"/>
        <v>33</v>
      </c>
      <c r="AU176" s="4" t="str">
        <f t="shared" si="68"/>
        <v>-</v>
      </c>
      <c r="AV176" s="4">
        <f t="shared" si="69"/>
        <v>28</v>
      </c>
      <c r="AW176" s="4">
        <f t="shared" si="70"/>
        <v>2</v>
      </c>
      <c r="AX176" s="4">
        <f t="shared" si="71"/>
        <v>33</v>
      </c>
      <c r="AY176" s="4">
        <f t="shared" si="72"/>
        <v>24</v>
      </c>
      <c r="AZ176" s="4">
        <f t="shared" si="73"/>
        <v>25</v>
      </c>
      <c r="BA176" s="4">
        <f t="shared" si="74"/>
        <v>16</v>
      </c>
    </row>
    <row r="177" spans="1:53" x14ac:dyDescent="0.2">
      <c r="A177" s="1" t="str">
        <f>'NonXtal_SegEnds_Prot#'!A151</f>
        <v>agrg3_human</v>
      </c>
      <c r="B177" s="1" t="str">
        <f t="shared" si="50"/>
        <v>LRPTLDQSTVHILTRISQAGCGVSMIFLAFTIILYAFLEDAPKIHVALGGSLFLLNLAFLVNVGSAACWARGAVFHYFLLCAFTWMGLEAFHLYLLAVRHYFLKLSLVGWGLPALMVIGTGSANSYGLEGTTMYALYITVHGYFLITFLFGMVVLALVVWKIKNRKKVLTLLGLSSLVGVTWGLGLSTVYIFALFNSLQGVFICCWFTILYLPSQSTTVSSSTARLD</v>
      </c>
      <c r="C177" s="72" t="str">
        <f>IF(ISERROR(MATCH(A177,'Xtal_SegEnds_Prot#'!B:B, 0)), "NoXtal", "Xtal")</f>
        <v>NoXtal</v>
      </c>
      <c r="D177" s="4" t="str">
        <f>VLOOKUP(A177,Classification!A:D,2,FALSE)</f>
        <v>B2</v>
      </c>
      <c r="E177" s="5" t="str">
        <f>VLOOKUP(A177,Seqs!A:B,2,FALSE)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177" s="5" t="str">
        <f t="shared" si="51"/>
        <v>LRPTLDQSTVHILTRISQAGCGVSMIFLAFTIILYAFL</v>
      </c>
      <c r="G177" s="4" t="str">
        <f t="shared" si="52"/>
        <v/>
      </c>
      <c r="H177" s="4" t="str">
        <f t="shared" si="53"/>
        <v>EDAPKIHVALGGSLFLLNLAFLVNVGS</v>
      </c>
      <c r="I177" s="4" t="str">
        <f t="shared" si="54"/>
        <v/>
      </c>
      <c r="J177" s="4" t="str">
        <f t="shared" si="55"/>
        <v>AACWARGAVFHYFLLCAFTWMGLEAFHLYLLAVR</v>
      </c>
      <c r="K177" s="4" t="str">
        <f t="shared" si="56"/>
        <v/>
      </c>
      <c r="L177" s="4" t="str">
        <f t="shared" si="57"/>
        <v>HYFLKLSLVGWGLPALMVIGTGSANSYGL</v>
      </c>
      <c r="M177" s="4" t="str">
        <f t="shared" si="58"/>
        <v>CWF</v>
      </c>
      <c r="N177" s="4" t="str">
        <f t="shared" si="59"/>
        <v>EGTTMYALYITVHGYFLITFLFGMVVLALVVWKI</v>
      </c>
      <c r="O177" s="4" t="str">
        <f t="shared" si="60"/>
        <v>KNRKKVLTLLGLSSLVGVTWGL</v>
      </c>
      <c r="P177" s="4" t="str">
        <f t="shared" si="61"/>
        <v>GLSTVYIFALFNSLQGVFICCWFTIL</v>
      </c>
      <c r="Q177" s="4" t="str">
        <f t="shared" si="62"/>
        <v>YLPSQSTTVSSSTARLD</v>
      </c>
      <c r="R177" s="5">
        <f>VLOOKUP($A177,'NonXtal_SegEnds_Prot#'!$A:$AL,3,FALSE)</f>
        <v>256</v>
      </c>
      <c r="S177" s="5" t="str">
        <f>VLOOKUP($A177,'NonXtal_SegEnds_Prot#'!$A:$AL,6,FALSE)</f>
        <v>-</v>
      </c>
      <c r="T177" s="5">
        <f>VLOOKUP($A177,'NonXtal_SegEnds_Prot#'!$A:$AL,9,FALSE)</f>
        <v>303</v>
      </c>
      <c r="U177" s="5" t="str">
        <f>VLOOKUP($A177,'NonXtal_SegEnds_Prot#'!$A:$AL,12,FALSE)</f>
        <v>-</v>
      </c>
      <c r="V177" s="5">
        <f>VLOOKUP($A177,'NonXtal_SegEnds_Prot#'!$A:$AL,15,FALSE)</f>
        <v>336</v>
      </c>
      <c r="W177" s="5" t="str">
        <f>VLOOKUP($A177,'NonXtal_SegEnds_Prot#'!$A:$AL,18,FALSE)</f>
        <v>-</v>
      </c>
      <c r="X177" s="5">
        <f>VLOOKUP($A177,'NonXtal_SegEnds_Prot#'!$A:$AL,21,FALSE)</f>
        <v>377</v>
      </c>
      <c r="Y177" s="5">
        <f>VLOOKUP($A177,'NonXtal_SegEnds_Prot#'!$A:$AL,24,FALSE)</f>
        <v>420</v>
      </c>
      <c r="Z177" s="5">
        <f>VLOOKUP($A177,'NonXtal_SegEnds_Prot#'!$A:$AL,27,FALSE)</f>
        <v>424</v>
      </c>
      <c r="AA177" s="5">
        <f>VLOOKUP($A177,'NonXtal_SegEnds_Prot#'!$A:$AL,30,FALSE)</f>
        <v>471</v>
      </c>
      <c r="AB177" s="5">
        <f>VLOOKUP($A177,'NonXtal_SegEnds_Prot#'!$A:$AL,33,FALSE)</f>
        <v>499</v>
      </c>
      <c r="AC177" s="5">
        <f>VLOOKUP($A177,'NonXtal_SegEnds_Prot#'!$A:$AL,36,FALSE)</f>
        <v>525</v>
      </c>
      <c r="AD177" s="5">
        <f>VLOOKUP($A177,'NonXtal_SegEnds_Prot#'!$A:$AL,5,FALSE)</f>
        <v>293</v>
      </c>
      <c r="AE177" s="5" t="str">
        <f>VLOOKUP($A177,'NonXtal_SegEnds_Prot#'!$A:$AL,8,FALSE)</f>
        <v>-</v>
      </c>
      <c r="AF177" s="5">
        <f>VLOOKUP($A177,'NonXtal_SegEnds_Prot#'!$A:$AL,11,FALSE)</f>
        <v>329</v>
      </c>
      <c r="AG177" s="5" t="str">
        <f>VLOOKUP($A177,'NonXtal_SegEnds_Prot#'!$A:$AL,14,FALSE)</f>
        <v>-</v>
      </c>
      <c r="AH177" s="5">
        <f>VLOOKUP($A177,'NonXtal_SegEnds_Prot#'!$A:$AL,17,FALSE)</f>
        <v>369</v>
      </c>
      <c r="AI177" s="5" t="str">
        <f>VLOOKUP($A177,'NonXtal_SegEnds_Prot#'!$A:$AL,20,FALSE)</f>
        <v>-</v>
      </c>
      <c r="AJ177" s="5">
        <f>VLOOKUP($A177,'NonXtal_SegEnds_Prot#'!$A:$AL,23,FALSE)</f>
        <v>405</v>
      </c>
      <c r="AK177" s="5">
        <f>VLOOKUP($A177,'NonXtal_SegEnds_Prot#'!$A:$AL,26,FALSE)</f>
        <v>422</v>
      </c>
      <c r="AL177" s="5">
        <f>VLOOKUP($A177,'NonXtal_SegEnds_Prot#'!$A:$AL,29,FALSE)</f>
        <v>457</v>
      </c>
      <c r="AM177" s="5">
        <f>VLOOKUP($A177,'NonXtal_SegEnds_Prot#'!$A:$AL,32,FALSE)</f>
        <v>492</v>
      </c>
      <c r="AN177" s="5">
        <f>VLOOKUP($A177,'NonXtal_SegEnds_Prot#'!$A:$AL,35,FALSE)</f>
        <v>524</v>
      </c>
      <c r="AO177" s="5">
        <f>VLOOKUP($A177,'NonXtal_SegEnds_Prot#'!$A:$AL,38,FALSE)</f>
        <v>541</v>
      </c>
      <c r="AP177" s="5">
        <f t="shared" si="63"/>
        <v>37</v>
      </c>
      <c r="AQ177" s="4" t="str">
        <f t="shared" si="64"/>
        <v>-</v>
      </c>
      <c r="AR177" s="4">
        <f t="shared" si="65"/>
        <v>26</v>
      </c>
      <c r="AS177" s="4" t="str">
        <f t="shared" si="66"/>
        <v>-</v>
      </c>
      <c r="AT177" s="4">
        <f t="shared" si="67"/>
        <v>33</v>
      </c>
      <c r="AU177" s="4" t="str">
        <f t="shared" si="68"/>
        <v>-</v>
      </c>
      <c r="AV177" s="4">
        <f t="shared" si="69"/>
        <v>28</v>
      </c>
      <c r="AW177" s="4">
        <f t="shared" si="70"/>
        <v>2</v>
      </c>
      <c r="AX177" s="4">
        <f t="shared" si="71"/>
        <v>33</v>
      </c>
      <c r="AY177" s="4">
        <f t="shared" si="72"/>
        <v>21</v>
      </c>
      <c r="AZ177" s="4">
        <f t="shared" si="73"/>
        <v>25</v>
      </c>
      <c r="BA177" s="4">
        <f t="shared" si="74"/>
        <v>16</v>
      </c>
    </row>
    <row r="178" spans="1:53" x14ac:dyDescent="0.2">
      <c r="A178" s="1" t="str">
        <f>'NonXtal_SegEnds_Prot#'!A152</f>
        <v>agrg5_human</v>
      </c>
      <c r="B178" s="1" t="str">
        <f t="shared" si="50"/>
        <v>SPALVPAELLAPLTYISLVGCSISIVASLITVLLHFHFDSLTRIHMNLHASVLLLNIAFLLSPAFSACTALAAALHYALLSCLTWMAIEGFNLYLLLGRRYVFKLGVLGWGAPALLVLLSLSVKSSVYPVVHSVLVMGYGGLTSLFNLVVLAWALWTLRRLRRACHDTVTVLGLTVLLGTTWALAFFLLPQLFLFTILNSLYGFFLFLWFCSQRCRSEAEAKAQIEAFSS</v>
      </c>
      <c r="C178" s="72" t="str">
        <f>IF(ISERROR(MATCH(A178,'Xtal_SegEnds_Prot#'!B:B, 0)), "NoXtal", "Xtal")</f>
        <v>NoXtal</v>
      </c>
      <c r="D178" s="4" t="str">
        <f>VLOOKUP(A178,Classification!A:D,2,FALSE)</f>
        <v>B2</v>
      </c>
      <c r="E178" s="5" t="str">
        <f>VLOOKUP(A178,Seqs!A:B,2,FALSE)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178" s="5" t="str">
        <f t="shared" si="51"/>
        <v>SPALVPAELLAPLTYISLVGCSISIVASLITVLLHFHF</v>
      </c>
      <c r="G178" s="4" t="str">
        <f t="shared" si="52"/>
        <v/>
      </c>
      <c r="H178" s="4" t="str">
        <f t="shared" si="53"/>
        <v>DSLTRIHMNLHASVLLLNIAFLLSPAF</v>
      </c>
      <c r="I178" s="4" t="str">
        <f t="shared" si="54"/>
        <v/>
      </c>
      <c r="J178" s="4" t="str">
        <f t="shared" si="55"/>
        <v>SACTALAAALHYALLSCLTWMAIEGFNLYLLLGR</v>
      </c>
      <c r="K178" s="4" t="str">
        <f t="shared" si="56"/>
        <v/>
      </c>
      <c r="L178" s="4" t="str">
        <f t="shared" si="57"/>
        <v>RYVFKLGVLGWGAPALLVLLSLSVKSSVY</v>
      </c>
      <c r="M178" s="4" t="str">
        <f t="shared" si="58"/>
        <v>CWV</v>
      </c>
      <c r="N178" s="4" t="str">
        <f t="shared" si="59"/>
        <v>PVVHSVLVMGYGGLTSLFNLVVLAWALWTLRRLR</v>
      </c>
      <c r="O178" s="4" t="str">
        <f t="shared" si="60"/>
        <v>RACHDTVTVLGLTVLLGTTWALAFF</v>
      </c>
      <c r="P178" s="4" t="str">
        <f t="shared" si="61"/>
        <v>LLPQLFLFTILNSLYGFFLFLWFCSQ</v>
      </c>
      <c r="Q178" s="4" t="str">
        <f t="shared" si="62"/>
        <v>RCRSEAEAKAQIEAFSS</v>
      </c>
      <c r="R178" s="5">
        <f>VLOOKUP($A178,'NonXtal_SegEnds_Prot#'!$A:$AL,3,FALSE)</f>
        <v>236</v>
      </c>
      <c r="S178" s="5" t="str">
        <f>VLOOKUP($A178,'NonXtal_SegEnds_Prot#'!$A:$AL,6,FALSE)</f>
        <v>-</v>
      </c>
      <c r="T178" s="5">
        <f>VLOOKUP($A178,'NonXtal_SegEnds_Prot#'!$A:$AL,9,FALSE)</f>
        <v>278</v>
      </c>
      <c r="U178" s="5" t="str">
        <f>VLOOKUP($A178,'NonXtal_SegEnds_Prot#'!$A:$AL,12,FALSE)</f>
        <v>-</v>
      </c>
      <c r="V178" s="5">
        <f>VLOOKUP($A178,'NonXtal_SegEnds_Prot#'!$A:$AL,15,FALSE)</f>
        <v>312</v>
      </c>
      <c r="W178" s="5" t="str">
        <f>VLOOKUP($A178,'NonXtal_SegEnds_Prot#'!$A:$AL,18,FALSE)</f>
        <v>-</v>
      </c>
      <c r="X178" s="5">
        <f>VLOOKUP($A178,'NonXtal_SegEnds_Prot#'!$A:$AL,21,FALSE)</f>
        <v>353</v>
      </c>
      <c r="Y178" s="5">
        <f>VLOOKUP($A178,'NonXtal_SegEnds_Prot#'!$A:$AL,24,FALSE)</f>
        <v>404</v>
      </c>
      <c r="Z178" s="5">
        <f>VLOOKUP($A178,'NonXtal_SegEnds_Prot#'!$A:$AL,27,FALSE)</f>
        <v>409</v>
      </c>
      <c r="AA178" s="5">
        <f>VLOOKUP($A178,'NonXtal_SegEnds_Prot#'!$A:$AL,30,FALSE)</f>
        <v>451</v>
      </c>
      <c r="AB178" s="5">
        <f>VLOOKUP($A178,'NonXtal_SegEnds_Prot#'!$A:$AL,33,FALSE)</f>
        <v>481</v>
      </c>
      <c r="AC178" s="5">
        <f>VLOOKUP($A178,'NonXtal_SegEnds_Prot#'!$A:$AL,36,FALSE)</f>
        <v>507</v>
      </c>
      <c r="AD178" s="5">
        <f>VLOOKUP($A178,'NonXtal_SegEnds_Prot#'!$A:$AL,5,FALSE)</f>
        <v>273</v>
      </c>
      <c r="AE178" s="5" t="str">
        <f>VLOOKUP($A178,'NonXtal_SegEnds_Prot#'!$A:$AL,8,FALSE)</f>
        <v>-</v>
      </c>
      <c r="AF178" s="5">
        <f>VLOOKUP($A178,'NonXtal_SegEnds_Prot#'!$A:$AL,11,FALSE)</f>
        <v>304</v>
      </c>
      <c r="AG178" s="5" t="str">
        <f>VLOOKUP($A178,'NonXtal_SegEnds_Prot#'!$A:$AL,14,FALSE)</f>
        <v>-</v>
      </c>
      <c r="AH178" s="5">
        <f>VLOOKUP($A178,'NonXtal_SegEnds_Prot#'!$A:$AL,17,FALSE)</f>
        <v>345</v>
      </c>
      <c r="AI178" s="5" t="str">
        <f>VLOOKUP($A178,'NonXtal_SegEnds_Prot#'!$A:$AL,20,FALSE)</f>
        <v>-</v>
      </c>
      <c r="AJ178" s="5">
        <f>VLOOKUP($A178,'NonXtal_SegEnds_Prot#'!$A:$AL,23,FALSE)</f>
        <v>381</v>
      </c>
      <c r="AK178" s="5">
        <f>VLOOKUP($A178,'NonXtal_SegEnds_Prot#'!$A:$AL,26,FALSE)</f>
        <v>406</v>
      </c>
      <c r="AL178" s="5">
        <f>VLOOKUP($A178,'NonXtal_SegEnds_Prot#'!$A:$AL,29,FALSE)</f>
        <v>442</v>
      </c>
      <c r="AM178" s="5">
        <f>VLOOKUP($A178,'NonXtal_SegEnds_Prot#'!$A:$AL,32,FALSE)</f>
        <v>475</v>
      </c>
      <c r="AN178" s="5">
        <f>VLOOKUP($A178,'NonXtal_SegEnds_Prot#'!$A:$AL,35,FALSE)</f>
        <v>506</v>
      </c>
      <c r="AO178" s="5">
        <f>VLOOKUP($A178,'NonXtal_SegEnds_Prot#'!$A:$AL,38,FALSE)</f>
        <v>523</v>
      </c>
      <c r="AP178" s="5">
        <f t="shared" si="63"/>
        <v>37</v>
      </c>
      <c r="AQ178" s="4" t="str">
        <f t="shared" si="64"/>
        <v>-</v>
      </c>
      <c r="AR178" s="4">
        <f t="shared" si="65"/>
        <v>26</v>
      </c>
      <c r="AS178" s="4" t="str">
        <f t="shared" si="66"/>
        <v>-</v>
      </c>
      <c r="AT178" s="4">
        <f t="shared" si="67"/>
        <v>33</v>
      </c>
      <c r="AU178" s="4" t="str">
        <f t="shared" si="68"/>
        <v>-</v>
      </c>
      <c r="AV178" s="4">
        <f t="shared" si="69"/>
        <v>28</v>
      </c>
      <c r="AW178" s="4">
        <f t="shared" si="70"/>
        <v>2</v>
      </c>
      <c r="AX178" s="4">
        <f t="shared" si="71"/>
        <v>33</v>
      </c>
      <c r="AY178" s="4">
        <f t="shared" si="72"/>
        <v>24</v>
      </c>
      <c r="AZ178" s="4">
        <f t="shared" si="73"/>
        <v>25</v>
      </c>
      <c r="BA178" s="4">
        <f t="shared" si="74"/>
        <v>16</v>
      </c>
    </row>
    <row r="179" spans="1:53" x14ac:dyDescent="0.2">
      <c r="A179" s="1" t="str">
        <f>'NonXtal_SegEnds_Prot#'!A153</f>
        <v>agre4_human</v>
      </c>
      <c r="B179" s="1" t="str">
        <f t="shared" si="50"/>
        <v>VLVALAPKEDPVLTVITQVGLTISLLCLFLAILTFLLCNTSTSLHLELSLCLFLAHLLFLTGINRVLCSIIAGLLHFLYLACFTWMLLEGLHLFLTVRNFKKRFMYPVGYGIPAVIIAVSAIVGPQNYDKGFIWSFMGPVAVIILINLVFYFQVLWILRSKLDTRVMTFKAISQLFILGCSWGLGFFGKTIGSIIAYSFTIINTLQGVLLFVVHCLLNRQVRLIILSVISLVPK</v>
      </c>
      <c r="C179" s="72" t="str">
        <f>IF(ISERROR(MATCH(A179,'Xtal_SegEnds_Prot#'!B:B, 0)), "NoXtal", "Xtal")</f>
        <v>NoXtal</v>
      </c>
      <c r="D179" s="4" t="str">
        <f>VLOOKUP(A179,Classification!A:D,2,FALSE)</f>
        <v>B2</v>
      </c>
      <c r="E179" s="5" t="str">
        <f>VLOOKUP(A179,Seqs!A:B,2,FALSE)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179" s="5" t="str">
        <f t="shared" si="51"/>
        <v>VLVALAPKEDPVLTVITQVGLTISLLCLFLAILTFLLC</v>
      </c>
      <c r="G179" s="4" t="str">
        <f t="shared" si="52"/>
        <v>RPIQ</v>
      </c>
      <c r="H179" s="4" t="str">
        <f t="shared" si="53"/>
        <v>NTSTSLHLELSLCLFLAHLLFLTGINR</v>
      </c>
      <c r="I179" s="4" t="str">
        <f t="shared" si="54"/>
        <v/>
      </c>
      <c r="J179" s="4" t="str">
        <f t="shared" si="55"/>
        <v>VLCSIIAGLLHFLYLACFTWMLLEGLHLFLTVRN</v>
      </c>
      <c r="K179" s="4" t="str">
        <f t="shared" si="56"/>
        <v/>
      </c>
      <c r="L179" s="4" t="str">
        <f t="shared" si="57"/>
        <v>FKKRFMYPVGYGIPAVIIAVSAIVGPQNY</v>
      </c>
      <c r="M179" s="4" t="str">
        <f t="shared" si="58"/>
        <v>CWL</v>
      </c>
      <c r="N179" s="4" t="str">
        <f t="shared" si="59"/>
        <v>DKGFIWSFMGPVAVIILINLVFYFQVLWILRSKL</v>
      </c>
      <c r="O179" s="4" t="str">
        <f t="shared" si="60"/>
        <v>DTRVMTFKAISQLFILGCSWGLGFF</v>
      </c>
      <c r="P179" s="4" t="str">
        <f t="shared" si="61"/>
        <v>GKTIGSIIAYSFTIINTLQGVLLFVVHCLL</v>
      </c>
      <c r="Q179" s="4" t="str">
        <f t="shared" si="62"/>
        <v>NRQVRLIILSVISLVPK</v>
      </c>
      <c r="R179" s="5">
        <f>VLOOKUP($A179,'NonXtal_SegEnds_Prot#'!$A:$AL,3,FALSE)</f>
        <v>178</v>
      </c>
      <c r="S179" s="5">
        <f>VLOOKUP($A179,'NonXtal_SegEnds_Prot#'!$A:$AL,6,FALSE)</f>
        <v>216</v>
      </c>
      <c r="T179" s="5">
        <f>VLOOKUP($A179,'NonXtal_SegEnds_Prot#'!$A:$AL,9,FALSE)</f>
        <v>220</v>
      </c>
      <c r="U179" s="5" t="str">
        <f>VLOOKUP($A179,'NonXtal_SegEnds_Prot#'!$A:$AL,12,FALSE)</f>
        <v>-</v>
      </c>
      <c r="V179" s="5">
        <f>VLOOKUP($A179,'NonXtal_SegEnds_Prot#'!$A:$AL,15,FALSE)</f>
        <v>251</v>
      </c>
      <c r="W179" s="5" t="str">
        <f>VLOOKUP($A179,'NonXtal_SegEnds_Prot#'!$A:$AL,18,FALSE)</f>
        <v>-</v>
      </c>
      <c r="X179" s="5">
        <f>VLOOKUP($A179,'NonXtal_SegEnds_Prot#'!$A:$AL,21,FALSE)</f>
        <v>296</v>
      </c>
      <c r="Y179" s="5">
        <f>VLOOKUP($A179,'NonXtal_SegEnds_Prot#'!$A:$AL,24,FALSE)</f>
        <v>329</v>
      </c>
      <c r="Z179" s="5">
        <f>VLOOKUP($A179,'NonXtal_SegEnds_Prot#'!$A:$AL,27,FALSE)</f>
        <v>334</v>
      </c>
      <c r="AA179" s="5">
        <f>VLOOKUP($A179,'NonXtal_SegEnds_Prot#'!$A:$AL,30,FALSE)</f>
        <v>379</v>
      </c>
      <c r="AB179" s="5">
        <f>VLOOKUP($A179,'NonXtal_SegEnds_Prot#'!$A:$AL,33,FALSE)</f>
        <v>409</v>
      </c>
      <c r="AC179" s="5">
        <f>VLOOKUP($A179,'NonXtal_SegEnds_Prot#'!$A:$AL,36,FALSE)</f>
        <v>439</v>
      </c>
      <c r="AD179" s="5">
        <f>VLOOKUP($A179,'NonXtal_SegEnds_Prot#'!$A:$AL,5,FALSE)</f>
        <v>215</v>
      </c>
      <c r="AE179" s="5">
        <f>VLOOKUP($A179,'NonXtal_SegEnds_Prot#'!$A:$AL,8,FALSE)</f>
        <v>219</v>
      </c>
      <c r="AF179" s="5">
        <f>VLOOKUP($A179,'NonXtal_SegEnds_Prot#'!$A:$AL,11,FALSE)</f>
        <v>246</v>
      </c>
      <c r="AG179" s="5" t="str">
        <f>VLOOKUP($A179,'NonXtal_SegEnds_Prot#'!$A:$AL,14,FALSE)</f>
        <v>-</v>
      </c>
      <c r="AH179" s="5">
        <f>VLOOKUP($A179,'NonXtal_SegEnds_Prot#'!$A:$AL,17,FALSE)</f>
        <v>284</v>
      </c>
      <c r="AI179" s="5" t="str">
        <f>VLOOKUP($A179,'NonXtal_SegEnds_Prot#'!$A:$AL,20,FALSE)</f>
        <v>-</v>
      </c>
      <c r="AJ179" s="5">
        <f>VLOOKUP($A179,'NonXtal_SegEnds_Prot#'!$A:$AL,23,FALSE)</f>
        <v>324</v>
      </c>
      <c r="AK179" s="5">
        <f>VLOOKUP($A179,'NonXtal_SegEnds_Prot#'!$A:$AL,26,FALSE)</f>
        <v>331</v>
      </c>
      <c r="AL179" s="5">
        <f>VLOOKUP($A179,'NonXtal_SegEnds_Prot#'!$A:$AL,29,FALSE)</f>
        <v>367</v>
      </c>
      <c r="AM179" s="5">
        <f>VLOOKUP($A179,'NonXtal_SegEnds_Prot#'!$A:$AL,32,FALSE)</f>
        <v>403</v>
      </c>
      <c r="AN179" s="5">
        <f>VLOOKUP($A179,'NonXtal_SegEnds_Prot#'!$A:$AL,35,FALSE)</f>
        <v>438</v>
      </c>
      <c r="AO179" s="5">
        <f>VLOOKUP($A179,'NonXtal_SegEnds_Prot#'!$A:$AL,38,FALSE)</f>
        <v>455</v>
      </c>
      <c r="AP179" s="5">
        <f t="shared" si="63"/>
        <v>37</v>
      </c>
      <c r="AQ179" s="4">
        <f t="shared" si="64"/>
        <v>3</v>
      </c>
      <c r="AR179" s="4">
        <f t="shared" si="65"/>
        <v>26</v>
      </c>
      <c r="AS179" s="4" t="str">
        <f t="shared" si="66"/>
        <v>-</v>
      </c>
      <c r="AT179" s="4">
        <f t="shared" si="67"/>
        <v>33</v>
      </c>
      <c r="AU179" s="4" t="str">
        <f t="shared" si="68"/>
        <v>-</v>
      </c>
      <c r="AV179" s="4">
        <f t="shared" si="69"/>
        <v>28</v>
      </c>
      <c r="AW179" s="4">
        <f t="shared" si="70"/>
        <v>2</v>
      </c>
      <c r="AX179" s="4">
        <f t="shared" si="71"/>
        <v>33</v>
      </c>
      <c r="AY179" s="4">
        <f t="shared" si="72"/>
        <v>24</v>
      </c>
      <c r="AZ179" s="4">
        <f t="shared" si="73"/>
        <v>29</v>
      </c>
      <c r="BA179" s="4">
        <f t="shared" si="74"/>
        <v>16</v>
      </c>
    </row>
    <row r="180" spans="1:53" x14ac:dyDescent="0.2">
      <c r="A180" s="1" t="str">
        <f>'NonXtal_SegEnds_Prot#'!A154</f>
        <v>calcr_human</v>
      </c>
      <c r="B180" s="1" t="str">
        <f t="shared" si="50"/>
        <v>TMCNAFTPEKLKNAYVLYYLAIVGHSLSIFTLVISLGIFVFFCQRVTLHKNMFLTYILNSMIIIIHLVEVSCKILHFFHQYMMACNYFWMLCEGIYLHTLIVVQRLRWYYLLGWGFPLVPTTIHAITRAVYFETHLLYIIHGPVMAALVVNFFFLLNIVRVLVTKMAESHMYLKAVKATMILVPLLGIQFVVFPWLGKIYDYVMHSLIHFQGFFVATIYCFCNNEVQTTVKRQWAQFKIQWNQRWGRR</v>
      </c>
      <c r="C180" s="72" t="str">
        <f>IF(ISERROR(MATCH(A180,'Xtal_SegEnds_Prot#'!B:B, 0)), "NoXtal", "Xtal")</f>
        <v>NoXtal</v>
      </c>
      <c r="D180" s="4" t="str">
        <f>VLOOKUP(A180,Classification!A:D,2,FALSE)</f>
        <v>B1</v>
      </c>
      <c r="E180" s="5" t="str">
        <f>VLOOKUP(A180,Seqs!A:B,2,FALSE)</f>
        <v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180" s="5" t="str">
        <f t="shared" si="51"/>
        <v>TMCNAFTPEKLKNAYVLYYLAIVGHSLSIFTLVISLGIFVFF</v>
      </c>
      <c r="G180" s="4" t="str">
        <f t="shared" si="52"/>
        <v>LSLG</v>
      </c>
      <c r="H180" s="4" t="str">
        <f t="shared" si="53"/>
        <v>CQRVTLHKNMFLTYILNSMIIIIHLVE</v>
      </c>
      <c r="I180" s="4" t="str">
        <f t="shared" si="54"/>
        <v/>
      </c>
      <c r="J180" s="4" t="str">
        <f t="shared" si="55"/>
        <v>VSCKILHFFHQYMMACNYFWMLCEGIYLHTLIVV</v>
      </c>
      <c r="K180" s="4" t="str">
        <f t="shared" si="56"/>
        <v/>
      </c>
      <c r="L180" s="4" t="str">
        <f t="shared" si="57"/>
        <v>QRLRWYYLLGWGFPLVPTTIHAITRAVYF</v>
      </c>
      <c r="M180" s="4" t="str">
        <f t="shared" si="58"/>
        <v>CWL</v>
      </c>
      <c r="N180" s="4" t="str">
        <f t="shared" si="59"/>
        <v>ETHLLYIIHGPVMAALVVNFFFLLNIVRVLVTKM</v>
      </c>
      <c r="O180" s="4" t="str">
        <f t="shared" si="60"/>
        <v>AESHMYLKAVKATMILVPLLGIQFVVFPW</v>
      </c>
      <c r="P180" s="4" t="str">
        <f t="shared" si="61"/>
        <v>LGKIYDYVMHSLIHFQGFFVATIYCFC</v>
      </c>
      <c r="Q180" s="4" t="str">
        <f t="shared" si="62"/>
        <v>NNEVQTTVKRQWAQFKIQWNQRWGRR</v>
      </c>
      <c r="R180" s="5">
        <f>VLOOKUP($A180,'NonXtal_SegEnds_Prot#'!$A:$AL,3,FALSE)</f>
        <v>150</v>
      </c>
      <c r="S180" s="5">
        <f>VLOOKUP($A180,'NonXtal_SegEnds_Prot#'!$A:$AL,6,FALSE)</f>
        <v>208</v>
      </c>
      <c r="T180" s="5">
        <f>VLOOKUP($A180,'NonXtal_SegEnds_Prot#'!$A:$AL,9,FALSE)</f>
        <v>212</v>
      </c>
      <c r="U180" s="5" t="str">
        <f>VLOOKUP($A180,'NonXtal_SegEnds_Prot#'!$A:$AL,12,FALSE)</f>
        <v>-</v>
      </c>
      <c r="V180" s="5">
        <f>VLOOKUP($A180,'NonXtal_SegEnds_Prot#'!$A:$AL,15,FALSE)</f>
        <v>251</v>
      </c>
      <c r="W180" s="5" t="str">
        <f>VLOOKUP($A180,'NonXtal_SegEnds_Prot#'!$A:$AL,18,FALSE)</f>
        <v>-</v>
      </c>
      <c r="X180" s="5">
        <f>VLOOKUP($A180,'NonXtal_SegEnds_Prot#'!$A:$AL,21,FALSE)</f>
        <v>291</v>
      </c>
      <c r="Y180" s="5">
        <f>VLOOKUP($A180,'NonXtal_SegEnds_Prot#'!$A:$AL,24,FALSE)</f>
        <v>323</v>
      </c>
      <c r="Z180" s="5">
        <f>VLOOKUP($A180,'NonXtal_SegEnds_Prot#'!$A:$AL,27,FALSE)</f>
        <v>328</v>
      </c>
      <c r="AA180" s="5">
        <f>VLOOKUP($A180,'NonXtal_SegEnds_Prot#'!$A:$AL,30,FALSE)</f>
        <v>367</v>
      </c>
      <c r="AB180" s="5">
        <f>VLOOKUP($A180,'NonXtal_SegEnds_Prot#'!$A:$AL,33,FALSE)</f>
        <v>402</v>
      </c>
      <c r="AC180" s="5">
        <f>VLOOKUP($A180,'NonXtal_SegEnds_Prot#'!$A:$AL,36,FALSE)</f>
        <v>429</v>
      </c>
      <c r="AD180" s="5">
        <f>VLOOKUP($A180,'NonXtal_SegEnds_Prot#'!$A:$AL,5,FALSE)</f>
        <v>191</v>
      </c>
      <c r="AE180" s="5">
        <f>VLOOKUP($A180,'NonXtal_SegEnds_Prot#'!$A:$AL,8,FALSE)</f>
        <v>211</v>
      </c>
      <c r="AF180" s="5">
        <f>VLOOKUP($A180,'NonXtal_SegEnds_Prot#'!$A:$AL,11,FALSE)</f>
        <v>238</v>
      </c>
      <c r="AG180" s="5" t="str">
        <f>VLOOKUP($A180,'NonXtal_SegEnds_Prot#'!$A:$AL,14,FALSE)</f>
        <v>-</v>
      </c>
      <c r="AH180" s="5">
        <f>VLOOKUP($A180,'NonXtal_SegEnds_Prot#'!$A:$AL,17,FALSE)</f>
        <v>284</v>
      </c>
      <c r="AI180" s="5" t="str">
        <f>VLOOKUP($A180,'NonXtal_SegEnds_Prot#'!$A:$AL,20,FALSE)</f>
        <v>-</v>
      </c>
      <c r="AJ180" s="5">
        <f>VLOOKUP($A180,'NonXtal_SegEnds_Prot#'!$A:$AL,23,FALSE)</f>
        <v>319</v>
      </c>
      <c r="AK180" s="5">
        <f>VLOOKUP($A180,'NonXtal_SegEnds_Prot#'!$A:$AL,26,FALSE)</f>
        <v>325</v>
      </c>
      <c r="AL180" s="5">
        <f>VLOOKUP($A180,'NonXtal_SegEnds_Prot#'!$A:$AL,29,FALSE)</f>
        <v>361</v>
      </c>
      <c r="AM180" s="5">
        <f>VLOOKUP($A180,'NonXtal_SegEnds_Prot#'!$A:$AL,32,FALSE)</f>
        <v>395</v>
      </c>
      <c r="AN180" s="5">
        <f>VLOOKUP($A180,'NonXtal_SegEnds_Prot#'!$A:$AL,35,FALSE)</f>
        <v>428</v>
      </c>
      <c r="AO180" s="5">
        <f>VLOOKUP($A180,'NonXtal_SegEnds_Prot#'!$A:$AL,38,FALSE)</f>
        <v>454</v>
      </c>
      <c r="AP180" s="5">
        <f t="shared" si="63"/>
        <v>41</v>
      </c>
      <c r="AQ180" s="4">
        <f t="shared" si="64"/>
        <v>3</v>
      </c>
      <c r="AR180" s="4">
        <f t="shared" si="65"/>
        <v>26</v>
      </c>
      <c r="AS180" s="4" t="str">
        <f t="shared" si="66"/>
        <v>-</v>
      </c>
      <c r="AT180" s="4">
        <f t="shared" si="67"/>
        <v>33</v>
      </c>
      <c r="AU180" s="4" t="str">
        <f t="shared" si="68"/>
        <v>-</v>
      </c>
      <c r="AV180" s="4">
        <f t="shared" si="69"/>
        <v>28</v>
      </c>
      <c r="AW180" s="4">
        <f t="shared" si="70"/>
        <v>2</v>
      </c>
      <c r="AX180" s="4">
        <f t="shared" si="71"/>
        <v>33</v>
      </c>
      <c r="AY180" s="4">
        <f t="shared" si="72"/>
        <v>28</v>
      </c>
      <c r="AZ180" s="4">
        <f t="shared" si="73"/>
        <v>26</v>
      </c>
      <c r="BA180" s="4">
        <f t="shared" si="74"/>
        <v>25</v>
      </c>
    </row>
    <row r="181" spans="1:53" x14ac:dyDescent="0.2">
      <c r="A181" s="1" t="str">
        <f>'NonXtal_SegEnds_Prot#'!A155</f>
        <v>calrl_human</v>
      </c>
      <c r="B181" s="1" t="str">
        <f t="shared" si="50"/>
        <v>TQCNVNTHEKVKTALNLFYLTIIGHGLSIASLLISLGIFFYFCQRITLHKNLFFSFVCNSVVTIIHLTAVSCKVSQFIHLYLMGCNYFWMLCEGIYLHTLIVVQHLMWYYFLGWGFPLIPACIHAIARSLYYDTHLLYIIHGPICAALLVNLFFLLNIVRVLITKLAESNLYMKAVRATLILVPLLGIEFVLIPWAEEVYDYIMHILMHFQGLLVSTIFCFFNGEVQAILRRNWNQYKIQFGNSFSNS</v>
      </c>
      <c r="C181" s="72" t="str">
        <f>IF(ISERROR(MATCH(A181,'Xtal_SegEnds_Prot#'!B:B, 0)), "NoXtal", "Xtal")</f>
        <v>NoXtal</v>
      </c>
      <c r="D181" s="4" t="str">
        <f>VLOOKUP(A181,Classification!A:D,2,FALSE)</f>
        <v>B1</v>
      </c>
      <c r="E181" s="5" t="str">
        <f>VLOOKUP(A181,Seqs!A:B,2,FALSE)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181" s="5" t="str">
        <f t="shared" si="51"/>
        <v>TQCNVNTHEKVKTALNLFYLTIIGHGLSIASLLISLGIFFYF</v>
      </c>
      <c r="G181" s="4" t="str">
        <f t="shared" si="52"/>
        <v>KSLS</v>
      </c>
      <c r="H181" s="4" t="str">
        <f t="shared" si="53"/>
        <v>CQRITLHKNLFFSFVCNSVVTIIHLTA</v>
      </c>
      <c r="I181" s="4" t="str">
        <f t="shared" si="54"/>
        <v/>
      </c>
      <c r="J181" s="4" t="str">
        <f t="shared" si="55"/>
        <v>VSCKVSQFIHLYLMGCNYFWMLCEGIYLHTLIVV</v>
      </c>
      <c r="K181" s="4" t="str">
        <f t="shared" si="56"/>
        <v/>
      </c>
      <c r="L181" s="4" t="str">
        <f t="shared" si="57"/>
        <v>QHLMWYYFLGWGFPLIPACIHAIARSLYY</v>
      </c>
      <c r="M181" s="4" t="str">
        <f t="shared" si="58"/>
        <v>CWI</v>
      </c>
      <c r="N181" s="4" t="str">
        <f t="shared" si="59"/>
        <v>DTHLLYIIHGPICAALLVNLFFLLNIVRVLITKL</v>
      </c>
      <c r="O181" s="4" t="str">
        <f t="shared" si="60"/>
        <v>AESNLYMKAVRATLILVPLLGIEFVLIPW</v>
      </c>
      <c r="P181" s="4" t="str">
        <f t="shared" si="61"/>
        <v>AEEVYDYIMHILMHFQGLLVSTIFCFF</v>
      </c>
      <c r="Q181" s="4" t="str">
        <f t="shared" si="62"/>
        <v>NGEVQAILRRNWNQYKIQFGNSFSNS</v>
      </c>
      <c r="R181" s="5">
        <f>VLOOKUP($A181,'NonXtal_SegEnds_Prot#'!$A:$AL,3,FALSE)</f>
        <v>125</v>
      </c>
      <c r="S181" s="5">
        <f>VLOOKUP($A181,'NonXtal_SegEnds_Prot#'!$A:$AL,6,FALSE)</f>
        <v>167</v>
      </c>
      <c r="T181" s="5">
        <f>VLOOKUP($A181,'NonXtal_SegEnds_Prot#'!$A:$AL,9,FALSE)</f>
        <v>171</v>
      </c>
      <c r="U181" s="5" t="str">
        <f>VLOOKUP($A181,'NonXtal_SegEnds_Prot#'!$A:$AL,12,FALSE)</f>
        <v>-</v>
      </c>
      <c r="V181" s="5">
        <f>VLOOKUP($A181,'NonXtal_SegEnds_Prot#'!$A:$AL,15,FALSE)</f>
        <v>210</v>
      </c>
      <c r="W181" s="5" t="str">
        <f>VLOOKUP($A181,'NonXtal_SegEnds_Prot#'!$A:$AL,18,FALSE)</f>
        <v>-</v>
      </c>
      <c r="X181" s="5">
        <f>VLOOKUP($A181,'NonXtal_SegEnds_Prot#'!$A:$AL,21,FALSE)</f>
        <v>250</v>
      </c>
      <c r="Y181" s="5">
        <f>VLOOKUP($A181,'NonXtal_SegEnds_Prot#'!$A:$AL,24,FALSE)</f>
        <v>282</v>
      </c>
      <c r="Z181" s="5">
        <f>VLOOKUP($A181,'NonXtal_SegEnds_Prot#'!$A:$AL,27,FALSE)</f>
        <v>287</v>
      </c>
      <c r="AA181" s="5">
        <f>VLOOKUP($A181,'NonXtal_SegEnds_Prot#'!$A:$AL,30,FALSE)</f>
        <v>326</v>
      </c>
      <c r="AB181" s="5">
        <f>VLOOKUP($A181,'NonXtal_SegEnds_Prot#'!$A:$AL,33,FALSE)</f>
        <v>361</v>
      </c>
      <c r="AC181" s="5">
        <f>VLOOKUP($A181,'NonXtal_SegEnds_Prot#'!$A:$AL,36,FALSE)</f>
        <v>388</v>
      </c>
      <c r="AD181" s="5">
        <f>VLOOKUP($A181,'NonXtal_SegEnds_Prot#'!$A:$AL,5,FALSE)</f>
        <v>166</v>
      </c>
      <c r="AE181" s="5">
        <f>VLOOKUP($A181,'NonXtal_SegEnds_Prot#'!$A:$AL,8,FALSE)</f>
        <v>170</v>
      </c>
      <c r="AF181" s="5">
        <f>VLOOKUP($A181,'NonXtal_SegEnds_Prot#'!$A:$AL,11,FALSE)</f>
        <v>197</v>
      </c>
      <c r="AG181" s="5" t="str">
        <f>VLOOKUP($A181,'NonXtal_SegEnds_Prot#'!$A:$AL,14,FALSE)</f>
        <v>-</v>
      </c>
      <c r="AH181" s="5">
        <f>VLOOKUP($A181,'NonXtal_SegEnds_Prot#'!$A:$AL,17,FALSE)</f>
        <v>243</v>
      </c>
      <c r="AI181" s="5" t="str">
        <f>VLOOKUP($A181,'NonXtal_SegEnds_Prot#'!$A:$AL,20,FALSE)</f>
        <v>-</v>
      </c>
      <c r="AJ181" s="5">
        <f>VLOOKUP($A181,'NonXtal_SegEnds_Prot#'!$A:$AL,23,FALSE)</f>
        <v>278</v>
      </c>
      <c r="AK181" s="5">
        <f>VLOOKUP($A181,'NonXtal_SegEnds_Prot#'!$A:$AL,26,FALSE)</f>
        <v>284</v>
      </c>
      <c r="AL181" s="5">
        <f>VLOOKUP($A181,'NonXtal_SegEnds_Prot#'!$A:$AL,29,FALSE)</f>
        <v>320</v>
      </c>
      <c r="AM181" s="5">
        <f>VLOOKUP($A181,'NonXtal_SegEnds_Prot#'!$A:$AL,32,FALSE)</f>
        <v>354</v>
      </c>
      <c r="AN181" s="5">
        <f>VLOOKUP($A181,'NonXtal_SegEnds_Prot#'!$A:$AL,35,FALSE)</f>
        <v>387</v>
      </c>
      <c r="AO181" s="5">
        <f>VLOOKUP($A181,'NonXtal_SegEnds_Prot#'!$A:$AL,38,FALSE)</f>
        <v>413</v>
      </c>
      <c r="AP181" s="5">
        <f t="shared" si="63"/>
        <v>41</v>
      </c>
      <c r="AQ181" s="4">
        <f t="shared" si="64"/>
        <v>3</v>
      </c>
      <c r="AR181" s="4">
        <f t="shared" si="65"/>
        <v>26</v>
      </c>
      <c r="AS181" s="4" t="str">
        <f t="shared" si="66"/>
        <v>-</v>
      </c>
      <c r="AT181" s="4">
        <f t="shared" si="67"/>
        <v>33</v>
      </c>
      <c r="AU181" s="4" t="str">
        <f t="shared" si="68"/>
        <v>-</v>
      </c>
      <c r="AV181" s="4">
        <f t="shared" si="69"/>
        <v>28</v>
      </c>
      <c r="AW181" s="4">
        <f t="shared" si="70"/>
        <v>2</v>
      </c>
      <c r="AX181" s="4">
        <f t="shared" si="71"/>
        <v>33</v>
      </c>
      <c r="AY181" s="4">
        <f t="shared" si="72"/>
        <v>28</v>
      </c>
      <c r="AZ181" s="4">
        <f t="shared" si="73"/>
        <v>26</v>
      </c>
      <c r="BA181" s="4">
        <f t="shared" si="74"/>
        <v>25</v>
      </c>
    </row>
    <row r="182" spans="1:53" x14ac:dyDescent="0.2">
      <c r="A182" s="1" t="str">
        <f>'NonXtal_SegEnds_Prot#'!A156</f>
        <v>crfr1_human</v>
      </c>
      <c r="B182" s="1" t="str">
        <f t="shared" si="50"/>
        <v>QEILNEEKKSKVHYHVAVIINYLGHCISLVALLVAFVLFLRLCLRNIIHWNLISAFILRNATWFVVQLTGWCRLVTAAYNYFHVTNFFWMFGEGCYLHTAIVLLRKWMFICIGWGVPFPIIVAWAIGKLYYDTDYIYQGPMILVLLINFIFLFNIVRILMTKLSETIQYRKAVKATLVLLPLLGITYMLFFVVSRVVFIYFNSFLESFQGFFVSVFYCFLNSEVRSAIRKRWHRWQDKHSIRARVA</v>
      </c>
      <c r="C182" s="72" t="str">
        <f>IF(ISERROR(MATCH(A182,'Xtal_SegEnds_Prot#'!B:B, 0)), "NoXtal", "Xtal")</f>
        <v>Xtal</v>
      </c>
      <c r="D182" s="4" t="str">
        <f>VLOOKUP(A182,Classification!A:D,2,FALSE)</f>
        <v>B1</v>
      </c>
      <c r="E182" s="5" t="str">
        <f>VLOOKUP(A182,Seqs!A:B,2,FALSE)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182" s="5" t="str">
        <f t="shared" si="51"/>
        <v>QEILNEEKKSKVHYHVAVIINYLGHCISLVALLVAFVLFLRL</v>
      </c>
      <c r="G182" s="4" t="str">
        <f t="shared" si="52"/>
        <v>RSIR</v>
      </c>
      <c r="H182" s="4" t="str">
        <f t="shared" si="53"/>
        <v>CLRNIIHWNLISAFILRNATWFVVQLT</v>
      </c>
      <c r="I182" s="4" t="str">
        <f t="shared" si="54"/>
        <v/>
      </c>
      <c r="J182" s="4" t="str">
        <f t="shared" si="55"/>
        <v>GWCRLVTAAYNYFHVTNFFWMFGEGCYLHTAIVL</v>
      </c>
      <c r="K182" s="4" t="str">
        <f t="shared" si="56"/>
        <v/>
      </c>
      <c r="L182" s="4" t="str">
        <f t="shared" si="57"/>
        <v>LRKWMFICIGWGVPFPIIVAWAIGKLYYD</v>
      </c>
      <c r="M182" s="4" t="str">
        <f t="shared" si="58"/>
        <v>CWF</v>
      </c>
      <c r="N182" s="4" t="str">
        <f t="shared" si="59"/>
        <v>TDYIYQGPMILVLLINFIFLFNIVRILMTKL</v>
      </c>
      <c r="O182" s="4" t="str">
        <f t="shared" si="60"/>
        <v>SETIQYRKAVKATLVLLPLLGITYMLFFV</v>
      </c>
      <c r="P182" s="4" t="str">
        <f t="shared" si="61"/>
        <v>VSRVVFIYFNSFLESFQGFFVSVFYCFL</v>
      </c>
      <c r="Q182" s="4" t="str">
        <f t="shared" si="62"/>
        <v>NSEVRSAIRKRWHRWQDKHSIRARVA</v>
      </c>
      <c r="R182" s="5">
        <f>VLOOKUP($A182,'NonXtal_SegEnds_Prot#'!$A:$AL,3,FALSE)</f>
        <v>103</v>
      </c>
      <c r="S182" s="5">
        <f>VLOOKUP($A182,'NonXtal_SegEnds_Prot#'!$A:$AL,6,FALSE)</f>
        <v>145</v>
      </c>
      <c r="T182" s="5">
        <f>VLOOKUP($A182,'NonXtal_SegEnds_Prot#'!$A:$AL,9,FALSE)</f>
        <v>149</v>
      </c>
      <c r="U182" s="5" t="str">
        <f>VLOOKUP($A182,'NonXtal_SegEnds_Prot#'!$A:$AL,12,FALSE)</f>
        <v>-</v>
      </c>
      <c r="V182" s="5">
        <f>VLOOKUP($A182,'NonXtal_SegEnds_Prot#'!$A:$AL,15,FALSE)</f>
        <v>186</v>
      </c>
      <c r="W182" s="5" t="str">
        <f>VLOOKUP($A182,'NonXtal_SegEnds_Prot#'!$A:$AL,18,FALSE)</f>
        <v>-</v>
      </c>
      <c r="X182" s="5">
        <f>VLOOKUP($A182,'NonXtal_SegEnds_Prot#'!$A:$AL,21,FALSE)</f>
        <v>226</v>
      </c>
      <c r="Y182" s="5">
        <f>VLOOKUP($A182,'NonXtal_SegEnds_Prot#'!$A:$AL,24,FALSE)</f>
        <v>258</v>
      </c>
      <c r="Z182" s="5">
        <f>VLOOKUP($A182,'NonXtal_SegEnds_Prot#'!$A:$AL,27,FALSE)</f>
        <v>268</v>
      </c>
      <c r="AA182" s="5">
        <f>VLOOKUP($A182,'NonXtal_SegEnds_Prot#'!$A:$AL,30,FALSE)</f>
        <v>304</v>
      </c>
      <c r="AB182" s="5">
        <f>VLOOKUP($A182,'NonXtal_SegEnds_Prot#'!$A:$AL,33,FALSE)</f>
        <v>339</v>
      </c>
      <c r="AC182" s="5">
        <f>VLOOKUP($A182,'NonXtal_SegEnds_Prot#'!$A:$AL,36,FALSE)</f>
        <v>367</v>
      </c>
      <c r="AD182" s="5">
        <f>VLOOKUP($A182,'NonXtal_SegEnds_Prot#'!$A:$AL,5,FALSE)</f>
        <v>144</v>
      </c>
      <c r="AE182" s="5">
        <f>VLOOKUP($A182,'NonXtal_SegEnds_Prot#'!$A:$AL,8,FALSE)</f>
        <v>148</v>
      </c>
      <c r="AF182" s="5">
        <f>VLOOKUP($A182,'NonXtal_SegEnds_Prot#'!$A:$AL,11,FALSE)</f>
        <v>175</v>
      </c>
      <c r="AG182" s="5" t="str">
        <f>VLOOKUP($A182,'NonXtal_SegEnds_Prot#'!$A:$AL,14,FALSE)</f>
        <v>-</v>
      </c>
      <c r="AH182" s="5">
        <f>VLOOKUP($A182,'NonXtal_SegEnds_Prot#'!$A:$AL,17,FALSE)</f>
        <v>219</v>
      </c>
      <c r="AI182" s="5" t="str">
        <f>VLOOKUP($A182,'NonXtal_SegEnds_Prot#'!$A:$AL,20,FALSE)</f>
        <v>-</v>
      </c>
      <c r="AJ182" s="5">
        <f>VLOOKUP($A182,'NonXtal_SegEnds_Prot#'!$A:$AL,23,FALSE)</f>
        <v>254</v>
      </c>
      <c r="AK182" s="5">
        <f>VLOOKUP($A182,'NonXtal_SegEnds_Prot#'!$A:$AL,26,FALSE)</f>
        <v>260</v>
      </c>
      <c r="AL182" s="5">
        <f>VLOOKUP($A182,'NonXtal_SegEnds_Prot#'!$A:$AL,29,FALSE)</f>
        <v>298</v>
      </c>
      <c r="AM182" s="5">
        <f>VLOOKUP($A182,'NonXtal_SegEnds_Prot#'!$A:$AL,32,FALSE)</f>
        <v>332</v>
      </c>
      <c r="AN182" s="5">
        <f>VLOOKUP($A182,'NonXtal_SegEnds_Prot#'!$A:$AL,35,FALSE)</f>
        <v>366</v>
      </c>
      <c r="AO182" s="5">
        <f>VLOOKUP($A182,'NonXtal_SegEnds_Prot#'!$A:$AL,38,FALSE)</f>
        <v>392</v>
      </c>
      <c r="AP182" s="5">
        <f t="shared" si="63"/>
        <v>41</v>
      </c>
      <c r="AQ182" s="4">
        <f t="shared" si="64"/>
        <v>3</v>
      </c>
      <c r="AR182" s="4">
        <f t="shared" si="65"/>
        <v>26</v>
      </c>
      <c r="AS182" s="4" t="str">
        <f t="shared" si="66"/>
        <v>-</v>
      </c>
      <c r="AT182" s="4">
        <f t="shared" si="67"/>
        <v>33</v>
      </c>
      <c r="AU182" s="4" t="str">
        <f t="shared" si="68"/>
        <v>-</v>
      </c>
      <c r="AV182" s="4">
        <f t="shared" si="69"/>
        <v>28</v>
      </c>
      <c r="AW182" s="4">
        <f t="shared" si="70"/>
        <v>2</v>
      </c>
      <c r="AX182" s="4">
        <f t="shared" si="71"/>
        <v>30</v>
      </c>
      <c r="AY182" s="4">
        <f t="shared" si="72"/>
        <v>28</v>
      </c>
      <c r="AZ182" s="4">
        <f t="shared" si="73"/>
        <v>27</v>
      </c>
      <c r="BA182" s="4">
        <f t="shared" si="74"/>
        <v>25</v>
      </c>
    </row>
    <row r="183" spans="1:53" x14ac:dyDescent="0.2">
      <c r="A183" s="1" t="str">
        <f>'NonXtal_SegEnds_Prot#'!A158</f>
        <v>agra1_human</v>
      </c>
      <c r="B183" s="1" t="str">
        <f t="shared" si="50"/>
        <v>SLPRYPGEFLHPVVYACTAVMLLCLLASFVTYIVHQSAISRKGRHTLLNFCFHAALTFTVFAGGIILCQAVGIVLHYSTLSTMLWIGVTARNIYKQVTKQPLLRFYLVSGGVPFIICGVTAATNIRNYWEPSLGAFYGPAAIITLVTCVYFLGTYVQLRRHPSFQAQLRAAAFTLFLFTATWAFGALFLDMVFSCLYGAFCVTLGLFVLIHHCAKREDVWQCWWACCPPRKD</v>
      </c>
      <c r="C183" s="72" t="str">
        <f>IF(ISERROR(MATCH(A183,'Xtal_SegEnds_Prot#'!B:B, 0)), "NoXtal", "Xtal")</f>
        <v>NoXtal</v>
      </c>
      <c r="D183" s="4" t="str">
        <f>VLOOKUP(A183,Classification!A:D,2,FALSE)</f>
        <v>B2</v>
      </c>
      <c r="E183" s="5" t="str">
        <f>VLOOKUP(A183,Seqs!A:B,2,FALSE)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183" s="5" t="str">
        <f t="shared" si="51"/>
        <v>SLPRYPGEFLHPVVYACTAVMLLCLLASFVTYIVHQSA</v>
      </c>
      <c r="G183" s="4" t="str">
        <f t="shared" si="52"/>
        <v/>
      </c>
      <c r="H183" s="4" t="str">
        <f t="shared" si="53"/>
        <v>ISRKGRHTLLNFCFHAALTFTVFAGGI</v>
      </c>
      <c r="I183" s="4" t="str">
        <f t="shared" si="54"/>
        <v/>
      </c>
      <c r="J183" s="4" t="str">
        <f t="shared" si="55"/>
        <v>ILCQAVGIVLHYSTLSTMLWIGVTARNIYKQVTK</v>
      </c>
      <c r="K183" s="4" t="str">
        <f t="shared" si="56"/>
        <v/>
      </c>
      <c r="L183" s="4" t="str">
        <f t="shared" si="57"/>
        <v>QPLLRFYLVSGGVPFIICGVTAATNIRNY</v>
      </c>
      <c r="M183" s="4" t="str">
        <f t="shared" si="58"/>
        <v>CWM</v>
      </c>
      <c r="N183" s="4" t="str">
        <f t="shared" si="59"/>
        <v>WEPSLGAFYGPAAIITLVTCVYFLGTYVQLRRHP</v>
      </c>
      <c r="O183" s="4" t="str">
        <f t="shared" si="60"/>
        <v>SFQAQLRAAAFTLFLFTATWAFGAL</v>
      </c>
      <c r="P183" s="4" t="str">
        <f t="shared" si="61"/>
        <v>FLDMVFSCLYGAFCVTLGLFVLIHHCAK</v>
      </c>
      <c r="Q183" s="4" t="str">
        <f t="shared" si="62"/>
        <v>REDVWQCWWACCPPRKD</v>
      </c>
      <c r="R183" s="5">
        <f>VLOOKUP($A183,'NonXtal_SegEnds_Prot#'!$A:$AL,3,FALSE)</f>
        <v>8</v>
      </c>
      <c r="S183" s="5" t="str">
        <f>VLOOKUP($A183,'NonXtal_SegEnds_Prot#'!$A:$AL,6,FALSE)</f>
        <v>-</v>
      </c>
      <c r="T183" s="5">
        <f>VLOOKUP($A183,'NonXtal_SegEnds_Prot#'!$A:$AL,9,FALSE)</f>
        <v>48</v>
      </c>
      <c r="U183" s="5" t="str">
        <f>VLOOKUP($A183,'NonXtal_SegEnds_Prot#'!$A:$AL,12,FALSE)</f>
        <v>-</v>
      </c>
      <c r="V183" s="5">
        <f>VLOOKUP($A183,'NonXtal_SegEnds_Prot#'!$A:$AL,15,FALSE)</f>
        <v>81</v>
      </c>
      <c r="W183" s="5" t="str">
        <f>VLOOKUP($A183,'NonXtal_SegEnds_Prot#'!$A:$AL,18,FALSE)</f>
        <v>-</v>
      </c>
      <c r="X183" s="5">
        <f>VLOOKUP($A183,'NonXtal_SegEnds_Prot#'!$A:$AL,21,FALSE)</f>
        <v>130</v>
      </c>
      <c r="Y183" s="5">
        <f>VLOOKUP($A183,'NonXtal_SegEnds_Prot#'!$A:$AL,24,FALSE)</f>
        <v>168</v>
      </c>
      <c r="Z183" s="5">
        <f>VLOOKUP($A183,'NonXtal_SegEnds_Prot#'!$A:$AL,27,FALSE)</f>
        <v>172</v>
      </c>
      <c r="AA183" s="5">
        <f>VLOOKUP($A183,'NonXtal_SegEnds_Prot#'!$A:$AL,30,FALSE)</f>
        <v>251</v>
      </c>
      <c r="AB183" s="5">
        <f>VLOOKUP($A183,'NonXtal_SegEnds_Prot#'!$A:$AL,33,FALSE)</f>
        <v>282</v>
      </c>
      <c r="AC183" s="5">
        <f>VLOOKUP($A183,'NonXtal_SegEnds_Prot#'!$A:$AL,36,FALSE)</f>
        <v>310</v>
      </c>
      <c r="AD183" s="5">
        <f>VLOOKUP($A183,'NonXtal_SegEnds_Prot#'!$A:$AL,5,FALSE)</f>
        <v>45</v>
      </c>
      <c r="AE183" s="5" t="str">
        <f>VLOOKUP($A183,'NonXtal_SegEnds_Prot#'!$A:$AL,8,FALSE)</f>
        <v>-</v>
      </c>
      <c r="AF183" s="5">
        <f>VLOOKUP($A183,'NonXtal_SegEnds_Prot#'!$A:$AL,11,FALSE)</f>
        <v>74</v>
      </c>
      <c r="AG183" s="5" t="str">
        <f>VLOOKUP($A183,'NonXtal_SegEnds_Prot#'!$A:$AL,14,FALSE)</f>
        <v>-</v>
      </c>
      <c r="AH183" s="5">
        <f>VLOOKUP($A183,'NonXtal_SegEnds_Prot#'!$A:$AL,17,FALSE)</f>
        <v>114</v>
      </c>
      <c r="AI183" s="5" t="str">
        <f>VLOOKUP($A183,'NonXtal_SegEnds_Prot#'!$A:$AL,20,FALSE)</f>
        <v>-</v>
      </c>
      <c r="AJ183" s="5">
        <f>VLOOKUP($A183,'NonXtal_SegEnds_Prot#'!$A:$AL,23,FALSE)</f>
        <v>158</v>
      </c>
      <c r="AK183" s="5">
        <f>VLOOKUP($A183,'NonXtal_SegEnds_Prot#'!$A:$AL,26,FALSE)</f>
        <v>170</v>
      </c>
      <c r="AL183" s="5">
        <f>VLOOKUP($A183,'NonXtal_SegEnds_Prot#'!$A:$AL,29,FALSE)</f>
        <v>205</v>
      </c>
      <c r="AM183" s="5">
        <f>VLOOKUP($A183,'NonXtal_SegEnds_Prot#'!$A:$AL,32,FALSE)</f>
        <v>275</v>
      </c>
      <c r="AN183" s="5">
        <f>VLOOKUP($A183,'NonXtal_SegEnds_Prot#'!$A:$AL,35,FALSE)</f>
        <v>309</v>
      </c>
      <c r="AO183" s="5">
        <f>VLOOKUP($A183,'NonXtal_SegEnds_Prot#'!$A:$AL,38,FALSE)</f>
        <v>326</v>
      </c>
      <c r="AP183" s="5">
        <f t="shared" si="63"/>
        <v>37</v>
      </c>
      <c r="AQ183" s="4" t="str">
        <f t="shared" si="64"/>
        <v>-</v>
      </c>
      <c r="AR183" s="4">
        <f t="shared" si="65"/>
        <v>26</v>
      </c>
      <c r="AS183" s="4" t="str">
        <f t="shared" si="66"/>
        <v>-</v>
      </c>
      <c r="AT183" s="4">
        <f t="shared" si="67"/>
        <v>33</v>
      </c>
      <c r="AU183" s="4" t="str">
        <f t="shared" si="68"/>
        <v>-</v>
      </c>
      <c r="AV183" s="4">
        <f t="shared" si="69"/>
        <v>28</v>
      </c>
      <c r="AW183" s="4">
        <f t="shared" si="70"/>
        <v>2</v>
      </c>
      <c r="AX183" s="4">
        <f t="shared" si="71"/>
        <v>33</v>
      </c>
      <c r="AY183" s="4">
        <f t="shared" si="72"/>
        <v>24</v>
      </c>
      <c r="AZ183" s="4">
        <f t="shared" si="73"/>
        <v>27</v>
      </c>
      <c r="BA183" s="4">
        <f t="shared" si="74"/>
        <v>16</v>
      </c>
    </row>
    <row r="184" spans="1:53" x14ac:dyDescent="0.2">
      <c r="A184" s="1" t="str">
        <f>'NonXtal_SegEnds_Prot#'!A159</f>
        <v>g137a_human</v>
      </c>
      <c r="B184" s="1" t="str">
        <f t="shared" si="50"/>
        <v>PAVTLGLTAAYTTLYALLFFSVYAQLWLVLLYGHKRLSYQTVFLTVFLALCLLWAALRTTLFSFYFRDTKVKRRPEMSRGLLAVRGAFVGASLLFLLVNVLCARVLVSDSLFVICALSLAACLCLVARNVSDQADLVNDLGNKGYLVFGLIGHCEDEGCSWEHSRGESTRCQDQAAPSPTEYPGPSPPHPRPLCQVCLPLLAQDPGGRG</v>
      </c>
      <c r="C184" s="72" t="str">
        <f>IF(ISERROR(MATCH(A184,'Xtal_SegEnds_Prot#'!B:B, 0)), "NoXtal", "Xtal")</f>
        <v>NoXtal</v>
      </c>
      <c r="D184" s="4" t="str">
        <f>VLOOKUP(A184,Classification!A:D,2,FALSE)</f>
        <v>O</v>
      </c>
      <c r="E184" s="5" t="str">
        <f>VLOOKUP(A184,Seqs!A:B,2,FALSE)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184" s="5" t="str">
        <f t="shared" si="51"/>
        <v>PAVTLGLTAAYTTLYALLFFSVYAQLWLVLLYGHKRLSYQTVFL</v>
      </c>
      <c r="G184" s="4" t="str">
        <f t="shared" si="52"/>
        <v/>
      </c>
      <c r="H184" s="4" t="str">
        <f t="shared" si="53"/>
        <v>TVFLALCLLWAALRTTLFSFYFRDT</v>
      </c>
      <c r="I184" s="4" t="str">
        <f t="shared" si="54"/>
        <v/>
      </c>
      <c r="J184" s="4" t="str">
        <f t="shared" si="55"/>
        <v>KVKRRPEMSRGLLAVRGAFVGASLLFLLVNVLCA</v>
      </c>
      <c r="K184" s="4" t="str">
        <f t="shared" si="56"/>
        <v/>
      </c>
      <c r="L184" s="4" t="str">
        <f t="shared" si="57"/>
        <v>RVLVSDSLFVICALSLAACLCLVAR</v>
      </c>
      <c r="M184" s="4" t="str">
        <f t="shared" si="58"/>
        <v/>
      </c>
      <c r="N184" s="4" t="str">
        <f t="shared" si="59"/>
        <v>NVSDQADLVNDLGNKGYLVFGLI</v>
      </c>
      <c r="O184" s="4" t="str">
        <f t="shared" si="60"/>
        <v>GHCEDEGCSWEHSRGESTRCQDQAA</v>
      </c>
      <c r="P184" s="4" t="str">
        <f t="shared" si="61"/>
        <v>PSPTEYPGPSPPHPRPLCQVCL</v>
      </c>
      <c r="Q184" s="4" t="str">
        <f t="shared" si="62"/>
        <v>PLLAQDPGGRG</v>
      </c>
      <c r="R184" s="5">
        <f>VLOOKUP($A184,'NonXtal_SegEnds_Prot#'!$A:$AL,3,FALSE)</f>
        <v>20</v>
      </c>
      <c r="S184" s="5" t="str">
        <f>VLOOKUP($A184,'NonXtal_SegEnds_Prot#'!$A:$AL,6,FALSE)</f>
        <v>-</v>
      </c>
      <c r="T184" s="5">
        <f>VLOOKUP($A184,'NonXtal_SegEnds_Prot#'!$A:$AL,9,FALSE)</f>
        <v>60</v>
      </c>
      <c r="U184" s="5" t="str">
        <f>VLOOKUP($A184,'NonXtal_SegEnds_Prot#'!$A:$AL,12,FALSE)</f>
        <v>-</v>
      </c>
      <c r="V184" s="5">
        <f>VLOOKUP($A184,'NonXtal_SegEnds_Prot#'!$A:$AL,15,FALSE)</f>
        <v>125</v>
      </c>
      <c r="W184" s="5" t="str">
        <f>VLOOKUP($A184,'NonXtal_SegEnds_Prot#'!$A:$AL,18,FALSE)</f>
        <v>-</v>
      </c>
      <c r="X184" s="5">
        <f>VLOOKUP($A184,'NonXtal_SegEnds_Prot#'!$A:$AL,21,FALSE)</f>
        <v>175</v>
      </c>
      <c r="Y184" s="5" t="str">
        <f>VLOOKUP($A184,'NonXtal_SegEnds_Prot#'!$A:$AL,24,FALSE)</f>
        <v>-</v>
      </c>
      <c r="Z184" s="5">
        <f>VLOOKUP($A184,'NonXtal_SegEnds_Prot#'!$A:$AL,27,FALSE)</f>
        <v>257</v>
      </c>
      <c r="AA184" s="5">
        <f>VLOOKUP($A184,'NonXtal_SegEnds_Prot#'!$A:$AL,30,FALSE)</f>
        <v>326</v>
      </c>
      <c r="AB184" s="5">
        <f>VLOOKUP($A184,'NonXtal_SegEnds_Prot#'!$A:$AL,33,FALSE)</f>
        <v>365</v>
      </c>
      <c r="AC184" s="5">
        <f>VLOOKUP($A184,'NonXtal_SegEnds_Prot#'!$A:$AL,36,FALSE)</f>
        <v>387</v>
      </c>
      <c r="AD184" s="5">
        <f>VLOOKUP($A184,'NonXtal_SegEnds_Prot#'!$A:$AL,5,FALSE)</f>
        <v>63</v>
      </c>
      <c r="AE184" s="5" t="str">
        <f>VLOOKUP($A184,'NonXtal_SegEnds_Prot#'!$A:$AL,8,FALSE)</f>
        <v>-</v>
      </c>
      <c r="AF184" s="5">
        <f>VLOOKUP($A184,'NonXtal_SegEnds_Prot#'!$A:$AL,11,FALSE)</f>
        <v>84</v>
      </c>
      <c r="AG184" s="5" t="str">
        <f>VLOOKUP($A184,'NonXtal_SegEnds_Prot#'!$A:$AL,14,FALSE)</f>
        <v>-</v>
      </c>
      <c r="AH184" s="5">
        <f>VLOOKUP($A184,'NonXtal_SegEnds_Prot#'!$A:$AL,17,FALSE)</f>
        <v>158</v>
      </c>
      <c r="AI184" s="5" t="str">
        <f>VLOOKUP($A184,'NonXtal_SegEnds_Prot#'!$A:$AL,20,FALSE)</f>
        <v>-</v>
      </c>
      <c r="AJ184" s="5">
        <f>VLOOKUP($A184,'NonXtal_SegEnds_Prot#'!$A:$AL,23,FALSE)</f>
        <v>199</v>
      </c>
      <c r="AK184" s="5" t="str">
        <f>VLOOKUP($A184,'NonXtal_SegEnds_Prot#'!$A:$AL,26,FALSE)</f>
        <v>-</v>
      </c>
      <c r="AL184" s="5">
        <f>VLOOKUP($A184,'NonXtal_SegEnds_Prot#'!$A:$AL,29,FALSE)</f>
        <v>279</v>
      </c>
      <c r="AM184" s="5">
        <f>VLOOKUP($A184,'NonXtal_SegEnds_Prot#'!$A:$AL,32,FALSE)</f>
        <v>350</v>
      </c>
      <c r="AN184" s="5">
        <f>VLOOKUP($A184,'NonXtal_SegEnds_Prot#'!$A:$AL,35,FALSE)</f>
        <v>386</v>
      </c>
      <c r="AO184" s="5">
        <f>VLOOKUP($A184,'NonXtal_SegEnds_Prot#'!$A:$AL,38,FALSE)</f>
        <v>397</v>
      </c>
      <c r="AP184" s="5">
        <f t="shared" si="63"/>
        <v>43</v>
      </c>
      <c r="AQ184" s="4" t="str">
        <f t="shared" si="64"/>
        <v>-</v>
      </c>
      <c r="AR184" s="4">
        <f t="shared" si="65"/>
        <v>24</v>
      </c>
      <c r="AS184" s="4" t="str">
        <f t="shared" si="66"/>
        <v>-</v>
      </c>
      <c r="AT184" s="4">
        <f t="shared" si="67"/>
        <v>33</v>
      </c>
      <c r="AU184" s="4" t="str">
        <f t="shared" si="68"/>
        <v>-</v>
      </c>
      <c r="AV184" s="4">
        <f t="shared" si="69"/>
        <v>24</v>
      </c>
      <c r="AW184" s="4" t="str">
        <f t="shared" si="70"/>
        <v>-</v>
      </c>
      <c r="AX184" s="4">
        <f t="shared" si="71"/>
        <v>22</v>
      </c>
      <c r="AY184" s="4">
        <f t="shared" si="72"/>
        <v>24</v>
      </c>
      <c r="AZ184" s="4">
        <f t="shared" si="73"/>
        <v>21</v>
      </c>
      <c r="BA184" s="4">
        <f t="shared" si="74"/>
        <v>10</v>
      </c>
    </row>
    <row r="185" spans="1:53" x14ac:dyDescent="0.2">
      <c r="A185" s="1" t="str">
        <f>'NonXtal_SegEnds_Prot#'!A160</f>
        <v>tpra1_human</v>
      </c>
      <c r="B185" s="1" t="str">
        <f t="shared" si="50"/>
        <v>PHRCLLLLYEDIGTSRVRYWDLLLLIPNVLFLIFLLWKLPSARAKIRIILVFVVALVGIARAVVSMTVSTSNADKILWEITRFFLLAIELSVIILGLAFGHLESKSSYSVTQGTLEILYPDAHLSAEDFNIYYGHGGRQFWLVSSCFFFLVYSLVDIIEGLCCVDATTFLYFSFFAPLIYYKCQVDETEEPDVHLPQPYAVALEAAGAAGASAASYSSTQFDS</v>
      </c>
      <c r="C185" s="72" t="str">
        <f>IF(ISERROR(MATCH(A185,'Xtal_SegEnds_Prot#'!B:B, 0)), "NoXtal", "Xtal")</f>
        <v>NoXtal</v>
      </c>
      <c r="D185" s="4" t="str">
        <f>VLOOKUP(A185,Classification!A:D,2,FALSE)</f>
        <v>O</v>
      </c>
      <c r="E185" s="5" t="str">
        <f>VLOOKUP(A185,Seqs!A:B,2,FALSE)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185" s="5" t="str">
        <f t="shared" si="51"/>
        <v>PHRCLLLLYEDIGTSRVRYWDLLLLIPNVLFLIFLLWKLPSARAKIRI</v>
      </c>
      <c r="G185" s="4" t="str">
        <f t="shared" si="52"/>
        <v/>
      </c>
      <c r="H185" s="4" t="str">
        <f t="shared" si="53"/>
        <v>ILVFVVALVGIARAVVSMTVSTSNA</v>
      </c>
      <c r="I185" s="4" t="str">
        <f t="shared" si="54"/>
        <v/>
      </c>
      <c r="J185" s="4" t="str">
        <f t="shared" si="55"/>
        <v>DKILWEITRFFLLAIELSVIILGLAFGHLESKSS</v>
      </c>
      <c r="K185" s="4" t="str">
        <f t="shared" si="56"/>
        <v/>
      </c>
      <c r="L185" s="4" t="str">
        <f t="shared" si="57"/>
        <v>YSVTQGTLEILYPDAHLSAEDFNIY</v>
      </c>
      <c r="M185" s="4" t="str">
        <f t="shared" si="58"/>
        <v/>
      </c>
      <c r="N185" s="4" t="str">
        <f t="shared" si="59"/>
        <v>YGHGGRQFWLVSSCFFFLVYSLV</v>
      </c>
      <c r="O185" s="4" t="str">
        <f t="shared" si="60"/>
        <v>DIIEGLCCVDATTFLYFSFFAPLIY</v>
      </c>
      <c r="P185" s="4" t="str">
        <f t="shared" si="61"/>
        <v>YKCQVDETEEPDVHLPQPYAVA</v>
      </c>
      <c r="Q185" s="4" t="str">
        <f t="shared" si="62"/>
        <v>LEAAGAAGASAASYSSTQFDS</v>
      </c>
      <c r="R185" s="5">
        <f>VLOOKUP($A185,'NonXtal_SegEnds_Prot#'!$A:$AL,3,FALSE)</f>
        <v>27</v>
      </c>
      <c r="S185" s="5" t="str">
        <f>VLOOKUP($A185,'NonXtal_SegEnds_Prot#'!$A:$AL,6,FALSE)</f>
        <v>-</v>
      </c>
      <c r="T185" s="5">
        <f>VLOOKUP($A185,'NonXtal_SegEnds_Prot#'!$A:$AL,9,FALSE)</f>
        <v>85</v>
      </c>
      <c r="U185" s="5" t="str">
        <f>VLOOKUP($A185,'NonXtal_SegEnds_Prot#'!$A:$AL,12,FALSE)</f>
        <v>-</v>
      </c>
      <c r="V185" s="5">
        <f>VLOOKUP($A185,'NonXtal_SegEnds_Prot#'!$A:$AL,15,FALSE)</f>
        <v>114</v>
      </c>
      <c r="W185" s="5" t="str">
        <f>VLOOKUP($A185,'NonXtal_SegEnds_Prot#'!$A:$AL,18,FALSE)</f>
        <v>-</v>
      </c>
      <c r="X185" s="5">
        <f>VLOOKUP($A185,'NonXtal_SegEnds_Prot#'!$A:$AL,21,FALSE)</f>
        <v>162</v>
      </c>
      <c r="Y185" s="5" t="str">
        <f>VLOOKUP($A185,'NonXtal_SegEnds_Prot#'!$A:$AL,24,FALSE)</f>
        <v>-</v>
      </c>
      <c r="Z185" s="5">
        <f>VLOOKUP($A185,'NonXtal_SegEnds_Prot#'!$A:$AL,27,FALSE)</f>
        <v>186</v>
      </c>
      <c r="AA185" s="5">
        <f>VLOOKUP($A185,'NonXtal_SegEnds_Prot#'!$A:$AL,30,FALSE)</f>
        <v>252</v>
      </c>
      <c r="AB185" s="5">
        <f>VLOOKUP($A185,'NonXtal_SegEnds_Prot#'!$A:$AL,33,FALSE)</f>
        <v>294</v>
      </c>
      <c r="AC185" s="5">
        <f>VLOOKUP($A185,'NonXtal_SegEnds_Prot#'!$A:$AL,36,FALSE)</f>
        <v>320</v>
      </c>
      <c r="AD185" s="5">
        <f>VLOOKUP($A185,'NonXtal_SegEnds_Prot#'!$A:$AL,5,FALSE)</f>
        <v>74</v>
      </c>
      <c r="AE185" s="5" t="str">
        <f>VLOOKUP($A185,'NonXtal_SegEnds_Prot#'!$A:$AL,8,FALSE)</f>
        <v>-</v>
      </c>
      <c r="AF185" s="5">
        <f>VLOOKUP($A185,'NonXtal_SegEnds_Prot#'!$A:$AL,11,FALSE)</f>
        <v>109</v>
      </c>
      <c r="AG185" s="5" t="str">
        <f>VLOOKUP($A185,'NonXtal_SegEnds_Prot#'!$A:$AL,14,FALSE)</f>
        <v>-</v>
      </c>
      <c r="AH185" s="5">
        <f>VLOOKUP($A185,'NonXtal_SegEnds_Prot#'!$A:$AL,17,FALSE)</f>
        <v>147</v>
      </c>
      <c r="AI185" s="5" t="str">
        <f>VLOOKUP($A185,'NonXtal_SegEnds_Prot#'!$A:$AL,20,FALSE)</f>
        <v>-</v>
      </c>
      <c r="AJ185" s="5">
        <f>VLOOKUP($A185,'NonXtal_SegEnds_Prot#'!$A:$AL,23,FALSE)</f>
        <v>186</v>
      </c>
      <c r="AK185" s="5" t="str">
        <f>VLOOKUP($A185,'NonXtal_SegEnds_Prot#'!$A:$AL,26,FALSE)</f>
        <v>-</v>
      </c>
      <c r="AL185" s="5">
        <f>VLOOKUP($A185,'NonXtal_SegEnds_Prot#'!$A:$AL,29,FALSE)</f>
        <v>208</v>
      </c>
      <c r="AM185" s="5">
        <f>VLOOKUP($A185,'NonXtal_SegEnds_Prot#'!$A:$AL,32,FALSE)</f>
        <v>276</v>
      </c>
      <c r="AN185" s="5">
        <f>VLOOKUP($A185,'NonXtal_SegEnds_Prot#'!$A:$AL,35,FALSE)</f>
        <v>315</v>
      </c>
      <c r="AO185" s="5">
        <f>VLOOKUP($A185,'NonXtal_SegEnds_Prot#'!$A:$AL,38,FALSE)</f>
        <v>340</v>
      </c>
      <c r="AP185" s="5">
        <f t="shared" si="63"/>
        <v>47</v>
      </c>
      <c r="AQ185" s="4" t="str">
        <f t="shared" si="64"/>
        <v>-</v>
      </c>
      <c r="AR185" s="4">
        <f t="shared" si="65"/>
        <v>24</v>
      </c>
      <c r="AS185" s="4" t="str">
        <f t="shared" si="66"/>
        <v>-</v>
      </c>
      <c r="AT185" s="4">
        <f t="shared" si="67"/>
        <v>33</v>
      </c>
      <c r="AU185" s="4" t="str">
        <f t="shared" si="68"/>
        <v>-</v>
      </c>
      <c r="AV185" s="4">
        <f t="shared" si="69"/>
        <v>24</v>
      </c>
      <c r="AW185" s="4" t="str">
        <f t="shared" si="70"/>
        <v>-</v>
      </c>
      <c r="AX185" s="4">
        <f t="shared" si="71"/>
        <v>22</v>
      </c>
      <c r="AY185" s="4">
        <f t="shared" si="72"/>
        <v>24</v>
      </c>
      <c r="AZ185" s="4">
        <f t="shared" si="73"/>
        <v>21</v>
      </c>
      <c r="BA185" s="4">
        <f t="shared" si="74"/>
        <v>20</v>
      </c>
    </row>
    <row r="186" spans="1:53" x14ac:dyDescent="0.2">
      <c r="A186" s="1" t="str">
        <f>'NonXtal_SegEnds_Prot#'!A161</f>
        <v>cxcr3_human</v>
      </c>
      <c r="B186" s="1" t="str">
        <f t="shared" si="50"/>
        <v>QDFSLNFDRAFLPALYSLLFLLGLLGNGAVAAVLLSRSSTDTFLLHLAVADTLLVLTLPLWAVDAAVGSGLCKVAGALFNINFYAGALLLACISFDRYLNIVHPARVTLTCLAVWGLCLLFALPDFIFLQVGRTALRVLQLVAGFLLPLLVMAYCYAHILAVLLVSRLRAMRLVVVVVVAFALCWTPYHLVVLVDILMDLGNCGRESRVDVAKSVTSGLGYMHCCLNPLLYAFVGVKFRERMWMLLL</v>
      </c>
      <c r="C186" s="72" t="str">
        <f>IF(ISERROR(MATCH(A186,'Xtal_SegEnds_Prot#'!B:B,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86" s="5" t="str">
        <f t="shared" si="51"/>
        <v>QDFSLNFDRAFLPALYSLLFLLGLLGNGAVAAVLLSR</v>
      </c>
      <c r="G186" s="4" t="str">
        <f t="shared" si="52"/>
        <v>RTAL</v>
      </c>
      <c r="H186" s="4" t="str">
        <f t="shared" si="53"/>
        <v>SSTDTFLLHLAVADTLLVLTLPLWAVDAAV</v>
      </c>
      <c r="I186" s="4" t="str">
        <f t="shared" si="54"/>
        <v>QWVF</v>
      </c>
      <c r="J186" s="4" t="str">
        <f t="shared" si="55"/>
        <v>GSGLCKVAGALFNINFYAGALLLACISFDRYLNIVH</v>
      </c>
      <c r="K186" s="4" t="str">
        <f t="shared" si="56"/>
        <v>ATQLYRRG</v>
      </c>
      <c r="L186" s="4" t="str">
        <f t="shared" si="57"/>
        <v>PARVTLTCLAVWGLCLLFALPDFIFL</v>
      </c>
      <c r="M186" s="4" t="str">
        <f t="shared" si="58"/>
        <v>CQY</v>
      </c>
      <c r="N186" s="4" t="str">
        <f t="shared" si="59"/>
        <v>QVGRTALRVLQLVAGFLLPLLVMAYCYAHILAVLLVS</v>
      </c>
      <c r="O186" s="4" t="str">
        <f t="shared" si="60"/>
        <v>RLRAMRLVVVVVVAFALCWTPYHLVVLVDILMDLG</v>
      </c>
      <c r="P186" s="4" t="str">
        <f t="shared" si="61"/>
        <v>NCGRESRVDVAKSVTSGLGYMHCCLNPLLYAFV</v>
      </c>
      <c r="Q186" s="4" t="str">
        <f t="shared" si="62"/>
        <v>GVKFRERMWMLLL</v>
      </c>
      <c r="R186" s="5">
        <f>VLOOKUP($A186,'NonXtal_SegEnds_Prot#'!$A:$AL,3,FALSE)</f>
        <v>45</v>
      </c>
      <c r="S186" s="5">
        <f>VLOOKUP($A186,'NonXtal_SegEnds_Prot#'!$A:$AL,6,FALSE)</f>
        <v>82</v>
      </c>
      <c r="T186" s="5">
        <f>VLOOKUP($A186,'NonXtal_SegEnds_Prot#'!$A:$AL,9,FALSE)</f>
        <v>86</v>
      </c>
      <c r="U186" s="5">
        <f>VLOOKUP($A186,'NonXtal_SegEnds_Prot#'!$A:$AL,12,FALSE)</f>
        <v>116</v>
      </c>
      <c r="V186" s="5">
        <f>VLOOKUP($A186,'NonXtal_SegEnds_Prot#'!$A:$AL,15,FALSE)</f>
        <v>120</v>
      </c>
      <c r="W186" s="5">
        <f>VLOOKUP($A186,'NonXtal_SegEnds_Prot#'!$A:$AL,18,FALSE)</f>
        <v>156</v>
      </c>
      <c r="X186" s="5">
        <f>VLOOKUP($A186,'NonXtal_SegEnds_Prot#'!$A:$AL,21,FALSE)</f>
        <v>165</v>
      </c>
      <c r="Y186" s="5">
        <f>VLOOKUP($A186,'NonXtal_SegEnds_Prot#'!$A:$AL,24,FALSE)</f>
        <v>203</v>
      </c>
      <c r="Z186" s="5">
        <f>VLOOKUP($A186,'NonXtal_SegEnds_Prot#'!$A:$AL,27,FALSE)</f>
        <v>209</v>
      </c>
      <c r="AA186" s="5">
        <f>VLOOKUP($A186,'NonXtal_SegEnds_Prot#'!$A:$AL,30,FALSE)</f>
        <v>250</v>
      </c>
      <c r="AB186" s="5">
        <f>VLOOKUP($A186,'NonXtal_SegEnds_Prot#'!$A:$AL,33,FALSE)</f>
        <v>289</v>
      </c>
      <c r="AC186" s="5">
        <f>VLOOKUP($A186,'NonXtal_SegEnds_Prot#'!$A:$AL,36,FALSE)</f>
        <v>322</v>
      </c>
      <c r="AD186" s="5">
        <f>VLOOKUP($A186,'NonXtal_SegEnds_Prot#'!$A:$AL,5,FALSE)</f>
        <v>81</v>
      </c>
      <c r="AE186" s="5">
        <f>VLOOKUP($A186,'NonXtal_SegEnds_Prot#'!$A:$AL,8,FALSE)</f>
        <v>85</v>
      </c>
      <c r="AF186" s="5">
        <f>VLOOKUP($A186,'NonXtal_SegEnds_Prot#'!$A:$AL,11,FALSE)</f>
        <v>115</v>
      </c>
      <c r="AG186" s="5">
        <f>VLOOKUP($A186,'NonXtal_SegEnds_Prot#'!$A:$AL,14,FALSE)</f>
        <v>119</v>
      </c>
      <c r="AH186" s="5">
        <f>VLOOKUP($A186,'NonXtal_SegEnds_Prot#'!$A:$AL,17,FALSE)</f>
        <v>155</v>
      </c>
      <c r="AI186" s="5">
        <f>VLOOKUP($A186,'NonXtal_SegEnds_Prot#'!$A:$AL,20,FALSE)</f>
        <v>163</v>
      </c>
      <c r="AJ186" s="5">
        <f>VLOOKUP($A186,'NonXtal_SegEnds_Prot#'!$A:$AL,23,FALSE)</f>
        <v>190</v>
      </c>
      <c r="AK186" s="5">
        <f>VLOOKUP($A186,'NonXtal_SegEnds_Prot#'!$A:$AL,26,FALSE)</f>
        <v>205</v>
      </c>
      <c r="AL186" s="5">
        <f>VLOOKUP($A186,'NonXtal_SegEnds_Prot#'!$A:$AL,29,FALSE)</f>
        <v>245</v>
      </c>
      <c r="AM186" s="5">
        <f>VLOOKUP($A186,'NonXtal_SegEnds_Prot#'!$A:$AL,32,FALSE)</f>
        <v>284</v>
      </c>
      <c r="AN186" s="5">
        <f>VLOOKUP($A186,'NonXtal_SegEnds_Prot#'!$A:$AL,35,FALSE)</f>
        <v>321</v>
      </c>
      <c r="AO186" s="5">
        <f>VLOOKUP($A186,'NonXtal_SegEnds_Prot#'!$A:$AL,38,FALSE)</f>
        <v>334</v>
      </c>
      <c r="AP186" s="5">
        <f t="shared" si="63"/>
        <v>36</v>
      </c>
      <c r="AQ186" s="4">
        <f t="shared" si="64"/>
        <v>3</v>
      </c>
      <c r="AR186" s="4">
        <f t="shared" si="65"/>
        <v>29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25</v>
      </c>
      <c r="AW186" s="4">
        <f t="shared" si="70"/>
        <v>2</v>
      </c>
      <c r="AX186" s="4">
        <f t="shared" si="71"/>
        <v>36</v>
      </c>
      <c r="AY186" s="4">
        <f t="shared" si="72"/>
        <v>34</v>
      </c>
      <c r="AZ186" s="4">
        <f t="shared" si="73"/>
        <v>32</v>
      </c>
      <c r="BA186" s="4">
        <f t="shared" si="74"/>
        <v>12</v>
      </c>
    </row>
    <row r="187" spans="1:53" x14ac:dyDescent="0.2">
      <c r="A187" s="1" t="str">
        <f>'NonXtal_SegEnds_Prot#'!A162</f>
        <v>cxcr5_human</v>
      </c>
      <c r="B187" s="1" t="str">
        <f t="shared" si="50"/>
        <v>GPLMASFKAVFVPVAYSLIFLLGVIGNVLVLVILERHSSTETFLFHLAVADLLLVFILPFAVAEGSVGTFLCKTVIALHKVNFYCSSLLLACIAVDRYLAIVHLLSIHITCGTIWLVGFLLALPEILFATHAWFTSRFLYHVAGFLLPMLVMGWCYVGVVHRLRQARQKAVRVAILVTSIFFLCWSPYHIVIFLDTLARLKTCKLNGSLPVAITMCEFLGLAHCCLNPMLYTFAGVKFRSDLSRLLT</v>
      </c>
      <c r="C187" s="72" t="str">
        <f>IF(ISERROR(MATCH(A187,'Xtal_SegEnds_Prot#'!B:B,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87" s="5" t="str">
        <f t="shared" si="51"/>
        <v>GPLMASFKAVFVPVAYSLIFLLGVIGNVLVLVILERH</v>
      </c>
      <c r="G187" s="4" t="str">
        <f t="shared" si="52"/>
        <v>RQTR</v>
      </c>
      <c r="H187" s="4" t="str">
        <f t="shared" si="53"/>
        <v>SSTETFLFHLAVADLLLVFILPFAVAEGSV</v>
      </c>
      <c r="I187" s="4" t="str">
        <f t="shared" si="54"/>
        <v>GWVL</v>
      </c>
      <c r="J187" s="4" t="str">
        <f t="shared" si="55"/>
        <v>GTFLCKTVIALHKVNFYCSSLLLACIAVDRYLAIVH</v>
      </c>
      <c r="K187" s="4" t="str">
        <f t="shared" si="56"/>
        <v>AVHAYRHR</v>
      </c>
      <c r="L187" s="4" t="str">
        <f t="shared" si="57"/>
        <v>LLSIHITCGTIWLVGFLLALPEILFA</v>
      </c>
      <c r="M187" s="4" t="str">
        <f t="shared" si="58"/>
        <v>CTF</v>
      </c>
      <c r="N187" s="4" t="str">
        <f t="shared" si="59"/>
        <v>THAWFTSRFLYHVAGFLLPMLVMGWCYVGVVHRLRQA</v>
      </c>
      <c r="O187" s="4" t="str">
        <f t="shared" si="60"/>
        <v>RQKAVRVAILVTSIFFLCWSPYHIVIFLDTLARLK</v>
      </c>
      <c r="P187" s="4" t="str">
        <f t="shared" si="61"/>
        <v>TCKLNGSLPVAITMCEFLGLAHCCLNPMLYTFA</v>
      </c>
      <c r="Q187" s="4" t="str">
        <f t="shared" si="62"/>
        <v>GVKFRSDLSRLLT</v>
      </c>
      <c r="R187" s="5">
        <f>VLOOKUP($A187,'NonXtal_SegEnds_Prot#'!$A:$AL,3,FALSE)</f>
        <v>43</v>
      </c>
      <c r="S187" s="5">
        <f>VLOOKUP($A187,'NonXtal_SegEnds_Prot#'!$A:$AL,6,FALSE)</f>
        <v>80</v>
      </c>
      <c r="T187" s="5">
        <f>VLOOKUP($A187,'NonXtal_SegEnds_Prot#'!$A:$AL,9,FALSE)</f>
        <v>84</v>
      </c>
      <c r="U187" s="5">
        <f>VLOOKUP($A187,'NonXtal_SegEnds_Prot#'!$A:$AL,12,FALSE)</f>
        <v>114</v>
      </c>
      <c r="V187" s="5">
        <f>VLOOKUP($A187,'NonXtal_SegEnds_Prot#'!$A:$AL,15,FALSE)</f>
        <v>118</v>
      </c>
      <c r="W187" s="5">
        <f>VLOOKUP($A187,'NonXtal_SegEnds_Prot#'!$A:$AL,18,FALSE)</f>
        <v>154</v>
      </c>
      <c r="X187" s="5">
        <f>VLOOKUP($A187,'NonXtal_SegEnds_Prot#'!$A:$AL,21,FALSE)</f>
        <v>163</v>
      </c>
      <c r="Y187" s="5">
        <f>VLOOKUP($A187,'NonXtal_SegEnds_Prot#'!$A:$AL,24,FALSE)</f>
        <v>202</v>
      </c>
      <c r="Z187" s="5">
        <f>VLOOKUP($A187,'NonXtal_SegEnds_Prot#'!$A:$AL,27,FALSE)</f>
        <v>212</v>
      </c>
      <c r="AA187" s="5">
        <f>VLOOKUP($A187,'NonXtal_SegEnds_Prot#'!$A:$AL,30,FALSE)</f>
        <v>254</v>
      </c>
      <c r="AB187" s="5">
        <f>VLOOKUP($A187,'NonXtal_SegEnds_Prot#'!$A:$AL,33,FALSE)</f>
        <v>293</v>
      </c>
      <c r="AC187" s="5">
        <f>VLOOKUP($A187,'NonXtal_SegEnds_Prot#'!$A:$AL,36,FALSE)</f>
        <v>326</v>
      </c>
      <c r="AD187" s="5">
        <f>VLOOKUP($A187,'NonXtal_SegEnds_Prot#'!$A:$AL,5,FALSE)</f>
        <v>79</v>
      </c>
      <c r="AE187" s="5">
        <f>VLOOKUP($A187,'NonXtal_SegEnds_Prot#'!$A:$AL,8,FALSE)</f>
        <v>83</v>
      </c>
      <c r="AF187" s="5">
        <f>VLOOKUP($A187,'NonXtal_SegEnds_Prot#'!$A:$AL,11,FALSE)</f>
        <v>113</v>
      </c>
      <c r="AG187" s="5">
        <f>VLOOKUP($A187,'NonXtal_SegEnds_Prot#'!$A:$AL,14,FALSE)</f>
        <v>117</v>
      </c>
      <c r="AH187" s="5">
        <f>VLOOKUP($A187,'NonXtal_SegEnds_Prot#'!$A:$AL,17,FALSE)</f>
        <v>153</v>
      </c>
      <c r="AI187" s="5">
        <f>VLOOKUP($A187,'NonXtal_SegEnds_Prot#'!$A:$AL,20,FALSE)</f>
        <v>161</v>
      </c>
      <c r="AJ187" s="5">
        <f>VLOOKUP($A187,'NonXtal_SegEnds_Prot#'!$A:$AL,23,FALSE)</f>
        <v>188</v>
      </c>
      <c r="AK187" s="5">
        <f>VLOOKUP($A187,'NonXtal_SegEnds_Prot#'!$A:$AL,26,FALSE)</f>
        <v>204</v>
      </c>
      <c r="AL187" s="5">
        <f>VLOOKUP($A187,'NonXtal_SegEnds_Prot#'!$A:$AL,29,FALSE)</f>
        <v>248</v>
      </c>
      <c r="AM187" s="5">
        <f>VLOOKUP($A187,'NonXtal_SegEnds_Prot#'!$A:$AL,32,FALSE)</f>
        <v>288</v>
      </c>
      <c r="AN187" s="5">
        <f>VLOOKUP($A187,'NonXtal_SegEnds_Prot#'!$A:$AL,35,FALSE)</f>
        <v>325</v>
      </c>
      <c r="AO187" s="5">
        <f>VLOOKUP($A187,'NonXtal_SegEnds_Prot#'!$A:$AL,38,FALSE)</f>
        <v>338</v>
      </c>
      <c r="AP187" s="5">
        <f t="shared" si="63"/>
        <v>36</v>
      </c>
      <c r="AQ187" s="4">
        <f t="shared" si="64"/>
        <v>3</v>
      </c>
      <c r="AR187" s="4">
        <f t="shared" si="65"/>
        <v>29</v>
      </c>
      <c r="AS187" s="4">
        <f t="shared" si="66"/>
        <v>3</v>
      </c>
      <c r="AT187" s="4">
        <f t="shared" si="67"/>
        <v>35</v>
      </c>
      <c r="AU187" s="4">
        <f t="shared" si="68"/>
        <v>7</v>
      </c>
      <c r="AV187" s="4">
        <f t="shared" si="69"/>
        <v>25</v>
      </c>
      <c r="AW187" s="4">
        <f t="shared" si="70"/>
        <v>2</v>
      </c>
      <c r="AX187" s="4">
        <f t="shared" si="71"/>
        <v>36</v>
      </c>
      <c r="AY187" s="4">
        <f t="shared" si="72"/>
        <v>34</v>
      </c>
      <c r="AZ187" s="4">
        <f t="shared" si="73"/>
        <v>32</v>
      </c>
      <c r="BA187" s="4">
        <f t="shared" si="74"/>
        <v>12</v>
      </c>
    </row>
    <row r="188" spans="1:53" x14ac:dyDescent="0.2">
      <c r="A188" s="1" t="str">
        <f>'NonXtal_SegEnds_Prot#'!A163</f>
        <v>lt4r2_human</v>
      </c>
      <c r="B188" s="1" t="str">
        <f t="shared" si="50"/>
        <v>TLLSWKTSRATGTAFLLLAALLGLPGNGFVVWSLAGWGRPLAATLVLHLALADGAVLLLTPLFVAFLTRGQAGCKAVYYVCALSMYASVLLTGLLSLQRCLAVTRPALARRLLLAVWLAALLLAVPAAVYRAAAHLSLETLTAFVLPFGLMLGCYSVTLARLRGSGRHGARVGRLVSAIVLAFGLLWAPYHAVNLLQAVAALALAKLGGAGQAARAGTTALAFFSSSVNPVLYVFTAGDLLPRAGPRFL</v>
      </c>
      <c r="C188" s="72" t="str">
        <f>IF(ISERROR(MATCH(A188,'Xtal_SegEnds_Prot#'!B:B,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88" s="5" t="str">
        <f t="shared" si="51"/>
        <v>TLLSWKTSRATGTAFLLLAALLGLPGNGFVVWSLAGW</v>
      </c>
      <c r="G188" s="4" t="str">
        <f t="shared" si="52"/>
        <v>RPAR</v>
      </c>
      <c r="H188" s="4" t="str">
        <f t="shared" si="53"/>
        <v>GRPLAATLVLHLALADGAVLLLTPLFVAFLTR</v>
      </c>
      <c r="I188" s="4" t="str">
        <f t="shared" si="54"/>
        <v>AWPL</v>
      </c>
      <c r="J188" s="4" t="str">
        <f t="shared" si="55"/>
        <v>GQAGCKAVYYVCALSMYASVLLTGLLSLQRCLAVTR</v>
      </c>
      <c r="K188" s="4" t="str">
        <f t="shared" si="56"/>
        <v>PFLAPRLR</v>
      </c>
      <c r="L188" s="4" t="str">
        <f t="shared" si="57"/>
        <v>PALARRLLLAVWLAALLLAVPAAVYR</v>
      </c>
      <c r="M188" s="4" t="str">
        <f t="shared" si="58"/>
        <v>CHP</v>
      </c>
      <c r="N188" s="4" t="str">
        <f t="shared" si="59"/>
        <v>AAAHLSLETLTAFVLPFGLMLGCYSVTLARLRG</v>
      </c>
      <c r="O188" s="4" t="str">
        <f t="shared" si="60"/>
        <v>SGRHGARVGRLVSAIVLAFGLLWAPYHAVNLLQAVAALA</v>
      </c>
      <c r="P188" s="4" t="str">
        <f t="shared" si="61"/>
        <v>LAKLGGAGQAARAGTTALAFFSSSVNPVLYVFT</v>
      </c>
      <c r="Q188" s="4" t="str">
        <f t="shared" si="62"/>
        <v>AGDLLPRAGPRFL</v>
      </c>
      <c r="R188" s="5">
        <f>VLOOKUP($A188,'NonXtal_SegEnds_Prot#'!$A:$AL,3,FALSE)</f>
        <v>43</v>
      </c>
      <c r="S188" s="5">
        <f>VLOOKUP($A188,'NonXtal_SegEnds_Prot#'!$A:$AL,6,FALSE)</f>
        <v>80</v>
      </c>
      <c r="T188" s="5">
        <f>VLOOKUP($A188,'NonXtal_SegEnds_Prot#'!$A:$AL,9,FALSE)</f>
        <v>84</v>
      </c>
      <c r="U188" s="5">
        <f>VLOOKUP($A188,'NonXtal_SegEnds_Prot#'!$A:$AL,12,FALSE)</f>
        <v>117</v>
      </c>
      <c r="V188" s="5">
        <f>VLOOKUP($A188,'NonXtal_SegEnds_Prot#'!$A:$AL,15,FALSE)</f>
        <v>121</v>
      </c>
      <c r="W188" s="5">
        <f>VLOOKUP($A188,'NonXtal_SegEnds_Prot#'!$A:$AL,18,FALSE)</f>
        <v>157</v>
      </c>
      <c r="X188" s="5">
        <f>VLOOKUP($A188,'NonXtal_SegEnds_Prot#'!$A:$AL,21,FALSE)</f>
        <v>166</v>
      </c>
      <c r="Y188" s="5">
        <f>VLOOKUP($A188,'NonXtal_SegEnds_Prot#'!$A:$AL,24,FALSE)</f>
        <v>202</v>
      </c>
      <c r="Z188" s="5">
        <f>VLOOKUP($A188,'NonXtal_SegEnds_Prot#'!$A:$AL,27,FALSE)</f>
        <v>209</v>
      </c>
      <c r="AA188" s="5">
        <f>VLOOKUP($A188,'NonXtal_SegEnds_Prot#'!$A:$AL,30,FALSE)</f>
        <v>246</v>
      </c>
      <c r="AB188" s="5">
        <f>VLOOKUP($A188,'NonXtal_SegEnds_Prot#'!$A:$AL,33,FALSE)</f>
        <v>290</v>
      </c>
      <c r="AC188" s="5">
        <f>VLOOKUP($A188,'NonXtal_SegEnds_Prot#'!$A:$AL,36,FALSE)</f>
        <v>323</v>
      </c>
      <c r="AD188" s="5">
        <f>VLOOKUP($A188,'NonXtal_SegEnds_Prot#'!$A:$AL,5,FALSE)</f>
        <v>79</v>
      </c>
      <c r="AE188" s="5">
        <f>VLOOKUP($A188,'NonXtal_SegEnds_Prot#'!$A:$AL,8,FALSE)</f>
        <v>83</v>
      </c>
      <c r="AF188" s="5">
        <f>VLOOKUP($A188,'NonXtal_SegEnds_Prot#'!$A:$AL,11,FALSE)</f>
        <v>115</v>
      </c>
      <c r="AG188" s="5">
        <f>VLOOKUP($A188,'NonXtal_SegEnds_Prot#'!$A:$AL,14,FALSE)</f>
        <v>120</v>
      </c>
      <c r="AH188" s="5">
        <f>VLOOKUP($A188,'NonXtal_SegEnds_Prot#'!$A:$AL,17,FALSE)</f>
        <v>156</v>
      </c>
      <c r="AI188" s="5">
        <f>VLOOKUP($A188,'NonXtal_SegEnds_Prot#'!$A:$AL,20,FALSE)</f>
        <v>164</v>
      </c>
      <c r="AJ188" s="5">
        <f>VLOOKUP($A188,'NonXtal_SegEnds_Prot#'!$A:$AL,23,FALSE)</f>
        <v>191</v>
      </c>
      <c r="AK188" s="5">
        <f>VLOOKUP($A188,'NonXtal_SegEnds_Prot#'!$A:$AL,26,FALSE)</f>
        <v>204</v>
      </c>
      <c r="AL188" s="5">
        <f>VLOOKUP($A188,'NonXtal_SegEnds_Prot#'!$A:$AL,29,FALSE)</f>
        <v>241</v>
      </c>
      <c r="AM188" s="5">
        <f>VLOOKUP($A188,'NonXtal_SegEnds_Prot#'!$A:$AL,32,FALSE)</f>
        <v>284</v>
      </c>
      <c r="AN188" s="5">
        <f>VLOOKUP($A188,'NonXtal_SegEnds_Prot#'!$A:$AL,35,FALSE)</f>
        <v>322</v>
      </c>
      <c r="AO188" s="5">
        <f>VLOOKUP($A188,'NonXtal_SegEnds_Prot#'!$A:$AL,38,FALSE)</f>
        <v>335</v>
      </c>
      <c r="AP188" s="5">
        <f t="shared" si="63"/>
        <v>36</v>
      </c>
      <c r="AQ188" s="4">
        <f t="shared" si="64"/>
        <v>3</v>
      </c>
      <c r="AR188" s="4">
        <f t="shared" si="65"/>
        <v>31</v>
      </c>
      <c r="AS188" s="4">
        <f t="shared" si="66"/>
        <v>3</v>
      </c>
      <c r="AT188" s="4">
        <f t="shared" si="67"/>
        <v>35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32</v>
      </c>
      <c r="AY188" s="4">
        <f t="shared" si="72"/>
        <v>38</v>
      </c>
      <c r="AZ188" s="4">
        <f t="shared" si="73"/>
        <v>32</v>
      </c>
      <c r="BA188" s="4">
        <f t="shared" si="74"/>
        <v>12</v>
      </c>
    </row>
    <row r="189" spans="1:53" x14ac:dyDescent="0.2">
      <c r="A189" s="1" t="str">
        <f>'NonXtal_SegEnds_Prot#'!A164</f>
        <v>c5ar2_human</v>
      </c>
      <c r="B189" s="1" t="str">
        <f t="shared" si="50"/>
        <v>ACLAIDPLRVAPLPLYAAIFLVGVPGNAMVAWVAGKVRVGATWLLHLAVADLLCCLSLPILAVPIARGAVGCRALPSIILLTMYASVLLLAALSADLCFLALGACGVQVACGAAWTLALLLTVPSAIYRSSTENAVTAIRFLFGFLGPLVAVASCHSALLCWRPLGTAIVVGFFVCWAPYHLLGLVLTVALARALRAEPLIVGLALAHSCLNPMLFLYFGRAQLRRSLPAAC</v>
      </c>
      <c r="C189" s="72" t="str">
        <f>IF(ISERROR(MATCH(A189,'Xtal_SegEnds_Prot#'!B:B,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89" s="5" t="str">
        <f t="shared" si="51"/>
        <v>ACLAIDPLRVAPLPLYAAIFLVGVPGNAMVAWVAGKV</v>
      </c>
      <c r="G189" s="4" t="str">
        <f t="shared" si="52"/>
        <v/>
      </c>
      <c r="H189" s="4" t="str">
        <f t="shared" si="53"/>
        <v>RVGATWLLHLAVADLLCCLSLPILAVPIAR</v>
      </c>
      <c r="I189" s="4" t="str">
        <f t="shared" si="54"/>
        <v>HWPY</v>
      </c>
      <c r="J189" s="4" t="str">
        <f t="shared" si="55"/>
        <v>GAVGCRALPSIILLTMYASVLLLAALSADLCFLALG</v>
      </c>
      <c r="K189" s="4" t="str">
        <f t="shared" si="56"/>
        <v>PAWWSTVQ</v>
      </c>
      <c r="L189" s="4" t="str">
        <f t="shared" si="57"/>
        <v>ACGVQVACGAAWTLALLLTVPSAIYR</v>
      </c>
      <c r="M189" s="4" t="str">
        <f t="shared" si="58"/>
        <v>CVV</v>
      </c>
      <c r="N189" s="4" t="str">
        <f t="shared" si="59"/>
        <v>SSTENAVTAIRFLFGFLGPLVAVASCHSALLCW</v>
      </c>
      <c r="O189" s="4" t="str">
        <f t="shared" si="60"/>
        <v>RPLGTAIVVGFFVCWAPYHLLGLVLTVA</v>
      </c>
      <c r="P189" s="4" t="str">
        <f t="shared" si="61"/>
        <v>LARALRAEPLIVGLALAHSCLNPMLFLYF</v>
      </c>
      <c r="Q189" s="4" t="str">
        <f t="shared" si="62"/>
        <v>GRAQLRRSLPAAC</v>
      </c>
      <c r="R189" s="5">
        <f>VLOOKUP($A189,'NonXtal_SegEnds_Prot#'!$A:$AL,3,FALSE)</f>
        <v>27</v>
      </c>
      <c r="S189" s="5" t="str">
        <f>VLOOKUP($A189,'NonXtal_SegEnds_Prot#'!$A:$AL,6,FALSE)</f>
        <v>-</v>
      </c>
      <c r="T189" s="5">
        <f>VLOOKUP($A189,'NonXtal_SegEnds_Prot#'!$A:$AL,9,FALSE)</f>
        <v>67</v>
      </c>
      <c r="U189" s="5">
        <f>VLOOKUP($A189,'NonXtal_SegEnds_Prot#'!$A:$AL,12,FALSE)</f>
        <v>99</v>
      </c>
      <c r="V189" s="5">
        <f>VLOOKUP($A189,'NonXtal_SegEnds_Prot#'!$A:$AL,15,FALSE)</f>
        <v>103</v>
      </c>
      <c r="W189" s="5">
        <f>VLOOKUP($A189,'NonXtal_SegEnds_Prot#'!$A:$AL,18,FALSE)</f>
        <v>139</v>
      </c>
      <c r="X189" s="5">
        <f>VLOOKUP($A189,'NonXtal_SegEnds_Prot#'!$A:$AL,21,FALSE)</f>
        <v>148</v>
      </c>
      <c r="Y189" s="5">
        <f>VLOOKUP($A189,'NonXtal_SegEnds_Prot#'!$A:$AL,24,FALSE)</f>
        <v>186</v>
      </c>
      <c r="Z189" s="5">
        <f>VLOOKUP($A189,'NonXtal_SegEnds_Prot#'!$A:$AL,27,FALSE)</f>
        <v>194</v>
      </c>
      <c r="AA189" s="5">
        <f>VLOOKUP($A189,'NonXtal_SegEnds_Prot#'!$A:$AL,30,FALSE)</f>
        <v>232</v>
      </c>
      <c r="AB189" s="5">
        <f>VLOOKUP($A189,'NonXtal_SegEnds_Prot#'!$A:$AL,33,FALSE)</f>
        <v>266</v>
      </c>
      <c r="AC189" s="5">
        <f>VLOOKUP($A189,'NonXtal_SegEnds_Prot#'!$A:$AL,36,FALSE)</f>
        <v>295</v>
      </c>
      <c r="AD189" s="5">
        <f>VLOOKUP($A189,'NonXtal_SegEnds_Prot#'!$A:$AL,5,FALSE)</f>
        <v>63</v>
      </c>
      <c r="AE189" s="5" t="str">
        <f>VLOOKUP($A189,'NonXtal_SegEnds_Prot#'!$A:$AL,8,FALSE)</f>
        <v>-</v>
      </c>
      <c r="AF189" s="5">
        <f>VLOOKUP($A189,'NonXtal_SegEnds_Prot#'!$A:$AL,11,FALSE)</f>
        <v>96</v>
      </c>
      <c r="AG189" s="5">
        <f>VLOOKUP($A189,'NonXtal_SegEnds_Prot#'!$A:$AL,14,FALSE)</f>
        <v>102</v>
      </c>
      <c r="AH189" s="5">
        <f>VLOOKUP($A189,'NonXtal_SegEnds_Prot#'!$A:$AL,17,FALSE)</f>
        <v>138</v>
      </c>
      <c r="AI189" s="5">
        <f>VLOOKUP($A189,'NonXtal_SegEnds_Prot#'!$A:$AL,20,FALSE)</f>
        <v>146</v>
      </c>
      <c r="AJ189" s="5">
        <f>VLOOKUP($A189,'NonXtal_SegEnds_Prot#'!$A:$AL,23,FALSE)</f>
        <v>173</v>
      </c>
      <c r="AK189" s="5">
        <f>VLOOKUP($A189,'NonXtal_SegEnds_Prot#'!$A:$AL,26,FALSE)</f>
        <v>188</v>
      </c>
      <c r="AL189" s="5">
        <f>VLOOKUP($A189,'NonXtal_SegEnds_Prot#'!$A:$AL,29,FALSE)</f>
        <v>226</v>
      </c>
      <c r="AM189" s="5">
        <f>VLOOKUP($A189,'NonXtal_SegEnds_Prot#'!$A:$AL,32,FALSE)</f>
        <v>259</v>
      </c>
      <c r="AN189" s="5">
        <f>VLOOKUP($A189,'NonXtal_SegEnds_Prot#'!$A:$AL,35,FALSE)</f>
        <v>294</v>
      </c>
      <c r="AO189" s="5">
        <f>VLOOKUP($A189,'NonXtal_SegEnds_Prot#'!$A:$AL,38,FALSE)</f>
        <v>307</v>
      </c>
      <c r="AP189" s="5">
        <f t="shared" si="63"/>
        <v>36</v>
      </c>
      <c r="AQ189" s="4" t="str">
        <f t="shared" si="64"/>
        <v>-</v>
      </c>
      <c r="AR189" s="4">
        <f t="shared" si="65"/>
        <v>29</v>
      </c>
      <c r="AS189" s="4">
        <f t="shared" si="66"/>
        <v>3</v>
      </c>
      <c r="AT189" s="4">
        <f t="shared" si="67"/>
        <v>35</v>
      </c>
      <c r="AU189" s="4">
        <f t="shared" si="68"/>
        <v>7</v>
      </c>
      <c r="AV189" s="4">
        <f t="shared" si="69"/>
        <v>25</v>
      </c>
      <c r="AW189" s="4">
        <f t="shared" si="70"/>
        <v>2</v>
      </c>
      <c r="AX189" s="4">
        <f t="shared" si="71"/>
        <v>32</v>
      </c>
      <c r="AY189" s="4">
        <f t="shared" si="72"/>
        <v>27</v>
      </c>
      <c r="AZ189" s="4">
        <f t="shared" si="73"/>
        <v>28</v>
      </c>
      <c r="BA189" s="4">
        <f t="shared" si="74"/>
        <v>12</v>
      </c>
    </row>
    <row r="190" spans="1:53" x14ac:dyDescent="0.2">
      <c r="A190" s="1" t="str">
        <f>'NonXtal_SegEnds_Prot#'!A165</f>
        <v>cxcr4_human</v>
      </c>
      <c r="B190" s="1" t="str">
        <f t="shared" si="50"/>
        <v>REENANFNKIFLPTIYSIIFLTGIVGNGLVILVMGYQSMTDKYRLHLSVADLLFVITLPFWAVDAVAGNFLCKAVHVIYTVNLYSSVLILAFISLDRYLAIVHLLAEKVVYVGVWIPALLLTIPDFIFADLWVVVFQFQHIMVGLILPGIVILSCYCIIISKLSHSKRKALKTTVILILAFFACWLPYYIGISIDSFILLEGCEFENTVHKWISITEALAFFHCCLNPILYAFLGAKFKTSAQHALT</v>
      </c>
      <c r="C190" s="72" t="str">
        <f>IF(ISERROR(MATCH(A190,'Xtal_SegEnds_Prot#'!B:B, 0)), "NoXtal", "Xtal")</f>
        <v>Xtal</v>
      </c>
      <c r="D190" s="4" t="str">
        <f>VLOOKUP(A190,Classification!A:D,2,FALSE)</f>
        <v>A</v>
      </c>
      <c r="E190" s="5" t="str">
        <f>VLOOKUP(A190,Seqs!A:B,2,FALSE)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90" s="5" t="str">
        <f t="shared" si="51"/>
        <v>REENANFNKIFLPTIYSIIFLTGIVGNGLVILVMGYQ</v>
      </c>
      <c r="G190" s="4" t="str">
        <f t="shared" si="52"/>
        <v>KKLR</v>
      </c>
      <c r="H190" s="4" t="str">
        <f t="shared" si="53"/>
        <v>SMTDKYRLHLSVADLLFVITLPFWAVDAVA</v>
      </c>
      <c r="I190" s="4" t="str">
        <f t="shared" si="54"/>
        <v>NWYF</v>
      </c>
      <c r="J190" s="4" t="str">
        <f t="shared" si="55"/>
        <v>GNFLCKAVHVIYTVNLYSSVLILAFISLDRYLAIVH</v>
      </c>
      <c r="K190" s="4" t="str">
        <f t="shared" si="56"/>
        <v>ATNSQRPR</v>
      </c>
      <c r="L190" s="4" t="str">
        <f t="shared" si="57"/>
        <v>LLAEKVVYVGVWIPALLLTIPDFIFA</v>
      </c>
      <c r="M190" s="4" t="str">
        <f t="shared" si="58"/>
        <v>CDR</v>
      </c>
      <c r="N190" s="4" t="str">
        <f t="shared" si="59"/>
        <v>DLWVVVFQFQHIMVGLILPGIVILSCYCIIISKLSHS</v>
      </c>
      <c r="O190" s="4" t="str">
        <f t="shared" si="60"/>
        <v>KRKALKTTVILILAFFACWLPYYIGISIDSFILLE</v>
      </c>
      <c r="P190" s="4" t="str">
        <f t="shared" si="61"/>
        <v>GCEFENTVHKWISITEALAFFHCCLNPILYAFL</v>
      </c>
      <c r="Q190" s="4" t="str">
        <f t="shared" si="62"/>
        <v>GAKFKTSAQHALT</v>
      </c>
      <c r="R190" s="5">
        <f>VLOOKUP($A190,'NonXtal_SegEnds_Prot#'!$A:$AL,3,FALSE)</f>
        <v>30</v>
      </c>
      <c r="S190" s="5">
        <f>VLOOKUP($A190,'NonXtal_SegEnds_Prot#'!$A:$AL,6,FALSE)</f>
        <v>67</v>
      </c>
      <c r="T190" s="5">
        <f>VLOOKUP($A190,'NonXtal_SegEnds_Prot#'!$A:$AL,9,FALSE)</f>
        <v>71</v>
      </c>
      <c r="U190" s="5">
        <f>VLOOKUP($A190,'NonXtal_SegEnds_Prot#'!$A:$AL,12,FALSE)</f>
        <v>101</v>
      </c>
      <c r="V190" s="5">
        <f>VLOOKUP($A190,'NonXtal_SegEnds_Prot#'!$A:$AL,15,FALSE)</f>
        <v>105</v>
      </c>
      <c r="W190" s="5">
        <f>VLOOKUP($A190,'NonXtal_SegEnds_Prot#'!$A:$AL,18,FALSE)</f>
        <v>141</v>
      </c>
      <c r="X190" s="5">
        <f>VLOOKUP($A190,'NonXtal_SegEnds_Prot#'!$A:$AL,21,FALSE)</f>
        <v>150</v>
      </c>
      <c r="Y190" s="5">
        <f>VLOOKUP($A190,'NonXtal_SegEnds_Prot#'!$A:$AL,24,FALSE)</f>
        <v>186</v>
      </c>
      <c r="Z190" s="5">
        <f>VLOOKUP($A190,'NonXtal_SegEnds_Prot#'!$A:$AL,27,FALSE)</f>
        <v>193</v>
      </c>
      <c r="AA190" s="5">
        <f>VLOOKUP($A190,'NonXtal_SegEnds_Prot#'!$A:$AL,30,FALSE)</f>
        <v>234</v>
      </c>
      <c r="AB190" s="5">
        <f>VLOOKUP($A190,'NonXtal_SegEnds_Prot#'!$A:$AL,33,FALSE)</f>
        <v>273</v>
      </c>
      <c r="AC190" s="5">
        <f>VLOOKUP($A190,'NonXtal_SegEnds_Prot#'!$A:$AL,36,FALSE)</f>
        <v>306</v>
      </c>
      <c r="AD190" s="5">
        <f>VLOOKUP($A190,'NonXtal_SegEnds_Prot#'!$A:$AL,5,FALSE)</f>
        <v>66</v>
      </c>
      <c r="AE190" s="5">
        <f>VLOOKUP($A190,'NonXtal_SegEnds_Prot#'!$A:$AL,8,FALSE)</f>
        <v>70</v>
      </c>
      <c r="AF190" s="5">
        <f>VLOOKUP($A190,'NonXtal_SegEnds_Prot#'!$A:$AL,11,FALSE)</f>
        <v>100</v>
      </c>
      <c r="AG190" s="5">
        <f>VLOOKUP($A190,'NonXtal_SegEnds_Prot#'!$A:$AL,14,FALSE)</f>
        <v>104</v>
      </c>
      <c r="AH190" s="5">
        <f>VLOOKUP($A190,'NonXtal_SegEnds_Prot#'!$A:$AL,17,FALSE)</f>
        <v>140</v>
      </c>
      <c r="AI190" s="5">
        <f>VLOOKUP($A190,'NonXtal_SegEnds_Prot#'!$A:$AL,20,FALSE)</f>
        <v>148</v>
      </c>
      <c r="AJ190" s="5">
        <f>VLOOKUP($A190,'NonXtal_SegEnds_Prot#'!$A:$AL,23,FALSE)</f>
        <v>175</v>
      </c>
      <c r="AK190" s="5">
        <f>VLOOKUP($A190,'NonXtal_SegEnds_Prot#'!$A:$AL,26,FALSE)</f>
        <v>188</v>
      </c>
      <c r="AL190" s="5">
        <f>VLOOKUP($A190,'NonXtal_SegEnds_Prot#'!$A:$AL,29,FALSE)</f>
        <v>229</v>
      </c>
      <c r="AM190" s="5">
        <f>VLOOKUP($A190,'NonXtal_SegEnds_Prot#'!$A:$AL,32,FALSE)</f>
        <v>268</v>
      </c>
      <c r="AN190" s="5">
        <f>VLOOKUP($A190,'NonXtal_SegEnds_Prot#'!$A:$AL,35,FALSE)</f>
        <v>305</v>
      </c>
      <c r="AO190" s="5">
        <f>VLOOKUP($A190,'NonXtal_SegEnds_Prot#'!$A:$AL,38,FALSE)</f>
        <v>318</v>
      </c>
      <c r="AP190" s="5">
        <f t="shared" si="63"/>
        <v>36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25</v>
      </c>
      <c r="AW190" s="4">
        <f t="shared" si="70"/>
        <v>2</v>
      </c>
      <c r="AX190" s="4">
        <f t="shared" si="71"/>
        <v>36</v>
      </c>
      <c r="AY190" s="4">
        <f t="shared" si="72"/>
        <v>34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'NonXtal_SegEnds_Prot#'!A166</f>
        <v>fpr1_human</v>
      </c>
      <c r="B191" s="1" t="str">
        <f t="shared" si="50"/>
        <v>VSAGYLFLDIITYLVFAVTFVLGVLGNGLVIWVAGFRTVTTISYLNLAVADFCFTSTLPFFMVRKAMGWFLCKFVFTIVDINLFGSVFLIALIALDRCVCVLHVSLAKKVIIGPWVMALLLTLPVIIRVVAMLTVRGIIRFIIGFSAPMSIVAVSYGLIATKIHKQSSRPLRVLSFVAAAFFLCWSPYQVVALIATVRYKEIGIAVDVTSALAFFNSCLNPMLYVFMGQDFRERLIHALP</v>
      </c>
      <c r="C191" s="72" t="str">
        <f>IF(ISERROR(MATCH(A191,'Xtal_SegEnds_Prot#'!B:B,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91" s="5" t="str">
        <f t="shared" si="51"/>
        <v>VSAGYLFLDIITYLVFAVTFVLGVLGNGLVIWVAGFR</v>
      </c>
      <c r="G191" s="4" t="str">
        <f t="shared" si="52"/>
        <v/>
      </c>
      <c r="H191" s="4" t="str">
        <f t="shared" si="53"/>
        <v>TVTTISYLNLAVADFCFTSTLPFFMVRKAM</v>
      </c>
      <c r="I191" s="4" t="str">
        <f t="shared" si="54"/>
        <v>HWPF</v>
      </c>
      <c r="J191" s="4" t="str">
        <f t="shared" si="55"/>
        <v>GWFLCKFVFTIVDINLFGSVFLIALIALDRCVCVLH</v>
      </c>
      <c r="K191" s="4" t="str">
        <f t="shared" si="56"/>
        <v>PVWTQNHR</v>
      </c>
      <c r="L191" s="4" t="str">
        <f t="shared" si="57"/>
        <v>VSLAKKVIIGPWVMALLLTLPVIIRV</v>
      </c>
      <c r="M191" s="4" t="str">
        <f t="shared" si="58"/>
        <v>CTF</v>
      </c>
      <c r="N191" s="4" t="str">
        <f t="shared" si="59"/>
        <v>VAMLTVRGIIRFIIGFSAPMSIVAVSYGLIATKIHKQ</v>
      </c>
      <c r="O191" s="4" t="str">
        <f t="shared" si="60"/>
        <v>SSRPLRVLSFVAAAFFLCWSPYQVVALIATVR</v>
      </c>
      <c r="P191" s="4" t="str">
        <f t="shared" si="61"/>
        <v>YKEIGIAVDVTSALAFFNSCLNPMLYVFM</v>
      </c>
      <c r="Q191" s="4" t="str">
        <f t="shared" si="62"/>
        <v>GQDFRERLIHALP</v>
      </c>
      <c r="R191" s="5">
        <f>VLOOKUP($A191,'NonXtal_SegEnds_Prot#'!$A:$AL,3,FALSE)</f>
        <v>18</v>
      </c>
      <c r="S191" s="5" t="str">
        <f>VLOOKUP($A191,'NonXtal_SegEnds_Prot#'!$A:$AL,6,FALSE)</f>
        <v>-</v>
      </c>
      <c r="T191" s="5">
        <f>VLOOKUP($A191,'NonXtal_SegEnds_Prot#'!$A:$AL,9,FALSE)</f>
        <v>58</v>
      </c>
      <c r="U191" s="5">
        <f>VLOOKUP($A191,'NonXtal_SegEnds_Prot#'!$A:$AL,12,FALSE)</f>
        <v>90</v>
      </c>
      <c r="V191" s="5">
        <f>VLOOKUP($A191,'NonXtal_SegEnds_Prot#'!$A:$AL,15,FALSE)</f>
        <v>94</v>
      </c>
      <c r="W191" s="5">
        <f>VLOOKUP($A191,'NonXtal_SegEnds_Prot#'!$A:$AL,18,FALSE)</f>
        <v>130</v>
      </c>
      <c r="X191" s="5">
        <f>VLOOKUP($A191,'NonXtal_SegEnds_Prot#'!$A:$AL,21,FALSE)</f>
        <v>139</v>
      </c>
      <c r="Y191" s="5">
        <f>VLOOKUP($A191,'NonXtal_SegEnds_Prot#'!$A:$AL,24,FALSE)</f>
        <v>176</v>
      </c>
      <c r="Z191" s="5">
        <f>VLOOKUP($A191,'NonXtal_SegEnds_Prot#'!$A:$AL,27,FALSE)</f>
        <v>195</v>
      </c>
      <c r="AA191" s="5">
        <f>VLOOKUP($A191,'NonXtal_SegEnds_Prot#'!$A:$AL,30,FALSE)</f>
        <v>236</v>
      </c>
      <c r="AB191" s="5">
        <f>VLOOKUP($A191,'NonXtal_SegEnds_Prot#'!$A:$AL,33,FALSE)</f>
        <v>276</v>
      </c>
      <c r="AC191" s="5">
        <f>VLOOKUP($A191,'NonXtal_SegEnds_Prot#'!$A:$AL,36,FALSE)</f>
        <v>305</v>
      </c>
      <c r="AD191" s="5">
        <f>VLOOKUP($A191,'NonXtal_SegEnds_Prot#'!$A:$AL,5,FALSE)</f>
        <v>54</v>
      </c>
      <c r="AE191" s="5" t="str">
        <f>VLOOKUP($A191,'NonXtal_SegEnds_Prot#'!$A:$AL,8,FALSE)</f>
        <v>-</v>
      </c>
      <c r="AF191" s="5">
        <f>VLOOKUP($A191,'NonXtal_SegEnds_Prot#'!$A:$AL,11,FALSE)</f>
        <v>87</v>
      </c>
      <c r="AG191" s="5">
        <f>VLOOKUP($A191,'NonXtal_SegEnds_Prot#'!$A:$AL,14,FALSE)</f>
        <v>93</v>
      </c>
      <c r="AH191" s="5">
        <f>VLOOKUP($A191,'NonXtal_SegEnds_Prot#'!$A:$AL,17,FALSE)</f>
        <v>129</v>
      </c>
      <c r="AI191" s="5">
        <f>VLOOKUP($A191,'NonXtal_SegEnds_Prot#'!$A:$AL,20,FALSE)</f>
        <v>137</v>
      </c>
      <c r="AJ191" s="5">
        <f>VLOOKUP($A191,'NonXtal_SegEnds_Prot#'!$A:$AL,23,FALSE)</f>
        <v>164</v>
      </c>
      <c r="AK191" s="5">
        <f>VLOOKUP($A191,'NonXtal_SegEnds_Prot#'!$A:$AL,26,FALSE)</f>
        <v>178</v>
      </c>
      <c r="AL191" s="5">
        <f>VLOOKUP($A191,'NonXtal_SegEnds_Prot#'!$A:$AL,29,FALSE)</f>
        <v>231</v>
      </c>
      <c r="AM191" s="5">
        <f>VLOOKUP($A191,'NonXtal_SegEnds_Prot#'!$A:$AL,32,FALSE)</f>
        <v>267</v>
      </c>
      <c r="AN191" s="5">
        <f>VLOOKUP($A191,'NonXtal_SegEnds_Prot#'!$A:$AL,35,FALSE)</f>
        <v>304</v>
      </c>
      <c r="AO191" s="5">
        <f>VLOOKUP($A191,'NonXtal_SegEnds_Prot#'!$A:$AL,38,FALSE)</f>
        <v>317</v>
      </c>
      <c r="AP191" s="5">
        <f t="shared" si="63"/>
        <v>36</v>
      </c>
      <c r="AQ191" s="4" t="str">
        <f t="shared" si="64"/>
        <v>-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25</v>
      </c>
      <c r="AW191" s="4">
        <f t="shared" si="70"/>
        <v>2</v>
      </c>
      <c r="AX191" s="4">
        <f t="shared" si="71"/>
        <v>36</v>
      </c>
      <c r="AY191" s="4">
        <f t="shared" si="72"/>
        <v>31</v>
      </c>
      <c r="AZ191" s="4">
        <f t="shared" si="73"/>
        <v>28</v>
      </c>
      <c r="BA191" s="4">
        <f t="shared" si="74"/>
        <v>12</v>
      </c>
    </row>
    <row r="192" spans="1:53" x14ac:dyDescent="0.2">
      <c r="A192" s="1" t="str">
        <f>'NonXtal_SegEnds_Prot#'!A167</f>
        <v>fpr2_human</v>
      </c>
      <c r="B192" s="1" t="str">
        <f t="shared" si="50"/>
        <v>ESAGYTVLRILPLVVLGVTFVLGVLGNGLVIWVAGFRTVTTICYLNLALADFSFTATLPFLIVSMAMGWFLCKLIHIVVDINLFGSVFLIGFIALDRCICVLHVSLAMKVIVGPWILALVLTLPVFLFLITMLTARGIIRFVIGFSLPMSIVAICYGLIAAKIHKKSSRPLRVLTAVVASFFICWFPFQLVALLGTVWFYGKYKIIDILVNPTSSLAFFNSCLNPMLYVFVGQDFRERLIHSLP</v>
      </c>
      <c r="C192" s="72" t="str">
        <f>IF(ISERROR(MATCH(A192,'Xtal_SegEnds_Prot#'!B:B,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92" s="5" t="str">
        <f t="shared" si="51"/>
        <v>ESAGYTVLRILPLVVLGVTFVLGVLGNGLVIWVAGFR</v>
      </c>
      <c r="G192" s="4" t="str">
        <f t="shared" si="52"/>
        <v/>
      </c>
      <c r="H192" s="4" t="str">
        <f t="shared" si="53"/>
        <v>TVTTICYLNLALADFSFTATLPFLIVSMAM</v>
      </c>
      <c r="I192" s="4" t="str">
        <f t="shared" si="54"/>
        <v>KWPF</v>
      </c>
      <c r="J192" s="4" t="str">
        <f t="shared" si="55"/>
        <v>GWFLCKLIHIVVDINLFGSVFLIGFIALDRCICVLH</v>
      </c>
      <c r="K192" s="4" t="str">
        <f t="shared" si="56"/>
        <v>PVWAQNHR</v>
      </c>
      <c r="L192" s="4" t="str">
        <f t="shared" si="57"/>
        <v>VSLAMKVIVGPWILALVLTLPVFLFL</v>
      </c>
      <c r="M192" s="4" t="str">
        <f t="shared" si="58"/>
        <v>CTF</v>
      </c>
      <c r="N192" s="4" t="str">
        <f t="shared" si="59"/>
        <v>ITMLTARGIIRFVIGFSLPMSIVAICYGLIAAKIHKK</v>
      </c>
      <c r="O192" s="4" t="str">
        <f t="shared" si="60"/>
        <v>SSRPLRVLTAVVASFFICWFPFQLVALLGTVW</v>
      </c>
      <c r="P192" s="4" t="str">
        <f t="shared" si="61"/>
        <v>FYGKYKIIDILVNPTSSLAFFNSCLNPMLYVFV</v>
      </c>
      <c r="Q192" s="4" t="str">
        <f t="shared" si="62"/>
        <v>GQDFRERLIHSLP</v>
      </c>
      <c r="R192" s="5">
        <f>VLOOKUP($A192,'NonXtal_SegEnds_Prot#'!$A:$AL,3,FALSE)</f>
        <v>18</v>
      </c>
      <c r="S192" s="5" t="str">
        <f>VLOOKUP($A192,'NonXtal_SegEnds_Prot#'!$A:$AL,6,FALSE)</f>
        <v>-</v>
      </c>
      <c r="T192" s="5">
        <f>VLOOKUP($A192,'NonXtal_SegEnds_Prot#'!$A:$AL,9,FALSE)</f>
        <v>58</v>
      </c>
      <c r="U192" s="5">
        <f>VLOOKUP($A192,'NonXtal_SegEnds_Prot#'!$A:$AL,12,FALSE)</f>
        <v>90</v>
      </c>
      <c r="V192" s="5">
        <f>VLOOKUP($A192,'NonXtal_SegEnds_Prot#'!$A:$AL,15,FALSE)</f>
        <v>94</v>
      </c>
      <c r="W192" s="5">
        <f>VLOOKUP($A192,'NonXtal_SegEnds_Prot#'!$A:$AL,18,FALSE)</f>
        <v>130</v>
      </c>
      <c r="X192" s="5">
        <f>VLOOKUP($A192,'NonXtal_SegEnds_Prot#'!$A:$AL,21,FALSE)</f>
        <v>139</v>
      </c>
      <c r="Y192" s="5">
        <f>VLOOKUP($A192,'NonXtal_SegEnds_Prot#'!$A:$AL,24,FALSE)</f>
        <v>176</v>
      </c>
      <c r="Z192" s="5">
        <f>VLOOKUP($A192,'NonXtal_SegEnds_Prot#'!$A:$AL,27,FALSE)</f>
        <v>195</v>
      </c>
      <c r="AA192" s="5">
        <f>VLOOKUP($A192,'NonXtal_SegEnds_Prot#'!$A:$AL,30,FALSE)</f>
        <v>236</v>
      </c>
      <c r="AB192" s="5">
        <f>VLOOKUP($A192,'NonXtal_SegEnds_Prot#'!$A:$AL,33,FALSE)</f>
        <v>273</v>
      </c>
      <c r="AC192" s="5">
        <f>VLOOKUP($A192,'NonXtal_SegEnds_Prot#'!$A:$AL,36,FALSE)</f>
        <v>306</v>
      </c>
      <c r="AD192" s="5">
        <f>VLOOKUP($A192,'NonXtal_SegEnds_Prot#'!$A:$AL,5,FALSE)</f>
        <v>54</v>
      </c>
      <c r="AE192" s="5" t="str">
        <f>VLOOKUP($A192,'NonXtal_SegEnds_Prot#'!$A:$AL,8,FALSE)</f>
        <v>-</v>
      </c>
      <c r="AF192" s="5">
        <f>VLOOKUP($A192,'NonXtal_SegEnds_Prot#'!$A:$AL,11,FALSE)</f>
        <v>87</v>
      </c>
      <c r="AG192" s="5">
        <f>VLOOKUP($A192,'NonXtal_SegEnds_Prot#'!$A:$AL,14,FALSE)</f>
        <v>93</v>
      </c>
      <c r="AH192" s="5">
        <f>VLOOKUP($A192,'NonXtal_SegEnds_Prot#'!$A:$AL,17,FALSE)</f>
        <v>129</v>
      </c>
      <c r="AI192" s="5">
        <f>VLOOKUP($A192,'NonXtal_SegEnds_Prot#'!$A:$AL,20,FALSE)</f>
        <v>137</v>
      </c>
      <c r="AJ192" s="5">
        <f>VLOOKUP($A192,'NonXtal_SegEnds_Prot#'!$A:$AL,23,FALSE)</f>
        <v>164</v>
      </c>
      <c r="AK192" s="5">
        <f>VLOOKUP($A192,'NonXtal_SegEnds_Prot#'!$A:$AL,26,FALSE)</f>
        <v>178</v>
      </c>
      <c r="AL192" s="5">
        <f>VLOOKUP($A192,'NonXtal_SegEnds_Prot#'!$A:$AL,29,FALSE)</f>
        <v>231</v>
      </c>
      <c r="AM192" s="5">
        <f>VLOOKUP($A192,'NonXtal_SegEnds_Prot#'!$A:$AL,32,FALSE)</f>
        <v>267</v>
      </c>
      <c r="AN192" s="5">
        <f>VLOOKUP($A192,'NonXtal_SegEnds_Prot#'!$A:$AL,35,FALSE)</f>
        <v>305</v>
      </c>
      <c r="AO192" s="5">
        <f>VLOOKUP($A192,'NonXtal_SegEnds_Prot#'!$A:$AL,38,FALSE)</f>
        <v>318</v>
      </c>
      <c r="AP192" s="5">
        <f t="shared" si="63"/>
        <v>36</v>
      </c>
      <c r="AQ192" s="4" t="str">
        <f t="shared" si="64"/>
        <v>-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36</v>
      </c>
      <c r="AY192" s="4">
        <f t="shared" si="72"/>
        <v>31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'NonXtal_SegEnds_Prot#'!A168</f>
        <v>fpr3_human</v>
      </c>
      <c r="B193" s="1" t="str">
        <f t="shared" si="50"/>
        <v>EPAGHTVLWIFSLLVHGVTFVFGVLGNGLVIWVAGFRTVNTICYLNLALADFSFSAILPFRMVSVAMGSFLCKLVHVMIDINLFVSVYLITIIALDRCICVLHMSLAKRVMTGLWIFTIVLTLPNFIFWITMAKVFLILHFIIGFSVPMSIITVCYGIIAAKIHRNSSRPLRVFAAVVASFFICWFPYELIGILMAVWLNGKYKIILVLINPTSSLAFFNSCLNPILYVFMGRNFQERLIRSLP</v>
      </c>
      <c r="C193" s="72" t="str">
        <f>IF(ISERROR(MATCH(A193,'Xtal_SegEnds_Prot#'!B:B,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93" s="5" t="str">
        <f t="shared" si="51"/>
        <v>EPAGHTVLWIFSLLVHGVTFVFGVLGNGLVIWVAGFR</v>
      </c>
      <c r="G193" s="4" t="str">
        <f t="shared" si="52"/>
        <v/>
      </c>
      <c r="H193" s="4" t="str">
        <f t="shared" si="53"/>
        <v>TVNTICYLNLALADFSFSAILPFRMVSVAM</v>
      </c>
      <c r="I193" s="4" t="str">
        <f t="shared" si="54"/>
        <v>KWPF</v>
      </c>
      <c r="J193" s="4" t="str">
        <f t="shared" si="55"/>
        <v>GSFLCKLVHVMIDINLFVSVYLITIIALDRCICVLH</v>
      </c>
      <c r="K193" s="4" t="str">
        <f t="shared" si="56"/>
        <v>PAWAQNHR</v>
      </c>
      <c r="L193" s="4" t="str">
        <f t="shared" si="57"/>
        <v>MSLAKRVMTGLWIFTIVLTLPNFIFW</v>
      </c>
      <c r="M193" s="4" t="str">
        <f t="shared" si="58"/>
        <v>CIF</v>
      </c>
      <c r="N193" s="4" t="str">
        <f t="shared" si="59"/>
        <v>ITMAKVFLILHFIIGFSVPMSIITVCYGIIAAKIHRN</v>
      </c>
      <c r="O193" s="4" t="str">
        <f t="shared" si="60"/>
        <v>SSRPLRVFAAVVASFFICWFPYELIGILMAVW</v>
      </c>
      <c r="P193" s="4" t="str">
        <f t="shared" si="61"/>
        <v>LNGKYKIILVLINPTSSLAFFNSCLNPILYVFM</v>
      </c>
      <c r="Q193" s="4" t="str">
        <f t="shared" si="62"/>
        <v>GRNFQERLIRSLP</v>
      </c>
      <c r="R193" s="5">
        <f>VLOOKUP($A193,'NonXtal_SegEnds_Prot#'!$A:$AL,3,FALSE)</f>
        <v>18</v>
      </c>
      <c r="S193" s="5" t="str">
        <f>VLOOKUP($A193,'NonXtal_SegEnds_Prot#'!$A:$AL,6,FALSE)</f>
        <v>-</v>
      </c>
      <c r="T193" s="5">
        <f>VLOOKUP($A193,'NonXtal_SegEnds_Prot#'!$A:$AL,9,FALSE)</f>
        <v>58</v>
      </c>
      <c r="U193" s="5">
        <f>VLOOKUP($A193,'NonXtal_SegEnds_Prot#'!$A:$AL,12,FALSE)</f>
        <v>90</v>
      </c>
      <c r="V193" s="5">
        <f>VLOOKUP($A193,'NonXtal_SegEnds_Prot#'!$A:$AL,15,FALSE)</f>
        <v>94</v>
      </c>
      <c r="W193" s="5">
        <f>VLOOKUP($A193,'NonXtal_SegEnds_Prot#'!$A:$AL,18,FALSE)</f>
        <v>130</v>
      </c>
      <c r="X193" s="5">
        <f>VLOOKUP($A193,'NonXtal_SegEnds_Prot#'!$A:$AL,21,FALSE)</f>
        <v>139</v>
      </c>
      <c r="Y193" s="5">
        <f>VLOOKUP($A193,'NonXtal_SegEnds_Prot#'!$A:$AL,24,FALSE)</f>
        <v>176</v>
      </c>
      <c r="Z193" s="5">
        <f>VLOOKUP($A193,'NonXtal_SegEnds_Prot#'!$A:$AL,27,FALSE)</f>
        <v>195</v>
      </c>
      <c r="AA193" s="5">
        <f>VLOOKUP($A193,'NonXtal_SegEnds_Prot#'!$A:$AL,30,FALSE)</f>
        <v>236</v>
      </c>
      <c r="AB193" s="5">
        <f>VLOOKUP($A193,'NonXtal_SegEnds_Prot#'!$A:$AL,33,FALSE)</f>
        <v>273</v>
      </c>
      <c r="AC193" s="5">
        <f>VLOOKUP($A193,'NonXtal_SegEnds_Prot#'!$A:$AL,36,FALSE)</f>
        <v>306</v>
      </c>
      <c r="AD193" s="5">
        <f>VLOOKUP($A193,'NonXtal_SegEnds_Prot#'!$A:$AL,5,FALSE)</f>
        <v>54</v>
      </c>
      <c r="AE193" s="5" t="str">
        <f>VLOOKUP($A193,'NonXtal_SegEnds_Prot#'!$A:$AL,8,FALSE)</f>
        <v>-</v>
      </c>
      <c r="AF193" s="5">
        <f>VLOOKUP($A193,'NonXtal_SegEnds_Prot#'!$A:$AL,11,FALSE)</f>
        <v>87</v>
      </c>
      <c r="AG193" s="5">
        <f>VLOOKUP($A193,'NonXtal_SegEnds_Prot#'!$A:$AL,14,FALSE)</f>
        <v>93</v>
      </c>
      <c r="AH193" s="5">
        <f>VLOOKUP($A193,'NonXtal_SegEnds_Prot#'!$A:$AL,17,FALSE)</f>
        <v>129</v>
      </c>
      <c r="AI193" s="5">
        <f>VLOOKUP($A193,'NonXtal_SegEnds_Prot#'!$A:$AL,20,FALSE)</f>
        <v>137</v>
      </c>
      <c r="AJ193" s="5">
        <f>VLOOKUP($A193,'NonXtal_SegEnds_Prot#'!$A:$AL,23,FALSE)</f>
        <v>164</v>
      </c>
      <c r="AK193" s="5">
        <f>VLOOKUP($A193,'NonXtal_SegEnds_Prot#'!$A:$AL,26,FALSE)</f>
        <v>178</v>
      </c>
      <c r="AL193" s="5">
        <f>VLOOKUP($A193,'NonXtal_SegEnds_Prot#'!$A:$AL,29,FALSE)</f>
        <v>231</v>
      </c>
      <c r="AM193" s="5">
        <f>VLOOKUP($A193,'NonXtal_SegEnds_Prot#'!$A:$AL,32,FALSE)</f>
        <v>267</v>
      </c>
      <c r="AN193" s="5">
        <f>VLOOKUP($A193,'NonXtal_SegEnds_Prot#'!$A:$AL,35,FALSE)</f>
        <v>305</v>
      </c>
      <c r="AO193" s="5">
        <f>VLOOKUP($A193,'NonXtal_SegEnds_Prot#'!$A:$AL,38,FALSE)</f>
        <v>318</v>
      </c>
      <c r="AP193" s="5">
        <f t="shared" si="63"/>
        <v>36</v>
      </c>
      <c r="AQ193" s="4" t="str">
        <f t="shared" si="64"/>
        <v>-</v>
      </c>
      <c r="AR193" s="4">
        <f t="shared" si="65"/>
        <v>29</v>
      </c>
      <c r="AS193" s="4">
        <f t="shared" si="66"/>
        <v>3</v>
      </c>
      <c r="AT193" s="4">
        <f t="shared" si="67"/>
        <v>35</v>
      </c>
      <c r="AU193" s="4">
        <f t="shared" si="68"/>
        <v>7</v>
      </c>
      <c r="AV193" s="4">
        <f t="shared" si="69"/>
        <v>25</v>
      </c>
      <c r="AW193" s="4">
        <f t="shared" si="70"/>
        <v>2</v>
      </c>
      <c r="AX193" s="4">
        <f t="shared" si="71"/>
        <v>36</v>
      </c>
      <c r="AY193" s="4">
        <f t="shared" si="72"/>
        <v>31</v>
      </c>
      <c r="AZ193" s="4">
        <f t="shared" si="73"/>
        <v>32</v>
      </c>
      <c r="BA193" s="4">
        <f t="shared" si="74"/>
        <v>12</v>
      </c>
    </row>
    <row r="194" spans="1:53" x14ac:dyDescent="0.2">
      <c r="A194" s="1" t="str">
        <f>'NonXtal_SegEnds_Prot#'!A169</f>
        <v>gpr88_human</v>
      </c>
      <c r="B194" s="1" t="str">
        <f t="shared" ref="B194:B257" si="75">F194&amp;H194&amp;J194&amp;L194&amp;N194&amp;O194&amp;P194&amp;Q194</f>
        <v>AGRRIPVSLLYSGLAIGGTLANGMVIYLVSSFTTSNAFIVNGCAADLSVCALWMPQEAVLGLLDGAGGSYRLLRGGLLGLGLTVSLLSHCLVALNRYLLITRRRHTAGMLALSWALALGLVLLLPPWVKRVSVLNFHLLHQLPGCAAAAAAFPGAQHAPGPGGAAHPPALHPRRAQRRLSGLSVLLLCCVFLLATQPLVWVSLASGFSWGVQAASWLLCCALSALNPLLYTWRNEEFRRSVRSVLP</v>
      </c>
      <c r="C194" s="72" t="str">
        <f>IF(ISERROR(MATCH(A194,'Xtal_SegEnds_Prot#'!B:B,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94" s="5" t="str">
        <f t="shared" ref="F194:F257" si="76">IFERROR(MID($E194,R194,(AP194+1)),"")</f>
        <v>AGRRIPVSLLYSGLAIGGTLANGMVIYLVSSF</v>
      </c>
      <c r="G194" s="4" t="str">
        <f t="shared" ref="G194:G257" si="77">IFERROR(MID($E194,S194,(AQ194+1)),"")</f>
        <v>RKLQ</v>
      </c>
      <c r="H194" s="4" t="str">
        <f t="shared" ref="H194:H257" si="78">IFERROR(MID($E194,T194,(AR194+1)),"")</f>
        <v>TTSNAFIVNGCAADLSVCALWMPQEAVLGLL</v>
      </c>
      <c r="I194" s="4" t="str">
        <f t="shared" ref="I194:I257" si="79">IFERROR(MID($E194,U194,(AS194+1)),"")</f>
        <v/>
      </c>
      <c r="J194" s="4" t="str">
        <f t="shared" ref="J194:J257" si="80">IFERROR(MID($E194,V194,(AT194+1)),"")</f>
        <v>DGAGGSYRLLRGGLLGLGLTVSLLSHCLVALNRYLLITR</v>
      </c>
      <c r="K194" s="4" t="str">
        <f t="shared" ref="K194:K257" si="81">IFERROR(MID($E194,W194,(AU194+1)),"")</f>
        <v>PATYQALY</v>
      </c>
      <c r="L194" s="4" t="str">
        <f t="shared" ref="L194:L257" si="82">IFERROR(MID($E194,X194,(AV194+1)),"")</f>
        <v>RRHTAGMLALSWALALGLVLLLPPW</v>
      </c>
      <c r="M194" s="4" t="str">
        <f t="shared" ref="M194:M257" si="83">IFERROR(MID($E194,Y194,(AW194+1)),"")</f>
        <v/>
      </c>
      <c r="N194" s="4" t="str">
        <f t="shared" ref="N194:N257" si="84">IFERROR(MID($E194,Z194,(AX194+1)),"")</f>
        <v>VKRVSVLNFHLLHQLPGCAAAAAAFPGAQHAPGPGGAAHP</v>
      </c>
      <c r="O194" s="4" t="str">
        <f t="shared" ref="O194:O257" si="85">IFERROR(MID($E194,AA194,(AY194+1)),"")</f>
        <v>PALHPRRAQRRLSGLSVLLLCCVFLLATQPLVWVSLASGFS</v>
      </c>
      <c r="P194" s="4" t="str">
        <f t="shared" ref="P194:P257" si="86">IFERROR(MID($E194,AB194,(AZ194+1)),"")</f>
        <v>WGVQAASWLLCCALSALNPLLYTWR</v>
      </c>
      <c r="Q194" s="4" t="str">
        <f t="shared" ref="Q194:Q257" si="87">IFERROR(MID($E194,AC194,(BA194+1)),"")</f>
        <v>NEEFRRSVRSVLP</v>
      </c>
      <c r="R194" s="5">
        <f>VLOOKUP($A194,'NonXtal_SegEnds_Prot#'!$A:$AL,3,FALSE)</f>
        <v>28</v>
      </c>
      <c r="S194" s="5">
        <f>VLOOKUP($A194,'NonXtal_SegEnds_Prot#'!$A:$AL,6,FALSE)</f>
        <v>60</v>
      </c>
      <c r="T194" s="5">
        <f>VLOOKUP($A194,'NonXtal_SegEnds_Prot#'!$A:$AL,9,FALSE)</f>
        <v>64</v>
      </c>
      <c r="U194" s="5" t="str">
        <f>VLOOKUP($A194,'NonXtal_SegEnds_Prot#'!$A:$AL,12,FALSE)</f>
        <v>-</v>
      </c>
      <c r="V194" s="5">
        <f>VLOOKUP($A194,'NonXtal_SegEnds_Prot#'!$A:$AL,15,FALSE)</f>
        <v>106</v>
      </c>
      <c r="W194" s="5">
        <f>VLOOKUP($A194,'NonXtal_SegEnds_Prot#'!$A:$AL,18,FALSE)</f>
        <v>146</v>
      </c>
      <c r="X194" s="5">
        <f>VLOOKUP($A194,'NonXtal_SegEnds_Prot#'!$A:$AL,21,FALSE)</f>
        <v>155</v>
      </c>
      <c r="Y194" s="5" t="str">
        <f>VLOOKUP($A194,'NonXtal_SegEnds_Prot#'!$A:$AL,24,FALSE)</f>
        <v>-</v>
      </c>
      <c r="Z194" s="5">
        <f>VLOOKUP($A194,'NonXtal_SegEnds_Prot#'!$A:$AL,27,FALSE)</f>
        <v>223</v>
      </c>
      <c r="AA194" s="5">
        <f>VLOOKUP($A194,'NonXtal_SegEnds_Prot#'!$A:$AL,30,FALSE)</f>
        <v>270</v>
      </c>
      <c r="AB194" s="5">
        <f>VLOOKUP($A194,'NonXtal_SegEnds_Prot#'!$A:$AL,33,FALSE)</f>
        <v>315</v>
      </c>
      <c r="AC194" s="5">
        <f>VLOOKUP($A194,'NonXtal_SegEnds_Prot#'!$A:$AL,36,FALSE)</f>
        <v>340</v>
      </c>
      <c r="AD194" s="5">
        <f>VLOOKUP($A194,'NonXtal_SegEnds_Prot#'!$A:$AL,5,FALSE)</f>
        <v>59</v>
      </c>
      <c r="AE194" s="5">
        <f>VLOOKUP($A194,'NonXtal_SegEnds_Prot#'!$A:$AL,8,FALSE)</f>
        <v>63</v>
      </c>
      <c r="AF194" s="5">
        <f>VLOOKUP($A194,'NonXtal_SegEnds_Prot#'!$A:$AL,11,FALSE)</f>
        <v>94</v>
      </c>
      <c r="AG194" s="5" t="str">
        <f>VLOOKUP($A194,'NonXtal_SegEnds_Prot#'!$A:$AL,14,FALSE)</f>
        <v>-</v>
      </c>
      <c r="AH194" s="5">
        <f>VLOOKUP($A194,'NonXtal_SegEnds_Prot#'!$A:$AL,17,FALSE)</f>
        <v>144</v>
      </c>
      <c r="AI194" s="5">
        <f>VLOOKUP($A194,'NonXtal_SegEnds_Prot#'!$A:$AL,20,FALSE)</f>
        <v>153</v>
      </c>
      <c r="AJ194" s="5">
        <f>VLOOKUP($A194,'NonXtal_SegEnds_Prot#'!$A:$AL,23,FALSE)</f>
        <v>179</v>
      </c>
      <c r="AK194" s="5" t="str">
        <f>VLOOKUP($A194,'NonXtal_SegEnds_Prot#'!$A:$AL,26,FALSE)</f>
        <v>-</v>
      </c>
      <c r="AL194" s="5">
        <f>VLOOKUP($A194,'NonXtal_SegEnds_Prot#'!$A:$AL,29,FALSE)</f>
        <v>262</v>
      </c>
      <c r="AM194" s="5">
        <f>VLOOKUP($A194,'NonXtal_SegEnds_Prot#'!$A:$AL,32,FALSE)</f>
        <v>310</v>
      </c>
      <c r="AN194" s="5">
        <f>VLOOKUP($A194,'NonXtal_SegEnds_Prot#'!$A:$AL,35,FALSE)</f>
        <v>339</v>
      </c>
      <c r="AO194" s="5">
        <f>VLOOKUP($A194,'NonXtal_SegEnds_Prot#'!$A:$AL,38,FALSE)</f>
        <v>352</v>
      </c>
      <c r="AP194" s="5">
        <f t="shared" ref="AP194:AP257" si="88">IFERROR(AD194-R194,"-")</f>
        <v>31</v>
      </c>
      <c r="AQ194" s="4">
        <f t="shared" ref="AQ194:AQ257" si="89">IFERROR(AE194-S194,"-")</f>
        <v>3</v>
      </c>
      <c r="AR194" s="4">
        <f t="shared" ref="AR194:AR257" si="90">IFERROR(AF194-T194,"-")</f>
        <v>30</v>
      </c>
      <c r="AS194" s="4" t="str">
        <f t="shared" ref="AS194:AS257" si="91">IFERROR(AG194-U194,"-")</f>
        <v>-</v>
      </c>
      <c r="AT194" s="4">
        <f t="shared" ref="AT194:AT257" si="92">IFERROR(AH194-V194,"-")</f>
        <v>38</v>
      </c>
      <c r="AU194" s="4">
        <f t="shared" ref="AU194:AU257" si="93">IFERROR(AI194-W194,"-")</f>
        <v>7</v>
      </c>
      <c r="AV194" s="4">
        <f t="shared" ref="AV194:AV257" si="94">IFERROR(AJ194-X194,"-")</f>
        <v>24</v>
      </c>
      <c r="AW194" s="4" t="str">
        <f t="shared" ref="AW194:AW257" si="95">IFERROR(AK194-Y194,"-")</f>
        <v>-</v>
      </c>
      <c r="AX194" s="4">
        <f t="shared" ref="AX194:AX257" si="96">IFERROR(AL194-Z194,"-")</f>
        <v>39</v>
      </c>
      <c r="AY194" s="4">
        <f t="shared" ref="AY194:AY257" si="97">IFERROR(AM194-AA194,"-")</f>
        <v>40</v>
      </c>
      <c r="AZ194" s="4">
        <f t="shared" ref="AZ194:AZ257" si="98">IFERROR(AN194-AB194,"-")</f>
        <v>24</v>
      </c>
      <c r="BA194" s="4">
        <f t="shared" ref="BA194:BA257" si="99">IFERROR(AO194-AC194,"-")</f>
        <v>12</v>
      </c>
    </row>
    <row r="195" spans="1:53" x14ac:dyDescent="0.2">
      <c r="A195" s="1" t="str">
        <f>'NonXtal_SegEnds_Prot#'!A171</f>
        <v>gpr75_human</v>
      </c>
      <c r="B195" s="1" t="str">
        <f t="shared" si="75"/>
        <v>TATLVTCTFLLAVIFCLGSYGNFIVFLSFFDPTNFDFMILNLSFCDLFICGVTAPMFTFVLFFSSIPDAFCFTFHLTSSGFIIMSLKTVAVIALHRLRMVLGFPCTVLLTLLLWATSFTLATLATLKKGKAILSLYVVDFTFCVAVVSVSYIMIAQTLRKNAQVRKCPPNLSTAKDSKAVVTCVIIVLSVLVCCLPLGISLVQVVLSLYQFELFGFTLIFFKSGLNPFIYSRNSAGLRRKVLWCLQ</v>
      </c>
      <c r="C195" s="72" t="str">
        <f>IF(ISERROR(MATCH(A195,'Xtal_SegEnds_Prot#'!B:B,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195" s="5" t="str">
        <f t="shared" si="76"/>
        <v>TATLVTCTFLLAVIFCLGSYGNFIVFLSFFDP</v>
      </c>
      <c r="G195" s="4" t="str">
        <f t="shared" si="77"/>
        <v>RKFR</v>
      </c>
      <c r="H195" s="4" t="str">
        <f t="shared" si="78"/>
        <v>TNFDFMILNLSFCDLFICGVTAPMFTFVLFF</v>
      </c>
      <c r="I195" s="4" t="str">
        <f t="shared" si="79"/>
        <v/>
      </c>
      <c r="J195" s="4" t="str">
        <f t="shared" si="80"/>
        <v>SSIPDAFCFTFHLTSSGFIIMSLKTVAVIALHRLRMVLG</v>
      </c>
      <c r="K195" s="4" t="str">
        <f t="shared" si="81"/>
        <v/>
      </c>
      <c r="L195" s="4" t="str">
        <f t="shared" si="82"/>
        <v>FPCTVLLTLLLWATSFTLATLATLK</v>
      </c>
      <c r="M195" s="4" t="str">
        <f t="shared" si="83"/>
        <v>CLP</v>
      </c>
      <c r="N195" s="4" t="str">
        <f t="shared" si="84"/>
        <v>KGKAILSLYVVDFTFCVAVVSVSYIMIAQTLRKNAQVRKCPP</v>
      </c>
      <c r="O195" s="4" t="str">
        <f t="shared" si="85"/>
        <v>NLSTAKDSKAVVTCVIIVLSVLVCCLPLGISLVQVVLS</v>
      </c>
      <c r="P195" s="4" t="str">
        <f t="shared" si="86"/>
        <v>LYQFELFGFTLIFFKSGLNPFIYSRN</v>
      </c>
      <c r="Q195" s="4" t="str">
        <f t="shared" si="87"/>
        <v>SAGLRRKVLWCLQ</v>
      </c>
      <c r="R195" s="5">
        <f>VLOOKUP($A195,'NonXtal_SegEnds_Prot#'!$A:$AL,3,FALSE)</f>
        <v>39</v>
      </c>
      <c r="S195" s="5">
        <f>VLOOKUP($A195,'NonXtal_SegEnds_Prot#'!$A:$AL,6,FALSE)</f>
        <v>73</v>
      </c>
      <c r="T195" s="5">
        <f>VLOOKUP($A195,'NonXtal_SegEnds_Prot#'!$A:$AL,9,FALSE)</f>
        <v>77</v>
      </c>
      <c r="U195" s="5" t="str">
        <f>VLOOKUP($A195,'NonXtal_SegEnds_Prot#'!$A:$AL,12,FALSE)</f>
        <v>-</v>
      </c>
      <c r="V195" s="5">
        <f>VLOOKUP($A195,'NonXtal_SegEnds_Prot#'!$A:$AL,15,FALSE)</f>
        <v>111</v>
      </c>
      <c r="W195" s="5" t="str">
        <f>VLOOKUP($A195,'NonXtal_SegEnds_Prot#'!$A:$AL,18,FALSE)</f>
        <v>-</v>
      </c>
      <c r="X195" s="5">
        <f>VLOOKUP($A195,'NonXtal_SegEnds_Prot#'!$A:$AL,21,FALSE)</f>
        <v>158</v>
      </c>
      <c r="Y195" s="5">
        <f>VLOOKUP($A195,'NonXtal_SegEnds_Prot#'!$A:$AL,24,FALSE)</f>
        <v>189</v>
      </c>
      <c r="Z195" s="5">
        <f>VLOOKUP($A195,'NonXtal_SegEnds_Prot#'!$A:$AL,27,FALSE)</f>
        <v>199</v>
      </c>
      <c r="AA195" s="5">
        <f>VLOOKUP($A195,'NonXtal_SegEnds_Prot#'!$A:$AL,30,FALSE)</f>
        <v>310</v>
      </c>
      <c r="AB195" s="5">
        <f>VLOOKUP($A195,'NonXtal_SegEnds_Prot#'!$A:$AL,33,FALSE)</f>
        <v>354</v>
      </c>
      <c r="AC195" s="5">
        <f>VLOOKUP($A195,'NonXtal_SegEnds_Prot#'!$A:$AL,36,FALSE)</f>
        <v>380</v>
      </c>
      <c r="AD195" s="5">
        <f>VLOOKUP($A195,'NonXtal_SegEnds_Prot#'!$A:$AL,5,FALSE)</f>
        <v>70</v>
      </c>
      <c r="AE195" s="5">
        <f>VLOOKUP($A195,'NonXtal_SegEnds_Prot#'!$A:$AL,8,FALSE)</f>
        <v>76</v>
      </c>
      <c r="AF195" s="5">
        <f>VLOOKUP($A195,'NonXtal_SegEnds_Prot#'!$A:$AL,11,FALSE)</f>
        <v>107</v>
      </c>
      <c r="AG195" s="5" t="str">
        <f>VLOOKUP($A195,'NonXtal_SegEnds_Prot#'!$A:$AL,14,FALSE)</f>
        <v>-</v>
      </c>
      <c r="AH195" s="5">
        <f>VLOOKUP($A195,'NonXtal_SegEnds_Prot#'!$A:$AL,17,FALSE)</f>
        <v>149</v>
      </c>
      <c r="AI195" s="5" t="str">
        <f>VLOOKUP($A195,'NonXtal_SegEnds_Prot#'!$A:$AL,20,FALSE)</f>
        <v>-</v>
      </c>
      <c r="AJ195" s="5">
        <f>VLOOKUP($A195,'NonXtal_SegEnds_Prot#'!$A:$AL,23,FALSE)</f>
        <v>182</v>
      </c>
      <c r="AK195" s="5">
        <f>VLOOKUP($A195,'NonXtal_SegEnds_Prot#'!$A:$AL,26,FALSE)</f>
        <v>191</v>
      </c>
      <c r="AL195" s="5">
        <f>VLOOKUP($A195,'NonXtal_SegEnds_Prot#'!$A:$AL,29,FALSE)</f>
        <v>240</v>
      </c>
      <c r="AM195" s="5">
        <f>VLOOKUP($A195,'NonXtal_SegEnds_Prot#'!$A:$AL,32,FALSE)</f>
        <v>347</v>
      </c>
      <c r="AN195" s="5">
        <f>VLOOKUP($A195,'NonXtal_SegEnds_Prot#'!$A:$AL,35,FALSE)</f>
        <v>379</v>
      </c>
      <c r="AO195" s="5">
        <f>VLOOKUP($A195,'NonXtal_SegEnds_Prot#'!$A:$AL,38,FALSE)</f>
        <v>392</v>
      </c>
      <c r="AP195" s="5">
        <f t="shared" si="88"/>
        <v>31</v>
      </c>
      <c r="AQ195" s="4">
        <f t="shared" si="89"/>
        <v>3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 t="str">
        <f t="shared" si="93"/>
        <v>-</v>
      </c>
      <c r="AV195" s="4">
        <f t="shared" si="94"/>
        <v>24</v>
      </c>
      <c r="AW195" s="4">
        <f t="shared" si="95"/>
        <v>2</v>
      </c>
      <c r="AX195" s="4">
        <f t="shared" si="96"/>
        <v>41</v>
      </c>
      <c r="AY195" s="4">
        <f t="shared" si="97"/>
        <v>37</v>
      </c>
      <c r="AZ195" s="4">
        <f t="shared" si="98"/>
        <v>25</v>
      </c>
      <c r="BA195" s="4">
        <f t="shared" si="99"/>
        <v>12</v>
      </c>
    </row>
    <row r="196" spans="1:53" x14ac:dyDescent="0.2">
      <c r="A196" s="1" t="str">
        <f>'NonXtal_SegEnds_Prot#'!A172</f>
        <v>drd4_human</v>
      </c>
      <c r="B196" s="1" t="str">
        <f t="shared" si="75"/>
        <v>AGQGAAALVGGVLLIGAVLAGNSLVCVSVATETPTNSFIVSLAAADLLLALLVLPLFVYSEVQSPRLCDALMAMDVMLCTASIFNLCAISVDRFVAVAVSRRQLLLIGATWLLSAAVAAPVLCGDRDYVVYSSVCSFFLPCPLMLLLYWATFRGLQRWEVARRAKAKITGRERKAMRVLPVVVGAFLLCWTPFFVVHITQALPPRLVSAVTWLGYVNSALNPVIYTVFNAEFRNVFRKALR</v>
      </c>
      <c r="C196" s="72" t="str">
        <f>IF(ISERROR(MATCH(A196,'Xtal_SegEnds_Prot#'!B:B,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96" s="5" t="str">
        <f t="shared" si="76"/>
        <v>AGQGAAALVGGVLLIGAVLAGNSLVCVSVATE</v>
      </c>
      <c r="G196" s="4" t="str">
        <f t="shared" si="77"/>
        <v>RALQ</v>
      </c>
      <c r="H196" s="4" t="str">
        <f t="shared" si="78"/>
        <v>TPTNSFIVSLAAADLLLALLVLPLFVYSEVQ</v>
      </c>
      <c r="I196" s="4" t="str">
        <f t="shared" si="79"/>
        <v>AWLL</v>
      </c>
      <c r="J196" s="4" t="str">
        <f t="shared" si="80"/>
        <v>SPRLCDALMAMDVMLCTASIFNLCAISVDRFVAVAV</v>
      </c>
      <c r="K196" s="4" t="str">
        <f t="shared" si="81"/>
        <v>PLRYNRQG</v>
      </c>
      <c r="L196" s="4" t="str">
        <f t="shared" si="82"/>
        <v>SRRQLLLIGATWLLSAAVAAPVLCG</v>
      </c>
      <c r="M196" s="4" t="str">
        <f t="shared" si="83"/>
        <v>CRL</v>
      </c>
      <c r="N196" s="4" t="str">
        <f t="shared" si="84"/>
        <v>DRDYVVYSSVCSFFLPCPLMLLLYWATFRGLQRWEVARRAK</v>
      </c>
      <c r="O196" s="4" t="str">
        <f t="shared" si="85"/>
        <v>AKITGRERKAMRVLPVVVGAFLLCWTPFFVVHITQAL</v>
      </c>
      <c r="P196" s="4" t="str">
        <f t="shared" si="86"/>
        <v>PPRLVSAVTWLGYVNSALNPVIYTVF</v>
      </c>
      <c r="Q196" s="4" t="str">
        <f t="shared" si="87"/>
        <v>NAEFRNVFRKALR</v>
      </c>
      <c r="R196" s="5">
        <f>VLOOKUP($A196,'NonXtal_SegEnds_Prot#'!$A:$AL,3,FALSE)</f>
        <v>31</v>
      </c>
      <c r="S196" s="5">
        <f>VLOOKUP($A196,'NonXtal_SegEnds_Prot#'!$A:$AL,6,FALSE)</f>
        <v>63</v>
      </c>
      <c r="T196" s="5">
        <f>VLOOKUP($A196,'NonXtal_SegEnds_Prot#'!$A:$AL,9,FALSE)</f>
        <v>67</v>
      </c>
      <c r="U196" s="5">
        <f>VLOOKUP($A196,'NonXtal_SegEnds_Prot#'!$A:$AL,12,FALSE)</f>
        <v>100</v>
      </c>
      <c r="V196" s="5">
        <f>VLOOKUP($A196,'NonXtal_SegEnds_Prot#'!$A:$AL,15,FALSE)</f>
        <v>104</v>
      </c>
      <c r="W196" s="5">
        <f>VLOOKUP($A196,'NonXtal_SegEnds_Prot#'!$A:$AL,18,FALSE)</f>
        <v>140</v>
      </c>
      <c r="X196" s="5">
        <f>VLOOKUP($A196,'NonXtal_SegEnds_Prot#'!$A:$AL,21,FALSE)</f>
        <v>149</v>
      </c>
      <c r="Y196" s="5">
        <f>VLOOKUP($A196,'NonXtal_SegEnds_Prot#'!$A:$AL,24,FALSE)</f>
        <v>185</v>
      </c>
      <c r="Z196" s="5">
        <f>VLOOKUP($A196,'NonXtal_SegEnds_Prot#'!$A:$AL,27,FALSE)</f>
        <v>189</v>
      </c>
      <c r="AA196" s="5">
        <f>VLOOKUP($A196,'NonXtal_SegEnds_Prot#'!$A:$AL,30,FALSE)</f>
        <v>383</v>
      </c>
      <c r="AB196" s="5">
        <f>VLOOKUP($A196,'NonXtal_SegEnds_Prot#'!$A:$AL,33,FALSE)</f>
        <v>426</v>
      </c>
      <c r="AC196" s="5">
        <f>VLOOKUP($A196,'NonXtal_SegEnds_Prot#'!$A:$AL,36,FALSE)</f>
        <v>452</v>
      </c>
      <c r="AD196" s="5">
        <f>VLOOKUP($A196,'NonXtal_SegEnds_Prot#'!$A:$AL,5,FALSE)</f>
        <v>62</v>
      </c>
      <c r="AE196" s="5">
        <f>VLOOKUP($A196,'NonXtal_SegEnds_Prot#'!$A:$AL,8,FALSE)</f>
        <v>66</v>
      </c>
      <c r="AF196" s="5">
        <f>VLOOKUP($A196,'NonXtal_SegEnds_Prot#'!$A:$AL,11,FALSE)</f>
        <v>97</v>
      </c>
      <c r="AG196" s="5">
        <f>VLOOKUP($A196,'NonXtal_SegEnds_Prot#'!$A:$AL,14,FALSE)</f>
        <v>103</v>
      </c>
      <c r="AH196" s="5">
        <f>VLOOKUP($A196,'NonXtal_SegEnds_Prot#'!$A:$AL,17,FALSE)</f>
        <v>139</v>
      </c>
      <c r="AI196" s="5">
        <f>VLOOKUP($A196,'NonXtal_SegEnds_Prot#'!$A:$AL,20,FALSE)</f>
        <v>147</v>
      </c>
      <c r="AJ196" s="5">
        <f>VLOOKUP($A196,'NonXtal_SegEnds_Prot#'!$A:$AL,23,FALSE)</f>
        <v>173</v>
      </c>
      <c r="AK196" s="5">
        <f>VLOOKUP($A196,'NonXtal_SegEnds_Prot#'!$A:$AL,26,FALSE)</f>
        <v>187</v>
      </c>
      <c r="AL196" s="5">
        <f>VLOOKUP($A196,'NonXtal_SegEnds_Prot#'!$A:$AL,29,FALSE)</f>
        <v>229</v>
      </c>
      <c r="AM196" s="5">
        <f>VLOOKUP($A196,'NonXtal_SegEnds_Prot#'!$A:$AL,32,FALSE)</f>
        <v>419</v>
      </c>
      <c r="AN196" s="5">
        <f>VLOOKUP($A196,'NonXtal_SegEnds_Prot#'!$A:$AL,35,FALSE)</f>
        <v>451</v>
      </c>
      <c r="AO196" s="5">
        <f>VLOOKUP($A196,'NonXtal_SegEnds_Prot#'!$A:$AL,38,FALSE)</f>
        <v>464</v>
      </c>
      <c r="AP196" s="5">
        <f t="shared" si="88"/>
        <v>31</v>
      </c>
      <c r="AQ196" s="4">
        <f t="shared" si="89"/>
        <v>3</v>
      </c>
      <c r="AR196" s="4">
        <f t="shared" si="90"/>
        <v>30</v>
      </c>
      <c r="AS196" s="4">
        <f t="shared" si="91"/>
        <v>3</v>
      </c>
      <c r="AT196" s="4">
        <f t="shared" si="92"/>
        <v>35</v>
      </c>
      <c r="AU196" s="4">
        <f t="shared" si="93"/>
        <v>7</v>
      </c>
      <c r="AV196" s="4">
        <f t="shared" si="94"/>
        <v>24</v>
      </c>
      <c r="AW196" s="4">
        <f t="shared" si="95"/>
        <v>2</v>
      </c>
      <c r="AX196" s="4">
        <f t="shared" si="96"/>
        <v>40</v>
      </c>
      <c r="AY196" s="4">
        <f t="shared" si="97"/>
        <v>36</v>
      </c>
      <c r="AZ196" s="4">
        <f t="shared" si="98"/>
        <v>25</v>
      </c>
      <c r="BA196" s="4">
        <f t="shared" si="99"/>
        <v>12</v>
      </c>
    </row>
    <row r="197" spans="1:53" x14ac:dyDescent="0.2">
      <c r="A197" s="1" t="str">
        <f>'NonXtal_SegEnds_Prot#'!A173</f>
        <v>drd2_human</v>
      </c>
      <c r="B197" s="1" t="str">
        <f t="shared" si="75"/>
        <v>RPHYNYYATLLTLLIAVIVFGNVLVCMAVSRETTTNYLIVSLAVADLLVATLVMPWVVYLEVVSRIHCDIFVTLDVMMCTASILNLCAISIDRYTAVAMKRRVTVMISIVWVLSFTISCPLLFGNPAFVVYSSIVSFYVPFIVTLLVYIKIYIVLRRRRKRVNTKKLSQQKEKKATQMLAIVLGVFIICWLPFFITHILNIHCPPVLYSAFTWLGYVNSAVNPIIYTTFNIEFRKAFLKILH</v>
      </c>
      <c r="C197" s="72" t="str">
        <f>IF(ISERROR(MATCH(A197,'Xtal_SegEnds_Prot#'!B:B,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197" s="5" t="str">
        <f t="shared" si="76"/>
        <v>RPHYNYYATLLTLLIAVIVFGNVLVCMAVSRE</v>
      </c>
      <c r="G197" s="4" t="str">
        <f t="shared" si="77"/>
        <v>KALQ</v>
      </c>
      <c r="H197" s="4" t="str">
        <f t="shared" si="78"/>
        <v>TTTNYLIVSLAVADLLVATLVMPWVVYLEVV</v>
      </c>
      <c r="I197" s="4" t="str">
        <f t="shared" si="79"/>
        <v>EWKF</v>
      </c>
      <c r="J197" s="4" t="str">
        <f t="shared" si="80"/>
        <v>SRIHCDIFVTLDVMMCTASILNLCAISIDRYTAVAM</v>
      </c>
      <c r="K197" s="4" t="str">
        <f t="shared" si="81"/>
        <v>PMLYNTRYS</v>
      </c>
      <c r="L197" s="4" t="str">
        <f t="shared" si="82"/>
        <v>KRRVTVMISIVWVLSFTISCPLLFG</v>
      </c>
      <c r="M197" s="4" t="str">
        <f t="shared" si="83"/>
        <v>CII</v>
      </c>
      <c r="N197" s="4" t="str">
        <f t="shared" si="84"/>
        <v>NPAFVVYSSIVSFYVPFIVTLLVYIKIYIVLRRRRKRVNTK</v>
      </c>
      <c r="O197" s="4" t="str">
        <f t="shared" si="85"/>
        <v>KLSQQKEKKATQMLAIVLGVFIICWLPFFITHILNIHC</v>
      </c>
      <c r="P197" s="4" t="str">
        <f t="shared" si="86"/>
        <v>PPVLYSAFTWLGYVNSAVNPIIYTTF</v>
      </c>
      <c r="Q197" s="4" t="str">
        <f t="shared" si="87"/>
        <v>NIEFRKAFLKILH</v>
      </c>
      <c r="R197" s="5">
        <f>VLOOKUP($A197,'NonXtal_SegEnds_Prot#'!$A:$AL,3,FALSE)</f>
        <v>31</v>
      </c>
      <c r="S197" s="5">
        <f>VLOOKUP($A197,'NonXtal_SegEnds_Prot#'!$A:$AL,6,FALSE)</f>
        <v>63</v>
      </c>
      <c r="T197" s="5">
        <f>VLOOKUP($A197,'NonXtal_SegEnds_Prot#'!$A:$AL,9,FALSE)</f>
        <v>67</v>
      </c>
      <c r="U197" s="5">
        <f>VLOOKUP($A197,'NonXtal_SegEnds_Prot#'!$A:$AL,12,FALSE)</f>
        <v>99</v>
      </c>
      <c r="V197" s="5">
        <f>VLOOKUP($A197,'NonXtal_SegEnds_Prot#'!$A:$AL,15,FALSE)</f>
        <v>103</v>
      </c>
      <c r="W197" s="5">
        <f>VLOOKUP($A197,'NonXtal_SegEnds_Prot#'!$A:$AL,18,FALSE)</f>
        <v>139</v>
      </c>
      <c r="X197" s="5">
        <f>VLOOKUP($A197,'NonXtal_SegEnds_Prot#'!$A:$AL,21,FALSE)</f>
        <v>149</v>
      </c>
      <c r="Y197" s="5">
        <f>VLOOKUP($A197,'NonXtal_SegEnds_Prot#'!$A:$AL,24,FALSE)</f>
        <v>182</v>
      </c>
      <c r="Z197" s="5">
        <f>VLOOKUP($A197,'NonXtal_SegEnds_Prot#'!$A:$AL,27,FALSE)</f>
        <v>186</v>
      </c>
      <c r="AA197" s="5">
        <f>VLOOKUP($A197,'NonXtal_SegEnds_Prot#'!$A:$AL,30,FALSE)</f>
        <v>362</v>
      </c>
      <c r="AB197" s="5">
        <f>VLOOKUP($A197,'NonXtal_SegEnds_Prot#'!$A:$AL,33,FALSE)</f>
        <v>404</v>
      </c>
      <c r="AC197" s="5">
        <f>VLOOKUP($A197,'NonXtal_SegEnds_Prot#'!$A:$AL,36,FALSE)</f>
        <v>430</v>
      </c>
      <c r="AD197" s="5">
        <f>VLOOKUP($A197,'NonXtal_SegEnds_Prot#'!$A:$AL,5,FALSE)</f>
        <v>62</v>
      </c>
      <c r="AE197" s="5">
        <f>VLOOKUP($A197,'NonXtal_SegEnds_Prot#'!$A:$AL,8,FALSE)</f>
        <v>66</v>
      </c>
      <c r="AF197" s="5">
        <f>VLOOKUP($A197,'NonXtal_SegEnds_Prot#'!$A:$AL,11,FALSE)</f>
        <v>97</v>
      </c>
      <c r="AG197" s="5">
        <f>VLOOKUP($A197,'NonXtal_SegEnds_Prot#'!$A:$AL,14,FALSE)</f>
        <v>102</v>
      </c>
      <c r="AH197" s="5">
        <f>VLOOKUP($A197,'NonXtal_SegEnds_Prot#'!$A:$AL,17,FALSE)</f>
        <v>138</v>
      </c>
      <c r="AI197" s="5">
        <f>VLOOKUP($A197,'NonXtal_SegEnds_Prot#'!$A:$AL,20,FALSE)</f>
        <v>147</v>
      </c>
      <c r="AJ197" s="5">
        <f>VLOOKUP($A197,'NonXtal_SegEnds_Prot#'!$A:$AL,23,FALSE)</f>
        <v>173</v>
      </c>
      <c r="AK197" s="5">
        <f>VLOOKUP($A197,'NonXtal_SegEnds_Prot#'!$A:$AL,26,FALSE)</f>
        <v>184</v>
      </c>
      <c r="AL197" s="5">
        <f>VLOOKUP($A197,'NonXtal_SegEnds_Prot#'!$A:$AL,29,FALSE)</f>
        <v>226</v>
      </c>
      <c r="AM197" s="5">
        <f>VLOOKUP($A197,'NonXtal_SegEnds_Prot#'!$A:$AL,32,FALSE)</f>
        <v>399</v>
      </c>
      <c r="AN197" s="5">
        <f>VLOOKUP($A197,'NonXtal_SegEnds_Prot#'!$A:$AL,35,FALSE)</f>
        <v>429</v>
      </c>
      <c r="AO197" s="5">
        <f>VLOOKUP($A197,'NonXtal_SegEnds_Prot#'!$A:$AL,38,FALSE)</f>
        <v>442</v>
      </c>
      <c r="AP197" s="5">
        <f t="shared" si="88"/>
        <v>31</v>
      </c>
      <c r="AQ197" s="4">
        <f t="shared" si="89"/>
        <v>3</v>
      </c>
      <c r="AR197" s="4">
        <f t="shared" si="90"/>
        <v>30</v>
      </c>
      <c r="AS197" s="4">
        <f t="shared" si="91"/>
        <v>3</v>
      </c>
      <c r="AT197" s="4">
        <f t="shared" si="92"/>
        <v>35</v>
      </c>
      <c r="AU197" s="4">
        <f t="shared" si="93"/>
        <v>8</v>
      </c>
      <c r="AV197" s="4">
        <f t="shared" si="94"/>
        <v>24</v>
      </c>
      <c r="AW197" s="4">
        <f t="shared" si="95"/>
        <v>2</v>
      </c>
      <c r="AX197" s="4">
        <f t="shared" si="96"/>
        <v>40</v>
      </c>
      <c r="AY197" s="4">
        <f t="shared" si="97"/>
        <v>37</v>
      </c>
      <c r="AZ197" s="4">
        <f t="shared" si="98"/>
        <v>25</v>
      </c>
      <c r="BA197" s="4">
        <f t="shared" si="99"/>
        <v>12</v>
      </c>
    </row>
    <row r="198" spans="1:53" x14ac:dyDescent="0.2">
      <c r="A198" s="1" t="str">
        <f>'NonXtal_SegEnds_Prot#'!A174</f>
        <v>drd3_human</v>
      </c>
      <c r="B198" s="1" t="str">
        <f t="shared" si="75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198" s="72" t="str">
        <f>IF(ISERROR(MATCH(A198,'Xtal_SegEnds_Prot#'!B:B, 0)), "NoXtal", "Xtal")</f>
        <v>Xtal</v>
      </c>
      <c r="D198" s="4" t="str">
        <f>VLOOKUP(A198,Classification!A:D,2,FALSE)</f>
        <v>A</v>
      </c>
      <c r="E198" s="5" t="str">
        <f>VLOOKUP(A198,Seqs!A:B,2,FALSE)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198" s="5" t="str">
        <f t="shared" si="76"/>
        <v>ARPHAYYALSYCALILAIVFGNGLVCMAVLKE</v>
      </c>
      <c r="G198" s="4" t="str">
        <f t="shared" si="77"/>
        <v>RALQ</v>
      </c>
      <c r="H198" s="4" t="str">
        <f t="shared" si="78"/>
        <v>TTTNYLVVSLAVADLLVATLVMPWVVYLEVT</v>
      </c>
      <c r="I198" s="4" t="str">
        <f t="shared" si="79"/>
        <v>VWNF</v>
      </c>
      <c r="J198" s="4" t="str">
        <f t="shared" si="80"/>
        <v>SRICCDVFVTLDVMMCTASILNLCAISIDRYTAVVM</v>
      </c>
      <c r="K198" s="4" t="str">
        <f t="shared" si="81"/>
        <v>PVHYQHGTG</v>
      </c>
      <c r="L198" s="4" t="str">
        <f t="shared" si="82"/>
        <v>SCRRVALMITAVWVLAFAVSCPLLFG</v>
      </c>
      <c r="M198" s="4" t="str">
        <f t="shared" si="83"/>
        <v>CSI</v>
      </c>
      <c r="N198" s="4" t="str">
        <f t="shared" si="84"/>
        <v>NPDFVIYSSVVSFYLPFGVTVLVYARIYVVLKQRRRKRILTR</v>
      </c>
      <c r="O198" s="4" t="str">
        <f t="shared" si="85"/>
        <v>RGVPLREKKATQMVAIVLGAFIVCWLPFFLTHVLNTH</v>
      </c>
      <c r="P198" s="4" t="str">
        <f t="shared" si="86"/>
        <v>SPELYSATTWLGYVNSALNPVIYTTF</v>
      </c>
      <c r="Q198" s="4" t="str">
        <f t="shared" si="87"/>
        <v>NIEFRKAFLKILS</v>
      </c>
      <c r="R198" s="5">
        <f>VLOOKUP($A198,'NonXtal_SegEnds_Prot#'!$A:$AL,3,FALSE)</f>
        <v>26</v>
      </c>
      <c r="S198" s="5">
        <f>VLOOKUP($A198,'NonXtal_SegEnds_Prot#'!$A:$AL,6,FALSE)</f>
        <v>58</v>
      </c>
      <c r="T198" s="5">
        <f>VLOOKUP($A198,'NonXtal_SegEnds_Prot#'!$A:$AL,9,FALSE)</f>
        <v>62</v>
      </c>
      <c r="U198" s="5">
        <f>VLOOKUP($A198,'NonXtal_SegEnds_Prot#'!$A:$AL,12,FALSE)</f>
        <v>95</v>
      </c>
      <c r="V198" s="5">
        <f>VLOOKUP($A198,'NonXtal_SegEnds_Prot#'!$A:$AL,15,FALSE)</f>
        <v>99</v>
      </c>
      <c r="W198" s="5">
        <f>VLOOKUP($A198,'NonXtal_SegEnds_Prot#'!$A:$AL,18,FALSE)</f>
        <v>135</v>
      </c>
      <c r="X198" s="5">
        <f>VLOOKUP($A198,'NonXtal_SegEnds_Prot#'!$A:$AL,21,FALSE)</f>
        <v>146</v>
      </c>
      <c r="Y198" s="5">
        <f>VLOOKUP($A198,'NonXtal_SegEnds_Prot#'!$A:$AL,24,FALSE)</f>
        <v>181</v>
      </c>
      <c r="Z198" s="5">
        <f>VLOOKUP($A198,'NonXtal_SegEnds_Prot#'!$A:$AL,27,FALSE)</f>
        <v>185</v>
      </c>
      <c r="AA198" s="5">
        <f>VLOOKUP($A198,'NonXtal_SegEnds_Prot#'!$A:$AL,30,FALSE)</f>
        <v>318</v>
      </c>
      <c r="AB198" s="5">
        <f>VLOOKUP($A198,'NonXtal_SegEnds_Prot#'!$A:$AL,33,FALSE)</f>
        <v>361</v>
      </c>
      <c r="AC198" s="5">
        <f>VLOOKUP($A198,'NonXtal_SegEnds_Prot#'!$A:$AL,36,FALSE)</f>
        <v>387</v>
      </c>
      <c r="AD198" s="5">
        <f>VLOOKUP($A198,'NonXtal_SegEnds_Prot#'!$A:$AL,5,FALSE)</f>
        <v>57</v>
      </c>
      <c r="AE198" s="5">
        <f>VLOOKUP($A198,'NonXtal_SegEnds_Prot#'!$A:$AL,8,FALSE)</f>
        <v>61</v>
      </c>
      <c r="AF198" s="5">
        <f>VLOOKUP($A198,'NonXtal_SegEnds_Prot#'!$A:$AL,11,FALSE)</f>
        <v>92</v>
      </c>
      <c r="AG198" s="5">
        <f>VLOOKUP($A198,'NonXtal_SegEnds_Prot#'!$A:$AL,14,FALSE)</f>
        <v>98</v>
      </c>
      <c r="AH198" s="5">
        <f>VLOOKUP($A198,'NonXtal_SegEnds_Prot#'!$A:$AL,17,FALSE)</f>
        <v>134</v>
      </c>
      <c r="AI198" s="5">
        <f>VLOOKUP($A198,'NonXtal_SegEnds_Prot#'!$A:$AL,20,FALSE)</f>
        <v>143</v>
      </c>
      <c r="AJ198" s="5">
        <f>VLOOKUP($A198,'NonXtal_SegEnds_Prot#'!$A:$AL,23,FALSE)</f>
        <v>171</v>
      </c>
      <c r="AK198" s="5">
        <f>VLOOKUP($A198,'NonXtal_SegEnds_Prot#'!$A:$AL,26,FALSE)</f>
        <v>183</v>
      </c>
      <c r="AL198" s="5">
        <f>VLOOKUP($A198,'NonXtal_SegEnds_Prot#'!$A:$AL,29,FALSE)</f>
        <v>226</v>
      </c>
      <c r="AM198" s="5">
        <f>VLOOKUP($A198,'NonXtal_SegEnds_Prot#'!$A:$AL,32,FALSE)</f>
        <v>354</v>
      </c>
      <c r="AN198" s="5">
        <f>VLOOKUP($A198,'NonXtal_SegEnds_Prot#'!$A:$AL,35,FALSE)</f>
        <v>386</v>
      </c>
      <c r="AO198" s="5">
        <f>VLOOKUP($A198,'NonXtal_SegEnds_Prot#'!$A:$AL,38,FALSE)</f>
        <v>399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>
        <f t="shared" si="91"/>
        <v>3</v>
      </c>
      <c r="AT198" s="4">
        <f t="shared" si="92"/>
        <v>35</v>
      </c>
      <c r="AU198" s="4">
        <f t="shared" si="93"/>
        <v>8</v>
      </c>
      <c r="AV198" s="4">
        <f t="shared" si="94"/>
        <v>25</v>
      </c>
      <c r="AW198" s="4">
        <f t="shared" si="95"/>
        <v>2</v>
      </c>
      <c r="AX198" s="4">
        <f t="shared" si="96"/>
        <v>41</v>
      </c>
      <c r="AY198" s="4">
        <f t="shared" si="97"/>
        <v>36</v>
      </c>
      <c r="AZ198" s="4">
        <f t="shared" si="98"/>
        <v>25</v>
      </c>
      <c r="BA198" s="4">
        <f t="shared" si="99"/>
        <v>12</v>
      </c>
    </row>
    <row r="199" spans="1:53" x14ac:dyDescent="0.2">
      <c r="A199" s="1" t="str">
        <f>'NonXtal_SegEnds_Prot#'!A175</f>
        <v>pi2r_human</v>
      </c>
      <c r="B199" s="1" t="str">
        <f t="shared" si="75"/>
        <v>YVRGSVGPATSTLMFVAGVVGNGLALGILSARSAFAVLVTGLAATDLLGTSFLSPAVFVAYARARGGPALCDAFAFAMTFFGLASMLILFAMAVERCLALSHPRCARLALPAIYAFCVLFCALPLLGAAFSLAYAGLVALLVAAIFLCNGSVTLSLCRMYRQQKRHPRPRTGEDEVDHLILLALMTVVMAVCSLPLTIRCFTQAVASEMGDLLAFRFYAFNPILDPWVFILFRKAVFQRLKLWVC</v>
      </c>
      <c r="C199" s="72" t="str">
        <f>IF(ISERROR(MATCH(A199,'Xtal_SegEnds_Prot#'!B:B,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199" s="5" t="str">
        <f t="shared" si="76"/>
        <v>YVRGSVGPATSTLMFVAGVVGNGLALGILSAR</v>
      </c>
      <c r="G199" s="4" t="str">
        <f t="shared" si="77"/>
        <v/>
      </c>
      <c r="H199" s="4" t="str">
        <f t="shared" si="78"/>
        <v>SAFAVLVTGLAATDLLGTSFLSPAVFVAYAR</v>
      </c>
      <c r="I199" s="4" t="str">
        <f t="shared" si="79"/>
        <v/>
      </c>
      <c r="J199" s="4" t="str">
        <f t="shared" si="80"/>
        <v>ARGGPALCDAFAFAMTFFGLASMLILFAMAVERCLALSH</v>
      </c>
      <c r="K199" s="4" t="str">
        <f t="shared" si="81"/>
        <v>PYLYAQLD</v>
      </c>
      <c r="L199" s="4" t="str">
        <f t="shared" si="82"/>
        <v>PRCARLALPAIYAFCVLFCALPLLG</v>
      </c>
      <c r="M199" s="4" t="str">
        <f t="shared" si="83"/>
        <v>CFL</v>
      </c>
      <c r="N199" s="4" t="str">
        <f t="shared" si="84"/>
        <v>AAFSLAYAGLVALLVAAIFLCNGSVTLSLCRMYRQQKRH</v>
      </c>
      <c r="O199" s="4" t="str">
        <f t="shared" si="85"/>
        <v>PRPRTGEDEVDHLILLALMTVVMAVCSLPLTIRCFTQAVA</v>
      </c>
      <c r="P199" s="4" t="str">
        <f t="shared" si="86"/>
        <v>SEMGDLLAFRFYAFNPILDPWVFILF</v>
      </c>
      <c r="Q199" s="4" t="str">
        <f t="shared" si="87"/>
        <v>RKAVFQRLKLWVC</v>
      </c>
      <c r="R199" s="5">
        <f>VLOOKUP($A199,'NonXtal_SegEnds_Prot#'!$A:$AL,3,FALSE)</f>
        <v>10</v>
      </c>
      <c r="S199" s="5" t="str">
        <f>VLOOKUP($A199,'NonXtal_SegEnds_Prot#'!$A:$AL,6,FALSE)</f>
        <v>-</v>
      </c>
      <c r="T199" s="5">
        <f>VLOOKUP($A199,'NonXtal_SegEnds_Prot#'!$A:$AL,9,FALSE)</f>
        <v>47</v>
      </c>
      <c r="U199" s="5" t="str">
        <f>VLOOKUP($A199,'NonXtal_SegEnds_Prot#'!$A:$AL,12,FALSE)</f>
        <v>-</v>
      </c>
      <c r="V199" s="5">
        <f>VLOOKUP($A199,'NonXtal_SegEnds_Prot#'!$A:$AL,15,FALSE)</f>
        <v>85</v>
      </c>
      <c r="W199" s="5">
        <f>VLOOKUP($A199,'NonXtal_SegEnds_Prot#'!$A:$AL,18,FALSE)</f>
        <v>124</v>
      </c>
      <c r="X199" s="5">
        <f>VLOOKUP($A199,'NonXtal_SegEnds_Prot#'!$A:$AL,21,FALSE)</f>
        <v>133</v>
      </c>
      <c r="Y199" s="5">
        <f>VLOOKUP($A199,'NonXtal_SegEnds_Prot#'!$A:$AL,24,FALSE)</f>
        <v>170</v>
      </c>
      <c r="Z199" s="5">
        <f>VLOOKUP($A199,'NonXtal_SegEnds_Prot#'!$A:$AL,27,FALSE)</f>
        <v>182</v>
      </c>
      <c r="AA199" s="5">
        <f>VLOOKUP($A199,'NonXtal_SegEnds_Prot#'!$A:$AL,30,FALSE)</f>
        <v>226</v>
      </c>
      <c r="AB199" s="5">
        <f>VLOOKUP($A199,'NonXtal_SegEnds_Prot#'!$A:$AL,33,FALSE)</f>
        <v>270</v>
      </c>
      <c r="AC199" s="5">
        <f>VLOOKUP($A199,'NonXtal_SegEnds_Prot#'!$A:$AL,36,FALSE)</f>
        <v>296</v>
      </c>
      <c r="AD199" s="5">
        <f>VLOOKUP($A199,'NonXtal_SegEnds_Prot#'!$A:$AL,5,FALSE)</f>
        <v>41</v>
      </c>
      <c r="AE199" s="5" t="str">
        <f>VLOOKUP($A199,'NonXtal_SegEnds_Prot#'!$A:$AL,8,FALSE)</f>
        <v>-</v>
      </c>
      <c r="AF199" s="5">
        <f>VLOOKUP($A199,'NonXtal_SegEnds_Prot#'!$A:$AL,11,FALSE)</f>
        <v>77</v>
      </c>
      <c r="AG199" s="5" t="str">
        <f>VLOOKUP($A199,'NonXtal_SegEnds_Prot#'!$A:$AL,14,FALSE)</f>
        <v>-</v>
      </c>
      <c r="AH199" s="5">
        <f>VLOOKUP($A199,'NonXtal_SegEnds_Prot#'!$A:$AL,17,FALSE)</f>
        <v>123</v>
      </c>
      <c r="AI199" s="5">
        <f>VLOOKUP($A199,'NonXtal_SegEnds_Prot#'!$A:$AL,20,FALSE)</f>
        <v>131</v>
      </c>
      <c r="AJ199" s="5">
        <f>VLOOKUP($A199,'NonXtal_SegEnds_Prot#'!$A:$AL,23,FALSE)</f>
        <v>157</v>
      </c>
      <c r="AK199" s="5">
        <f>VLOOKUP($A199,'NonXtal_SegEnds_Prot#'!$A:$AL,26,FALSE)</f>
        <v>172</v>
      </c>
      <c r="AL199" s="5">
        <f>VLOOKUP($A199,'NonXtal_SegEnds_Prot#'!$A:$AL,29,FALSE)</f>
        <v>220</v>
      </c>
      <c r="AM199" s="5">
        <f>VLOOKUP($A199,'NonXtal_SegEnds_Prot#'!$A:$AL,32,FALSE)</f>
        <v>265</v>
      </c>
      <c r="AN199" s="5">
        <f>VLOOKUP($A199,'NonXtal_SegEnds_Prot#'!$A:$AL,35,FALSE)</f>
        <v>295</v>
      </c>
      <c r="AO199" s="5">
        <f>VLOOKUP($A199,'NonXtal_SegEnds_Prot#'!$A:$AL,38,FALSE)</f>
        <v>308</v>
      </c>
      <c r="AP199" s="5">
        <f t="shared" si="88"/>
        <v>31</v>
      </c>
      <c r="AQ199" s="4" t="str">
        <f t="shared" si="89"/>
        <v>-</v>
      </c>
      <c r="AR199" s="4">
        <f t="shared" si="90"/>
        <v>30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24</v>
      </c>
      <c r="AW199" s="4">
        <f t="shared" si="95"/>
        <v>2</v>
      </c>
      <c r="AX199" s="4">
        <f t="shared" si="96"/>
        <v>38</v>
      </c>
      <c r="AY199" s="4">
        <f t="shared" si="97"/>
        <v>39</v>
      </c>
      <c r="AZ199" s="4">
        <f t="shared" si="98"/>
        <v>25</v>
      </c>
      <c r="BA199" s="4">
        <f t="shared" si="99"/>
        <v>12</v>
      </c>
    </row>
    <row r="200" spans="1:53" x14ac:dyDescent="0.2">
      <c r="A200" s="1" t="str">
        <f>'NonXtal_SegEnds_Prot#'!A176</f>
        <v>ada2b_human</v>
      </c>
      <c r="B200" s="1" t="str">
        <f t="shared" si="75"/>
        <v>VQATAAIAAAITFLILFTIFGNALVILAVLTSAPQNLFLVSLAAADILVATLIIPFSLANELLRRTWCEVYLALDVLFCTSSIVHLCAISLDRYWAVSRPRRIKCIILTVWLIAAVISLPPLIYEAWYILASSIGSFFAPCLIMILVYLRIYLIAKRSNRRGPRARAQLTREKRFTFVLAVVIGVFVLCWFPFFFSYSLGAICPHGLFQFFFWIGYCNSSLNPVIYTIFNQDFRRAFRRILC</v>
      </c>
      <c r="C200" s="72" t="str">
        <f>IF(ISERROR(MATCH(A200,'Xtal_SegEnds_Prot#'!B:B,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200" s="5" t="str">
        <f t="shared" si="76"/>
        <v>VQATAAIAAAITFLILFTIFGNALVILAVLTS</v>
      </c>
      <c r="G200" s="4" t="str">
        <f t="shared" si="77"/>
        <v>RSLR</v>
      </c>
      <c r="H200" s="4" t="str">
        <f t="shared" si="78"/>
        <v>APQNLFLVSLAAADILVATLIIPFSLANELL</v>
      </c>
      <c r="I200" s="4" t="str">
        <f t="shared" si="79"/>
        <v>YWYF</v>
      </c>
      <c r="J200" s="4" t="str">
        <f t="shared" si="80"/>
        <v>RRTWCEVYLALDVLFCTSSIVHLCAISLDRYWAVSR</v>
      </c>
      <c r="K200" s="4" t="str">
        <f t="shared" si="81"/>
        <v>ALEYNSKR</v>
      </c>
      <c r="L200" s="4" t="str">
        <f t="shared" si="82"/>
        <v>PRRIKCIILTVWLIAAVISLPPLIY</v>
      </c>
      <c r="M200" s="4" t="str">
        <f t="shared" si="83"/>
        <v>CKL</v>
      </c>
      <c r="N200" s="4" t="str">
        <f t="shared" si="84"/>
        <v>EAWYILASSIGSFFAPCLIMILVYLRIYLIAKRSNRRGPRA</v>
      </c>
      <c r="O200" s="4" t="str">
        <f t="shared" si="85"/>
        <v>RAQLTREKRFTFVLAVVIGVFVLCWFPFFFSYSLGAIC</v>
      </c>
      <c r="P200" s="4" t="str">
        <f t="shared" si="86"/>
        <v>PHGLFQFFFWIGYCNSSLNPVIYTIF</v>
      </c>
      <c r="Q200" s="4" t="str">
        <f t="shared" si="87"/>
        <v>NQDFRRAFRRILC</v>
      </c>
      <c r="R200" s="5">
        <f>VLOOKUP($A200,'NonXtal_SegEnds_Prot#'!$A:$AL,3,FALSE)</f>
        <v>9</v>
      </c>
      <c r="S200" s="5">
        <f>VLOOKUP($A200,'NonXtal_SegEnds_Prot#'!$A:$AL,6,FALSE)</f>
        <v>41</v>
      </c>
      <c r="T200" s="5">
        <f>VLOOKUP($A200,'NonXtal_SegEnds_Prot#'!$A:$AL,9,FALSE)</f>
        <v>45</v>
      </c>
      <c r="U200" s="5">
        <f>VLOOKUP($A200,'NonXtal_SegEnds_Prot#'!$A:$AL,12,FALSE)</f>
        <v>77</v>
      </c>
      <c r="V200" s="5">
        <f>VLOOKUP($A200,'NonXtal_SegEnds_Prot#'!$A:$AL,15,FALSE)</f>
        <v>81</v>
      </c>
      <c r="W200" s="5">
        <f>VLOOKUP($A200,'NonXtal_SegEnds_Prot#'!$A:$AL,18,FALSE)</f>
        <v>117</v>
      </c>
      <c r="X200" s="5">
        <f>VLOOKUP($A200,'NonXtal_SegEnds_Prot#'!$A:$AL,21,FALSE)</f>
        <v>126</v>
      </c>
      <c r="Y200" s="5">
        <f>VLOOKUP($A200,'NonXtal_SegEnds_Prot#'!$A:$AL,24,FALSE)</f>
        <v>164</v>
      </c>
      <c r="Z200" s="5">
        <f>VLOOKUP($A200,'NonXtal_SegEnds_Prot#'!$A:$AL,27,FALSE)</f>
        <v>169</v>
      </c>
      <c r="AA200" s="5">
        <f>VLOOKUP($A200,'NonXtal_SegEnds_Prot#'!$A:$AL,30,FALSE)</f>
        <v>357</v>
      </c>
      <c r="AB200" s="5">
        <f>VLOOKUP($A200,'NonXtal_SegEnds_Prot#'!$A:$AL,33,FALSE)</f>
        <v>401</v>
      </c>
      <c r="AC200" s="5">
        <f>VLOOKUP($A200,'NonXtal_SegEnds_Prot#'!$A:$AL,36,FALSE)</f>
        <v>427</v>
      </c>
      <c r="AD200" s="5">
        <f>VLOOKUP($A200,'NonXtal_SegEnds_Prot#'!$A:$AL,5,FALSE)</f>
        <v>40</v>
      </c>
      <c r="AE200" s="5">
        <f>VLOOKUP($A200,'NonXtal_SegEnds_Prot#'!$A:$AL,8,FALSE)</f>
        <v>44</v>
      </c>
      <c r="AF200" s="5">
        <f>VLOOKUP($A200,'NonXtal_SegEnds_Prot#'!$A:$AL,11,FALSE)</f>
        <v>75</v>
      </c>
      <c r="AG200" s="5">
        <f>VLOOKUP($A200,'NonXtal_SegEnds_Prot#'!$A:$AL,14,FALSE)</f>
        <v>80</v>
      </c>
      <c r="AH200" s="5">
        <f>VLOOKUP($A200,'NonXtal_SegEnds_Prot#'!$A:$AL,17,FALSE)</f>
        <v>116</v>
      </c>
      <c r="AI200" s="5">
        <f>VLOOKUP($A200,'NonXtal_SegEnds_Prot#'!$A:$AL,20,FALSE)</f>
        <v>124</v>
      </c>
      <c r="AJ200" s="5">
        <f>VLOOKUP($A200,'NonXtal_SegEnds_Prot#'!$A:$AL,23,FALSE)</f>
        <v>150</v>
      </c>
      <c r="AK200" s="5">
        <f>VLOOKUP($A200,'NonXtal_SegEnds_Prot#'!$A:$AL,26,FALSE)</f>
        <v>166</v>
      </c>
      <c r="AL200" s="5">
        <f>VLOOKUP($A200,'NonXtal_SegEnds_Prot#'!$A:$AL,29,FALSE)</f>
        <v>209</v>
      </c>
      <c r="AM200" s="5">
        <f>VLOOKUP($A200,'NonXtal_SegEnds_Prot#'!$A:$AL,32,FALSE)</f>
        <v>394</v>
      </c>
      <c r="AN200" s="5">
        <f>VLOOKUP($A200,'NonXtal_SegEnds_Prot#'!$A:$AL,35,FALSE)</f>
        <v>426</v>
      </c>
      <c r="AO200" s="5">
        <f>VLOOKUP($A200,'NonXtal_SegEnds_Prot#'!$A:$AL,38,FALSE)</f>
        <v>439</v>
      </c>
      <c r="AP200" s="5">
        <f t="shared" si="88"/>
        <v>31</v>
      </c>
      <c r="AQ200" s="4">
        <f t="shared" si="89"/>
        <v>3</v>
      </c>
      <c r="AR200" s="4">
        <f t="shared" si="90"/>
        <v>30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24</v>
      </c>
      <c r="AW200" s="4">
        <f t="shared" si="95"/>
        <v>2</v>
      </c>
      <c r="AX200" s="4">
        <f t="shared" si="96"/>
        <v>40</v>
      </c>
      <c r="AY200" s="4">
        <f t="shared" si="97"/>
        <v>37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'NonXtal_SegEnds_Prot#'!A177</f>
        <v>gpr62_human</v>
      </c>
      <c r="B201" s="1" t="str">
        <f t="shared" si="75"/>
        <v>EVAGSLGLILAAVVEVGALLGNGALLVVVLRTLRDALYLAHLCVVDLLAAASIMPLGLLAAPPVRLGPAPCRAARFLSAALLPACTLGVAALGLARYRLIVHRPPPVLVLTAVWAAAGLLGALSLLGLGPFRPLWALLAFALPALLLLGAYGGIFVVARRAALRPPRPALRPRLPGGKAALAPALAVGQFAACWLPYGCACLAPEAAVTWVAYSAFAAHPFLYGLLQRPVRLALGRLSR</v>
      </c>
      <c r="C201" s="72" t="str">
        <f>IF(ISERROR(MATCH(A201,'Xtal_SegEnds_Prot#'!B:B,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01" s="5" t="str">
        <f t="shared" si="76"/>
        <v>EVAGSLGLILAAVVEVGALLGNGALLVVVLRT</v>
      </c>
      <c r="G201" s="4" t="str">
        <f t="shared" si="77"/>
        <v/>
      </c>
      <c r="H201" s="4" t="str">
        <f t="shared" si="78"/>
        <v>LRDALYLAHLCVVDLLAAASIMPLGLLAAPP</v>
      </c>
      <c r="I201" s="4" t="str">
        <f t="shared" si="79"/>
        <v/>
      </c>
      <c r="J201" s="4" t="str">
        <f t="shared" si="80"/>
        <v>VRLGPAPCRAARFLSAALLPACTLGVAALGLARYRLIVH</v>
      </c>
      <c r="K201" s="4" t="str">
        <f t="shared" si="81"/>
        <v/>
      </c>
      <c r="L201" s="4" t="str">
        <f t="shared" si="82"/>
        <v>RPPPVLVLTAVWAAAGLLGALSLLG</v>
      </c>
      <c r="M201" s="4" t="str">
        <f t="shared" si="83"/>
        <v>CSV</v>
      </c>
      <c r="N201" s="4" t="str">
        <f t="shared" si="84"/>
        <v>LGPFRPLWALLAFALPALLLLGAYGGIFVVARRAALRPPRPA</v>
      </c>
      <c r="O201" s="4" t="str">
        <f t="shared" si="85"/>
        <v>LRPRLPGGKAALAPALAVGQFAACWLPYGCACLAP</v>
      </c>
      <c r="P201" s="4" t="str">
        <f t="shared" si="86"/>
        <v>EAAVTWVAYSAFAAHPFLYGLL</v>
      </c>
      <c r="Q201" s="4" t="str">
        <f t="shared" si="87"/>
        <v>QRPVRLALGRLSR</v>
      </c>
      <c r="R201" s="5">
        <f>VLOOKUP($A201,'NonXtal_SegEnds_Prot#'!$A:$AL,3,FALSE)</f>
        <v>11</v>
      </c>
      <c r="S201" s="5" t="str">
        <f>VLOOKUP($A201,'NonXtal_SegEnds_Prot#'!$A:$AL,6,FALSE)</f>
        <v>-</v>
      </c>
      <c r="T201" s="5">
        <f>VLOOKUP($A201,'NonXtal_SegEnds_Prot#'!$A:$AL,9,FALSE)</f>
        <v>45</v>
      </c>
      <c r="U201" s="5" t="str">
        <f>VLOOKUP($A201,'NonXtal_SegEnds_Prot#'!$A:$AL,12,FALSE)</f>
        <v>-</v>
      </c>
      <c r="V201" s="5">
        <f>VLOOKUP($A201,'NonXtal_SegEnds_Prot#'!$A:$AL,15,FALSE)</f>
        <v>81</v>
      </c>
      <c r="W201" s="5" t="str">
        <f>VLOOKUP($A201,'NonXtal_SegEnds_Prot#'!$A:$AL,18,FALSE)</f>
        <v>-</v>
      </c>
      <c r="X201" s="5">
        <f>VLOOKUP($A201,'NonXtal_SegEnds_Prot#'!$A:$AL,21,FALSE)</f>
        <v>126</v>
      </c>
      <c r="Y201" s="5">
        <f>VLOOKUP($A201,'NonXtal_SegEnds_Prot#'!$A:$AL,24,FALSE)</f>
        <v>162</v>
      </c>
      <c r="Z201" s="5">
        <f>VLOOKUP($A201,'NonXtal_SegEnds_Prot#'!$A:$AL,27,FALSE)</f>
        <v>169</v>
      </c>
      <c r="AA201" s="5">
        <f>VLOOKUP($A201,'NonXtal_SegEnds_Prot#'!$A:$AL,30,FALSE)</f>
        <v>230</v>
      </c>
      <c r="AB201" s="5">
        <f>VLOOKUP($A201,'NonXtal_SegEnds_Prot#'!$A:$AL,33,FALSE)</f>
        <v>272</v>
      </c>
      <c r="AC201" s="5">
        <f>VLOOKUP($A201,'NonXtal_SegEnds_Prot#'!$A:$AL,36,FALSE)</f>
        <v>294</v>
      </c>
      <c r="AD201" s="5">
        <f>VLOOKUP($A201,'NonXtal_SegEnds_Prot#'!$A:$AL,5,FALSE)</f>
        <v>42</v>
      </c>
      <c r="AE201" s="5" t="str">
        <f>VLOOKUP($A201,'NonXtal_SegEnds_Prot#'!$A:$AL,8,FALSE)</f>
        <v>-</v>
      </c>
      <c r="AF201" s="5">
        <f>VLOOKUP($A201,'NonXtal_SegEnds_Prot#'!$A:$AL,11,FALSE)</f>
        <v>75</v>
      </c>
      <c r="AG201" s="5" t="str">
        <f>VLOOKUP($A201,'NonXtal_SegEnds_Prot#'!$A:$AL,14,FALSE)</f>
        <v>-</v>
      </c>
      <c r="AH201" s="5">
        <f>VLOOKUP($A201,'NonXtal_SegEnds_Prot#'!$A:$AL,17,FALSE)</f>
        <v>119</v>
      </c>
      <c r="AI201" s="5" t="str">
        <f>VLOOKUP($A201,'NonXtal_SegEnds_Prot#'!$A:$AL,20,FALSE)</f>
        <v>-</v>
      </c>
      <c r="AJ201" s="5">
        <f>VLOOKUP($A201,'NonXtal_SegEnds_Prot#'!$A:$AL,23,FALSE)</f>
        <v>150</v>
      </c>
      <c r="AK201" s="5">
        <f>VLOOKUP($A201,'NonXtal_SegEnds_Prot#'!$A:$AL,26,FALSE)</f>
        <v>164</v>
      </c>
      <c r="AL201" s="5">
        <f>VLOOKUP($A201,'NonXtal_SegEnds_Prot#'!$A:$AL,29,FALSE)</f>
        <v>210</v>
      </c>
      <c r="AM201" s="5">
        <f>VLOOKUP($A201,'NonXtal_SegEnds_Prot#'!$A:$AL,32,FALSE)</f>
        <v>264</v>
      </c>
      <c r="AN201" s="5">
        <f>VLOOKUP($A201,'NonXtal_SegEnds_Prot#'!$A:$AL,35,FALSE)</f>
        <v>293</v>
      </c>
      <c r="AO201" s="5">
        <f>VLOOKUP($A201,'NonXtal_SegEnds_Prot#'!$A:$AL,38,FALSE)</f>
        <v>306</v>
      </c>
      <c r="AP201" s="5">
        <f t="shared" si="88"/>
        <v>31</v>
      </c>
      <c r="AQ201" s="4" t="str">
        <f t="shared" si="89"/>
        <v>-</v>
      </c>
      <c r="AR201" s="4">
        <f t="shared" si="90"/>
        <v>30</v>
      </c>
      <c r="AS201" s="4" t="str">
        <f t="shared" si="91"/>
        <v>-</v>
      </c>
      <c r="AT201" s="4">
        <f t="shared" si="92"/>
        <v>38</v>
      </c>
      <c r="AU201" s="4" t="str">
        <f t="shared" si="93"/>
        <v>-</v>
      </c>
      <c r="AV201" s="4">
        <f t="shared" si="94"/>
        <v>24</v>
      </c>
      <c r="AW201" s="4">
        <f t="shared" si="95"/>
        <v>2</v>
      </c>
      <c r="AX201" s="4">
        <f t="shared" si="96"/>
        <v>41</v>
      </c>
      <c r="AY201" s="4">
        <f t="shared" si="97"/>
        <v>34</v>
      </c>
      <c r="AZ201" s="4">
        <f t="shared" si="98"/>
        <v>21</v>
      </c>
      <c r="BA201" s="4">
        <f t="shared" si="99"/>
        <v>12</v>
      </c>
    </row>
    <row r="202" spans="1:53" x14ac:dyDescent="0.2">
      <c r="A202" s="1" t="str">
        <f>'NonXtal_SegEnds_Prot#'!A179</f>
        <v>etbr2_human</v>
      </c>
      <c r="B202" s="1" t="str">
        <f t="shared" si="75"/>
        <v>LYPVTESSYSAYAIMLLALVVFAVGIVGNLSVMCIVWHSSAWNSILASLALWDFLVLFFCLPIVIFNEITRLLGDVSCRAVPFMEVSSLGVTTFSLCALGIDRFHVATSCQSILAKLAVIWVGSMTLAVPELLLWSLVMTYQNARMWWYFGCYFCLPILFTVTCQLVTWRVRGPPGRKSSKHEQCESQLNSTVVGLTVVYAFCTLPENVCNIVVAYLRQTLDLLGLINQFSTFFKGAITPVLLLCICRPLGQAFLDCCCC</v>
      </c>
      <c r="C202" s="72" t="str">
        <f>IF(ISERROR(MATCH(A202,'Xtal_SegEnds_Prot#'!B:B,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202" s="5" t="str">
        <f t="shared" si="76"/>
        <v>LYPVTESSYSAYAIMLLALVVFAVGIVGNLSVMCIVWHS</v>
      </c>
      <c r="G202" s="4" t="str">
        <f t="shared" si="77"/>
        <v>YYLK</v>
      </c>
      <c r="H202" s="4" t="str">
        <f t="shared" si="78"/>
        <v>SAWNSILASLALWDFLVLFFCLPIVIFNEIT</v>
      </c>
      <c r="I202" s="4" t="str">
        <f t="shared" si="79"/>
        <v/>
      </c>
      <c r="J202" s="4" t="str">
        <f t="shared" si="80"/>
        <v>RLLGDVSCRAVPFMEVSSLGVTTFSLCALGIDRFHVATS</v>
      </c>
      <c r="K202" s="4" t="str">
        <f t="shared" si="81"/>
        <v>LPKVRPIE</v>
      </c>
      <c r="L202" s="4" t="str">
        <f t="shared" si="82"/>
        <v>CQSILAKLAVIWVGSMTLAVPELLLW</v>
      </c>
      <c r="M202" s="4" t="str">
        <f t="shared" si="83"/>
        <v>CIM</v>
      </c>
      <c r="N202" s="4" t="str">
        <f t="shared" si="84"/>
        <v>SLVMTYQNARMWWYFGCYFCLPILFTVTCQLVTWRVRGPPGRKS</v>
      </c>
      <c r="O202" s="4" t="str">
        <f t="shared" si="85"/>
        <v>SKHEQCESQLNSTVVGLTVVYAFCTLPENVCNIVVAYL</v>
      </c>
      <c r="P202" s="4" t="str">
        <f t="shared" si="86"/>
        <v>RQTLDLLGLINQFSTFFKGAITPVLLLCI</v>
      </c>
      <c r="Q202" s="4" t="str">
        <f t="shared" si="87"/>
        <v>CRPLGQAFLDCCCC</v>
      </c>
      <c r="R202" s="5">
        <f>VLOOKUP($A202,'NonXtal_SegEnds_Prot#'!$A:$AL,3,FALSE)</f>
        <v>120</v>
      </c>
      <c r="S202" s="5">
        <f>VLOOKUP($A202,'NonXtal_SegEnds_Prot#'!$A:$AL,6,FALSE)</f>
        <v>159</v>
      </c>
      <c r="T202" s="5">
        <f>VLOOKUP($A202,'NonXtal_SegEnds_Prot#'!$A:$AL,9,FALSE)</f>
        <v>163</v>
      </c>
      <c r="U202" s="5" t="str">
        <f>VLOOKUP($A202,'NonXtal_SegEnds_Prot#'!$A:$AL,12,FALSE)</f>
        <v>-</v>
      </c>
      <c r="V202" s="5">
        <f>VLOOKUP($A202,'NonXtal_SegEnds_Prot#'!$A:$AL,15,FALSE)</f>
        <v>196</v>
      </c>
      <c r="W202" s="5">
        <f>VLOOKUP($A202,'NonXtal_SegEnds_Prot#'!$A:$AL,18,FALSE)</f>
        <v>236</v>
      </c>
      <c r="X202" s="5">
        <f>VLOOKUP($A202,'NonXtal_SegEnds_Prot#'!$A:$AL,21,FALSE)</f>
        <v>245</v>
      </c>
      <c r="Y202" s="5">
        <f>VLOOKUP($A202,'NonXtal_SegEnds_Prot#'!$A:$AL,24,FALSE)</f>
        <v>286</v>
      </c>
      <c r="Z202" s="5">
        <f>VLOOKUP($A202,'NonXtal_SegEnds_Prot#'!$A:$AL,27,FALSE)</f>
        <v>300</v>
      </c>
      <c r="AA202" s="5">
        <f>VLOOKUP($A202,'NonXtal_SegEnds_Prot#'!$A:$AL,30,FALSE)</f>
        <v>348</v>
      </c>
      <c r="AB202" s="5">
        <f>VLOOKUP($A202,'NonXtal_SegEnds_Prot#'!$A:$AL,33,FALSE)</f>
        <v>391</v>
      </c>
      <c r="AC202" s="5">
        <f>VLOOKUP($A202,'NonXtal_SegEnds_Prot#'!$A:$AL,36,FALSE)</f>
        <v>420</v>
      </c>
      <c r="AD202" s="5">
        <f>VLOOKUP($A202,'NonXtal_SegEnds_Prot#'!$A:$AL,5,FALSE)</f>
        <v>158</v>
      </c>
      <c r="AE202" s="5">
        <f>VLOOKUP($A202,'NonXtal_SegEnds_Prot#'!$A:$AL,8,FALSE)</f>
        <v>162</v>
      </c>
      <c r="AF202" s="5">
        <f>VLOOKUP($A202,'NonXtal_SegEnds_Prot#'!$A:$AL,11,FALSE)</f>
        <v>193</v>
      </c>
      <c r="AG202" s="5" t="str">
        <f>VLOOKUP($A202,'NonXtal_SegEnds_Prot#'!$A:$AL,14,FALSE)</f>
        <v>-</v>
      </c>
      <c r="AH202" s="5">
        <f>VLOOKUP($A202,'NonXtal_SegEnds_Prot#'!$A:$AL,17,FALSE)</f>
        <v>234</v>
      </c>
      <c r="AI202" s="5">
        <f>VLOOKUP($A202,'NonXtal_SegEnds_Prot#'!$A:$AL,20,FALSE)</f>
        <v>243</v>
      </c>
      <c r="AJ202" s="5">
        <f>VLOOKUP($A202,'NonXtal_SegEnds_Prot#'!$A:$AL,23,FALSE)</f>
        <v>270</v>
      </c>
      <c r="AK202" s="5">
        <f>VLOOKUP($A202,'NonXtal_SegEnds_Prot#'!$A:$AL,26,FALSE)</f>
        <v>288</v>
      </c>
      <c r="AL202" s="5">
        <f>VLOOKUP($A202,'NonXtal_SegEnds_Prot#'!$A:$AL,29,FALSE)</f>
        <v>343</v>
      </c>
      <c r="AM202" s="5">
        <f>VLOOKUP($A202,'NonXtal_SegEnds_Prot#'!$A:$AL,32,FALSE)</f>
        <v>385</v>
      </c>
      <c r="AN202" s="5">
        <f>VLOOKUP($A202,'NonXtal_SegEnds_Prot#'!$A:$AL,35,FALSE)</f>
        <v>419</v>
      </c>
      <c r="AO202" s="5">
        <f>VLOOKUP($A202,'NonXtal_SegEnds_Prot#'!$A:$AL,38,FALSE)</f>
        <v>433</v>
      </c>
      <c r="AP202" s="5">
        <f t="shared" si="88"/>
        <v>38</v>
      </c>
      <c r="AQ202" s="4">
        <f t="shared" si="89"/>
        <v>3</v>
      </c>
      <c r="AR202" s="4">
        <f t="shared" si="90"/>
        <v>30</v>
      </c>
      <c r="AS202" s="4" t="str">
        <f t="shared" si="91"/>
        <v>-</v>
      </c>
      <c r="AT202" s="4">
        <f t="shared" si="92"/>
        <v>38</v>
      </c>
      <c r="AU202" s="4">
        <f t="shared" si="93"/>
        <v>7</v>
      </c>
      <c r="AV202" s="4">
        <f t="shared" si="94"/>
        <v>25</v>
      </c>
      <c r="AW202" s="4">
        <f t="shared" si="95"/>
        <v>2</v>
      </c>
      <c r="AX202" s="4">
        <f t="shared" si="96"/>
        <v>43</v>
      </c>
      <c r="AY202" s="4">
        <f t="shared" si="97"/>
        <v>37</v>
      </c>
      <c r="AZ202" s="4">
        <f t="shared" si="98"/>
        <v>28</v>
      </c>
      <c r="BA202" s="4">
        <f t="shared" si="99"/>
        <v>13</v>
      </c>
    </row>
    <row r="203" spans="1:53" x14ac:dyDescent="0.2">
      <c r="A203" s="1" t="str">
        <f>'NonXtal_SegEnds_Prot#'!A180</f>
        <v>ednrb_human</v>
      </c>
      <c r="B203" s="1" t="str">
        <f t="shared" si="75"/>
        <v>QGPIEIKETFKYINTVVSCLVFVLGIIGNSTLLRIIYKNGPNILIASLALGDLLHIVIDIPINVYKLLAGAEMCKLVPFIQKASVGITVLSLCALSIDRYRAVASPKWTAVEIVLIWVVSVVLAVPEAIGFAFMQFYKTAKDWWLFSFYFCLPLAITAFFYTLMTCEMLRKKSGMNDHLKQRREVAKTVFCLVLVFALCWLPLHLSRILKLTLYRCELLSFLLVLDYIGINMASLNSCINPIALYLVSKRFKNCFKSCLCC</v>
      </c>
      <c r="C203" s="72" t="str">
        <f>IF(ISERROR(MATCH(A203,'Xtal_SegEnds_Prot#'!B:B, 0)), "NoXtal", "Xtal")</f>
        <v>Xtal</v>
      </c>
      <c r="D203" s="4" t="str">
        <f>VLOOKUP(A203,Classification!A:D,2,FALSE)</f>
        <v>A</v>
      </c>
      <c r="E203" s="5" t="str">
        <f>VLOOKUP(A203,Seqs!A:B,2,FALSE)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203" s="5" t="str">
        <f t="shared" si="76"/>
        <v>QGPIEIKETFKYINTVVSCLVFVLGIIGNSTLLRIIYKN</v>
      </c>
      <c r="G203" s="4" t="str">
        <f t="shared" si="77"/>
        <v>KCMRN</v>
      </c>
      <c r="H203" s="4" t="str">
        <f t="shared" si="78"/>
        <v>GPNILIASLALGDLLHIVIDIPINVYKLLA</v>
      </c>
      <c r="I203" s="4" t="str">
        <f t="shared" si="79"/>
        <v>DWPF</v>
      </c>
      <c r="J203" s="4" t="str">
        <f t="shared" si="80"/>
        <v>GAEMCKLVPFIQKASVGITVLSLCALSIDRYRAVAS</v>
      </c>
      <c r="K203" s="4" t="str">
        <f t="shared" si="81"/>
        <v>WSRIKGIG</v>
      </c>
      <c r="L203" s="4" t="str">
        <f t="shared" si="82"/>
        <v>PKWTAVEIVLIWVVSVVLAVPEAIGF</v>
      </c>
      <c r="M203" s="4" t="str">
        <f t="shared" si="83"/>
        <v>CLL</v>
      </c>
      <c r="N203" s="4" t="str">
        <f t="shared" si="84"/>
        <v>AFMQFYKTAKDWWLFSFYFCLPLAITAFFYTLMTCEMLRKKSGM</v>
      </c>
      <c r="O203" s="4" t="str">
        <f t="shared" si="85"/>
        <v>NDHLKQRREVAKTVFCLVLVFALCWLPLHLSRILKLTLY</v>
      </c>
      <c r="P203" s="4" t="str">
        <f t="shared" si="86"/>
        <v>RCELLSFLLVLDYIGINMASLNSCINPIALYLV</v>
      </c>
      <c r="Q203" s="4" t="str">
        <f t="shared" si="87"/>
        <v>SKRFKNCFKSCLCC</v>
      </c>
      <c r="R203" s="5">
        <f>VLOOKUP($A203,'NonXtal_SegEnds_Prot#'!$A:$AL,3,FALSE)</f>
        <v>91</v>
      </c>
      <c r="S203" s="5">
        <f>VLOOKUP($A203,'NonXtal_SegEnds_Prot#'!$A:$AL,6,FALSE)</f>
        <v>130</v>
      </c>
      <c r="T203" s="5">
        <f>VLOOKUP($A203,'NonXtal_SegEnds_Prot#'!$A:$AL,9,FALSE)</f>
        <v>135</v>
      </c>
      <c r="U203" s="5">
        <f>VLOOKUP($A203,'NonXtal_SegEnds_Prot#'!$A:$AL,12,FALSE)</f>
        <v>166</v>
      </c>
      <c r="V203" s="5">
        <f>VLOOKUP($A203,'NonXtal_SegEnds_Prot#'!$A:$AL,15,FALSE)</f>
        <v>170</v>
      </c>
      <c r="W203" s="5">
        <f>VLOOKUP($A203,'NonXtal_SegEnds_Prot#'!$A:$AL,18,FALSE)</f>
        <v>206</v>
      </c>
      <c r="X203" s="5">
        <f>VLOOKUP($A203,'NonXtal_SegEnds_Prot#'!$A:$AL,21,FALSE)</f>
        <v>215</v>
      </c>
      <c r="Y203" s="5">
        <f>VLOOKUP($A203,'NonXtal_SegEnds_Prot#'!$A:$AL,24,FALSE)</f>
        <v>255</v>
      </c>
      <c r="Z203" s="5">
        <f>VLOOKUP($A203,'NonXtal_SegEnds_Prot#'!$A:$AL,27,FALSE)</f>
        <v>264</v>
      </c>
      <c r="AA203" s="5">
        <f>VLOOKUP($A203,'NonXtal_SegEnds_Prot#'!$A:$AL,30,FALSE)</f>
        <v>312</v>
      </c>
      <c r="AB203" s="5">
        <f>VLOOKUP($A203,'NonXtal_SegEnds_Prot#'!$A:$AL,33,FALSE)</f>
        <v>357</v>
      </c>
      <c r="AC203" s="5">
        <f>VLOOKUP($A203,'NonXtal_SegEnds_Prot#'!$A:$AL,36,FALSE)</f>
        <v>390</v>
      </c>
      <c r="AD203" s="5">
        <f>VLOOKUP($A203,'NonXtal_SegEnds_Prot#'!$A:$AL,5,FALSE)</f>
        <v>129</v>
      </c>
      <c r="AE203" s="5">
        <f>VLOOKUP($A203,'NonXtal_SegEnds_Prot#'!$A:$AL,8,FALSE)</f>
        <v>134</v>
      </c>
      <c r="AF203" s="5">
        <f>VLOOKUP($A203,'NonXtal_SegEnds_Prot#'!$A:$AL,11,FALSE)</f>
        <v>164</v>
      </c>
      <c r="AG203" s="5">
        <f>VLOOKUP($A203,'NonXtal_SegEnds_Prot#'!$A:$AL,14,FALSE)</f>
        <v>169</v>
      </c>
      <c r="AH203" s="5">
        <f>VLOOKUP($A203,'NonXtal_SegEnds_Prot#'!$A:$AL,17,FALSE)</f>
        <v>205</v>
      </c>
      <c r="AI203" s="5">
        <f>VLOOKUP($A203,'NonXtal_SegEnds_Prot#'!$A:$AL,20,FALSE)</f>
        <v>213</v>
      </c>
      <c r="AJ203" s="5">
        <f>VLOOKUP($A203,'NonXtal_SegEnds_Prot#'!$A:$AL,23,FALSE)</f>
        <v>240</v>
      </c>
      <c r="AK203" s="5">
        <f>VLOOKUP($A203,'NonXtal_SegEnds_Prot#'!$A:$AL,26,FALSE)</f>
        <v>257</v>
      </c>
      <c r="AL203" s="5">
        <f>VLOOKUP($A203,'NonXtal_SegEnds_Prot#'!$A:$AL,29,FALSE)</f>
        <v>307</v>
      </c>
      <c r="AM203" s="5">
        <f>VLOOKUP($A203,'NonXtal_SegEnds_Prot#'!$A:$AL,32,FALSE)</f>
        <v>350</v>
      </c>
      <c r="AN203" s="5">
        <f>VLOOKUP($A203,'NonXtal_SegEnds_Prot#'!$A:$AL,35,FALSE)</f>
        <v>389</v>
      </c>
      <c r="AO203" s="5">
        <f>VLOOKUP($A203,'NonXtal_SegEnds_Prot#'!$A:$AL,38,FALSE)</f>
        <v>403</v>
      </c>
      <c r="AP203" s="5">
        <f t="shared" si="88"/>
        <v>38</v>
      </c>
      <c r="AQ203" s="4">
        <f t="shared" si="89"/>
        <v>4</v>
      </c>
      <c r="AR203" s="4">
        <f t="shared" si="90"/>
        <v>29</v>
      </c>
      <c r="AS203" s="4">
        <f t="shared" si="91"/>
        <v>3</v>
      </c>
      <c r="AT203" s="4">
        <f t="shared" si="92"/>
        <v>35</v>
      </c>
      <c r="AU203" s="4">
        <f t="shared" si="93"/>
        <v>7</v>
      </c>
      <c r="AV203" s="4">
        <f t="shared" si="94"/>
        <v>25</v>
      </c>
      <c r="AW203" s="4">
        <f t="shared" si="95"/>
        <v>2</v>
      </c>
      <c r="AX203" s="4">
        <f t="shared" si="96"/>
        <v>43</v>
      </c>
      <c r="AY203" s="4">
        <f t="shared" si="97"/>
        <v>38</v>
      </c>
      <c r="AZ203" s="4">
        <f t="shared" si="98"/>
        <v>32</v>
      </c>
      <c r="BA203" s="4">
        <f t="shared" si="99"/>
        <v>13</v>
      </c>
    </row>
    <row r="204" spans="1:53" x14ac:dyDescent="0.2">
      <c r="A204" s="1" t="str">
        <f>'NonXtal_SegEnds_Prot#'!A182</f>
        <v>nmbr_human</v>
      </c>
      <c r="B204" s="1" t="str">
        <f t="shared" si="75"/>
        <v>SDGTTTELVIRCVIPSLYLLIITVGLLGNIMLVKIFITNSVPNIFISNLAAGDLLLLLTCVPVDASRYFFGKVGCKLIPVIQLTSVGVSVFTLTALSADRYRAIVNLLRTCVKAMGIWVVSVLLAVPEAVFSQTDELHPKIHSVLIFLVYFLIPLAIISIYYYHIAKTLIKSAHNLPHTKKQMETRKRLAKIVLVFVGCFIFCWFPNHILYMYRSFNSLGHMIVTLVARVLSFGNSCVNPFALYLLSESFRRHFNSQLCC</v>
      </c>
      <c r="C204" s="72" t="str">
        <f>IF(ISERROR(MATCH(A204,'Xtal_SegEnds_Prot#'!B:B,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04" s="5" t="str">
        <f t="shared" si="76"/>
        <v>SDGTTTELVIRCVIPSLYLLIITVGLLGNIMLVKIFITN</v>
      </c>
      <c r="G204" s="4" t="str">
        <f t="shared" si="77"/>
        <v>SAMR</v>
      </c>
      <c r="H204" s="4" t="str">
        <f t="shared" si="78"/>
        <v>SVPNIFISNLAAGDLLLLLTCVPVDASRYFF</v>
      </c>
      <c r="I204" s="4" t="str">
        <f t="shared" si="79"/>
        <v>EWMF</v>
      </c>
      <c r="J204" s="4" t="str">
        <f t="shared" si="80"/>
        <v>GKVGCKLIPVIQLTSVGVSVFTLTALSADRYRAIVN</v>
      </c>
      <c r="K204" s="4" t="str">
        <f t="shared" si="81"/>
        <v>PMDMQTSG</v>
      </c>
      <c r="L204" s="4" t="str">
        <f t="shared" si="82"/>
        <v>LLRTCVKAMGIWVVSVLLAVPEAVFS</v>
      </c>
      <c r="M204" s="4" t="str">
        <f t="shared" si="83"/>
        <v>CIP</v>
      </c>
      <c r="N204" s="4" t="str">
        <f t="shared" si="84"/>
        <v>QTDELHPKIHSVLIFLVYFLIPLAIISIYYYHIAKTLIKSAHNLP</v>
      </c>
      <c r="O204" s="4" t="str">
        <f t="shared" si="85"/>
        <v>HTKKQMETRKRLAKIVLVFVGCFIFCWFPNHILYMYRSFN</v>
      </c>
      <c r="P204" s="4" t="str">
        <f t="shared" si="86"/>
        <v>SLGHMIVTLVARVLSFGNSCVNPFALYLL</v>
      </c>
      <c r="Q204" s="4" t="str">
        <f t="shared" si="87"/>
        <v>SESFRRHFNSQLCC</v>
      </c>
      <c r="R204" s="5">
        <f>VLOOKUP($A204,'NonXtal_SegEnds_Prot#'!$A:$AL,3,FALSE)</f>
        <v>33</v>
      </c>
      <c r="S204" s="5">
        <f>VLOOKUP($A204,'NonXtal_SegEnds_Prot#'!$A:$AL,6,FALSE)</f>
        <v>72</v>
      </c>
      <c r="T204" s="5">
        <f>VLOOKUP($A204,'NonXtal_SegEnds_Prot#'!$A:$AL,9,FALSE)</f>
        <v>76</v>
      </c>
      <c r="U204" s="5">
        <f>VLOOKUP($A204,'NonXtal_SegEnds_Prot#'!$A:$AL,12,FALSE)</f>
        <v>108</v>
      </c>
      <c r="V204" s="5">
        <f>VLOOKUP($A204,'NonXtal_SegEnds_Prot#'!$A:$AL,15,FALSE)</f>
        <v>112</v>
      </c>
      <c r="W204" s="5">
        <f>VLOOKUP($A204,'NonXtal_SegEnds_Prot#'!$A:$AL,18,FALSE)</f>
        <v>148</v>
      </c>
      <c r="X204" s="5">
        <f>VLOOKUP($A204,'NonXtal_SegEnds_Prot#'!$A:$AL,21,FALSE)</f>
        <v>157</v>
      </c>
      <c r="Y204" s="5">
        <f>VLOOKUP($A204,'NonXtal_SegEnds_Prot#'!$A:$AL,24,FALSE)</f>
        <v>198</v>
      </c>
      <c r="Z204" s="5">
        <f>VLOOKUP($A204,'NonXtal_SegEnds_Prot#'!$A:$AL,27,FALSE)</f>
        <v>203</v>
      </c>
      <c r="AA204" s="5">
        <f>VLOOKUP($A204,'NonXtal_SegEnds_Prot#'!$A:$AL,30,FALSE)</f>
        <v>253</v>
      </c>
      <c r="AB204" s="5">
        <f>VLOOKUP($A204,'NonXtal_SegEnds_Prot#'!$A:$AL,33,FALSE)</f>
        <v>299</v>
      </c>
      <c r="AC204" s="5">
        <f>VLOOKUP($A204,'NonXtal_SegEnds_Prot#'!$A:$AL,36,FALSE)</f>
        <v>328</v>
      </c>
      <c r="AD204" s="5">
        <f>VLOOKUP($A204,'NonXtal_SegEnds_Prot#'!$A:$AL,5,FALSE)</f>
        <v>71</v>
      </c>
      <c r="AE204" s="5">
        <f>VLOOKUP($A204,'NonXtal_SegEnds_Prot#'!$A:$AL,8,FALSE)</f>
        <v>75</v>
      </c>
      <c r="AF204" s="5">
        <f>VLOOKUP($A204,'NonXtal_SegEnds_Prot#'!$A:$AL,11,FALSE)</f>
        <v>106</v>
      </c>
      <c r="AG204" s="5">
        <f>VLOOKUP($A204,'NonXtal_SegEnds_Prot#'!$A:$AL,14,FALSE)</f>
        <v>111</v>
      </c>
      <c r="AH204" s="5">
        <f>VLOOKUP($A204,'NonXtal_SegEnds_Prot#'!$A:$AL,17,FALSE)</f>
        <v>147</v>
      </c>
      <c r="AI204" s="5">
        <f>VLOOKUP($A204,'NonXtal_SegEnds_Prot#'!$A:$AL,20,FALSE)</f>
        <v>155</v>
      </c>
      <c r="AJ204" s="5">
        <f>VLOOKUP($A204,'NonXtal_SegEnds_Prot#'!$A:$AL,23,FALSE)</f>
        <v>182</v>
      </c>
      <c r="AK204" s="5">
        <f>VLOOKUP($A204,'NonXtal_SegEnds_Prot#'!$A:$AL,26,FALSE)</f>
        <v>200</v>
      </c>
      <c r="AL204" s="5">
        <f>VLOOKUP($A204,'NonXtal_SegEnds_Prot#'!$A:$AL,29,FALSE)</f>
        <v>247</v>
      </c>
      <c r="AM204" s="5">
        <f>VLOOKUP($A204,'NonXtal_SegEnds_Prot#'!$A:$AL,32,FALSE)</f>
        <v>292</v>
      </c>
      <c r="AN204" s="5">
        <f>VLOOKUP($A204,'NonXtal_SegEnds_Prot#'!$A:$AL,35,FALSE)</f>
        <v>327</v>
      </c>
      <c r="AO204" s="5">
        <f>VLOOKUP($A204,'NonXtal_SegEnds_Prot#'!$A:$AL,38,FALSE)</f>
        <v>341</v>
      </c>
      <c r="AP204" s="5">
        <f t="shared" si="88"/>
        <v>38</v>
      </c>
      <c r="AQ204" s="4">
        <f t="shared" si="89"/>
        <v>3</v>
      </c>
      <c r="AR204" s="4">
        <f t="shared" si="90"/>
        <v>30</v>
      </c>
      <c r="AS204" s="4">
        <f t="shared" si="91"/>
        <v>3</v>
      </c>
      <c r="AT204" s="4">
        <f t="shared" si="92"/>
        <v>35</v>
      </c>
      <c r="AU204" s="4">
        <f t="shared" si="93"/>
        <v>7</v>
      </c>
      <c r="AV204" s="4">
        <f t="shared" si="94"/>
        <v>25</v>
      </c>
      <c r="AW204" s="4">
        <f t="shared" si="95"/>
        <v>2</v>
      </c>
      <c r="AX204" s="4">
        <f t="shared" si="96"/>
        <v>44</v>
      </c>
      <c r="AY204" s="4">
        <f t="shared" si="97"/>
        <v>39</v>
      </c>
      <c r="AZ204" s="4">
        <f t="shared" si="98"/>
        <v>28</v>
      </c>
      <c r="BA204" s="4">
        <f t="shared" si="99"/>
        <v>13</v>
      </c>
    </row>
    <row r="205" spans="1:53" x14ac:dyDescent="0.2">
      <c r="A205" s="1" t="str">
        <f>'NonXtal_SegEnds_Prot#'!A183</f>
        <v>grpr_human</v>
      </c>
      <c r="B205" s="1" t="str">
        <f t="shared" si="75"/>
        <v>VNDDWSHPGILYVIPAVYGVIILIGLIGNITLIKIFCTVNVPNLFISSLALGDLLLLITCAPVDASRYLAGRIGCKLIPFIQLTSVGVSVFTLTALSADRYKAIVRLMKICLKAAFIWIISMLLAIPEAVFSHSNELHPKIHSMASFLVFYVIPLSIISVYYYFIAKNLIQSAYNLPHVKKQIESRKRLAKTVLVFVGLFAFCWLPNHVIYLYRSYHSMLHFVTSICARLLAFTNSCVNPFALYLLSKSFRKQFNTQLLC</v>
      </c>
      <c r="C205" s="72" t="str">
        <f>IF(ISERROR(MATCH(A205,'Xtal_SegEnds_Prot#'!B:B,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205" s="5" t="str">
        <f t="shared" si="76"/>
        <v>VNDDWSHPGILYVIPAVYGVIILIGLIGNITLIKIFCTV</v>
      </c>
      <c r="G205" s="4" t="str">
        <f t="shared" si="77"/>
        <v>KSMR</v>
      </c>
      <c r="H205" s="4" t="str">
        <f t="shared" si="78"/>
        <v>NVPNLFISSLALGDLLLLITCAPVDASRYLA</v>
      </c>
      <c r="I205" s="4" t="str">
        <f t="shared" si="79"/>
        <v>RWLF</v>
      </c>
      <c r="J205" s="4" t="str">
        <f t="shared" si="80"/>
        <v>GRIGCKLIPFIQLTSVGVSVFTLTALSADRYKAIVR</v>
      </c>
      <c r="K205" s="4" t="str">
        <f t="shared" si="81"/>
        <v>PMDIQASH</v>
      </c>
      <c r="L205" s="4" t="str">
        <f t="shared" si="82"/>
        <v>LMKICLKAAFIWIISMLLAIPEAVFS</v>
      </c>
      <c r="M205" s="4" t="str">
        <f t="shared" si="83"/>
        <v>CAP</v>
      </c>
      <c r="N205" s="4" t="str">
        <f t="shared" si="84"/>
        <v>HSNELHPKIHSMASFLVFYVIPLSIISVYYYFIAKNLIQSAYNLP</v>
      </c>
      <c r="O205" s="4" t="str">
        <f t="shared" si="85"/>
        <v>HVKKQIESRKRLAKTVLVFVGLFAFCWLPNHVIYLYRSYH</v>
      </c>
      <c r="P205" s="4" t="str">
        <f t="shared" si="86"/>
        <v>SMLHFVTSICARLLAFTNSCVNPFALYLL</v>
      </c>
      <c r="Q205" s="4" t="str">
        <f t="shared" si="87"/>
        <v>SKSFRKQFNTQLLC</v>
      </c>
      <c r="R205" s="5">
        <f>VLOOKUP($A205,'NonXtal_SegEnds_Prot#'!$A:$AL,3,FALSE)</f>
        <v>30</v>
      </c>
      <c r="S205" s="5">
        <f>VLOOKUP($A205,'NonXtal_SegEnds_Prot#'!$A:$AL,6,FALSE)</f>
        <v>69</v>
      </c>
      <c r="T205" s="5">
        <f>VLOOKUP($A205,'NonXtal_SegEnds_Prot#'!$A:$AL,9,FALSE)</f>
        <v>73</v>
      </c>
      <c r="U205" s="5">
        <f>VLOOKUP($A205,'NonXtal_SegEnds_Prot#'!$A:$AL,12,FALSE)</f>
        <v>105</v>
      </c>
      <c r="V205" s="5">
        <f>VLOOKUP($A205,'NonXtal_SegEnds_Prot#'!$A:$AL,15,FALSE)</f>
        <v>109</v>
      </c>
      <c r="W205" s="5">
        <f>VLOOKUP($A205,'NonXtal_SegEnds_Prot#'!$A:$AL,18,FALSE)</f>
        <v>145</v>
      </c>
      <c r="X205" s="5">
        <f>VLOOKUP($A205,'NonXtal_SegEnds_Prot#'!$A:$AL,21,FALSE)</f>
        <v>154</v>
      </c>
      <c r="Y205" s="5">
        <f>VLOOKUP($A205,'NonXtal_SegEnds_Prot#'!$A:$AL,24,FALSE)</f>
        <v>196</v>
      </c>
      <c r="Z205" s="5">
        <f>VLOOKUP($A205,'NonXtal_SegEnds_Prot#'!$A:$AL,27,FALSE)</f>
        <v>201</v>
      </c>
      <c r="AA205" s="5">
        <f>VLOOKUP($A205,'NonXtal_SegEnds_Prot#'!$A:$AL,30,FALSE)</f>
        <v>251</v>
      </c>
      <c r="AB205" s="5">
        <f>VLOOKUP($A205,'NonXtal_SegEnds_Prot#'!$A:$AL,33,FALSE)</f>
        <v>297</v>
      </c>
      <c r="AC205" s="5">
        <f>VLOOKUP($A205,'NonXtal_SegEnds_Prot#'!$A:$AL,36,FALSE)</f>
        <v>326</v>
      </c>
      <c r="AD205" s="5">
        <f>VLOOKUP($A205,'NonXtal_SegEnds_Prot#'!$A:$AL,5,FALSE)</f>
        <v>68</v>
      </c>
      <c r="AE205" s="5">
        <f>VLOOKUP($A205,'NonXtal_SegEnds_Prot#'!$A:$AL,8,FALSE)</f>
        <v>72</v>
      </c>
      <c r="AF205" s="5">
        <f>VLOOKUP($A205,'NonXtal_SegEnds_Prot#'!$A:$AL,11,FALSE)</f>
        <v>103</v>
      </c>
      <c r="AG205" s="5">
        <f>VLOOKUP($A205,'NonXtal_SegEnds_Prot#'!$A:$AL,14,FALSE)</f>
        <v>108</v>
      </c>
      <c r="AH205" s="5">
        <f>VLOOKUP($A205,'NonXtal_SegEnds_Prot#'!$A:$AL,17,FALSE)</f>
        <v>144</v>
      </c>
      <c r="AI205" s="5">
        <f>VLOOKUP($A205,'NonXtal_SegEnds_Prot#'!$A:$AL,20,FALSE)</f>
        <v>152</v>
      </c>
      <c r="AJ205" s="5">
        <f>VLOOKUP($A205,'NonXtal_SegEnds_Prot#'!$A:$AL,23,FALSE)</f>
        <v>179</v>
      </c>
      <c r="AK205" s="5">
        <f>VLOOKUP($A205,'NonXtal_SegEnds_Prot#'!$A:$AL,26,FALSE)</f>
        <v>198</v>
      </c>
      <c r="AL205" s="5">
        <f>VLOOKUP($A205,'NonXtal_SegEnds_Prot#'!$A:$AL,29,FALSE)</f>
        <v>245</v>
      </c>
      <c r="AM205" s="5">
        <f>VLOOKUP($A205,'NonXtal_SegEnds_Prot#'!$A:$AL,32,FALSE)</f>
        <v>290</v>
      </c>
      <c r="AN205" s="5">
        <f>VLOOKUP($A205,'NonXtal_SegEnds_Prot#'!$A:$AL,35,FALSE)</f>
        <v>325</v>
      </c>
      <c r="AO205" s="5">
        <f>VLOOKUP($A205,'NonXtal_SegEnds_Prot#'!$A:$AL,38,FALSE)</f>
        <v>339</v>
      </c>
      <c r="AP205" s="5">
        <f t="shared" si="88"/>
        <v>38</v>
      </c>
      <c r="AQ205" s="4">
        <f t="shared" si="89"/>
        <v>3</v>
      </c>
      <c r="AR205" s="4">
        <f t="shared" si="90"/>
        <v>30</v>
      </c>
      <c r="AS205" s="4">
        <f t="shared" si="91"/>
        <v>3</v>
      </c>
      <c r="AT205" s="4">
        <f t="shared" si="92"/>
        <v>35</v>
      </c>
      <c r="AU205" s="4">
        <f t="shared" si="93"/>
        <v>7</v>
      </c>
      <c r="AV205" s="4">
        <f t="shared" si="94"/>
        <v>25</v>
      </c>
      <c r="AW205" s="4">
        <f t="shared" si="95"/>
        <v>2</v>
      </c>
      <c r="AX205" s="4">
        <f t="shared" si="96"/>
        <v>44</v>
      </c>
      <c r="AY205" s="4">
        <f t="shared" si="97"/>
        <v>39</v>
      </c>
      <c r="AZ205" s="4">
        <f t="shared" si="98"/>
        <v>28</v>
      </c>
      <c r="BA205" s="4">
        <f t="shared" si="99"/>
        <v>13</v>
      </c>
    </row>
    <row r="206" spans="1:53" x14ac:dyDescent="0.2">
      <c r="A206" s="1" t="str">
        <f>'NonXtal_SegEnds_Prot#'!A184</f>
        <v>ffar1_human</v>
      </c>
      <c r="B206" s="1" t="str">
        <f t="shared" si="75"/>
        <v>QLSFGLYVAAFALGFPLNVLAIRGATAHARLRTPSLVYALNLGCSDLLLTVSLPLKAVEALAPASLCPVFAVAHFFPLYAGGGFLAALSAGRYLGAAFPCYSWGVCAAIWALVLCHLGLVFGLEPASAGPARFSLSLLLFFLPLAITAFCYVGCLRALARRRKLRAAWVAGGALLTLLLCVGPYNASNVASFLYGSWRKLGLITGAWSVVLNPLVTGYLGRGPGLKTVCAARTQ</v>
      </c>
      <c r="C206" s="72" t="str">
        <f>IF(ISERROR(MATCH(A206,'Xtal_SegEnds_Prot#'!B:B, 0)), "NoXtal", "Xtal")</f>
        <v>Xtal</v>
      </c>
      <c r="D206" s="4" t="str">
        <f>VLOOKUP(A206,Classification!A:D,2,FALSE)</f>
        <v>A</v>
      </c>
      <c r="E206" s="5" t="str">
        <f>VLOOKUP(A206,Seqs!A:B,2,FALSE)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206" s="5" t="str">
        <f t="shared" si="76"/>
        <v>QLSFGLYVAAFALGFPLNVLAIRGATAHARLR</v>
      </c>
      <c r="G206" s="4" t="str">
        <f t="shared" si="77"/>
        <v/>
      </c>
      <c r="H206" s="4" t="str">
        <f t="shared" si="78"/>
        <v>TPSLVYALNLGCSDLLLTVSLPLKAVEALA</v>
      </c>
      <c r="I206" s="4" t="str">
        <f t="shared" si="79"/>
        <v>AWPL</v>
      </c>
      <c r="J206" s="4" t="str">
        <f t="shared" si="80"/>
        <v>PASLCPVFAVAHFFPLYAGGGFLAALSAGRYLGAAF</v>
      </c>
      <c r="K206" s="4" t="str">
        <f t="shared" si="81"/>
        <v>PLGYQAFR</v>
      </c>
      <c r="L206" s="4" t="str">
        <f t="shared" si="82"/>
        <v>PCYSWGVCAAIWALVLCHLGLVFGLE</v>
      </c>
      <c r="M206" s="4" t="str">
        <f t="shared" si="83"/>
        <v>CLE</v>
      </c>
      <c r="N206" s="4" t="str">
        <f t="shared" si="84"/>
        <v>PASAGPARFSLSLLLFFLPLAITAFCYVGCLRALAR</v>
      </c>
      <c r="O206" s="4" t="str">
        <f t="shared" si="85"/>
        <v>RRKLRAAWVAGGALLTLLLCVGPYNASNVASFLY</v>
      </c>
      <c r="P206" s="4" t="str">
        <f t="shared" si="86"/>
        <v>GSWRKLGLITGAWSVVLNPLVTGYL</v>
      </c>
      <c r="Q206" s="4" t="str">
        <f t="shared" si="87"/>
        <v>GRGPGLKTVCAARTQ</v>
      </c>
      <c r="R206" s="5">
        <f>VLOOKUP($A206,'NonXtal_SegEnds_Prot#'!$A:$AL,3,FALSE)</f>
        <v>6</v>
      </c>
      <c r="S206" s="5" t="str">
        <f>VLOOKUP($A206,'NonXtal_SegEnds_Prot#'!$A:$AL,6,FALSE)</f>
        <v>-</v>
      </c>
      <c r="T206" s="5">
        <f>VLOOKUP($A206,'NonXtal_SegEnds_Prot#'!$A:$AL,9,FALSE)</f>
        <v>39</v>
      </c>
      <c r="U206" s="5">
        <f>VLOOKUP($A206,'NonXtal_SegEnds_Prot#'!$A:$AL,12,FALSE)</f>
        <v>71</v>
      </c>
      <c r="V206" s="5">
        <f>VLOOKUP($A206,'NonXtal_SegEnds_Prot#'!$A:$AL,15,FALSE)</f>
        <v>75</v>
      </c>
      <c r="W206" s="5">
        <f>VLOOKUP($A206,'NonXtal_SegEnds_Prot#'!$A:$AL,18,FALSE)</f>
        <v>111</v>
      </c>
      <c r="X206" s="5">
        <f>VLOOKUP($A206,'NonXtal_SegEnds_Prot#'!$A:$AL,21,FALSE)</f>
        <v>120</v>
      </c>
      <c r="Y206" s="5">
        <f>VLOOKUP($A206,'NonXtal_SegEnds_Prot#'!$A:$AL,24,FALSE)</f>
        <v>170</v>
      </c>
      <c r="Z206" s="5">
        <f>VLOOKUP($A206,'NonXtal_SegEnds_Prot#'!$A:$AL,27,FALSE)</f>
        <v>176</v>
      </c>
      <c r="AA206" s="5">
        <f>VLOOKUP($A206,'NonXtal_SegEnds_Prot#'!$A:$AL,30,FALSE)</f>
        <v>217</v>
      </c>
      <c r="AB206" s="5">
        <f>VLOOKUP($A206,'NonXtal_SegEnds_Prot#'!$A:$AL,33,FALSE)</f>
        <v>255</v>
      </c>
      <c r="AC206" s="5">
        <f>VLOOKUP($A206,'NonXtal_SegEnds_Prot#'!$A:$AL,36,FALSE)</f>
        <v>280</v>
      </c>
      <c r="AD206" s="5">
        <f>VLOOKUP($A206,'NonXtal_SegEnds_Prot#'!$A:$AL,5,FALSE)</f>
        <v>37</v>
      </c>
      <c r="AE206" s="5" t="str">
        <f>VLOOKUP($A206,'NonXtal_SegEnds_Prot#'!$A:$AL,8,FALSE)</f>
        <v>-</v>
      </c>
      <c r="AF206" s="5">
        <f>VLOOKUP($A206,'NonXtal_SegEnds_Prot#'!$A:$AL,11,FALSE)</f>
        <v>68</v>
      </c>
      <c r="AG206" s="5">
        <f>VLOOKUP($A206,'NonXtal_SegEnds_Prot#'!$A:$AL,14,FALSE)</f>
        <v>74</v>
      </c>
      <c r="AH206" s="5">
        <f>VLOOKUP($A206,'NonXtal_SegEnds_Prot#'!$A:$AL,17,FALSE)</f>
        <v>110</v>
      </c>
      <c r="AI206" s="5">
        <f>VLOOKUP($A206,'NonXtal_SegEnds_Prot#'!$A:$AL,20,FALSE)</f>
        <v>118</v>
      </c>
      <c r="AJ206" s="5">
        <f>VLOOKUP($A206,'NonXtal_SegEnds_Prot#'!$A:$AL,23,FALSE)</f>
        <v>145</v>
      </c>
      <c r="AK206" s="5">
        <f>VLOOKUP($A206,'NonXtal_SegEnds_Prot#'!$A:$AL,26,FALSE)</f>
        <v>172</v>
      </c>
      <c r="AL206" s="5">
        <f>VLOOKUP($A206,'NonXtal_SegEnds_Prot#'!$A:$AL,29,FALSE)</f>
        <v>211</v>
      </c>
      <c r="AM206" s="5">
        <f>VLOOKUP($A206,'NonXtal_SegEnds_Prot#'!$A:$AL,32,FALSE)</f>
        <v>250</v>
      </c>
      <c r="AN206" s="5">
        <f>VLOOKUP($A206,'NonXtal_SegEnds_Prot#'!$A:$AL,35,FALSE)</f>
        <v>279</v>
      </c>
      <c r="AO206" s="5">
        <f>VLOOKUP($A206,'NonXtal_SegEnds_Prot#'!$A:$AL,38,FALSE)</f>
        <v>294</v>
      </c>
      <c r="AP206" s="5">
        <f t="shared" si="88"/>
        <v>31</v>
      </c>
      <c r="AQ206" s="4" t="str">
        <f t="shared" si="89"/>
        <v>-</v>
      </c>
      <c r="AR206" s="4">
        <f t="shared" si="90"/>
        <v>29</v>
      </c>
      <c r="AS206" s="4">
        <f t="shared" si="91"/>
        <v>3</v>
      </c>
      <c r="AT206" s="4">
        <f t="shared" si="92"/>
        <v>35</v>
      </c>
      <c r="AU206" s="4">
        <f t="shared" si="93"/>
        <v>7</v>
      </c>
      <c r="AV206" s="4">
        <f t="shared" si="94"/>
        <v>25</v>
      </c>
      <c r="AW206" s="4">
        <f t="shared" si="95"/>
        <v>2</v>
      </c>
      <c r="AX206" s="4">
        <f t="shared" si="96"/>
        <v>35</v>
      </c>
      <c r="AY206" s="4">
        <f t="shared" si="97"/>
        <v>33</v>
      </c>
      <c r="AZ206" s="4">
        <f t="shared" si="98"/>
        <v>24</v>
      </c>
      <c r="BA206" s="4">
        <f t="shared" si="99"/>
        <v>14</v>
      </c>
    </row>
    <row r="207" spans="1:53" x14ac:dyDescent="0.2">
      <c r="A207" s="1" t="str">
        <f>'NonXtal_SegEnds_Prot#'!A185</f>
        <v>ffar2_human</v>
      </c>
      <c r="B207" s="1" t="str">
        <f t="shared" si="75"/>
        <v>SLILMAYIIIFLTGLPANLLALRAFVGRIRQPAPVHILLLSLTLADLLLLLLLPFKIIEAASPKVVCALTSFGFYSSIYCSTWLLAGISIERYLGVAFPLYGVIAALVAWVMSFGHCTIVIIVQLDVVLPVRLELCLVLFFIPMAVTIFCYWRFVWIMLSGAQRRRRAVGLAVVTLLNFLVCFGPYNVSHLVGYHQWWRSIAVVFSSLNASLDPLLFYFSSSVVRRAFGRGLQVL</v>
      </c>
      <c r="C207" s="72" t="str">
        <f>IF(ISERROR(MATCH(A207,'Xtal_SegEnds_Prot#'!B:B,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207" s="5" t="str">
        <f t="shared" si="76"/>
        <v>SLILMAYIIIFLTGLPANLLALRAFVGRIRQP</v>
      </c>
      <c r="G207" s="4" t="str">
        <f t="shared" si="77"/>
        <v/>
      </c>
      <c r="H207" s="4" t="str">
        <f t="shared" si="78"/>
        <v>APVHILLLSLTLADLLLLLLLPFKIIEAAS</v>
      </c>
      <c r="I207" s="4" t="str">
        <f t="shared" si="79"/>
        <v>RWYL</v>
      </c>
      <c r="J207" s="4" t="str">
        <f t="shared" si="80"/>
        <v>PKVVCALTSFGFYSSIYCSTWLLAGISIERYLGVAF</v>
      </c>
      <c r="K207" s="4" t="str">
        <f t="shared" si="81"/>
        <v>PVQYKLSR</v>
      </c>
      <c r="L207" s="4" t="str">
        <f t="shared" si="82"/>
        <v>PLYGVIAALVAWVMSFGHCTIVIIVQ</v>
      </c>
      <c r="M207" s="4" t="str">
        <f t="shared" si="83"/>
        <v>CYE</v>
      </c>
      <c r="N207" s="4" t="str">
        <f t="shared" si="84"/>
        <v>LDVVLPVRLELCLVLFFIPMAVTIFCYWRFVWIMLS</v>
      </c>
      <c r="O207" s="4" t="str">
        <f t="shared" si="85"/>
        <v>GAQRRRRAVGLAVVTLLNFLVCFGPYNVSHLVGYHQ</v>
      </c>
      <c r="P207" s="4" t="str">
        <f t="shared" si="86"/>
        <v>WWRSIAVVFSSLNASLDPLLFYFS</v>
      </c>
      <c r="Q207" s="4" t="str">
        <f t="shared" si="87"/>
        <v>SSVVRRAFGRGLQVL</v>
      </c>
      <c r="R207" s="5">
        <f>VLOOKUP($A207,'NonXtal_SegEnds_Prot#'!$A:$AL,3,FALSE)</f>
        <v>8</v>
      </c>
      <c r="S207" s="5" t="str">
        <f>VLOOKUP($A207,'NonXtal_SegEnds_Prot#'!$A:$AL,6,FALSE)</f>
        <v>-</v>
      </c>
      <c r="T207" s="5">
        <f>VLOOKUP($A207,'NonXtal_SegEnds_Prot#'!$A:$AL,9,FALSE)</f>
        <v>42</v>
      </c>
      <c r="U207" s="5">
        <f>VLOOKUP($A207,'NonXtal_SegEnds_Prot#'!$A:$AL,12,FALSE)</f>
        <v>74</v>
      </c>
      <c r="V207" s="5">
        <f>VLOOKUP($A207,'NonXtal_SegEnds_Prot#'!$A:$AL,15,FALSE)</f>
        <v>78</v>
      </c>
      <c r="W207" s="5">
        <f>VLOOKUP($A207,'NonXtal_SegEnds_Prot#'!$A:$AL,18,FALSE)</f>
        <v>114</v>
      </c>
      <c r="X207" s="5">
        <f>VLOOKUP($A207,'NonXtal_SegEnds_Prot#'!$A:$AL,21,FALSE)</f>
        <v>123</v>
      </c>
      <c r="Y207" s="5">
        <f>VLOOKUP($A207,'NonXtal_SegEnds_Prot#'!$A:$AL,24,FALSE)</f>
        <v>164</v>
      </c>
      <c r="Z207" s="5">
        <f>VLOOKUP($A207,'NonXtal_SegEnds_Prot#'!$A:$AL,27,FALSE)</f>
        <v>173</v>
      </c>
      <c r="AA207" s="5">
        <f>VLOOKUP($A207,'NonXtal_SegEnds_Prot#'!$A:$AL,30,FALSE)</f>
        <v>213</v>
      </c>
      <c r="AB207" s="5">
        <f>VLOOKUP($A207,'NonXtal_SegEnds_Prot#'!$A:$AL,33,FALSE)</f>
        <v>253</v>
      </c>
      <c r="AC207" s="5">
        <f>VLOOKUP($A207,'NonXtal_SegEnds_Prot#'!$A:$AL,36,FALSE)</f>
        <v>277</v>
      </c>
      <c r="AD207" s="5">
        <f>VLOOKUP($A207,'NonXtal_SegEnds_Prot#'!$A:$AL,5,FALSE)</f>
        <v>39</v>
      </c>
      <c r="AE207" s="5" t="str">
        <f>VLOOKUP($A207,'NonXtal_SegEnds_Prot#'!$A:$AL,8,FALSE)</f>
        <v>-</v>
      </c>
      <c r="AF207" s="5">
        <f>VLOOKUP($A207,'NonXtal_SegEnds_Prot#'!$A:$AL,11,FALSE)</f>
        <v>71</v>
      </c>
      <c r="AG207" s="5">
        <f>VLOOKUP($A207,'NonXtal_SegEnds_Prot#'!$A:$AL,14,FALSE)</f>
        <v>77</v>
      </c>
      <c r="AH207" s="5">
        <f>VLOOKUP($A207,'NonXtal_SegEnds_Prot#'!$A:$AL,17,FALSE)</f>
        <v>113</v>
      </c>
      <c r="AI207" s="5">
        <f>VLOOKUP($A207,'NonXtal_SegEnds_Prot#'!$A:$AL,20,FALSE)</f>
        <v>121</v>
      </c>
      <c r="AJ207" s="5">
        <f>VLOOKUP($A207,'NonXtal_SegEnds_Prot#'!$A:$AL,23,FALSE)</f>
        <v>148</v>
      </c>
      <c r="AK207" s="5">
        <f>VLOOKUP($A207,'NonXtal_SegEnds_Prot#'!$A:$AL,26,FALSE)</f>
        <v>166</v>
      </c>
      <c r="AL207" s="5">
        <f>VLOOKUP($A207,'NonXtal_SegEnds_Prot#'!$A:$AL,29,FALSE)</f>
        <v>208</v>
      </c>
      <c r="AM207" s="5">
        <f>VLOOKUP($A207,'NonXtal_SegEnds_Prot#'!$A:$AL,32,FALSE)</f>
        <v>248</v>
      </c>
      <c r="AN207" s="5">
        <f>VLOOKUP($A207,'NonXtal_SegEnds_Prot#'!$A:$AL,35,FALSE)</f>
        <v>276</v>
      </c>
      <c r="AO207" s="5">
        <f>VLOOKUP($A207,'NonXtal_SegEnds_Prot#'!$A:$AL,38,FALSE)</f>
        <v>291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>
        <f t="shared" si="91"/>
        <v>3</v>
      </c>
      <c r="AT207" s="4">
        <f t="shared" si="92"/>
        <v>35</v>
      </c>
      <c r="AU207" s="4">
        <f t="shared" si="93"/>
        <v>7</v>
      </c>
      <c r="AV207" s="4">
        <f t="shared" si="94"/>
        <v>25</v>
      </c>
      <c r="AW207" s="4">
        <f t="shared" si="95"/>
        <v>2</v>
      </c>
      <c r="AX207" s="4">
        <f t="shared" si="96"/>
        <v>35</v>
      </c>
      <c r="AY207" s="4">
        <f t="shared" si="97"/>
        <v>35</v>
      </c>
      <c r="AZ207" s="4">
        <f t="shared" si="98"/>
        <v>23</v>
      </c>
      <c r="BA207" s="4">
        <f t="shared" si="99"/>
        <v>14</v>
      </c>
    </row>
    <row r="208" spans="1:53" x14ac:dyDescent="0.2">
      <c r="A208" s="1" t="str">
        <f>'NonXtal_SegEnds_Prot#'!A186</f>
        <v>celr3_human</v>
      </c>
      <c r="B208" s="1" t="str">
        <f t="shared" si="75"/>
        <v>SPRERLEGDLELLAVFTHVVVAVSVAALVLTAAILLSLSNVRGIHANVAAALGVAELLFLLGIHRLVCTAVAILLHYFFLSTFAWLFVQGLHLYRMQVEGAMRFYHALGWGVPAVLLGLAVGLDPEGYHEPLIWSFAGPVVLVIVMNGTMFLLAARTSCSTGTSALTLRSSFLLLLLVSASWLFGLLILAFHYLHAGLCGLQGLAVLLLFCVLNADARAAWMPACLGRKA</v>
      </c>
      <c r="C208" s="72" t="str">
        <f>IF(ISERROR(MATCH(A208,'Xtal_SegEnds_Prot#'!B:B, 0)), "NoXtal", "Xtal")</f>
        <v>NoXtal</v>
      </c>
      <c r="D208" s="4" t="str">
        <f>VLOOKUP(A208,Classification!A:D,2,FALSE)</f>
        <v>B2</v>
      </c>
      <c r="E208" s="5" t="str">
        <f>VLOOKUP(A208,Seqs!A:B,2,FALSE)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208" s="5" t="str">
        <f t="shared" si="76"/>
        <v>SPRERLEGDLELLAVFTHVVVAVSVAALVLTAAILLSL</v>
      </c>
      <c r="G208" s="4" t="str">
        <f t="shared" si="77"/>
        <v>RSLK</v>
      </c>
      <c r="H208" s="4" t="str">
        <f t="shared" si="78"/>
        <v>SNVRGIHANVAAALGVAELLFLLGIHR</v>
      </c>
      <c r="I208" s="4" t="str">
        <f t="shared" si="79"/>
        <v/>
      </c>
      <c r="J208" s="4" t="str">
        <f t="shared" si="80"/>
        <v>LVCTAVAILLHYFFLSTFAWLFVQGLHLYRMQVE</v>
      </c>
      <c r="K208" s="4" t="str">
        <f t="shared" si="81"/>
        <v/>
      </c>
      <c r="L208" s="4" t="str">
        <f t="shared" si="82"/>
        <v>GAMRFYHALGWGVPAVLLGLAVGLDPEGY</v>
      </c>
      <c r="M208" s="4" t="str">
        <f t="shared" si="83"/>
        <v>CWI</v>
      </c>
      <c r="N208" s="4" t="str">
        <f t="shared" si="84"/>
        <v>HEPLIWSFAGPVVLVIVMNGTMFLLAARTSCSTG</v>
      </c>
      <c r="O208" s="4" t="str">
        <f t="shared" si="85"/>
        <v>TSALTLRSSFLLLLLVSASWLFGLL</v>
      </c>
      <c r="P208" s="4" t="str">
        <f t="shared" si="86"/>
        <v>ILAFHYLHAGLCGLQGLAVLLLFCVL</v>
      </c>
      <c r="Q208" s="4" t="str">
        <f t="shared" si="87"/>
        <v>NADARAAWMPACLGRKA</v>
      </c>
      <c r="R208" s="5">
        <f>VLOOKUP($A208,'NonXtal_SegEnds_Prot#'!$A:$AL,3,FALSE)</f>
        <v>2527</v>
      </c>
      <c r="S208" s="5">
        <f>VLOOKUP($A208,'NonXtal_SegEnds_Prot#'!$A:$AL,6,FALSE)</f>
        <v>2565</v>
      </c>
      <c r="T208" s="5">
        <f>VLOOKUP($A208,'NonXtal_SegEnds_Prot#'!$A:$AL,9,FALSE)</f>
        <v>2569</v>
      </c>
      <c r="U208" s="5" t="str">
        <f>VLOOKUP($A208,'NonXtal_SegEnds_Prot#'!$A:$AL,12,FALSE)</f>
        <v>-</v>
      </c>
      <c r="V208" s="5">
        <f>VLOOKUP($A208,'NonXtal_SegEnds_Prot#'!$A:$AL,15,FALSE)</f>
        <v>2600</v>
      </c>
      <c r="W208" s="5" t="str">
        <f>VLOOKUP($A208,'NonXtal_SegEnds_Prot#'!$A:$AL,18,FALSE)</f>
        <v>-</v>
      </c>
      <c r="X208" s="5">
        <f>VLOOKUP($A208,'NonXtal_SegEnds_Prot#'!$A:$AL,21,FALSE)</f>
        <v>2640</v>
      </c>
      <c r="Y208" s="5">
        <f>VLOOKUP($A208,'NonXtal_SegEnds_Prot#'!$A:$AL,24,FALSE)</f>
        <v>2674</v>
      </c>
      <c r="Z208" s="5">
        <f>VLOOKUP($A208,'NonXtal_SegEnds_Prot#'!$A:$AL,27,FALSE)</f>
        <v>2679</v>
      </c>
      <c r="AA208" s="5">
        <f>VLOOKUP($A208,'NonXtal_SegEnds_Prot#'!$A:$AL,30,FALSE)</f>
        <v>2719</v>
      </c>
      <c r="AB208" s="5">
        <f>VLOOKUP($A208,'NonXtal_SegEnds_Prot#'!$A:$AL,33,FALSE)</f>
        <v>2749</v>
      </c>
      <c r="AC208" s="5">
        <f>VLOOKUP($A208,'NonXtal_SegEnds_Prot#'!$A:$AL,36,FALSE)</f>
        <v>2775</v>
      </c>
      <c r="AD208" s="5">
        <f>VLOOKUP($A208,'NonXtal_SegEnds_Prot#'!$A:$AL,5,FALSE)</f>
        <v>2564</v>
      </c>
      <c r="AE208" s="5">
        <f>VLOOKUP($A208,'NonXtal_SegEnds_Prot#'!$A:$AL,8,FALSE)</f>
        <v>2568</v>
      </c>
      <c r="AF208" s="5">
        <f>VLOOKUP($A208,'NonXtal_SegEnds_Prot#'!$A:$AL,11,FALSE)</f>
        <v>2595</v>
      </c>
      <c r="AG208" s="5" t="str">
        <f>VLOOKUP($A208,'NonXtal_SegEnds_Prot#'!$A:$AL,14,FALSE)</f>
        <v>-</v>
      </c>
      <c r="AH208" s="5">
        <f>VLOOKUP($A208,'NonXtal_SegEnds_Prot#'!$A:$AL,17,FALSE)</f>
        <v>2633</v>
      </c>
      <c r="AI208" s="5" t="str">
        <f>VLOOKUP($A208,'NonXtal_SegEnds_Prot#'!$A:$AL,20,FALSE)</f>
        <v>-</v>
      </c>
      <c r="AJ208" s="5">
        <f>VLOOKUP($A208,'NonXtal_SegEnds_Prot#'!$A:$AL,23,FALSE)</f>
        <v>2668</v>
      </c>
      <c r="AK208" s="5">
        <f>VLOOKUP($A208,'NonXtal_SegEnds_Prot#'!$A:$AL,26,FALSE)</f>
        <v>2676</v>
      </c>
      <c r="AL208" s="5">
        <f>VLOOKUP($A208,'NonXtal_SegEnds_Prot#'!$A:$AL,29,FALSE)</f>
        <v>2712</v>
      </c>
      <c r="AM208" s="5">
        <f>VLOOKUP($A208,'NonXtal_SegEnds_Prot#'!$A:$AL,32,FALSE)</f>
        <v>2743</v>
      </c>
      <c r="AN208" s="5">
        <f>VLOOKUP($A208,'NonXtal_SegEnds_Prot#'!$A:$AL,35,FALSE)</f>
        <v>2774</v>
      </c>
      <c r="AO208" s="5">
        <f>VLOOKUP($A208,'NonXtal_SegEnds_Prot#'!$A:$AL,38,FALSE)</f>
        <v>2791</v>
      </c>
      <c r="AP208" s="5">
        <f t="shared" si="88"/>
        <v>37</v>
      </c>
      <c r="AQ208" s="4">
        <f t="shared" si="89"/>
        <v>3</v>
      </c>
      <c r="AR208" s="4">
        <f t="shared" si="90"/>
        <v>26</v>
      </c>
      <c r="AS208" s="4" t="str">
        <f t="shared" si="91"/>
        <v>-</v>
      </c>
      <c r="AT208" s="4">
        <f t="shared" si="92"/>
        <v>33</v>
      </c>
      <c r="AU208" s="4" t="str">
        <f t="shared" si="93"/>
        <v>-</v>
      </c>
      <c r="AV208" s="4">
        <f t="shared" si="94"/>
        <v>28</v>
      </c>
      <c r="AW208" s="4">
        <f t="shared" si="95"/>
        <v>2</v>
      </c>
      <c r="AX208" s="4">
        <f t="shared" si="96"/>
        <v>33</v>
      </c>
      <c r="AY208" s="4">
        <f t="shared" si="97"/>
        <v>24</v>
      </c>
      <c r="AZ208" s="4">
        <f t="shared" si="98"/>
        <v>25</v>
      </c>
      <c r="BA208" s="4">
        <f t="shared" si="99"/>
        <v>16</v>
      </c>
    </row>
    <row r="209" spans="1:53" x14ac:dyDescent="0.2">
      <c r="A209" s="1" t="str">
        <f>'NonXtal_SegEnds_Prot#'!A187</f>
        <v>cd97_human</v>
      </c>
      <c r="B209" s="1" t="str">
        <f t="shared" si="75"/>
        <v>ILMAHYDVEDWKLTLITRVGLALSLFCLLLCILTFLLVGSRTTIHLHLCICLFVGSTIFLAGIENLRCRLVAGLLHYCFLAAFCWMSLEGLELYFLVVRLSTRWLCLIGYGVPLLIVGVSAAIYSKGYEQGFLWSFLGPVTFIILCNAVIFVTTVWKLTQKFKARALTITAIAQLFLLGCTWVFGLFSLVLTYVFTILNCLQGAFLYLLHCLLNKKVREEYRKWACLVAG</v>
      </c>
      <c r="C209" s="72" t="str">
        <f>IF(ISERROR(MATCH(A209,'Xtal_SegEnds_Prot#'!B:B, 0)), "NoXtal", "Xtal")</f>
        <v>NoXtal</v>
      </c>
      <c r="D209" s="4" t="str">
        <f>VLOOKUP(A209,Classification!A:D,2,FALSE)</f>
        <v>B2</v>
      </c>
      <c r="E209" s="5" t="str">
        <f>VLOOKUP(A209,Seqs!A:B,2,FALSE)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209" s="5" t="str">
        <f t="shared" si="76"/>
        <v>ILMAHYDVEDWKLTLITRVGLALSLFCLLLCILTFLLV</v>
      </c>
      <c r="G209" s="4" t="str">
        <f t="shared" si="77"/>
        <v/>
      </c>
      <c r="H209" s="4" t="str">
        <f t="shared" si="78"/>
        <v>GSRTTIHLHLCICLFVGSTIFLAGIEN</v>
      </c>
      <c r="I209" s="4" t="str">
        <f t="shared" si="79"/>
        <v/>
      </c>
      <c r="J209" s="4" t="str">
        <f t="shared" si="80"/>
        <v>LRCRLVAGLLHYCFLAAFCWMSLEGLELYFLVVR</v>
      </c>
      <c r="K209" s="4" t="str">
        <f t="shared" si="81"/>
        <v/>
      </c>
      <c r="L209" s="4" t="str">
        <f t="shared" si="82"/>
        <v>LSTRWLCLIGYGVPLLIVGVSAAIYSKGY</v>
      </c>
      <c r="M209" s="4" t="str">
        <f t="shared" si="83"/>
        <v>CWL</v>
      </c>
      <c r="N209" s="4" t="str">
        <f t="shared" si="84"/>
        <v>EQGFLWSFLGPVTFIILCNAVIFVTTVWKLTQKF</v>
      </c>
      <c r="O209" s="4" t="str">
        <f t="shared" si="85"/>
        <v>KARALTITAIAQLFLLGCTWVFGLF</v>
      </c>
      <c r="P209" s="4" t="str">
        <f t="shared" si="86"/>
        <v>SLVLTYVFTILNCLQGAFLYLLHCLL</v>
      </c>
      <c r="Q209" s="4" t="str">
        <f t="shared" si="87"/>
        <v>NKKVREEYRKWACLVAG</v>
      </c>
      <c r="R209" s="5">
        <f>VLOOKUP($A209,'NonXtal_SegEnds_Prot#'!$A:$AL,3,FALSE)</f>
        <v>535</v>
      </c>
      <c r="S209" s="5" t="str">
        <f>VLOOKUP($A209,'NonXtal_SegEnds_Prot#'!$A:$AL,6,FALSE)</f>
        <v>-</v>
      </c>
      <c r="T209" s="5">
        <f>VLOOKUP($A209,'NonXtal_SegEnds_Prot#'!$A:$AL,9,FALSE)</f>
        <v>577</v>
      </c>
      <c r="U209" s="5" t="str">
        <f>VLOOKUP($A209,'NonXtal_SegEnds_Prot#'!$A:$AL,12,FALSE)</f>
        <v>-</v>
      </c>
      <c r="V209" s="5">
        <f>VLOOKUP($A209,'NonXtal_SegEnds_Prot#'!$A:$AL,15,FALSE)</f>
        <v>610</v>
      </c>
      <c r="W209" s="5" t="str">
        <f>VLOOKUP($A209,'NonXtal_SegEnds_Prot#'!$A:$AL,18,FALSE)</f>
        <v>-</v>
      </c>
      <c r="X209" s="5">
        <f>VLOOKUP($A209,'NonXtal_SegEnds_Prot#'!$A:$AL,21,FALSE)</f>
        <v>650</v>
      </c>
      <c r="Y209" s="5">
        <f>VLOOKUP($A209,'NonXtal_SegEnds_Prot#'!$A:$AL,24,FALSE)</f>
        <v>684</v>
      </c>
      <c r="Z209" s="5">
        <f>VLOOKUP($A209,'NonXtal_SegEnds_Prot#'!$A:$AL,27,FALSE)</f>
        <v>689</v>
      </c>
      <c r="AA209" s="5">
        <f>VLOOKUP($A209,'NonXtal_SegEnds_Prot#'!$A:$AL,30,FALSE)</f>
        <v>734</v>
      </c>
      <c r="AB209" s="5">
        <f>VLOOKUP($A209,'NonXtal_SegEnds_Prot#'!$A:$AL,33,FALSE)</f>
        <v>764</v>
      </c>
      <c r="AC209" s="5">
        <f>VLOOKUP($A209,'NonXtal_SegEnds_Prot#'!$A:$AL,36,FALSE)</f>
        <v>790</v>
      </c>
      <c r="AD209" s="5">
        <f>VLOOKUP($A209,'NonXtal_SegEnds_Prot#'!$A:$AL,5,FALSE)</f>
        <v>572</v>
      </c>
      <c r="AE209" s="5" t="str">
        <f>VLOOKUP($A209,'NonXtal_SegEnds_Prot#'!$A:$AL,8,FALSE)</f>
        <v>-</v>
      </c>
      <c r="AF209" s="5">
        <f>VLOOKUP($A209,'NonXtal_SegEnds_Prot#'!$A:$AL,11,FALSE)</f>
        <v>603</v>
      </c>
      <c r="AG209" s="5" t="str">
        <f>VLOOKUP($A209,'NonXtal_SegEnds_Prot#'!$A:$AL,14,FALSE)</f>
        <v>-</v>
      </c>
      <c r="AH209" s="5">
        <f>VLOOKUP($A209,'NonXtal_SegEnds_Prot#'!$A:$AL,17,FALSE)</f>
        <v>643</v>
      </c>
      <c r="AI209" s="5" t="str">
        <f>VLOOKUP($A209,'NonXtal_SegEnds_Prot#'!$A:$AL,20,FALSE)</f>
        <v>-</v>
      </c>
      <c r="AJ209" s="5">
        <f>VLOOKUP($A209,'NonXtal_SegEnds_Prot#'!$A:$AL,23,FALSE)</f>
        <v>678</v>
      </c>
      <c r="AK209" s="5">
        <f>VLOOKUP($A209,'NonXtal_SegEnds_Prot#'!$A:$AL,26,FALSE)</f>
        <v>686</v>
      </c>
      <c r="AL209" s="5">
        <f>VLOOKUP($A209,'NonXtal_SegEnds_Prot#'!$A:$AL,29,FALSE)</f>
        <v>722</v>
      </c>
      <c r="AM209" s="5">
        <f>VLOOKUP($A209,'NonXtal_SegEnds_Prot#'!$A:$AL,32,FALSE)</f>
        <v>758</v>
      </c>
      <c r="AN209" s="5">
        <f>VLOOKUP($A209,'NonXtal_SegEnds_Prot#'!$A:$AL,35,FALSE)</f>
        <v>789</v>
      </c>
      <c r="AO209" s="5">
        <f>VLOOKUP($A209,'NonXtal_SegEnds_Prot#'!$A:$AL,38,FALSE)</f>
        <v>806</v>
      </c>
      <c r="AP209" s="5">
        <f t="shared" si="88"/>
        <v>37</v>
      </c>
      <c r="AQ209" s="4" t="str">
        <f t="shared" si="89"/>
        <v>-</v>
      </c>
      <c r="AR209" s="4">
        <f t="shared" si="90"/>
        <v>26</v>
      </c>
      <c r="AS209" s="4" t="str">
        <f t="shared" si="91"/>
        <v>-</v>
      </c>
      <c r="AT209" s="4">
        <f t="shared" si="92"/>
        <v>33</v>
      </c>
      <c r="AU209" s="4" t="str">
        <f t="shared" si="93"/>
        <v>-</v>
      </c>
      <c r="AV209" s="4">
        <f t="shared" si="94"/>
        <v>28</v>
      </c>
      <c r="AW209" s="4">
        <f t="shared" si="95"/>
        <v>2</v>
      </c>
      <c r="AX209" s="4">
        <f t="shared" si="96"/>
        <v>33</v>
      </c>
      <c r="AY209" s="4">
        <f t="shared" si="97"/>
        <v>24</v>
      </c>
      <c r="AZ209" s="4">
        <f t="shared" si="98"/>
        <v>25</v>
      </c>
      <c r="BA209" s="4">
        <f t="shared" si="99"/>
        <v>16</v>
      </c>
    </row>
    <row r="210" spans="1:53" x14ac:dyDescent="0.2">
      <c r="A210" s="1" t="str">
        <f>'NonXtal_SegEnds_Prot#'!A189</f>
        <v>glp2r_human</v>
      </c>
      <c r="B210" s="1" t="str">
        <f t="shared" si="75"/>
        <v>NHSFKQNVDRYALLSTLQLMYTVGYSFSLISLFLALTLLLFLCTRNYIHMNLFASFILRTLAVLVKDVVFYLSEMSTSCRSVQVLLHYFVGANYLWLLVEGLYLHTLLEPRLWPRYLLLGWAFPVLFVVPWGFARAHLENKKIWWIIRGPMMLCVTVNFFIFLKILKLLISKLKAYKYRLAKSTLVLIPLLGVHEILFSFEGFAKLIRLFIQLTLSSFHGFLVALQYGFANGEVKAELRKYWVRFLLARHSGCRAC</v>
      </c>
      <c r="C210" s="72" t="str">
        <f>IF(ISERROR(MATCH(A210,'Xtal_SegEnds_Prot#'!B:B, 0)), "NoXtal", "Xtal")</f>
        <v>NoXtal</v>
      </c>
      <c r="D210" s="4" t="str">
        <f>VLOOKUP(A210,Classification!A:D,2,FALSE)</f>
        <v>B1</v>
      </c>
      <c r="E210" s="5" t="str">
        <f>VLOOKUP(A210,Seqs!A:B,2,FALSE)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210" s="5" t="str">
        <f t="shared" si="76"/>
        <v>NHSFKQNVDRYALLSTLQLMYTVGYSFSLISLFLALTLLLFL</v>
      </c>
      <c r="G210" s="4" t="str">
        <f t="shared" si="77"/>
        <v>RKLH</v>
      </c>
      <c r="H210" s="4" t="str">
        <f t="shared" si="78"/>
        <v>CTRNYIHMNLFASFILRTLAVLVKDVVFY</v>
      </c>
      <c r="I210" s="4" t="str">
        <f t="shared" si="79"/>
        <v/>
      </c>
      <c r="J210" s="4" t="str">
        <f t="shared" si="80"/>
        <v>LSEMSTSCRSVQVLLHYFVGANYLWLLVEGLYLHTLLEP</v>
      </c>
      <c r="K210" s="4" t="str">
        <f t="shared" si="81"/>
        <v/>
      </c>
      <c r="L210" s="4" t="str">
        <f t="shared" si="82"/>
        <v>RLWPRYLLLGWAFPVLFVVPWGFARAHLE</v>
      </c>
      <c r="M210" s="4" t="str">
        <f t="shared" si="83"/>
        <v>CWT</v>
      </c>
      <c r="N210" s="4" t="str">
        <f t="shared" si="84"/>
        <v>NKKIWWIIRGPMMLCVTVNFFIFLKILKLLISKLKA</v>
      </c>
      <c r="O210" s="4" t="str">
        <f t="shared" si="85"/>
        <v>YKYRLAKSTLVLIPLLGVHEILFSF</v>
      </c>
      <c r="P210" s="4" t="str">
        <f t="shared" si="86"/>
        <v>EGFAKLIRLFIQLTLSSFHGFLVALQYGFA</v>
      </c>
      <c r="Q210" s="4" t="str">
        <f t="shared" si="87"/>
        <v>NGEVKAELRKYWVRFLLARHSGCRAC</v>
      </c>
      <c r="R210" s="5">
        <f>VLOOKUP($A210,'NonXtal_SegEnds_Prot#'!$A:$AL,3,FALSE)</f>
        <v>162</v>
      </c>
      <c r="S210" s="5">
        <f>VLOOKUP($A210,'NonXtal_SegEnds_Prot#'!$A:$AL,6,FALSE)</f>
        <v>204</v>
      </c>
      <c r="T210" s="5">
        <f>VLOOKUP($A210,'NonXtal_SegEnds_Prot#'!$A:$AL,9,FALSE)</f>
        <v>208</v>
      </c>
      <c r="U210" s="5" t="str">
        <f>VLOOKUP($A210,'NonXtal_SegEnds_Prot#'!$A:$AL,12,FALSE)</f>
        <v>-</v>
      </c>
      <c r="V210" s="5">
        <f>VLOOKUP($A210,'NonXtal_SegEnds_Prot#'!$A:$AL,15,FALSE)</f>
        <v>253</v>
      </c>
      <c r="W210" s="5" t="str">
        <f>VLOOKUP($A210,'NonXtal_SegEnds_Prot#'!$A:$AL,18,FALSE)</f>
        <v>-</v>
      </c>
      <c r="X210" s="5">
        <f>VLOOKUP($A210,'NonXtal_SegEnds_Prot#'!$A:$AL,21,FALSE)</f>
        <v>298</v>
      </c>
      <c r="Y210" s="5">
        <f>VLOOKUP($A210,'NonXtal_SegEnds_Prot#'!$A:$AL,24,FALSE)</f>
        <v>330</v>
      </c>
      <c r="Z210" s="5">
        <f>VLOOKUP($A210,'NonXtal_SegEnds_Prot#'!$A:$AL,27,FALSE)</f>
        <v>336</v>
      </c>
      <c r="AA210" s="5">
        <f>VLOOKUP($A210,'NonXtal_SegEnds_Prot#'!$A:$AL,30,FALSE)</f>
        <v>379</v>
      </c>
      <c r="AB210" s="5">
        <f>VLOOKUP($A210,'NonXtal_SegEnds_Prot#'!$A:$AL,33,FALSE)</f>
        <v>410</v>
      </c>
      <c r="AC210" s="5">
        <f>VLOOKUP($A210,'NonXtal_SegEnds_Prot#'!$A:$AL,36,FALSE)</f>
        <v>440</v>
      </c>
      <c r="AD210" s="5">
        <f>VLOOKUP($A210,'NonXtal_SegEnds_Prot#'!$A:$AL,5,FALSE)</f>
        <v>203</v>
      </c>
      <c r="AE210" s="5">
        <f>VLOOKUP($A210,'NonXtal_SegEnds_Prot#'!$A:$AL,8,FALSE)</f>
        <v>207</v>
      </c>
      <c r="AF210" s="5">
        <f>VLOOKUP($A210,'NonXtal_SegEnds_Prot#'!$A:$AL,11,FALSE)</f>
        <v>236</v>
      </c>
      <c r="AG210" s="5" t="str">
        <f>VLOOKUP($A210,'NonXtal_SegEnds_Prot#'!$A:$AL,14,FALSE)</f>
        <v>-</v>
      </c>
      <c r="AH210" s="5">
        <f>VLOOKUP($A210,'NonXtal_SegEnds_Prot#'!$A:$AL,17,FALSE)</f>
        <v>291</v>
      </c>
      <c r="AI210" s="5" t="str">
        <f>VLOOKUP($A210,'NonXtal_SegEnds_Prot#'!$A:$AL,20,FALSE)</f>
        <v>-</v>
      </c>
      <c r="AJ210" s="5">
        <f>VLOOKUP($A210,'NonXtal_SegEnds_Prot#'!$A:$AL,23,FALSE)</f>
        <v>326</v>
      </c>
      <c r="AK210" s="5">
        <f>VLOOKUP($A210,'NonXtal_SegEnds_Prot#'!$A:$AL,26,FALSE)</f>
        <v>332</v>
      </c>
      <c r="AL210" s="5">
        <f>VLOOKUP($A210,'NonXtal_SegEnds_Prot#'!$A:$AL,29,FALSE)</f>
        <v>371</v>
      </c>
      <c r="AM210" s="5">
        <f>VLOOKUP($A210,'NonXtal_SegEnds_Prot#'!$A:$AL,32,FALSE)</f>
        <v>403</v>
      </c>
      <c r="AN210" s="5">
        <f>VLOOKUP($A210,'NonXtal_SegEnds_Prot#'!$A:$AL,35,FALSE)</f>
        <v>439</v>
      </c>
      <c r="AO210" s="5">
        <f>VLOOKUP($A210,'NonXtal_SegEnds_Prot#'!$A:$AL,38,FALSE)</f>
        <v>465</v>
      </c>
      <c r="AP210" s="5">
        <f t="shared" si="88"/>
        <v>41</v>
      </c>
      <c r="AQ210" s="4">
        <f t="shared" si="89"/>
        <v>3</v>
      </c>
      <c r="AR210" s="4">
        <f t="shared" si="90"/>
        <v>28</v>
      </c>
      <c r="AS210" s="4" t="str">
        <f t="shared" si="91"/>
        <v>-</v>
      </c>
      <c r="AT210" s="4">
        <f t="shared" si="92"/>
        <v>38</v>
      </c>
      <c r="AU210" s="4" t="str">
        <f t="shared" si="93"/>
        <v>-</v>
      </c>
      <c r="AV210" s="4">
        <f t="shared" si="94"/>
        <v>28</v>
      </c>
      <c r="AW210" s="4">
        <f t="shared" si="95"/>
        <v>2</v>
      </c>
      <c r="AX210" s="4">
        <f t="shared" si="96"/>
        <v>35</v>
      </c>
      <c r="AY210" s="4">
        <f t="shared" si="97"/>
        <v>24</v>
      </c>
      <c r="AZ210" s="4">
        <f t="shared" si="98"/>
        <v>29</v>
      </c>
      <c r="BA210" s="4">
        <f t="shared" si="99"/>
        <v>25</v>
      </c>
    </row>
    <row r="211" spans="1:53" x14ac:dyDescent="0.2">
      <c r="A211" s="1" t="str">
        <f>'NonXtal_SegEnds_Prot#'!A190</f>
        <v>pth2r_human</v>
      </c>
      <c r="B211" s="1" t="str">
        <f t="shared" si="75"/>
        <v>FLQPDISIGKQEFFERLYVMYTVGYSISFGSLAVAILIIGYFCTRNYIHMHLFVSFMLRATSIFVKDRVVHDKSQYIGCKIAVVMFIYFLATNYYWILVEGLYLHNLIFVKYLWGFILIGWGFPAAFVAAWAVARATLAAGDIKWIYQAPILAAIGLNFILFLNTVRVLATKIDTRKQYRKLAKSTLVLVLVFGVHYIVFVCTGLGWEIRMHCELFFNSFQGFFVSIIYCYCNGEVQAEVKKMWSRWNLSVDWKRTPP</v>
      </c>
      <c r="C211" s="72" t="str">
        <f>IF(ISERROR(MATCH(A211,'Xtal_SegEnds_Prot#'!B:B, 0)), "NoXtal", "Xtal")</f>
        <v>NoXtal</v>
      </c>
      <c r="D211" s="4" t="str">
        <f>VLOOKUP(A211,Classification!A:D,2,FALSE)</f>
        <v>B1</v>
      </c>
      <c r="E211" s="5" t="str">
        <f>VLOOKUP(A211,Seqs!A:B,2,FALSE)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211" s="5" t="str">
        <f t="shared" si="76"/>
        <v>FLQPDISIGKQEFFERLYVMYTVGYSISFGSLAVAILIIGYF</v>
      </c>
      <c r="G211" s="4" t="str">
        <f t="shared" si="77"/>
        <v>RRLH</v>
      </c>
      <c r="H211" s="4" t="str">
        <f t="shared" si="78"/>
        <v>CTRNYIHMHLFVSFMLRATSIFVKDRVVH</v>
      </c>
      <c r="I211" s="4" t="str">
        <f t="shared" si="79"/>
        <v/>
      </c>
      <c r="J211" s="4" t="str">
        <f t="shared" si="80"/>
        <v>DKSQYIGCKIAVVMFIYFLATNYYWILVEGLYLHNLIFV</v>
      </c>
      <c r="K211" s="4" t="str">
        <f t="shared" si="81"/>
        <v/>
      </c>
      <c r="L211" s="4" t="str">
        <f t="shared" si="82"/>
        <v>KYLWGFILIGWGFPAAFVAAWAVARATLA</v>
      </c>
      <c r="M211" s="4" t="str">
        <f t="shared" si="83"/>
        <v>CWE</v>
      </c>
      <c r="N211" s="4" t="str">
        <f t="shared" si="84"/>
        <v>AGDIKWIYQAPILAAIGLNFILFLNTVRVLATKI</v>
      </c>
      <c r="O211" s="4" t="str">
        <f t="shared" si="85"/>
        <v>DTRKQYRKLAKSTLVLVLVFGVHYIVFVC</v>
      </c>
      <c r="P211" s="4" t="str">
        <f t="shared" si="86"/>
        <v>TGLGWEIRMHCELFFNSFQGFFVSIIYCYC</v>
      </c>
      <c r="Q211" s="4" t="str">
        <f t="shared" si="87"/>
        <v>NGEVQAEVKKMWSRWNLSVDWKRTPP</v>
      </c>
      <c r="R211" s="5">
        <f>VLOOKUP($A211,'NonXtal_SegEnds_Prot#'!$A:$AL,3,FALSE)</f>
        <v>128</v>
      </c>
      <c r="S211" s="5">
        <f>VLOOKUP($A211,'NonXtal_SegEnds_Prot#'!$A:$AL,6,FALSE)</f>
        <v>170</v>
      </c>
      <c r="T211" s="5">
        <f>VLOOKUP($A211,'NonXtal_SegEnds_Prot#'!$A:$AL,9,FALSE)</f>
        <v>174</v>
      </c>
      <c r="U211" s="5" t="str">
        <f>VLOOKUP($A211,'NonXtal_SegEnds_Prot#'!$A:$AL,12,FALSE)</f>
        <v>-</v>
      </c>
      <c r="V211" s="5">
        <f>VLOOKUP($A211,'NonXtal_SegEnds_Prot#'!$A:$AL,15,FALSE)</f>
        <v>229</v>
      </c>
      <c r="W211" s="5" t="str">
        <f>VLOOKUP($A211,'NonXtal_SegEnds_Prot#'!$A:$AL,18,FALSE)</f>
        <v>-</v>
      </c>
      <c r="X211" s="5">
        <f>VLOOKUP($A211,'NonXtal_SegEnds_Prot#'!$A:$AL,21,FALSE)</f>
        <v>274</v>
      </c>
      <c r="Y211" s="5">
        <f>VLOOKUP($A211,'NonXtal_SegEnds_Prot#'!$A:$AL,24,FALSE)</f>
        <v>306</v>
      </c>
      <c r="Z211" s="5">
        <f>VLOOKUP($A211,'NonXtal_SegEnds_Prot#'!$A:$AL,27,FALSE)</f>
        <v>311</v>
      </c>
      <c r="AA211" s="5">
        <f>VLOOKUP($A211,'NonXtal_SegEnds_Prot#'!$A:$AL,30,FALSE)</f>
        <v>353</v>
      </c>
      <c r="AB211" s="5">
        <f>VLOOKUP($A211,'NonXtal_SegEnds_Prot#'!$A:$AL,33,FALSE)</f>
        <v>387</v>
      </c>
      <c r="AC211" s="5">
        <f>VLOOKUP($A211,'NonXtal_SegEnds_Prot#'!$A:$AL,36,FALSE)</f>
        <v>417</v>
      </c>
      <c r="AD211" s="5">
        <f>VLOOKUP($A211,'NonXtal_SegEnds_Prot#'!$A:$AL,5,FALSE)</f>
        <v>169</v>
      </c>
      <c r="AE211" s="5">
        <f>VLOOKUP($A211,'NonXtal_SegEnds_Prot#'!$A:$AL,8,FALSE)</f>
        <v>173</v>
      </c>
      <c r="AF211" s="5">
        <f>VLOOKUP($A211,'NonXtal_SegEnds_Prot#'!$A:$AL,11,FALSE)</f>
        <v>202</v>
      </c>
      <c r="AG211" s="5" t="str">
        <f>VLOOKUP($A211,'NonXtal_SegEnds_Prot#'!$A:$AL,14,FALSE)</f>
        <v>-</v>
      </c>
      <c r="AH211" s="5">
        <f>VLOOKUP($A211,'NonXtal_SegEnds_Prot#'!$A:$AL,17,FALSE)</f>
        <v>267</v>
      </c>
      <c r="AI211" s="5" t="str">
        <f>VLOOKUP($A211,'NonXtal_SegEnds_Prot#'!$A:$AL,20,FALSE)</f>
        <v>-</v>
      </c>
      <c r="AJ211" s="5">
        <f>VLOOKUP($A211,'NonXtal_SegEnds_Prot#'!$A:$AL,23,FALSE)</f>
        <v>302</v>
      </c>
      <c r="AK211" s="5">
        <f>VLOOKUP($A211,'NonXtal_SegEnds_Prot#'!$A:$AL,26,FALSE)</f>
        <v>308</v>
      </c>
      <c r="AL211" s="5">
        <f>VLOOKUP($A211,'NonXtal_SegEnds_Prot#'!$A:$AL,29,FALSE)</f>
        <v>344</v>
      </c>
      <c r="AM211" s="5">
        <f>VLOOKUP($A211,'NonXtal_SegEnds_Prot#'!$A:$AL,32,FALSE)</f>
        <v>381</v>
      </c>
      <c r="AN211" s="5">
        <f>VLOOKUP($A211,'NonXtal_SegEnds_Prot#'!$A:$AL,35,FALSE)</f>
        <v>416</v>
      </c>
      <c r="AO211" s="5">
        <f>VLOOKUP($A211,'NonXtal_SegEnds_Prot#'!$A:$AL,38,FALSE)</f>
        <v>442</v>
      </c>
      <c r="AP211" s="5">
        <f t="shared" si="88"/>
        <v>41</v>
      </c>
      <c r="AQ211" s="4">
        <f t="shared" si="89"/>
        <v>3</v>
      </c>
      <c r="AR211" s="4">
        <f t="shared" si="90"/>
        <v>28</v>
      </c>
      <c r="AS211" s="4" t="str">
        <f t="shared" si="91"/>
        <v>-</v>
      </c>
      <c r="AT211" s="4">
        <f t="shared" si="92"/>
        <v>38</v>
      </c>
      <c r="AU211" s="4" t="str">
        <f t="shared" si="93"/>
        <v>-</v>
      </c>
      <c r="AV211" s="4">
        <f t="shared" si="94"/>
        <v>28</v>
      </c>
      <c r="AW211" s="4">
        <f t="shared" si="95"/>
        <v>2</v>
      </c>
      <c r="AX211" s="4">
        <f t="shared" si="96"/>
        <v>33</v>
      </c>
      <c r="AY211" s="4">
        <f t="shared" si="97"/>
        <v>28</v>
      </c>
      <c r="AZ211" s="4">
        <f t="shared" si="98"/>
        <v>29</v>
      </c>
      <c r="BA211" s="4">
        <f t="shared" si="99"/>
        <v>25</v>
      </c>
    </row>
    <row r="212" spans="1:53" x14ac:dyDescent="0.2">
      <c r="A212" s="1" t="str">
        <f>'NonXtal_SegEnds_Prot#'!A191</f>
        <v>glp1r_human</v>
      </c>
      <c r="B212" s="1" t="str">
        <f t="shared" si="75"/>
        <v>ESKRGERSSPEEQLLFLYIIYTVGYALSFSALVIASAILLGFCTRNYIHLNLFASFILRALSVFIKDAALKSYQDSLSCRLVFLLMQYCVAANYYWLLVEGVYLYTLLAFWIFRLYVSIGWGVPLLFVVPWGIVKYLYENMNYWLIIRLPILFAIGVNFLIFVRVICIVVSKLKAIKCRLAKSTLTLIPLLGTHEVIFAFRGTLRFIKLFTELSFTSFQGLMVAILYCFVNNEVQLEFRKSWERWRLEHLHIQRDS</v>
      </c>
      <c r="C212" s="72" t="str">
        <f>IF(ISERROR(MATCH(A212,'Xtal_SegEnds_Prot#'!B:B, 0)), "NoXtal", "Xtal")</f>
        <v>NoXtal</v>
      </c>
      <c r="D212" s="4" t="str">
        <f>VLOOKUP(A212,Classification!A:D,2,FALSE)</f>
        <v>B1</v>
      </c>
      <c r="E212" s="5" t="str">
        <f>VLOOKUP(A212,Seqs!A:B,2,FALSE)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212" s="5" t="str">
        <f t="shared" si="76"/>
        <v>ESKRGERSSPEEQLLFLYIIYTVGYALSFSALVIASAILLGF</v>
      </c>
      <c r="G212" s="4" t="str">
        <f t="shared" si="77"/>
        <v>RHLH</v>
      </c>
      <c r="H212" s="4" t="str">
        <f t="shared" si="78"/>
        <v>CTRNYIHLNLFASFILRALSVFIKDAALK</v>
      </c>
      <c r="I212" s="4" t="str">
        <f t="shared" si="79"/>
        <v/>
      </c>
      <c r="J212" s="4" t="str">
        <f t="shared" si="80"/>
        <v>SYQDSLSCRLVFLLMQYCVAANYYWLLVEGVYLYTLLAF</v>
      </c>
      <c r="K212" s="4" t="str">
        <f t="shared" si="81"/>
        <v/>
      </c>
      <c r="L212" s="4" t="str">
        <f t="shared" si="82"/>
        <v>WIFRLYVSIGWGVPLLFVVPWGIVKYLYE</v>
      </c>
      <c r="M212" s="4" t="str">
        <f t="shared" si="83"/>
        <v>CWT</v>
      </c>
      <c r="N212" s="4" t="str">
        <f t="shared" si="84"/>
        <v>NMNYWLIIRLPILFAIGVNFLIFVRVICIVVSKLKA</v>
      </c>
      <c r="O212" s="4" t="str">
        <f t="shared" si="85"/>
        <v>IKCRLAKSTLTLIPLLGTHEVIFAF</v>
      </c>
      <c r="P212" s="4" t="str">
        <f t="shared" si="86"/>
        <v>RGTLRFIKLFTELSFTSFQGLMVAILYCFV</v>
      </c>
      <c r="Q212" s="4" t="str">
        <f t="shared" si="87"/>
        <v>NNEVQLEFRKSWERWRLEHLHIQRDS</v>
      </c>
      <c r="R212" s="5">
        <f>VLOOKUP($A212,'NonXtal_SegEnds_Prot#'!$A:$AL,3,FALSE)</f>
        <v>128</v>
      </c>
      <c r="S212" s="5">
        <f>VLOOKUP($A212,'NonXtal_SegEnds_Prot#'!$A:$AL,6,FALSE)</f>
        <v>170</v>
      </c>
      <c r="T212" s="5">
        <f>VLOOKUP($A212,'NonXtal_SegEnds_Prot#'!$A:$AL,9,FALSE)</f>
        <v>174</v>
      </c>
      <c r="U212" s="5" t="str">
        <f>VLOOKUP($A212,'NonXtal_SegEnds_Prot#'!$A:$AL,12,FALSE)</f>
        <v>-</v>
      </c>
      <c r="V212" s="5">
        <f>VLOOKUP($A212,'NonXtal_SegEnds_Prot#'!$A:$AL,15,FALSE)</f>
        <v>219</v>
      </c>
      <c r="W212" s="5" t="str">
        <f>VLOOKUP($A212,'NonXtal_SegEnds_Prot#'!$A:$AL,18,FALSE)</f>
        <v>-</v>
      </c>
      <c r="X212" s="5">
        <f>VLOOKUP($A212,'NonXtal_SegEnds_Prot#'!$A:$AL,21,FALSE)</f>
        <v>264</v>
      </c>
      <c r="Y212" s="5">
        <f>VLOOKUP($A212,'NonXtal_SegEnds_Prot#'!$A:$AL,24,FALSE)</f>
        <v>296</v>
      </c>
      <c r="Z212" s="5">
        <f>VLOOKUP($A212,'NonXtal_SegEnds_Prot#'!$A:$AL,27,FALSE)</f>
        <v>302</v>
      </c>
      <c r="AA212" s="5">
        <f>VLOOKUP($A212,'NonXtal_SegEnds_Prot#'!$A:$AL,30,FALSE)</f>
        <v>345</v>
      </c>
      <c r="AB212" s="5">
        <f>VLOOKUP($A212,'NonXtal_SegEnds_Prot#'!$A:$AL,33,FALSE)</f>
        <v>376</v>
      </c>
      <c r="AC212" s="5">
        <f>VLOOKUP($A212,'NonXtal_SegEnds_Prot#'!$A:$AL,36,FALSE)</f>
        <v>406</v>
      </c>
      <c r="AD212" s="5">
        <f>VLOOKUP($A212,'NonXtal_SegEnds_Prot#'!$A:$AL,5,FALSE)</f>
        <v>169</v>
      </c>
      <c r="AE212" s="5">
        <f>VLOOKUP($A212,'NonXtal_SegEnds_Prot#'!$A:$AL,8,FALSE)</f>
        <v>173</v>
      </c>
      <c r="AF212" s="5">
        <f>VLOOKUP($A212,'NonXtal_SegEnds_Prot#'!$A:$AL,11,FALSE)</f>
        <v>202</v>
      </c>
      <c r="AG212" s="5" t="str">
        <f>VLOOKUP($A212,'NonXtal_SegEnds_Prot#'!$A:$AL,14,FALSE)</f>
        <v>-</v>
      </c>
      <c r="AH212" s="5">
        <f>VLOOKUP($A212,'NonXtal_SegEnds_Prot#'!$A:$AL,17,FALSE)</f>
        <v>257</v>
      </c>
      <c r="AI212" s="5" t="str">
        <f>VLOOKUP($A212,'NonXtal_SegEnds_Prot#'!$A:$AL,20,FALSE)</f>
        <v>-</v>
      </c>
      <c r="AJ212" s="5">
        <f>VLOOKUP($A212,'NonXtal_SegEnds_Prot#'!$A:$AL,23,FALSE)</f>
        <v>292</v>
      </c>
      <c r="AK212" s="5">
        <f>VLOOKUP($A212,'NonXtal_SegEnds_Prot#'!$A:$AL,26,FALSE)</f>
        <v>298</v>
      </c>
      <c r="AL212" s="5">
        <f>VLOOKUP($A212,'NonXtal_SegEnds_Prot#'!$A:$AL,29,FALSE)</f>
        <v>337</v>
      </c>
      <c r="AM212" s="5">
        <f>VLOOKUP($A212,'NonXtal_SegEnds_Prot#'!$A:$AL,32,FALSE)</f>
        <v>369</v>
      </c>
      <c r="AN212" s="5">
        <f>VLOOKUP($A212,'NonXtal_SegEnds_Prot#'!$A:$AL,35,FALSE)</f>
        <v>405</v>
      </c>
      <c r="AO212" s="5">
        <f>VLOOKUP($A212,'NonXtal_SegEnds_Prot#'!$A:$AL,38,FALSE)</f>
        <v>431</v>
      </c>
      <c r="AP212" s="5">
        <f t="shared" si="88"/>
        <v>41</v>
      </c>
      <c r="AQ212" s="4">
        <f t="shared" si="89"/>
        <v>3</v>
      </c>
      <c r="AR212" s="4">
        <f t="shared" si="90"/>
        <v>28</v>
      </c>
      <c r="AS212" s="4" t="str">
        <f t="shared" si="91"/>
        <v>-</v>
      </c>
      <c r="AT212" s="4">
        <f t="shared" si="92"/>
        <v>38</v>
      </c>
      <c r="AU212" s="4" t="str">
        <f t="shared" si="93"/>
        <v>-</v>
      </c>
      <c r="AV212" s="4">
        <f t="shared" si="94"/>
        <v>28</v>
      </c>
      <c r="AW212" s="4">
        <f t="shared" si="95"/>
        <v>2</v>
      </c>
      <c r="AX212" s="4">
        <f t="shared" si="96"/>
        <v>35</v>
      </c>
      <c r="AY212" s="4">
        <f t="shared" si="97"/>
        <v>24</v>
      </c>
      <c r="AZ212" s="4">
        <f t="shared" si="98"/>
        <v>29</v>
      </c>
      <c r="BA212" s="4">
        <f t="shared" si="99"/>
        <v>25</v>
      </c>
    </row>
    <row r="213" spans="1:53" x14ac:dyDescent="0.2">
      <c r="A213" s="1" t="str">
        <f>'NonXtal_SegEnds_Prot#'!A192</f>
        <v>pacr_human</v>
      </c>
      <c r="B213" s="1" t="str">
        <f t="shared" si="75"/>
        <v>DEYESETGDQDYYYLSVKALYTVGYSTSLVTLTTAMVILCRFCTRNFIHMNLFVSFMLRAISVFIKDWIVECKAVMVFFHYCVVSNYFWLFIEGLYLFTLLVERYFYWYTIIGWGTPTVCVTVWATLRLYFDSTALWWVIKGPVVGSIMVNFVLFIGIIVILVQKLNESSIYLRLARSTLLLIPLFGIHYTVFAFKRERLVFELGLGSFQGFVVAVLYCFLNGEVQAEIKRKWRSWKVNRYFAVDFK</v>
      </c>
      <c r="C213" s="72" t="str">
        <f>IF(ISERROR(MATCH(A213,'Xtal_SegEnds_Prot#'!B:B, 0)), "NoXtal", "Xtal")</f>
        <v>NoXtal</v>
      </c>
      <c r="D213" s="4" t="str">
        <f>VLOOKUP(A213,Classification!A:D,2,FALSE)</f>
        <v>B1</v>
      </c>
      <c r="E213" s="5" t="str">
        <f>VLOOKUP(A213,Seqs!A:B,2,FALSE)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213" s="5" t="str">
        <f t="shared" si="76"/>
        <v>DEYESETGDQDYYYLSVKALYTVGYSTSLVTLTTAMVILCRF</v>
      </c>
      <c r="G213" s="4" t="str">
        <f t="shared" si="77"/>
        <v>RKLH</v>
      </c>
      <c r="H213" s="4" t="str">
        <f t="shared" si="78"/>
        <v>CTRNFIHMNLFVSFMLRAISVFIKDWI</v>
      </c>
      <c r="I213" s="4" t="str">
        <f t="shared" si="79"/>
        <v/>
      </c>
      <c r="J213" s="4" t="str">
        <f t="shared" si="80"/>
        <v>VECKAVMVFFHYCVVSNYFWLFIEGLYLFTLLVE</v>
      </c>
      <c r="K213" s="4" t="str">
        <f t="shared" si="81"/>
        <v/>
      </c>
      <c r="L213" s="4" t="str">
        <f t="shared" si="82"/>
        <v>RYFYWYTIIGWGTPTVCVTVWATLRLYFD</v>
      </c>
      <c r="M213" s="4" t="str">
        <f t="shared" si="83"/>
        <v>CWD</v>
      </c>
      <c r="N213" s="4" t="str">
        <f t="shared" si="84"/>
        <v>STALWWVIKGPVVGSIMVNFVLFIGIIVILVQKL</v>
      </c>
      <c r="O213" s="4" t="str">
        <f t="shared" si="85"/>
        <v>NESSIYLRLARSTLLLIPLFGIHYTVFAF</v>
      </c>
      <c r="P213" s="4" t="str">
        <f t="shared" si="86"/>
        <v>KRERLVFELGLGSFQGFVVAVLYCFL</v>
      </c>
      <c r="Q213" s="4" t="str">
        <f t="shared" si="87"/>
        <v>NGEVQAEIKRKWRSWKVNRYFAVDFK</v>
      </c>
      <c r="R213" s="5">
        <f>VLOOKUP($A213,'NonXtal_SegEnds_Prot#'!$A:$AL,3,FALSE)</f>
        <v>137</v>
      </c>
      <c r="S213" s="5">
        <f>VLOOKUP($A213,'NonXtal_SegEnds_Prot#'!$A:$AL,6,FALSE)</f>
        <v>179</v>
      </c>
      <c r="T213" s="5">
        <f>VLOOKUP($A213,'NonXtal_SegEnds_Prot#'!$A:$AL,9,FALSE)</f>
        <v>183</v>
      </c>
      <c r="U213" s="5" t="str">
        <f>VLOOKUP($A213,'NonXtal_SegEnds_Prot#'!$A:$AL,12,FALSE)</f>
        <v>-</v>
      </c>
      <c r="V213" s="5">
        <f>VLOOKUP($A213,'NonXtal_SegEnds_Prot#'!$A:$AL,15,FALSE)</f>
        <v>224</v>
      </c>
      <c r="W213" s="5" t="str">
        <f>VLOOKUP($A213,'NonXtal_SegEnds_Prot#'!$A:$AL,18,FALSE)</f>
        <v>-</v>
      </c>
      <c r="X213" s="5">
        <f>VLOOKUP($A213,'NonXtal_SegEnds_Prot#'!$A:$AL,21,FALSE)</f>
        <v>264</v>
      </c>
      <c r="Y213" s="5">
        <f>VLOOKUP($A213,'NonXtal_SegEnds_Prot#'!$A:$AL,24,FALSE)</f>
        <v>296</v>
      </c>
      <c r="Z213" s="5">
        <f>VLOOKUP($A213,'NonXtal_SegEnds_Prot#'!$A:$AL,27,FALSE)</f>
        <v>302</v>
      </c>
      <c r="AA213" s="5">
        <f>VLOOKUP($A213,'NonXtal_SegEnds_Prot#'!$A:$AL,30,FALSE)</f>
        <v>343</v>
      </c>
      <c r="AB213" s="5">
        <f>VLOOKUP($A213,'NonXtal_SegEnds_Prot#'!$A:$AL,33,FALSE)</f>
        <v>378</v>
      </c>
      <c r="AC213" s="5">
        <f>VLOOKUP($A213,'NonXtal_SegEnds_Prot#'!$A:$AL,36,FALSE)</f>
        <v>404</v>
      </c>
      <c r="AD213" s="5">
        <f>VLOOKUP($A213,'NonXtal_SegEnds_Prot#'!$A:$AL,5,FALSE)</f>
        <v>178</v>
      </c>
      <c r="AE213" s="5">
        <f>VLOOKUP($A213,'NonXtal_SegEnds_Prot#'!$A:$AL,8,FALSE)</f>
        <v>182</v>
      </c>
      <c r="AF213" s="5">
        <f>VLOOKUP($A213,'NonXtal_SegEnds_Prot#'!$A:$AL,11,FALSE)</f>
        <v>209</v>
      </c>
      <c r="AG213" s="5" t="str">
        <f>VLOOKUP($A213,'NonXtal_SegEnds_Prot#'!$A:$AL,14,FALSE)</f>
        <v>-</v>
      </c>
      <c r="AH213" s="5">
        <f>VLOOKUP($A213,'NonXtal_SegEnds_Prot#'!$A:$AL,17,FALSE)</f>
        <v>257</v>
      </c>
      <c r="AI213" s="5" t="str">
        <f>VLOOKUP($A213,'NonXtal_SegEnds_Prot#'!$A:$AL,20,FALSE)</f>
        <v>-</v>
      </c>
      <c r="AJ213" s="5">
        <f>VLOOKUP($A213,'NonXtal_SegEnds_Prot#'!$A:$AL,23,FALSE)</f>
        <v>292</v>
      </c>
      <c r="AK213" s="5">
        <f>VLOOKUP($A213,'NonXtal_SegEnds_Prot#'!$A:$AL,26,FALSE)</f>
        <v>298</v>
      </c>
      <c r="AL213" s="5">
        <f>VLOOKUP($A213,'NonXtal_SegEnds_Prot#'!$A:$AL,29,FALSE)</f>
        <v>335</v>
      </c>
      <c r="AM213" s="5">
        <f>VLOOKUP($A213,'NonXtal_SegEnds_Prot#'!$A:$AL,32,FALSE)</f>
        <v>371</v>
      </c>
      <c r="AN213" s="5">
        <f>VLOOKUP($A213,'NonXtal_SegEnds_Prot#'!$A:$AL,35,FALSE)</f>
        <v>403</v>
      </c>
      <c r="AO213" s="5">
        <f>VLOOKUP($A213,'NonXtal_SegEnds_Prot#'!$A:$AL,38,FALSE)</f>
        <v>429</v>
      </c>
      <c r="AP213" s="5">
        <f t="shared" si="88"/>
        <v>41</v>
      </c>
      <c r="AQ213" s="4">
        <f t="shared" si="89"/>
        <v>3</v>
      </c>
      <c r="AR213" s="4">
        <f t="shared" si="90"/>
        <v>26</v>
      </c>
      <c r="AS213" s="4" t="str">
        <f t="shared" si="91"/>
        <v>-</v>
      </c>
      <c r="AT213" s="4">
        <f t="shared" si="92"/>
        <v>33</v>
      </c>
      <c r="AU213" s="4" t="str">
        <f t="shared" si="93"/>
        <v>-</v>
      </c>
      <c r="AV213" s="4">
        <f t="shared" si="94"/>
        <v>28</v>
      </c>
      <c r="AW213" s="4">
        <f t="shared" si="95"/>
        <v>2</v>
      </c>
      <c r="AX213" s="4">
        <f t="shared" si="96"/>
        <v>33</v>
      </c>
      <c r="AY213" s="4">
        <f t="shared" si="97"/>
        <v>28</v>
      </c>
      <c r="AZ213" s="4">
        <f t="shared" si="98"/>
        <v>25</v>
      </c>
      <c r="BA213" s="4">
        <f t="shared" si="99"/>
        <v>25</v>
      </c>
    </row>
    <row r="214" spans="1:53" x14ac:dyDescent="0.2">
      <c r="A214" s="1" t="str">
        <f>'NonXtal_SegEnds_Prot#'!A193</f>
        <v>glr_human</v>
      </c>
      <c r="B214" s="1" t="str">
        <f t="shared" si="75"/>
        <v>GEEIEVQKEVAKMYSSFQVMYTVGYSLSLGALLLALAILGGLCTRNAIHANLFASFVLKASSVLVIDGLLRSDGAVAGCRVAAVFMQYGIVANYCWLLVEGLYLHNLLGLSFFSLYLGIGWGAPMLFVVPWAVVKCLFENMGFWWILRFPVFLAILINFFIFVRIVQLLVAKLRAYKFRLAKSTLTLIPLLGVHEVVFAFQGTLRSAKLFFDLFLSSFQGLLVAVLYCFLNKEVQSELRRRWHRWRLGKVLWEERN</v>
      </c>
      <c r="C214" s="72" t="str">
        <f>IF(ISERROR(MATCH(A214,'Xtal_SegEnds_Prot#'!B:B, 0)), "NoXtal", "Xtal")</f>
        <v>Xtal</v>
      </c>
      <c r="D214" s="4" t="str">
        <f>VLOOKUP(A214,Classification!A:D,2,FALSE)</f>
        <v>B1</v>
      </c>
      <c r="E214" s="5" t="str">
        <f>VLOOKUP(A214,Seqs!A:B,2,FALSE)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214" s="5" t="str">
        <f t="shared" si="76"/>
        <v>GEEIEVQKEVAKMYSSFQVMYTVGYSLSLGALLLALAILGGL</v>
      </c>
      <c r="G214" s="4" t="str">
        <f t="shared" si="77"/>
        <v>SKLH</v>
      </c>
      <c r="H214" s="4" t="str">
        <f t="shared" si="78"/>
        <v>CTRNAIHANLFASFVLKASSVLVIDGLLR</v>
      </c>
      <c r="I214" s="4" t="str">
        <f t="shared" si="79"/>
        <v/>
      </c>
      <c r="J214" s="4" t="str">
        <f t="shared" si="80"/>
        <v>SDGAVAGCRVAAVFMQYGIVANYCWLLVEGLYLHNLLGL</v>
      </c>
      <c r="K214" s="4" t="str">
        <f t="shared" si="81"/>
        <v/>
      </c>
      <c r="L214" s="4" t="str">
        <f t="shared" si="82"/>
        <v>SFFSLYLGIGWGAPMLFVVPWAVVKCLFE</v>
      </c>
      <c r="M214" s="4" t="str">
        <f t="shared" si="83"/>
        <v>CWT</v>
      </c>
      <c r="N214" s="4" t="str">
        <f t="shared" si="84"/>
        <v>NMGFWWILRFPVFLAILINFFIFVRIVQLLVAKLRA</v>
      </c>
      <c r="O214" s="4" t="str">
        <f t="shared" si="85"/>
        <v>YKFRLAKSTLTLIPLLGVHEVVFAF</v>
      </c>
      <c r="P214" s="4" t="str">
        <f t="shared" si="86"/>
        <v>QGTLRSAKLFFDLFLSSFQGLLVAVLYCFL</v>
      </c>
      <c r="Q214" s="4" t="str">
        <f t="shared" si="87"/>
        <v>NKEVQSELRRRWHRWRLGKVLWEERN</v>
      </c>
      <c r="R214" s="5">
        <f>VLOOKUP($A214,'NonXtal_SegEnds_Prot#'!$A:$AL,3,FALSE)</f>
        <v>125</v>
      </c>
      <c r="S214" s="5">
        <f>VLOOKUP($A214,'NonXtal_SegEnds_Prot#'!$A:$AL,6,FALSE)</f>
        <v>167</v>
      </c>
      <c r="T214" s="5">
        <f>VLOOKUP($A214,'NonXtal_SegEnds_Prot#'!$A:$AL,9,FALSE)</f>
        <v>171</v>
      </c>
      <c r="U214" s="5" t="str">
        <f>VLOOKUP($A214,'NonXtal_SegEnds_Prot#'!$A:$AL,12,FALSE)</f>
        <v>-</v>
      </c>
      <c r="V214" s="5">
        <f>VLOOKUP($A214,'NonXtal_SegEnds_Prot#'!$A:$AL,15,FALSE)</f>
        <v>217</v>
      </c>
      <c r="W214" s="5" t="str">
        <f>VLOOKUP($A214,'NonXtal_SegEnds_Prot#'!$A:$AL,18,FALSE)</f>
        <v>-</v>
      </c>
      <c r="X214" s="5">
        <f>VLOOKUP($A214,'NonXtal_SegEnds_Prot#'!$A:$AL,21,FALSE)</f>
        <v>262</v>
      </c>
      <c r="Y214" s="5">
        <f>VLOOKUP($A214,'NonXtal_SegEnds_Prot#'!$A:$AL,24,FALSE)</f>
        <v>294</v>
      </c>
      <c r="Z214" s="5">
        <f>VLOOKUP($A214,'NonXtal_SegEnds_Prot#'!$A:$AL,27,FALSE)</f>
        <v>300</v>
      </c>
      <c r="AA214" s="5">
        <f>VLOOKUP($A214,'NonXtal_SegEnds_Prot#'!$A:$AL,30,FALSE)</f>
        <v>343</v>
      </c>
      <c r="AB214" s="5">
        <f>VLOOKUP($A214,'NonXtal_SegEnds_Prot#'!$A:$AL,33,FALSE)</f>
        <v>374</v>
      </c>
      <c r="AC214" s="5">
        <f>VLOOKUP($A214,'NonXtal_SegEnds_Prot#'!$A:$AL,36,FALSE)</f>
        <v>404</v>
      </c>
      <c r="AD214" s="5">
        <f>VLOOKUP($A214,'NonXtal_SegEnds_Prot#'!$A:$AL,5,FALSE)</f>
        <v>166</v>
      </c>
      <c r="AE214" s="5">
        <f>VLOOKUP($A214,'NonXtal_SegEnds_Prot#'!$A:$AL,8,FALSE)</f>
        <v>170</v>
      </c>
      <c r="AF214" s="5">
        <f>VLOOKUP($A214,'NonXtal_SegEnds_Prot#'!$A:$AL,11,FALSE)</f>
        <v>199</v>
      </c>
      <c r="AG214" s="5" t="str">
        <f>VLOOKUP($A214,'NonXtal_SegEnds_Prot#'!$A:$AL,14,FALSE)</f>
        <v>-</v>
      </c>
      <c r="AH214" s="5">
        <f>VLOOKUP($A214,'NonXtal_SegEnds_Prot#'!$A:$AL,17,FALSE)</f>
        <v>255</v>
      </c>
      <c r="AI214" s="5" t="str">
        <f>VLOOKUP($A214,'NonXtal_SegEnds_Prot#'!$A:$AL,20,FALSE)</f>
        <v>-</v>
      </c>
      <c r="AJ214" s="5">
        <f>VLOOKUP($A214,'NonXtal_SegEnds_Prot#'!$A:$AL,23,FALSE)</f>
        <v>290</v>
      </c>
      <c r="AK214" s="5">
        <f>VLOOKUP($A214,'NonXtal_SegEnds_Prot#'!$A:$AL,26,FALSE)</f>
        <v>296</v>
      </c>
      <c r="AL214" s="5">
        <f>VLOOKUP($A214,'NonXtal_SegEnds_Prot#'!$A:$AL,29,FALSE)</f>
        <v>335</v>
      </c>
      <c r="AM214" s="5">
        <f>VLOOKUP($A214,'NonXtal_SegEnds_Prot#'!$A:$AL,32,FALSE)</f>
        <v>367</v>
      </c>
      <c r="AN214" s="5">
        <f>VLOOKUP($A214,'NonXtal_SegEnds_Prot#'!$A:$AL,35,FALSE)</f>
        <v>403</v>
      </c>
      <c r="AO214" s="5">
        <f>VLOOKUP($A214,'NonXtal_SegEnds_Prot#'!$A:$AL,38,FALSE)</f>
        <v>429</v>
      </c>
      <c r="AP214" s="5">
        <f t="shared" si="88"/>
        <v>41</v>
      </c>
      <c r="AQ214" s="4">
        <f t="shared" si="89"/>
        <v>3</v>
      </c>
      <c r="AR214" s="4">
        <f t="shared" si="90"/>
        <v>28</v>
      </c>
      <c r="AS214" s="4" t="str">
        <f t="shared" si="91"/>
        <v>-</v>
      </c>
      <c r="AT214" s="4">
        <f t="shared" si="92"/>
        <v>38</v>
      </c>
      <c r="AU214" s="4" t="str">
        <f t="shared" si="93"/>
        <v>-</v>
      </c>
      <c r="AV214" s="4">
        <f t="shared" si="94"/>
        <v>28</v>
      </c>
      <c r="AW214" s="4">
        <f t="shared" si="95"/>
        <v>2</v>
      </c>
      <c r="AX214" s="4">
        <f t="shared" si="96"/>
        <v>35</v>
      </c>
      <c r="AY214" s="4">
        <f t="shared" si="97"/>
        <v>24</v>
      </c>
      <c r="AZ214" s="4">
        <f t="shared" si="98"/>
        <v>29</v>
      </c>
      <c r="BA214" s="4">
        <f t="shared" si="99"/>
        <v>25</v>
      </c>
    </row>
    <row r="215" spans="1:53" x14ac:dyDescent="0.2">
      <c r="A215" s="1" t="str">
        <f>'NonXtal_SegEnds_Prot#'!A194</f>
        <v>gipr_human</v>
      </c>
      <c r="B215" s="1" t="str">
        <f t="shared" si="75"/>
        <v>PEKNEAFLDQRLILERLQVMYTVGYSLSLATLLLALLILSLFCTRNYIHINLFTSFMLRAAAILSRDRLLPWNQALAACRTAQIVTQYCVGANYTWLLVEGVYLHSLLVLGHFRYYLLLGWGAPALFVIPWVIVRYLYEVKAIWWIIRTPILMTILINFLIFIRILGILLSKLRTYRLRLARSTLTLVPLLGVHEVVFAPRGALRFAKLGFEIFLSSFQGFLVSVLYCFINKEVQSEIRRGWHHCRLRRSLGEEQR</v>
      </c>
      <c r="C215" s="72" t="str">
        <f>IF(ISERROR(MATCH(A215,'Xtal_SegEnds_Prot#'!B:B, 0)), "NoXtal", "Xtal")</f>
        <v>NoXtal</v>
      </c>
      <c r="D215" s="4" t="str">
        <f>VLOOKUP(A215,Classification!A:D,2,FALSE)</f>
        <v>B1</v>
      </c>
      <c r="E215" s="5" t="str">
        <f>VLOOKUP(A215,Seqs!A:B,2,FALSE)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215" s="5" t="str">
        <f t="shared" si="76"/>
        <v>PEKNEAFLDQRLILERLQVMYTVGYSLSLATLLLALLILSLF</v>
      </c>
      <c r="G215" s="4" t="str">
        <f t="shared" si="77"/>
        <v>RRLH</v>
      </c>
      <c r="H215" s="4" t="str">
        <f t="shared" si="78"/>
        <v>CTRNYIHINLFTSFMLRAAAILSRDRLLP</v>
      </c>
      <c r="I215" s="4" t="str">
        <f t="shared" si="79"/>
        <v/>
      </c>
      <c r="J215" s="4" t="str">
        <f t="shared" si="80"/>
        <v>WNQALAACRTAQIVTQYCVGANYTWLLVEGVYLHSLLVL</v>
      </c>
      <c r="K215" s="4" t="str">
        <f t="shared" si="81"/>
        <v/>
      </c>
      <c r="L215" s="4" t="str">
        <f t="shared" si="82"/>
        <v>GHFRYYLLLGWGAPALFVIPWVIVRYLYE</v>
      </c>
      <c r="M215" s="4" t="str">
        <f t="shared" si="83"/>
        <v>CWE</v>
      </c>
      <c r="N215" s="4" t="str">
        <f t="shared" si="84"/>
        <v>VKAIWWIIRTPILMTILINFLIFIRILGILLSKLRT</v>
      </c>
      <c r="O215" s="4" t="str">
        <f t="shared" si="85"/>
        <v>YRLRLARSTLTLVPLLGVHEVVFAP</v>
      </c>
      <c r="P215" s="4" t="str">
        <f t="shared" si="86"/>
        <v>RGALRFAKLGFEIFLSSFQGFLVSVLYCFI</v>
      </c>
      <c r="Q215" s="4" t="str">
        <f t="shared" si="87"/>
        <v>NKEVQSEIRRGWHHCRLRRSLGEEQR</v>
      </c>
      <c r="R215" s="5">
        <f>VLOOKUP($A215,'NonXtal_SegEnds_Prot#'!$A:$AL,3,FALSE)</f>
        <v>121</v>
      </c>
      <c r="S215" s="5">
        <f>VLOOKUP($A215,'NonXtal_SegEnds_Prot#'!$A:$AL,6,FALSE)</f>
        <v>163</v>
      </c>
      <c r="T215" s="5">
        <f>VLOOKUP($A215,'NonXtal_SegEnds_Prot#'!$A:$AL,9,FALSE)</f>
        <v>167</v>
      </c>
      <c r="U215" s="5" t="str">
        <f>VLOOKUP($A215,'NonXtal_SegEnds_Prot#'!$A:$AL,12,FALSE)</f>
        <v>-</v>
      </c>
      <c r="V215" s="5">
        <f>VLOOKUP($A215,'NonXtal_SegEnds_Prot#'!$A:$AL,15,FALSE)</f>
        <v>209</v>
      </c>
      <c r="W215" s="5" t="str">
        <f>VLOOKUP($A215,'NonXtal_SegEnds_Prot#'!$A:$AL,18,FALSE)</f>
        <v>-</v>
      </c>
      <c r="X215" s="5">
        <f>VLOOKUP($A215,'NonXtal_SegEnds_Prot#'!$A:$AL,21,FALSE)</f>
        <v>254</v>
      </c>
      <c r="Y215" s="5">
        <f>VLOOKUP($A215,'NonXtal_SegEnds_Prot#'!$A:$AL,24,FALSE)</f>
        <v>286</v>
      </c>
      <c r="Z215" s="5">
        <f>VLOOKUP($A215,'NonXtal_SegEnds_Prot#'!$A:$AL,27,FALSE)</f>
        <v>292</v>
      </c>
      <c r="AA215" s="5">
        <f>VLOOKUP($A215,'NonXtal_SegEnds_Prot#'!$A:$AL,30,FALSE)</f>
        <v>335</v>
      </c>
      <c r="AB215" s="5">
        <f>VLOOKUP($A215,'NonXtal_SegEnds_Prot#'!$A:$AL,33,FALSE)</f>
        <v>366</v>
      </c>
      <c r="AC215" s="5">
        <f>VLOOKUP($A215,'NonXtal_SegEnds_Prot#'!$A:$AL,36,FALSE)</f>
        <v>396</v>
      </c>
      <c r="AD215" s="5">
        <f>VLOOKUP($A215,'NonXtal_SegEnds_Prot#'!$A:$AL,5,FALSE)</f>
        <v>162</v>
      </c>
      <c r="AE215" s="5">
        <f>VLOOKUP($A215,'NonXtal_SegEnds_Prot#'!$A:$AL,8,FALSE)</f>
        <v>166</v>
      </c>
      <c r="AF215" s="5">
        <f>VLOOKUP($A215,'NonXtal_SegEnds_Prot#'!$A:$AL,11,FALSE)</f>
        <v>195</v>
      </c>
      <c r="AG215" s="5" t="str">
        <f>VLOOKUP($A215,'NonXtal_SegEnds_Prot#'!$A:$AL,14,FALSE)</f>
        <v>-</v>
      </c>
      <c r="AH215" s="5">
        <f>VLOOKUP($A215,'NonXtal_SegEnds_Prot#'!$A:$AL,17,FALSE)</f>
        <v>247</v>
      </c>
      <c r="AI215" s="5" t="str">
        <f>VLOOKUP($A215,'NonXtal_SegEnds_Prot#'!$A:$AL,20,FALSE)</f>
        <v>-</v>
      </c>
      <c r="AJ215" s="5">
        <f>VLOOKUP($A215,'NonXtal_SegEnds_Prot#'!$A:$AL,23,FALSE)</f>
        <v>282</v>
      </c>
      <c r="AK215" s="5">
        <f>VLOOKUP($A215,'NonXtal_SegEnds_Prot#'!$A:$AL,26,FALSE)</f>
        <v>288</v>
      </c>
      <c r="AL215" s="5">
        <f>VLOOKUP($A215,'NonXtal_SegEnds_Prot#'!$A:$AL,29,FALSE)</f>
        <v>327</v>
      </c>
      <c r="AM215" s="5">
        <f>VLOOKUP($A215,'NonXtal_SegEnds_Prot#'!$A:$AL,32,FALSE)</f>
        <v>359</v>
      </c>
      <c r="AN215" s="5">
        <f>VLOOKUP($A215,'NonXtal_SegEnds_Prot#'!$A:$AL,35,FALSE)</f>
        <v>395</v>
      </c>
      <c r="AO215" s="5">
        <f>VLOOKUP($A215,'NonXtal_SegEnds_Prot#'!$A:$AL,38,FALSE)</f>
        <v>421</v>
      </c>
      <c r="AP215" s="5">
        <f t="shared" si="88"/>
        <v>41</v>
      </c>
      <c r="AQ215" s="4">
        <f t="shared" si="89"/>
        <v>3</v>
      </c>
      <c r="AR215" s="4">
        <f t="shared" si="90"/>
        <v>28</v>
      </c>
      <c r="AS215" s="4" t="str">
        <f t="shared" si="91"/>
        <v>-</v>
      </c>
      <c r="AT215" s="4">
        <f t="shared" si="92"/>
        <v>38</v>
      </c>
      <c r="AU215" s="4" t="str">
        <f t="shared" si="93"/>
        <v>-</v>
      </c>
      <c r="AV215" s="4">
        <f t="shared" si="94"/>
        <v>28</v>
      </c>
      <c r="AW215" s="4">
        <f t="shared" si="95"/>
        <v>2</v>
      </c>
      <c r="AX215" s="4">
        <f t="shared" si="96"/>
        <v>35</v>
      </c>
      <c r="AY215" s="4">
        <f t="shared" si="97"/>
        <v>24</v>
      </c>
      <c r="AZ215" s="4">
        <f t="shared" si="98"/>
        <v>29</v>
      </c>
      <c r="BA215" s="4">
        <f t="shared" si="99"/>
        <v>25</v>
      </c>
    </row>
    <row r="216" spans="1:53" x14ac:dyDescent="0.2">
      <c r="A216" s="1" t="str">
        <f>'NonXtal_SegEnds_Prot#'!A195</f>
        <v>sctr_human</v>
      </c>
      <c r="B216" s="1" t="str">
        <f t="shared" si="75"/>
        <v>NVNDSSNEKRHSYLLKLKVMYTVGYSSSLVMLLVALGILCAFCTRNYIHMHLFVSFILRALSNFIKDAVAGCKLVMVLFQYCIMANYSWLLVEGLYLHTLLAIKYLQGFVAFGWGSPAIFVALWAIARHFLENASIWWIIRGPVILSILINFILFINILRILMRKLNEVSHYKRLARSTLLLIPLFGIHYIVFAFMEIQLFFELALGSFQGLVVAVLYCFLNGEVQLEVQKKWQQWHLREFPLHPVA</v>
      </c>
      <c r="C216" s="72" t="str">
        <f>IF(ISERROR(MATCH(A216,'Xtal_SegEnds_Prot#'!B:B, 0)), "NoXtal", "Xtal")</f>
        <v>NoXtal</v>
      </c>
      <c r="D216" s="4" t="str">
        <f>VLOOKUP(A216,Classification!A:D,2,FALSE)</f>
        <v>B1</v>
      </c>
      <c r="E216" s="5" t="str">
        <f>VLOOKUP(A216,Seqs!A:B,2,FALSE)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216" s="5" t="str">
        <f t="shared" si="76"/>
        <v>NVNDSSNEKRHSYLLKLKVMYTVGYSSSLVMLLVALGILCAF</v>
      </c>
      <c r="G216" s="4" t="str">
        <f t="shared" si="77"/>
        <v>RRLH</v>
      </c>
      <c r="H216" s="4" t="str">
        <f t="shared" si="78"/>
        <v>CTRNYIHMHLFVSFILRALSNFIKDAV</v>
      </c>
      <c r="I216" s="4" t="str">
        <f t="shared" si="79"/>
        <v/>
      </c>
      <c r="J216" s="4" t="str">
        <f t="shared" si="80"/>
        <v>AGCKLVMVLFQYCIMANYSWLLVEGLYLHTLLAI</v>
      </c>
      <c r="K216" s="4" t="str">
        <f t="shared" si="81"/>
        <v/>
      </c>
      <c r="L216" s="4" t="str">
        <f t="shared" si="82"/>
        <v>KYLQGFVAFGWGSPAIFVALWAIARHFLE</v>
      </c>
      <c r="M216" s="4" t="str">
        <f t="shared" si="83"/>
        <v>CWD</v>
      </c>
      <c r="N216" s="4" t="str">
        <f t="shared" si="84"/>
        <v>NASIWWIIRGPVILSILINFILFINILRILMRKL</v>
      </c>
      <c r="O216" s="4" t="str">
        <f t="shared" si="85"/>
        <v>NEVSHYKRLARSTLLLIPLFGIHYIVFAF</v>
      </c>
      <c r="P216" s="4" t="str">
        <f t="shared" si="86"/>
        <v>MEIQLFFELALGSFQGLVVAVLYCFL</v>
      </c>
      <c r="Q216" s="4" t="str">
        <f t="shared" si="87"/>
        <v>NGEVQLEVQKKWQQWHLREFPLHPVA</v>
      </c>
      <c r="R216" s="5">
        <f>VLOOKUP($A216,'NonXtal_SegEnds_Prot#'!$A:$AL,3,FALSE)</f>
        <v>126</v>
      </c>
      <c r="S216" s="5">
        <f>VLOOKUP($A216,'NonXtal_SegEnds_Prot#'!$A:$AL,6,FALSE)</f>
        <v>168</v>
      </c>
      <c r="T216" s="5">
        <f>VLOOKUP($A216,'NonXtal_SegEnds_Prot#'!$A:$AL,9,FALSE)</f>
        <v>172</v>
      </c>
      <c r="U216" s="5" t="str">
        <f>VLOOKUP($A216,'NonXtal_SegEnds_Prot#'!$A:$AL,12,FALSE)</f>
        <v>-</v>
      </c>
      <c r="V216" s="5">
        <f>VLOOKUP($A216,'NonXtal_SegEnds_Prot#'!$A:$AL,15,FALSE)</f>
        <v>213</v>
      </c>
      <c r="W216" s="5" t="str">
        <f>VLOOKUP($A216,'NonXtal_SegEnds_Prot#'!$A:$AL,18,FALSE)</f>
        <v>-</v>
      </c>
      <c r="X216" s="5">
        <f>VLOOKUP($A216,'NonXtal_SegEnds_Prot#'!$A:$AL,21,FALSE)</f>
        <v>253</v>
      </c>
      <c r="Y216" s="5">
        <f>VLOOKUP($A216,'NonXtal_SegEnds_Prot#'!$A:$AL,24,FALSE)</f>
        <v>285</v>
      </c>
      <c r="Z216" s="5">
        <f>VLOOKUP($A216,'NonXtal_SegEnds_Prot#'!$A:$AL,27,FALSE)</f>
        <v>291</v>
      </c>
      <c r="AA216" s="5">
        <f>VLOOKUP($A216,'NonXtal_SegEnds_Prot#'!$A:$AL,30,FALSE)</f>
        <v>332</v>
      </c>
      <c r="AB216" s="5">
        <f>VLOOKUP($A216,'NonXtal_SegEnds_Prot#'!$A:$AL,33,FALSE)</f>
        <v>366</v>
      </c>
      <c r="AC216" s="5">
        <f>VLOOKUP($A216,'NonXtal_SegEnds_Prot#'!$A:$AL,36,FALSE)</f>
        <v>392</v>
      </c>
      <c r="AD216" s="5">
        <f>VLOOKUP($A216,'NonXtal_SegEnds_Prot#'!$A:$AL,5,FALSE)</f>
        <v>167</v>
      </c>
      <c r="AE216" s="5">
        <f>VLOOKUP($A216,'NonXtal_SegEnds_Prot#'!$A:$AL,8,FALSE)</f>
        <v>171</v>
      </c>
      <c r="AF216" s="5">
        <f>VLOOKUP($A216,'NonXtal_SegEnds_Prot#'!$A:$AL,11,FALSE)</f>
        <v>198</v>
      </c>
      <c r="AG216" s="5" t="str">
        <f>VLOOKUP($A216,'NonXtal_SegEnds_Prot#'!$A:$AL,14,FALSE)</f>
        <v>-</v>
      </c>
      <c r="AH216" s="5">
        <f>VLOOKUP($A216,'NonXtal_SegEnds_Prot#'!$A:$AL,17,FALSE)</f>
        <v>246</v>
      </c>
      <c r="AI216" s="5" t="str">
        <f>VLOOKUP($A216,'NonXtal_SegEnds_Prot#'!$A:$AL,20,FALSE)</f>
        <v>-</v>
      </c>
      <c r="AJ216" s="5">
        <f>VLOOKUP($A216,'NonXtal_SegEnds_Prot#'!$A:$AL,23,FALSE)</f>
        <v>281</v>
      </c>
      <c r="AK216" s="5">
        <f>VLOOKUP($A216,'NonXtal_SegEnds_Prot#'!$A:$AL,26,FALSE)</f>
        <v>287</v>
      </c>
      <c r="AL216" s="5">
        <f>VLOOKUP($A216,'NonXtal_SegEnds_Prot#'!$A:$AL,29,FALSE)</f>
        <v>324</v>
      </c>
      <c r="AM216" s="5">
        <f>VLOOKUP($A216,'NonXtal_SegEnds_Prot#'!$A:$AL,32,FALSE)</f>
        <v>360</v>
      </c>
      <c r="AN216" s="5">
        <f>VLOOKUP($A216,'NonXtal_SegEnds_Prot#'!$A:$AL,35,FALSE)</f>
        <v>391</v>
      </c>
      <c r="AO216" s="5">
        <f>VLOOKUP($A216,'NonXtal_SegEnds_Prot#'!$A:$AL,38,FALSE)</f>
        <v>417</v>
      </c>
      <c r="AP216" s="5">
        <f t="shared" si="88"/>
        <v>41</v>
      </c>
      <c r="AQ216" s="4">
        <f t="shared" si="89"/>
        <v>3</v>
      </c>
      <c r="AR216" s="4">
        <f t="shared" si="90"/>
        <v>26</v>
      </c>
      <c r="AS216" s="4" t="str">
        <f t="shared" si="91"/>
        <v>-</v>
      </c>
      <c r="AT216" s="4">
        <f t="shared" si="92"/>
        <v>33</v>
      </c>
      <c r="AU216" s="4" t="str">
        <f t="shared" si="93"/>
        <v>-</v>
      </c>
      <c r="AV216" s="4">
        <f t="shared" si="94"/>
        <v>28</v>
      </c>
      <c r="AW216" s="4">
        <f t="shared" si="95"/>
        <v>2</v>
      </c>
      <c r="AX216" s="4">
        <f t="shared" si="96"/>
        <v>33</v>
      </c>
      <c r="AY216" s="4">
        <f t="shared" si="97"/>
        <v>28</v>
      </c>
      <c r="AZ216" s="4">
        <f t="shared" si="98"/>
        <v>25</v>
      </c>
      <c r="BA216" s="4">
        <f t="shared" si="99"/>
        <v>25</v>
      </c>
    </row>
    <row r="217" spans="1:53" x14ac:dyDescent="0.2">
      <c r="A217" s="1" t="str">
        <f>'NonXtal_SegEnds_Prot#'!A196</f>
        <v>vipr1_human</v>
      </c>
      <c r="B217" s="1" t="str">
        <f t="shared" si="75"/>
        <v>DKAASLDEQQTMFYGSVKTGYTIGYGLSLATLLVATAILSLFCTRNYIHMHLFISFILRAAAVFIKDLAVGCKAAMVFFQYCVMANFFWLLVEGLYLYTLLAVKYFWGYILIGWGVPSTFTMVWTIARIHFENSSLWWIIKGPILTSILVNFILFICIIRILLQKLSDSSPYSRLARSTLLLIPLFGVHYIMFAFPEVKMVFELVVGSFQGFVVAILYCFLNGEVQAELRRKWRRWHLQGVLGWNPK</v>
      </c>
      <c r="C217" s="72" t="str">
        <f>IF(ISERROR(MATCH(A217,'Xtal_SegEnds_Prot#'!B:B, 0)), "NoXtal", "Xtal")</f>
        <v>NoXtal</v>
      </c>
      <c r="D217" s="4" t="str">
        <f>VLOOKUP(A217,Classification!A:D,2,FALSE)</f>
        <v>B1</v>
      </c>
      <c r="E217" s="5" t="str">
        <f>VLOOKUP(A217,Seqs!A:B,2,FALSE)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217" s="5" t="str">
        <f t="shared" si="76"/>
        <v>DKAASLDEQQTMFYGSVKTGYTIGYGLSLATLLVATAILSLF</v>
      </c>
      <c r="G217" s="4" t="str">
        <f t="shared" si="77"/>
        <v>RKLH</v>
      </c>
      <c r="H217" s="4" t="str">
        <f t="shared" si="78"/>
        <v>CTRNYIHMHLFISFILRAAAVFIKDLA</v>
      </c>
      <c r="I217" s="4" t="str">
        <f t="shared" si="79"/>
        <v/>
      </c>
      <c r="J217" s="4" t="str">
        <f t="shared" si="80"/>
        <v>VGCKAAMVFFQYCVMANFFWLLVEGLYLYTLLAV</v>
      </c>
      <c r="K217" s="4" t="str">
        <f t="shared" si="81"/>
        <v/>
      </c>
      <c r="L217" s="4" t="str">
        <f t="shared" si="82"/>
        <v>KYFWGYILIGWGVPSTFTMVWTIARIHFE</v>
      </c>
      <c r="M217" s="4" t="str">
        <f t="shared" si="83"/>
        <v>CWD</v>
      </c>
      <c r="N217" s="4" t="str">
        <f t="shared" si="84"/>
        <v>NSSLWWIIKGPILTSILVNFILFICIIRILLQKL</v>
      </c>
      <c r="O217" s="4" t="str">
        <f t="shared" si="85"/>
        <v>SDSSPYSRLARSTLLLIPLFGVHYIMFAF</v>
      </c>
      <c r="P217" s="4" t="str">
        <f t="shared" si="86"/>
        <v>PEVKMVFELVVGSFQGFVVAILYCFL</v>
      </c>
      <c r="Q217" s="4" t="str">
        <f t="shared" si="87"/>
        <v>NGEVQAELRRKWRRWHLQGVLGWNPK</v>
      </c>
      <c r="R217" s="5">
        <f>VLOOKUP($A217,'NonXtal_SegEnds_Prot#'!$A:$AL,3,FALSE)</f>
        <v>126</v>
      </c>
      <c r="S217" s="5">
        <f>VLOOKUP($A217,'NonXtal_SegEnds_Prot#'!$A:$AL,6,FALSE)</f>
        <v>168</v>
      </c>
      <c r="T217" s="5">
        <f>VLOOKUP($A217,'NonXtal_SegEnds_Prot#'!$A:$AL,9,FALSE)</f>
        <v>172</v>
      </c>
      <c r="U217" s="5" t="str">
        <f>VLOOKUP($A217,'NonXtal_SegEnds_Prot#'!$A:$AL,12,FALSE)</f>
        <v>-</v>
      </c>
      <c r="V217" s="5">
        <f>VLOOKUP($A217,'NonXtal_SegEnds_Prot#'!$A:$AL,15,FALSE)</f>
        <v>213</v>
      </c>
      <c r="W217" s="5" t="str">
        <f>VLOOKUP($A217,'NonXtal_SegEnds_Prot#'!$A:$AL,18,FALSE)</f>
        <v>-</v>
      </c>
      <c r="X217" s="5">
        <f>VLOOKUP($A217,'NonXtal_SegEnds_Prot#'!$A:$AL,21,FALSE)</f>
        <v>253</v>
      </c>
      <c r="Y217" s="5">
        <f>VLOOKUP($A217,'NonXtal_SegEnds_Prot#'!$A:$AL,24,FALSE)</f>
        <v>285</v>
      </c>
      <c r="Z217" s="5">
        <f>VLOOKUP($A217,'NonXtal_SegEnds_Prot#'!$A:$AL,27,FALSE)</f>
        <v>290</v>
      </c>
      <c r="AA217" s="5">
        <f>VLOOKUP($A217,'NonXtal_SegEnds_Prot#'!$A:$AL,30,FALSE)</f>
        <v>331</v>
      </c>
      <c r="AB217" s="5">
        <f>VLOOKUP($A217,'NonXtal_SegEnds_Prot#'!$A:$AL,33,FALSE)</f>
        <v>366</v>
      </c>
      <c r="AC217" s="5">
        <f>VLOOKUP($A217,'NonXtal_SegEnds_Prot#'!$A:$AL,36,FALSE)</f>
        <v>392</v>
      </c>
      <c r="AD217" s="5">
        <f>VLOOKUP($A217,'NonXtal_SegEnds_Prot#'!$A:$AL,5,FALSE)</f>
        <v>167</v>
      </c>
      <c r="AE217" s="5">
        <f>VLOOKUP($A217,'NonXtal_SegEnds_Prot#'!$A:$AL,8,FALSE)</f>
        <v>171</v>
      </c>
      <c r="AF217" s="5">
        <f>VLOOKUP($A217,'NonXtal_SegEnds_Prot#'!$A:$AL,11,FALSE)</f>
        <v>198</v>
      </c>
      <c r="AG217" s="5" t="str">
        <f>VLOOKUP($A217,'NonXtal_SegEnds_Prot#'!$A:$AL,14,FALSE)</f>
        <v>-</v>
      </c>
      <c r="AH217" s="5">
        <f>VLOOKUP($A217,'NonXtal_SegEnds_Prot#'!$A:$AL,17,FALSE)</f>
        <v>246</v>
      </c>
      <c r="AI217" s="5" t="str">
        <f>VLOOKUP($A217,'NonXtal_SegEnds_Prot#'!$A:$AL,20,FALSE)</f>
        <v>-</v>
      </c>
      <c r="AJ217" s="5">
        <f>VLOOKUP($A217,'NonXtal_SegEnds_Prot#'!$A:$AL,23,FALSE)</f>
        <v>281</v>
      </c>
      <c r="AK217" s="5">
        <f>VLOOKUP($A217,'NonXtal_SegEnds_Prot#'!$A:$AL,26,FALSE)</f>
        <v>287</v>
      </c>
      <c r="AL217" s="5">
        <f>VLOOKUP($A217,'NonXtal_SegEnds_Prot#'!$A:$AL,29,FALSE)</f>
        <v>323</v>
      </c>
      <c r="AM217" s="5">
        <f>VLOOKUP($A217,'NonXtal_SegEnds_Prot#'!$A:$AL,32,FALSE)</f>
        <v>359</v>
      </c>
      <c r="AN217" s="5">
        <f>VLOOKUP($A217,'NonXtal_SegEnds_Prot#'!$A:$AL,35,FALSE)</f>
        <v>391</v>
      </c>
      <c r="AO217" s="5">
        <f>VLOOKUP($A217,'NonXtal_SegEnds_Prot#'!$A:$AL,38,FALSE)</f>
        <v>417</v>
      </c>
      <c r="AP217" s="5">
        <f t="shared" si="88"/>
        <v>41</v>
      </c>
      <c r="AQ217" s="4">
        <f t="shared" si="89"/>
        <v>3</v>
      </c>
      <c r="AR217" s="4">
        <f t="shared" si="90"/>
        <v>26</v>
      </c>
      <c r="AS217" s="4" t="str">
        <f t="shared" si="91"/>
        <v>-</v>
      </c>
      <c r="AT217" s="4">
        <f t="shared" si="92"/>
        <v>33</v>
      </c>
      <c r="AU217" s="4" t="str">
        <f t="shared" si="93"/>
        <v>-</v>
      </c>
      <c r="AV217" s="4">
        <f t="shared" si="94"/>
        <v>28</v>
      </c>
      <c r="AW217" s="4">
        <f t="shared" si="95"/>
        <v>2</v>
      </c>
      <c r="AX217" s="4">
        <f t="shared" si="96"/>
        <v>33</v>
      </c>
      <c r="AY217" s="4">
        <f t="shared" si="97"/>
        <v>28</v>
      </c>
      <c r="AZ217" s="4">
        <f t="shared" si="98"/>
        <v>25</v>
      </c>
      <c r="BA217" s="4">
        <f t="shared" si="99"/>
        <v>25</v>
      </c>
    </row>
    <row r="218" spans="1:53" x14ac:dyDescent="0.2">
      <c r="A218" s="1" t="str">
        <f>'NonXtal_SegEnds_Prot#'!A197</f>
        <v>ghrhr_human</v>
      </c>
      <c r="B218" s="1" t="str">
        <f t="shared" si="75"/>
        <v>PVPLELLAEEESYFSTVKIIYTVGHSISIVALFVAITILVALCPRNYVHTQLFTTFILKAGAVFLKDAAVLCKVSVAASHFATMTNFSWLLAEAVYLNCLLASRAFWWLVLAGWGLPVLFTGTWVSCKLAFETSPYWWIIKGPIVLSVGVNFGLFLNIIRILVRKLHTQSQYWRLSKSTLFLIPLFGIHYIIFNFLGIRLPLELGLGSFQGFIVAILYCFLNQEVRTEISRKWHGHDPELLPAWRTR</v>
      </c>
      <c r="C218" s="72" t="str">
        <f>IF(ISERROR(MATCH(A218,'Xtal_SegEnds_Prot#'!B:B, 0)), "NoXtal", "Xtal")</f>
        <v>NoXtal</v>
      </c>
      <c r="D218" s="4" t="str">
        <f>VLOOKUP(A218,Classification!A:D,2,FALSE)</f>
        <v>B1</v>
      </c>
      <c r="E218" s="5" t="str">
        <f>VLOOKUP(A218,Seqs!A:B,2,FALSE)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218" s="5" t="str">
        <f t="shared" si="76"/>
        <v>PVPLELLAEEESYFSTVKIIYTVGHSISIVALFVAITILVAL</v>
      </c>
      <c r="G218" s="4" t="str">
        <f t="shared" si="77"/>
        <v>RRLH</v>
      </c>
      <c r="H218" s="4" t="str">
        <f t="shared" si="78"/>
        <v>CPRNYVHTQLFTTFILKAGAVFLKDAA</v>
      </c>
      <c r="I218" s="4" t="str">
        <f t="shared" si="79"/>
        <v/>
      </c>
      <c r="J218" s="4" t="str">
        <f t="shared" si="80"/>
        <v>VLCKVSVAASHFATMTNFSWLLAEAVYLNCLLAS</v>
      </c>
      <c r="K218" s="4" t="str">
        <f t="shared" si="81"/>
        <v/>
      </c>
      <c r="L218" s="4" t="str">
        <f t="shared" si="82"/>
        <v>RAFWWLVLAGWGLPVLFTGTWVSCKLAFE</v>
      </c>
      <c r="M218" s="4" t="str">
        <f t="shared" si="83"/>
        <v>CWD</v>
      </c>
      <c r="N218" s="4" t="str">
        <f t="shared" si="84"/>
        <v>TSPYWWIIKGPIVLSVGVNFGLFLNIIRILVRKL</v>
      </c>
      <c r="O218" s="4" t="str">
        <f t="shared" si="85"/>
        <v>HTQSQYWRLSKSTLFLIPLFGIHYIIFNF</v>
      </c>
      <c r="P218" s="4" t="str">
        <f t="shared" si="86"/>
        <v>LGIRLPLELGLGSFQGFIVAILYCFL</v>
      </c>
      <c r="Q218" s="4" t="str">
        <f t="shared" si="87"/>
        <v>NQEVRTEISRKWHGHDPELLPAWRTR</v>
      </c>
      <c r="R218" s="5">
        <f>VLOOKUP($A218,'NonXtal_SegEnds_Prot#'!$A:$AL,3,FALSE)</f>
        <v>113</v>
      </c>
      <c r="S218" s="5">
        <f>VLOOKUP($A218,'NonXtal_SegEnds_Prot#'!$A:$AL,6,FALSE)</f>
        <v>155</v>
      </c>
      <c r="T218" s="5">
        <f>VLOOKUP($A218,'NonXtal_SegEnds_Prot#'!$A:$AL,9,FALSE)</f>
        <v>159</v>
      </c>
      <c r="U218" s="5" t="str">
        <f>VLOOKUP($A218,'NonXtal_SegEnds_Prot#'!$A:$AL,12,FALSE)</f>
        <v>-</v>
      </c>
      <c r="V218" s="5">
        <f>VLOOKUP($A218,'NonXtal_SegEnds_Prot#'!$A:$AL,15,FALSE)</f>
        <v>200</v>
      </c>
      <c r="W218" s="5" t="str">
        <f>VLOOKUP($A218,'NonXtal_SegEnds_Prot#'!$A:$AL,18,FALSE)</f>
        <v>-</v>
      </c>
      <c r="X218" s="5">
        <f>VLOOKUP($A218,'NonXtal_SegEnds_Prot#'!$A:$AL,21,FALSE)</f>
        <v>240</v>
      </c>
      <c r="Y218" s="5">
        <f>VLOOKUP($A218,'NonXtal_SegEnds_Prot#'!$A:$AL,24,FALSE)</f>
        <v>272</v>
      </c>
      <c r="Z218" s="5">
        <f>VLOOKUP($A218,'NonXtal_SegEnds_Prot#'!$A:$AL,27,FALSE)</f>
        <v>278</v>
      </c>
      <c r="AA218" s="5">
        <f>VLOOKUP($A218,'NonXtal_SegEnds_Prot#'!$A:$AL,30,FALSE)</f>
        <v>319</v>
      </c>
      <c r="AB218" s="5">
        <f>VLOOKUP($A218,'NonXtal_SegEnds_Prot#'!$A:$AL,33,FALSE)</f>
        <v>354</v>
      </c>
      <c r="AC218" s="5">
        <f>VLOOKUP($A218,'NonXtal_SegEnds_Prot#'!$A:$AL,36,FALSE)</f>
        <v>380</v>
      </c>
      <c r="AD218" s="5">
        <f>VLOOKUP($A218,'NonXtal_SegEnds_Prot#'!$A:$AL,5,FALSE)</f>
        <v>154</v>
      </c>
      <c r="AE218" s="5">
        <f>VLOOKUP($A218,'NonXtal_SegEnds_Prot#'!$A:$AL,8,FALSE)</f>
        <v>158</v>
      </c>
      <c r="AF218" s="5">
        <f>VLOOKUP($A218,'NonXtal_SegEnds_Prot#'!$A:$AL,11,FALSE)</f>
        <v>185</v>
      </c>
      <c r="AG218" s="5" t="str">
        <f>VLOOKUP($A218,'NonXtal_SegEnds_Prot#'!$A:$AL,14,FALSE)</f>
        <v>-</v>
      </c>
      <c r="AH218" s="5">
        <f>VLOOKUP($A218,'NonXtal_SegEnds_Prot#'!$A:$AL,17,FALSE)</f>
        <v>233</v>
      </c>
      <c r="AI218" s="5" t="str">
        <f>VLOOKUP($A218,'NonXtal_SegEnds_Prot#'!$A:$AL,20,FALSE)</f>
        <v>-</v>
      </c>
      <c r="AJ218" s="5">
        <f>VLOOKUP($A218,'NonXtal_SegEnds_Prot#'!$A:$AL,23,FALSE)</f>
        <v>268</v>
      </c>
      <c r="AK218" s="5">
        <f>VLOOKUP($A218,'NonXtal_SegEnds_Prot#'!$A:$AL,26,FALSE)</f>
        <v>274</v>
      </c>
      <c r="AL218" s="5">
        <f>VLOOKUP($A218,'NonXtal_SegEnds_Prot#'!$A:$AL,29,FALSE)</f>
        <v>311</v>
      </c>
      <c r="AM218" s="5">
        <f>VLOOKUP($A218,'NonXtal_SegEnds_Prot#'!$A:$AL,32,FALSE)</f>
        <v>347</v>
      </c>
      <c r="AN218" s="5">
        <f>VLOOKUP($A218,'NonXtal_SegEnds_Prot#'!$A:$AL,35,FALSE)</f>
        <v>379</v>
      </c>
      <c r="AO218" s="5">
        <f>VLOOKUP($A218,'NonXtal_SegEnds_Prot#'!$A:$AL,38,FALSE)</f>
        <v>405</v>
      </c>
      <c r="AP218" s="5">
        <f t="shared" si="88"/>
        <v>41</v>
      </c>
      <c r="AQ218" s="4">
        <f t="shared" si="89"/>
        <v>3</v>
      </c>
      <c r="AR218" s="4">
        <f t="shared" si="90"/>
        <v>26</v>
      </c>
      <c r="AS218" s="4" t="str">
        <f t="shared" si="91"/>
        <v>-</v>
      </c>
      <c r="AT218" s="4">
        <f t="shared" si="92"/>
        <v>33</v>
      </c>
      <c r="AU218" s="4" t="str">
        <f t="shared" si="93"/>
        <v>-</v>
      </c>
      <c r="AV218" s="4">
        <f t="shared" si="94"/>
        <v>28</v>
      </c>
      <c r="AW218" s="4">
        <f t="shared" si="95"/>
        <v>2</v>
      </c>
      <c r="AX218" s="4">
        <f t="shared" si="96"/>
        <v>33</v>
      </c>
      <c r="AY218" s="4">
        <f t="shared" si="97"/>
        <v>28</v>
      </c>
      <c r="AZ218" s="4">
        <f t="shared" si="98"/>
        <v>25</v>
      </c>
      <c r="BA218" s="4">
        <f t="shared" si="99"/>
        <v>25</v>
      </c>
    </row>
    <row r="219" spans="1:53" x14ac:dyDescent="0.2">
      <c r="A219" s="1" t="str">
        <f>'NonXtal_SegEnds_Prot#'!A199</f>
        <v>gp156_human</v>
      </c>
      <c r="B219" s="1" t="str">
        <f t="shared" si="75"/>
        <v>VLLGIVWTFLSCGLLLILFFLAFTIHCSPNLNIVTLLGSCLTYSSAYLFGETLIQTRLSMLCIGTSLVFGPILGKSWRLYKVFDLQLLGLVAALLMADVILLMTWVLTDDVWIALIWGCKGLLLLYGAYLAGLTSLTIMVGVNLLVLAAGLLFVVTRYLVFGLTSGGIFVCTTTINCFIFIPQLKQWKAFEEENQTIRRMAK</v>
      </c>
      <c r="C219" s="72" t="str">
        <f>IF(ISERROR(MATCH(A219,'Xtal_SegEnds_Prot#'!B:B, 0)), "NoXtal", "Xtal")</f>
        <v>NoXtal</v>
      </c>
      <c r="D219" s="4" t="str">
        <f>VLOOKUP(A219,Classification!A:D,2,FALSE)</f>
        <v>C</v>
      </c>
      <c r="E219" s="5" t="str">
        <f>VLOOKUP(A219,Seqs!A:B,2,FALSE)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219" s="5" t="str">
        <f t="shared" si="76"/>
        <v>VLLGIVWTFLSCGLLLILFFLAFTIHC</v>
      </c>
      <c r="G219" s="4" t="str">
        <f t="shared" si="77"/>
        <v>NRIVKMS</v>
      </c>
      <c r="H219" s="4" t="str">
        <f t="shared" si="78"/>
        <v>SPNLNIVTLLGSCLTYSSAYLFG</v>
      </c>
      <c r="I219" s="4" t="str">
        <f t="shared" si="79"/>
        <v/>
      </c>
      <c r="J219" s="4" t="str">
        <f t="shared" si="80"/>
        <v>ETLIQTRLSMLCIGTSLVFGPILGKSWRLYKVF</v>
      </c>
      <c r="K219" s="4" t="str">
        <f t="shared" si="81"/>
        <v/>
      </c>
      <c r="L219" s="4" t="str">
        <f t="shared" si="82"/>
        <v>DLQLLGLVAALLMADVILLMTWVLTD</v>
      </c>
      <c r="M219" s="4" t="str">
        <f t="shared" si="83"/>
        <v/>
      </c>
      <c r="N219" s="4" t="str">
        <f t="shared" si="84"/>
        <v>DVWIALIWGCKGLLLLYGAYLAGLT</v>
      </c>
      <c r="O219" s="4" t="str">
        <f t="shared" si="85"/>
        <v>SLTIMVGVNLLVLAAGLLFVVTRYL</v>
      </c>
      <c r="P219" s="4" t="str">
        <f t="shared" si="86"/>
        <v>VFGLTSGGIFVCTTTINCFIFIPQLKQWKA</v>
      </c>
      <c r="Q219" s="4" t="str">
        <f t="shared" si="87"/>
        <v>FEEENQTIRRMAK</v>
      </c>
      <c r="R219" s="5">
        <f>VLOOKUP($A219,'NonXtal_SegEnds_Prot#'!$A:$AL,3,FALSE)</f>
        <v>48</v>
      </c>
      <c r="S219" s="5">
        <f>VLOOKUP($A219,'NonXtal_SegEnds_Prot#'!$A:$AL,6,FALSE)</f>
        <v>77</v>
      </c>
      <c r="T219" s="5">
        <f>VLOOKUP($A219,'NonXtal_SegEnds_Prot#'!$A:$AL,9,FALSE)</f>
        <v>84</v>
      </c>
      <c r="U219" s="5" t="str">
        <f>VLOOKUP($A219,'NonXtal_SegEnds_Prot#'!$A:$AL,12,FALSE)</f>
        <v>-</v>
      </c>
      <c r="V219" s="5">
        <f>VLOOKUP($A219,'NonXtal_SegEnds_Prot#'!$A:$AL,15,FALSE)</f>
        <v>117</v>
      </c>
      <c r="W219" s="5" t="str">
        <f>VLOOKUP($A219,'NonXtal_SegEnds_Prot#'!$A:$AL,18,FALSE)</f>
        <v>-</v>
      </c>
      <c r="X219" s="5">
        <f>VLOOKUP($A219,'NonXtal_SegEnds_Prot#'!$A:$AL,21,FALSE)</f>
        <v>162</v>
      </c>
      <c r="Y219" s="5" t="str">
        <f>VLOOKUP($A219,'NonXtal_SegEnds_Prot#'!$A:$AL,24,FALSE)</f>
        <v>-</v>
      </c>
      <c r="Z219" s="5">
        <f>VLOOKUP($A219,'NonXtal_SegEnds_Prot#'!$A:$AL,27,FALSE)</f>
        <v>222</v>
      </c>
      <c r="AA219" s="5">
        <f>VLOOKUP($A219,'NonXtal_SegEnds_Prot#'!$A:$AL,30,FALSE)</f>
        <v>257</v>
      </c>
      <c r="AB219" s="5">
        <f>VLOOKUP($A219,'NonXtal_SegEnds_Prot#'!$A:$AL,33,FALSE)</f>
        <v>288</v>
      </c>
      <c r="AC219" s="5">
        <f>VLOOKUP($A219,'NonXtal_SegEnds_Prot#'!$A:$AL,36,FALSE)</f>
        <v>318</v>
      </c>
      <c r="AD219" s="5">
        <f>VLOOKUP($A219,'NonXtal_SegEnds_Prot#'!$A:$AL,5,FALSE)</f>
        <v>74</v>
      </c>
      <c r="AE219" s="5">
        <f>VLOOKUP($A219,'NonXtal_SegEnds_Prot#'!$A:$AL,8,FALSE)</f>
        <v>83</v>
      </c>
      <c r="AF219" s="5">
        <f>VLOOKUP($A219,'NonXtal_SegEnds_Prot#'!$A:$AL,11,FALSE)</f>
        <v>106</v>
      </c>
      <c r="AG219" s="5" t="str">
        <f>VLOOKUP($A219,'NonXtal_SegEnds_Prot#'!$A:$AL,14,FALSE)</f>
        <v>-</v>
      </c>
      <c r="AH219" s="5">
        <f>VLOOKUP($A219,'NonXtal_SegEnds_Prot#'!$A:$AL,17,FALSE)</f>
        <v>149</v>
      </c>
      <c r="AI219" s="5" t="str">
        <f>VLOOKUP($A219,'NonXtal_SegEnds_Prot#'!$A:$AL,20,FALSE)</f>
        <v>-</v>
      </c>
      <c r="AJ219" s="5">
        <f>VLOOKUP($A219,'NonXtal_SegEnds_Prot#'!$A:$AL,23,FALSE)</f>
        <v>187</v>
      </c>
      <c r="AK219" s="5" t="str">
        <f>VLOOKUP($A219,'NonXtal_SegEnds_Prot#'!$A:$AL,26,FALSE)</f>
        <v>-</v>
      </c>
      <c r="AL219" s="5">
        <f>VLOOKUP($A219,'NonXtal_SegEnds_Prot#'!$A:$AL,29,FALSE)</f>
        <v>246</v>
      </c>
      <c r="AM219" s="5">
        <f>VLOOKUP($A219,'NonXtal_SegEnds_Prot#'!$A:$AL,32,FALSE)</f>
        <v>281</v>
      </c>
      <c r="AN219" s="5">
        <f>VLOOKUP($A219,'NonXtal_SegEnds_Prot#'!$A:$AL,35,FALSE)</f>
        <v>317</v>
      </c>
      <c r="AO219" s="5">
        <f>VLOOKUP($A219,'NonXtal_SegEnds_Prot#'!$A:$AL,38,FALSE)</f>
        <v>330</v>
      </c>
      <c r="AP219" s="5">
        <f t="shared" si="88"/>
        <v>26</v>
      </c>
      <c r="AQ219" s="4">
        <f t="shared" si="89"/>
        <v>6</v>
      </c>
      <c r="AR219" s="4">
        <f t="shared" si="90"/>
        <v>22</v>
      </c>
      <c r="AS219" s="4" t="str">
        <f t="shared" si="91"/>
        <v>-</v>
      </c>
      <c r="AT219" s="4">
        <f t="shared" si="92"/>
        <v>32</v>
      </c>
      <c r="AU219" s="4" t="str">
        <f t="shared" si="93"/>
        <v>-</v>
      </c>
      <c r="AV219" s="4">
        <f t="shared" si="94"/>
        <v>25</v>
      </c>
      <c r="AW219" s="4" t="str">
        <f t="shared" si="95"/>
        <v>-</v>
      </c>
      <c r="AX219" s="4">
        <f t="shared" si="96"/>
        <v>24</v>
      </c>
      <c r="AY219" s="4">
        <f t="shared" si="97"/>
        <v>24</v>
      </c>
      <c r="AZ219" s="4">
        <f t="shared" si="98"/>
        <v>29</v>
      </c>
      <c r="BA219" s="4">
        <f t="shared" si="99"/>
        <v>12</v>
      </c>
    </row>
    <row r="220" spans="1:53" x14ac:dyDescent="0.2">
      <c r="A220" s="1" t="str">
        <f>'NonXtal_SegEnds_Prot#'!A200</f>
        <v>gpc5d_human</v>
      </c>
      <c r="B220" s="1" t="str">
        <f t="shared" si="75"/>
        <v>PWGIILESLAILGIVVTILLLLAFLFLSQWNVLPTQLLFLLSVLGLFGLAFAFIQQTAPVRYFLFGVLFALCFSCLLAHASNLVKLVWTTILCIAIGCSLLQIIIATEYVTLINVDFVVLLVYVLFLMALTFFVSKATHGRLIFITVLFSIIIWVVWISMLLRDDPVVCIALVTNAWVFLLLYIVPELCILYRCRQECPLQGNACP</v>
      </c>
      <c r="C220" s="72" t="str">
        <f>IF(ISERROR(MATCH(A220,'Xtal_SegEnds_Prot#'!B:B, 0)), "NoXtal", "Xtal")</f>
        <v>NoXtal</v>
      </c>
      <c r="D220" s="4" t="str">
        <f>VLOOKUP(A220,Classification!A:D,2,FALSE)</f>
        <v>C</v>
      </c>
      <c r="E220" s="5" t="str">
        <f>VLOOKUP(A220,Seqs!A:B,2,FALSE)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220" s="5" t="str">
        <f t="shared" si="76"/>
        <v>PWGIILESLAILGIVVTILLLLAFLFL</v>
      </c>
      <c r="G220" s="4" t="str">
        <f t="shared" si="77"/>
        <v>MRKIQDC</v>
      </c>
      <c r="H220" s="4" t="str">
        <f t="shared" si="78"/>
        <v>SQWNVLPTQLLFLLSVLGLFGLAFAFI</v>
      </c>
      <c r="I220" s="4" t="str">
        <f t="shared" si="79"/>
        <v/>
      </c>
      <c r="J220" s="4" t="str">
        <f t="shared" si="80"/>
        <v>QQTAPVRYFLFGVLFALCFSCLLAHASNLVKLV</v>
      </c>
      <c r="K220" s="4" t="str">
        <f t="shared" si="81"/>
        <v/>
      </c>
      <c r="L220" s="4" t="str">
        <f t="shared" si="82"/>
        <v>WTTILCIAIGCSLLQIIIATEYVTLI</v>
      </c>
      <c r="M220" s="4" t="str">
        <f t="shared" si="83"/>
        <v/>
      </c>
      <c r="N220" s="4" t="str">
        <f t="shared" si="84"/>
        <v>NVDFVVLLVYVLFLMALTFFVSKAT</v>
      </c>
      <c r="O220" s="4" t="str">
        <f t="shared" si="85"/>
        <v>HGRLIFITVLFSIIIWVVWISMLLR</v>
      </c>
      <c r="P220" s="4" t="str">
        <f t="shared" si="86"/>
        <v>DDPVVCIALVTNAWVFLLLYIVPELCILYR</v>
      </c>
      <c r="Q220" s="4" t="str">
        <f t="shared" si="87"/>
        <v>CRQECPLQGNACP</v>
      </c>
      <c r="R220" s="5">
        <f>VLOOKUP($A220,'NonXtal_SegEnds_Prot#'!$A:$AL,3,FALSE)</f>
        <v>21</v>
      </c>
      <c r="S220" s="5">
        <f>VLOOKUP($A220,'NonXtal_SegEnds_Prot#'!$A:$AL,6,FALSE)</f>
        <v>48</v>
      </c>
      <c r="T220" s="5">
        <f>VLOOKUP($A220,'NonXtal_SegEnds_Prot#'!$A:$AL,9,FALSE)</f>
        <v>55</v>
      </c>
      <c r="U220" s="5" t="str">
        <f>VLOOKUP($A220,'NonXtal_SegEnds_Prot#'!$A:$AL,12,FALSE)</f>
        <v>-</v>
      </c>
      <c r="V220" s="5">
        <f>VLOOKUP($A220,'NonXtal_SegEnds_Prot#'!$A:$AL,15,FALSE)</f>
        <v>86</v>
      </c>
      <c r="W220" s="5" t="str">
        <f>VLOOKUP($A220,'NonXtal_SegEnds_Prot#'!$A:$AL,18,FALSE)</f>
        <v>-</v>
      </c>
      <c r="X220" s="5">
        <f>VLOOKUP($A220,'NonXtal_SegEnds_Prot#'!$A:$AL,21,FALSE)</f>
        <v>126</v>
      </c>
      <c r="Y220" s="5" t="str">
        <f>VLOOKUP($A220,'NonXtal_SegEnds_Prot#'!$A:$AL,24,FALSE)</f>
        <v>-</v>
      </c>
      <c r="Z220" s="5">
        <f>VLOOKUP($A220,'NonXtal_SegEnds_Prot#'!$A:$AL,27,FALSE)</f>
        <v>167</v>
      </c>
      <c r="AA220" s="5">
        <f>VLOOKUP($A220,'NonXtal_SegEnds_Prot#'!$A:$AL,30,FALSE)</f>
        <v>202</v>
      </c>
      <c r="AB220" s="5">
        <f>VLOOKUP($A220,'NonXtal_SegEnds_Prot#'!$A:$AL,33,FALSE)</f>
        <v>238</v>
      </c>
      <c r="AC220" s="5">
        <f>VLOOKUP($A220,'NonXtal_SegEnds_Prot#'!$A:$AL,36,FALSE)</f>
        <v>269</v>
      </c>
      <c r="AD220" s="5">
        <f>VLOOKUP($A220,'NonXtal_SegEnds_Prot#'!$A:$AL,5,FALSE)</f>
        <v>47</v>
      </c>
      <c r="AE220" s="5">
        <f>VLOOKUP($A220,'NonXtal_SegEnds_Prot#'!$A:$AL,8,FALSE)</f>
        <v>54</v>
      </c>
      <c r="AF220" s="5">
        <f>VLOOKUP($A220,'NonXtal_SegEnds_Prot#'!$A:$AL,11,FALSE)</f>
        <v>81</v>
      </c>
      <c r="AG220" s="5" t="str">
        <f>VLOOKUP($A220,'NonXtal_SegEnds_Prot#'!$A:$AL,14,FALSE)</f>
        <v>-</v>
      </c>
      <c r="AH220" s="5">
        <f>VLOOKUP($A220,'NonXtal_SegEnds_Prot#'!$A:$AL,17,FALSE)</f>
        <v>118</v>
      </c>
      <c r="AI220" s="5" t="str">
        <f>VLOOKUP($A220,'NonXtal_SegEnds_Prot#'!$A:$AL,20,FALSE)</f>
        <v>-</v>
      </c>
      <c r="AJ220" s="5">
        <f>VLOOKUP($A220,'NonXtal_SegEnds_Prot#'!$A:$AL,23,FALSE)</f>
        <v>151</v>
      </c>
      <c r="AK220" s="5" t="str">
        <f>VLOOKUP($A220,'NonXtal_SegEnds_Prot#'!$A:$AL,26,FALSE)</f>
        <v>-</v>
      </c>
      <c r="AL220" s="5">
        <f>VLOOKUP($A220,'NonXtal_SegEnds_Prot#'!$A:$AL,29,FALSE)</f>
        <v>191</v>
      </c>
      <c r="AM220" s="5">
        <f>VLOOKUP($A220,'NonXtal_SegEnds_Prot#'!$A:$AL,32,FALSE)</f>
        <v>226</v>
      </c>
      <c r="AN220" s="5">
        <f>VLOOKUP($A220,'NonXtal_SegEnds_Prot#'!$A:$AL,35,FALSE)</f>
        <v>267</v>
      </c>
      <c r="AO220" s="5">
        <f>VLOOKUP($A220,'NonXtal_SegEnds_Prot#'!$A:$AL,38,FALSE)</f>
        <v>281</v>
      </c>
      <c r="AP220" s="5">
        <f t="shared" si="88"/>
        <v>26</v>
      </c>
      <c r="AQ220" s="4">
        <f t="shared" si="89"/>
        <v>6</v>
      </c>
      <c r="AR220" s="4">
        <f t="shared" si="90"/>
        <v>26</v>
      </c>
      <c r="AS220" s="4" t="str">
        <f t="shared" si="91"/>
        <v>-</v>
      </c>
      <c r="AT220" s="4">
        <f t="shared" si="92"/>
        <v>32</v>
      </c>
      <c r="AU220" s="4" t="str">
        <f t="shared" si="93"/>
        <v>-</v>
      </c>
      <c r="AV220" s="4">
        <f t="shared" si="94"/>
        <v>25</v>
      </c>
      <c r="AW220" s="4" t="str">
        <f t="shared" si="95"/>
        <v>-</v>
      </c>
      <c r="AX220" s="4">
        <f t="shared" si="96"/>
        <v>24</v>
      </c>
      <c r="AY220" s="4">
        <f t="shared" si="97"/>
        <v>24</v>
      </c>
      <c r="AZ220" s="4">
        <f t="shared" si="98"/>
        <v>29</v>
      </c>
      <c r="BA220" s="4">
        <f t="shared" si="99"/>
        <v>12</v>
      </c>
    </row>
    <row r="221" spans="1:53" x14ac:dyDescent="0.2">
      <c r="A221" s="1" t="str">
        <f>'NonXtal_SegEnds_Prot#'!A204</f>
        <v>grm1_human</v>
      </c>
      <c r="B221" s="1" t="str">
        <f t="shared" si="75"/>
        <v>IESIIAIAFSCLGILVTLFVTLIFVLYSRELCYIILAGIFLGYVCPFTLITTSCYLQRLLVGLSSAMCYSALVTKTNRIARILAWAQVIIASILISVQLTLVVTLIIMENLGVVAPLGYNGLLIMSCTYYAFKTEAKYIAFTMYTTCIIWLAFVPIYFGKIITTCFAVSLSVTVALGCMFTPKMYIIIAKPERNVRSAFTTS</v>
      </c>
      <c r="C221" s="72" t="str">
        <f>IF(ISERROR(MATCH(A221,'Xtal_SegEnds_Prot#'!B:B, 0)), "NoXtal", "Xtal")</f>
        <v>Xtal</v>
      </c>
      <c r="D221" s="4" t="str">
        <f>VLOOKUP(A221,Classification!A:D,2,FALSE)</f>
        <v>C</v>
      </c>
      <c r="E221" s="5" t="str">
        <f>VLOOKUP(A221,Seqs!A:B,2,FALSE)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221" s="5" t="str">
        <f t="shared" si="76"/>
        <v>IESIIAIAFSCLGILVTLFVTLIFVLY</v>
      </c>
      <c r="G221" s="4" t="str">
        <f t="shared" si="77"/>
        <v>TPVVKSS</v>
      </c>
      <c r="H221" s="4" t="str">
        <f t="shared" si="78"/>
        <v>SRELCYIILAGIFLGYVCPFTLI</v>
      </c>
      <c r="I221" s="4" t="str">
        <f t="shared" si="79"/>
        <v/>
      </c>
      <c r="J221" s="4" t="str">
        <f t="shared" si="80"/>
        <v>TTSCYLQRLLVGLSSAMCYSALVTKTNRIARIL</v>
      </c>
      <c r="K221" s="4" t="str">
        <f t="shared" si="81"/>
        <v/>
      </c>
      <c r="L221" s="4" t="str">
        <f t="shared" si="82"/>
        <v>AWAQVIIASILISVQLTLVVTLIIME</v>
      </c>
      <c r="M221" s="4" t="str">
        <f t="shared" si="83"/>
        <v>CNT</v>
      </c>
      <c r="N221" s="4" t="str">
        <f t="shared" si="84"/>
        <v>NLGVVAPLGYNGLLIMSCTYYAFKT</v>
      </c>
      <c r="O221" s="4" t="str">
        <f t="shared" si="85"/>
        <v>EAKYIAFTMYTTCIIWLAFVPIYFG</v>
      </c>
      <c r="P221" s="4" t="str">
        <f t="shared" si="86"/>
        <v>KIITTCFAVSLSVTVALGCMFTPKMYIIIA</v>
      </c>
      <c r="Q221" s="4" t="str">
        <f t="shared" si="87"/>
        <v>KPERNVRSAFTTS</v>
      </c>
      <c r="R221" s="5">
        <f>VLOOKUP($A221,'NonXtal_SegEnds_Prot#'!$A:$AL,3,FALSE)</f>
        <v>591</v>
      </c>
      <c r="S221" s="5">
        <f>VLOOKUP($A221,'NonXtal_SegEnds_Prot#'!$A:$AL,6,FALSE)</f>
        <v>620</v>
      </c>
      <c r="T221" s="5">
        <f>VLOOKUP($A221,'NonXtal_SegEnds_Prot#'!$A:$AL,9,FALSE)</f>
        <v>627</v>
      </c>
      <c r="U221" s="5" t="str">
        <f>VLOOKUP($A221,'NonXtal_SegEnds_Prot#'!$A:$AL,12,FALSE)</f>
        <v>-</v>
      </c>
      <c r="V221" s="5">
        <f>VLOOKUP($A221,'NonXtal_SegEnds_Prot#'!$A:$AL,15,FALSE)</f>
        <v>654</v>
      </c>
      <c r="W221" s="5" t="str">
        <f>VLOOKUP($A221,'NonXtal_SegEnds_Prot#'!$A:$AL,18,FALSE)</f>
        <v>-</v>
      </c>
      <c r="X221" s="5">
        <f>VLOOKUP($A221,'NonXtal_SegEnds_Prot#'!$A:$AL,21,FALSE)</f>
        <v>703</v>
      </c>
      <c r="Y221" s="5">
        <f>VLOOKUP($A221,'NonXtal_SegEnds_Prot#'!$A:$AL,24,FALSE)</f>
        <v>746</v>
      </c>
      <c r="Z221" s="5">
        <f>VLOOKUP($A221,'NonXtal_SegEnds_Prot#'!$A:$AL,27,FALSE)</f>
        <v>750</v>
      </c>
      <c r="AA221" s="5">
        <f>VLOOKUP($A221,'NonXtal_SegEnds_Prot#'!$A:$AL,30,FALSE)</f>
        <v>783</v>
      </c>
      <c r="AB221" s="5">
        <f>VLOOKUP($A221,'NonXtal_SegEnds_Prot#'!$A:$AL,33,FALSE)</f>
        <v>811</v>
      </c>
      <c r="AC221" s="5">
        <f>VLOOKUP($A221,'NonXtal_SegEnds_Prot#'!$A:$AL,36,FALSE)</f>
        <v>841</v>
      </c>
      <c r="AD221" s="5">
        <f>VLOOKUP($A221,'NonXtal_SegEnds_Prot#'!$A:$AL,5,FALSE)</f>
        <v>617</v>
      </c>
      <c r="AE221" s="5">
        <f>VLOOKUP($A221,'NonXtal_SegEnds_Prot#'!$A:$AL,8,FALSE)</f>
        <v>626</v>
      </c>
      <c r="AF221" s="5">
        <f>VLOOKUP($A221,'NonXtal_SegEnds_Prot#'!$A:$AL,11,FALSE)</f>
        <v>649</v>
      </c>
      <c r="AG221" s="5" t="str">
        <f>VLOOKUP($A221,'NonXtal_SegEnds_Prot#'!$A:$AL,14,FALSE)</f>
        <v>-</v>
      </c>
      <c r="AH221" s="5">
        <f>VLOOKUP($A221,'NonXtal_SegEnds_Prot#'!$A:$AL,17,FALSE)</f>
        <v>686</v>
      </c>
      <c r="AI221" s="5" t="str">
        <f>VLOOKUP($A221,'NonXtal_SegEnds_Prot#'!$A:$AL,20,FALSE)</f>
        <v>-</v>
      </c>
      <c r="AJ221" s="5">
        <f>VLOOKUP($A221,'NonXtal_SegEnds_Prot#'!$A:$AL,23,FALSE)</f>
        <v>728</v>
      </c>
      <c r="AK221" s="5">
        <f>VLOOKUP($A221,'NonXtal_SegEnds_Prot#'!$A:$AL,26,FALSE)</f>
        <v>748</v>
      </c>
      <c r="AL221" s="5">
        <f>VLOOKUP($A221,'NonXtal_SegEnds_Prot#'!$A:$AL,29,FALSE)</f>
        <v>774</v>
      </c>
      <c r="AM221" s="5">
        <f>VLOOKUP($A221,'NonXtal_SegEnds_Prot#'!$A:$AL,32,FALSE)</f>
        <v>807</v>
      </c>
      <c r="AN221" s="5">
        <f>VLOOKUP($A221,'NonXtal_SegEnds_Prot#'!$A:$AL,35,FALSE)</f>
        <v>840</v>
      </c>
      <c r="AO221" s="5">
        <f>VLOOKUP($A221,'NonXtal_SegEnds_Prot#'!$A:$AL,38,FALSE)</f>
        <v>853</v>
      </c>
      <c r="AP221" s="5">
        <f t="shared" si="88"/>
        <v>26</v>
      </c>
      <c r="AQ221" s="4">
        <f t="shared" si="89"/>
        <v>6</v>
      </c>
      <c r="AR221" s="4">
        <f t="shared" si="90"/>
        <v>22</v>
      </c>
      <c r="AS221" s="4" t="str">
        <f t="shared" si="91"/>
        <v>-</v>
      </c>
      <c r="AT221" s="4">
        <f t="shared" si="92"/>
        <v>32</v>
      </c>
      <c r="AU221" s="4" t="str">
        <f t="shared" si="93"/>
        <v>-</v>
      </c>
      <c r="AV221" s="4">
        <f t="shared" si="94"/>
        <v>25</v>
      </c>
      <c r="AW221" s="4">
        <f t="shared" si="95"/>
        <v>2</v>
      </c>
      <c r="AX221" s="4">
        <f t="shared" si="96"/>
        <v>24</v>
      </c>
      <c r="AY221" s="4">
        <f t="shared" si="97"/>
        <v>24</v>
      </c>
      <c r="AZ221" s="4">
        <f t="shared" si="98"/>
        <v>29</v>
      </c>
      <c r="BA221" s="4">
        <f t="shared" si="99"/>
        <v>12</v>
      </c>
    </row>
    <row r="222" spans="1:53" x14ac:dyDescent="0.2">
      <c r="A222" s="1" t="str">
        <f>'NonXtal_SegEnds_Prot#'!A205</f>
        <v>gpc6a_human</v>
      </c>
      <c r="B222" s="1" t="str">
        <f t="shared" si="75"/>
        <v>SLAILLLILSLLGIIFVLVVGIIFTRNGGLRVCYVILLCHFLNFASTSFFIDFTCKTRQTMFGVSFTLCISCILTKSLKILLAFLYRPILIIFTCTGIQVVICTLWLIFAILAFGTMLGYIAILAFICFIFAFKGEAKFITFGMLIYFIAWITFIPIYATVPAVEIIVILISNYGILYCTFIPKCYVIICKQEINTKSAFLKM</v>
      </c>
      <c r="C222" s="72" t="str">
        <f>IF(ISERROR(MATCH(A222,'Xtal_SegEnds_Prot#'!B:B, 0)), "NoXtal", "Xtal")</f>
        <v>NoXtal</v>
      </c>
      <c r="D222" s="4" t="str">
        <f>VLOOKUP(A222,Classification!A:D,2,FALSE)</f>
        <v>C</v>
      </c>
      <c r="E222" s="5" t="str">
        <f>VLOOKUP(A222,Seqs!A:B,2,FALSE)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222" s="5" t="str">
        <f t="shared" si="76"/>
        <v>SLAILLLILSLLGIIFVLVVGIIFTRN</v>
      </c>
      <c r="G222" s="4" t="str">
        <f t="shared" si="77"/>
        <v>TPVVKSS</v>
      </c>
      <c r="H222" s="4" t="str">
        <f t="shared" si="78"/>
        <v>GGLRVCYVILLCHFLNFASTSFFI</v>
      </c>
      <c r="I222" s="4" t="str">
        <f t="shared" si="79"/>
        <v/>
      </c>
      <c r="J222" s="4" t="str">
        <f t="shared" si="80"/>
        <v>DFTCKTRQTMFGVSFTLCISCILTKSLKILLAF</v>
      </c>
      <c r="K222" s="4" t="str">
        <f t="shared" si="81"/>
        <v/>
      </c>
      <c r="L222" s="4" t="str">
        <f t="shared" si="82"/>
        <v>LYRPILIIFTCTGIQVVICTLWLIFA</v>
      </c>
      <c r="M222" s="4" t="str">
        <f t="shared" si="83"/>
        <v>CEE</v>
      </c>
      <c r="N222" s="4" t="str">
        <f t="shared" si="84"/>
        <v>ILAFGTMLGYIAILAFICFIFAFKG</v>
      </c>
      <c r="O222" s="4" t="str">
        <f t="shared" si="85"/>
        <v>EAKFITFGMLIYFIAWITFIPIYAT</v>
      </c>
      <c r="P222" s="4" t="str">
        <f t="shared" si="86"/>
        <v>VPAVEIIVILISNYGILYCTFIPKCYVIIC</v>
      </c>
      <c r="Q222" s="4" t="str">
        <f t="shared" si="87"/>
        <v>KQEINTKSAFLKM</v>
      </c>
      <c r="R222" s="5">
        <f>VLOOKUP($A222,'NonXtal_SegEnds_Prot#'!$A:$AL,3,FALSE)</f>
        <v>592</v>
      </c>
      <c r="S222" s="5">
        <f>VLOOKUP($A222,'NonXtal_SegEnds_Prot#'!$A:$AL,6,FALSE)</f>
        <v>621</v>
      </c>
      <c r="T222" s="5">
        <f>VLOOKUP($A222,'NonXtal_SegEnds_Prot#'!$A:$AL,9,FALSE)</f>
        <v>628</v>
      </c>
      <c r="U222" s="5" t="str">
        <f>VLOOKUP($A222,'NonXtal_SegEnds_Prot#'!$A:$AL,12,FALSE)</f>
        <v>-</v>
      </c>
      <c r="V222" s="5">
        <f>VLOOKUP($A222,'NonXtal_SegEnds_Prot#'!$A:$AL,15,FALSE)</f>
        <v>656</v>
      </c>
      <c r="W222" s="5" t="str">
        <f>VLOOKUP($A222,'NonXtal_SegEnds_Prot#'!$A:$AL,18,FALSE)</f>
        <v>-</v>
      </c>
      <c r="X222" s="5">
        <f>VLOOKUP($A222,'NonXtal_SegEnds_Prot#'!$A:$AL,21,FALSE)</f>
        <v>701</v>
      </c>
      <c r="Y222" s="5">
        <f>VLOOKUP($A222,'NonXtal_SegEnds_Prot#'!$A:$AL,24,FALSE)</f>
        <v>744</v>
      </c>
      <c r="Z222" s="5">
        <f>VLOOKUP($A222,'NonXtal_SegEnds_Prot#'!$A:$AL,27,FALSE)</f>
        <v>749</v>
      </c>
      <c r="AA222" s="5">
        <f>VLOOKUP($A222,'NonXtal_SegEnds_Prot#'!$A:$AL,30,FALSE)</f>
        <v>780</v>
      </c>
      <c r="AB222" s="5">
        <f>VLOOKUP($A222,'NonXtal_SegEnds_Prot#'!$A:$AL,33,FALSE)</f>
        <v>810</v>
      </c>
      <c r="AC222" s="5">
        <f>VLOOKUP($A222,'NonXtal_SegEnds_Prot#'!$A:$AL,36,FALSE)</f>
        <v>840</v>
      </c>
      <c r="AD222" s="5">
        <f>VLOOKUP($A222,'NonXtal_SegEnds_Prot#'!$A:$AL,5,FALSE)</f>
        <v>618</v>
      </c>
      <c r="AE222" s="5">
        <f>VLOOKUP($A222,'NonXtal_SegEnds_Prot#'!$A:$AL,8,FALSE)</f>
        <v>627</v>
      </c>
      <c r="AF222" s="5">
        <f>VLOOKUP($A222,'NonXtal_SegEnds_Prot#'!$A:$AL,11,FALSE)</f>
        <v>651</v>
      </c>
      <c r="AG222" s="5" t="str">
        <f>VLOOKUP($A222,'NonXtal_SegEnds_Prot#'!$A:$AL,14,FALSE)</f>
        <v>-</v>
      </c>
      <c r="AH222" s="5">
        <f>VLOOKUP($A222,'NonXtal_SegEnds_Prot#'!$A:$AL,17,FALSE)</f>
        <v>688</v>
      </c>
      <c r="AI222" s="5" t="str">
        <f>VLOOKUP($A222,'NonXtal_SegEnds_Prot#'!$A:$AL,20,FALSE)</f>
        <v>-</v>
      </c>
      <c r="AJ222" s="5">
        <f>VLOOKUP($A222,'NonXtal_SegEnds_Prot#'!$A:$AL,23,FALSE)</f>
        <v>726</v>
      </c>
      <c r="AK222" s="5">
        <f>VLOOKUP($A222,'NonXtal_SegEnds_Prot#'!$A:$AL,26,FALSE)</f>
        <v>746</v>
      </c>
      <c r="AL222" s="5">
        <f>VLOOKUP($A222,'NonXtal_SegEnds_Prot#'!$A:$AL,29,FALSE)</f>
        <v>773</v>
      </c>
      <c r="AM222" s="5">
        <f>VLOOKUP($A222,'NonXtal_SegEnds_Prot#'!$A:$AL,32,FALSE)</f>
        <v>804</v>
      </c>
      <c r="AN222" s="5">
        <f>VLOOKUP($A222,'NonXtal_SegEnds_Prot#'!$A:$AL,35,FALSE)</f>
        <v>839</v>
      </c>
      <c r="AO222" s="5">
        <f>VLOOKUP($A222,'NonXtal_SegEnds_Prot#'!$A:$AL,38,FALSE)</f>
        <v>852</v>
      </c>
      <c r="AP222" s="5">
        <f t="shared" si="88"/>
        <v>26</v>
      </c>
      <c r="AQ222" s="4">
        <f t="shared" si="89"/>
        <v>6</v>
      </c>
      <c r="AR222" s="4">
        <f t="shared" si="90"/>
        <v>23</v>
      </c>
      <c r="AS222" s="4" t="str">
        <f t="shared" si="91"/>
        <v>-</v>
      </c>
      <c r="AT222" s="4">
        <f t="shared" si="92"/>
        <v>32</v>
      </c>
      <c r="AU222" s="4" t="str">
        <f t="shared" si="93"/>
        <v>-</v>
      </c>
      <c r="AV222" s="4">
        <f t="shared" si="94"/>
        <v>25</v>
      </c>
      <c r="AW222" s="4">
        <f t="shared" si="95"/>
        <v>2</v>
      </c>
      <c r="AX222" s="4">
        <f t="shared" si="96"/>
        <v>24</v>
      </c>
      <c r="AY222" s="4">
        <f t="shared" si="97"/>
        <v>24</v>
      </c>
      <c r="AZ222" s="4">
        <f t="shared" si="98"/>
        <v>29</v>
      </c>
      <c r="BA222" s="4">
        <f t="shared" si="99"/>
        <v>12</v>
      </c>
    </row>
    <row r="223" spans="1:53" x14ac:dyDescent="0.2">
      <c r="A223" s="1" t="str">
        <f>'NonXtal_SegEnds_Prot#'!A206</f>
        <v>ts1r3_human</v>
      </c>
      <c r="B223" s="1" t="str">
        <f t="shared" si="75"/>
        <v>PAVLLLLLLLSLALGLVLAALGLFVHHGGPLACFGLVCLGLVCLSVLLFPPARCLAQQPLSHLPLTGCLSTLFLQAAEIFVESGPWAWLVVLLAMLVEVALCTWYLVAFWVSFGLAHATNATLAFLCFLGTFLVRARGLTFAMLAYFITWVSFVPLLANRPAVQMGALLLCVLGILAAFHLPRCYLLMRQPGLNTPEFFLGG</v>
      </c>
      <c r="C223" s="72" t="str">
        <f>IF(ISERROR(MATCH(A223,'Xtal_SegEnds_Prot#'!B:B, 0)), "NoXtal", "Xtal")</f>
        <v>NoXtal</v>
      </c>
      <c r="D223" s="4" t="str">
        <f>VLOOKUP(A223,Classification!A:D,2,FALSE)</f>
        <v>C</v>
      </c>
      <c r="E223" s="5" t="str">
        <f>VLOOKUP(A223,Seqs!A:B,2,FALSE)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223" s="5" t="str">
        <f t="shared" si="76"/>
        <v>PAVLLLLLLLSLALGLVLAALGLFVHH</v>
      </c>
      <c r="G223" s="4" t="str">
        <f t="shared" si="77"/>
        <v>SPLVQAS</v>
      </c>
      <c r="H223" s="4" t="str">
        <f t="shared" si="78"/>
        <v>GGPLACFGLVCLGLVCLSVLLFP</v>
      </c>
      <c r="I223" s="4" t="str">
        <f t="shared" si="79"/>
        <v/>
      </c>
      <c r="J223" s="4" t="str">
        <f t="shared" si="80"/>
        <v>PARCLAQQPLSHLPLTGCLSTLFLQAAEIFVES</v>
      </c>
      <c r="K223" s="4" t="str">
        <f t="shared" si="81"/>
        <v/>
      </c>
      <c r="L223" s="4" t="str">
        <f t="shared" si="82"/>
        <v>GPWAWLVVLLAMLVEVALCTWYLVAF</v>
      </c>
      <c r="M223" s="4" t="str">
        <f t="shared" si="83"/>
        <v>CRT</v>
      </c>
      <c r="N223" s="4" t="str">
        <f t="shared" si="84"/>
        <v>WVSFGLAHATNATLAFLCFLGTFLV</v>
      </c>
      <c r="O223" s="4" t="str">
        <f t="shared" si="85"/>
        <v>RARGLTFAMLAYFITWVSFVPLLAN</v>
      </c>
      <c r="P223" s="4" t="str">
        <f t="shared" si="86"/>
        <v>RPAVQMGALLLCVLGILAAFHLPRCYLLMR</v>
      </c>
      <c r="Q223" s="4" t="str">
        <f t="shared" si="87"/>
        <v>QPGLNTPEFFLGG</v>
      </c>
      <c r="R223" s="5">
        <f>VLOOKUP($A223,'NonXtal_SegEnds_Prot#'!$A:$AL,3,FALSE)</f>
        <v>567</v>
      </c>
      <c r="S223" s="5">
        <f>VLOOKUP($A223,'NonXtal_SegEnds_Prot#'!$A:$AL,6,FALSE)</f>
        <v>596</v>
      </c>
      <c r="T223" s="5">
        <f>VLOOKUP($A223,'NonXtal_SegEnds_Prot#'!$A:$AL,9,FALSE)</f>
        <v>603</v>
      </c>
      <c r="U223" s="5" t="str">
        <f>VLOOKUP($A223,'NonXtal_SegEnds_Prot#'!$A:$AL,12,FALSE)</f>
        <v>-</v>
      </c>
      <c r="V223" s="5">
        <f>VLOOKUP($A223,'NonXtal_SegEnds_Prot#'!$A:$AL,15,FALSE)</f>
        <v>630</v>
      </c>
      <c r="W223" s="5" t="str">
        <f>VLOOKUP($A223,'NonXtal_SegEnds_Prot#'!$A:$AL,18,FALSE)</f>
        <v>-</v>
      </c>
      <c r="X223" s="5">
        <f>VLOOKUP($A223,'NonXtal_SegEnds_Prot#'!$A:$AL,21,FALSE)</f>
        <v>678</v>
      </c>
      <c r="Y223" s="5">
        <f>VLOOKUP($A223,'NonXtal_SegEnds_Prot#'!$A:$AL,24,FALSE)</f>
        <v>722</v>
      </c>
      <c r="Z223" s="5">
        <f>VLOOKUP($A223,'NonXtal_SegEnds_Prot#'!$A:$AL,27,FALSE)</f>
        <v>727</v>
      </c>
      <c r="AA223" s="5">
        <f>VLOOKUP($A223,'NonXtal_SegEnds_Prot#'!$A:$AL,30,FALSE)</f>
        <v>760</v>
      </c>
      <c r="AB223" s="5">
        <f>VLOOKUP($A223,'NonXtal_SegEnds_Prot#'!$A:$AL,33,FALSE)</f>
        <v>790</v>
      </c>
      <c r="AC223" s="5">
        <f>VLOOKUP($A223,'NonXtal_SegEnds_Prot#'!$A:$AL,36,FALSE)</f>
        <v>820</v>
      </c>
      <c r="AD223" s="5">
        <f>VLOOKUP($A223,'NonXtal_SegEnds_Prot#'!$A:$AL,5,FALSE)</f>
        <v>593</v>
      </c>
      <c r="AE223" s="5">
        <f>VLOOKUP($A223,'NonXtal_SegEnds_Prot#'!$A:$AL,8,FALSE)</f>
        <v>602</v>
      </c>
      <c r="AF223" s="5">
        <f>VLOOKUP($A223,'NonXtal_SegEnds_Prot#'!$A:$AL,11,FALSE)</f>
        <v>625</v>
      </c>
      <c r="AG223" s="5" t="str">
        <f>VLOOKUP($A223,'NonXtal_SegEnds_Prot#'!$A:$AL,14,FALSE)</f>
        <v>-</v>
      </c>
      <c r="AH223" s="5">
        <f>VLOOKUP($A223,'NonXtal_SegEnds_Prot#'!$A:$AL,17,FALSE)</f>
        <v>662</v>
      </c>
      <c r="AI223" s="5" t="str">
        <f>VLOOKUP($A223,'NonXtal_SegEnds_Prot#'!$A:$AL,20,FALSE)</f>
        <v>-</v>
      </c>
      <c r="AJ223" s="5">
        <f>VLOOKUP($A223,'NonXtal_SegEnds_Prot#'!$A:$AL,23,FALSE)</f>
        <v>703</v>
      </c>
      <c r="AK223" s="5">
        <f>VLOOKUP($A223,'NonXtal_SegEnds_Prot#'!$A:$AL,26,FALSE)</f>
        <v>724</v>
      </c>
      <c r="AL223" s="5">
        <f>VLOOKUP($A223,'NonXtal_SegEnds_Prot#'!$A:$AL,29,FALSE)</f>
        <v>751</v>
      </c>
      <c r="AM223" s="5">
        <f>VLOOKUP($A223,'NonXtal_SegEnds_Prot#'!$A:$AL,32,FALSE)</f>
        <v>784</v>
      </c>
      <c r="AN223" s="5">
        <f>VLOOKUP($A223,'NonXtal_SegEnds_Prot#'!$A:$AL,35,FALSE)</f>
        <v>819</v>
      </c>
      <c r="AO223" s="5">
        <f>VLOOKUP($A223,'NonXtal_SegEnds_Prot#'!$A:$AL,38,FALSE)</f>
        <v>832</v>
      </c>
      <c r="AP223" s="5">
        <f t="shared" si="88"/>
        <v>26</v>
      </c>
      <c r="AQ223" s="4">
        <f t="shared" si="89"/>
        <v>6</v>
      </c>
      <c r="AR223" s="4">
        <f t="shared" si="90"/>
        <v>22</v>
      </c>
      <c r="AS223" s="4" t="str">
        <f t="shared" si="91"/>
        <v>-</v>
      </c>
      <c r="AT223" s="4">
        <f t="shared" si="92"/>
        <v>32</v>
      </c>
      <c r="AU223" s="4" t="str">
        <f t="shared" si="93"/>
        <v>-</v>
      </c>
      <c r="AV223" s="4">
        <f t="shared" si="94"/>
        <v>25</v>
      </c>
      <c r="AW223" s="4">
        <f t="shared" si="95"/>
        <v>2</v>
      </c>
      <c r="AX223" s="4">
        <f t="shared" si="96"/>
        <v>24</v>
      </c>
      <c r="AY223" s="4">
        <f t="shared" si="97"/>
        <v>24</v>
      </c>
      <c r="AZ223" s="4">
        <f t="shared" si="98"/>
        <v>29</v>
      </c>
      <c r="BA223" s="4">
        <f t="shared" si="99"/>
        <v>12</v>
      </c>
    </row>
    <row r="224" spans="1:53" x14ac:dyDescent="0.2">
      <c r="A224" s="1" t="str">
        <f>'NonXtal_SegEnds_Prot#'!A207</f>
        <v>ts1r1_human</v>
      </c>
      <c r="B224" s="1" t="str">
        <f t="shared" si="75"/>
        <v>HTSWVLLAANTLLLLLLLGTAGLFAWHGGRLCFLMLGSLAAGSGSLYGFFRPACLLRQALFALGFTIFLSCLTVRSFQLIIIFNHGAGLFVMISSAAQLLICLTWLVVWSLGFILAFLYNGLLSISAFACSYLGEAKCVTFSLLFNFVSWIAFFTTASVLPAANMMAGLSSLSSGFGGYFLPKCYVILCRPDLNSTEHFQAS</v>
      </c>
      <c r="C224" s="72" t="str">
        <f>IF(ISERROR(MATCH(A224,'Xtal_SegEnds_Prot#'!B:B, 0)), "NoXtal", "Xtal")</f>
        <v>NoXtal</v>
      </c>
      <c r="D224" s="4" t="str">
        <f>VLOOKUP(A224,Classification!A:D,2,FALSE)</f>
        <v>C</v>
      </c>
      <c r="E224" s="5" t="str">
        <f>VLOOKUP(A224,Seqs!A:B,2,FALSE)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224" s="5" t="str">
        <f t="shared" si="76"/>
        <v>HTSWVLLAANTLLLLLLLGTAGLFAWH</v>
      </c>
      <c r="G224" s="4" t="str">
        <f t="shared" si="77"/>
        <v>TPVVRSA</v>
      </c>
      <c r="H224" s="4" t="str">
        <f t="shared" si="78"/>
        <v>GGRLCFLMLGSLAAGSGSLYGFF</v>
      </c>
      <c r="I224" s="4" t="str">
        <f t="shared" si="79"/>
        <v/>
      </c>
      <c r="J224" s="4" t="str">
        <f t="shared" si="80"/>
        <v>RPACLLRQALFALGFTIFLSCLTVRSFQLIIIF</v>
      </c>
      <c r="K224" s="4" t="str">
        <f t="shared" si="81"/>
        <v/>
      </c>
      <c r="L224" s="4" t="str">
        <f t="shared" si="82"/>
        <v>NHGAGLFVMISSAAQLLICLTWLVVW</v>
      </c>
      <c r="M224" s="4" t="str">
        <f t="shared" si="83"/>
        <v>CTE</v>
      </c>
      <c r="N224" s="4" t="str">
        <f t="shared" si="84"/>
        <v>SLGFILAFLYNGLLSISAFACSYLG</v>
      </c>
      <c r="O224" s="4" t="str">
        <f t="shared" si="85"/>
        <v>EAKCVTFSLLFNFVSWIAFFTTASV</v>
      </c>
      <c r="P224" s="4" t="str">
        <f t="shared" si="86"/>
        <v>LPAANMMAGLSSLSSGFGGYFLPKCYVILC</v>
      </c>
      <c r="Q224" s="4" t="str">
        <f t="shared" si="87"/>
        <v>RPDLNSTEHFQAS</v>
      </c>
      <c r="R224" s="5">
        <f>VLOOKUP($A224,'NonXtal_SegEnds_Prot#'!$A:$AL,3,FALSE)</f>
        <v>565</v>
      </c>
      <c r="S224" s="5">
        <f>VLOOKUP($A224,'NonXtal_SegEnds_Prot#'!$A:$AL,6,FALSE)</f>
        <v>594</v>
      </c>
      <c r="T224" s="5">
        <f>VLOOKUP($A224,'NonXtal_SegEnds_Prot#'!$A:$AL,9,FALSE)</f>
        <v>601</v>
      </c>
      <c r="U224" s="5" t="str">
        <f>VLOOKUP($A224,'NonXtal_SegEnds_Prot#'!$A:$AL,12,FALSE)</f>
        <v>-</v>
      </c>
      <c r="V224" s="5">
        <f>VLOOKUP($A224,'NonXtal_SegEnds_Prot#'!$A:$AL,15,FALSE)</f>
        <v>628</v>
      </c>
      <c r="W224" s="5" t="str">
        <f>VLOOKUP($A224,'NonXtal_SegEnds_Prot#'!$A:$AL,18,FALSE)</f>
        <v>-</v>
      </c>
      <c r="X224" s="5">
        <f>VLOOKUP($A224,'NonXtal_SegEnds_Prot#'!$A:$AL,21,FALSE)</f>
        <v>676</v>
      </c>
      <c r="Y224" s="5">
        <f>VLOOKUP($A224,'NonXtal_SegEnds_Prot#'!$A:$AL,24,FALSE)</f>
        <v>720</v>
      </c>
      <c r="Z224" s="5">
        <f>VLOOKUP($A224,'NonXtal_SegEnds_Prot#'!$A:$AL,27,FALSE)</f>
        <v>725</v>
      </c>
      <c r="AA224" s="5">
        <f>VLOOKUP($A224,'NonXtal_SegEnds_Prot#'!$A:$AL,30,FALSE)</f>
        <v>758</v>
      </c>
      <c r="AB224" s="5">
        <f>VLOOKUP($A224,'NonXtal_SegEnds_Prot#'!$A:$AL,33,FALSE)</f>
        <v>788</v>
      </c>
      <c r="AC224" s="5">
        <f>VLOOKUP($A224,'NonXtal_SegEnds_Prot#'!$A:$AL,36,FALSE)</f>
        <v>818</v>
      </c>
      <c r="AD224" s="5">
        <f>VLOOKUP($A224,'NonXtal_SegEnds_Prot#'!$A:$AL,5,FALSE)</f>
        <v>591</v>
      </c>
      <c r="AE224" s="5">
        <f>VLOOKUP($A224,'NonXtal_SegEnds_Prot#'!$A:$AL,8,FALSE)</f>
        <v>600</v>
      </c>
      <c r="AF224" s="5">
        <f>VLOOKUP($A224,'NonXtal_SegEnds_Prot#'!$A:$AL,11,FALSE)</f>
        <v>623</v>
      </c>
      <c r="AG224" s="5" t="str">
        <f>VLOOKUP($A224,'NonXtal_SegEnds_Prot#'!$A:$AL,14,FALSE)</f>
        <v>-</v>
      </c>
      <c r="AH224" s="5">
        <f>VLOOKUP($A224,'NonXtal_SegEnds_Prot#'!$A:$AL,17,FALSE)</f>
        <v>660</v>
      </c>
      <c r="AI224" s="5" t="str">
        <f>VLOOKUP($A224,'NonXtal_SegEnds_Prot#'!$A:$AL,20,FALSE)</f>
        <v>-</v>
      </c>
      <c r="AJ224" s="5">
        <f>VLOOKUP($A224,'NonXtal_SegEnds_Prot#'!$A:$AL,23,FALSE)</f>
        <v>701</v>
      </c>
      <c r="AK224" s="5">
        <f>VLOOKUP($A224,'NonXtal_SegEnds_Prot#'!$A:$AL,26,FALSE)</f>
        <v>722</v>
      </c>
      <c r="AL224" s="5">
        <f>VLOOKUP($A224,'NonXtal_SegEnds_Prot#'!$A:$AL,29,FALSE)</f>
        <v>749</v>
      </c>
      <c r="AM224" s="5">
        <f>VLOOKUP($A224,'NonXtal_SegEnds_Prot#'!$A:$AL,32,FALSE)</f>
        <v>782</v>
      </c>
      <c r="AN224" s="5">
        <f>VLOOKUP($A224,'NonXtal_SegEnds_Prot#'!$A:$AL,35,FALSE)</f>
        <v>817</v>
      </c>
      <c r="AO224" s="5">
        <f>VLOOKUP($A224,'NonXtal_SegEnds_Prot#'!$A:$AL,38,FALSE)</f>
        <v>830</v>
      </c>
      <c r="AP224" s="5">
        <f t="shared" si="88"/>
        <v>26</v>
      </c>
      <c r="AQ224" s="4">
        <f t="shared" si="89"/>
        <v>6</v>
      </c>
      <c r="AR224" s="4">
        <f t="shared" si="90"/>
        <v>22</v>
      </c>
      <c r="AS224" s="4" t="str">
        <f t="shared" si="91"/>
        <v>-</v>
      </c>
      <c r="AT224" s="4">
        <f t="shared" si="92"/>
        <v>32</v>
      </c>
      <c r="AU224" s="4" t="str">
        <f t="shared" si="93"/>
        <v>-</v>
      </c>
      <c r="AV224" s="4">
        <f t="shared" si="94"/>
        <v>25</v>
      </c>
      <c r="AW224" s="4">
        <f t="shared" si="95"/>
        <v>2</v>
      </c>
      <c r="AX224" s="4">
        <f t="shared" si="96"/>
        <v>24</v>
      </c>
      <c r="AY224" s="4">
        <f t="shared" si="97"/>
        <v>24</v>
      </c>
      <c r="AZ224" s="4">
        <f t="shared" si="98"/>
        <v>29</v>
      </c>
      <c r="BA224" s="4">
        <f t="shared" si="99"/>
        <v>12</v>
      </c>
    </row>
    <row r="225" spans="1:53" x14ac:dyDescent="0.2">
      <c r="A225" s="1" t="str">
        <f>'NonXtal_SegEnds_Prot#'!A208</f>
        <v>ts1r2_human</v>
      </c>
      <c r="B225" s="1" t="str">
        <f t="shared" si="75"/>
        <v>APTIAVALLAALGFLSTLAILVIFWRHGGPMCFLMLTLLLVAYMVVPVYVVSTCLCRQALFPLCFTICISCIAVRSFQIVCAFYQGPYVSMAFITVLKMVIVVIGMLATRNSLLFNTSLDLLLSVVGFSFAYMGEAKFITLSMTFYFTSSVSLCTFMSAVTIVDLLVTVLNLLAISLGYFGPKCYMILFYPERNTPAYFNSM</v>
      </c>
      <c r="C225" s="72" t="str">
        <f>IF(ISERROR(MATCH(A225,'Xtal_SegEnds_Prot#'!B:B, 0)), "NoXtal", "Xtal")</f>
        <v>NoXtal</v>
      </c>
      <c r="D225" s="4" t="str">
        <f>VLOOKUP(A225,Classification!A:D,2,FALSE)</f>
        <v>C</v>
      </c>
      <c r="E225" s="5" t="str">
        <f>VLOOKUP(A225,Seqs!A:B,2,FALSE)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225" s="5" t="str">
        <f t="shared" si="76"/>
        <v>APTIAVALLAALGFLSTLAILVIFWRH</v>
      </c>
      <c r="G225" s="4" t="str">
        <f t="shared" si="77"/>
        <v>TPIVRSA</v>
      </c>
      <c r="H225" s="4" t="str">
        <f t="shared" si="78"/>
        <v>GGPMCFLMLTLLLVAYMVVPVYV</v>
      </c>
      <c r="I225" s="4" t="str">
        <f t="shared" si="79"/>
        <v/>
      </c>
      <c r="J225" s="4" t="str">
        <f t="shared" si="80"/>
        <v>VSTCLCRQALFPLCFTICISCIAVRSFQIVCAF</v>
      </c>
      <c r="K225" s="4" t="str">
        <f t="shared" si="81"/>
        <v/>
      </c>
      <c r="L225" s="4" t="str">
        <f t="shared" si="82"/>
        <v>YQGPYVSMAFITVLKMVIVVIGMLAT</v>
      </c>
      <c r="M225" s="4" t="str">
        <f t="shared" si="83"/>
        <v>CNP</v>
      </c>
      <c r="N225" s="4" t="str">
        <f t="shared" si="84"/>
        <v>RNSLLFNTSLDLLLSVVGFSFAYMG</v>
      </c>
      <c r="O225" s="4" t="str">
        <f t="shared" si="85"/>
        <v>EAKFITLSMTFYFTSSVSLCTFMSA</v>
      </c>
      <c r="P225" s="4" t="str">
        <f t="shared" si="86"/>
        <v>VTIVDLLVTVLNLLAISLGYFGPKCYMILF</v>
      </c>
      <c r="Q225" s="4" t="str">
        <f t="shared" si="87"/>
        <v>YPERNTPAYFNSM</v>
      </c>
      <c r="R225" s="5">
        <f>VLOOKUP($A225,'NonXtal_SegEnds_Prot#'!$A:$AL,3,FALSE)</f>
        <v>564</v>
      </c>
      <c r="S225" s="5">
        <f>VLOOKUP($A225,'NonXtal_SegEnds_Prot#'!$A:$AL,6,FALSE)</f>
        <v>593</v>
      </c>
      <c r="T225" s="5">
        <f>VLOOKUP($A225,'NonXtal_SegEnds_Prot#'!$A:$AL,9,FALSE)</f>
        <v>600</v>
      </c>
      <c r="U225" s="5" t="str">
        <f>VLOOKUP($A225,'NonXtal_SegEnds_Prot#'!$A:$AL,12,FALSE)</f>
        <v>-</v>
      </c>
      <c r="V225" s="5">
        <f>VLOOKUP($A225,'NonXtal_SegEnds_Prot#'!$A:$AL,15,FALSE)</f>
        <v>627</v>
      </c>
      <c r="W225" s="5" t="str">
        <f>VLOOKUP($A225,'NonXtal_SegEnds_Prot#'!$A:$AL,18,FALSE)</f>
        <v>-</v>
      </c>
      <c r="X225" s="5">
        <f>VLOOKUP($A225,'NonXtal_SegEnds_Prot#'!$A:$AL,21,FALSE)</f>
        <v>675</v>
      </c>
      <c r="Y225" s="5">
        <f>VLOOKUP($A225,'NonXtal_SegEnds_Prot#'!$A:$AL,24,FALSE)</f>
        <v>720</v>
      </c>
      <c r="Z225" s="5">
        <f>VLOOKUP($A225,'NonXtal_SegEnds_Prot#'!$A:$AL,27,FALSE)</f>
        <v>725</v>
      </c>
      <c r="AA225" s="5">
        <f>VLOOKUP($A225,'NonXtal_SegEnds_Prot#'!$A:$AL,30,FALSE)</f>
        <v>758</v>
      </c>
      <c r="AB225" s="5">
        <f>VLOOKUP($A225,'NonXtal_SegEnds_Prot#'!$A:$AL,33,FALSE)</f>
        <v>788</v>
      </c>
      <c r="AC225" s="5">
        <f>VLOOKUP($A225,'NonXtal_SegEnds_Prot#'!$A:$AL,36,FALSE)</f>
        <v>818</v>
      </c>
      <c r="AD225" s="5">
        <f>VLOOKUP($A225,'NonXtal_SegEnds_Prot#'!$A:$AL,5,FALSE)</f>
        <v>590</v>
      </c>
      <c r="AE225" s="5">
        <f>VLOOKUP($A225,'NonXtal_SegEnds_Prot#'!$A:$AL,8,FALSE)</f>
        <v>599</v>
      </c>
      <c r="AF225" s="5">
        <f>VLOOKUP($A225,'NonXtal_SegEnds_Prot#'!$A:$AL,11,FALSE)</f>
        <v>622</v>
      </c>
      <c r="AG225" s="5" t="str">
        <f>VLOOKUP($A225,'NonXtal_SegEnds_Prot#'!$A:$AL,14,FALSE)</f>
        <v>-</v>
      </c>
      <c r="AH225" s="5">
        <f>VLOOKUP($A225,'NonXtal_SegEnds_Prot#'!$A:$AL,17,FALSE)</f>
        <v>659</v>
      </c>
      <c r="AI225" s="5" t="str">
        <f>VLOOKUP($A225,'NonXtal_SegEnds_Prot#'!$A:$AL,20,FALSE)</f>
        <v>-</v>
      </c>
      <c r="AJ225" s="5">
        <f>VLOOKUP($A225,'NonXtal_SegEnds_Prot#'!$A:$AL,23,FALSE)</f>
        <v>700</v>
      </c>
      <c r="AK225" s="5">
        <f>VLOOKUP($A225,'NonXtal_SegEnds_Prot#'!$A:$AL,26,FALSE)</f>
        <v>722</v>
      </c>
      <c r="AL225" s="5">
        <f>VLOOKUP($A225,'NonXtal_SegEnds_Prot#'!$A:$AL,29,FALSE)</f>
        <v>749</v>
      </c>
      <c r="AM225" s="5">
        <f>VLOOKUP($A225,'NonXtal_SegEnds_Prot#'!$A:$AL,32,FALSE)</f>
        <v>782</v>
      </c>
      <c r="AN225" s="5">
        <f>VLOOKUP($A225,'NonXtal_SegEnds_Prot#'!$A:$AL,35,FALSE)</f>
        <v>817</v>
      </c>
      <c r="AO225" s="5">
        <f>VLOOKUP($A225,'NonXtal_SegEnds_Prot#'!$A:$AL,38,FALSE)</f>
        <v>830</v>
      </c>
      <c r="AP225" s="5">
        <f t="shared" si="88"/>
        <v>26</v>
      </c>
      <c r="AQ225" s="4">
        <f t="shared" si="89"/>
        <v>6</v>
      </c>
      <c r="AR225" s="4">
        <f t="shared" si="90"/>
        <v>22</v>
      </c>
      <c r="AS225" s="4" t="str">
        <f t="shared" si="91"/>
        <v>-</v>
      </c>
      <c r="AT225" s="4">
        <f t="shared" si="92"/>
        <v>32</v>
      </c>
      <c r="AU225" s="4" t="str">
        <f t="shared" si="93"/>
        <v>-</v>
      </c>
      <c r="AV225" s="4">
        <f t="shared" si="94"/>
        <v>25</v>
      </c>
      <c r="AW225" s="4">
        <f t="shared" si="95"/>
        <v>2</v>
      </c>
      <c r="AX225" s="4">
        <f t="shared" si="96"/>
        <v>24</v>
      </c>
      <c r="AY225" s="4">
        <f t="shared" si="97"/>
        <v>24</v>
      </c>
      <c r="AZ225" s="4">
        <f t="shared" si="98"/>
        <v>29</v>
      </c>
      <c r="BA225" s="4">
        <f t="shared" si="99"/>
        <v>12</v>
      </c>
    </row>
    <row r="226" spans="1:53" x14ac:dyDescent="0.2">
      <c r="A226" s="1" t="str">
        <f>'NonXtal_SegEnds_Prot#'!A209</f>
        <v>gp158_human</v>
      </c>
      <c r="B226" s="1" t="str">
        <f t="shared" si="75"/>
        <v>YLRLAIISFQALCMLLDFVSMLVVYHFGLILLETILFGSLLLYFPVVILYTFRCILLRWARLLGFATVYGTVTLKLHRVLKVFRTAQRIPYMTGGRVMRMLAVILLVVFDRWDYMTAVAEFLFLLWGVYLCYAVEPRYMAVAVHNELIISAIFHTIRFVMLMLYFAHTHLTVTVTIGLLLIPKFSHSSNNPRDDIATEAYED</v>
      </c>
      <c r="C226" s="72" t="str">
        <f>IF(ISERROR(MATCH(A226,'Xtal_SegEnds_Prot#'!B:B, 0)), "NoXtal", "Xtal")</f>
        <v>NoXtal</v>
      </c>
      <c r="D226" s="4" t="str">
        <f>VLOOKUP(A226,Classification!A:D,2,FALSE)</f>
        <v>C</v>
      </c>
      <c r="E226" s="5" t="str">
        <f>VLOOKUP(A226,Seqs!A:B,2,FALSE)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226" s="5" t="str">
        <f t="shared" si="76"/>
        <v>YLRLAIISFQALCMLLDFVSMLVVYHF</v>
      </c>
      <c r="G226" s="4" t="str">
        <f t="shared" si="77"/>
        <v>AKSIRAS</v>
      </c>
      <c r="H226" s="4" t="str">
        <f t="shared" si="78"/>
        <v>GLILLETILFGSLLLYFPVVILY</v>
      </c>
      <c r="I226" s="4" t="str">
        <f t="shared" si="79"/>
        <v/>
      </c>
      <c r="J226" s="4" t="str">
        <f t="shared" si="80"/>
        <v>TFRCILLRWARLLGFATVYGTVTLKLHRVLKVF</v>
      </c>
      <c r="K226" s="4" t="str">
        <f t="shared" si="81"/>
        <v/>
      </c>
      <c r="L226" s="4" t="str">
        <f t="shared" si="82"/>
        <v>RTAQRIPYMTGGRVMRMLAVILLVVF</v>
      </c>
      <c r="M226" s="4" t="str">
        <f t="shared" si="83"/>
        <v>CLI</v>
      </c>
      <c r="N226" s="4" t="str">
        <f t="shared" si="84"/>
        <v>DRWDYMTAVAEFLFLLWGVYLCYAV</v>
      </c>
      <c r="O226" s="4" t="str">
        <f t="shared" si="85"/>
        <v>EPRYMAVAVHNELIISAIFHTIRFV</v>
      </c>
      <c r="P226" s="4" t="str">
        <f t="shared" si="86"/>
        <v>MLMLYFAHTHLTVTVTIGLLLIPKFSHSSN</v>
      </c>
      <c r="Q226" s="4" t="str">
        <f t="shared" si="87"/>
        <v>NPRDDIATEAYED</v>
      </c>
      <c r="R226" s="5">
        <f>VLOOKUP($A226,'NonXtal_SegEnds_Prot#'!$A:$AL,3,FALSE)</f>
        <v>415</v>
      </c>
      <c r="S226" s="5">
        <f>VLOOKUP($A226,'NonXtal_SegEnds_Prot#'!$A:$AL,6,FALSE)</f>
        <v>444</v>
      </c>
      <c r="T226" s="5">
        <f>VLOOKUP($A226,'NonXtal_SegEnds_Prot#'!$A:$AL,9,FALSE)</f>
        <v>451</v>
      </c>
      <c r="U226" s="5" t="str">
        <f>VLOOKUP($A226,'NonXtal_SegEnds_Prot#'!$A:$AL,12,FALSE)</f>
        <v>-</v>
      </c>
      <c r="V226" s="5">
        <f>VLOOKUP($A226,'NonXtal_SegEnds_Prot#'!$A:$AL,15,FALSE)</f>
        <v>478</v>
      </c>
      <c r="W226" s="5" t="str">
        <f>VLOOKUP($A226,'NonXtal_SegEnds_Prot#'!$A:$AL,18,FALSE)</f>
        <v>-</v>
      </c>
      <c r="X226" s="5">
        <f>VLOOKUP($A226,'NonXtal_SegEnds_Prot#'!$A:$AL,21,FALSE)</f>
        <v>513</v>
      </c>
      <c r="Y226" s="5">
        <f>VLOOKUP($A226,'NonXtal_SegEnds_Prot#'!$A:$AL,24,FALSE)</f>
        <v>573</v>
      </c>
      <c r="Z226" s="5">
        <f>VLOOKUP($A226,'NonXtal_SegEnds_Prot#'!$A:$AL,27,FALSE)</f>
        <v>576</v>
      </c>
      <c r="AA226" s="5">
        <f>VLOOKUP($A226,'NonXtal_SegEnds_Prot#'!$A:$AL,30,FALSE)</f>
        <v>609</v>
      </c>
      <c r="AB226" s="5">
        <f>VLOOKUP($A226,'NonXtal_SegEnds_Prot#'!$A:$AL,33,FALSE)</f>
        <v>643</v>
      </c>
      <c r="AC226" s="5">
        <f>VLOOKUP($A226,'NonXtal_SegEnds_Prot#'!$A:$AL,36,FALSE)</f>
        <v>673</v>
      </c>
      <c r="AD226" s="5">
        <f>VLOOKUP($A226,'NonXtal_SegEnds_Prot#'!$A:$AL,5,FALSE)</f>
        <v>441</v>
      </c>
      <c r="AE226" s="5">
        <f>VLOOKUP($A226,'NonXtal_SegEnds_Prot#'!$A:$AL,8,FALSE)</f>
        <v>450</v>
      </c>
      <c r="AF226" s="5">
        <f>VLOOKUP($A226,'NonXtal_SegEnds_Prot#'!$A:$AL,11,FALSE)</f>
        <v>473</v>
      </c>
      <c r="AG226" s="5" t="str">
        <f>VLOOKUP($A226,'NonXtal_SegEnds_Prot#'!$A:$AL,14,FALSE)</f>
        <v>-</v>
      </c>
      <c r="AH226" s="5">
        <f>VLOOKUP($A226,'NonXtal_SegEnds_Prot#'!$A:$AL,17,FALSE)</f>
        <v>510</v>
      </c>
      <c r="AI226" s="5" t="str">
        <f>VLOOKUP($A226,'NonXtal_SegEnds_Prot#'!$A:$AL,20,FALSE)</f>
        <v>-</v>
      </c>
      <c r="AJ226" s="5">
        <f>VLOOKUP($A226,'NonXtal_SegEnds_Prot#'!$A:$AL,23,FALSE)</f>
        <v>538</v>
      </c>
      <c r="AK226" s="5">
        <f>VLOOKUP($A226,'NonXtal_SegEnds_Prot#'!$A:$AL,26,FALSE)</f>
        <v>575</v>
      </c>
      <c r="AL226" s="5">
        <f>VLOOKUP($A226,'NonXtal_SegEnds_Prot#'!$A:$AL,29,FALSE)</f>
        <v>600</v>
      </c>
      <c r="AM226" s="5">
        <f>VLOOKUP($A226,'NonXtal_SegEnds_Prot#'!$A:$AL,32,FALSE)</f>
        <v>633</v>
      </c>
      <c r="AN226" s="5">
        <f>VLOOKUP($A226,'NonXtal_SegEnds_Prot#'!$A:$AL,35,FALSE)</f>
        <v>672</v>
      </c>
      <c r="AO226" s="5">
        <f>VLOOKUP($A226,'NonXtal_SegEnds_Prot#'!$A:$AL,38,FALSE)</f>
        <v>685</v>
      </c>
      <c r="AP226" s="5">
        <f t="shared" si="88"/>
        <v>26</v>
      </c>
      <c r="AQ226" s="4">
        <f t="shared" si="89"/>
        <v>6</v>
      </c>
      <c r="AR226" s="4">
        <f t="shared" si="90"/>
        <v>22</v>
      </c>
      <c r="AS226" s="4" t="str">
        <f t="shared" si="91"/>
        <v>-</v>
      </c>
      <c r="AT226" s="4">
        <f t="shared" si="92"/>
        <v>32</v>
      </c>
      <c r="AU226" s="4" t="str">
        <f t="shared" si="93"/>
        <v>-</v>
      </c>
      <c r="AV226" s="4">
        <f t="shared" si="94"/>
        <v>25</v>
      </c>
      <c r="AW226" s="4">
        <f t="shared" si="95"/>
        <v>2</v>
      </c>
      <c r="AX226" s="4">
        <f t="shared" si="96"/>
        <v>24</v>
      </c>
      <c r="AY226" s="4">
        <f t="shared" si="97"/>
        <v>24</v>
      </c>
      <c r="AZ226" s="4">
        <f t="shared" si="98"/>
        <v>29</v>
      </c>
      <c r="BA226" s="4">
        <f t="shared" si="99"/>
        <v>12</v>
      </c>
    </row>
    <row r="227" spans="1:53" x14ac:dyDescent="0.2">
      <c r="A227" s="1" t="str">
        <f>'NonXtal_SegEnds_Prot#'!A210</f>
        <v>gp179_human</v>
      </c>
      <c r="B227" s="1" t="str">
        <f t="shared" si="75"/>
        <v>VLRAAVLACQACCMLAIFLSMLVSYRCGVVLLETVLFGFLLLYFPVFILYVFRCIALRWVRLLGFAIVYGTIILKLYRVLQLFRTAQRSALLSSGRLLRRLGLLLLPVLDRWDYIMVVAELLLLCWGSFLCYATEPRYMGIALHNELLLSAAFHTARFVTLLLFFFHTHSTVTTTLALIFIPKFWKLGAPPREEMVDEVCED</v>
      </c>
      <c r="C227" s="72" t="str">
        <f>IF(ISERROR(MATCH(A227,'Xtal_SegEnds_Prot#'!B:B, 0)), "NoXtal", "Xtal")</f>
        <v>NoXtal</v>
      </c>
      <c r="D227" s="4" t="str">
        <f>VLOOKUP(A227,Classification!A:D,2,FALSE)</f>
        <v>C</v>
      </c>
      <c r="E227" s="5" t="str">
        <f>VLOOKUP(A227,Seqs!A:B,2,FALSE)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227" s="5" t="str">
        <f t="shared" si="76"/>
        <v>VLRAAVLACQACCMLAIFLSMLVSYRC</v>
      </c>
      <c r="G227" s="4" t="str">
        <f t="shared" si="77"/>
        <v>NKRIWAS</v>
      </c>
      <c r="H227" s="4" t="str">
        <f t="shared" si="78"/>
        <v>GVVLLETVLFGFLLLYFPVFILY</v>
      </c>
      <c r="I227" s="4" t="str">
        <f t="shared" si="79"/>
        <v/>
      </c>
      <c r="J227" s="4" t="str">
        <f t="shared" si="80"/>
        <v>VFRCIALRWVRLLGFAIVYGTIILKLYRVLQLF</v>
      </c>
      <c r="K227" s="4" t="str">
        <f t="shared" si="81"/>
        <v/>
      </c>
      <c r="L227" s="4" t="str">
        <f t="shared" si="82"/>
        <v>RTAQRSALLSSGRLLRRLGLLLLPVL</v>
      </c>
      <c r="M227" s="4" t="str">
        <f t="shared" si="83"/>
        <v>CHH</v>
      </c>
      <c r="N227" s="4" t="str">
        <f t="shared" si="84"/>
        <v>DRWDYIMVVAELLLLCWGSFLCYAT</v>
      </c>
      <c r="O227" s="4" t="str">
        <f t="shared" si="85"/>
        <v>EPRYMGIALHNELLLSAAFHTARFV</v>
      </c>
      <c r="P227" s="4" t="str">
        <f t="shared" si="86"/>
        <v>TLLLFFFHTHSTVTTTLALIFIPKFWKLGA</v>
      </c>
      <c r="Q227" s="4" t="str">
        <f t="shared" si="87"/>
        <v>PPREEMVDEVCED</v>
      </c>
      <c r="R227" s="5">
        <f>VLOOKUP($A227,'NonXtal_SegEnds_Prot#'!$A:$AL,3,FALSE)</f>
        <v>379</v>
      </c>
      <c r="S227" s="5">
        <f>VLOOKUP($A227,'NonXtal_SegEnds_Prot#'!$A:$AL,6,FALSE)</f>
        <v>408</v>
      </c>
      <c r="T227" s="5">
        <f>VLOOKUP($A227,'NonXtal_SegEnds_Prot#'!$A:$AL,9,FALSE)</f>
        <v>415</v>
      </c>
      <c r="U227" s="5" t="str">
        <f>VLOOKUP($A227,'NonXtal_SegEnds_Prot#'!$A:$AL,12,FALSE)</f>
        <v>-</v>
      </c>
      <c r="V227" s="5">
        <f>VLOOKUP($A227,'NonXtal_SegEnds_Prot#'!$A:$AL,15,FALSE)</f>
        <v>442</v>
      </c>
      <c r="W227" s="5" t="str">
        <f>VLOOKUP($A227,'NonXtal_SegEnds_Prot#'!$A:$AL,18,FALSE)</f>
        <v>-</v>
      </c>
      <c r="X227" s="5">
        <f>VLOOKUP($A227,'NonXtal_SegEnds_Prot#'!$A:$AL,21,FALSE)</f>
        <v>477</v>
      </c>
      <c r="Y227" s="5">
        <f>VLOOKUP($A227,'NonXtal_SegEnds_Prot#'!$A:$AL,24,FALSE)</f>
        <v>537</v>
      </c>
      <c r="Z227" s="5">
        <f>VLOOKUP($A227,'NonXtal_SegEnds_Prot#'!$A:$AL,27,FALSE)</f>
        <v>540</v>
      </c>
      <c r="AA227" s="5">
        <f>VLOOKUP($A227,'NonXtal_SegEnds_Prot#'!$A:$AL,30,FALSE)</f>
        <v>573</v>
      </c>
      <c r="AB227" s="5">
        <f>VLOOKUP($A227,'NonXtal_SegEnds_Prot#'!$A:$AL,33,FALSE)</f>
        <v>607</v>
      </c>
      <c r="AC227" s="5">
        <f>VLOOKUP($A227,'NonXtal_SegEnds_Prot#'!$A:$AL,36,FALSE)</f>
        <v>637</v>
      </c>
      <c r="AD227" s="5">
        <f>VLOOKUP($A227,'NonXtal_SegEnds_Prot#'!$A:$AL,5,FALSE)</f>
        <v>405</v>
      </c>
      <c r="AE227" s="5">
        <f>VLOOKUP($A227,'NonXtal_SegEnds_Prot#'!$A:$AL,8,FALSE)</f>
        <v>414</v>
      </c>
      <c r="AF227" s="5">
        <f>VLOOKUP($A227,'NonXtal_SegEnds_Prot#'!$A:$AL,11,FALSE)</f>
        <v>437</v>
      </c>
      <c r="AG227" s="5" t="str">
        <f>VLOOKUP($A227,'NonXtal_SegEnds_Prot#'!$A:$AL,14,FALSE)</f>
        <v>-</v>
      </c>
      <c r="AH227" s="5">
        <f>VLOOKUP($A227,'NonXtal_SegEnds_Prot#'!$A:$AL,17,FALSE)</f>
        <v>474</v>
      </c>
      <c r="AI227" s="5" t="str">
        <f>VLOOKUP($A227,'NonXtal_SegEnds_Prot#'!$A:$AL,20,FALSE)</f>
        <v>-</v>
      </c>
      <c r="AJ227" s="5">
        <f>VLOOKUP($A227,'NonXtal_SegEnds_Prot#'!$A:$AL,23,FALSE)</f>
        <v>502</v>
      </c>
      <c r="AK227" s="5">
        <f>VLOOKUP($A227,'NonXtal_SegEnds_Prot#'!$A:$AL,26,FALSE)</f>
        <v>539</v>
      </c>
      <c r="AL227" s="5">
        <f>VLOOKUP($A227,'NonXtal_SegEnds_Prot#'!$A:$AL,29,FALSE)</f>
        <v>564</v>
      </c>
      <c r="AM227" s="5">
        <f>VLOOKUP($A227,'NonXtal_SegEnds_Prot#'!$A:$AL,32,FALSE)</f>
        <v>597</v>
      </c>
      <c r="AN227" s="5">
        <f>VLOOKUP($A227,'NonXtal_SegEnds_Prot#'!$A:$AL,35,FALSE)</f>
        <v>636</v>
      </c>
      <c r="AO227" s="5">
        <f>VLOOKUP($A227,'NonXtal_SegEnds_Prot#'!$A:$AL,38,FALSE)</f>
        <v>649</v>
      </c>
      <c r="AP227" s="5">
        <f t="shared" si="88"/>
        <v>26</v>
      </c>
      <c r="AQ227" s="4">
        <f t="shared" si="89"/>
        <v>6</v>
      </c>
      <c r="AR227" s="4">
        <f t="shared" si="90"/>
        <v>22</v>
      </c>
      <c r="AS227" s="4" t="str">
        <f t="shared" si="91"/>
        <v>-</v>
      </c>
      <c r="AT227" s="4">
        <f t="shared" si="92"/>
        <v>32</v>
      </c>
      <c r="AU227" s="4" t="str">
        <f t="shared" si="93"/>
        <v>-</v>
      </c>
      <c r="AV227" s="4">
        <f t="shared" si="94"/>
        <v>25</v>
      </c>
      <c r="AW227" s="4">
        <f t="shared" si="95"/>
        <v>2</v>
      </c>
      <c r="AX227" s="4">
        <f t="shared" si="96"/>
        <v>24</v>
      </c>
      <c r="AY227" s="4">
        <f t="shared" si="97"/>
        <v>24</v>
      </c>
      <c r="AZ227" s="4">
        <f t="shared" si="98"/>
        <v>29</v>
      </c>
      <c r="BA227" s="4">
        <f t="shared" si="99"/>
        <v>12</v>
      </c>
    </row>
    <row r="228" spans="1:53" x14ac:dyDescent="0.2">
      <c r="A228" s="1" t="str">
        <f>'NonXtal_SegEnds_Prot#'!A211</f>
        <v>gpc5c_human</v>
      </c>
      <c r="B228" s="1" t="str">
        <f t="shared" si="75"/>
        <v>AWGIVLEAVAGAGIVTTFVLTIILVASKKRSLLGTQVFFLLGTLGLFCLVFACVFSTCASRRFLFGVLFAICFSCLAAHVFALNFLAGWVIFTVALLLTLVEVIINTEWLIITNMDFVMALIYVMLLLLGAFLGAWPAHGVFVLLTTATSVAIWVVWIVMYTYDDPTLAIALAANAWAFVLFYVIPEVSQVTKSPEQSYQGDMYPT</v>
      </c>
      <c r="C228" s="72" t="str">
        <f>IF(ISERROR(MATCH(A228,'Xtal_SegEnds_Prot#'!B:B, 0)), "NoXtal", "Xtal")</f>
        <v>NoXtal</v>
      </c>
      <c r="D228" s="4" t="str">
        <f>VLOOKUP(A228,Classification!A:D,2,FALSE)</f>
        <v>C</v>
      </c>
      <c r="E228" s="5" t="str">
        <f>VLOOKUP(A228,Seqs!A:B,2,FALSE)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228" s="5" t="str">
        <f t="shared" si="76"/>
        <v>AWGIVLEAVAGAGIVTTFVLTIILVAS</v>
      </c>
      <c r="G228" s="4" t="str">
        <f t="shared" si="77"/>
        <v>LPFVQDT</v>
      </c>
      <c r="H228" s="4" t="str">
        <f t="shared" si="78"/>
        <v>KKRSLLGTQVFFLLGTLGLFCLVFACV</v>
      </c>
      <c r="I228" s="4" t="str">
        <f t="shared" si="79"/>
        <v/>
      </c>
      <c r="J228" s="4" t="str">
        <f t="shared" si="80"/>
        <v>FSTCASRRFLFGVLFAICFSCLAAHVFALNFLA</v>
      </c>
      <c r="K228" s="4" t="str">
        <f t="shared" si="81"/>
        <v/>
      </c>
      <c r="L228" s="4" t="str">
        <f t="shared" si="82"/>
        <v>GWVIFTVALLLTLVEVIINTEWLIIT</v>
      </c>
      <c r="M228" s="4" t="str">
        <f t="shared" si="83"/>
        <v>CAI</v>
      </c>
      <c r="N228" s="4" t="str">
        <f t="shared" si="84"/>
        <v>NMDFVMALIYVMLLLLGAFLGAWPA</v>
      </c>
      <c r="O228" s="4" t="str">
        <f t="shared" si="85"/>
        <v>HGVFVLLTTATSVAIWVVWIVMYTY</v>
      </c>
      <c r="P228" s="4" t="str">
        <f t="shared" si="86"/>
        <v>DDPTLAIALAANAWAFVLFYVIPEVSQVTK</v>
      </c>
      <c r="Q228" s="4" t="str">
        <f t="shared" si="87"/>
        <v>SPEQSYQGDMYPT</v>
      </c>
      <c r="R228" s="5">
        <f>VLOOKUP($A228,'NonXtal_SegEnds_Prot#'!$A:$AL,3,FALSE)</f>
        <v>48</v>
      </c>
      <c r="S228" s="5">
        <f>VLOOKUP($A228,'NonXtal_SegEnds_Prot#'!$A:$AL,6,FALSE)</f>
        <v>75</v>
      </c>
      <c r="T228" s="5">
        <f>VLOOKUP($A228,'NonXtal_SegEnds_Prot#'!$A:$AL,9,FALSE)</f>
        <v>82</v>
      </c>
      <c r="U228" s="5" t="str">
        <f>VLOOKUP($A228,'NonXtal_SegEnds_Prot#'!$A:$AL,12,FALSE)</f>
        <v>-</v>
      </c>
      <c r="V228" s="5">
        <f>VLOOKUP($A228,'NonXtal_SegEnds_Prot#'!$A:$AL,15,FALSE)</f>
        <v>113</v>
      </c>
      <c r="W228" s="5" t="str">
        <f>VLOOKUP($A228,'NonXtal_SegEnds_Prot#'!$A:$AL,18,FALSE)</f>
        <v>-</v>
      </c>
      <c r="X228" s="5">
        <f>VLOOKUP($A228,'NonXtal_SegEnds_Prot#'!$A:$AL,21,FALSE)</f>
        <v>153</v>
      </c>
      <c r="Y228" s="5">
        <f>VLOOKUP($A228,'NonXtal_SegEnds_Prot#'!$A:$AL,24,FALSE)</f>
        <v>202</v>
      </c>
      <c r="Z228" s="5">
        <f>VLOOKUP($A228,'NonXtal_SegEnds_Prot#'!$A:$AL,27,FALSE)</f>
        <v>206</v>
      </c>
      <c r="AA228" s="5">
        <f>VLOOKUP($A228,'NonXtal_SegEnds_Prot#'!$A:$AL,30,FALSE)</f>
        <v>241</v>
      </c>
      <c r="AB228" s="5">
        <f>VLOOKUP($A228,'NonXtal_SegEnds_Prot#'!$A:$AL,33,FALSE)</f>
        <v>276</v>
      </c>
      <c r="AC228" s="5">
        <f>VLOOKUP($A228,'NonXtal_SegEnds_Prot#'!$A:$AL,36,FALSE)</f>
        <v>307</v>
      </c>
      <c r="AD228" s="5">
        <f>VLOOKUP($A228,'NonXtal_SegEnds_Prot#'!$A:$AL,5,FALSE)</f>
        <v>74</v>
      </c>
      <c r="AE228" s="5">
        <f>VLOOKUP($A228,'NonXtal_SegEnds_Prot#'!$A:$AL,8,FALSE)</f>
        <v>81</v>
      </c>
      <c r="AF228" s="5">
        <f>VLOOKUP($A228,'NonXtal_SegEnds_Prot#'!$A:$AL,11,FALSE)</f>
        <v>108</v>
      </c>
      <c r="AG228" s="5" t="str">
        <f>VLOOKUP($A228,'NonXtal_SegEnds_Prot#'!$A:$AL,14,FALSE)</f>
        <v>-</v>
      </c>
      <c r="AH228" s="5">
        <f>VLOOKUP($A228,'NonXtal_SegEnds_Prot#'!$A:$AL,17,FALSE)</f>
        <v>145</v>
      </c>
      <c r="AI228" s="5" t="str">
        <f>VLOOKUP($A228,'NonXtal_SegEnds_Prot#'!$A:$AL,20,FALSE)</f>
        <v>-</v>
      </c>
      <c r="AJ228" s="5">
        <f>VLOOKUP($A228,'NonXtal_SegEnds_Prot#'!$A:$AL,23,FALSE)</f>
        <v>178</v>
      </c>
      <c r="AK228" s="5">
        <f>VLOOKUP($A228,'NonXtal_SegEnds_Prot#'!$A:$AL,26,FALSE)</f>
        <v>204</v>
      </c>
      <c r="AL228" s="5">
        <f>VLOOKUP($A228,'NonXtal_SegEnds_Prot#'!$A:$AL,29,FALSE)</f>
        <v>230</v>
      </c>
      <c r="AM228" s="5">
        <f>VLOOKUP($A228,'NonXtal_SegEnds_Prot#'!$A:$AL,32,FALSE)</f>
        <v>265</v>
      </c>
      <c r="AN228" s="5">
        <f>VLOOKUP($A228,'NonXtal_SegEnds_Prot#'!$A:$AL,35,FALSE)</f>
        <v>305</v>
      </c>
      <c r="AO228" s="5">
        <f>VLOOKUP($A228,'NonXtal_SegEnds_Prot#'!$A:$AL,38,FALSE)</f>
        <v>319</v>
      </c>
      <c r="AP228" s="5">
        <f t="shared" si="88"/>
        <v>26</v>
      </c>
      <c r="AQ228" s="4">
        <f t="shared" si="89"/>
        <v>6</v>
      </c>
      <c r="AR228" s="4">
        <f t="shared" si="90"/>
        <v>26</v>
      </c>
      <c r="AS228" s="4" t="str">
        <f t="shared" si="91"/>
        <v>-</v>
      </c>
      <c r="AT228" s="4">
        <f t="shared" si="92"/>
        <v>32</v>
      </c>
      <c r="AU228" s="4" t="str">
        <f t="shared" si="93"/>
        <v>-</v>
      </c>
      <c r="AV228" s="4">
        <f t="shared" si="94"/>
        <v>25</v>
      </c>
      <c r="AW228" s="4">
        <f t="shared" si="95"/>
        <v>2</v>
      </c>
      <c r="AX228" s="4">
        <f t="shared" si="96"/>
        <v>24</v>
      </c>
      <c r="AY228" s="4">
        <f t="shared" si="97"/>
        <v>24</v>
      </c>
      <c r="AZ228" s="4">
        <f t="shared" si="98"/>
        <v>29</v>
      </c>
      <c r="BA228" s="4">
        <f t="shared" si="99"/>
        <v>12</v>
      </c>
    </row>
    <row r="229" spans="1:53" x14ac:dyDescent="0.2">
      <c r="A229" s="1" t="str">
        <f>'NonXtal_SegEnds_Prot#'!A214</f>
        <v>grm7_human</v>
      </c>
      <c r="B229" s="1" t="str">
        <f t="shared" si="75"/>
        <v>PWAVIPVFLAMLGIIATIFVMATFIRYGRELSYVLLTGIFLCYIITFLMIVAVCSFRRVFLGLGMCISYAALLTKTNRIYRIFPTSQLAITSSLISVQLLGVFIWFGVDDLQIICSLGYSILLMVTCTVYAIKTEAKPIGFTMYTTCIVWLAFIPIFFGQTTTLTISMNLSASVALGMLYMPKVYIIIFHPELNVQKRKRSF</v>
      </c>
      <c r="C229" s="72" t="str">
        <f>IF(ISERROR(MATCH(A229,'Xtal_SegEnds_Prot#'!B:B, 0)), "NoXtal", "Xtal")</f>
        <v>NoXtal</v>
      </c>
      <c r="D229" s="4" t="str">
        <f>VLOOKUP(A229,Classification!A:D,2,FALSE)</f>
        <v>C</v>
      </c>
      <c r="E229" s="5" t="str">
        <f>VLOOKUP(A229,Seqs!A:B,2,FALSE)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229" s="5" t="str">
        <f t="shared" si="76"/>
        <v>PWAVIPVFLAMLGIIATIFVMATFIRY</v>
      </c>
      <c r="G229" s="4" t="str">
        <f t="shared" si="77"/>
        <v>TPIVRAS</v>
      </c>
      <c r="H229" s="4" t="str">
        <f t="shared" si="78"/>
        <v>GRELSYVLLTGIFLCYIITFLMI</v>
      </c>
      <c r="I229" s="4" t="str">
        <f t="shared" si="79"/>
        <v/>
      </c>
      <c r="J229" s="4" t="str">
        <f t="shared" si="80"/>
        <v>VAVCSFRRVFLGLGMCISYAALLTKTNRIYRIF</v>
      </c>
      <c r="K229" s="4" t="str">
        <f t="shared" si="81"/>
        <v/>
      </c>
      <c r="L229" s="4" t="str">
        <f t="shared" si="82"/>
        <v>PTSQLAITSSLISVQLLGVFIWFGVD</v>
      </c>
      <c r="M229" s="4" t="str">
        <f t="shared" si="83"/>
        <v>CDI</v>
      </c>
      <c r="N229" s="4" t="str">
        <f t="shared" si="84"/>
        <v>DLQIICSLGYSILLMVTCTVYAIKT</v>
      </c>
      <c r="O229" s="4" t="str">
        <f t="shared" si="85"/>
        <v>EAKPIGFTMYTTCIVWLAFIPIFFG</v>
      </c>
      <c r="P229" s="4" t="str">
        <f t="shared" si="86"/>
        <v>QTTTLTISMNLSASVALGMLYMPKVYIIIF</v>
      </c>
      <c r="Q229" s="4" t="str">
        <f t="shared" si="87"/>
        <v>HPELNVQKRKRSF</v>
      </c>
      <c r="R229" s="5">
        <f>VLOOKUP($A229,'NonXtal_SegEnds_Prot#'!$A:$AL,3,FALSE)</f>
        <v>589</v>
      </c>
      <c r="S229" s="5">
        <f>VLOOKUP($A229,'NonXtal_SegEnds_Prot#'!$A:$AL,6,FALSE)</f>
        <v>618</v>
      </c>
      <c r="T229" s="5">
        <f>VLOOKUP($A229,'NonXtal_SegEnds_Prot#'!$A:$AL,9,FALSE)</f>
        <v>625</v>
      </c>
      <c r="U229" s="5" t="str">
        <f>VLOOKUP($A229,'NonXtal_SegEnds_Prot#'!$A:$AL,12,FALSE)</f>
        <v>-</v>
      </c>
      <c r="V229" s="5">
        <f>VLOOKUP($A229,'NonXtal_SegEnds_Prot#'!$A:$AL,15,FALSE)</f>
        <v>652</v>
      </c>
      <c r="W229" s="5" t="str">
        <f>VLOOKUP($A229,'NonXtal_SegEnds_Prot#'!$A:$AL,18,FALSE)</f>
        <v>-</v>
      </c>
      <c r="X229" s="5">
        <f>VLOOKUP($A229,'NonXtal_SegEnds_Prot#'!$A:$AL,21,FALSE)</f>
        <v>699</v>
      </c>
      <c r="Y229" s="5">
        <f>VLOOKUP($A229,'NonXtal_SegEnds_Prot#'!$A:$AL,24,FALSE)</f>
        <v>749</v>
      </c>
      <c r="Z229" s="5">
        <f>VLOOKUP($A229,'NonXtal_SegEnds_Prot#'!$A:$AL,27,FALSE)</f>
        <v>753</v>
      </c>
      <c r="AA229" s="5">
        <f>VLOOKUP($A229,'NonXtal_SegEnds_Prot#'!$A:$AL,30,FALSE)</f>
        <v>786</v>
      </c>
      <c r="AB229" s="5">
        <f>VLOOKUP($A229,'NonXtal_SegEnds_Prot#'!$A:$AL,33,FALSE)</f>
        <v>821</v>
      </c>
      <c r="AC229" s="5">
        <f>VLOOKUP($A229,'NonXtal_SegEnds_Prot#'!$A:$AL,36,FALSE)</f>
        <v>851</v>
      </c>
      <c r="AD229" s="5">
        <f>VLOOKUP($A229,'NonXtal_SegEnds_Prot#'!$A:$AL,5,FALSE)</f>
        <v>615</v>
      </c>
      <c r="AE229" s="5">
        <f>VLOOKUP($A229,'NonXtal_SegEnds_Prot#'!$A:$AL,8,FALSE)</f>
        <v>624</v>
      </c>
      <c r="AF229" s="5">
        <f>VLOOKUP($A229,'NonXtal_SegEnds_Prot#'!$A:$AL,11,FALSE)</f>
        <v>647</v>
      </c>
      <c r="AG229" s="5" t="str">
        <f>VLOOKUP($A229,'NonXtal_SegEnds_Prot#'!$A:$AL,14,FALSE)</f>
        <v>-</v>
      </c>
      <c r="AH229" s="5">
        <f>VLOOKUP($A229,'NonXtal_SegEnds_Prot#'!$A:$AL,17,FALSE)</f>
        <v>684</v>
      </c>
      <c r="AI229" s="5" t="str">
        <f>VLOOKUP($A229,'NonXtal_SegEnds_Prot#'!$A:$AL,20,FALSE)</f>
        <v>-</v>
      </c>
      <c r="AJ229" s="5">
        <f>VLOOKUP($A229,'NonXtal_SegEnds_Prot#'!$A:$AL,23,FALSE)</f>
        <v>724</v>
      </c>
      <c r="AK229" s="5">
        <f>VLOOKUP($A229,'NonXtal_SegEnds_Prot#'!$A:$AL,26,FALSE)</f>
        <v>751</v>
      </c>
      <c r="AL229" s="5">
        <f>VLOOKUP($A229,'NonXtal_SegEnds_Prot#'!$A:$AL,29,FALSE)</f>
        <v>777</v>
      </c>
      <c r="AM229" s="5">
        <f>VLOOKUP($A229,'NonXtal_SegEnds_Prot#'!$A:$AL,32,FALSE)</f>
        <v>810</v>
      </c>
      <c r="AN229" s="5">
        <f>VLOOKUP($A229,'NonXtal_SegEnds_Prot#'!$A:$AL,35,FALSE)</f>
        <v>850</v>
      </c>
      <c r="AO229" s="5">
        <f>VLOOKUP($A229,'NonXtal_SegEnds_Prot#'!$A:$AL,38,FALSE)</f>
        <v>863</v>
      </c>
      <c r="AP229" s="5">
        <f t="shared" si="88"/>
        <v>26</v>
      </c>
      <c r="AQ229" s="4">
        <f t="shared" si="89"/>
        <v>6</v>
      </c>
      <c r="AR229" s="4">
        <f t="shared" si="90"/>
        <v>22</v>
      </c>
      <c r="AS229" s="4" t="str">
        <f t="shared" si="91"/>
        <v>-</v>
      </c>
      <c r="AT229" s="4">
        <f t="shared" si="92"/>
        <v>32</v>
      </c>
      <c r="AU229" s="4" t="str">
        <f t="shared" si="93"/>
        <v>-</v>
      </c>
      <c r="AV229" s="4">
        <f t="shared" si="94"/>
        <v>25</v>
      </c>
      <c r="AW229" s="4">
        <f t="shared" si="95"/>
        <v>2</v>
      </c>
      <c r="AX229" s="4">
        <f t="shared" si="96"/>
        <v>24</v>
      </c>
      <c r="AY229" s="4">
        <f t="shared" si="97"/>
        <v>24</v>
      </c>
      <c r="AZ229" s="4">
        <f t="shared" si="98"/>
        <v>29</v>
      </c>
      <c r="BA229" s="4">
        <f t="shared" si="99"/>
        <v>12</v>
      </c>
    </row>
    <row r="230" spans="1:53" x14ac:dyDescent="0.2">
      <c r="A230" s="1" t="str">
        <f>'NonXtal_SegEnds_Prot#'!A215</f>
        <v>grm4_human</v>
      </c>
      <c r="B230" s="1" t="str">
        <f t="shared" si="75"/>
        <v>PWAVLPLFLAVVGIAATLFVVITFVRYGRELSYVLLAGIFLCYATTFLMILGTCSLRRIFLGLGMSISYAALLTKTNRIYRIFPASQLAITFSLISLQLLGICVWFVVDDLSLICLLGYSMLLMVTCTVYAIKTEAKPIGFTMYTTCIVWLAFIPIFFGQTTTLTVSVSLSASVSLGMLYMPKVYIILFHPEQNVPKRKRSL</v>
      </c>
      <c r="C230" s="72" t="str">
        <f>IF(ISERROR(MATCH(A230,'Xtal_SegEnds_Prot#'!B:B, 0)), "NoXtal", "Xtal")</f>
        <v>NoXtal</v>
      </c>
      <c r="D230" s="4" t="str">
        <f>VLOOKUP(A230,Classification!A:D,2,FALSE)</f>
        <v>C</v>
      </c>
      <c r="E230" s="5" t="str">
        <f>VLOOKUP(A230,Seqs!A:B,2,FALSE)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230" s="5" t="str">
        <f t="shared" si="76"/>
        <v>PWAVLPLFLAVVGIAATLFVVITFVRY</v>
      </c>
      <c r="G230" s="4" t="str">
        <f t="shared" si="77"/>
        <v>TPIVKAS</v>
      </c>
      <c r="H230" s="4" t="str">
        <f t="shared" si="78"/>
        <v>GRELSYVLLAGIFLCYATTFLMI</v>
      </c>
      <c r="I230" s="4" t="str">
        <f t="shared" si="79"/>
        <v/>
      </c>
      <c r="J230" s="4" t="str">
        <f t="shared" si="80"/>
        <v>LGTCSLRRIFLGLGMSISYAALLTKTNRIYRIF</v>
      </c>
      <c r="K230" s="4" t="str">
        <f t="shared" si="81"/>
        <v/>
      </c>
      <c r="L230" s="4" t="str">
        <f t="shared" si="82"/>
        <v>PASQLAITFSLISLQLLGICVWFVVD</v>
      </c>
      <c r="M230" s="4" t="str">
        <f t="shared" si="83"/>
        <v>CDI</v>
      </c>
      <c r="N230" s="4" t="str">
        <f t="shared" si="84"/>
        <v>DLSLICLLGYSMLLMVTCTVYAIKT</v>
      </c>
      <c r="O230" s="4" t="str">
        <f t="shared" si="85"/>
        <v>EAKPIGFTMYTTCIVWLAFIPIFFG</v>
      </c>
      <c r="P230" s="4" t="str">
        <f t="shared" si="86"/>
        <v>QTTTLTVSVSLSASVSLGMLYMPKVYIILF</v>
      </c>
      <c r="Q230" s="4" t="str">
        <f t="shared" si="87"/>
        <v>HPEQNVPKRKRSL</v>
      </c>
      <c r="R230" s="5">
        <f>VLOOKUP($A230,'NonXtal_SegEnds_Prot#'!$A:$AL,3,FALSE)</f>
        <v>586</v>
      </c>
      <c r="S230" s="5">
        <f>VLOOKUP($A230,'NonXtal_SegEnds_Prot#'!$A:$AL,6,FALSE)</f>
        <v>615</v>
      </c>
      <c r="T230" s="5">
        <f>VLOOKUP($A230,'NonXtal_SegEnds_Prot#'!$A:$AL,9,FALSE)</f>
        <v>622</v>
      </c>
      <c r="U230" s="5" t="str">
        <f>VLOOKUP($A230,'NonXtal_SegEnds_Prot#'!$A:$AL,12,FALSE)</f>
        <v>-</v>
      </c>
      <c r="V230" s="5">
        <f>VLOOKUP($A230,'NonXtal_SegEnds_Prot#'!$A:$AL,15,FALSE)</f>
        <v>649</v>
      </c>
      <c r="W230" s="5" t="str">
        <f>VLOOKUP($A230,'NonXtal_SegEnds_Prot#'!$A:$AL,18,FALSE)</f>
        <v>-</v>
      </c>
      <c r="X230" s="5">
        <f>VLOOKUP($A230,'NonXtal_SegEnds_Prot#'!$A:$AL,21,FALSE)</f>
        <v>696</v>
      </c>
      <c r="Y230" s="5">
        <f>VLOOKUP($A230,'NonXtal_SegEnds_Prot#'!$A:$AL,24,FALSE)</f>
        <v>746</v>
      </c>
      <c r="Z230" s="5">
        <f>VLOOKUP($A230,'NonXtal_SegEnds_Prot#'!$A:$AL,27,FALSE)</f>
        <v>750</v>
      </c>
      <c r="AA230" s="5">
        <f>VLOOKUP($A230,'NonXtal_SegEnds_Prot#'!$A:$AL,30,FALSE)</f>
        <v>783</v>
      </c>
      <c r="AB230" s="5">
        <f>VLOOKUP($A230,'NonXtal_SegEnds_Prot#'!$A:$AL,33,FALSE)</f>
        <v>818</v>
      </c>
      <c r="AC230" s="5">
        <f>VLOOKUP($A230,'NonXtal_SegEnds_Prot#'!$A:$AL,36,FALSE)</f>
        <v>848</v>
      </c>
      <c r="AD230" s="5">
        <f>VLOOKUP($A230,'NonXtal_SegEnds_Prot#'!$A:$AL,5,FALSE)</f>
        <v>612</v>
      </c>
      <c r="AE230" s="5">
        <f>VLOOKUP($A230,'NonXtal_SegEnds_Prot#'!$A:$AL,8,FALSE)</f>
        <v>621</v>
      </c>
      <c r="AF230" s="5">
        <f>VLOOKUP($A230,'NonXtal_SegEnds_Prot#'!$A:$AL,11,FALSE)</f>
        <v>644</v>
      </c>
      <c r="AG230" s="5" t="str">
        <f>VLOOKUP($A230,'NonXtal_SegEnds_Prot#'!$A:$AL,14,FALSE)</f>
        <v>-</v>
      </c>
      <c r="AH230" s="5">
        <f>VLOOKUP($A230,'NonXtal_SegEnds_Prot#'!$A:$AL,17,FALSE)</f>
        <v>681</v>
      </c>
      <c r="AI230" s="5" t="str">
        <f>VLOOKUP($A230,'NonXtal_SegEnds_Prot#'!$A:$AL,20,FALSE)</f>
        <v>-</v>
      </c>
      <c r="AJ230" s="5">
        <f>VLOOKUP($A230,'NonXtal_SegEnds_Prot#'!$A:$AL,23,FALSE)</f>
        <v>721</v>
      </c>
      <c r="AK230" s="5">
        <f>VLOOKUP($A230,'NonXtal_SegEnds_Prot#'!$A:$AL,26,FALSE)</f>
        <v>748</v>
      </c>
      <c r="AL230" s="5">
        <f>VLOOKUP($A230,'NonXtal_SegEnds_Prot#'!$A:$AL,29,FALSE)</f>
        <v>774</v>
      </c>
      <c r="AM230" s="5">
        <f>VLOOKUP($A230,'NonXtal_SegEnds_Prot#'!$A:$AL,32,FALSE)</f>
        <v>807</v>
      </c>
      <c r="AN230" s="5">
        <f>VLOOKUP($A230,'NonXtal_SegEnds_Prot#'!$A:$AL,35,FALSE)</f>
        <v>847</v>
      </c>
      <c r="AO230" s="5">
        <f>VLOOKUP($A230,'NonXtal_SegEnds_Prot#'!$A:$AL,38,FALSE)</f>
        <v>860</v>
      </c>
      <c r="AP230" s="5">
        <f t="shared" si="88"/>
        <v>26</v>
      </c>
      <c r="AQ230" s="4">
        <f t="shared" si="89"/>
        <v>6</v>
      </c>
      <c r="AR230" s="4">
        <f t="shared" si="90"/>
        <v>22</v>
      </c>
      <c r="AS230" s="4" t="str">
        <f t="shared" si="91"/>
        <v>-</v>
      </c>
      <c r="AT230" s="4">
        <f t="shared" si="92"/>
        <v>32</v>
      </c>
      <c r="AU230" s="4" t="str">
        <f t="shared" si="93"/>
        <v>-</v>
      </c>
      <c r="AV230" s="4">
        <f t="shared" si="94"/>
        <v>25</v>
      </c>
      <c r="AW230" s="4">
        <f t="shared" si="95"/>
        <v>2</v>
      </c>
      <c r="AX230" s="4">
        <f t="shared" si="96"/>
        <v>24</v>
      </c>
      <c r="AY230" s="4">
        <f t="shared" si="97"/>
        <v>24</v>
      </c>
      <c r="AZ230" s="4">
        <f t="shared" si="98"/>
        <v>29</v>
      </c>
      <c r="BA230" s="4">
        <f t="shared" si="99"/>
        <v>12</v>
      </c>
    </row>
    <row r="231" spans="1:53" x14ac:dyDescent="0.2">
      <c r="A231" s="1" t="str">
        <f>'NonXtal_SegEnds_Prot#'!A216</f>
        <v>grm6_human</v>
      </c>
      <c r="B231" s="1" t="str">
        <f t="shared" si="75"/>
        <v>PWAAPPLLLAVLGIVATTTVVATFVRYGRELSYVLLTGIFLIYAITFLMVAAVCAARRLFLGLGTTLSYSALLTKTNRIYRIFPTSQLVITFSLTSLQVVGMIAWLGARDLSLIGCLGYSLLLMVTCTVYAIKAEAKPIGFTMYTTCIIWLAFVPIFFGQTTTLTVSLSLSASVSLGMLYVPKTYVILFHPEQNVQKRKRSL</v>
      </c>
      <c r="C231" s="72" t="str">
        <f>IF(ISERROR(MATCH(A231,'Xtal_SegEnds_Prot#'!B:B, 0)), "NoXtal", "Xtal")</f>
        <v>NoXtal</v>
      </c>
      <c r="D231" s="4" t="str">
        <f>VLOOKUP(A231,Classification!A:D,2,FALSE)</f>
        <v>C</v>
      </c>
      <c r="E231" s="5" t="str">
        <f>VLOOKUP(A231,Seqs!A:B,2,FALSE)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231" s="5" t="str">
        <f t="shared" si="76"/>
        <v>PWAAPPLLLAVLGIVATTTVVATFVRY</v>
      </c>
      <c r="G231" s="4" t="str">
        <f t="shared" si="77"/>
        <v>TPIVRAS</v>
      </c>
      <c r="H231" s="4" t="str">
        <f t="shared" si="78"/>
        <v>GRELSYVLLTGIFLIYAITFLMV</v>
      </c>
      <c r="I231" s="4" t="str">
        <f t="shared" si="79"/>
        <v/>
      </c>
      <c r="J231" s="4" t="str">
        <f t="shared" si="80"/>
        <v>AAVCAARRLFLGLGTTLSYSALLTKTNRIYRIF</v>
      </c>
      <c r="K231" s="4" t="str">
        <f t="shared" si="81"/>
        <v/>
      </c>
      <c r="L231" s="4" t="str">
        <f t="shared" si="82"/>
        <v>PTSQLVITFSLTSLQVVGMIAWLGAR</v>
      </c>
      <c r="M231" s="4" t="str">
        <f t="shared" si="83"/>
        <v>CDM</v>
      </c>
      <c r="N231" s="4" t="str">
        <f t="shared" si="84"/>
        <v>DLSLIGCLGYSLLLMVTCTVYAIKA</v>
      </c>
      <c r="O231" s="4" t="str">
        <f t="shared" si="85"/>
        <v>EAKPIGFTMYTTCIIWLAFVPIFFG</v>
      </c>
      <c r="P231" s="4" t="str">
        <f t="shared" si="86"/>
        <v>QTTTLTVSLSLSASVSLGMLYVPKTYVILF</v>
      </c>
      <c r="Q231" s="4" t="str">
        <f t="shared" si="87"/>
        <v>HPEQNVQKRKRSL</v>
      </c>
      <c r="R231" s="5">
        <f>VLOOKUP($A231,'NonXtal_SegEnds_Prot#'!$A:$AL,3,FALSE)</f>
        <v>584</v>
      </c>
      <c r="S231" s="5">
        <f>VLOOKUP($A231,'NonXtal_SegEnds_Prot#'!$A:$AL,6,FALSE)</f>
        <v>613</v>
      </c>
      <c r="T231" s="5">
        <f>VLOOKUP($A231,'NonXtal_SegEnds_Prot#'!$A:$AL,9,FALSE)</f>
        <v>620</v>
      </c>
      <c r="U231" s="5" t="str">
        <f>VLOOKUP($A231,'NonXtal_SegEnds_Prot#'!$A:$AL,12,FALSE)</f>
        <v>-</v>
      </c>
      <c r="V231" s="5">
        <f>VLOOKUP($A231,'NonXtal_SegEnds_Prot#'!$A:$AL,15,FALSE)</f>
        <v>647</v>
      </c>
      <c r="W231" s="5" t="str">
        <f>VLOOKUP($A231,'NonXtal_SegEnds_Prot#'!$A:$AL,18,FALSE)</f>
        <v>-</v>
      </c>
      <c r="X231" s="5">
        <f>VLOOKUP($A231,'NonXtal_SegEnds_Prot#'!$A:$AL,21,FALSE)</f>
        <v>694</v>
      </c>
      <c r="Y231" s="5">
        <f>VLOOKUP($A231,'NonXtal_SegEnds_Prot#'!$A:$AL,24,FALSE)</f>
        <v>744</v>
      </c>
      <c r="Z231" s="5">
        <f>VLOOKUP($A231,'NonXtal_SegEnds_Prot#'!$A:$AL,27,FALSE)</f>
        <v>748</v>
      </c>
      <c r="AA231" s="5">
        <f>VLOOKUP($A231,'NonXtal_SegEnds_Prot#'!$A:$AL,30,FALSE)</f>
        <v>781</v>
      </c>
      <c r="AB231" s="5">
        <f>VLOOKUP($A231,'NonXtal_SegEnds_Prot#'!$A:$AL,33,FALSE)</f>
        <v>816</v>
      </c>
      <c r="AC231" s="5">
        <f>VLOOKUP($A231,'NonXtal_SegEnds_Prot#'!$A:$AL,36,FALSE)</f>
        <v>846</v>
      </c>
      <c r="AD231" s="5">
        <f>VLOOKUP($A231,'NonXtal_SegEnds_Prot#'!$A:$AL,5,FALSE)</f>
        <v>610</v>
      </c>
      <c r="AE231" s="5">
        <f>VLOOKUP($A231,'NonXtal_SegEnds_Prot#'!$A:$AL,8,FALSE)</f>
        <v>619</v>
      </c>
      <c r="AF231" s="5">
        <f>VLOOKUP($A231,'NonXtal_SegEnds_Prot#'!$A:$AL,11,FALSE)</f>
        <v>642</v>
      </c>
      <c r="AG231" s="5" t="str">
        <f>VLOOKUP($A231,'NonXtal_SegEnds_Prot#'!$A:$AL,14,FALSE)</f>
        <v>-</v>
      </c>
      <c r="AH231" s="5">
        <f>VLOOKUP($A231,'NonXtal_SegEnds_Prot#'!$A:$AL,17,FALSE)</f>
        <v>679</v>
      </c>
      <c r="AI231" s="5" t="str">
        <f>VLOOKUP($A231,'NonXtal_SegEnds_Prot#'!$A:$AL,20,FALSE)</f>
        <v>-</v>
      </c>
      <c r="AJ231" s="5">
        <f>VLOOKUP($A231,'NonXtal_SegEnds_Prot#'!$A:$AL,23,FALSE)</f>
        <v>719</v>
      </c>
      <c r="AK231" s="5">
        <f>VLOOKUP($A231,'NonXtal_SegEnds_Prot#'!$A:$AL,26,FALSE)</f>
        <v>746</v>
      </c>
      <c r="AL231" s="5">
        <f>VLOOKUP($A231,'NonXtal_SegEnds_Prot#'!$A:$AL,29,FALSE)</f>
        <v>772</v>
      </c>
      <c r="AM231" s="5">
        <f>VLOOKUP($A231,'NonXtal_SegEnds_Prot#'!$A:$AL,32,FALSE)</f>
        <v>805</v>
      </c>
      <c r="AN231" s="5">
        <f>VLOOKUP($A231,'NonXtal_SegEnds_Prot#'!$A:$AL,35,FALSE)</f>
        <v>845</v>
      </c>
      <c r="AO231" s="5">
        <f>VLOOKUP($A231,'NonXtal_SegEnds_Prot#'!$A:$AL,38,FALSE)</f>
        <v>858</v>
      </c>
      <c r="AP231" s="5">
        <f t="shared" si="88"/>
        <v>26</v>
      </c>
      <c r="AQ231" s="4">
        <f t="shared" si="89"/>
        <v>6</v>
      </c>
      <c r="AR231" s="4">
        <f t="shared" si="90"/>
        <v>22</v>
      </c>
      <c r="AS231" s="4" t="str">
        <f t="shared" si="91"/>
        <v>-</v>
      </c>
      <c r="AT231" s="4">
        <f t="shared" si="92"/>
        <v>32</v>
      </c>
      <c r="AU231" s="4" t="str">
        <f t="shared" si="93"/>
        <v>-</v>
      </c>
      <c r="AV231" s="4">
        <f t="shared" si="94"/>
        <v>25</v>
      </c>
      <c r="AW231" s="4">
        <f t="shared" si="95"/>
        <v>2</v>
      </c>
      <c r="AX231" s="4">
        <f t="shared" si="96"/>
        <v>24</v>
      </c>
      <c r="AY231" s="4">
        <f t="shared" si="97"/>
        <v>24</v>
      </c>
      <c r="AZ231" s="4">
        <f t="shared" si="98"/>
        <v>29</v>
      </c>
      <c r="BA231" s="4">
        <f t="shared" si="99"/>
        <v>12</v>
      </c>
    </row>
    <row r="232" spans="1:53" x14ac:dyDescent="0.2">
      <c r="A232" s="1" t="str">
        <f>'NonXtal_SegEnds_Prot#'!A217</f>
        <v>grm8_human</v>
      </c>
      <c r="B232" s="1" t="str">
        <f t="shared" si="75"/>
        <v>PWAVVPVFVAILGIIATTFVIVTFVRYGRELSYVLLTGIFLCYSITFLMITIICSFRRVFLGLGMCFSYAALLTKTNRIHRIFPASQLVITFSLISVQLLGVFVWFVVDDLSLICSLGYSILLMVTCTVYAIKTEAKPIGFTMYTTCIIWLAFIPIFFGQTTTLTVSMSLSASVSLGMLYMPKVYIIIFHPEQNVQKRKRSF</v>
      </c>
      <c r="C232" s="72" t="str">
        <f>IF(ISERROR(MATCH(A232,'Xtal_SegEnds_Prot#'!B:B, 0)), "NoXtal", "Xtal")</f>
        <v>NoXtal</v>
      </c>
      <c r="D232" s="4" t="str">
        <f>VLOOKUP(A232,Classification!A:D,2,FALSE)</f>
        <v>C</v>
      </c>
      <c r="E232" s="5" t="str">
        <f>VLOOKUP(A232,Seqs!A:B,2,FALSE)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232" s="5" t="str">
        <f t="shared" si="76"/>
        <v>PWAVVPVFVAILGIIATTFVIVTFVRY</v>
      </c>
      <c r="G232" s="4" t="str">
        <f t="shared" si="77"/>
        <v>TPIVRAS</v>
      </c>
      <c r="H232" s="4" t="str">
        <f t="shared" si="78"/>
        <v>GRELSYVLLTGIFLCYSITFLMI</v>
      </c>
      <c r="I232" s="4" t="str">
        <f t="shared" si="79"/>
        <v/>
      </c>
      <c r="J232" s="4" t="str">
        <f t="shared" si="80"/>
        <v>TIICSFRRVFLGLGMCFSYAALLTKTNRIHRIF</v>
      </c>
      <c r="K232" s="4" t="str">
        <f t="shared" si="81"/>
        <v/>
      </c>
      <c r="L232" s="4" t="str">
        <f t="shared" si="82"/>
        <v>PASQLVITFSLISVQLLGVFVWFVVD</v>
      </c>
      <c r="M232" s="4" t="str">
        <f t="shared" si="83"/>
        <v>CDI</v>
      </c>
      <c r="N232" s="4" t="str">
        <f t="shared" si="84"/>
        <v>DLSLICSLGYSILLMVTCTVYAIKT</v>
      </c>
      <c r="O232" s="4" t="str">
        <f t="shared" si="85"/>
        <v>EAKPIGFTMYTTCIIWLAFIPIFFG</v>
      </c>
      <c r="P232" s="4" t="str">
        <f t="shared" si="86"/>
        <v>QTTTLTVSMSLSASVSLGMLYMPKVYIIIF</v>
      </c>
      <c r="Q232" s="4" t="str">
        <f t="shared" si="87"/>
        <v>HPEQNVQKRKRSF</v>
      </c>
      <c r="R232" s="5">
        <f>VLOOKUP($A232,'NonXtal_SegEnds_Prot#'!$A:$AL,3,FALSE)</f>
        <v>582</v>
      </c>
      <c r="S232" s="5">
        <f>VLOOKUP($A232,'NonXtal_SegEnds_Prot#'!$A:$AL,6,FALSE)</f>
        <v>611</v>
      </c>
      <c r="T232" s="5">
        <f>VLOOKUP($A232,'NonXtal_SegEnds_Prot#'!$A:$AL,9,FALSE)</f>
        <v>618</v>
      </c>
      <c r="U232" s="5" t="str">
        <f>VLOOKUP($A232,'NonXtal_SegEnds_Prot#'!$A:$AL,12,FALSE)</f>
        <v>-</v>
      </c>
      <c r="V232" s="5">
        <f>VLOOKUP($A232,'NonXtal_SegEnds_Prot#'!$A:$AL,15,FALSE)</f>
        <v>645</v>
      </c>
      <c r="W232" s="5" t="str">
        <f>VLOOKUP($A232,'NonXtal_SegEnds_Prot#'!$A:$AL,18,FALSE)</f>
        <v>-</v>
      </c>
      <c r="X232" s="5">
        <f>VLOOKUP($A232,'NonXtal_SegEnds_Prot#'!$A:$AL,21,FALSE)</f>
        <v>692</v>
      </c>
      <c r="Y232" s="5">
        <f>VLOOKUP($A232,'NonXtal_SegEnds_Prot#'!$A:$AL,24,FALSE)</f>
        <v>742</v>
      </c>
      <c r="Z232" s="5">
        <f>VLOOKUP($A232,'NonXtal_SegEnds_Prot#'!$A:$AL,27,FALSE)</f>
        <v>746</v>
      </c>
      <c r="AA232" s="5">
        <f>VLOOKUP($A232,'NonXtal_SegEnds_Prot#'!$A:$AL,30,FALSE)</f>
        <v>779</v>
      </c>
      <c r="AB232" s="5">
        <f>VLOOKUP($A232,'NonXtal_SegEnds_Prot#'!$A:$AL,33,FALSE)</f>
        <v>814</v>
      </c>
      <c r="AC232" s="5">
        <f>VLOOKUP($A232,'NonXtal_SegEnds_Prot#'!$A:$AL,36,FALSE)</f>
        <v>844</v>
      </c>
      <c r="AD232" s="5">
        <f>VLOOKUP($A232,'NonXtal_SegEnds_Prot#'!$A:$AL,5,FALSE)</f>
        <v>608</v>
      </c>
      <c r="AE232" s="5">
        <f>VLOOKUP($A232,'NonXtal_SegEnds_Prot#'!$A:$AL,8,FALSE)</f>
        <v>617</v>
      </c>
      <c r="AF232" s="5">
        <f>VLOOKUP($A232,'NonXtal_SegEnds_Prot#'!$A:$AL,11,FALSE)</f>
        <v>640</v>
      </c>
      <c r="AG232" s="5" t="str">
        <f>VLOOKUP($A232,'NonXtal_SegEnds_Prot#'!$A:$AL,14,FALSE)</f>
        <v>-</v>
      </c>
      <c r="AH232" s="5">
        <f>VLOOKUP($A232,'NonXtal_SegEnds_Prot#'!$A:$AL,17,FALSE)</f>
        <v>677</v>
      </c>
      <c r="AI232" s="5" t="str">
        <f>VLOOKUP($A232,'NonXtal_SegEnds_Prot#'!$A:$AL,20,FALSE)</f>
        <v>-</v>
      </c>
      <c r="AJ232" s="5">
        <f>VLOOKUP($A232,'NonXtal_SegEnds_Prot#'!$A:$AL,23,FALSE)</f>
        <v>717</v>
      </c>
      <c r="AK232" s="5">
        <f>VLOOKUP($A232,'NonXtal_SegEnds_Prot#'!$A:$AL,26,FALSE)</f>
        <v>744</v>
      </c>
      <c r="AL232" s="5">
        <f>VLOOKUP($A232,'NonXtal_SegEnds_Prot#'!$A:$AL,29,FALSE)</f>
        <v>770</v>
      </c>
      <c r="AM232" s="5">
        <f>VLOOKUP($A232,'NonXtal_SegEnds_Prot#'!$A:$AL,32,FALSE)</f>
        <v>803</v>
      </c>
      <c r="AN232" s="5">
        <f>VLOOKUP($A232,'NonXtal_SegEnds_Prot#'!$A:$AL,35,FALSE)</f>
        <v>843</v>
      </c>
      <c r="AO232" s="5">
        <f>VLOOKUP($A232,'NonXtal_SegEnds_Prot#'!$A:$AL,38,FALSE)</f>
        <v>856</v>
      </c>
      <c r="AP232" s="5">
        <f t="shared" si="88"/>
        <v>26</v>
      </c>
      <c r="AQ232" s="4">
        <f t="shared" si="89"/>
        <v>6</v>
      </c>
      <c r="AR232" s="4">
        <f t="shared" si="90"/>
        <v>22</v>
      </c>
      <c r="AS232" s="4" t="str">
        <f t="shared" si="91"/>
        <v>-</v>
      </c>
      <c r="AT232" s="4">
        <f t="shared" si="92"/>
        <v>32</v>
      </c>
      <c r="AU232" s="4" t="str">
        <f t="shared" si="93"/>
        <v>-</v>
      </c>
      <c r="AV232" s="4">
        <f t="shared" si="94"/>
        <v>25</v>
      </c>
      <c r="AW232" s="4">
        <f t="shared" si="95"/>
        <v>2</v>
      </c>
      <c r="AX232" s="4">
        <f t="shared" si="96"/>
        <v>24</v>
      </c>
      <c r="AY232" s="4">
        <f t="shared" si="97"/>
        <v>24</v>
      </c>
      <c r="AZ232" s="4">
        <f t="shared" si="98"/>
        <v>29</v>
      </c>
      <c r="BA232" s="4">
        <f t="shared" si="99"/>
        <v>12</v>
      </c>
    </row>
    <row r="233" spans="1:53" x14ac:dyDescent="0.2">
      <c r="A233" s="1" t="str">
        <f>'NonXtal_SegEnds_Prot#'!A218</f>
        <v>grm5_human</v>
      </c>
      <c r="B233" s="1" t="str">
        <f t="shared" si="75"/>
        <v>PEPIAAVVFACLGLLATLFVTVVFIIYSRELCYIILAGICLGYLCTFCLIQIYCYLQRIGIGLSPAMSYSALVTKTNRIARILACAQLVIAFILICIQLGIIVALFIMENLGVVTPLGYNGLLILSCTFYAFKTEAKYIAFTMYTTCIIWLAFVPIYFGKIITMCFSVSLSATVALGCMFVPKVYIILAKPERNVRSAFTTS</v>
      </c>
      <c r="C233" s="72" t="str">
        <f>IF(ISERROR(MATCH(A233,'Xtal_SegEnds_Prot#'!B:B, 0)), "NoXtal", "Xtal")</f>
        <v>Xtal</v>
      </c>
      <c r="D233" s="4" t="str">
        <f>VLOOKUP(A233,Classification!A:D,2,FALSE)</f>
        <v>C</v>
      </c>
      <c r="E233" s="5" t="str">
        <f>VLOOKUP(A233,Seqs!A:B,2,FALSE)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233" s="5" t="str">
        <f t="shared" si="76"/>
        <v>PEPIAAVVFACLGLLATLFVTVVFIIY</v>
      </c>
      <c r="G233" s="4" t="str">
        <f t="shared" si="77"/>
        <v>TPVVKSS</v>
      </c>
      <c r="H233" s="4" t="str">
        <f t="shared" si="78"/>
        <v>SRELCYIILAGICLGYLCTFCLI</v>
      </c>
      <c r="I233" s="4" t="str">
        <f t="shared" si="79"/>
        <v/>
      </c>
      <c r="J233" s="4" t="str">
        <f t="shared" si="80"/>
        <v>QIYCYLQRIGIGLSPAMSYSALVTKTNRIARIL</v>
      </c>
      <c r="K233" s="4" t="str">
        <f t="shared" si="81"/>
        <v/>
      </c>
      <c r="L233" s="4" t="str">
        <f t="shared" si="82"/>
        <v>ACAQLVIAFILICIQLGIIVALFIME</v>
      </c>
      <c r="M233" s="4" t="str">
        <f t="shared" si="83"/>
        <v>CNT</v>
      </c>
      <c r="N233" s="4" t="str">
        <f t="shared" si="84"/>
        <v>NLGVVTPLGYNGLLILSCTFYAFKT</v>
      </c>
      <c r="O233" s="4" t="str">
        <f t="shared" si="85"/>
        <v>EAKYIAFTMYTTCIIWLAFVPIYFG</v>
      </c>
      <c r="P233" s="4" t="str">
        <f t="shared" si="86"/>
        <v>KIITMCFSVSLSATVALGCMFVPKVYIILA</v>
      </c>
      <c r="Q233" s="4" t="str">
        <f t="shared" si="87"/>
        <v>KPERNVRSAFTTS</v>
      </c>
      <c r="R233" s="5">
        <f>VLOOKUP($A233,'NonXtal_SegEnds_Prot#'!$A:$AL,3,FALSE)</f>
        <v>578</v>
      </c>
      <c r="S233" s="5">
        <f>VLOOKUP($A233,'NonXtal_SegEnds_Prot#'!$A:$AL,6,FALSE)</f>
        <v>607</v>
      </c>
      <c r="T233" s="5">
        <f>VLOOKUP($A233,'NonXtal_SegEnds_Prot#'!$A:$AL,9,FALSE)</f>
        <v>614</v>
      </c>
      <c r="U233" s="5" t="str">
        <f>VLOOKUP($A233,'NonXtal_SegEnds_Prot#'!$A:$AL,12,FALSE)</f>
        <v>-</v>
      </c>
      <c r="V233" s="5">
        <f>VLOOKUP($A233,'NonXtal_SegEnds_Prot#'!$A:$AL,15,FALSE)</f>
        <v>641</v>
      </c>
      <c r="W233" s="5" t="str">
        <f>VLOOKUP($A233,'NonXtal_SegEnds_Prot#'!$A:$AL,18,FALSE)</f>
        <v>-</v>
      </c>
      <c r="X233" s="5">
        <f>VLOOKUP($A233,'NonXtal_SegEnds_Prot#'!$A:$AL,21,FALSE)</f>
        <v>690</v>
      </c>
      <c r="Y233" s="5">
        <f>VLOOKUP($A233,'NonXtal_SegEnds_Prot#'!$A:$AL,24,FALSE)</f>
        <v>733</v>
      </c>
      <c r="Z233" s="5">
        <f>VLOOKUP($A233,'NonXtal_SegEnds_Prot#'!$A:$AL,27,FALSE)</f>
        <v>737</v>
      </c>
      <c r="AA233" s="5">
        <f>VLOOKUP($A233,'NonXtal_SegEnds_Prot#'!$A:$AL,30,FALSE)</f>
        <v>770</v>
      </c>
      <c r="AB233" s="5">
        <f>VLOOKUP($A233,'NonXtal_SegEnds_Prot#'!$A:$AL,33,FALSE)</f>
        <v>798</v>
      </c>
      <c r="AC233" s="5">
        <f>VLOOKUP($A233,'NonXtal_SegEnds_Prot#'!$A:$AL,36,FALSE)</f>
        <v>828</v>
      </c>
      <c r="AD233" s="5">
        <f>VLOOKUP($A233,'NonXtal_SegEnds_Prot#'!$A:$AL,5,FALSE)</f>
        <v>604</v>
      </c>
      <c r="AE233" s="5">
        <f>VLOOKUP($A233,'NonXtal_SegEnds_Prot#'!$A:$AL,8,FALSE)</f>
        <v>613</v>
      </c>
      <c r="AF233" s="5">
        <f>VLOOKUP($A233,'NonXtal_SegEnds_Prot#'!$A:$AL,11,FALSE)</f>
        <v>636</v>
      </c>
      <c r="AG233" s="5" t="str">
        <f>VLOOKUP($A233,'NonXtal_SegEnds_Prot#'!$A:$AL,14,FALSE)</f>
        <v>-</v>
      </c>
      <c r="AH233" s="5">
        <f>VLOOKUP($A233,'NonXtal_SegEnds_Prot#'!$A:$AL,17,FALSE)</f>
        <v>673</v>
      </c>
      <c r="AI233" s="5" t="str">
        <f>VLOOKUP($A233,'NonXtal_SegEnds_Prot#'!$A:$AL,20,FALSE)</f>
        <v>-</v>
      </c>
      <c r="AJ233" s="5">
        <f>VLOOKUP($A233,'NonXtal_SegEnds_Prot#'!$A:$AL,23,FALSE)</f>
        <v>715</v>
      </c>
      <c r="AK233" s="5">
        <f>VLOOKUP($A233,'NonXtal_SegEnds_Prot#'!$A:$AL,26,FALSE)</f>
        <v>735</v>
      </c>
      <c r="AL233" s="5">
        <f>VLOOKUP($A233,'NonXtal_SegEnds_Prot#'!$A:$AL,29,FALSE)</f>
        <v>761</v>
      </c>
      <c r="AM233" s="5">
        <f>VLOOKUP($A233,'NonXtal_SegEnds_Prot#'!$A:$AL,32,FALSE)</f>
        <v>794</v>
      </c>
      <c r="AN233" s="5">
        <f>VLOOKUP($A233,'NonXtal_SegEnds_Prot#'!$A:$AL,35,FALSE)</f>
        <v>827</v>
      </c>
      <c r="AO233" s="5">
        <f>VLOOKUP($A233,'NonXtal_SegEnds_Prot#'!$A:$AL,38,FALSE)</f>
        <v>840</v>
      </c>
      <c r="AP233" s="5">
        <f t="shared" si="88"/>
        <v>26</v>
      </c>
      <c r="AQ233" s="4">
        <f t="shared" si="89"/>
        <v>6</v>
      </c>
      <c r="AR233" s="4">
        <f t="shared" si="90"/>
        <v>22</v>
      </c>
      <c r="AS233" s="4" t="str">
        <f t="shared" si="91"/>
        <v>-</v>
      </c>
      <c r="AT233" s="4">
        <f t="shared" si="92"/>
        <v>32</v>
      </c>
      <c r="AU233" s="4" t="str">
        <f t="shared" si="93"/>
        <v>-</v>
      </c>
      <c r="AV233" s="4">
        <f t="shared" si="94"/>
        <v>25</v>
      </c>
      <c r="AW233" s="4">
        <f t="shared" si="95"/>
        <v>2</v>
      </c>
      <c r="AX233" s="4">
        <f t="shared" si="96"/>
        <v>24</v>
      </c>
      <c r="AY233" s="4">
        <f t="shared" si="97"/>
        <v>24</v>
      </c>
      <c r="AZ233" s="4">
        <f t="shared" si="98"/>
        <v>29</v>
      </c>
      <c r="BA233" s="4">
        <f t="shared" si="99"/>
        <v>12</v>
      </c>
    </row>
    <row r="234" spans="1:53" x14ac:dyDescent="0.2">
      <c r="A234" s="1" t="str">
        <f>'NonXtal_SegEnds_Prot#'!A219</f>
        <v>grm3_human</v>
      </c>
      <c r="B234" s="1" t="str">
        <f t="shared" si="75"/>
        <v>AWAIGPVTIACLGFMCTCMVVTVFIKHGRELCYILLFGVGLSYCMTFFFIPVICALRRLGLGSSFAICYSALLTKTNCIARIFPSSQVFICLGLILVQIVMVSVWLILEDSSMLISLTYDVILVILCTVYAFKTEAKFIGFTMYTTCIIWLAFLPIFYVQTTTMCISVSLSGFVVLGCLFAPKVHIILFQPQKNVVTHRLHL</v>
      </c>
      <c r="C234" s="72" t="str">
        <f>IF(ISERROR(MATCH(A234,'Xtal_SegEnds_Prot#'!B:B, 0)), "NoXtal", "Xtal")</f>
        <v>NoXtal</v>
      </c>
      <c r="D234" s="4" t="str">
        <f>VLOOKUP(A234,Classification!A:D,2,FALSE)</f>
        <v>C</v>
      </c>
      <c r="E234" s="5" t="str">
        <f>VLOOKUP(A234,Seqs!A:B,2,FALSE)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234" s="5" t="str">
        <f t="shared" si="76"/>
        <v>AWAIGPVTIACLGFMCTCMVVTVFIKH</v>
      </c>
      <c r="G234" s="4" t="str">
        <f t="shared" si="77"/>
        <v>TPLVKAS</v>
      </c>
      <c r="H234" s="4" t="str">
        <f t="shared" si="78"/>
        <v>GRELCYILLFGVGLSYCMTFFFI</v>
      </c>
      <c r="I234" s="4" t="str">
        <f t="shared" si="79"/>
        <v/>
      </c>
      <c r="J234" s="4" t="str">
        <f t="shared" si="80"/>
        <v>PVICALRRLGLGSSFAICYSALLTKTNCIARIF</v>
      </c>
      <c r="K234" s="4" t="str">
        <f t="shared" si="81"/>
        <v/>
      </c>
      <c r="L234" s="4" t="str">
        <f t="shared" si="82"/>
        <v>PSSQVFICLGLILVQIVMVSVWLILE</v>
      </c>
      <c r="M234" s="4" t="str">
        <f t="shared" si="83"/>
        <v>CNV</v>
      </c>
      <c r="N234" s="4" t="str">
        <f t="shared" si="84"/>
        <v>DSSMLISLTYDVILVILCTVYAFKT</v>
      </c>
      <c r="O234" s="4" t="str">
        <f t="shared" si="85"/>
        <v>EAKFIGFTMYTTCIIWLAFLPIFYV</v>
      </c>
      <c r="P234" s="4" t="str">
        <f t="shared" si="86"/>
        <v>QTTTMCISVSLSGFVVLGCLFAPKVHIILF</v>
      </c>
      <c r="Q234" s="4" t="str">
        <f t="shared" si="87"/>
        <v>QPQKNVVTHRLHL</v>
      </c>
      <c r="R234" s="5">
        <f>VLOOKUP($A234,'NonXtal_SegEnds_Prot#'!$A:$AL,3,FALSE)</f>
        <v>575</v>
      </c>
      <c r="S234" s="5">
        <f>VLOOKUP($A234,'NonXtal_SegEnds_Prot#'!$A:$AL,6,FALSE)</f>
        <v>604</v>
      </c>
      <c r="T234" s="5">
        <f>VLOOKUP($A234,'NonXtal_SegEnds_Prot#'!$A:$AL,9,FALSE)</f>
        <v>611</v>
      </c>
      <c r="U234" s="5" t="str">
        <f>VLOOKUP($A234,'NonXtal_SegEnds_Prot#'!$A:$AL,12,FALSE)</f>
        <v>-</v>
      </c>
      <c r="V234" s="5">
        <f>VLOOKUP($A234,'NonXtal_SegEnds_Prot#'!$A:$AL,15,FALSE)</f>
        <v>638</v>
      </c>
      <c r="W234" s="5" t="str">
        <f>VLOOKUP($A234,'NonXtal_SegEnds_Prot#'!$A:$AL,18,FALSE)</f>
        <v>-</v>
      </c>
      <c r="X234" s="5">
        <f>VLOOKUP($A234,'NonXtal_SegEnds_Prot#'!$A:$AL,21,FALSE)</f>
        <v>685</v>
      </c>
      <c r="Y234" s="5">
        <f>VLOOKUP($A234,'NonXtal_SegEnds_Prot#'!$A:$AL,24,FALSE)</f>
        <v>730</v>
      </c>
      <c r="Z234" s="5">
        <f>VLOOKUP($A234,'NonXtal_SegEnds_Prot#'!$A:$AL,27,FALSE)</f>
        <v>734</v>
      </c>
      <c r="AA234" s="5">
        <f>VLOOKUP($A234,'NonXtal_SegEnds_Prot#'!$A:$AL,30,FALSE)</f>
        <v>767</v>
      </c>
      <c r="AB234" s="5">
        <f>VLOOKUP($A234,'NonXtal_SegEnds_Prot#'!$A:$AL,33,FALSE)</f>
        <v>799</v>
      </c>
      <c r="AC234" s="5">
        <f>VLOOKUP($A234,'NonXtal_SegEnds_Prot#'!$A:$AL,36,FALSE)</f>
        <v>829</v>
      </c>
      <c r="AD234" s="5">
        <f>VLOOKUP($A234,'NonXtal_SegEnds_Prot#'!$A:$AL,5,FALSE)</f>
        <v>601</v>
      </c>
      <c r="AE234" s="5">
        <f>VLOOKUP($A234,'NonXtal_SegEnds_Prot#'!$A:$AL,8,FALSE)</f>
        <v>610</v>
      </c>
      <c r="AF234" s="5">
        <f>VLOOKUP($A234,'NonXtal_SegEnds_Prot#'!$A:$AL,11,FALSE)</f>
        <v>633</v>
      </c>
      <c r="AG234" s="5" t="str">
        <f>VLOOKUP($A234,'NonXtal_SegEnds_Prot#'!$A:$AL,14,FALSE)</f>
        <v>-</v>
      </c>
      <c r="AH234" s="5">
        <f>VLOOKUP($A234,'NonXtal_SegEnds_Prot#'!$A:$AL,17,FALSE)</f>
        <v>670</v>
      </c>
      <c r="AI234" s="5" t="str">
        <f>VLOOKUP($A234,'NonXtal_SegEnds_Prot#'!$A:$AL,20,FALSE)</f>
        <v>-</v>
      </c>
      <c r="AJ234" s="5">
        <f>VLOOKUP($A234,'NonXtal_SegEnds_Prot#'!$A:$AL,23,FALSE)</f>
        <v>710</v>
      </c>
      <c r="AK234" s="5">
        <f>VLOOKUP($A234,'NonXtal_SegEnds_Prot#'!$A:$AL,26,FALSE)</f>
        <v>732</v>
      </c>
      <c r="AL234" s="5">
        <f>VLOOKUP($A234,'NonXtal_SegEnds_Prot#'!$A:$AL,29,FALSE)</f>
        <v>758</v>
      </c>
      <c r="AM234" s="5">
        <f>VLOOKUP($A234,'NonXtal_SegEnds_Prot#'!$A:$AL,32,FALSE)</f>
        <v>791</v>
      </c>
      <c r="AN234" s="5">
        <f>VLOOKUP($A234,'NonXtal_SegEnds_Prot#'!$A:$AL,35,FALSE)</f>
        <v>828</v>
      </c>
      <c r="AO234" s="5">
        <f>VLOOKUP($A234,'NonXtal_SegEnds_Prot#'!$A:$AL,38,FALSE)</f>
        <v>841</v>
      </c>
      <c r="AP234" s="5">
        <f t="shared" si="88"/>
        <v>26</v>
      </c>
      <c r="AQ234" s="4">
        <f t="shared" si="89"/>
        <v>6</v>
      </c>
      <c r="AR234" s="4">
        <f t="shared" si="90"/>
        <v>22</v>
      </c>
      <c r="AS234" s="4" t="str">
        <f t="shared" si="91"/>
        <v>-</v>
      </c>
      <c r="AT234" s="4">
        <f t="shared" si="92"/>
        <v>32</v>
      </c>
      <c r="AU234" s="4" t="str">
        <f t="shared" si="93"/>
        <v>-</v>
      </c>
      <c r="AV234" s="4">
        <f t="shared" si="94"/>
        <v>25</v>
      </c>
      <c r="AW234" s="4">
        <f t="shared" si="95"/>
        <v>2</v>
      </c>
      <c r="AX234" s="4">
        <f t="shared" si="96"/>
        <v>24</v>
      </c>
      <c r="AY234" s="4">
        <f t="shared" si="97"/>
        <v>24</v>
      </c>
      <c r="AZ234" s="4">
        <f t="shared" si="98"/>
        <v>29</v>
      </c>
      <c r="BA234" s="4">
        <f t="shared" si="99"/>
        <v>12</v>
      </c>
    </row>
    <row r="235" spans="1:53" x14ac:dyDescent="0.2">
      <c r="A235" s="1" t="str">
        <f>'NonXtal_SegEnds_Prot#'!A220</f>
        <v>grm2_human</v>
      </c>
      <c r="B235" s="1" t="str">
        <f t="shared" si="75"/>
        <v>AWAVGPVTIACLGALATLFVLGVFVRHGRELCYILLGGVFLCYCMTFIFITAVCTLRRLGLGTAFSVCYSALLTKTNRIARIFPASQVAICLALISGQLLIVVAWLVVEDASMLGSLAYNVLLIALCTLYAFKTEAKFIGFTMYTTCIIWLAFLPIFYVQTTTMCVSVSLSGSVVLGCLFAPKLHIILFQPQKNVVSHRAPT</v>
      </c>
      <c r="C235" s="72" t="str">
        <f>IF(ISERROR(MATCH(A235,'Xtal_SegEnds_Prot#'!B:B, 0)), "NoXtal", "Xtal")</f>
        <v>NoXtal</v>
      </c>
      <c r="D235" s="4" t="str">
        <f>VLOOKUP(A235,Classification!A:D,2,FALSE)</f>
        <v>C</v>
      </c>
      <c r="E235" s="5" t="str">
        <f>VLOOKUP(A235,Seqs!A:B,2,FALSE)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235" s="5" t="str">
        <f t="shared" si="76"/>
        <v>AWAVGPVTIACLGALATLFVLGVFVRH</v>
      </c>
      <c r="G235" s="4" t="str">
        <f t="shared" si="77"/>
        <v>TPVVKAS</v>
      </c>
      <c r="H235" s="4" t="str">
        <f t="shared" si="78"/>
        <v>GRELCYILLGGVFLCYCMTFIFI</v>
      </c>
      <c r="I235" s="4" t="str">
        <f t="shared" si="79"/>
        <v/>
      </c>
      <c r="J235" s="4" t="str">
        <f t="shared" si="80"/>
        <v>TAVCTLRRLGLGTAFSVCYSALLTKTNRIARIF</v>
      </c>
      <c r="K235" s="4" t="str">
        <f t="shared" si="81"/>
        <v/>
      </c>
      <c r="L235" s="4" t="str">
        <f t="shared" si="82"/>
        <v>PASQVAICLALISGQLLIVVAWLVVE</v>
      </c>
      <c r="M235" s="4" t="str">
        <f t="shared" si="83"/>
        <v>CNH</v>
      </c>
      <c r="N235" s="4" t="str">
        <f t="shared" si="84"/>
        <v>DASMLGSLAYNVLLIALCTLYAFKT</v>
      </c>
      <c r="O235" s="4" t="str">
        <f t="shared" si="85"/>
        <v>EAKFIGFTMYTTCIIWLAFLPIFYV</v>
      </c>
      <c r="P235" s="4" t="str">
        <f t="shared" si="86"/>
        <v>QTTTMCVSVSLSGSVVLGCLFAPKLHIILF</v>
      </c>
      <c r="Q235" s="4" t="str">
        <f t="shared" si="87"/>
        <v>QPQKNVVSHRAPT</v>
      </c>
      <c r="R235" s="5">
        <f>VLOOKUP($A235,'NonXtal_SegEnds_Prot#'!$A:$AL,3,FALSE)</f>
        <v>566</v>
      </c>
      <c r="S235" s="5">
        <f>VLOOKUP($A235,'NonXtal_SegEnds_Prot#'!$A:$AL,6,FALSE)</f>
        <v>595</v>
      </c>
      <c r="T235" s="5">
        <f>VLOOKUP($A235,'NonXtal_SegEnds_Prot#'!$A:$AL,9,FALSE)</f>
        <v>602</v>
      </c>
      <c r="U235" s="5" t="str">
        <f>VLOOKUP($A235,'NonXtal_SegEnds_Prot#'!$A:$AL,12,FALSE)</f>
        <v>-</v>
      </c>
      <c r="V235" s="5">
        <f>VLOOKUP($A235,'NonXtal_SegEnds_Prot#'!$A:$AL,15,FALSE)</f>
        <v>629</v>
      </c>
      <c r="W235" s="5" t="str">
        <f>VLOOKUP($A235,'NonXtal_SegEnds_Prot#'!$A:$AL,18,FALSE)</f>
        <v>-</v>
      </c>
      <c r="X235" s="5">
        <f>VLOOKUP($A235,'NonXtal_SegEnds_Prot#'!$A:$AL,21,FALSE)</f>
        <v>676</v>
      </c>
      <c r="Y235" s="5">
        <f>VLOOKUP($A235,'NonXtal_SegEnds_Prot#'!$A:$AL,24,FALSE)</f>
        <v>721</v>
      </c>
      <c r="Z235" s="5">
        <f>VLOOKUP($A235,'NonXtal_SegEnds_Prot#'!$A:$AL,27,FALSE)</f>
        <v>725</v>
      </c>
      <c r="AA235" s="5">
        <f>VLOOKUP($A235,'NonXtal_SegEnds_Prot#'!$A:$AL,30,FALSE)</f>
        <v>758</v>
      </c>
      <c r="AB235" s="5">
        <f>VLOOKUP($A235,'NonXtal_SegEnds_Prot#'!$A:$AL,33,FALSE)</f>
        <v>790</v>
      </c>
      <c r="AC235" s="5">
        <f>VLOOKUP($A235,'NonXtal_SegEnds_Prot#'!$A:$AL,36,FALSE)</f>
        <v>820</v>
      </c>
      <c r="AD235" s="5">
        <f>VLOOKUP($A235,'NonXtal_SegEnds_Prot#'!$A:$AL,5,FALSE)</f>
        <v>592</v>
      </c>
      <c r="AE235" s="5">
        <f>VLOOKUP($A235,'NonXtal_SegEnds_Prot#'!$A:$AL,8,FALSE)</f>
        <v>601</v>
      </c>
      <c r="AF235" s="5">
        <f>VLOOKUP($A235,'NonXtal_SegEnds_Prot#'!$A:$AL,11,FALSE)</f>
        <v>624</v>
      </c>
      <c r="AG235" s="5" t="str">
        <f>VLOOKUP($A235,'NonXtal_SegEnds_Prot#'!$A:$AL,14,FALSE)</f>
        <v>-</v>
      </c>
      <c r="AH235" s="5">
        <f>VLOOKUP($A235,'NonXtal_SegEnds_Prot#'!$A:$AL,17,FALSE)</f>
        <v>661</v>
      </c>
      <c r="AI235" s="5" t="str">
        <f>VLOOKUP($A235,'NonXtal_SegEnds_Prot#'!$A:$AL,20,FALSE)</f>
        <v>-</v>
      </c>
      <c r="AJ235" s="5">
        <f>VLOOKUP($A235,'NonXtal_SegEnds_Prot#'!$A:$AL,23,FALSE)</f>
        <v>701</v>
      </c>
      <c r="AK235" s="5">
        <f>VLOOKUP($A235,'NonXtal_SegEnds_Prot#'!$A:$AL,26,FALSE)</f>
        <v>723</v>
      </c>
      <c r="AL235" s="5">
        <f>VLOOKUP($A235,'NonXtal_SegEnds_Prot#'!$A:$AL,29,FALSE)</f>
        <v>749</v>
      </c>
      <c r="AM235" s="5">
        <f>VLOOKUP($A235,'NonXtal_SegEnds_Prot#'!$A:$AL,32,FALSE)</f>
        <v>782</v>
      </c>
      <c r="AN235" s="5">
        <f>VLOOKUP($A235,'NonXtal_SegEnds_Prot#'!$A:$AL,35,FALSE)</f>
        <v>819</v>
      </c>
      <c r="AO235" s="5">
        <f>VLOOKUP($A235,'NonXtal_SegEnds_Prot#'!$A:$AL,38,FALSE)</f>
        <v>832</v>
      </c>
      <c r="AP235" s="5">
        <f t="shared" si="88"/>
        <v>26</v>
      </c>
      <c r="AQ235" s="4">
        <f t="shared" si="89"/>
        <v>6</v>
      </c>
      <c r="AR235" s="4">
        <f t="shared" si="90"/>
        <v>22</v>
      </c>
      <c r="AS235" s="4" t="str">
        <f t="shared" si="91"/>
        <v>-</v>
      </c>
      <c r="AT235" s="4">
        <f t="shared" si="92"/>
        <v>32</v>
      </c>
      <c r="AU235" s="4" t="str">
        <f t="shared" si="93"/>
        <v>-</v>
      </c>
      <c r="AV235" s="4">
        <f t="shared" si="94"/>
        <v>25</v>
      </c>
      <c r="AW235" s="4">
        <f t="shared" si="95"/>
        <v>2</v>
      </c>
      <c r="AX235" s="4">
        <f t="shared" si="96"/>
        <v>24</v>
      </c>
      <c r="AY235" s="4">
        <f t="shared" si="97"/>
        <v>24</v>
      </c>
      <c r="AZ235" s="4">
        <f t="shared" si="98"/>
        <v>29</v>
      </c>
      <c r="BA235" s="4">
        <f t="shared" si="99"/>
        <v>12</v>
      </c>
    </row>
    <row r="236" spans="1:53" x14ac:dyDescent="0.2">
      <c r="A236" s="1" t="str">
        <f>'NonXtal_SegEnds_Prot#'!A221</f>
        <v>gabr2_human</v>
      </c>
      <c r="B236" s="1" t="str">
        <f t="shared" si="75"/>
        <v>PLYSILSALTILGMIMASAFLFFNIKNSPYMNNLIILGGMLSYASIFLFGETLCTVRTWILTVGYTTAFGAMFAKTWRVHAIFDQKLLVIVGGMLLIDLCILICWQAVDTIWLGIVYAYKGLLMLFGCFLAWETDSKYIGMSVYNVGIMCIIGAAVSFLQFCIVALVIIFCSTITLCLVFVPKLITLRTNPDAATQNRRFQF</v>
      </c>
      <c r="C236" s="72" t="str">
        <f>IF(ISERROR(MATCH(A236,'Xtal_SegEnds_Prot#'!B:B, 0)), "NoXtal", "Xtal")</f>
        <v>NoXtal</v>
      </c>
      <c r="D236" s="4" t="str">
        <f>VLOOKUP(A236,Classification!A:D,2,FALSE)</f>
        <v>C</v>
      </c>
      <c r="E236" s="5" t="str">
        <f>VLOOKUP(A236,Seqs!A:B,2,FALSE)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236" s="5" t="str">
        <f t="shared" si="76"/>
        <v>PLYSILSALTILGMIMASAFLFFNIKN</v>
      </c>
      <c r="G236" s="4" t="str">
        <f t="shared" si="77"/>
        <v>QKLIKMS</v>
      </c>
      <c r="H236" s="4" t="str">
        <f t="shared" si="78"/>
        <v>SPYMNNLIILGGMLSYASIFLFG</v>
      </c>
      <c r="I236" s="4" t="str">
        <f t="shared" si="79"/>
        <v/>
      </c>
      <c r="J236" s="4" t="str">
        <f t="shared" si="80"/>
        <v>ETLCTVRTWILTVGYTTAFGAMFAKTWRVHAIF</v>
      </c>
      <c r="K236" s="4" t="str">
        <f t="shared" si="81"/>
        <v/>
      </c>
      <c r="L236" s="4" t="str">
        <f t="shared" si="82"/>
        <v>DQKLLVIVGGMLLIDLCILICWQAVD</v>
      </c>
      <c r="M236" s="4" t="str">
        <f t="shared" si="83"/>
        <v>CEN</v>
      </c>
      <c r="N236" s="4" t="str">
        <f t="shared" si="84"/>
        <v>TIWLGIVYAYKGLLMLFGCFLAWET</v>
      </c>
      <c r="O236" s="4" t="str">
        <f t="shared" si="85"/>
        <v>DSKYIGMSVYNVGIMCIIGAAVSFL</v>
      </c>
      <c r="P236" s="4" t="str">
        <f t="shared" si="86"/>
        <v>QFCIVALVIIFCSTITLCLVFVPKLITLRT</v>
      </c>
      <c r="Q236" s="4" t="str">
        <f t="shared" si="87"/>
        <v>NPDAATQNRRFQF</v>
      </c>
      <c r="R236" s="5">
        <f>VLOOKUP($A236,'NonXtal_SegEnds_Prot#'!$A:$AL,3,FALSE)</f>
        <v>480</v>
      </c>
      <c r="S236" s="5">
        <f>VLOOKUP($A236,'NonXtal_SegEnds_Prot#'!$A:$AL,6,FALSE)</f>
        <v>509</v>
      </c>
      <c r="T236" s="5">
        <f>VLOOKUP($A236,'NonXtal_SegEnds_Prot#'!$A:$AL,9,FALSE)</f>
        <v>516</v>
      </c>
      <c r="U236" s="5" t="str">
        <f>VLOOKUP($A236,'NonXtal_SegEnds_Prot#'!$A:$AL,12,FALSE)</f>
        <v>-</v>
      </c>
      <c r="V236" s="5">
        <f>VLOOKUP($A236,'NonXtal_SegEnds_Prot#'!$A:$AL,15,FALSE)</f>
        <v>550</v>
      </c>
      <c r="W236" s="5" t="str">
        <f>VLOOKUP($A236,'NonXtal_SegEnds_Prot#'!$A:$AL,18,FALSE)</f>
        <v>-</v>
      </c>
      <c r="X236" s="5">
        <f>VLOOKUP($A236,'NonXtal_SegEnds_Prot#'!$A:$AL,21,FALSE)</f>
        <v>594</v>
      </c>
      <c r="Y236" s="5">
        <f>VLOOKUP($A236,'NonXtal_SegEnds_Prot#'!$A:$AL,24,FALSE)</f>
        <v>648</v>
      </c>
      <c r="Z236" s="5">
        <f>VLOOKUP($A236,'NonXtal_SegEnds_Prot#'!$A:$AL,27,FALSE)</f>
        <v>654</v>
      </c>
      <c r="AA236" s="5">
        <f>VLOOKUP($A236,'NonXtal_SegEnds_Prot#'!$A:$AL,30,FALSE)</f>
        <v>688</v>
      </c>
      <c r="AB236" s="5">
        <f>VLOOKUP($A236,'NonXtal_SegEnds_Prot#'!$A:$AL,33,FALSE)</f>
        <v>720</v>
      </c>
      <c r="AC236" s="5">
        <f>VLOOKUP($A236,'NonXtal_SegEnds_Prot#'!$A:$AL,36,FALSE)</f>
        <v>750</v>
      </c>
      <c r="AD236" s="5">
        <f>VLOOKUP($A236,'NonXtal_SegEnds_Prot#'!$A:$AL,5,FALSE)</f>
        <v>506</v>
      </c>
      <c r="AE236" s="5">
        <f>VLOOKUP($A236,'NonXtal_SegEnds_Prot#'!$A:$AL,8,FALSE)</f>
        <v>515</v>
      </c>
      <c r="AF236" s="5">
        <f>VLOOKUP($A236,'NonXtal_SegEnds_Prot#'!$A:$AL,11,FALSE)</f>
        <v>538</v>
      </c>
      <c r="AG236" s="5" t="str">
        <f>VLOOKUP($A236,'NonXtal_SegEnds_Prot#'!$A:$AL,14,FALSE)</f>
        <v>-</v>
      </c>
      <c r="AH236" s="5">
        <f>VLOOKUP($A236,'NonXtal_SegEnds_Prot#'!$A:$AL,17,FALSE)</f>
        <v>582</v>
      </c>
      <c r="AI236" s="5" t="str">
        <f>VLOOKUP($A236,'NonXtal_SegEnds_Prot#'!$A:$AL,20,FALSE)</f>
        <v>-</v>
      </c>
      <c r="AJ236" s="5">
        <f>VLOOKUP($A236,'NonXtal_SegEnds_Prot#'!$A:$AL,23,FALSE)</f>
        <v>619</v>
      </c>
      <c r="AK236" s="5">
        <f>VLOOKUP($A236,'NonXtal_SegEnds_Prot#'!$A:$AL,26,FALSE)</f>
        <v>650</v>
      </c>
      <c r="AL236" s="5">
        <f>VLOOKUP($A236,'NonXtal_SegEnds_Prot#'!$A:$AL,29,FALSE)</f>
        <v>678</v>
      </c>
      <c r="AM236" s="5">
        <f>VLOOKUP($A236,'NonXtal_SegEnds_Prot#'!$A:$AL,32,FALSE)</f>
        <v>712</v>
      </c>
      <c r="AN236" s="5">
        <f>VLOOKUP($A236,'NonXtal_SegEnds_Prot#'!$A:$AL,35,FALSE)</f>
        <v>749</v>
      </c>
      <c r="AO236" s="5">
        <f>VLOOKUP($A236,'NonXtal_SegEnds_Prot#'!$A:$AL,38,FALSE)</f>
        <v>762</v>
      </c>
      <c r="AP236" s="5">
        <f t="shared" si="88"/>
        <v>26</v>
      </c>
      <c r="AQ236" s="4">
        <f t="shared" si="89"/>
        <v>6</v>
      </c>
      <c r="AR236" s="4">
        <f t="shared" si="90"/>
        <v>22</v>
      </c>
      <c r="AS236" s="4" t="str">
        <f t="shared" si="91"/>
        <v>-</v>
      </c>
      <c r="AT236" s="4">
        <f t="shared" si="92"/>
        <v>32</v>
      </c>
      <c r="AU236" s="4" t="str">
        <f t="shared" si="93"/>
        <v>-</v>
      </c>
      <c r="AV236" s="4">
        <f t="shared" si="94"/>
        <v>25</v>
      </c>
      <c r="AW236" s="4">
        <f t="shared" si="95"/>
        <v>2</v>
      </c>
      <c r="AX236" s="4">
        <f t="shared" si="96"/>
        <v>24</v>
      </c>
      <c r="AY236" s="4">
        <f t="shared" si="97"/>
        <v>24</v>
      </c>
      <c r="AZ236" s="4">
        <f t="shared" si="98"/>
        <v>29</v>
      </c>
      <c r="BA236" s="4">
        <f t="shared" si="99"/>
        <v>12</v>
      </c>
    </row>
    <row r="237" spans="1:53" x14ac:dyDescent="0.2">
      <c r="A237" s="1" t="str">
        <f>'NonXtal_SegEnds_Prot#'!A222</f>
        <v>gp146_human</v>
      </c>
      <c r="B237" s="1" t="str">
        <f t="shared" si="75"/>
        <v>LSLLGLVVGVPVGLCYNALLVLANLHSYFVNMAVAGLVLSALAPVHLLGPPSSRGGEVHVALQIPFNVSSLVAMYSTALLSLDHYIERALVYNTRHVCGFVWGGALLTSFSSLLAEAADATLVFIGYVVPALATLYALVLLSRVRREDRLEPSAHRLLVATVCTQFGLWTPHYLILLGHTVIISRDAHYLGLLHFVKDFSKLLAFSSSFVTPLLYRYMNQSFPSKLQRLMK</v>
      </c>
      <c r="C237" s="72" t="str">
        <f>IF(ISERROR(MATCH(A237,'Xtal_SegEnds_Prot#'!B:B,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37" s="5" t="str">
        <f t="shared" si="76"/>
        <v>LSLLGLVVGVPVGLCYNALLVLANLHS</v>
      </c>
      <c r="G237" s="4" t="str">
        <f t="shared" si="77"/>
        <v/>
      </c>
      <c r="H237" s="4" t="str">
        <f t="shared" si="78"/>
        <v>YFVNMAVAGLVLSALAPVHLLGPPSSR</v>
      </c>
      <c r="I237" s="4" t="str">
        <f t="shared" si="79"/>
        <v>LWSV</v>
      </c>
      <c r="J237" s="4" t="str">
        <f t="shared" si="80"/>
        <v>GGEVHVALQIPFNVSSLVAMYSTALLSLDHYIERAL</v>
      </c>
      <c r="K237" s="4" t="str">
        <f t="shared" si="81"/>
        <v>PRTYMAS</v>
      </c>
      <c r="L237" s="4" t="str">
        <f t="shared" si="82"/>
        <v>VYNTRHVCGFVWGGALLTSFSSLL</v>
      </c>
      <c r="M237" s="4" t="str">
        <f t="shared" si="83"/>
        <v/>
      </c>
      <c r="N237" s="4" t="str">
        <f t="shared" si="84"/>
        <v>AEAADATLVFIGYVVPALATLYALVLLSRVRRED</v>
      </c>
      <c r="O237" s="4" t="str">
        <f t="shared" si="85"/>
        <v>RLEPSAHRLLVATVCTQFGLWTPHYLILLGHTVIISR</v>
      </c>
      <c r="P237" s="4" t="str">
        <f t="shared" si="86"/>
        <v>DAHYLGLLHFVKDFSKLLAFSSSFVTPLLYRYM</v>
      </c>
      <c r="Q237" s="4" t="str">
        <f t="shared" si="87"/>
        <v>NQSFPSKLQRLMK</v>
      </c>
      <c r="R237" s="5">
        <f>VLOOKUP($A237,'NonXtal_SegEnds_Prot#'!$A:$AL,3,FALSE)</f>
        <v>29</v>
      </c>
      <c r="S237" s="5" t="str">
        <f>VLOOKUP($A237,'NonXtal_SegEnds_Prot#'!$A:$AL,6,FALSE)</f>
        <v>-</v>
      </c>
      <c r="T237" s="5">
        <f>VLOOKUP($A237,'NonXtal_SegEnds_Prot#'!$A:$AL,9,FALSE)</f>
        <v>65</v>
      </c>
      <c r="U237" s="5">
        <f>VLOOKUP($A237,'NonXtal_SegEnds_Prot#'!$A:$AL,12,FALSE)</f>
        <v>94</v>
      </c>
      <c r="V237" s="5">
        <f>VLOOKUP($A237,'NonXtal_SegEnds_Prot#'!$A:$AL,15,FALSE)</f>
        <v>98</v>
      </c>
      <c r="W237" s="5">
        <f>VLOOKUP($A237,'NonXtal_SegEnds_Prot#'!$A:$AL,18,FALSE)</f>
        <v>134</v>
      </c>
      <c r="X237" s="5">
        <f>VLOOKUP($A237,'NonXtal_SegEnds_Prot#'!$A:$AL,21,FALSE)</f>
        <v>141</v>
      </c>
      <c r="Y237" s="5" t="str">
        <f>VLOOKUP($A237,'NonXtal_SegEnds_Prot#'!$A:$AL,24,FALSE)</f>
        <v>-</v>
      </c>
      <c r="Z237" s="5">
        <f>VLOOKUP($A237,'NonXtal_SegEnds_Prot#'!$A:$AL,27,FALSE)</f>
        <v>184</v>
      </c>
      <c r="AA237" s="5">
        <f>VLOOKUP($A237,'NonXtal_SegEnds_Prot#'!$A:$AL,30,FALSE)</f>
        <v>226</v>
      </c>
      <c r="AB237" s="5">
        <f>VLOOKUP($A237,'NonXtal_SegEnds_Prot#'!$A:$AL,33,FALSE)</f>
        <v>267</v>
      </c>
      <c r="AC237" s="5">
        <f>VLOOKUP($A237,'NonXtal_SegEnds_Prot#'!$A:$AL,36,FALSE)</f>
        <v>300</v>
      </c>
      <c r="AD237" s="5">
        <f>VLOOKUP($A237,'NonXtal_SegEnds_Prot#'!$A:$AL,5,FALSE)</f>
        <v>55</v>
      </c>
      <c r="AE237" s="5" t="str">
        <f>VLOOKUP($A237,'NonXtal_SegEnds_Prot#'!$A:$AL,8,FALSE)</f>
        <v>-</v>
      </c>
      <c r="AF237" s="5">
        <f>VLOOKUP($A237,'NonXtal_SegEnds_Prot#'!$A:$AL,11,FALSE)</f>
        <v>91</v>
      </c>
      <c r="AG237" s="5">
        <f>VLOOKUP($A237,'NonXtal_SegEnds_Prot#'!$A:$AL,14,FALSE)</f>
        <v>97</v>
      </c>
      <c r="AH237" s="5">
        <f>VLOOKUP($A237,'NonXtal_SegEnds_Prot#'!$A:$AL,17,FALSE)</f>
        <v>133</v>
      </c>
      <c r="AI237" s="5">
        <f>VLOOKUP($A237,'NonXtal_SegEnds_Prot#'!$A:$AL,20,FALSE)</f>
        <v>140</v>
      </c>
      <c r="AJ237" s="5">
        <f>VLOOKUP($A237,'NonXtal_SegEnds_Prot#'!$A:$AL,23,FALSE)</f>
        <v>164</v>
      </c>
      <c r="AK237" s="5" t="str">
        <f>VLOOKUP($A237,'NonXtal_SegEnds_Prot#'!$A:$AL,26,FALSE)</f>
        <v>-</v>
      </c>
      <c r="AL237" s="5">
        <f>VLOOKUP($A237,'NonXtal_SegEnds_Prot#'!$A:$AL,29,FALSE)</f>
        <v>217</v>
      </c>
      <c r="AM237" s="5">
        <f>VLOOKUP($A237,'NonXtal_SegEnds_Prot#'!$A:$AL,32,FALSE)</f>
        <v>262</v>
      </c>
      <c r="AN237" s="5">
        <f>VLOOKUP($A237,'NonXtal_SegEnds_Prot#'!$A:$AL,35,FALSE)</f>
        <v>299</v>
      </c>
      <c r="AO237" s="5">
        <f>VLOOKUP($A237,'NonXtal_SegEnds_Prot#'!$A:$AL,38,FALSE)</f>
        <v>312</v>
      </c>
      <c r="AP237" s="5">
        <f t="shared" si="88"/>
        <v>26</v>
      </c>
      <c r="AQ237" s="4" t="str">
        <f t="shared" si="89"/>
        <v>-</v>
      </c>
      <c r="AR237" s="4">
        <f t="shared" si="90"/>
        <v>26</v>
      </c>
      <c r="AS237" s="4">
        <f t="shared" si="91"/>
        <v>3</v>
      </c>
      <c r="AT237" s="4">
        <f t="shared" si="92"/>
        <v>35</v>
      </c>
      <c r="AU237" s="4">
        <f t="shared" si="93"/>
        <v>6</v>
      </c>
      <c r="AV237" s="4">
        <f t="shared" si="94"/>
        <v>23</v>
      </c>
      <c r="AW237" s="4" t="str">
        <f t="shared" si="95"/>
        <v>-</v>
      </c>
      <c r="AX237" s="4">
        <f t="shared" si="96"/>
        <v>33</v>
      </c>
      <c r="AY237" s="4">
        <f t="shared" si="97"/>
        <v>36</v>
      </c>
      <c r="AZ237" s="4">
        <f t="shared" si="98"/>
        <v>32</v>
      </c>
      <c r="BA237" s="4">
        <f t="shared" si="99"/>
        <v>12</v>
      </c>
    </row>
    <row r="238" spans="1:53" x14ac:dyDescent="0.2">
      <c r="A238" s="1" t="str">
        <f>'NonXtal_SegEnds_Prot#'!A223</f>
        <v>gpr22_human</v>
      </c>
      <c r="B238" s="1" t="str">
        <f t="shared" si="75"/>
        <v>SLTGFLMLEIVLGLGSNLTVLVLYCMKNSVSNIITMNLHVLDVIICVGCIPLTIVILLLESNTALICCFHEACVSFASVSTAINVFAITLDRYDISVKMGRAVMLMISIWIFSFFSFLIPFIEGMYYHLLVQIPIFFFTVVVMLITYTKILQALNIRIGTRFSRERRERQKRVFRMSLLIISTFLLCWTPISVLNTTILCLLVKLRLCFLVMAYGTTIFHPLLYAFTRQKFQKVLKSKMK</v>
      </c>
      <c r="C238" s="72" t="str">
        <f>IF(ISERROR(MATCH(A238,'Xtal_SegEnds_Prot#'!B:B,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238" s="5" t="str">
        <f t="shared" si="76"/>
        <v>SLTGFLMLEIVLGLGSNLTVLVLYCMK</v>
      </c>
      <c r="G238" s="4" t="str">
        <f t="shared" si="77"/>
        <v>SNLI</v>
      </c>
      <c r="H238" s="4" t="str">
        <f t="shared" si="78"/>
        <v>NSVSNIITMNLHVLDVIICVGCIPLTIVILLL</v>
      </c>
      <c r="I238" s="4" t="str">
        <f t="shared" si="79"/>
        <v/>
      </c>
      <c r="J238" s="4" t="str">
        <f t="shared" si="80"/>
        <v>ESNTALICCFHEACVSFASVSTAINVFAITLDRYDISVK</v>
      </c>
      <c r="K238" s="4" t="str">
        <f t="shared" si="81"/>
        <v>PANRILT</v>
      </c>
      <c r="L238" s="4" t="str">
        <f t="shared" si="82"/>
        <v>MGRAVMLMISIWIFSFFSFLIPFIE</v>
      </c>
      <c r="M238" s="4" t="str">
        <f t="shared" si="83"/>
        <v>CVS</v>
      </c>
      <c r="N238" s="4" t="str">
        <f t="shared" si="84"/>
        <v>GMYYHLLVQIPIFFFTVVVMLITYTKILQALNIRIGTRFS</v>
      </c>
      <c r="O238" s="4" t="str">
        <f t="shared" si="85"/>
        <v>RERRERQKRVFRMSLLIISTFLLCWTPISVLNTTILCL</v>
      </c>
      <c r="P238" s="4" t="str">
        <f t="shared" si="86"/>
        <v>LVKLRLCFLVMAYGTTIFHPLLYAFT</v>
      </c>
      <c r="Q238" s="4" t="str">
        <f t="shared" si="87"/>
        <v>RQKFQKVLKSKMK</v>
      </c>
      <c r="R238" s="5">
        <f>VLOOKUP($A238,'NonXtal_SegEnds_Prot#'!$A:$AL,3,FALSE)</f>
        <v>43</v>
      </c>
      <c r="S238" s="5">
        <f>VLOOKUP($A238,'NonXtal_SegEnds_Prot#'!$A:$AL,6,FALSE)</f>
        <v>70</v>
      </c>
      <c r="T238" s="5">
        <f>VLOOKUP($A238,'NonXtal_SegEnds_Prot#'!$A:$AL,9,FALSE)</f>
        <v>74</v>
      </c>
      <c r="U238" s="5" t="str">
        <f>VLOOKUP($A238,'NonXtal_SegEnds_Prot#'!$A:$AL,12,FALSE)</f>
        <v>-</v>
      </c>
      <c r="V238" s="5">
        <f>VLOOKUP($A238,'NonXtal_SegEnds_Prot#'!$A:$AL,15,FALSE)</f>
        <v>108</v>
      </c>
      <c r="W238" s="5">
        <f>VLOOKUP($A238,'NonXtal_SegEnds_Prot#'!$A:$AL,18,FALSE)</f>
        <v>147</v>
      </c>
      <c r="X238" s="5">
        <f>VLOOKUP($A238,'NonXtal_SegEnds_Prot#'!$A:$AL,21,FALSE)</f>
        <v>154</v>
      </c>
      <c r="Y238" s="5">
        <f>VLOOKUP($A238,'NonXtal_SegEnds_Prot#'!$A:$AL,24,FALSE)</f>
        <v>197</v>
      </c>
      <c r="Z238" s="5">
        <f>VLOOKUP($A238,'NonXtal_SegEnds_Prot#'!$A:$AL,27,FALSE)</f>
        <v>208</v>
      </c>
      <c r="AA238" s="5">
        <f>VLOOKUP($A238,'NonXtal_SegEnds_Prot#'!$A:$AL,30,FALSE)</f>
        <v>302</v>
      </c>
      <c r="AB238" s="5">
        <f>VLOOKUP($A238,'NonXtal_SegEnds_Prot#'!$A:$AL,33,FALSE)</f>
        <v>345</v>
      </c>
      <c r="AC238" s="5">
        <f>VLOOKUP($A238,'NonXtal_SegEnds_Prot#'!$A:$AL,36,FALSE)</f>
        <v>371</v>
      </c>
      <c r="AD238" s="5">
        <f>VLOOKUP($A238,'NonXtal_SegEnds_Prot#'!$A:$AL,5,FALSE)</f>
        <v>69</v>
      </c>
      <c r="AE238" s="5">
        <f>VLOOKUP($A238,'NonXtal_SegEnds_Prot#'!$A:$AL,8,FALSE)</f>
        <v>73</v>
      </c>
      <c r="AF238" s="5">
        <f>VLOOKUP($A238,'NonXtal_SegEnds_Prot#'!$A:$AL,11,FALSE)</f>
        <v>105</v>
      </c>
      <c r="AG238" s="5" t="str">
        <f>VLOOKUP($A238,'NonXtal_SegEnds_Prot#'!$A:$AL,14,FALSE)</f>
        <v>-</v>
      </c>
      <c r="AH238" s="5">
        <f>VLOOKUP($A238,'NonXtal_SegEnds_Prot#'!$A:$AL,17,FALSE)</f>
        <v>146</v>
      </c>
      <c r="AI238" s="5">
        <f>VLOOKUP($A238,'NonXtal_SegEnds_Prot#'!$A:$AL,20,FALSE)</f>
        <v>153</v>
      </c>
      <c r="AJ238" s="5">
        <f>VLOOKUP($A238,'NonXtal_SegEnds_Prot#'!$A:$AL,23,FALSE)</f>
        <v>178</v>
      </c>
      <c r="AK238" s="5">
        <f>VLOOKUP($A238,'NonXtal_SegEnds_Prot#'!$A:$AL,26,FALSE)</f>
        <v>199</v>
      </c>
      <c r="AL238" s="5">
        <f>VLOOKUP($A238,'NonXtal_SegEnds_Prot#'!$A:$AL,29,FALSE)</f>
        <v>247</v>
      </c>
      <c r="AM238" s="5">
        <f>VLOOKUP($A238,'NonXtal_SegEnds_Prot#'!$A:$AL,32,FALSE)</f>
        <v>339</v>
      </c>
      <c r="AN238" s="5">
        <f>VLOOKUP($A238,'NonXtal_SegEnds_Prot#'!$A:$AL,35,FALSE)</f>
        <v>370</v>
      </c>
      <c r="AO238" s="5">
        <f>VLOOKUP($A238,'NonXtal_SegEnds_Prot#'!$A:$AL,38,FALSE)</f>
        <v>383</v>
      </c>
      <c r="AP238" s="5">
        <f t="shared" si="88"/>
        <v>26</v>
      </c>
      <c r="AQ238" s="4">
        <f t="shared" si="89"/>
        <v>3</v>
      </c>
      <c r="AR238" s="4">
        <f t="shared" si="90"/>
        <v>31</v>
      </c>
      <c r="AS238" s="4" t="str">
        <f t="shared" si="91"/>
        <v>-</v>
      </c>
      <c r="AT238" s="4">
        <f t="shared" si="92"/>
        <v>38</v>
      </c>
      <c r="AU238" s="4">
        <f t="shared" si="93"/>
        <v>6</v>
      </c>
      <c r="AV238" s="4">
        <f t="shared" si="94"/>
        <v>24</v>
      </c>
      <c r="AW238" s="4">
        <f t="shared" si="95"/>
        <v>2</v>
      </c>
      <c r="AX238" s="4">
        <f t="shared" si="96"/>
        <v>39</v>
      </c>
      <c r="AY238" s="4">
        <f t="shared" si="97"/>
        <v>37</v>
      </c>
      <c r="AZ238" s="4">
        <f t="shared" si="98"/>
        <v>25</v>
      </c>
      <c r="BA238" s="4">
        <f t="shared" si="99"/>
        <v>12</v>
      </c>
    </row>
    <row r="239" spans="1:53" x14ac:dyDescent="0.2">
      <c r="A239" s="1" t="str">
        <f>'NonXtal_SegEnds_Prot#'!A224</f>
        <v>hrh1_human</v>
      </c>
      <c r="B239" s="1" t="str">
        <f t="shared" si="75"/>
        <v>PLVVVLSTICLVTVGLNLLVLYAVRSETVGNLYIVSLSVADLIVGAVVMPMNILYLLMGRPLCLFWLSMDYVASTASIFSVFILCIDRYRSVQQKTRASATILGAWFLSFLWVIPILGVTWFKVMTAIINFYLPTLLMLWFYAKIYKAVRQHCQHRELINGLHMNRERKAAKQLGFIMAAFILCWIPYFIFFMVIAFCNEHLHMFTIWLGYINSTLNPLIYPLCNENFKKTFKRILH</v>
      </c>
      <c r="C239" s="72" t="str">
        <f>IF(ISERROR(MATCH(A239,'Xtal_SegEnds_Prot#'!B:B,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239" s="5" t="str">
        <f t="shared" si="76"/>
        <v>PLVVVLSTICLVTVGLNLLVLYAVRSE</v>
      </c>
      <c r="G239" s="4" t="str">
        <f t="shared" si="77"/>
        <v>RKLH</v>
      </c>
      <c r="H239" s="4" t="str">
        <f t="shared" si="78"/>
        <v>TVGNLYIVSLSVADLIVGAVVMPMNILYLLM</v>
      </c>
      <c r="I239" s="4" t="str">
        <f t="shared" si="79"/>
        <v>KWSL</v>
      </c>
      <c r="J239" s="4" t="str">
        <f t="shared" si="80"/>
        <v>GRPLCLFWLSMDYVASTASIFSVFILCIDRYRSVQQ</v>
      </c>
      <c r="K239" s="4" t="str">
        <f t="shared" si="81"/>
        <v>PLRYLKYR</v>
      </c>
      <c r="L239" s="4" t="str">
        <f t="shared" si="82"/>
        <v>KTRASATILGAWFLSFLWVIPILG</v>
      </c>
      <c r="M239" s="4" t="str">
        <f t="shared" si="83"/>
        <v>CET</v>
      </c>
      <c r="N239" s="4" t="str">
        <f t="shared" si="84"/>
        <v>VTWFKVMTAIINFYLPTLLMLWFYAKIYKAVRQHCQHRELIN</v>
      </c>
      <c r="O239" s="4" t="str">
        <f t="shared" si="85"/>
        <v>GLHMNRERKAAKQLGFIMAAFILCWIPYFIFFMVIAFC</v>
      </c>
      <c r="P239" s="4" t="str">
        <f t="shared" si="86"/>
        <v>NEHLHMFTIWLGYINSTLNPLIYPLC</v>
      </c>
      <c r="Q239" s="4" t="str">
        <f t="shared" si="87"/>
        <v>NENFKKTFKRILH</v>
      </c>
      <c r="R239" s="5">
        <f>VLOOKUP($A239,'NonXtal_SegEnds_Prot#'!$A:$AL,3,FALSE)</f>
        <v>29</v>
      </c>
      <c r="S239" s="5">
        <f>VLOOKUP($A239,'NonXtal_SegEnds_Prot#'!$A:$AL,6,FALSE)</f>
        <v>56</v>
      </c>
      <c r="T239" s="5">
        <f>VLOOKUP($A239,'NonXtal_SegEnds_Prot#'!$A:$AL,9,FALSE)</f>
        <v>60</v>
      </c>
      <c r="U239" s="5">
        <f>VLOOKUP($A239,'NonXtal_SegEnds_Prot#'!$A:$AL,12,FALSE)</f>
        <v>92</v>
      </c>
      <c r="V239" s="5">
        <f>VLOOKUP($A239,'NonXtal_SegEnds_Prot#'!$A:$AL,15,FALSE)</f>
        <v>96</v>
      </c>
      <c r="W239" s="5">
        <f>VLOOKUP($A239,'NonXtal_SegEnds_Prot#'!$A:$AL,18,FALSE)</f>
        <v>132</v>
      </c>
      <c r="X239" s="5">
        <f>VLOOKUP($A239,'NonXtal_SegEnds_Prot#'!$A:$AL,21,FALSE)</f>
        <v>141</v>
      </c>
      <c r="Y239" s="5">
        <f>VLOOKUP($A239,'NonXtal_SegEnds_Prot#'!$A:$AL,24,FALSE)</f>
        <v>180</v>
      </c>
      <c r="Z239" s="5">
        <f>VLOOKUP($A239,'NonXtal_SegEnds_Prot#'!$A:$AL,27,FALSE)</f>
        <v>187</v>
      </c>
      <c r="AA239" s="5">
        <f>VLOOKUP($A239,'NonXtal_SegEnds_Prot#'!$A:$AL,30,FALSE)</f>
        <v>404</v>
      </c>
      <c r="AB239" s="5">
        <f>VLOOKUP($A239,'NonXtal_SegEnds_Prot#'!$A:$AL,33,FALSE)</f>
        <v>446</v>
      </c>
      <c r="AC239" s="5">
        <f>VLOOKUP($A239,'NonXtal_SegEnds_Prot#'!$A:$AL,36,FALSE)</f>
        <v>472</v>
      </c>
      <c r="AD239" s="5">
        <f>VLOOKUP($A239,'NonXtal_SegEnds_Prot#'!$A:$AL,5,FALSE)</f>
        <v>55</v>
      </c>
      <c r="AE239" s="5">
        <f>VLOOKUP($A239,'NonXtal_SegEnds_Prot#'!$A:$AL,8,FALSE)</f>
        <v>59</v>
      </c>
      <c r="AF239" s="5">
        <f>VLOOKUP($A239,'NonXtal_SegEnds_Prot#'!$A:$AL,11,FALSE)</f>
        <v>90</v>
      </c>
      <c r="AG239" s="5">
        <f>VLOOKUP($A239,'NonXtal_SegEnds_Prot#'!$A:$AL,14,FALSE)</f>
        <v>95</v>
      </c>
      <c r="AH239" s="5">
        <f>VLOOKUP($A239,'NonXtal_SegEnds_Prot#'!$A:$AL,17,FALSE)</f>
        <v>131</v>
      </c>
      <c r="AI239" s="5">
        <f>VLOOKUP($A239,'NonXtal_SegEnds_Prot#'!$A:$AL,20,FALSE)</f>
        <v>139</v>
      </c>
      <c r="AJ239" s="5">
        <f>VLOOKUP($A239,'NonXtal_SegEnds_Prot#'!$A:$AL,23,FALSE)</f>
        <v>164</v>
      </c>
      <c r="AK239" s="5">
        <f>VLOOKUP($A239,'NonXtal_SegEnds_Prot#'!$A:$AL,26,FALSE)</f>
        <v>182</v>
      </c>
      <c r="AL239" s="5">
        <f>VLOOKUP($A239,'NonXtal_SegEnds_Prot#'!$A:$AL,29,FALSE)</f>
        <v>228</v>
      </c>
      <c r="AM239" s="5">
        <f>VLOOKUP($A239,'NonXtal_SegEnds_Prot#'!$A:$AL,32,FALSE)</f>
        <v>441</v>
      </c>
      <c r="AN239" s="5">
        <f>VLOOKUP($A239,'NonXtal_SegEnds_Prot#'!$A:$AL,35,FALSE)</f>
        <v>471</v>
      </c>
      <c r="AO239" s="5">
        <f>VLOOKUP($A239,'NonXtal_SegEnds_Prot#'!$A:$AL,38,FALSE)</f>
        <v>484</v>
      </c>
      <c r="AP239" s="5">
        <f t="shared" si="88"/>
        <v>26</v>
      </c>
      <c r="AQ239" s="4">
        <f t="shared" si="89"/>
        <v>3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23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25</v>
      </c>
      <c r="BA239" s="4">
        <f t="shared" si="99"/>
        <v>12</v>
      </c>
    </row>
    <row r="240" spans="1:53" x14ac:dyDescent="0.2">
      <c r="A240" s="1" t="str">
        <f>'NonXtal_SegEnds_Prot#'!A225</f>
        <v>gp160_human</v>
      </c>
      <c r="B240" s="1" t="str">
        <f t="shared" si="75"/>
        <v>DVNYLLFLIILGKILLNILTLGMRRKNNFMEYFCISLAFVDLLLLVNISIILYFRDFVRFTKYHICLFTQIISFTYGFLHYPVFLTACIDYCLNFSKKLFYFFTVILIWISVLAYVLGDPAIQSYWLSFFMVMILFVAFITCWEEVTTLVQAIRITSYMNESHSSYTVRSKKIFLSKLIVCFLSTWLPFVLLQVIIVLLPAYIEMNIPWLYFVNSFLIATVYWFNCHKLNLKDIGLPL</v>
      </c>
      <c r="C240" s="72" t="str">
        <f>IF(ISERROR(MATCH(A240,'Xtal_SegEnds_Prot#'!B:B,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40" s="5" t="str">
        <f t="shared" si="76"/>
        <v>DVNYLLFLIILGKILLNILTLGMRRKN</v>
      </c>
      <c r="G240" s="4" t="str">
        <f t="shared" si="77"/>
        <v/>
      </c>
      <c r="H240" s="4" t="str">
        <f t="shared" si="78"/>
        <v>NFMEYFCISLAFVDLLLLVNISIILYFRDFV</v>
      </c>
      <c r="I240" s="4" t="str">
        <f t="shared" si="79"/>
        <v/>
      </c>
      <c r="J240" s="4" t="str">
        <f t="shared" si="80"/>
        <v>RFTKYHICLFTQIISFTYGFLHYPVFLTACIDYCLNFSK</v>
      </c>
      <c r="K240" s="4" t="str">
        <f t="shared" si="81"/>
        <v/>
      </c>
      <c r="L240" s="4" t="str">
        <f t="shared" si="82"/>
        <v>KLFYFFTVILIWISVLAYVLGDPAI</v>
      </c>
      <c r="M240" s="4" t="str">
        <f t="shared" si="83"/>
        <v>CPF</v>
      </c>
      <c r="N240" s="4" t="str">
        <f t="shared" si="84"/>
        <v>QSYWLSFFMVMILFVAFITCWEEVTTLVQAIRITSYMNE</v>
      </c>
      <c r="O240" s="4" t="str">
        <f t="shared" si="85"/>
        <v>SHSSYTVRSKKIFLSKLIVCFLSTWLPFVLLQVIIVLL</v>
      </c>
      <c r="P240" s="4" t="str">
        <f t="shared" si="86"/>
        <v>PAYIEMNIPWLYFVNSFLIATVYWFN</v>
      </c>
      <c r="Q240" s="4" t="str">
        <f t="shared" si="87"/>
        <v>CHKLNLKDIGLPL</v>
      </c>
      <c r="R240" s="5">
        <f>VLOOKUP($A240,'NonXtal_SegEnds_Prot#'!$A:$AL,3,FALSE)</f>
        <v>23</v>
      </c>
      <c r="S240" s="5" t="str">
        <f>VLOOKUP($A240,'NonXtal_SegEnds_Prot#'!$A:$AL,6,FALSE)</f>
        <v>-</v>
      </c>
      <c r="T240" s="5">
        <f>VLOOKUP($A240,'NonXtal_SegEnds_Prot#'!$A:$AL,9,FALSE)</f>
        <v>53</v>
      </c>
      <c r="U240" s="5" t="str">
        <f>VLOOKUP($A240,'NonXtal_SegEnds_Prot#'!$A:$AL,12,FALSE)</f>
        <v>-</v>
      </c>
      <c r="V240" s="5">
        <f>VLOOKUP($A240,'NonXtal_SegEnds_Prot#'!$A:$AL,15,FALSE)</f>
        <v>88</v>
      </c>
      <c r="W240" s="5" t="str">
        <f>VLOOKUP($A240,'NonXtal_SegEnds_Prot#'!$A:$AL,18,FALSE)</f>
        <v>-</v>
      </c>
      <c r="X240" s="5">
        <f>VLOOKUP($A240,'NonXtal_SegEnds_Prot#'!$A:$AL,21,FALSE)</f>
        <v>136</v>
      </c>
      <c r="Y240" s="5">
        <f>VLOOKUP($A240,'NonXtal_SegEnds_Prot#'!$A:$AL,24,FALSE)</f>
        <v>174</v>
      </c>
      <c r="Z240" s="5">
        <f>VLOOKUP($A240,'NonXtal_SegEnds_Prot#'!$A:$AL,27,FALSE)</f>
        <v>181</v>
      </c>
      <c r="AA240" s="5">
        <f>VLOOKUP($A240,'NonXtal_SegEnds_Prot#'!$A:$AL,30,FALSE)</f>
        <v>228</v>
      </c>
      <c r="AB240" s="5">
        <f>VLOOKUP($A240,'NonXtal_SegEnds_Prot#'!$A:$AL,33,FALSE)</f>
        <v>270</v>
      </c>
      <c r="AC240" s="5">
        <f>VLOOKUP($A240,'NonXtal_SegEnds_Prot#'!$A:$AL,36,FALSE)</f>
        <v>296</v>
      </c>
      <c r="AD240" s="5">
        <f>VLOOKUP($A240,'NonXtal_SegEnds_Prot#'!$A:$AL,5,FALSE)</f>
        <v>49</v>
      </c>
      <c r="AE240" s="5" t="str">
        <f>VLOOKUP($A240,'NonXtal_SegEnds_Prot#'!$A:$AL,8,FALSE)</f>
        <v>-</v>
      </c>
      <c r="AF240" s="5">
        <f>VLOOKUP($A240,'NonXtal_SegEnds_Prot#'!$A:$AL,11,FALSE)</f>
        <v>83</v>
      </c>
      <c r="AG240" s="5" t="str">
        <f>VLOOKUP($A240,'NonXtal_SegEnds_Prot#'!$A:$AL,14,FALSE)</f>
        <v>-</v>
      </c>
      <c r="AH240" s="5">
        <f>VLOOKUP($A240,'NonXtal_SegEnds_Prot#'!$A:$AL,17,FALSE)</f>
        <v>126</v>
      </c>
      <c r="AI240" s="5" t="str">
        <f>VLOOKUP($A240,'NonXtal_SegEnds_Prot#'!$A:$AL,20,FALSE)</f>
        <v>-</v>
      </c>
      <c r="AJ240" s="5">
        <f>VLOOKUP($A240,'NonXtal_SegEnds_Prot#'!$A:$AL,23,FALSE)</f>
        <v>160</v>
      </c>
      <c r="AK240" s="5">
        <f>VLOOKUP($A240,'NonXtal_SegEnds_Prot#'!$A:$AL,26,FALSE)</f>
        <v>176</v>
      </c>
      <c r="AL240" s="5">
        <f>VLOOKUP($A240,'NonXtal_SegEnds_Prot#'!$A:$AL,29,FALSE)</f>
        <v>219</v>
      </c>
      <c r="AM240" s="5">
        <f>VLOOKUP($A240,'NonXtal_SegEnds_Prot#'!$A:$AL,32,FALSE)</f>
        <v>265</v>
      </c>
      <c r="AN240" s="5">
        <f>VLOOKUP($A240,'NonXtal_SegEnds_Prot#'!$A:$AL,35,FALSE)</f>
        <v>295</v>
      </c>
      <c r="AO240" s="5">
        <f>VLOOKUP($A240,'NonXtal_SegEnds_Prot#'!$A:$AL,38,FALSE)</f>
        <v>308</v>
      </c>
      <c r="AP240" s="5">
        <f t="shared" si="88"/>
        <v>26</v>
      </c>
      <c r="AQ240" s="4" t="str">
        <f t="shared" si="89"/>
        <v>-</v>
      </c>
      <c r="AR240" s="4">
        <f t="shared" si="90"/>
        <v>30</v>
      </c>
      <c r="AS240" s="4" t="str">
        <f t="shared" si="91"/>
        <v>-</v>
      </c>
      <c r="AT240" s="4">
        <f t="shared" si="92"/>
        <v>38</v>
      </c>
      <c r="AU240" s="4" t="str">
        <f t="shared" si="93"/>
        <v>-</v>
      </c>
      <c r="AV240" s="4">
        <f t="shared" si="94"/>
        <v>24</v>
      </c>
      <c r="AW240" s="4">
        <f t="shared" si="95"/>
        <v>2</v>
      </c>
      <c r="AX240" s="4">
        <f t="shared" si="96"/>
        <v>38</v>
      </c>
      <c r="AY240" s="4">
        <f t="shared" si="97"/>
        <v>37</v>
      </c>
      <c r="AZ240" s="4">
        <f t="shared" si="98"/>
        <v>25</v>
      </c>
      <c r="BA240" s="4">
        <f t="shared" si="99"/>
        <v>12</v>
      </c>
    </row>
    <row r="241" spans="1:53" x14ac:dyDescent="0.2">
      <c r="A241" s="1" t="str">
        <f>'NonXtal_SegEnds_Prot#'!A227</f>
        <v>cnr2_human</v>
      </c>
      <c r="B241" s="1" t="str">
        <f t="shared" si="75"/>
        <v>PQKTAVAVLCTLLGLLSALENVAVLYLILSSRKPSYLFIGSLAGADFLASVVFACSFVNFHVGVDSKAVFLLKIGSVTMTFTASVGSLLLTAIDRYLCLRYRGRALVTLGIMWVLSALVSYLPLMGPNDYLLSWLLFIAFLFSGIIYTYGHVLWKAHQHVASLSGVPGMARMRLDVRLAKTLGLVLAVLLICWFPVLALMAHSLATVKKAFAFCSMLCLINSMVNPVIYALRSGEIRSSAHHCLA</v>
      </c>
      <c r="C241" s="72" t="str">
        <f>IF(ISERROR(MATCH(A241,'Xtal_SegEnds_Prot#'!B:B,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241" s="5" t="str">
        <f t="shared" si="76"/>
        <v>PQKTAVAVLCTLLGLLSALENVAVLYLILSS</v>
      </c>
      <c r="G241" s="4" t="str">
        <f t="shared" si="77"/>
        <v>HQLR</v>
      </c>
      <c r="H241" s="4" t="str">
        <f t="shared" si="78"/>
        <v>RKPSYLFIGSLAGADFLASVVFACSFVNFHV</v>
      </c>
      <c r="I241" s="4" t="str">
        <f t="shared" si="79"/>
        <v/>
      </c>
      <c r="J241" s="4" t="str">
        <f t="shared" si="80"/>
        <v>GVDSKAVFLLKIGSVTMTFTASVGSLLLTAIDRYLCLRY</v>
      </c>
      <c r="K241" s="4" t="str">
        <f t="shared" si="81"/>
        <v>PPSYKALL</v>
      </c>
      <c r="L241" s="4" t="str">
        <f t="shared" si="82"/>
        <v>RGRALVTLGIMWVLSALVSYLPLMG</v>
      </c>
      <c r="M241" s="4" t="str">
        <f t="shared" si="83"/>
        <v/>
      </c>
      <c r="N241" s="4" t="str">
        <f t="shared" si="84"/>
        <v>PNDYLLSWLLFIAFLFSGIIYTYGHVLWKAHQHVASLSG</v>
      </c>
      <c r="O241" s="4" t="str">
        <f t="shared" si="85"/>
        <v>VPGMARMRLDVRLAKTLGLVLAVLLICWFPVLALMAHSLAT</v>
      </c>
      <c r="P241" s="4" t="str">
        <f t="shared" si="86"/>
        <v>VKKAFAFCSMLCLINSMVNPVIYALR</v>
      </c>
      <c r="Q241" s="4" t="str">
        <f t="shared" si="87"/>
        <v>SGEIRSSAHHCLA</v>
      </c>
      <c r="R241" s="5">
        <f>VLOOKUP($A241,'NonXtal_SegEnds_Prot#'!$A:$AL,3,FALSE)</f>
        <v>31</v>
      </c>
      <c r="S241" s="5">
        <f>VLOOKUP($A241,'NonXtal_SegEnds_Prot#'!$A:$AL,6,FALSE)</f>
        <v>62</v>
      </c>
      <c r="T241" s="5">
        <f>VLOOKUP($A241,'NonXtal_SegEnds_Prot#'!$A:$AL,9,FALSE)</f>
        <v>66</v>
      </c>
      <c r="U241" s="5" t="str">
        <f>VLOOKUP($A241,'NonXtal_SegEnds_Prot#'!$A:$AL,12,FALSE)</f>
        <v>-</v>
      </c>
      <c r="V241" s="5">
        <f>VLOOKUP($A241,'NonXtal_SegEnds_Prot#'!$A:$AL,15,FALSE)</f>
        <v>99</v>
      </c>
      <c r="W241" s="5">
        <f>VLOOKUP($A241,'NonXtal_SegEnds_Prot#'!$A:$AL,18,FALSE)</f>
        <v>138</v>
      </c>
      <c r="X241" s="5">
        <f>VLOOKUP($A241,'NonXtal_SegEnds_Prot#'!$A:$AL,21,FALSE)</f>
        <v>147</v>
      </c>
      <c r="Y241" s="5" t="str">
        <f>VLOOKUP($A241,'NonXtal_SegEnds_Prot#'!$A:$AL,24,FALSE)</f>
        <v>-</v>
      </c>
      <c r="Z241" s="5">
        <f>VLOOKUP($A241,'NonXtal_SegEnds_Prot#'!$A:$AL,27,FALSE)</f>
        <v>187</v>
      </c>
      <c r="AA241" s="5">
        <f>VLOOKUP($A241,'NonXtal_SegEnds_Prot#'!$A:$AL,30,FALSE)</f>
        <v>231</v>
      </c>
      <c r="AB241" s="5">
        <f>VLOOKUP($A241,'NonXtal_SegEnds_Prot#'!$A:$AL,33,FALSE)</f>
        <v>277</v>
      </c>
      <c r="AC241" s="5">
        <f>VLOOKUP($A241,'NonXtal_SegEnds_Prot#'!$A:$AL,36,FALSE)</f>
        <v>303</v>
      </c>
      <c r="AD241" s="5">
        <f>VLOOKUP($A241,'NonXtal_SegEnds_Prot#'!$A:$AL,5,FALSE)</f>
        <v>61</v>
      </c>
      <c r="AE241" s="5">
        <f>VLOOKUP($A241,'NonXtal_SegEnds_Prot#'!$A:$AL,8,FALSE)</f>
        <v>65</v>
      </c>
      <c r="AF241" s="5">
        <f>VLOOKUP($A241,'NonXtal_SegEnds_Prot#'!$A:$AL,11,FALSE)</f>
        <v>96</v>
      </c>
      <c r="AG241" s="5" t="str">
        <f>VLOOKUP($A241,'NonXtal_SegEnds_Prot#'!$A:$AL,14,FALSE)</f>
        <v>-</v>
      </c>
      <c r="AH241" s="5">
        <f>VLOOKUP($A241,'NonXtal_SegEnds_Prot#'!$A:$AL,17,FALSE)</f>
        <v>137</v>
      </c>
      <c r="AI241" s="5">
        <f>VLOOKUP($A241,'NonXtal_SegEnds_Prot#'!$A:$AL,20,FALSE)</f>
        <v>145</v>
      </c>
      <c r="AJ241" s="5">
        <f>VLOOKUP($A241,'NonXtal_SegEnds_Prot#'!$A:$AL,23,FALSE)</f>
        <v>171</v>
      </c>
      <c r="AK241" s="5" t="str">
        <f>VLOOKUP($A241,'NonXtal_SegEnds_Prot#'!$A:$AL,26,FALSE)</f>
        <v>-</v>
      </c>
      <c r="AL241" s="5">
        <f>VLOOKUP($A241,'NonXtal_SegEnds_Prot#'!$A:$AL,29,FALSE)</f>
        <v>225</v>
      </c>
      <c r="AM241" s="5">
        <f>VLOOKUP($A241,'NonXtal_SegEnds_Prot#'!$A:$AL,32,FALSE)</f>
        <v>271</v>
      </c>
      <c r="AN241" s="5">
        <f>VLOOKUP($A241,'NonXtal_SegEnds_Prot#'!$A:$AL,35,FALSE)</f>
        <v>302</v>
      </c>
      <c r="AO241" s="5">
        <f>VLOOKUP($A241,'NonXtal_SegEnds_Prot#'!$A:$AL,38,FALSE)</f>
        <v>315</v>
      </c>
      <c r="AP241" s="5">
        <f t="shared" si="88"/>
        <v>30</v>
      </c>
      <c r="AQ241" s="4">
        <f t="shared" si="89"/>
        <v>3</v>
      </c>
      <c r="AR241" s="4">
        <f t="shared" si="90"/>
        <v>30</v>
      </c>
      <c r="AS241" s="4" t="str">
        <f t="shared" si="91"/>
        <v>-</v>
      </c>
      <c r="AT241" s="4">
        <f t="shared" si="92"/>
        <v>38</v>
      </c>
      <c r="AU241" s="4">
        <f t="shared" si="93"/>
        <v>7</v>
      </c>
      <c r="AV241" s="4">
        <f t="shared" si="94"/>
        <v>24</v>
      </c>
      <c r="AW241" s="4" t="str">
        <f t="shared" si="95"/>
        <v>-</v>
      </c>
      <c r="AX241" s="4">
        <f t="shared" si="96"/>
        <v>38</v>
      </c>
      <c r="AY241" s="4">
        <f t="shared" si="97"/>
        <v>40</v>
      </c>
      <c r="AZ241" s="4">
        <f t="shared" si="98"/>
        <v>25</v>
      </c>
      <c r="BA241" s="4">
        <f t="shared" si="99"/>
        <v>12</v>
      </c>
    </row>
    <row r="242" spans="1:53" x14ac:dyDescent="0.2">
      <c r="A242" s="1" t="str">
        <f>'NonXtal_SegEnds_Prot#'!A228</f>
        <v>gpr3_human</v>
      </c>
      <c r="B242" s="1" t="str">
        <f t="shared" si="75"/>
        <v>PSPKAWDVVLCISGTLVSCENALVVAIIVGTAPMFLLVGSLAVADLLAGLGLVLHFAGSAEMSLVLVGVLAMAFTASIGSLLAITVDRYLSLYNVTRTYVMLALVWGGALGLGLLPVLASKNHLVVLAIAFFMVFGIMLQLYAQICRIVCRHAQQIALPASHYVATRKGIATLAVVLGAFAACWLPFTVYCLLGDAHYTYLTLLPATYNSMINPIIYAFRNQDVQKVLWAVCC</v>
      </c>
      <c r="C242" s="72" t="str">
        <f>IF(ISERROR(MATCH(A242,'Xtal_SegEnds_Prot#'!B:B,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242" s="5" t="str">
        <f t="shared" si="76"/>
        <v>PSPKAWDVVLCISGTLVSCENALVVAIIVGT</v>
      </c>
      <c r="G242" s="4" t="str">
        <f t="shared" si="77"/>
        <v>PAFR</v>
      </c>
      <c r="H242" s="4" t="str">
        <f t="shared" si="78"/>
        <v>APMFLLVGSLAVADLLAGLGLVLHFA</v>
      </c>
      <c r="I242" s="4" t="str">
        <f t="shared" si="79"/>
        <v>VFCI</v>
      </c>
      <c r="J242" s="4" t="str">
        <f t="shared" si="80"/>
        <v>GSAEMSLVLVGVLAMAFTASIGSLLAITVDRYLSLYN</v>
      </c>
      <c r="K242" s="4" t="str">
        <f t="shared" si="81"/>
        <v>ALTYYSET</v>
      </c>
      <c r="L242" s="4" t="str">
        <f t="shared" si="82"/>
        <v>VTRTYVMLALVWGGALGLGLLPVLA</v>
      </c>
      <c r="M242" s="4" t="str">
        <f t="shared" si="83"/>
        <v/>
      </c>
      <c r="N242" s="4" t="str">
        <f t="shared" si="84"/>
        <v>SKNHLVVLAIAFFMVFGIMLQLYAQICRIVCRHAQQIA</v>
      </c>
      <c r="O242" s="4" t="str">
        <f t="shared" si="85"/>
        <v>LPASHYVATRKGIATLAVVLGAFAACWLPFTVYCLLGDAH</v>
      </c>
      <c r="P242" s="4" t="str">
        <f t="shared" si="86"/>
        <v>YTYLTLLPATYNSMINPIIYAFR</v>
      </c>
      <c r="Q242" s="4" t="str">
        <f t="shared" si="87"/>
        <v>NQDVQKVLWAVCC</v>
      </c>
      <c r="R242" s="5">
        <f>VLOOKUP($A242,'NonXtal_SegEnds_Prot#'!$A:$AL,3,FALSE)</f>
        <v>38</v>
      </c>
      <c r="S242" s="5">
        <f>VLOOKUP($A242,'NonXtal_SegEnds_Prot#'!$A:$AL,6,FALSE)</f>
        <v>69</v>
      </c>
      <c r="T242" s="5">
        <f>VLOOKUP($A242,'NonXtal_SegEnds_Prot#'!$A:$AL,9,FALSE)</f>
        <v>73</v>
      </c>
      <c r="U242" s="5">
        <f>VLOOKUP($A242,'NonXtal_SegEnds_Prot#'!$A:$AL,12,FALSE)</f>
        <v>100</v>
      </c>
      <c r="V242" s="5">
        <f>VLOOKUP($A242,'NonXtal_SegEnds_Prot#'!$A:$AL,15,FALSE)</f>
        <v>104</v>
      </c>
      <c r="W242" s="5">
        <f>VLOOKUP($A242,'NonXtal_SegEnds_Prot#'!$A:$AL,18,FALSE)</f>
        <v>141</v>
      </c>
      <c r="X242" s="5">
        <f>VLOOKUP($A242,'NonXtal_SegEnds_Prot#'!$A:$AL,21,FALSE)</f>
        <v>150</v>
      </c>
      <c r="Y242" s="5" t="str">
        <f>VLOOKUP($A242,'NonXtal_SegEnds_Prot#'!$A:$AL,24,FALSE)</f>
        <v>-</v>
      </c>
      <c r="Z242" s="5">
        <f>VLOOKUP($A242,'NonXtal_SegEnds_Prot#'!$A:$AL,27,FALSE)</f>
        <v>191</v>
      </c>
      <c r="AA242" s="5">
        <f>VLOOKUP($A242,'NonXtal_SegEnds_Prot#'!$A:$AL,30,FALSE)</f>
        <v>234</v>
      </c>
      <c r="AB242" s="5">
        <f>VLOOKUP($A242,'NonXtal_SegEnds_Prot#'!$A:$AL,33,FALSE)</f>
        <v>278</v>
      </c>
      <c r="AC242" s="5">
        <f>VLOOKUP($A242,'NonXtal_SegEnds_Prot#'!$A:$AL,36,FALSE)</f>
        <v>301</v>
      </c>
      <c r="AD242" s="5">
        <f>VLOOKUP($A242,'NonXtal_SegEnds_Prot#'!$A:$AL,5,FALSE)</f>
        <v>68</v>
      </c>
      <c r="AE242" s="5">
        <f>VLOOKUP($A242,'NonXtal_SegEnds_Prot#'!$A:$AL,8,FALSE)</f>
        <v>72</v>
      </c>
      <c r="AF242" s="5">
        <f>VLOOKUP($A242,'NonXtal_SegEnds_Prot#'!$A:$AL,11,FALSE)</f>
        <v>98</v>
      </c>
      <c r="AG242" s="5">
        <f>VLOOKUP($A242,'NonXtal_SegEnds_Prot#'!$A:$AL,14,FALSE)</f>
        <v>103</v>
      </c>
      <c r="AH242" s="5">
        <f>VLOOKUP($A242,'NonXtal_SegEnds_Prot#'!$A:$AL,17,FALSE)</f>
        <v>140</v>
      </c>
      <c r="AI242" s="5">
        <f>VLOOKUP($A242,'NonXtal_SegEnds_Prot#'!$A:$AL,20,FALSE)</f>
        <v>148</v>
      </c>
      <c r="AJ242" s="5">
        <f>VLOOKUP($A242,'NonXtal_SegEnds_Prot#'!$A:$AL,23,FALSE)</f>
        <v>174</v>
      </c>
      <c r="AK242" s="5" t="str">
        <f>VLOOKUP($A242,'NonXtal_SegEnds_Prot#'!$A:$AL,26,FALSE)</f>
        <v>-</v>
      </c>
      <c r="AL242" s="5">
        <f>VLOOKUP($A242,'NonXtal_SegEnds_Prot#'!$A:$AL,29,FALSE)</f>
        <v>228</v>
      </c>
      <c r="AM242" s="5">
        <f>VLOOKUP($A242,'NonXtal_SegEnds_Prot#'!$A:$AL,32,FALSE)</f>
        <v>273</v>
      </c>
      <c r="AN242" s="5">
        <f>VLOOKUP($A242,'NonXtal_SegEnds_Prot#'!$A:$AL,35,FALSE)</f>
        <v>300</v>
      </c>
      <c r="AO242" s="5">
        <f>VLOOKUP($A242,'NonXtal_SegEnds_Prot#'!$A:$AL,38,FALSE)</f>
        <v>313</v>
      </c>
      <c r="AP242" s="5">
        <f t="shared" si="88"/>
        <v>30</v>
      </c>
      <c r="AQ242" s="4">
        <f t="shared" si="89"/>
        <v>3</v>
      </c>
      <c r="AR242" s="4">
        <f t="shared" si="90"/>
        <v>25</v>
      </c>
      <c r="AS242" s="4">
        <f t="shared" si="91"/>
        <v>3</v>
      </c>
      <c r="AT242" s="4">
        <f t="shared" si="92"/>
        <v>36</v>
      </c>
      <c r="AU242" s="4">
        <f t="shared" si="93"/>
        <v>7</v>
      </c>
      <c r="AV242" s="4">
        <f t="shared" si="94"/>
        <v>24</v>
      </c>
      <c r="AW242" s="4" t="str">
        <f t="shared" si="95"/>
        <v>-</v>
      </c>
      <c r="AX242" s="4">
        <f t="shared" si="96"/>
        <v>37</v>
      </c>
      <c r="AY242" s="4">
        <f t="shared" si="97"/>
        <v>39</v>
      </c>
      <c r="AZ242" s="4">
        <f t="shared" si="98"/>
        <v>22</v>
      </c>
      <c r="BA242" s="4">
        <f t="shared" si="99"/>
        <v>12</v>
      </c>
    </row>
    <row r="243" spans="1:53" x14ac:dyDescent="0.2">
      <c r="A243" s="1" t="str">
        <f>'NonXtal_SegEnds_Prot#'!A229</f>
        <v>lpar1_human</v>
      </c>
      <c r="B243" s="1" t="str">
        <f t="shared" si="75"/>
        <v>TVSKLVMGLGITVCIFIMLANLLVMVAIYVNFPIYYLMANLAAADFFAGLAYFYLMFNTVSTWLLRQGLIDTSLTASVANLLAIAIERHITVFRNRRVVVVIVVIWTMAIVMGAIPSVGSDSYLVFWAIFNLVTFVVMVVLYAHIFGYVRQRTMRMSGPRRNRDTMMSLLKTVVIVLGAFIICWTPGLVLLLLDVCCDVLAYEKFFLLLAEFNSAMNPIIYSYRDKEMSATFRQILC</v>
      </c>
      <c r="C243" s="72" t="str">
        <f>IF(ISERROR(MATCH(A243,'Xtal_SegEnds_Prot#'!B:B, 0)), "NoXtal", "Xtal")</f>
        <v>Xtal</v>
      </c>
      <c r="D243" s="4" t="str">
        <f>VLOOKUP(A243,Classification!A:D,2,FALSE)</f>
        <v>A</v>
      </c>
      <c r="E243" s="5" t="str">
        <f>VLOOKUP(A243,Seqs!A:B,2,FALSE)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243" s="5" t="str">
        <f t="shared" si="76"/>
        <v>TVSKLVMGLGITVCIFIMLANLLVMVAIYVN</v>
      </c>
      <c r="G243" s="4" t="str">
        <f t="shared" si="77"/>
        <v>RRFH</v>
      </c>
      <c r="H243" s="4" t="str">
        <f t="shared" si="78"/>
        <v>FPIYYLMANLAAADFFAGLAYFYLMFN</v>
      </c>
      <c r="I243" s="4" t="str">
        <f t="shared" si="79"/>
        <v>GPNTRRL</v>
      </c>
      <c r="J243" s="4" t="str">
        <f t="shared" si="80"/>
        <v>TVSTWLLRQGLIDTSLTASVANLLAIAIERHITVFR</v>
      </c>
      <c r="K243" s="4" t="str">
        <f t="shared" si="81"/>
        <v>MQLHTRMS</v>
      </c>
      <c r="L243" s="4" t="str">
        <f t="shared" si="82"/>
        <v>NRRVVVVIVVIWTMAIVMGAIPSVG</v>
      </c>
      <c r="M243" s="4" t="str">
        <f t="shared" si="83"/>
        <v/>
      </c>
      <c r="N243" s="4" t="str">
        <f t="shared" si="84"/>
        <v>SDSYLVFWAIFNLVTFVVMVVLYAHIFGYVRQRTMRMS</v>
      </c>
      <c r="O243" s="4" t="str">
        <f t="shared" si="85"/>
        <v>GPRRNRDTMMSLLKTVVIVLGAFIICWTPGLVLLLLDVCC</v>
      </c>
      <c r="P243" s="4" t="str">
        <f t="shared" si="86"/>
        <v>DVLAYEKFFLLLAEFNSAMNPIIYSYR</v>
      </c>
      <c r="Q243" s="4" t="str">
        <f t="shared" si="87"/>
        <v>DKEMSATFRQILC</v>
      </c>
      <c r="R243" s="5">
        <f>VLOOKUP($A243,'NonXtal_SegEnds_Prot#'!$A:$AL,3,FALSE)</f>
        <v>47</v>
      </c>
      <c r="S243" s="5">
        <f>VLOOKUP($A243,'NonXtal_SegEnds_Prot#'!$A:$AL,6,FALSE)</f>
        <v>78</v>
      </c>
      <c r="T243" s="5">
        <f>VLOOKUP($A243,'NonXtal_SegEnds_Prot#'!$A:$AL,9,FALSE)</f>
        <v>82</v>
      </c>
      <c r="U243" s="5">
        <f>VLOOKUP($A243,'NonXtal_SegEnds_Prot#'!$A:$AL,12,FALSE)</f>
        <v>110</v>
      </c>
      <c r="V243" s="5">
        <f>VLOOKUP($A243,'NonXtal_SegEnds_Prot#'!$A:$AL,15,FALSE)</f>
        <v>117</v>
      </c>
      <c r="W243" s="5">
        <f>VLOOKUP($A243,'NonXtal_SegEnds_Prot#'!$A:$AL,18,FALSE)</f>
        <v>153</v>
      </c>
      <c r="X243" s="5">
        <f>VLOOKUP($A243,'NonXtal_SegEnds_Prot#'!$A:$AL,21,FALSE)</f>
        <v>161</v>
      </c>
      <c r="Y243" s="5" t="str">
        <f>VLOOKUP($A243,'NonXtal_SegEnds_Prot#'!$A:$AL,24,FALSE)</f>
        <v>-</v>
      </c>
      <c r="Z243" s="5">
        <f>VLOOKUP($A243,'NonXtal_SegEnds_Prot#'!$A:$AL,27,FALSE)</f>
        <v>203</v>
      </c>
      <c r="AA243" s="5">
        <f>VLOOKUP($A243,'NonXtal_SegEnds_Prot#'!$A:$AL,30,FALSE)</f>
        <v>245</v>
      </c>
      <c r="AB243" s="5">
        <f>VLOOKUP($A243,'NonXtal_SegEnds_Prot#'!$A:$AL,33,FALSE)</f>
        <v>288</v>
      </c>
      <c r="AC243" s="5">
        <f>VLOOKUP($A243,'NonXtal_SegEnds_Prot#'!$A:$AL,36,FALSE)</f>
        <v>315</v>
      </c>
      <c r="AD243" s="5">
        <f>VLOOKUP($A243,'NonXtal_SegEnds_Prot#'!$A:$AL,5,FALSE)</f>
        <v>77</v>
      </c>
      <c r="AE243" s="5">
        <f>VLOOKUP($A243,'NonXtal_SegEnds_Prot#'!$A:$AL,8,FALSE)</f>
        <v>81</v>
      </c>
      <c r="AF243" s="5">
        <f>VLOOKUP($A243,'NonXtal_SegEnds_Prot#'!$A:$AL,11,FALSE)</f>
        <v>108</v>
      </c>
      <c r="AG243" s="5">
        <f>VLOOKUP($A243,'NonXtal_SegEnds_Prot#'!$A:$AL,14,FALSE)</f>
        <v>116</v>
      </c>
      <c r="AH243" s="5">
        <f>VLOOKUP($A243,'NonXtal_SegEnds_Prot#'!$A:$AL,17,FALSE)</f>
        <v>152</v>
      </c>
      <c r="AI243" s="5">
        <f>VLOOKUP($A243,'NonXtal_SegEnds_Prot#'!$A:$AL,20,FALSE)</f>
        <v>160</v>
      </c>
      <c r="AJ243" s="5">
        <f>VLOOKUP($A243,'NonXtal_SegEnds_Prot#'!$A:$AL,23,FALSE)</f>
        <v>185</v>
      </c>
      <c r="AK243" s="5" t="str">
        <f>VLOOKUP($A243,'NonXtal_SegEnds_Prot#'!$A:$AL,26,FALSE)</f>
        <v>-</v>
      </c>
      <c r="AL243" s="5">
        <f>VLOOKUP($A243,'NonXtal_SegEnds_Prot#'!$A:$AL,29,FALSE)</f>
        <v>240</v>
      </c>
      <c r="AM243" s="5">
        <f>VLOOKUP($A243,'NonXtal_SegEnds_Prot#'!$A:$AL,32,FALSE)</f>
        <v>284</v>
      </c>
      <c r="AN243" s="5">
        <f>VLOOKUP($A243,'NonXtal_SegEnds_Prot#'!$A:$AL,35,FALSE)</f>
        <v>314</v>
      </c>
      <c r="AO243" s="5">
        <f>VLOOKUP($A243,'NonXtal_SegEnds_Prot#'!$A:$AL,38,FALSE)</f>
        <v>327</v>
      </c>
      <c r="AP243" s="5">
        <f t="shared" si="88"/>
        <v>30</v>
      </c>
      <c r="AQ243" s="4">
        <f t="shared" si="89"/>
        <v>3</v>
      </c>
      <c r="AR243" s="4">
        <f t="shared" si="90"/>
        <v>26</v>
      </c>
      <c r="AS243" s="4">
        <f t="shared" si="91"/>
        <v>6</v>
      </c>
      <c r="AT243" s="4">
        <f t="shared" si="92"/>
        <v>35</v>
      </c>
      <c r="AU243" s="4">
        <f t="shared" si="93"/>
        <v>7</v>
      </c>
      <c r="AV243" s="4">
        <f t="shared" si="94"/>
        <v>24</v>
      </c>
      <c r="AW243" s="4" t="str">
        <f t="shared" si="95"/>
        <v>-</v>
      </c>
      <c r="AX243" s="4">
        <f t="shared" si="96"/>
        <v>37</v>
      </c>
      <c r="AY243" s="4">
        <f t="shared" si="97"/>
        <v>39</v>
      </c>
      <c r="AZ243" s="4">
        <f t="shared" si="98"/>
        <v>26</v>
      </c>
      <c r="BA243" s="4">
        <f t="shared" si="99"/>
        <v>12</v>
      </c>
    </row>
    <row r="244" spans="1:53" x14ac:dyDescent="0.2">
      <c r="A244" s="1" t="str">
        <f>'NonXtal_SegEnds_Prot#'!A230</f>
        <v>lpar2_human</v>
      </c>
      <c r="B244" s="1" t="str">
        <f t="shared" si="75"/>
        <v>PKDVVVVALGLTVSVLVLLTNLLVIAAIASNQPIYYLLGNLAAADLFAGVAYLFLMFHSLEGWFLRQGLLDTSLTASVATLLAIAVERHRSVMARGRVVMLIVGVWVAALGLGLLPAHSSRSYLAVWALSSLLVFLLMVAVYTRIFFYVRRRVQRMACHPRYRETTLSLVKTVVIILGAFVVCWTPGQVVLLLDGLGNVLAVEKYFLLLAEANSLVNAAVYSCRDAEMRRTFRRLLC</v>
      </c>
      <c r="C244" s="72" t="str">
        <f>IF(ISERROR(MATCH(A244,'Xtal_SegEnds_Prot#'!B:B,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244" s="5" t="str">
        <f t="shared" si="76"/>
        <v>PKDVVVVALGLTVSVLVLLTNLLVIAAIASN</v>
      </c>
      <c r="G244" s="4" t="str">
        <f t="shared" si="77"/>
        <v>RRFH</v>
      </c>
      <c r="H244" s="4" t="str">
        <f t="shared" si="78"/>
        <v>QPIYYLLGNLAAADLFAGVAYLFLMFH</v>
      </c>
      <c r="I244" s="4" t="str">
        <f t="shared" si="79"/>
        <v>GPRTARL</v>
      </c>
      <c r="J244" s="4" t="str">
        <f t="shared" si="80"/>
        <v>SLEGWFLRQGLLDTSLTASVATLLAIAVERHRSVMA</v>
      </c>
      <c r="K244" s="4" t="str">
        <f t="shared" si="81"/>
        <v>VQLHSRLP</v>
      </c>
      <c r="L244" s="4" t="str">
        <f t="shared" si="82"/>
        <v>RGRVVMLIVGVWVAALGLGLLPAHS</v>
      </c>
      <c r="M244" s="4" t="str">
        <f t="shared" si="83"/>
        <v/>
      </c>
      <c r="N244" s="4" t="str">
        <f t="shared" si="84"/>
        <v>SRSYLAVWALSSLLVFLLMVAVYTRIFFYVRRRVQRMA</v>
      </c>
      <c r="O244" s="4" t="str">
        <f t="shared" si="85"/>
        <v>CHPRYRETTLSLVKTVVIILGAFVVCWTPGQVVLLLDGLG</v>
      </c>
      <c r="P244" s="4" t="str">
        <f t="shared" si="86"/>
        <v>NVLAVEKYFLLLAEANSLVNAAVYSCR</v>
      </c>
      <c r="Q244" s="4" t="str">
        <f t="shared" si="87"/>
        <v>DAEMRRTFRRLLC</v>
      </c>
      <c r="R244" s="5">
        <f>VLOOKUP($A244,'NonXtal_SegEnds_Prot#'!$A:$AL,3,FALSE)</f>
        <v>30</v>
      </c>
      <c r="S244" s="5">
        <f>VLOOKUP($A244,'NonXtal_SegEnds_Prot#'!$A:$AL,6,FALSE)</f>
        <v>61</v>
      </c>
      <c r="T244" s="5">
        <f>VLOOKUP($A244,'NonXtal_SegEnds_Prot#'!$A:$AL,9,FALSE)</f>
        <v>65</v>
      </c>
      <c r="U244" s="5">
        <f>VLOOKUP($A244,'NonXtal_SegEnds_Prot#'!$A:$AL,12,FALSE)</f>
        <v>93</v>
      </c>
      <c r="V244" s="5">
        <f>VLOOKUP($A244,'NonXtal_SegEnds_Prot#'!$A:$AL,15,FALSE)</f>
        <v>100</v>
      </c>
      <c r="W244" s="5">
        <f>VLOOKUP($A244,'NonXtal_SegEnds_Prot#'!$A:$AL,18,FALSE)</f>
        <v>136</v>
      </c>
      <c r="X244" s="5">
        <f>VLOOKUP($A244,'NonXtal_SegEnds_Prot#'!$A:$AL,21,FALSE)</f>
        <v>144</v>
      </c>
      <c r="Y244" s="5" t="str">
        <f>VLOOKUP($A244,'NonXtal_SegEnds_Prot#'!$A:$AL,24,FALSE)</f>
        <v>-</v>
      </c>
      <c r="Z244" s="5">
        <f>VLOOKUP($A244,'NonXtal_SegEnds_Prot#'!$A:$AL,27,FALSE)</f>
        <v>186</v>
      </c>
      <c r="AA244" s="5">
        <f>VLOOKUP($A244,'NonXtal_SegEnds_Prot#'!$A:$AL,30,FALSE)</f>
        <v>228</v>
      </c>
      <c r="AB244" s="5">
        <f>VLOOKUP($A244,'NonXtal_SegEnds_Prot#'!$A:$AL,33,FALSE)</f>
        <v>272</v>
      </c>
      <c r="AC244" s="5">
        <f>VLOOKUP($A244,'NonXtal_SegEnds_Prot#'!$A:$AL,36,FALSE)</f>
        <v>299</v>
      </c>
      <c r="AD244" s="5">
        <f>VLOOKUP($A244,'NonXtal_SegEnds_Prot#'!$A:$AL,5,FALSE)</f>
        <v>60</v>
      </c>
      <c r="AE244" s="5">
        <f>VLOOKUP($A244,'NonXtal_SegEnds_Prot#'!$A:$AL,8,FALSE)</f>
        <v>64</v>
      </c>
      <c r="AF244" s="5">
        <f>VLOOKUP($A244,'NonXtal_SegEnds_Prot#'!$A:$AL,11,FALSE)</f>
        <v>91</v>
      </c>
      <c r="AG244" s="5">
        <f>VLOOKUP($A244,'NonXtal_SegEnds_Prot#'!$A:$AL,14,FALSE)</f>
        <v>99</v>
      </c>
      <c r="AH244" s="5">
        <f>VLOOKUP($A244,'NonXtal_SegEnds_Prot#'!$A:$AL,17,FALSE)</f>
        <v>135</v>
      </c>
      <c r="AI244" s="5">
        <f>VLOOKUP($A244,'NonXtal_SegEnds_Prot#'!$A:$AL,20,FALSE)</f>
        <v>143</v>
      </c>
      <c r="AJ244" s="5">
        <f>VLOOKUP($A244,'NonXtal_SegEnds_Prot#'!$A:$AL,23,FALSE)</f>
        <v>168</v>
      </c>
      <c r="AK244" s="5" t="str">
        <f>VLOOKUP($A244,'NonXtal_SegEnds_Prot#'!$A:$AL,26,FALSE)</f>
        <v>-</v>
      </c>
      <c r="AL244" s="5">
        <f>VLOOKUP($A244,'NonXtal_SegEnds_Prot#'!$A:$AL,29,FALSE)</f>
        <v>223</v>
      </c>
      <c r="AM244" s="5">
        <f>VLOOKUP($A244,'NonXtal_SegEnds_Prot#'!$A:$AL,32,FALSE)</f>
        <v>267</v>
      </c>
      <c r="AN244" s="5">
        <f>VLOOKUP($A244,'NonXtal_SegEnds_Prot#'!$A:$AL,35,FALSE)</f>
        <v>298</v>
      </c>
      <c r="AO244" s="5">
        <f>VLOOKUP($A244,'NonXtal_SegEnds_Prot#'!$A:$AL,38,FALSE)</f>
        <v>311</v>
      </c>
      <c r="AP244" s="5">
        <f t="shared" si="88"/>
        <v>30</v>
      </c>
      <c r="AQ244" s="4">
        <f t="shared" si="89"/>
        <v>3</v>
      </c>
      <c r="AR244" s="4">
        <f t="shared" si="90"/>
        <v>26</v>
      </c>
      <c r="AS244" s="4">
        <f t="shared" si="91"/>
        <v>6</v>
      </c>
      <c r="AT244" s="4">
        <f t="shared" si="92"/>
        <v>35</v>
      </c>
      <c r="AU244" s="4">
        <f t="shared" si="93"/>
        <v>7</v>
      </c>
      <c r="AV244" s="4">
        <f t="shared" si="94"/>
        <v>24</v>
      </c>
      <c r="AW244" s="4" t="str">
        <f t="shared" si="95"/>
        <v>-</v>
      </c>
      <c r="AX244" s="4">
        <f t="shared" si="96"/>
        <v>37</v>
      </c>
      <c r="AY244" s="4">
        <f t="shared" si="97"/>
        <v>39</v>
      </c>
      <c r="AZ244" s="4">
        <f t="shared" si="98"/>
        <v>26</v>
      </c>
      <c r="BA244" s="4">
        <f t="shared" si="99"/>
        <v>12</v>
      </c>
    </row>
    <row r="245" spans="1:53" x14ac:dyDescent="0.2">
      <c r="A245" s="1" t="str">
        <f>'NonXtal_SegEnds_Prot#'!A231</f>
        <v>lpar3_human</v>
      </c>
      <c r="B245" s="1" t="str">
        <f t="shared" si="75"/>
        <v>TKLVIVLCVGTFFCLFIFFSNSLVIAAVIKNFPFYYLLANLAAADFFAGIAYVFLMFNTVNRWFLRQGLLDSSLTASLTNLLVIAVERHMSIMRKKRVTLLILLVWAIAIFMGAVPTLGSRSYLVFWTVSNLMAFLIMVVVYLRIYVYVKRKTNVLSGSISRRRTPMKLMKTVMTVLGAFVVCWTPGLVVLLLDGLNGVQHVKRWFLLLALLNSVVNPIIYSYKDEDMYGTMKKMIC</v>
      </c>
      <c r="C245" s="72" t="str">
        <f>IF(ISERROR(MATCH(A245,'Xtal_SegEnds_Prot#'!B:B,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245" s="5" t="str">
        <f t="shared" si="76"/>
        <v>TKLVIVLCVGTFFCLFIFFSNSLVIAAVIKN</v>
      </c>
      <c r="G245" s="4" t="str">
        <f t="shared" si="77"/>
        <v>RKFH</v>
      </c>
      <c r="H245" s="4" t="str">
        <f t="shared" si="78"/>
        <v>FPFYYLLANLAAADFFAGIAYVFLMFN</v>
      </c>
      <c r="I245" s="4" t="str">
        <f t="shared" si="79"/>
        <v>GPVSKTL</v>
      </c>
      <c r="J245" s="4" t="str">
        <f t="shared" si="80"/>
        <v>TVNRWFLRQGLLDSSLTASLTNLLVIAVERHMSIMR</v>
      </c>
      <c r="K245" s="4" t="str">
        <f t="shared" si="81"/>
        <v>MRVHSNLT</v>
      </c>
      <c r="L245" s="4" t="str">
        <f t="shared" si="82"/>
        <v>KKRVTLLILLVWAIAIFMGAVPTLG</v>
      </c>
      <c r="M245" s="4" t="str">
        <f t="shared" si="83"/>
        <v/>
      </c>
      <c r="N245" s="4" t="str">
        <f t="shared" si="84"/>
        <v>SRSYLVFWTVSNLMAFLIMVVVYLRIYVYVKRKTNVLS</v>
      </c>
      <c r="O245" s="4" t="str">
        <f t="shared" si="85"/>
        <v>GSISRRRTPMKLMKTVMTVLGAFVVCWTPGLVVLLLDGLN</v>
      </c>
      <c r="P245" s="4" t="str">
        <f t="shared" si="86"/>
        <v>GVQHVKRWFLLLALLNSVVNPIIYSYK</v>
      </c>
      <c r="Q245" s="4" t="str">
        <f t="shared" si="87"/>
        <v>DEDMYGTMKKMIC</v>
      </c>
      <c r="R245" s="5">
        <f>VLOOKUP($A245,'NonXtal_SegEnds_Prot#'!$A:$AL,3,FALSE)</f>
        <v>28</v>
      </c>
      <c r="S245" s="5">
        <f>VLOOKUP($A245,'NonXtal_SegEnds_Prot#'!$A:$AL,6,FALSE)</f>
        <v>59</v>
      </c>
      <c r="T245" s="5">
        <f>VLOOKUP($A245,'NonXtal_SegEnds_Prot#'!$A:$AL,9,FALSE)</f>
        <v>63</v>
      </c>
      <c r="U245" s="5">
        <f>VLOOKUP($A245,'NonXtal_SegEnds_Prot#'!$A:$AL,12,FALSE)</f>
        <v>91</v>
      </c>
      <c r="V245" s="5">
        <f>VLOOKUP($A245,'NonXtal_SegEnds_Prot#'!$A:$AL,15,FALSE)</f>
        <v>98</v>
      </c>
      <c r="W245" s="5">
        <f>VLOOKUP($A245,'NonXtal_SegEnds_Prot#'!$A:$AL,18,FALSE)</f>
        <v>134</v>
      </c>
      <c r="X245" s="5">
        <f>VLOOKUP($A245,'NonXtal_SegEnds_Prot#'!$A:$AL,21,FALSE)</f>
        <v>142</v>
      </c>
      <c r="Y245" s="5" t="str">
        <f>VLOOKUP($A245,'NonXtal_SegEnds_Prot#'!$A:$AL,24,FALSE)</f>
        <v>-</v>
      </c>
      <c r="Z245" s="5">
        <f>VLOOKUP($A245,'NonXtal_SegEnds_Prot#'!$A:$AL,27,FALSE)</f>
        <v>184</v>
      </c>
      <c r="AA245" s="5">
        <f>VLOOKUP($A245,'NonXtal_SegEnds_Prot#'!$A:$AL,30,FALSE)</f>
        <v>226</v>
      </c>
      <c r="AB245" s="5">
        <f>VLOOKUP($A245,'NonXtal_SegEnds_Prot#'!$A:$AL,33,FALSE)</f>
        <v>270</v>
      </c>
      <c r="AC245" s="5">
        <f>VLOOKUP($A245,'NonXtal_SegEnds_Prot#'!$A:$AL,36,FALSE)</f>
        <v>297</v>
      </c>
      <c r="AD245" s="5">
        <f>VLOOKUP($A245,'NonXtal_SegEnds_Prot#'!$A:$AL,5,FALSE)</f>
        <v>58</v>
      </c>
      <c r="AE245" s="5">
        <f>VLOOKUP($A245,'NonXtal_SegEnds_Prot#'!$A:$AL,8,FALSE)</f>
        <v>62</v>
      </c>
      <c r="AF245" s="5">
        <f>VLOOKUP($A245,'NonXtal_SegEnds_Prot#'!$A:$AL,11,FALSE)</f>
        <v>89</v>
      </c>
      <c r="AG245" s="5">
        <f>VLOOKUP($A245,'NonXtal_SegEnds_Prot#'!$A:$AL,14,FALSE)</f>
        <v>97</v>
      </c>
      <c r="AH245" s="5">
        <f>VLOOKUP($A245,'NonXtal_SegEnds_Prot#'!$A:$AL,17,FALSE)</f>
        <v>133</v>
      </c>
      <c r="AI245" s="5">
        <f>VLOOKUP($A245,'NonXtal_SegEnds_Prot#'!$A:$AL,20,FALSE)</f>
        <v>141</v>
      </c>
      <c r="AJ245" s="5">
        <f>VLOOKUP($A245,'NonXtal_SegEnds_Prot#'!$A:$AL,23,FALSE)</f>
        <v>166</v>
      </c>
      <c r="AK245" s="5" t="str">
        <f>VLOOKUP($A245,'NonXtal_SegEnds_Prot#'!$A:$AL,26,FALSE)</f>
        <v>-</v>
      </c>
      <c r="AL245" s="5">
        <f>VLOOKUP($A245,'NonXtal_SegEnds_Prot#'!$A:$AL,29,FALSE)</f>
        <v>221</v>
      </c>
      <c r="AM245" s="5">
        <f>VLOOKUP($A245,'NonXtal_SegEnds_Prot#'!$A:$AL,32,FALSE)</f>
        <v>265</v>
      </c>
      <c r="AN245" s="5">
        <f>VLOOKUP($A245,'NonXtal_SegEnds_Prot#'!$A:$AL,35,FALSE)</f>
        <v>296</v>
      </c>
      <c r="AO245" s="5">
        <f>VLOOKUP($A245,'NonXtal_SegEnds_Prot#'!$A:$AL,38,FALSE)</f>
        <v>309</v>
      </c>
      <c r="AP245" s="5">
        <f t="shared" si="88"/>
        <v>30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24</v>
      </c>
      <c r="AW245" s="4" t="str">
        <f t="shared" si="95"/>
        <v>-</v>
      </c>
      <c r="AX245" s="4">
        <f t="shared" si="96"/>
        <v>37</v>
      </c>
      <c r="AY245" s="4">
        <f t="shared" si="97"/>
        <v>39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'NonXtal_SegEnds_Prot#'!A232</f>
        <v>gp139_human</v>
      </c>
      <c r="B246" s="1" t="str">
        <f t="shared" si="75"/>
        <v>CGLGFVPVVYYSLLLCLGLPANILTVIILSQLKSSYNYLLALAAADILVLFFIVFVDFLLEDFMQMPQVPDKIIEVLEFSSIHTSIWITVPLTIDRYIAVCHYPARTRKVIVSVYITCFLTSIPYYWWTSVHHVLIWIHCFTVYLVPCSIFFILNSIIVYKLRRKYSTGKTTAILFTITSIFATLWAPRIIMILYHLYGRWLVHIMSDIANMLALLNTAINFFLYCFISKRFRTMAAATL</v>
      </c>
      <c r="C246" s="72" t="str">
        <f>IF(ISERROR(MATCH(A246,'Xtal_SegEnds_Prot#'!B:B,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246" s="5" t="str">
        <f t="shared" si="76"/>
        <v>CGLGFVPVVYYSLLLCLGLPANILTVIILSQL</v>
      </c>
      <c r="G246" s="4" t="str">
        <f t="shared" si="77"/>
        <v/>
      </c>
      <c r="H246" s="4" t="str">
        <f t="shared" si="78"/>
        <v>KSSYNYLLALAAADILVLFFIVFVDFLLEDF</v>
      </c>
      <c r="I246" s="4" t="str">
        <f t="shared" si="79"/>
        <v/>
      </c>
      <c r="J246" s="4" t="str">
        <f t="shared" si="80"/>
        <v>MQMPQVPDKIIEVLEFSSIHTSIWITVPLTIDRYIAVCH</v>
      </c>
      <c r="K246" s="4" t="str">
        <f t="shared" si="81"/>
        <v>PLKYHTVS</v>
      </c>
      <c r="L246" s="4" t="str">
        <f t="shared" si="82"/>
        <v>YPARTRKVIVSVYITCFLTSIPYYWW</v>
      </c>
      <c r="M246" s="4" t="str">
        <f t="shared" si="83"/>
        <v/>
      </c>
      <c r="N246" s="4" t="str">
        <f t="shared" si="84"/>
        <v>TSVHHVLIWIHCFTVYLVPCSIFFILNSIIVYKLRRK</v>
      </c>
      <c r="O246" s="4" t="str">
        <f t="shared" si="85"/>
        <v>YSTGKTTAILFTITSIFATLWAPRIIMILYHLYG</v>
      </c>
      <c r="P246" s="4" t="str">
        <f t="shared" si="86"/>
        <v>RWLVHIMSDIANMLALLNTAINFFLYCFI</v>
      </c>
      <c r="Q246" s="4" t="str">
        <f t="shared" si="87"/>
        <v>SKRFRTMAAATL</v>
      </c>
      <c r="R246" s="5">
        <f>VLOOKUP($A246,'NonXtal_SegEnds_Prot#'!$A:$AL,3,FALSE)</f>
        <v>23</v>
      </c>
      <c r="S246" s="5" t="str">
        <f>VLOOKUP($A246,'NonXtal_SegEnds_Prot#'!$A:$AL,6,FALSE)</f>
        <v>-</v>
      </c>
      <c r="T246" s="5">
        <f>VLOOKUP($A246,'NonXtal_SegEnds_Prot#'!$A:$AL,9,FALSE)</f>
        <v>60</v>
      </c>
      <c r="U246" s="5" t="str">
        <f>VLOOKUP($A246,'NonXtal_SegEnds_Prot#'!$A:$AL,12,FALSE)</f>
        <v>-</v>
      </c>
      <c r="V246" s="5">
        <f>VLOOKUP($A246,'NonXtal_SegEnds_Prot#'!$A:$AL,15,FALSE)</f>
        <v>94</v>
      </c>
      <c r="W246" s="5">
        <f>VLOOKUP($A246,'NonXtal_SegEnds_Prot#'!$A:$AL,18,FALSE)</f>
        <v>133</v>
      </c>
      <c r="X246" s="5">
        <f>VLOOKUP($A246,'NonXtal_SegEnds_Prot#'!$A:$AL,21,FALSE)</f>
        <v>141</v>
      </c>
      <c r="Y246" s="5" t="str">
        <f>VLOOKUP($A246,'NonXtal_SegEnds_Prot#'!$A:$AL,24,FALSE)</f>
        <v>-</v>
      </c>
      <c r="Z246" s="5">
        <f>VLOOKUP($A246,'NonXtal_SegEnds_Prot#'!$A:$AL,27,FALSE)</f>
        <v>177</v>
      </c>
      <c r="AA246" s="5">
        <f>VLOOKUP($A246,'NonXtal_SegEnds_Prot#'!$A:$AL,30,FALSE)</f>
        <v>221</v>
      </c>
      <c r="AB246" s="5">
        <f>VLOOKUP($A246,'NonXtal_SegEnds_Prot#'!$A:$AL,33,FALSE)</f>
        <v>260</v>
      </c>
      <c r="AC246" s="5">
        <f>VLOOKUP($A246,'NonXtal_SegEnds_Prot#'!$A:$AL,36,FALSE)</f>
        <v>289</v>
      </c>
      <c r="AD246" s="5">
        <f>VLOOKUP($A246,'NonXtal_SegEnds_Prot#'!$A:$AL,5,FALSE)</f>
        <v>54</v>
      </c>
      <c r="AE246" s="5" t="str">
        <f>VLOOKUP($A246,'NonXtal_SegEnds_Prot#'!$A:$AL,8,FALSE)</f>
        <v>-</v>
      </c>
      <c r="AF246" s="5">
        <f>VLOOKUP($A246,'NonXtal_SegEnds_Prot#'!$A:$AL,11,FALSE)</f>
        <v>90</v>
      </c>
      <c r="AG246" s="5" t="str">
        <f>VLOOKUP($A246,'NonXtal_SegEnds_Prot#'!$A:$AL,14,FALSE)</f>
        <v>-</v>
      </c>
      <c r="AH246" s="5">
        <f>VLOOKUP($A246,'NonXtal_SegEnds_Prot#'!$A:$AL,17,FALSE)</f>
        <v>132</v>
      </c>
      <c r="AI246" s="5">
        <f>VLOOKUP($A246,'NonXtal_SegEnds_Prot#'!$A:$AL,20,FALSE)</f>
        <v>140</v>
      </c>
      <c r="AJ246" s="5">
        <f>VLOOKUP($A246,'NonXtal_SegEnds_Prot#'!$A:$AL,23,FALSE)</f>
        <v>166</v>
      </c>
      <c r="AK246" s="5" t="str">
        <f>VLOOKUP($A246,'NonXtal_SegEnds_Prot#'!$A:$AL,26,FALSE)</f>
        <v>-</v>
      </c>
      <c r="AL246" s="5">
        <f>VLOOKUP($A246,'NonXtal_SegEnds_Prot#'!$A:$AL,29,FALSE)</f>
        <v>213</v>
      </c>
      <c r="AM246" s="5">
        <f>VLOOKUP($A246,'NonXtal_SegEnds_Prot#'!$A:$AL,32,FALSE)</f>
        <v>254</v>
      </c>
      <c r="AN246" s="5">
        <f>VLOOKUP($A246,'NonXtal_SegEnds_Prot#'!$A:$AL,35,FALSE)</f>
        <v>288</v>
      </c>
      <c r="AO246" s="5">
        <f>VLOOKUP($A246,'NonXtal_SegEnds_Prot#'!$A:$AL,38,FALSE)</f>
        <v>300</v>
      </c>
      <c r="AP246" s="5">
        <f t="shared" si="88"/>
        <v>31</v>
      </c>
      <c r="AQ246" s="4" t="str">
        <f t="shared" si="89"/>
        <v>-</v>
      </c>
      <c r="AR246" s="4">
        <f t="shared" si="90"/>
        <v>30</v>
      </c>
      <c r="AS246" s="4" t="str">
        <f t="shared" si="91"/>
        <v>-</v>
      </c>
      <c r="AT246" s="4">
        <f t="shared" si="92"/>
        <v>38</v>
      </c>
      <c r="AU246" s="4">
        <f t="shared" si="93"/>
        <v>7</v>
      </c>
      <c r="AV246" s="4">
        <f t="shared" si="94"/>
        <v>25</v>
      </c>
      <c r="AW246" s="4" t="str">
        <f t="shared" si="95"/>
        <v>-</v>
      </c>
      <c r="AX246" s="4">
        <f t="shared" si="96"/>
        <v>36</v>
      </c>
      <c r="AY246" s="4">
        <f t="shared" si="97"/>
        <v>33</v>
      </c>
      <c r="AZ246" s="4">
        <f t="shared" si="98"/>
        <v>28</v>
      </c>
      <c r="BA246" s="4">
        <f t="shared" si="99"/>
        <v>11</v>
      </c>
    </row>
    <row r="247" spans="1:53" x14ac:dyDescent="0.2">
      <c r="A247" s="1" t="str">
        <f>'NonXtal_SegEnds_Prot#'!A233</f>
        <v>mtlr_human</v>
      </c>
      <c r="B247" s="1" t="str">
        <f t="shared" si="75"/>
        <v>LGALVPVTAVCLCLFVVGVSGNVVTVMLIGRYTTTNLYLGSMAVSDLLILLGLPFDLYRLWRSGPLLCRLSLYVGEGCTYATLLHMTALSVERYLAICRRRRVRALIAVLWAVALLSAGPFLFLVQLGALRVMLWVTTAYFFLPFLCLSILYGLIGRELWSSRRPLSGRERGHRQTVRVLLVVVLAFIICWLPFHVGRIIYINTMYFSQYFNIVALQLFYLSASINPILYNLISKKYRAAAFKLL</v>
      </c>
      <c r="C247" s="72" t="str">
        <f>IF(ISERROR(MATCH(A247,'Xtal_SegEnds_Prot#'!B:B,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47" s="5" t="str">
        <f t="shared" si="76"/>
        <v>LGALVPVTAVCLCLFVVGVSGNVVTVMLIGRY</v>
      </c>
      <c r="G247" s="4" t="str">
        <f t="shared" si="77"/>
        <v>RDMR</v>
      </c>
      <c r="H247" s="4" t="str">
        <f t="shared" si="78"/>
        <v>TTTNLYLGSMAVSDLLILLGLPFDLYRLWRS</v>
      </c>
      <c r="I247" s="4" t="str">
        <f t="shared" si="79"/>
        <v>PWVF</v>
      </c>
      <c r="J247" s="4" t="str">
        <f t="shared" si="80"/>
        <v>GPLLCRLSLYVGEGCTYATLLHMTALSVERYLAICR</v>
      </c>
      <c r="K247" s="4" t="str">
        <f t="shared" si="81"/>
        <v>PLRARVLV</v>
      </c>
      <c r="L247" s="4" t="str">
        <f t="shared" si="82"/>
        <v>RRRVRALIAVLWAVALLSAGPFLFLV</v>
      </c>
      <c r="M247" s="4" t="str">
        <f t="shared" si="83"/>
        <v>CRP</v>
      </c>
      <c r="N247" s="4" t="str">
        <f t="shared" si="84"/>
        <v>QLGALRVMLWVTTAYFFLPFLCLSILYGLIGRELWSSRRPL</v>
      </c>
      <c r="O247" s="4" t="str">
        <f t="shared" si="85"/>
        <v>SGRERGHRQTVRVLLVVVLAFIICWLPFHVGRIIYINT</v>
      </c>
      <c r="P247" s="4" t="str">
        <f t="shared" si="86"/>
        <v>MYFSQYFNIVALQLFYLSASINPILYNLI</v>
      </c>
      <c r="Q247" s="4" t="str">
        <f t="shared" si="87"/>
        <v>SKKYRAAAFKLL</v>
      </c>
      <c r="R247" s="5">
        <f>VLOOKUP($A247,'NonXtal_SegEnds_Prot#'!$A:$AL,3,FALSE)</f>
        <v>35</v>
      </c>
      <c r="S247" s="5">
        <f>VLOOKUP($A247,'NonXtal_SegEnds_Prot#'!$A:$AL,6,FALSE)</f>
        <v>67</v>
      </c>
      <c r="T247" s="5">
        <f>VLOOKUP($A247,'NonXtal_SegEnds_Prot#'!$A:$AL,9,FALSE)</f>
        <v>71</v>
      </c>
      <c r="U247" s="5">
        <f>VLOOKUP($A247,'NonXtal_SegEnds_Prot#'!$A:$AL,12,FALSE)</f>
        <v>103</v>
      </c>
      <c r="V247" s="5">
        <f>VLOOKUP($A247,'NonXtal_SegEnds_Prot#'!$A:$AL,15,FALSE)</f>
        <v>107</v>
      </c>
      <c r="W247" s="5">
        <f>VLOOKUP($A247,'NonXtal_SegEnds_Prot#'!$A:$AL,18,FALSE)</f>
        <v>143</v>
      </c>
      <c r="X247" s="5">
        <f>VLOOKUP($A247,'NonXtal_SegEnds_Prot#'!$A:$AL,21,FALSE)</f>
        <v>152</v>
      </c>
      <c r="Y247" s="5">
        <f>VLOOKUP($A247,'NonXtal_SegEnds_Prot#'!$A:$AL,24,FALSE)</f>
        <v>235</v>
      </c>
      <c r="Z247" s="5">
        <f>VLOOKUP($A247,'NonXtal_SegEnds_Prot#'!$A:$AL,27,FALSE)</f>
        <v>241</v>
      </c>
      <c r="AA247" s="5">
        <f>VLOOKUP($A247,'NonXtal_SegEnds_Prot#'!$A:$AL,30,FALSE)</f>
        <v>287</v>
      </c>
      <c r="AB247" s="5">
        <f>VLOOKUP($A247,'NonXtal_SegEnds_Prot#'!$A:$AL,33,FALSE)</f>
        <v>330</v>
      </c>
      <c r="AC247" s="5">
        <f>VLOOKUP($A247,'NonXtal_SegEnds_Prot#'!$A:$AL,36,FALSE)</f>
        <v>359</v>
      </c>
      <c r="AD247" s="5">
        <f>VLOOKUP($A247,'NonXtal_SegEnds_Prot#'!$A:$AL,5,FALSE)</f>
        <v>66</v>
      </c>
      <c r="AE247" s="5">
        <f>VLOOKUP($A247,'NonXtal_SegEnds_Prot#'!$A:$AL,8,FALSE)</f>
        <v>70</v>
      </c>
      <c r="AF247" s="5">
        <f>VLOOKUP($A247,'NonXtal_SegEnds_Prot#'!$A:$AL,11,FALSE)</f>
        <v>101</v>
      </c>
      <c r="AG247" s="5">
        <f>VLOOKUP($A247,'NonXtal_SegEnds_Prot#'!$A:$AL,14,FALSE)</f>
        <v>106</v>
      </c>
      <c r="AH247" s="5">
        <f>VLOOKUP($A247,'NonXtal_SegEnds_Prot#'!$A:$AL,17,FALSE)</f>
        <v>142</v>
      </c>
      <c r="AI247" s="5">
        <f>VLOOKUP($A247,'NonXtal_SegEnds_Prot#'!$A:$AL,20,FALSE)</f>
        <v>150</v>
      </c>
      <c r="AJ247" s="5">
        <f>VLOOKUP($A247,'NonXtal_SegEnds_Prot#'!$A:$AL,23,FALSE)</f>
        <v>177</v>
      </c>
      <c r="AK247" s="5">
        <f>VLOOKUP($A247,'NonXtal_SegEnds_Prot#'!$A:$AL,26,FALSE)</f>
        <v>237</v>
      </c>
      <c r="AL247" s="5">
        <f>VLOOKUP($A247,'NonXtal_SegEnds_Prot#'!$A:$AL,29,FALSE)</f>
        <v>281</v>
      </c>
      <c r="AM247" s="5">
        <f>VLOOKUP($A247,'NonXtal_SegEnds_Prot#'!$A:$AL,32,FALSE)</f>
        <v>324</v>
      </c>
      <c r="AN247" s="5">
        <f>VLOOKUP($A247,'NonXtal_SegEnds_Prot#'!$A:$AL,35,FALSE)</f>
        <v>358</v>
      </c>
      <c r="AO247" s="5">
        <f>VLOOKUP($A247,'NonXtal_SegEnds_Prot#'!$A:$AL,38,FALSE)</f>
        <v>370</v>
      </c>
      <c r="AP247" s="5">
        <f t="shared" si="88"/>
        <v>31</v>
      </c>
      <c r="AQ247" s="4">
        <f t="shared" si="89"/>
        <v>3</v>
      </c>
      <c r="AR247" s="4">
        <f t="shared" si="90"/>
        <v>30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25</v>
      </c>
      <c r="AW247" s="4">
        <f t="shared" si="95"/>
        <v>2</v>
      </c>
      <c r="AX247" s="4">
        <f t="shared" si="96"/>
        <v>40</v>
      </c>
      <c r="AY247" s="4">
        <f t="shared" si="97"/>
        <v>37</v>
      </c>
      <c r="AZ247" s="4">
        <f t="shared" si="98"/>
        <v>28</v>
      </c>
      <c r="BA247" s="4">
        <f t="shared" si="99"/>
        <v>11</v>
      </c>
    </row>
    <row r="248" spans="1:53" x14ac:dyDescent="0.2">
      <c r="A248" s="1" t="str">
        <f>'NonXtal_SegEnds_Prot#'!A234</f>
        <v>ntr1_rat</v>
      </c>
      <c r="B248" s="1" t="str">
        <f t="shared" si="75"/>
        <v>IYSKVLVTAIYLALFVVGTVGNSVTAFTLARKSLQSTVHYHLGSLALSDLLILLLAMPVELYNFIWVGDAGCRGYYFLRDACTYATALNVASLSVERYLAICHRSRTKKFISAIWLASALLAIPMLFTMTATVKVVIQVNTFMSFLFPMLVISILNTVIANKLTVMVHQAAEQGPGRVQALRHGVLVLRAVVIAFVVCWLPYHVRRLMFCYITTFLFDFYHYFYMLTNALFYVSSAINPILYNLVSANFRQVFLSTL</v>
      </c>
      <c r="C248" s="72" t="str">
        <f>IF(ISERROR(MATCH(A248,'Xtal_SegEnds_Prot#'!B:B, 0)), "NoXtal", "Xtal")</f>
        <v>Xtal</v>
      </c>
      <c r="D248" s="4" t="str">
        <f>VLOOKUP(A248,Classification!A:D,2,FALSE)</f>
        <v>A</v>
      </c>
      <c r="E248" s="5" t="str">
        <f>VLOOKUP(A248,Seqs!A:B,2,FALSE)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48" s="5" t="str">
        <f t="shared" si="76"/>
        <v>IYSKVLVTAIYLALFVVGTVGNSVTAFTLARK</v>
      </c>
      <c r="G248" s="4" t="str">
        <f t="shared" si="77"/>
        <v>KSLQ</v>
      </c>
      <c r="H248" s="4" t="str">
        <f t="shared" si="78"/>
        <v>SLQSTVHYHLGSLALSDLLILLLAMPVELYNFIWV</v>
      </c>
      <c r="I248" s="4" t="str">
        <f t="shared" si="79"/>
        <v>PWAF</v>
      </c>
      <c r="J248" s="4" t="str">
        <f t="shared" si="80"/>
        <v>GDAGCRGYYFLRDACTYATALNVASLSVERYLAICH</v>
      </c>
      <c r="K248" s="4" t="str">
        <f t="shared" si="81"/>
        <v>PFKAKTLM</v>
      </c>
      <c r="L248" s="4" t="str">
        <f t="shared" si="82"/>
        <v>RSRTKKFISAIWLASALLAIPMLFTM</v>
      </c>
      <c r="M248" s="4" t="str">
        <f t="shared" si="83"/>
        <v>CTP</v>
      </c>
      <c r="N248" s="4" t="str">
        <f t="shared" si="84"/>
        <v>TATVKVVIQVNTFMSFLFPMLVISILNTVIANKLTVMVHQAAEQG</v>
      </c>
      <c r="O248" s="4" t="str">
        <f t="shared" si="85"/>
        <v>PGRVQALRHGVLVLRAVVIAFVVCWLPYHVRRLMFCYI</v>
      </c>
      <c r="P248" s="4" t="str">
        <f t="shared" si="86"/>
        <v>TTFLFDFYHYFYMLTNALFYVSSAINPILYNLV</v>
      </c>
      <c r="Q248" s="4" t="str">
        <f t="shared" si="87"/>
        <v>SANFRQVFLSTL</v>
      </c>
      <c r="R248" s="5">
        <f>VLOOKUP($A248,'NonXtal_SegEnds_Prot#'!$A:$AL,3,FALSE)</f>
        <v>61</v>
      </c>
      <c r="S248" s="5">
        <f>VLOOKUP($A248,'NonXtal_SegEnds_Prot#'!$A:$AL,6,FALSE)</f>
        <v>93</v>
      </c>
      <c r="T248" s="5">
        <f>VLOOKUP($A248,'NonXtal_SegEnds_Prot#'!$A:$AL,9,FALSE)</f>
        <v>97</v>
      </c>
      <c r="U248" s="5">
        <f>VLOOKUP($A248,'NonXtal_SegEnds_Prot#'!$A:$AL,12,FALSE)</f>
        <v>134</v>
      </c>
      <c r="V248" s="5">
        <f>VLOOKUP($A248,'NonXtal_SegEnds_Prot#'!$A:$AL,15,FALSE)</f>
        <v>138</v>
      </c>
      <c r="W248" s="5">
        <f>VLOOKUP($A248,'NonXtal_SegEnds_Prot#'!$A:$AL,18,FALSE)</f>
        <v>174</v>
      </c>
      <c r="X248" s="5">
        <f>VLOOKUP($A248,'NonXtal_SegEnds_Prot#'!$A:$AL,21,FALSE)</f>
        <v>183</v>
      </c>
      <c r="Y248" s="5">
        <f>VLOOKUP($A248,'NonXtal_SegEnds_Prot#'!$A:$AL,24,FALSE)</f>
        <v>225</v>
      </c>
      <c r="Z248" s="5">
        <f>VLOOKUP($A248,'NonXtal_SegEnds_Prot#'!$A:$AL,27,FALSE)</f>
        <v>231</v>
      </c>
      <c r="AA248" s="5">
        <f>VLOOKUP($A248,'NonXtal_SegEnds_Prot#'!$A:$AL,30,FALSE)</f>
        <v>297</v>
      </c>
      <c r="AB248" s="5">
        <f>VLOOKUP($A248,'NonXtal_SegEnds_Prot#'!$A:$AL,33,FALSE)</f>
        <v>340</v>
      </c>
      <c r="AC248" s="5">
        <f>VLOOKUP($A248,'NonXtal_SegEnds_Prot#'!$A:$AL,36,FALSE)</f>
        <v>373</v>
      </c>
      <c r="AD248" s="5">
        <f>VLOOKUP($A248,'NonXtal_SegEnds_Prot#'!$A:$AL,5,FALSE)</f>
        <v>92</v>
      </c>
      <c r="AE248" s="5">
        <f>VLOOKUP($A248,'NonXtal_SegEnds_Prot#'!$A:$AL,8,FALSE)</f>
        <v>96</v>
      </c>
      <c r="AF248" s="5">
        <f>VLOOKUP($A248,'NonXtal_SegEnds_Prot#'!$A:$AL,11,FALSE)</f>
        <v>131</v>
      </c>
      <c r="AG248" s="5">
        <f>VLOOKUP($A248,'NonXtal_SegEnds_Prot#'!$A:$AL,14,FALSE)</f>
        <v>137</v>
      </c>
      <c r="AH248" s="5">
        <f>VLOOKUP($A248,'NonXtal_SegEnds_Prot#'!$A:$AL,17,FALSE)</f>
        <v>173</v>
      </c>
      <c r="AI248" s="5">
        <f>VLOOKUP($A248,'NonXtal_SegEnds_Prot#'!$A:$AL,20,FALSE)</f>
        <v>181</v>
      </c>
      <c r="AJ248" s="5">
        <f>VLOOKUP($A248,'NonXtal_SegEnds_Prot#'!$A:$AL,23,FALSE)</f>
        <v>208</v>
      </c>
      <c r="AK248" s="5">
        <f>VLOOKUP($A248,'NonXtal_SegEnds_Prot#'!$A:$AL,26,FALSE)</f>
        <v>227</v>
      </c>
      <c r="AL248" s="5">
        <f>VLOOKUP($A248,'NonXtal_SegEnds_Prot#'!$A:$AL,29,FALSE)</f>
        <v>275</v>
      </c>
      <c r="AM248" s="5">
        <f>VLOOKUP($A248,'NonXtal_SegEnds_Prot#'!$A:$AL,32,FALSE)</f>
        <v>334</v>
      </c>
      <c r="AN248" s="5">
        <f>VLOOKUP($A248,'NonXtal_SegEnds_Prot#'!$A:$AL,35,FALSE)</f>
        <v>372</v>
      </c>
      <c r="AO248" s="5">
        <f>VLOOKUP($A248,'NonXtal_SegEnds_Prot#'!$A:$AL,38,FALSE)</f>
        <v>384</v>
      </c>
      <c r="AP248" s="5">
        <f t="shared" si="88"/>
        <v>31</v>
      </c>
      <c r="AQ248" s="4">
        <f t="shared" si="89"/>
        <v>3</v>
      </c>
      <c r="AR248" s="4">
        <f t="shared" si="90"/>
        <v>34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25</v>
      </c>
      <c r="AW248" s="4">
        <f t="shared" si="95"/>
        <v>2</v>
      </c>
      <c r="AX248" s="4">
        <f t="shared" si="96"/>
        <v>44</v>
      </c>
      <c r="AY248" s="4">
        <f t="shared" si="97"/>
        <v>37</v>
      </c>
      <c r="AZ248" s="4">
        <f t="shared" si="98"/>
        <v>32</v>
      </c>
      <c r="BA248" s="4">
        <f t="shared" si="99"/>
        <v>11</v>
      </c>
    </row>
    <row r="249" spans="1:53" x14ac:dyDescent="0.2">
      <c r="A249" s="1" t="str">
        <f>'NonXtal_SegEnds_Prot#'!A235</f>
        <v>ntr1_human</v>
      </c>
      <c r="B249" s="1" t="str">
        <f t="shared" si="75"/>
        <v>IYSKVLVTAVYLALFVVGTVGNTVTAFTLARKSLQSTVHYHLGSLALSDLLTLLLAMPVELYNFIWVGDAGCRGYYFLRDACTYATALNVASLSVERYLAICHRSRTKKFISAIWLASALLAVPMLFTMTATVKVVIQVNTFMSFIFPMVVISVLNTIIANKLTVMVRQAAEQGPGRVQALRHGVRVLRAVVIAFVVCWLPYHVRRLMFCYITPFLYDFYHYFYMVTNALFYVSSTINPILYNLVSANFRHIFLATL</v>
      </c>
      <c r="C249" s="72" t="str">
        <f>IF(ISERROR(MATCH(A249,'Xtal_SegEnds_Prot#'!B:B,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49" s="5" t="str">
        <f t="shared" si="76"/>
        <v>IYSKVLVTAVYLALFVVGTVGNTVTAFTLARK</v>
      </c>
      <c r="G249" s="4" t="str">
        <f t="shared" si="77"/>
        <v>KSLQ</v>
      </c>
      <c r="H249" s="4" t="str">
        <f t="shared" si="78"/>
        <v>SLQSTVHYHLGSLALSDLLTLLLAMPVELYNFIWV</v>
      </c>
      <c r="I249" s="4" t="str">
        <f t="shared" si="79"/>
        <v>PWAF</v>
      </c>
      <c r="J249" s="4" t="str">
        <f t="shared" si="80"/>
        <v>GDAGCRGYYFLRDACTYATALNVASLSVERYLAICH</v>
      </c>
      <c r="K249" s="4" t="str">
        <f t="shared" si="81"/>
        <v>PFKAKTLM</v>
      </c>
      <c r="L249" s="4" t="str">
        <f t="shared" si="82"/>
        <v>RSRTKKFISAIWLASALLAVPMLFTM</v>
      </c>
      <c r="M249" s="4" t="str">
        <f t="shared" si="83"/>
        <v>CTP</v>
      </c>
      <c r="N249" s="4" t="str">
        <f t="shared" si="84"/>
        <v>TATVKVVIQVNTFMSFIFPMVVISVLNTIIANKLTVMVRQAAEQG</v>
      </c>
      <c r="O249" s="4" t="str">
        <f t="shared" si="85"/>
        <v>PGRVQALRHGVRVLRAVVIAFVVCWLPYHVRRLMFCYI</v>
      </c>
      <c r="P249" s="4" t="str">
        <f t="shared" si="86"/>
        <v>TPFLYDFYHYFYMVTNALFYVSSTINPILYNLV</v>
      </c>
      <c r="Q249" s="4" t="str">
        <f t="shared" si="87"/>
        <v>SANFRHIFLATL</v>
      </c>
      <c r="R249" s="5">
        <f>VLOOKUP($A249,'NonXtal_SegEnds_Prot#'!$A:$AL,3,FALSE)</f>
        <v>60</v>
      </c>
      <c r="S249" s="5">
        <f>VLOOKUP($A249,'NonXtal_SegEnds_Prot#'!$A:$AL,6,FALSE)</f>
        <v>92</v>
      </c>
      <c r="T249" s="5">
        <f>VLOOKUP($A249,'NonXtal_SegEnds_Prot#'!$A:$AL,9,FALSE)</f>
        <v>96</v>
      </c>
      <c r="U249" s="5">
        <f>VLOOKUP($A249,'NonXtal_SegEnds_Prot#'!$A:$AL,12,FALSE)</f>
        <v>133</v>
      </c>
      <c r="V249" s="5">
        <f>VLOOKUP($A249,'NonXtal_SegEnds_Prot#'!$A:$AL,15,FALSE)</f>
        <v>137</v>
      </c>
      <c r="W249" s="5">
        <f>VLOOKUP($A249,'NonXtal_SegEnds_Prot#'!$A:$AL,18,FALSE)</f>
        <v>173</v>
      </c>
      <c r="X249" s="5">
        <f>VLOOKUP($A249,'NonXtal_SegEnds_Prot#'!$A:$AL,21,FALSE)</f>
        <v>182</v>
      </c>
      <c r="Y249" s="5">
        <f>VLOOKUP($A249,'NonXtal_SegEnds_Prot#'!$A:$AL,24,FALSE)</f>
        <v>224</v>
      </c>
      <c r="Z249" s="5">
        <f>VLOOKUP($A249,'NonXtal_SegEnds_Prot#'!$A:$AL,27,FALSE)</f>
        <v>230</v>
      </c>
      <c r="AA249" s="5">
        <f>VLOOKUP($A249,'NonXtal_SegEnds_Prot#'!$A:$AL,30,FALSE)</f>
        <v>292</v>
      </c>
      <c r="AB249" s="5">
        <f>VLOOKUP($A249,'NonXtal_SegEnds_Prot#'!$A:$AL,33,FALSE)</f>
        <v>335</v>
      </c>
      <c r="AC249" s="5">
        <f>VLOOKUP($A249,'NonXtal_SegEnds_Prot#'!$A:$AL,36,FALSE)</f>
        <v>368</v>
      </c>
      <c r="AD249" s="5">
        <f>VLOOKUP($A249,'NonXtal_SegEnds_Prot#'!$A:$AL,5,FALSE)</f>
        <v>91</v>
      </c>
      <c r="AE249" s="5">
        <f>VLOOKUP($A249,'NonXtal_SegEnds_Prot#'!$A:$AL,8,FALSE)</f>
        <v>95</v>
      </c>
      <c r="AF249" s="5">
        <f>VLOOKUP($A249,'NonXtal_SegEnds_Prot#'!$A:$AL,11,FALSE)</f>
        <v>130</v>
      </c>
      <c r="AG249" s="5">
        <f>VLOOKUP($A249,'NonXtal_SegEnds_Prot#'!$A:$AL,14,FALSE)</f>
        <v>136</v>
      </c>
      <c r="AH249" s="5">
        <f>VLOOKUP($A249,'NonXtal_SegEnds_Prot#'!$A:$AL,17,FALSE)</f>
        <v>172</v>
      </c>
      <c r="AI249" s="5">
        <f>VLOOKUP($A249,'NonXtal_SegEnds_Prot#'!$A:$AL,20,FALSE)</f>
        <v>180</v>
      </c>
      <c r="AJ249" s="5">
        <f>VLOOKUP($A249,'NonXtal_SegEnds_Prot#'!$A:$AL,23,FALSE)</f>
        <v>207</v>
      </c>
      <c r="AK249" s="5">
        <f>VLOOKUP($A249,'NonXtal_SegEnds_Prot#'!$A:$AL,26,FALSE)</f>
        <v>226</v>
      </c>
      <c r="AL249" s="5">
        <f>VLOOKUP($A249,'NonXtal_SegEnds_Prot#'!$A:$AL,29,FALSE)</f>
        <v>274</v>
      </c>
      <c r="AM249" s="5">
        <f>VLOOKUP($A249,'NonXtal_SegEnds_Prot#'!$A:$AL,32,FALSE)</f>
        <v>329</v>
      </c>
      <c r="AN249" s="5">
        <f>VLOOKUP($A249,'NonXtal_SegEnds_Prot#'!$A:$AL,35,FALSE)</f>
        <v>367</v>
      </c>
      <c r="AO249" s="5">
        <f>VLOOKUP($A249,'NonXtal_SegEnds_Prot#'!$A:$AL,38,FALSE)</f>
        <v>379</v>
      </c>
      <c r="AP249" s="5">
        <f t="shared" si="88"/>
        <v>31</v>
      </c>
      <c r="AQ249" s="4">
        <f t="shared" si="89"/>
        <v>3</v>
      </c>
      <c r="AR249" s="4">
        <f t="shared" si="90"/>
        <v>34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25</v>
      </c>
      <c r="AW249" s="4">
        <f t="shared" si="95"/>
        <v>2</v>
      </c>
      <c r="AX249" s="4">
        <f t="shared" si="96"/>
        <v>44</v>
      </c>
      <c r="AY249" s="4">
        <f t="shared" si="97"/>
        <v>37</v>
      </c>
      <c r="AZ249" s="4">
        <f t="shared" si="98"/>
        <v>32</v>
      </c>
      <c r="BA249" s="4">
        <f t="shared" si="99"/>
        <v>11</v>
      </c>
    </row>
    <row r="250" spans="1:53" x14ac:dyDescent="0.2">
      <c r="A250" s="1" t="str">
        <f>'NonXtal_SegEnds_Prot#'!A236</f>
        <v>nmur1_human</v>
      </c>
      <c r="B250" s="1" t="str">
        <f t="shared" si="75"/>
        <v>TELFMPICATYLLIFVVGAVGNGLTCLVILRHTPTNYYLFSLAVSDLLVLLVGLPLELYEMWLLGVGGCYFRTLLFEMVCLASVLNVTALSVERYVAVVHRAHVRRVLGAVWGLAMLCSLPNTSLHRALYNMVVQTTALLFFCLPMAIMSVLYLLIGLRLRRERLLLMQEAQQHDRGRRQVTKMLFVLVVVFGICWAPFHADRVMWSVVHLAFQHVHVISGIFFYLGSAANPVLYSLMSSRFRETFQEAL</v>
      </c>
      <c r="C250" s="72" t="str">
        <f>IF(ISERROR(MATCH(A250,'Xtal_SegEnds_Prot#'!B:B,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50" s="5" t="str">
        <f t="shared" si="76"/>
        <v>TELFMPICATYLLIFVVGAVGNGLTCLVILRH</v>
      </c>
      <c r="G250" s="4" t="str">
        <f t="shared" si="77"/>
        <v>KAMR</v>
      </c>
      <c r="H250" s="4" t="str">
        <f t="shared" si="78"/>
        <v>TPTNYYLFSLAVSDLLVLLVGLPLELYEMW</v>
      </c>
      <c r="I250" s="4" t="str">
        <f t="shared" si="79"/>
        <v>NYPF</v>
      </c>
      <c r="J250" s="4" t="str">
        <f t="shared" si="80"/>
        <v>LLGVGGCYFRTLLFEMVCLASVLNVTALSVERYVAVVH</v>
      </c>
      <c r="K250" s="4" t="str">
        <f t="shared" si="81"/>
        <v>PLQARSMV</v>
      </c>
      <c r="L250" s="4" t="str">
        <f t="shared" si="82"/>
        <v>RAHVRRVLGAVWGLAMLCSLPNTSLH</v>
      </c>
      <c r="M250" s="4" t="str">
        <f t="shared" si="83"/>
        <v>CML</v>
      </c>
      <c r="N250" s="4" t="str">
        <f t="shared" si="84"/>
        <v>RALYNMVVQTTALLFFCLPMAIMSVLYLLIGLRLRRERLLLMQEA</v>
      </c>
      <c r="O250" s="4" t="str">
        <f t="shared" si="85"/>
        <v>QQHDRGRRQVTKMLFVLVVVFGICWAPFHADRVMWSVV</v>
      </c>
      <c r="P250" s="4" t="str">
        <f t="shared" si="86"/>
        <v>HLAFQHVHVISGIFFYLGSAANPVLYSLM</v>
      </c>
      <c r="Q250" s="4" t="str">
        <f t="shared" si="87"/>
        <v>SSRFRETFQEAL</v>
      </c>
      <c r="R250" s="5">
        <f>VLOOKUP($A250,'NonXtal_SegEnds_Prot#'!$A:$AL,3,FALSE)</f>
        <v>57</v>
      </c>
      <c r="S250" s="5">
        <f>VLOOKUP($A250,'NonXtal_SegEnds_Prot#'!$A:$AL,6,FALSE)</f>
        <v>89</v>
      </c>
      <c r="T250" s="5">
        <f>VLOOKUP($A250,'NonXtal_SegEnds_Prot#'!$A:$AL,9,FALSE)</f>
        <v>93</v>
      </c>
      <c r="U250" s="5">
        <f>VLOOKUP($A250,'NonXtal_SegEnds_Prot#'!$A:$AL,12,FALSE)</f>
        <v>124</v>
      </c>
      <c r="V250" s="5">
        <f>VLOOKUP($A250,'NonXtal_SegEnds_Prot#'!$A:$AL,15,FALSE)</f>
        <v>128</v>
      </c>
      <c r="W250" s="5">
        <f>VLOOKUP($A250,'NonXtal_SegEnds_Prot#'!$A:$AL,18,FALSE)</f>
        <v>166</v>
      </c>
      <c r="X250" s="5">
        <f>VLOOKUP($A250,'NonXtal_SegEnds_Prot#'!$A:$AL,21,FALSE)</f>
        <v>175</v>
      </c>
      <c r="Y250" s="5">
        <f>VLOOKUP($A250,'NonXtal_SegEnds_Prot#'!$A:$AL,24,FALSE)</f>
        <v>219</v>
      </c>
      <c r="Z250" s="5">
        <f>VLOOKUP($A250,'NonXtal_SegEnds_Prot#'!$A:$AL,27,FALSE)</f>
        <v>225</v>
      </c>
      <c r="AA250" s="5">
        <f>VLOOKUP($A250,'NonXtal_SegEnds_Prot#'!$A:$AL,30,FALSE)</f>
        <v>286</v>
      </c>
      <c r="AB250" s="5">
        <f>VLOOKUP($A250,'NonXtal_SegEnds_Prot#'!$A:$AL,33,FALSE)</f>
        <v>331</v>
      </c>
      <c r="AC250" s="5">
        <f>VLOOKUP($A250,'NonXtal_SegEnds_Prot#'!$A:$AL,36,FALSE)</f>
        <v>360</v>
      </c>
      <c r="AD250" s="5">
        <f>VLOOKUP($A250,'NonXtal_SegEnds_Prot#'!$A:$AL,5,FALSE)</f>
        <v>88</v>
      </c>
      <c r="AE250" s="5">
        <f>VLOOKUP($A250,'NonXtal_SegEnds_Prot#'!$A:$AL,8,FALSE)</f>
        <v>92</v>
      </c>
      <c r="AF250" s="5">
        <f>VLOOKUP($A250,'NonXtal_SegEnds_Prot#'!$A:$AL,11,FALSE)</f>
        <v>122</v>
      </c>
      <c r="AG250" s="5">
        <f>VLOOKUP($A250,'NonXtal_SegEnds_Prot#'!$A:$AL,14,FALSE)</f>
        <v>127</v>
      </c>
      <c r="AH250" s="5">
        <f>VLOOKUP($A250,'NonXtal_SegEnds_Prot#'!$A:$AL,17,FALSE)</f>
        <v>165</v>
      </c>
      <c r="AI250" s="5">
        <f>VLOOKUP($A250,'NonXtal_SegEnds_Prot#'!$A:$AL,20,FALSE)</f>
        <v>173</v>
      </c>
      <c r="AJ250" s="5">
        <f>VLOOKUP($A250,'NonXtal_SegEnds_Prot#'!$A:$AL,23,FALSE)</f>
        <v>200</v>
      </c>
      <c r="AK250" s="5">
        <f>VLOOKUP($A250,'NonXtal_SegEnds_Prot#'!$A:$AL,26,FALSE)</f>
        <v>221</v>
      </c>
      <c r="AL250" s="5">
        <f>VLOOKUP($A250,'NonXtal_SegEnds_Prot#'!$A:$AL,29,FALSE)</f>
        <v>269</v>
      </c>
      <c r="AM250" s="5">
        <f>VLOOKUP($A250,'NonXtal_SegEnds_Prot#'!$A:$AL,32,FALSE)</f>
        <v>323</v>
      </c>
      <c r="AN250" s="5">
        <f>VLOOKUP($A250,'NonXtal_SegEnds_Prot#'!$A:$AL,35,FALSE)</f>
        <v>359</v>
      </c>
      <c r="AO250" s="5">
        <f>VLOOKUP($A250,'NonXtal_SegEnds_Prot#'!$A:$AL,38,FALSE)</f>
        <v>371</v>
      </c>
      <c r="AP250" s="5">
        <f t="shared" si="88"/>
        <v>31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37</v>
      </c>
      <c r="AU250" s="4">
        <f t="shared" si="93"/>
        <v>7</v>
      </c>
      <c r="AV250" s="4">
        <f t="shared" si="94"/>
        <v>25</v>
      </c>
      <c r="AW250" s="4">
        <f t="shared" si="95"/>
        <v>2</v>
      </c>
      <c r="AX250" s="4">
        <f t="shared" si="96"/>
        <v>44</v>
      </c>
      <c r="AY250" s="4">
        <f t="shared" si="97"/>
        <v>37</v>
      </c>
      <c r="AZ250" s="4">
        <f t="shared" si="98"/>
        <v>28</v>
      </c>
      <c r="BA250" s="4">
        <f t="shared" si="99"/>
        <v>11</v>
      </c>
    </row>
    <row r="251" spans="1:53" x14ac:dyDescent="0.2">
      <c r="A251" s="1" t="str">
        <f>'NonXtal_SegEnds_Prot#'!A237</f>
        <v>gpr39_human</v>
      </c>
      <c r="B251" s="1" t="str">
        <f t="shared" si="75"/>
        <v>TWIKITLILVYLIIFVMGLLGNSATIRVTQVLKEVTDHMVSLACSDILVFLIGMPMEFYSIIWNTSSYTLSCKLHTFLFEACSYATLLHVLTLSFERYIAICHPCQVKLLIGFVWVTSALVALPLLFAMRWTVFQSSIFGAFVVYLVVLLSVAFMCWNMMQVLMKSQKGSLEESRTARRQTIIFLRLIVVTLAVCWMPNQIRRIMAAAKTRSYFRAYMILLPFSETFFYLSSVINPLLYTVSSQQFRRVFVQVL</v>
      </c>
      <c r="C251" s="72" t="str">
        <f>IF(ISERROR(MATCH(A251,'Xtal_SegEnds_Prot#'!B:B,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251" s="5" t="str">
        <f t="shared" si="76"/>
        <v>TWIKITLILVYLIIFVMGLLGNSATIRVTQVL</v>
      </c>
      <c r="G251" s="4" t="str">
        <f t="shared" si="77"/>
        <v/>
      </c>
      <c r="H251" s="4" t="str">
        <f t="shared" si="78"/>
        <v>KEVTDHMVSLACSDILVFLIGMPMEFYSIIWN</v>
      </c>
      <c r="I251" s="4" t="str">
        <f t="shared" si="79"/>
        <v/>
      </c>
      <c r="J251" s="4" t="str">
        <f t="shared" si="80"/>
        <v>TSSYTLSCKLHTFLFEACSYATLLHVLTLSFERYIAICH</v>
      </c>
      <c r="K251" s="4" t="str">
        <f t="shared" si="81"/>
        <v>PFRYKAVS</v>
      </c>
      <c r="L251" s="4" t="str">
        <f t="shared" si="82"/>
        <v>PCQVKLLIGFVWVTSALVALPLLFAM</v>
      </c>
      <c r="M251" s="4" t="str">
        <f t="shared" si="83"/>
        <v>CTN</v>
      </c>
      <c r="N251" s="4" t="str">
        <f t="shared" si="84"/>
        <v>RWTVFQSSIFGAFVVYLVVLLSVAFMCWNMMQVLMKSQKGSL</v>
      </c>
      <c r="O251" s="4" t="str">
        <f t="shared" si="85"/>
        <v>EESRTARRQTIIFLRLIVVTLAVCWMPNQIRRIMAAAK</v>
      </c>
      <c r="P251" s="4" t="str">
        <f t="shared" si="86"/>
        <v>TRSYFRAYMILLPFSETFFYLSSVINPLLYTVS</v>
      </c>
      <c r="Q251" s="4" t="str">
        <f t="shared" si="87"/>
        <v>SQQFRRVFVQVL</v>
      </c>
      <c r="R251" s="5">
        <f>VLOOKUP($A251,'NonXtal_SegEnds_Prot#'!$A:$AL,3,FALSE)</f>
        <v>27</v>
      </c>
      <c r="S251" s="5" t="str">
        <f>VLOOKUP($A251,'NonXtal_SegEnds_Prot#'!$A:$AL,6,FALSE)</f>
        <v>-</v>
      </c>
      <c r="T251" s="5">
        <f>VLOOKUP($A251,'NonXtal_SegEnds_Prot#'!$A:$AL,9,FALSE)</f>
        <v>66</v>
      </c>
      <c r="U251" s="5" t="str">
        <f>VLOOKUP($A251,'NonXtal_SegEnds_Prot#'!$A:$AL,12,FALSE)</f>
        <v>-</v>
      </c>
      <c r="V251" s="5">
        <f>VLOOKUP($A251,'NonXtal_SegEnds_Prot#'!$A:$AL,15,FALSE)</f>
        <v>101</v>
      </c>
      <c r="W251" s="5">
        <f>VLOOKUP($A251,'NonXtal_SegEnds_Prot#'!$A:$AL,18,FALSE)</f>
        <v>140</v>
      </c>
      <c r="X251" s="5">
        <f>VLOOKUP($A251,'NonXtal_SegEnds_Prot#'!$A:$AL,21,FALSE)</f>
        <v>149</v>
      </c>
      <c r="Y251" s="5">
        <f>VLOOKUP($A251,'NonXtal_SegEnds_Prot#'!$A:$AL,24,FALSE)</f>
        <v>210</v>
      </c>
      <c r="Z251" s="5">
        <f>VLOOKUP($A251,'NonXtal_SegEnds_Prot#'!$A:$AL,27,FALSE)</f>
        <v>216</v>
      </c>
      <c r="AA251" s="5">
        <f>VLOOKUP($A251,'NonXtal_SegEnds_Prot#'!$A:$AL,30,FALSE)</f>
        <v>272</v>
      </c>
      <c r="AB251" s="5">
        <f>VLOOKUP($A251,'NonXtal_SegEnds_Prot#'!$A:$AL,33,FALSE)</f>
        <v>315</v>
      </c>
      <c r="AC251" s="5">
        <f>VLOOKUP($A251,'NonXtal_SegEnds_Prot#'!$A:$AL,36,FALSE)</f>
        <v>348</v>
      </c>
      <c r="AD251" s="5">
        <f>VLOOKUP($A251,'NonXtal_SegEnds_Prot#'!$A:$AL,5,FALSE)</f>
        <v>58</v>
      </c>
      <c r="AE251" s="5" t="str">
        <f>VLOOKUP($A251,'NonXtal_SegEnds_Prot#'!$A:$AL,8,FALSE)</f>
        <v>-</v>
      </c>
      <c r="AF251" s="5">
        <f>VLOOKUP($A251,'NonXtal_SegEnds_Prot#'!$A:$AL,11,FALSE)</f>
        <v>97</v>
      </c>
      <c r="AG251" s="5" t="str">
        <f>VLOOKUP($A251,'NonXtal_SegEnds_Prot#'!$A:$AL,14,FALSE)</f>
        <v>-</v>
      </c>
      <c r="AH251" s="5">
        <f>VLOOKUP($A251,'NonXtal_SegEnds_Prot#'!$A:$AL,17,FALSE)</f>
        <v>139</v>
      </c>
      <c r="AI251" s="5">
        <f>VLOOKUP($A251,'NonXtal_SegEnds_Prot#'!$A:$AL,20,FALSE)</f>
        <v>147</v>
      </c>
      <c r="AJ251" s="5">
        <f>VLOOKUP($A251,'NonXtal_SegEnds_Prot#'!$A:$AL,23,FALSE)</f>
        <v>174</v>
      </c>
      <c r="AK251" s="5">
        <f>VLOOKUP($A251,'NonXtal_SegEnds_Prot#'!$A:$AL,26,FALSE)</f>
        <v>212</v>
      </c>
      <c r="AL251" s="5">
        <f>VLOOKUP($A251,'NonXtal_SegEnds_Prot#'!$A:$AL,29,FALSE)</f>
        <v>257</v>
      </c>
      <c r="AM251" s="5">
        <f>VLOOKUP($A251,'NonXtal_SegEnds_Prot#'!$A:$AL,32,FALSE)</f>
        <v>309</v>
      </c>
      <c r="AN251" s="5">
        <f>VLOOKUP($A251,'NonXtal_SegEnds_Prot#'!$A:$AL,35,FALSE)</f>
        <v>347</v>
      </c>
      <c r="AO251" s="5">
        <f>VLOOKUP($A251,'NonXtal_SegEnds_Prot#'!$A:$AL,38,FALSE)</f>
        <v>359</v>
      </c>
      <c r="AP251" s="5">
        <f t="shared" si="88"/>
        <v>31</v>
      </c>
      <c r="AQ251" s="4" t="str">
        <f t="shared" si="89"/>
        <v>-</v>
      </c>
      <c r="AR251" s="4">
        <f t="shared" si="90"/>
        <v>31</v>
      </c>
      <c r="AS251" s="4" t="str">
        <f t="shared" si="91"/>
        <v>-</v>
      </c>
      <c r="AT251" s="4">
        <f t="shared" si="92"/>
        <v>38</v>
      </c>
      <c r="AU251" s="4">
        <f t="shared" si="93"/>
        <v>7</v>
      </c>
      <c r="AV251" s="4">
        <f t="shared" si="94"/>
        <v>25</v>
      </c>
      <c r="AW251" s="4">
        <f t="shared" si="95"/>
        <v>2</v>
      </c>
      <c r="AX251" s="4">
        <f t="shared" si="96"/>
        <v>41</v>
      </c>
      <c r="AY251" s="4">
        <f t="shared" si="97"/>
        <v>37</v>
      </c>
      <c r="AZ251" s="4">
        <f t="shared" si="98"/>
        <v>32</v>
      </c>
      <c r="BA251" s="4">
        <f t="shared" si="99"/>
        <v>11</v>
      </c>
    </row>
    <row r="252" spans="1:53" x14ac:dyDescent="0.2">
      <c r="A252" s="1" t="str">
        <f>'NonXtal_SegEnds_Prot#'!A238</f>
        <v>nmur2_human</v>
      </c>
      <c r="B252" s="1" t="str">
        <f t="shared" si="75"/>
        <v>SHFFLPVSVVYVPIFVVGVIGNVLVCLVILQHTPTNYYLFSLAVSDLLVLLLGMPLEVYEMWLFGPVGCYFKTALFETVCFASILSITTVSVERYVAILHRRRALRILGIVWGFSVLFSLPNTSIHMWIYNFIIQVTSFLFYLLPMTVISVLYYLMALRLKKDKSLEANANIQRPCRKSVNKMLFVLVLVFAICWAPFHIDRLFFSFVAAVFNLVHVVSGVFFYLSSAVNPIIYNLLSRRFQAAFQNVI</v>
      </c>
      <c r="C252" s="72" t="str">
        <f>IF(ISERROR(MATCH(A252,'Xtal_SegEnds_Prot#'!B:B,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52" s="5" t="str">
        <f t="shared" si="76"/>
        <v>SHFFLPVSVVYVPIFVVGVIGNVLVCLVILQH</v>
      </c>
      <c r="G252" s="4" t="str">
        <f t="shared" si="77"/>
        <v>QAMK</v>
      </c>
      <c r="H252" s="4" t="str">
        <f t="shared" si="78"/>
        <v>TPTNYYLFSLAVSDLLVLLLGMPLEVYEMW</v>
      </c>
      <c r="I252" s="4" t="str">
        <f t="shared" si="79"/>
        <v>NYPF</v>
      </c>
      <c r="J252" s="4" t="str">
        <f t="shared" si="80"/>
        <v>LFGPVGCYFKTALFETVCFASILSITTVSVERYVAILH</v>
      </c>
      <c r="K252" s="4" t="str">
        <f t="shared" si="81"/>
        <v>PFRAKLQS</v>
      </c>
      <c r="L252" s="4" t="str">
        <f t="shared" si="82"/>
        <v>RRRALRILGIVWGFSVLFSLPNTSIH</v>
      </c>
      <c r="M252" s="4" t="str">
        <f t="shared" si="83"/>
        <v>CTV</v>
      </c>
      <c r="N252" s="4" t="str">
        <f t="shared" si="84"/>
        <v>MWIYNFIIQVTSFLFYLLPMTVISVLYYLMALRLKKDKSLEA</v>
      </c>
      <c r="O252" s="4" t="str">
        <f t="shared" si="85"/>
        <v>NANIQRPCRKSVNKMLFVLVLVFAICWAPFHIDRLFFSFV</v>
      </c>
      <c r="P252" s="4" t="str">
        <f t="shared" si="86"/>
        <v>AAVFNLVHVVSGVFFYLSSAVNPIIYNLL</v>
      </c>
      <c r="Q252" s="4" t="str">
        <f t="shared" si="87"/>
        <v>SRRFQAAFQNVI</v>
      </c>
      <c r="R252" s="5">
        <f>VLOOKUP($A252,'NonXtal_SegEnds_Prot#'!$A:$AL,3,FALSE)</f>
        <v>42</v>
      </c>
      <c r="S252" s="5">
        <f>VLOOKUP($A252,'NonXtal_SegEnds_Prot#'!$A:$AL,6,FALSE)</f>
        <v>74</v>
      </c>
      <c r="T252" s="5">
        <f>VLOOKUP($A252,'NonXtal_SegEnds_Prot#'!$A:$AL,9,FALSE)</f>
        <v>78</v>
      </c>
      <c r="U252" s="5">
        <f>VLOOKUP($A252,'NonXtal_SegEnds_Prot#'!$A:$AL,12,FALSE)</f>
        <v>109</v>
      </c>
      <c r="V252" s="5">
        <f>VLOOKUP($A252,'NonXtal_SegEnds_Prot#'!$A:$AL,15,FALSE)</f>
        <v>113</v>
      </c>
      <c r="W252" s="5">
        <f>VLOOKUP($A252,'NonXtal_SegEnds_Prot#'!$A:$AL,18,FALSE)</f>
        <v>151</v>
      </c>
      <c r="X252" s="5">
        <f>VLOOKUP($A252,'NonXtal_SegEnds_Prot#'!$A:$AL,21,FALSE)</f>
        <v>160</v>
      </c>
      <c r="Y252" s="5">
        <f>VLOOKUP($A252,'NonXtal_SegEnds_Prot#'!$A:$AL,24,FALSE)</f>
        <v>204</v>
      </c>
      <c r="Z252" s="5">
        <f>VLOOKUP($A252,'NonXtal_SegEnds_Prot#'!$A:$AL,27,FALSE)</f>
        <v>210</v>
      </c>
      <c r="AA252" s="5">
        <f>VLOOKUP($A252,'NonXtal_SegEnds_Prot#'!$A:$AL,30,FALSE)</f>
        <v>255</v>
      </c>
      <c r="AB252" s="5">
        <f>VLOOKUP($A252,'NonXtal_SegEnds_Prot#'!$A:$AL,33,FALSE)</f>
        <v>302</v>
      </c>
      <c r="AC252" s="5">
        <f>VLOOKUP($A252,'NonXtal_SegEnds_Prot#'!$A:$AL,36,FALSE)</f>
        <v>331</v>
      </c>
      <c r="AD252" s="5">
        <f>VLOOKUP($A252,'NonXtal_SegEnds_Prot#'!$A:$AL,5,FALSE)</f>
        <v>73</v>
      </c>
      <c r="AE252" s="5">
        <f>VLOOKUP($A252,'NonXtal_SegEnds_Prot#'!$A:$AL,8,FALSE)</f>
        <v>77</v>
      </c>
      <c r="AF252" s="5">
        <f>VLOOKUP($A252,'NonXtal_SegEnds_Prot#'!$A:$AL,11,FALSE)</f>
        <v>107</v>
      </c>
      <c r="AG252" s="5">
        <f>VLOOKUP($A252,'NonXtal_SegEnds_Prot#'!$A:$AL,14,FALSE)</f>
        <v>112</v>
      </c>
      <c r="AH252" s="5">
        <f>VLOOKUP($A252,'NonXtal_SegEnds_Prot#'!$A:$AL,17,FALSE)</f>
        <v>150</v>
      </c>
      <c r="AI252" s="5">
        <f>VLOOKUP($A252,'NonXtal_SegEnds_Prot#'!$A:$AL,20,FALSE)</f>
        <v>158</v>
      </c>
      <c r="AJ252" s="5">
        <f>VLOOKUP($A252,'NonXtal_SegEnds_Prot#'!$A:$AL,23,FALSE)</f>
        <v>185</v>
      </c>
      <c r="AK252" s="5">
        <f>VLOOKUP($A252,'NonXtal_SegEnds_Prot#'!$A:$AL,26,FALSE)</f>
        <v>206</v>
      </c>
      <c r="AL252" s="5">
        <f>VLOOKUP($A252,'NonXtal_SegEnds_Prot#'!$A:$AL,29,FALSE)</f>
        <v>251</v>
      </c>
      <c r="AM252" s="5">
        <f>VLOOKUP($A252,'NonXtal_SegEnds_Prot#'!$A:$AL,32,FALSE)</f>
        <v>294</v>
      </c>
      <c r="AN252" s="5">
        <f>VLOOKUP($A252,'NonXtal_SegEnds_Prot#'!$A:$AL,35,FALSE)</f>
        <v>330</v>
      </c>
      <c r="AO252" s="5">
        <f>VLOOKUP($A252,'NonXtal_SegEnds_Prot#'!$A:$AL,38,FALSE)</f>
        <v>342</v>
      </c>
      <c r="AP252" s="5">
        <f t="shared" si="88"/>
        <v>31</v>
      </c>
      <c r="AQ252" s="4">
        <f t="shared" si="89"/>
        <v>3</v>
      </c>
      <c r="AR252" s="4">
        <f t="shared" si="90"/>
        <v>29</v>
      </c>
      <c r="AS252" s="4">
        <f t="shared" si="91"/>
        <v>3</v>
      </c>
      <c r="AT252" s="4">
        <f t="shared" si="92"/>
        <v>37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41</v>
      </c>
      <c r="AY252" s="4">
        <f t="shared" si="97"/>
        <v>39</v>
      </c>
      <c r="AZ252" s="4">
        <f t="shared" si="98"/>
        <v>28</v>
      </c>
      <c r="BA252" s="4">
        <f t="shared" si="99"/>
        <v>11</v>
      </c>
    </row>
    <row r="253" spans="1:53" x14ac:dyDescent="0.2">
      <c r="A253" s="1" t="str">
        <f>'NonXtal_SegEnds_Prot#'!A239</f>
        <v>ghsr_human</v>
      </c>
      <c r="B253" s="1" t="str">
        <f t="shared" si="75"/>
        <v>APLLAGVTATCVALFVVGIAGNLLTMLVVSRFTTTNLYLSSMAFSDLLIFLCMPLDLVRLWQYGDLLCKLFQFVSESCTYATVLTITALSVERYFAICFKGRVKLVIFVIWAVAFCSAGPIFVLVRSGLLTVMVWVSSIFFFLPVFCLTVLYSLIGRKLWRRRRGDSLRDQNHKQTVKMLAVVVFAFILCWLPFHVGRYLFSKSAQISQYCNLVSFVLFYLSAAINPILYNIMSKKYRVAVFRLL</v>
      </c>
      <c r="C253" s="72" t="str">
        <f>IF(ISERROR(MATCH(A253,'Xtal_SegEnds_Prot#'!B:B,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253" s="5" t="str">
        <f t="shared" si="76"/>
        <v>APLLAGVTATCVALFVVGIAGNLLTMLVVSRF</v>
      </c>
      <c r="G253" s="4" t="str">
        <f t="shared" si="77"/>
        <v>RELR</v>
      </c>
      <c r="H253" s="4" t="str">
        <f t="shared" si="78"/>
        <v>TTTNLYLSSMAFSDLLIFLCMPLDLVRLWQY</v>
      </c>
      <c r="I253" s="4" t="str">
        <f t="shared" si="79"/>
        <v>PWNF</v>
      </c>
      <c r="J253" s="4" t="str">
        <f t="shared" si="80"/>
        <v>GDLLCKLFQFVSESCTYATVLTITALSVERYFAICF</v>
      </c>
      <c r="K253" s="4" t="str">
        <f t="shared" si="81"/>
        <v>PLRAKVVV</v>
      </c>
      <c r="L253" s="4" t="str">
        <f t="shared" si="82"/>
        <v>KGRVKLVIFVIWAVAFCSAGPIFVLV</v>
      </c>
      <c r="M253" s="4" t="str">
        <f t="shared" si="83"/>
        <v>CRP</v>
      </c>
      <c r="N253" s="4" t="str">
        <f t="shared" si="84"/>
        <v>RSGLLTVMVWVSSIFFFLPVFCLTVLYSLIGRKLWRRRRGD</v>
      </c>
      <c r="O253" s="4" t="str">
        <f t="shared" si="85"/>
        <v>SLRDQNHKQTVKMLAVVVFAFILCWLPFHVGRYLFSKS</v>
      </c>
      <c r="P253" s="4" t="str">
        <f t="shared" si="86"/>
        <v>AQISQYCNLVSFVLFYLSAAINPILYNIM</v>
      </c>
      <c r="Q253" s="4" t="str">
        <f t="shared" si="87"/>
        <v>SKKYRVAVFRLL</v>
      </c>
      <c r="R253" s="5">
        <f>VLOOKUP($A253,'NonXtal_SegEnds_Prot#'!$A:$AL,3,FALSE)</f>
        <v>40</v>
      </c>
      <c r="S253" s="5">
        <f>VLOOKUP($A253,'NonXtal_SegEnds_Prot#'!$A:$AL,6,FALSE)</f>
        <v>72</v>
      </c>
      <c r="T253" s="5">
        <f>VLOOKUP($A253,'NonXtal_SegEnds_Prot#'!$A:$AL,9,FALSE)</f>
        <v>76</v>
      </c>
      <c r="U253" s="5">
        <f>VLOOKUP($A253,'NonXtal_SegEnds_Prot#'!$A:$AL,12,FALSE)</f>
        <v>108</v>
      </c>
      <c r="V253" s="5">
        <f>VLOOKUP($A253,'NonXtal_SegEnds_Prot#'!$A:$AL,15,FALSE)</f>
        <v>112</v>
      </c>
      <c r="W253" s="5">
        <f>VLOOKUP($A253,'NonXtal_SegEnds_Prot#'!$A:$AL,18,FALSE)</f>
        <v>148</v>
      </c>
      <c r="X253" s="5">
        <f>VLOOKUP($A253,'NonXtal_SegEnds_Prot#'!$A:$AL,21,FALSE)</f>
        <v>157</v>
      </c>
      <c r="Y253" s="5">
        <f>VLOOKUP($A253,'NonXtal_SegEnds_Prot#'!$A:$AL,24,FALSE)</f>
        <v>198</v>
      </c>
      <c r="Z253" s="5">
        <f>VLOOKUP($A253,'NonXtal_SegEnds_Prot#'!$A:$AL,27,FALSE)</f>
        <v>206</v>
      </c>
      <c r="AA253" s="5">
        <f>VLOOKUP($A253,'NonXtal_SegEnds_Prot#'!$A:$AL,30,FALSE)</f>
        <v>252</v>
      </c>
      <c r="AB253" s="5">
        <f>VLOOKUP($A253,'NonXtal_SegEnds_Prot#'!$A:$AL,33,FALSE)</f>
        <v>298</v>
      </c>
      <c r="AC253" s="5">
        <f>VLOOKUP($A253,'NonXtal_SegEnds_Prot#'!$A:$AL,36,FALSE)</f>
        <v>327</v>
      </c>
      <c r="AD253" s="5">
        <f>VLOOKUP($A253,'NonXtal_SegEnds_Prot#'!$A:$AL,5,FALSE)</f>
        <v>71</v>
      </c>
      <c r="AE253" s="5">
        <f>VLOOKUP($A253,'NonXtal_SegEnds_Prot#'!$A:$AL,8,FALSE)</f>
        <v>75</v>
      </c>
      <c r="AF253" s="5">
        <f>VLOOKUP($A253,'NonXtal_SegEnds_Prot#'!$A:$AL,11,FALSE)</f>
        <v>106</v>
      </c>
      <c r="AG253" s="5">
        <f>VLOOKUP($A253,'NonXtal_SegEnds_Prot#'!$A:$AL,14,FALSE)</f>
        <v>111</v>
      </c>
      <c r="AH253" s="5">
        <f>VLOOKUP($A253,'NonXtal_SegEnds_Prot#'!$A:$AL,17,FALSE)</f>
        <v>147</v>
      </c>
      <c r="AI253" s="5">
        <f>VLOOKUP($A253,'NonXtal_SegEnds_Prot#'!$A:$AL,20,FALSE)</f>
        <v>155</v>
      </c>
      <c r="AJ253" s="5">
        <f>VLOOKUP($A253,'NonXtal_SegEnds_Prot#'!$A:$AL,23,FALSE)</f>
        <v>182</v>
      </c>
      <c r="AK253" s="5">
        <f>VLOOKUP($A253,'NonXtal_SegEnds_Prot#'!$A:$AL,26,FALSE)</f>
        <v>200</v>
      </c>
      <c r="AL253" s="5">
        <f>VLOOKUP($A253,'NonXtal_SegEnds_Prot#'!$A:$AL,29,FALSE)</f>
        <v>246</v>
      </c>
      <c r="AM253" s="5">
        <f>VLOOKUP($A253,'NonXtal_SegEnds_Prot#'!$A:$AL,32,FALSE)</f>
        <v>289</v>
      </c>
      <c r="AN253" s="5">
        <f>VLOOKUP($A253,'NonXtal_SegEnds_Prot#'!$A:$AL,35,FALSE)</f>
        <v>326</v>
      </c>
      <c r="AO253" s="5">
        <f>VLOOKUP($A253,'NonXtal_SegEnds_Prot#'!$A:$AL,38,FALSE)</f>
        <v>338</v>
      </c>
      <c r="AP253" s="5">
        <f t="shared" si="88"/>
        <v>31</v>
      </c>
      <c r="AQ253" s="4">
        <f t="shared" si="89"/>
        <v>3</v>
      </c>
      <c r="AR253" s="4">
        <f t="shared" si="90"/>
        <v>30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25</v>
      </c>
      <c r="AW253" s="4">
        <f t="shared" si="95"/>
        <v>2</v>
      </c>
      <c r="AX253" s="4">
        <f t="shared" si="96"/>
        <v>40</v>
      </c>
      <c r="AY253" s="4">
        <f t="shared" si="97"/>
        <v>37</v>
      </c>
      <c r="AZ253" s="4">
        <f t="shared" si="98"/>
        <v>28</v>
      </c>
      <c r="BA253" s="4">
        <f t="shared" si="99"/>
        <v>11</v>
      </c>
    </row>
    <row r="254" spans="1:53" x14ac:dyDescent="0.2">
      <c r="A254" s="1" t="str">
        <f>'NonXtal_SegEnds_Prot#'!A240</f>
        <v>ntr2_human</v>
      </c>
      <c r="B254" s="1" t="str">
        <f t="shared" si="75"/>
        <v>LWAKVLFTALYALIWALGAAGNALSAHVVLKAGRLRHHVLSLALAGLLLLLVGVPVELYSFVWFGDLGCRGYYFVHELCAYATVLSVAGLSAERCLAVCQPRRTRWLVALSWAASLGLALPMAVIMRTALQVFIQVNVLVSFVLPLALTAFLNGVTVSHLLALCSQVPSVRRIRSLQRSVQVLRAIVVMYVICWLPYHARRLMYCYVTDPLYNFYHYFYMVTNTLFYVSSAVTPLLYNAVSSSFRKLFLEAV</v>
      </c>
      <c r="C254" s="72" t="str">
        <f>IF(ISERROR(MATCH(A254,'Xtal_SegEnds_Prot#'!B:B,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54" s="5" t="str">
        <f t="shared" si="76"/>
        <v>LWAKVLFTALYALIWALGAAGNALSAHVVLKA</v>
      </c>
      <c r="G254" s="4" t="str">
        <f t="shared" si="77"/>
        <v/>
      </c>
      <c r="H254" s="4" t="str">
        <f t="shared" si="78"/>
        <v>GRLRHHVLSLALAGLLLLLVGVPVELYSFVWF</v>
      </c>
      <c r="I254" s="4" t="str">
        <f t="shared" si="79"/>
        <v>PWVF</v>
      </c>
      <c r="J254" s="4" t="str">
        <f t="shared" si="80"/>
        <v>GDLGCRGYYFVHELCAYATVLSVAGLSAERCLAVCQ</v>
      </c>
      <c r="K254" s="4" t="str">
        <f t="shared" si="81"/>
        <v>PLRARSLL</v>
      </c>
      <c r="L254" s="4" t="str">
        <f t="shared" si="82"/>
        <v>PRRTRWLVALSWAASLGLALPMAVIM</v>
      </c>
      <c r="M254" s="4" t="str">
        <f t="shared" si="83"/>
        <v>CTV</v>
      </c>
      <c r="N254" s="4" t="str">
        <f t="shared" si="84"/>
        <v>RTALQVFIQVNVLVSFVLPLALTAFLNGVTVSHLLALCSQVPS</v>
      </c>
      <c r="O254" s="4" t="str">
        <f t="shared" si="85"/>
        <v>VRRIRSLQRSVQVLRAIVVMYVICWLPYHARRLMYCYV</v>
      </c>
      <c r="P254" s="4" t="str">
        <f t="shared" si="86"/>
        <v>TDPLYNFYHYFYMVTNTLFYVSSAVTPLLYNAV</v>
      </c>
      <c r="Q254" s="4" t="str">
        <f t="shared" si="87"/>
        <v>SSSFRKLFLEAV</v>
      </c>
      <c r="R254" s="5">
        <f>VLOOKUP($A254,'NonXtal_SegEnds_Prot#'!$A:$AL,3,FALSE)</f>
        <v>29</v>
      </c>
      <c r="S254" s="5" t="str">
        <f>VLOOKUP($A254,'NonXtal_SegEnds_Prot#'!$A:$AL,6,FALSE)</f>
        <v>-</v>
      </c>
      <c r="T254" s="5">
        <f>VLOOKUP($A254,'NonXtal_SegEnds_Prot#'!$A:$AL,9,FALSE)</f>
        <v>66</v>
      </c>
      <c r="U254" s="5">
        <f>VLOOKUP($A254,'NonXtal_SegEnds_Prot#'!$A:$AL,12,FALSE)</f>
        <v>100</v>
      </c>
      <c r="V254" s="5">
        <f>VLOOKUP($A254,'NonXtal_SegEnds_Prot#'!$A:$AL,15,FALSE)</f>
        <v>104</v>
      </c>
      <c r="W254" s="5">
        <f>VLOOKUP($A254,'NonXtal_SegEnds_Prot#'!$A:$AL,18,FALSE)</f>
        <v>140</v>
      </c>
      <c r="X254" s="5">
        <f>VLOOKUP($A254,'NonXtal_SegEnds_Prot#'!$A:$AL,21,FALSE)</f>
        <v>149</v>
      </c>
      <c r="Y254" s="5">
        <f>VLOOKUP($A254,'NonXtal_SegEnds_Prot#'!$A:$AL,24,FALSE)</f>
        <v>194</v>
      </c>
      <c r="Z254" s="5">
        <f>VLOOKUP($A254,'NonXtal_SegEnds_Prot#'!$A:$AL,27,FALSE)</f>
        <v>200</v>
      </c>
      <c r="AA254" s="5">
        <f>VLOOKUP($A254,'NonXtal_SegEnds_Prot#'!$A:$AL,30,FALSE)</f>
        <v>286</v>
      </c>
      <c r="AB254" s="5">
        <f>VLOOKUP($A254,'NonXtal_SegEnds_Prot#'!$A:$AL,33,FALSE)</f>
        <v>329</v>
      </c>
      <c r="AC254" s="5">
        <f>VLOOKUP($A254,'NonXtal_SegEnds_Prot#'!$A:$AL,36,FALSE)</f>
        <v>362</v>
      </c>
      <c r="AD254" s="5">
        <f>VLOOKUP($A254,'NonXtal_SegEnds_Prot#'!$A:$AL,5,FALSE)</f>
        <v>60</v>
      </c>
      <c r="AE254" s="5" t="str">
        <f>VLOOKUP($A254,'NonXtal_SegEnds_Prot#'!$A:$AL,8,FALSE)</f>
        <v>-</v>
      </c>
      <c r="AF254" s="5">
        <f>VLOOKUP($A254,'NonXtal_SegEnds_Prot#'!$A:$AL,11,FALSE)</f>
        <v>97</v>
      </c>
      <c r="AG254" s="5">
        <f>VLOOKUP($A254,'NonXtal_SegEnds_Prot#'!$A:$AL,14,FALSE)</f>
        <v>103</v>
      </c>
      <c r="AH254" s="5">
        <f>VLOOKUP($A254,'NonXtal_SegEnds_Prot#'!$A:$AL,17,FALSE)</f>
        <v>139</v>
      </c>
      <c r="AI254" s="5">
        <f>VLOOKUP($A254,'NonXtal_SegEnds_Prot#'!$A:$AL,20,FALSE)</f>
        <v>147</v>
      </c>
      <c r="AJ254" s="5">
        <f>VLOOKUP($A254,'NonXtal_SegEnds_Prot#'!$A:$AL,23,FALSE)</f>
        <v>174</v>
      </c>
      <c r="AK254" s="5">
        <f>VLOOKUP($A254,'NonXtal_SegEnds_Prot#'!$A:$AL,26,FALSE)</f>
        <v>196</v>
      </c>
      <c r="AL254" s="5">
        <f>VLOOKUP($A254,'NonXtal_SegEnds_Prot#'!$A:$AL,29,FALSE)</f>
        <v>242</v>
      </c>
      <c r="AM254" s="5">
        <f>VLOOKUP($A254,'NonXtal_SegEnds_Prot#'!$A:$AL,32,FALSE)</f>
        <v>323</v>
      </c>
      <c r="AN254" s="5">
        <f>VLOOKUP($A254,'NonXtal_SegEnds_Prot#'!$A:$AL,35,FALSE)</f>
        <v>361</v>
      </c>
      <c r="AO254" s="5">
        <f>VLOOKUP($A254,'NonXtal_SegEnds_Prot#'!$A:$AL,38,FALSE)</f>
        <v>373</v>
      </c>
      <c r="AP254" s="5">
        <f t="shared" si="88"/>
        <v>31</v>
      </c>
      <c r="AQ254" s="4" t="str">
        <f t="shared" si="89"/>
        <v>-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25</v>
      </c>
      <c r="AW254" s="4">
        <f t="shared" si="95"/>
        <v>2</v>
      </c>
      <c r="AX254" s="4">
        <f t="shared" si="96"/>
        <v>42</v>
      </c>
      <c r="AY254" s="4">
        <f t="shared" si="97"/>
        <v>37</v>
      </c>
      <c r="AZ254" s="4">
        <f t="shared" si="98"/>
        <v>32</v>
      </c>
      <c r="BA254" s="4">
        <f t="shared" si="99"/>
        <v>11</v>
      </c>
    </row>
    <row r="255" spans="1:53" x14ac:dyDescent="0.2">
      <c r="A255" s="1" t="str">
        <f>'NonXtal_SegEnds_Prot#'!A241</f>
        <v>pe2r2_human</v>
      </c>
      <c r="B255" s="1" t="str">
        <f t="shared" si="75"/>
        <v>WLPPGESPAISSVMFSAGVLGNLIALALLARRRRSSLSLFHVLVTELVFTDLLGTCLISPVVLASYARNLAPESRACTYFAFAMTFFSLATMLMLFAMALERYLSIGHRSGGLAVLPVIYAVSLLFCSLPLLDYTAYLQLYATLLLLLIVSVLACNFSVILNLIRMHRRSRRSRCGRVSMAEETDHLILLAIMTITFAVCSLPFTIFAYMNETSKWDLQALRFLSINSIIDPWVFAILRPPVLRLMRSVL</v>
      </c>
      <c r="C255" s="72" t="str">
        <f>IF(ISERROR(MATCH(A255,'Xtal_SegEnds_Prot#'!B:B,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55" s="5" t="str">
        <f t="shared" si="76"/>
        <v>WLPPGESPAISSVMFSAGVLGNLIALALLARR</v>
      </c>
      <c r="G255" s="4" t="str">
        <f t="shared" si="77"/>
        <v>CSAG</v>
      </c>
      <c r="H255" s="4" t="str">
        <f t="shared" si="78"/>
        <v>RRSSLSLFHVLVTELVFTDLLGTCLISPVVLASYARN</v>
      </c>
      <c r="I255" s="4" t="str">
        <f t="shared" si="79"/>
        <v/>
      </c>
      <c r="J255" s="4" t="str">
        <f t="shared" si="80"/>
        <v>LAPESRACTYFAFAMTFFSLATMLMLFAMALERYLSIGH</v>
      </c>
      <c r="K255" s="4" t="str">
        <f t="shared" si="81"/>
        <v>PYFYQRRV</v>
      </c>
      <c r="L255" s="4" t="str">
        <f t="shared" si="82"/>
        <v>RSGGLAVLPVIYAVSLLFCSLPLLDY</v>
      </c>
      <c r="M255" s="4" t="str">
        <f t="shared" si="83"/>
        <v>CFI</v>
      </c>
      <c r="N255" s="4" t="str">
        <f t="shared" si="84"/>
        <v>TAYLQLYATLLLLLIVSVLACNFSVILNLIRMHRRSRRSRCG</v>
      </c>
      <c r="O255" s="4" t="str">
        <f t="shared" si="85"/>
        <v>RVSMAEETDHLILLAIMTITFAVCSLPFTIFAYMNETS</v>
      </c>
      <c r="P255" s="4" t="str">
        <f t="shared" si="86"/>
        <v>KWDLQALRFLSINSIIDPWVFAIL</v>
      </c>
      <c r="Q255" s="4" t="str">
        <f t="shared" si="87"/>
        <v>RPPVLRLMRSVL</v>
      </c>
      <c r="R255" s="5">
        <f>VLOOKUP($A255,'NonXtal_SegEnds_Prot#'!$A:$AL,3,FALSE)</f>
        <v>18</v>
      </c>
      <c r="S255" s="5">
        <f>VLOOKUP($A255,'NonXtal_SegEnds_Prot#'!$A:$AL,6,FALSE)</f>
        <v>56</v>
      </c>
      <c r="T255" s="5">
        <f>VLOOKUP($A255,'NonXtal_SegEnds_Prot#'!$A:$AL,9,FALSE)</f>
        <v>60</v>
      </c>
      <c r="U255" s="5" t="str">
        <f>VLOOKUP($A255,'NonXtal_SegEnds_Prot#'!$A:$AL,12,FALSE)</f>
        <v>-</v>
      </c>
      <c r="V255" s="5">
        <f>VLOOKUP($A255,'NonXtal_SegEnds_Prot#'!$A:$AL,15,FALSE)</f>
        <v>102</v>
      </c>
      <c r="W255" s="5">
        <f>VLOOKUP($A255,'NonXtal_SegEnds_Prot#'!$A:$AL,18,FALSE)</f>
        <v>141</v>
      </c>
      <c r="X255" s="5">
        <f>VLOOKUP($A255,'NonXtal_SegEnds_Prot#'!$A:$AL,21,FALSE)</f>
        <v>150</v>
      </c>
      <c r="Y255" s="5">
        <f>VLOOKUP($A255,'NonXtal_SegEnds_Prot#'!$A:$AL,24,FALSE)</f>
        <v>187</v>
      </c>
      <c r="Z255" s="5">
        <f>VLOOKUP($A255,'NonXtal_SegEnds_Prot#'!$A:$AL,27,FALSE)</f>
        <v>194</v>
      </c>
      <c r="AA255" s="5">
        <f>VLOOKUP($A255,'NonXtal_SegEnds_Prot#'!$A:$AL,30,FALSE)</f>
        <v>253</v>
      </c>
      <c r="AB255" s="5">
        <f>VLOOKUP($A255,'NonXtal_SegEnds_Prot#'!$A:$AL,33,FALSE)</f>
        <v>295</v>
      </c>
      <c r="AC255" s="5">
        <f>VLOOKUP($A255,'NonXtal_SegEnds_Prot#'!$A:$AL,36,FALSE)</f>
        <v>319</v>
      </c>
      <c r="AD255" s="5">
        <f>VLOOKUP($A255,'NonXtal_SegEnds_Prot#'!$A:$AL,5,FALSE)</f>
        <v>49</v>
      </c>
      <c r="AE255" s="5">
        <f>VLOOKUP($A255,'NonXtal_SegEnds_Prot#'!$A:$AL,8,FALSE)</f>
        <v>59</v>
      </c>
      <c r="AF255" s="5">
        <f>VLOOKUP($A255,'NonXtal_SegEnds_Prot#'!$A:$AL,11,FALSE)</f>
        <v>96</v>
      </c>
      <c r="AG255" s="5" t="str">
        <f>VLOOKUP($A255,'NonXtal_SegEnds_Prot#'!$A:$AL,14,FALSE)</f>
        <v>-</v>
      </c>
      <c r="AH255" s="5">
        <f>VLOOKUP($A255,'NonXtal_SegEnds_Prot#'!$A:$AL,17,FALSE)</f>
        <v>140</v>
      </c>
      <c r="AI255" s="5">
        <f>VLOOKUP($A255,'NonXtal_SegEnds_Prot#'!$A:$AL,20,FALSE)</f>
        <v>148</v>
      </c>
      <c r="AJ255" s="5">
        <f>VLOOKUP($A255,'NonXtal_SegEnds_Prot#'!$A:$AL,23,FALSE)</f>
        <v>175</v>
      </c>
      <c r="AK255" s="5">
        <f>VLOOKUP($A255,'NonXtal_SegEnds_Prot#'!$A:$AL,26,FALSE)</f>
        <v>189</v>
      </c>
      <c r="AL255" s="5">
        <f>VLOOKUP($A255,'NonXtal_SegEnds_Prot#'!$A:$AL,29,FALSE)</f>
        <v>235</v>
      </c>
      <c r="AM255" s="5">
        <f>VLOOKUP($A255,'NonXtal_SegEnds_Prot#'!$A:$AL,32,FALSE)</f>
        <v>290</v>
      </c>
      <c r="AN255" s="5">
        <f>VLOOKUP($A255,'NonXtal_SegEnds_Prot#'!$A:$AL,35,FALSE)</f>
        <v>318</v>
      </c>
      <c r="AO255" s="5">
        <f>VLOOKUP($A255,'NonXtal_SegEnds_Prot#'!$A:$AL,38,FALSE)</f>
        <v>330</v>
      </c>
      <c r="AP255" s="5">
        <f t="shared" si="88"/>
        <v>31</v>
      </c>
      <c r="AQ255" s="4">
        <f t="shared" si="89"/>
        <v>3</v>
      </c>
      <c r="AR255" s="4">
        <f t="shared" si="90"/>
        <v>36</v>
      </c>
      <c r="AS255" s="4" t="str">
        <f t="shared" si="91"/>
        <v>-</v>
      </c>
      <c r="AT255" s="4">
        <f t="shared" si="92"/>
        <v>38</v>
      </c>
      <c r="AU255" s="4">
        <f t="shared" si="93"/>
        <v>7</v>
      </c>
      <c r="AV255" s="4">
        <f t="shared" si="94"/>
        <v>25</v>
      </c>
      <c r="AW255" s="4">
        <f t="shared" si="95"/>
        <v>2</v>
      </c>
      <c r="AX255" s="4">
        <f t="shared" si="96"/>
        <v>41</v>
      </c>
      <c r="AY255" s="4">
        <f t="shared" si="97"/>
        <v>37</v>
      </c>
      <c r="AZ255" s="4">
        <f t="shared" si="98"/>
        <v>23</v>
      </c>
      <c r="BA255" s="4">
        <f t="shared" si="99"/>
        <v>11</v>
      </c>
    </row>
    <row r="256" spans="1:53" x14ac:dyDescent="0.2">
      <c r="A256" s="1" t="str">
        <f>'NonXtal_SegEnds_Prot#'!A242</f>
        <v>gp152_human</v>
      </c>
      <c r="B256" s="1" t="str">
        <f t="shared" si="75"/>
        <v>YPQGGWDTVFLVALLLLGLPANGLMAWLAGSQTRLALLLLSLALSDFLFLAAAAFQILEIRHGGTAACRFYYFLWGVSYSSGLFLLAALSLDRCLLALCVRLPLWVCAGVWVLATLFSVPWLVFPEELSLRMLEVLGGFLPFLLLLVCHVLTQATACRTAACRGFARVARTILSAYVVLRLPYQLAQLLYLAFGYLLWEALVYSDYLILLNSCLSPFLCLMASADLRTLLRSVL</v>
      </c>
      <c r="C256" s="72" t="str">
        <f>IF(ISERROR(MATCH(A256,'Xtal_SegEnds_Prot#'!B:B,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256" s="5" t="str">
        <f t="shared" si="76"/>
        <v>YPQGGWDTVFLVALLLLGLPANGLMAWLAGSQ</v>
      </c>
      <c r="G256" s="4" t="str">
        <f t="shared" si="77"/>
        <v/>
      </c>
      <c r="H256" s="4" t="str">
        <f t="shared" si="78"/>
        <v>TRLALLLLSLALSDFLFLAAAAFQILEIRHG</v>
      </c>
      <c r="I256" s="4" t="str">
        <f t="shared" si="79"/>
        <v>HWPL</v>
      </c>
      <c r="J256" s="4" t="str">
        <f t="shared" si="80"/>
        <v>GTAACRFYYFLWGVSYSSGLFLLAALSLDRCLLALC</v>
      </c>
      <c r="K256" s="4" t="str">
        <f t="shared" si="81"/>
        <v>PHWYPGHR</v>
      </c>
      <c r="L256" s="4" t="str">
        <f t="shared" si="82"/>
        <v>VRLPLWVCAGVWVLATLFSVPWLVFP</v>
      </c>
      <c r="M256" s="4" t="str">
        <f t="shared" si="83"/>
        <v>CLD</v>
      </c>
      <c r="N256" s="4" t="str">
        <f t="shared" si="84"/>
        <v>EELSLRMLEVLGGFLPFLLLLVCHVLTQATACRT</v>
      </c>
      <c r="O256" s="4" t="str">
        <f t="shared" si="85"/>
        <v>AACRGFARVARTILSAYVVLRLPYQLAQLLYLAF</v>
      </c>
      <c r="P256" s="4" t="str">
        <f t="shared" si="86"/>
        <v>GYLLWEALVYSDYLILLNSCLSPFLCLMA</v>
      </c>
      <c r="Q256" s="4" t="str">
        <f t="shared" si="87"/>
        <v>SADLRTLLRSVL</v>
      </c>
      <c r="R256" s="5">
        <f>VLOOKUP($A256,'NonXtal_SegEnds_Prot#'!$A:$AL,3,FALSE)</f>
        <v>26</v>
      </c>
      <c r="S256" s="5" t="str">
        <f>VLOOKUP($A256,'NonXtal_SegEnds_Prot#'!$A:$AL,6,FALSE)</f>
        <v>-</v>
      </c>
      <c r="T256" s="5">
        <f>VLOOKUP($A256,'NonXtal_SegEnds_Prot#'!$A:$AL,9,FALSE)</f>
        <v>64</v>
      </c>
      <c r="U256" s="5">
        <f>VLOOKUP($A256,'NonXtal_SegEnds_Prot#'!$A:$AL,12,FALSE)</f>
        <v>96</v>
      </c>
      <c r="V256" s="5">
        <f>VLOOKUP($A256,'NonXtal_SegEnds_Prot#'!$A:$AL,15,FALSE)</f>
        <v>100</v>
      </c>
      <c r="W256" s="5">
        <f>VLOOKUP($A256,'NonXtal_SegEnds_Prot#'!$A:$AL,18,FALSE)</f>
        <v>136</v>
      </c>
      <c r="X256" s="5">
        <f>VLOOKUP($A256,'NonXtal_SegEnds_Prot#'!$A:$AL,21,FALSE)</f>
        <v>145</v>
      </c>
      <c r="Y256" s="5">
        <f>VLOOKUP($A256,'NonXtal_SegEnds_Prot#'!$A:$AL,24,FALSE)</f>
        <v>182</v>
      </c>
      <c r="Z256" s="5">
        <f>VLOOKUP($A256,'NonXtal_SegEnds_Prot#'!$A:$AL,27,FALSE)</f>
        <v>189</v>
      </c>
      <c r="AA256" s="5">
        <f>VLOOKUP($A256,'NonXtal_SegEnds_Prot#'!$A:$AL,30,FALSE)</f>
        <v>230</v>
      </c>
      <c r="AB256" s="5">
        <f>VLOOKUP($A256,'NonXtal_SegEnds_Prot#'!$A:$AL,33,FALSE)</f>
        <v>270</v>
      </c>
      <c r="AC256" s="5">
        <f>VLOOKUP($A256,'NonXtal_SegEnds_Prot#'!$A:$AL,36,FALSE)</f>
        <v>299</v>
      </c>
      <c r="AD256" s="5">
        <f>VLOOKUP($A256,'NonXtal_SegEnds_Prot#'!$A:$AL,5,FALSE)</f>
        <v>57</v>
      </c>
      <c r="AE256" s="5" t="str">
        <f>VLOOKUP($A256,'NonXtal_SegEnds_Prot#'!$A:$AL,8,FALSE)</f>
        <v>-</v>
      </c>
      <c r="AF256" s="5">
        <f>VLOOKUP($A256,'NonXtal_SegEnds_Prot#'!$A:$AL,11,FALSE)</f>
        <v>94</v>
      </c>
      <c r="AG256" s="5">
        <f>VLOOKUP($A256,'NonXtal_SegEnds_Prot#'!$A:$AL,14,FALSE)</f>
        <v>99</v>
      </c>
      <c r="AH256" s="5">
        <f>VLOOKUP($A256,'NonXtal_SegEnds_Prot#'!$A:$AL,17,FALSE)</f>
        <v>135</v>
      </c>
      <c r="AI256" s="5">
        <f>VLOOKUP($A256,'NonXtal_SegEnds_Prot#'!$A:$AL,20,FALSE)</f>
        <v>143</v>
      </c>
      <c r="AJ256" s="5">
        <f>VLOOKUP($A256,'NonXtal_SegEnds_Prot#'!$A:$AL,23,FALSE)</f>
        <v>170</v>
      </c>
      <c r="AK256" s="5">
        <f>VLOOKUP($A256,'NonXtal_SegEnds_Prot#'!$A:$AL,26,FALSE)</f>
        <v>184</v>
      </c>
      <c r="AL256" s="5">
        <f>VLOOKUP($A256,'NonXtal_SegEnds_Prot#'!$A:$AL,29,FALSE)</f>
        <v>222</v>
      </c>
      <c r="AM256" s="5">
        <f>VLOOKUP($A256,'NonXtal_SegEnds_Prot#'!$A:$AL,32,FALSE)</f>
        <v>263</v>
      </c>
      <c r="AN256" s="5">
        <f>VLOOKUP($A256,'NonXtal_SegEnds_Prot#'!$A:$AL,35,FALSE)</f>
        <v>298</v>
      </c>
      <c r="AO256" s="5">
        <f>VLOOKUP($A256,'NonXtal_SegEnds_Prot#'!$A:$AL,38,FALSE)</f>
        <v>310</v>
      </c>
      <c r="AP256" s="5">
        <f t="shared" si="88"/>
        <v>31</v>
      </c>
      <c r="AQ256" s="4" t="str">
        <f t="shared" si="89"/>
        <v>-</v>
      </c>
      <c r="AR256" s="4">
        <f t="shared" si="90"/>
        <v>30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33</v>
      </c>
      <c r="AY256" s="4">
        <f t="shared" si="97"/>
        <v>33</v>
      </c>
      <c r="AZ256" s="4">
        <f t="shared" si="98"/>
        <v>28</v>
      </c>
      <c r="BA256" s="4">
        <f t="shared" si="99"/>
        <v>11</v>
      </c>
    </row>
    <row r="257" spans="1:53" x14ac:dyDescent="0.2">
      <c r="A257" s="1" t="str">
        <f>'NonXtal_SegEnds_Prot#'!A243</f>
        <v>gpr82_human</v>
      </c>
      <c r="B257" s="1" t="str">
        <f t="shared" si="75"/>
        <v>CIQPSMISSMALPIIYILLCIVGVFGNTLSQWIFLTKTSTHIYLSHLVTANLLVCSAMPFMSIYFLKGQSAQCRVVNFLGTLSMHASMFVSLLILSWIAISRYATLMQPNFARKLCIYIWGVVLGIIIPVTVYYLGAMISQIAGLIGTTFIGFSFLVVLTSYYSFVSHLRKIIMEKDLTYSSVKRHLLVIQILLIVCFLPYSIFKPIFYVLLNYLIETKNILTCLASARSSTDPIIFLLLDKTFKKTLYNLFTK</v>
      </c>
      <c r="C257" s="72" t="str">
        <f>IF(ISERROR(MATCH(A257,'Xtal_SegEnds_Prot#'!B:B,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257" s="5" t="str">
        <f t="shared" si="76"/>
        <v>CIQPSMISSMALPIIYILLCIVGVFGNTLSQWIFLTK</v>
      </c>
      <c r="G257" s="4" t="str">
        <f t="shared" si="77"/>
        <v/>
      </c>
      <c r="H257" s="4" t="str">
        <f t="shared" si="78"/>
        <v>TSTHIYLSHLVTANLLVCSAMPFMSIYFLKG</v>
      </c>
      <c r="I257" s="4" t="str">
        <f t="shared" si="79"/>
        <v>QWEY</v>
      </c>
      <c r="J257" s="4" t="str">
        <f t="shared" si="80"/>
        <v>QSAQCRVVNFLGTLSMHASMFVSLLILSWIAISRYATLMQ</v>
      </c>
      <c r="K257" s="4" t="str">
        <f t="shared" si="81"/>
        <v>GHLLKKFR</v>
      </c>
      <c r="L257" s="4" t="str">
        <f t="shared" si="82"/>
        <v>PNFARKLCIYIWGVVLGIIIPVTVYY</v>
      </c>
      <c r="M257" s="4" t="str">
        <f t="shared" si="83"/>
        <v/>
      </c>
      <c r="N257" s="4" t="str">
        <f t="shared" si="84"/>
        <v>LGAMISQIAGLIGTTFIGFSFLVVLTSYYSFVSHLRKI</v>
      </c>
      <c r="O257" s="4" t="str">
        <f t="shared" si="85"/>
        <v>IMEKDLTYSSVKRHLLVIQILLIVCFLPYSIFKPIFYVL</v>
      </c>
      <c r="P257" s="4" t="str">
        <f t="shared" si="86"/>
        <v>LNYLIETKNILTCLASARSSTDPIIFLLL</v>
      </c>
      <c r="Q257" s="4" t="str">
        <f t="shared" si="87"/>
        <v>DKTFKKTLYNLFTK</v>
      </c>
      <c r="R257" s="5">
        <f>VLOOKUP($A257,'NonXtal_SegEnds_Prot#'!$A:$AL,3,FALSE)</f>
        <v>7</v>
      </c>
      <c r="S257" s="5" t="str">
        <f>VLOOKUP($A257,'NonXtal_SegEnds_Prot#'!$A:$AL,6,FALSE)</f>
        <v>-</v>
      </c>
      <c r="T257" s="5">
        <f>VLOOKUP($A257,'NonXtal_SegEnds_Prot#'!$A:$AL,9,FALSE)</f>
        <v>48</v>
      </c>
      <c r="U257" s="5">
        <f>VLOOKUP($A257,'NonXtal_SegEnds_Prot#'!$A:$AL,12,FALSE)</f>
        <v>80</v>
      </c>
      <c r="V257" s="5">
        <f>VLOOKUP($A257,'NonXtal_SegEnds_Prot#'!$A:$AL,15,FALSE)</f>
        <v>84</v>
      </c>
      <c r="W257" s="5">
        <f>VLOOKUP($A257,'NonXtal_SegEnds_Prot#'!$A:$AL,18,FALSE)</f>
        <v>140</v>
      </c>
      <c r="X257" s="5">
        <f>VLOOKUP($A257,'NonXtal_SegEnds_Prot#'!$A:$AL,21,FALSE)</f>
        <v>149</v>
      </c>
      <c r="Y257" s="5" t="str">
        <f>VLOOKUP($A257,'NonXtal_SegEnds_Prot#'!$A:$AL,24,FALSE)</f>
        <v>-</v>
      </c>
      <c r="Z257" s="5">
        <f>VLOOKUP($A257,'NonXtal_SegEnds_Prot#'!$A:$AL,27,FALSE)</f>
        <v>194</v>
      </c>
      <c r="AA257" s="5">
        <f>VLOOKUP($A257,'NonXtal_SegEnds_Prot#'!$A:$AL,30,FALSE)</f>
        <v>237</v>
      </c>
      <c r="AB257" s="5">
        <f>VLOOKUP($A257,'NonXtal_SegEnds_Prot#'!$A:$AL,33,FALSE)</f>
        <v>284</v>
      </c>
      <c r="AC257" s="5">
        <f>VLOOKUP($A257,'NonXtal_SegEnds_Prot#'!$A:$AL,36,FALSE)</f>
        <v>313</v>
      </c>
      <c r="AD257" s="5">
        <f>VLOOKUP($A257,'NonXtal_SegEnds_Prot#'!$A:$AL,5,FALSE)</f>
        <v>43</v>
      </c>
      <c r="AE257" s="5" t="str">
        <f>VLOOKUP($A257,'NonXtal_SegEnds_Prot#'!$A:$AL,8,FALSE)</f>
        <v>-</v>
      </c>
      <c r="AF257" s="5">
        <f>VLOOKUP($A257,'NonXtal_SegEnds_Prot#'!$A:$AL,11,FALSE)</f>
        <v>78</v>
      </c>
      <c r="AG257" s="5">
        <f>VLOOKUP($A257,'NonXtal_SegEnds_Prot#'!$A:$AL,14,FALSE)</f>
        <v>83</v>
      </c>
      <c r="AH257" s="5">
        <f>VLOOKUP($A257,'NonXtal_SegEnds_Prot#'!$A:$AL,17,FALSE)</f>
        <v>123</v>
      </c>
      <c r="AI257" s="5">
        <f>VLOOKUP($A257,'NonXtal_SegEnds_Prot#'!$A:$AL,20,FALSE)</f>
        <v>147</v>
      </c>
      <c r="AJ257" s="5">
        <f>VLOOKUP($A257,'NonXtal_SegEnds_Prot#'!$A:$AL,23,FALSE)</f>
        <v>174</v>
      </c>
      <c r="AK257" s="5" t="str">
        <f>VLOOKUP($A257,'NonXtal_SegEnds_Prot#'!$A:$AL,26,FALSE)</f>
        <v>-</v>
      </c>
      <c r="AL257" s="5">
        <f>VLOOKUP($A257,'NonXtal_SegEnds_Prot#'!$A:$AL,29,FALSE)</f>
        <v>231</v>
      </c>
      <c r="AM257" s="5">
        <f>VLOOKUP($A257,'NonXtal_SegEnds_Prot#'!$A:$AL,32,FALSE)</f>
        <v>275</v>
      </c>
      <c r="AN257" s="5">
        <f>VLOOKUP($A257,'NonXtal_SegEnds_Prot#'!$A:$AL,35,FALSE)</f>
        <v>312</v>
      </c>
      <c r="AO257" s="5">
        <f>VLOOKUP($A257,'NonXtal_SegEnds_Prot#'!$A:$AL,38,FALSE)</f>
        <v>326</v>
      </c>
      <c r="AP257" s="5">
        <f t="shared" si="88"/>
        <v>36</v>
      </c>
      <c r="AQ257" s="4" t="str">
        <f t="shared" si="89"/>
        <v>-</v>
      </c>
      <c r="AR257" s="4">
        <f t="shared" si="90"/>
        <v>30</v>
      </c>
      <c r="AS257" s="4">
        <f t="shared" si="91"/>
        <v>3</v>
      </c>
      <c r="AT257" s="4">
        <f t="shared" si="92"/>
        <v>39</v>
      </c>
      <c r="AU257" s="4">
        <f t="shared" si="93"/>
        <v>7</v>
      </c>
      <c r="AV257" s="4">
        <f t="shared" si="94"/>
        <v>25</v>
      </c>
      <c r="AW257" s="4" t="str">
        <f t="shared" si="95"/>
        <v>-</v>
      </c>
      <c r="AX257" s="4">
        <f t="shared" si="96"/>
        <v>37</v>
      </c>
      <c r="AY257" s="4">
        <f t="shared" si="97"/>
        <v>38</v>
      </c>
      <c r="AZ257" s="4">
        <f t="shared" si="98"/>
        <v>28</v>
      </c>
      <c r="BA257" s="4">
        <f t="shared" si="99"/>
        <v>13</v>
      </c>
    </row>
    <row r="258" spans="1:53" x14ac:dyDescent="0.2">
      <c r="A258" s="1" t="str">
        <f>'NonXtal_SegEnds_Prot#'!A244</f>
        <v>oprd_human</v>
      </c>
      <c r="B258" s="1" t="str">
        <f t="shared" ref="B258:B321" si="100">F258&amp;H258&amp;J258&amp;L258&amp;N258&amp;O258&amp;P258&amp;Q258</f>
        <v>GARSASSLALAIAITALYSAVCAVGLLGNVLVMFGIVRYTATNIYIFNLALADALATSTLPFQSAKYLMGELLCKAVLSIDYYNMFTSIFTLTMMSVDRYIAVCHPAKAKLINICIWVLASGVGVPIMVMASWYWDTVTKICVFLFAFVVPILIITVCYGLMLLRLRSVSKEKDRSLRRITRMVLVVVGAFVVCWAPIHIFVIVWTLVDPLVVAALHLCIALGYANSSLNPVLYAFLDENFKRCFRQLCRK</v>
      </c>
      <c r="C258" s="72" t="str">
        <f>IF(ISERROR(MATCH(A258,'Xtal_SegEnds_Prot#'!B:B, 0)), "NoXtal", "Xtal")</f>
        <v>Xtal</v>
      </c>
      <c r="D258" s="4" t="str">
        <f>VLOOKUP(A258,Classification!A:D,2,FALSE)</f>
        <v>A</v>
      </c>
      <c r="E258" s="5" t="str">
        <f>VLOOKUP(A258,Seqs!A:B,2,FALSE)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58" s="5" t="str">
        <f t="shared" ref="F258:F321" si="101">IFERROR(MID($E258,R258,(AP258+1)),"")</f>
        <v>GARSASSLALAIAITALYSAVCAVGLLGNVLVMFGIVRY</v>
      </c>
      <c r="G258" s="4" t="str">
        <f t="shared" ref="G258:G321" si="102">IFERROR(MID($E258,S258,(AQ258+1)),"")</f>
        <v>TKMK</v>
      </c>
      <c r="H258" s="4" t="str">
        <f t="shared" ref="H258:H321" si="103">IFERROR(MID($E258,T258,(AR258+1)),"")</f>
        <v>TATNIYIFNLALADALATSTLPFQSAKYLM</v>
      </c>
      <c r="I258" s="4" t="str">
        <f t="shared" ref="I258:I321" si="104">IFERROR(MID($E258,U258,(AS258+1)),"")</f>
        <v>TWPF</v>
      </c>
      <c r="J258" s="4" t="str">
        <f t="shared" ref="J258:J321" si="105">IFERROR(MID($E258,V258,(AT258+1)),"")</f>
        <v>GELLCKAVLSIDYYNMFTSIFTLTMMSVDRYIAVCH</v>
      </c>
      <c r="K258" s="4" t="str">
        <f t="shared" ref="K258:K321" si="106">IFERROR(MID($E258,W258,(AU258+1)),"")</f>
        <v>PVKALDFR</v>
      </c>
      <c r="L258" s="4" t="str">
        <f t="shared" ref="L258:L321" si="107">IFERROR(MID($E258,X258,(AV258+1)),"")</f>
        <v>PAKAKLINICIWVLASGVGVPIMVMA</v>
      </c>
      <c r="M258" s="4" t="str">
        <f t="shared" ref="M258:M321" si="108">IFERROR(MID($E258,Y258,(AW258+1)),"")</f>
        <v>CML</v>
      </c>
      <c r="N258" s="4" t="str">
        <f t="shared" ref="N258:N321" si="109">IFERROR(MID($E258,Z258,(AX258+1)),"")</f>
        <v>SWYWDTVTKICVFLFAFVVPILIITVCYGLMLLRLRSV</v>
      </c>
      <c r="O258" s="4" t="str">
        <f t="shared" ref="O258:O321" si="110">IFERROR(MID($E258,AA258,(AY258+1)),"")</f>
        <v>SKEKDRSLRRITRMVLVVVGAFVVCWAPIHIFVIVWTLV</v>
      </c>
      <c r="P258" s="4" t="str">
        <f t="shared" ref="P258:P321" si="111">IFERROR(MID($E258,AB258,(AZ258+1)),"")</f>
        <v>DPLVVAALHLCIALGYANSSLNPVLYAFL</v>
      </c>
      <c r="Q258" s="4" t="str">
        <f t="shared" ref="Q258:Q321" si="112">IFERROR(MID($E258,AC258,(BA258+1)),"")</f>
        <v>DENFKRCFRQLCRK</v>
      </c>
      <c r="R258" s="5">
        <f>VLOOKUP($A258,'NonXtal_SegEnds_Prot#'!$A:$AL,3,FALSE)</f>
        <v>39</v>
      </c>
      <c r="S258" s="5">
        <f>VLOOKUP($A258,'NonXtal_SegEnds_Prot#'!$A:$AL,6,FALSE)</f>
        <v>78</v>
      </c>
      <c r="T258" s="5">
        <f>VLOOKUP($A258,'NonXtal_SegEnds_Prot#'!$A:$AL,9,FALSE)</f>
        <v>82</v>
      </c>
      <c r="U258" s="5">
        <f>VLOOKUP($A258,'NonXtal_SegEnds_Prot#'!$A:$AL,12,FALSE)</f>
        <v>113</v>
      </c>
      <c r="V258" s="5">
        <f>VLOOKUP($A258,'NonXtal_SegEnds_Prot#'!$A:$AL,15,FALSE)</f>
        <v>117</v>
      </c>
      <c r="W258" s="5">
        <f>VLOOKUP($A258,'NonXtal_SegEnds_Prot#'!$A:$AL,18,FALSE)</f>
        <v>153</v>
      </c>
      <c r="X258" s="5">
        <f>VLOOKUP($A258,'NonXtal_SegEnds_Prot#'!$A:$AL,21,FALSE)</f>
        <v>162</v>
      </c>
      <c r="Y258" s="5">
        <f>VLOOKUP($A258,'NonXtal_SegEnds_Prot#'!$A:$AL,24,FALSE)</f>
        <v>198</v>
      </c>
      <c r="Z258" s="5">
        <f>VLOOKUP($A258,'NonXtal_SegEnds_Prot#'!$A:$AL,27,FALSE)</f>
        <v>206</v>
      </c>
      <c r="AA258" s="5">
        <f>VLOOKUP($A258,'NonXtal_SegEnds_Prot#'!$A:$AL,30,FALSE)</f>
        <v>249</v>
      </c>
      <c r="AB258" s="5">
        <f>VLOOKUP($A258,'NonXtal_SegEnds_Prot#'!$A:$AL,33,FALSE)</f>
        <v>293</v>
      </c>
      <c r="AC258" s="5">
        <f>VLOOKUP($A258,'NonXtal_SegEnds_Prot#'!$A:$AL,36,FALSE)</f>
        <v>322</v>
      </c>
      <c r="AD258" s="5">
        <f>VLOOKUP($A258,'NonXtal_SegEnds_Prot#'!$A:$AL,5,FALSE)</f>
        <v>77</v>
      </c>
      <c r="AE258" s="5">
        <f>VLOOKUP($A258,'NonXtal_SegEnds_Prot#'!$A:$AL,8,FALSE)</f>
        <v>81</v>
      </c>
      <c r="AF258" s="5">
        <f>VLOOKUP($A258,'NonXtal_SegEnds_Prot#'!$A:$AL,11,FALSE)</f>
        <v>111</v>
      </c>
      <c r="AG258" s="5">
        <f>VLOOKUP($A258,'NonXtal_SegEnds_Prot#'!$A:$AL,14,FALSE)</f>
        <v>116</v>
      </c>
      <c r="AH258" s="5">
        <f>VLOOKUP($A258,'NonXtal_SegEnds_Prot#'!$A:$AL,17,FALSE)</f>
        <v>152</v>
      </c>
      <c r="AI258" s="5">
        <f>VLOOKUP($A258,'NonXtal_SegEnds_Prot#'!$A:$AL,20,FALSE)</f>
        <v>160</v>
      </c>
      <c r="AJ258" s="5">
        <f>VLOOKUP($A258,'NonXtal_SegEnds_Prot#'!$A:$AL,23,FALSE)</f>
        <v>187</v>
      </c>
      <c r="AK258" s="5">
        <f>VLOOKUP($A258,'NonXtal_SegEnds_Prot#'!$A:$AL,26,FALSE)</f>
        <v>200</v>
      </c>
      <c r="AL258" s="5">
        <f>VLOOKUP($A258,'NonXtal_SegEnds_Prot#'!$A:$AL,29,FALSE)</f>
        <v>243</v>
      </c>
      <c r="AM258" s="5">
        <f>VLOOKUP($A258,'NonXtal_SegEnds_Prot#'!$A:$AL,32,FALSE)</f>
        <v>287</v>
      </c>
      <c r="AN258" s="5">
        <f>VLOOKUP($A258,'NonXtal_SegEnds_Prot#'!$A:$AL,35,FALSE)</f>
        <v>321</v>
      </c>
      <c r="AO258" s="5">
        <f>VLOOKUP($A258,'NonXtal_SegEnds_Prot#'!$A:$AL,38,FALSE)</f>
        <v>335</v>
      </c>
      <c r="AP258" s="5">
        <f t="shared" ref="AP258:AP321" si="113">IFERROR(AD258-R258,"-")</f>
        <v>38</v>
      </c>
      <c r="AQ258" s="4">
        <f t="shared" ref="AQ258:AQ321" si="114">IFERROR(AE258-S258,"-")</f>
        <v>3</v>
      </c>
      <c r="AR258" s="4">
        <f t="shared" ref="AR258:AR321" si="115">IFERROR(AF258-T258,"-")</f>
        <v>29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37</v>
      </c>
      <c r="AY258" s="4">
        <f t="shared" ref="AY258:AY321" si="122">IFERROR(AM258-AA258,"-")</f>
        <v>38</v>
      </c>
      <c r="AZ258" s="4">
        <f t="shared" ref="AZ258:AZ321" si="123">IFERROR(AN258-AB258,"-")</f>
        <v>28</v>
      </c>
      <c r="BA258" s="4">
        <f t="shared" ref="BA258:BA321" si="124">IFERROR(AO258-AC258,"-")</f>
        <v>13</v>
      </c>
    </row>
    <row r="259" spans="1:53" x14ac:dyDescent="0.2">
      <c r="A259" s="1" t="str">
        <f>'NonXtal_SegEnds_Prot#'!A246</f>
        <v>ssr4_human</v>
      </c>
      <c r="B259" s="1" t="str">
        <f t="shared" si="100"/>
        <v>PGDARAAGMVAIQCIYALVCLVGLVGNALVIFVILRYTATNIYLLNLAVADELFMLSVPFVASSAALGSVLCRAVLSVDGLNMFTSVFCLTVLSVDRYVAVVHPSVAKLINLGVWLASLLVTLPIAIFAHPAWSAVFVVYTFLLGFLLPVLAIGLCYLLIVGKMRAVWQQRRRSEKKITRLVLMVVVVFVLCWMPFYVVQLLNLFVATVNHVSLILSYANSCANPILYGFLSDNFRRFFQRVLCL</v>
      </c>
      <c r="C259" s="72" t="str">
        <f>IF(ISERROR(MATCH(A259,'Xtal_SegEnds_Prot#'!B:B,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59" s="5" t="str">
        <f t="shared" si="101"/>
        <v>PGDARAAGMVAIQCIYALVCLVGLVGNALVIFVILRY</v>
      </c>
      <c r="G259" s="4" t="str">
        <f t="shared" si="102"/>
        <v>AKMK</v>
      </c>
      <c r="H259" s="4" t="str">
        <f t="shared" si="103"/>
        <v>TATNIYLLNLAVADELFMLSVPFVASSAAL</v>
      </c>
      <c r="I259" s="4" t="str">
        <f t="shared" si="104"/>
        <v>HWPF</v>
      </c>
      <c r="J259" s="4" t="str">
        <f t="shared" si="105"/>
        <v>GSVLCRAVLSVDGLNMFTSVFCLTVLSVDRYVAVVH</v>
      </c>
      <c r="K259" s="4" t="str">
        <f t="shared" si="106"/>
        <v>PLRAATYR</v>
      </c>
      <c r="L259" s="4" t="str">
        <f t="shared" si="107"/>
        <v>PSVAKLINLGVWLASLLVTLPIAIFA</v>
      </c>
      <c r="M259" s="4" t="str">
        <f t="shared" si="108"/>
        <v>CNL</v>
      </c>
      <c r="N259" s="4" t="str">
        <f t="shared" si="109"/>
        <v>HPAWSAVFVVYTFLLGFLLPVLAIGLCYLLIVGKMRAV</v>
      </c>
      <c r="O259" s="4" t="str">
        <f t="shared" si="110"/>
        <v>WQQRRRSEKKITRLVLMVVVVFVLCWMPFYVVQLLNLFV</v>
      </c>
      <c r="P259" s="4" t="str">
        <f t="shared" si="111"/>
        <v>ATVNHVSLILSYANSCANPILYGFL</v>
      </c>
      <c r="Q259" s="4" t="str">
        <f t="shared" si="112"/>
        <v>SDNFRRFFQRVLCL</v>
      </c>
      <c r="R259" s="5">
        <f>VLOOKUP($A259,'NonXtal_SegEnds_Prot#'!$A:$AL,3,FALSE)</f>
        <v>39</v>
      </c>
      <c r="S259" s="5">
        <f>VLOOKUP($A259,'NonXtal_SegEnds_Prot#'!$A:$AL,6,FALSE)</f>
        <v>76</v>
      </c>
      <c r="T259" s="5">
        <f>VLOOKUP($A259,'NonXtal_SegEnds_Prot#'!$A:$AL,9,FALSE)</f>
        <v>80</v>
      </c>
      <c r="U259" s="5">
        <f>VLOOKUP($A259,'NonXtal_SegEnds_Prot#'!$A:$AL,12,FALSE)</f>
        <v>111</v>
      </c>
      <c r="V259" s="5">
        <f>VLOOKUP($A259,'NonXtal_SegEnds_Prot#'!$A:$AL,15,FALSE)</f>
        <v>115</v>
      </c>
      <c r="W259" s="5">
        <f>VLOOKUP($A259,'NonXtal_SegEnds_Prot#'!$A:$AL,18,FALSE)</f>
        <v>151</v>
      </c>
      <c r="X259" s="5">
        <f>VLOOKUP($A259,'NonXtal_SegEnds_Prot#'!$A:$AL,21,FALSE)</f>
        <v>160</v>
      </c>
      <c r="Y259" s="5">
        <f>VLOOKUP($A259,'NonXtal_SegEnds_Prot#'!$A:$AL,24,FALSE)</f>
        <v>198</v>
      </c>
      <c r="Z259" s="5">
        <f>VLOOKUP($A259,'NonXtal_SegEnds_Prot#'!$A:$AL,27,FALSE)</f>
        <v>204</v>
      </c>
      <c r="AA259" s="5">
        <f>VLOOKUP($A259,'NonXtal_SegEnds_Prot#'!$A:$AL,30,FALSE)</f>
        <v>247</v>
      </c>
      <c r="AB259" s="5">
        <f>VLOOKUP($A259,'NonXtal_SegEnds_Prot#'!$A:$AL,33,FALSE)</f>
        <v>290</v>
      </c>
      <c r="AC259" s="5">
        <f>VLOOKUP($A259,'NonXtal_SegEnds_Prot#'!$A:$AL,36,FALSE)</f>
        <v>315</v>
      </c>
      <c r="AD259" s="5">
        <f>VLOOKUP($A259,'NonXtal_SegEnds_Prot#'!$A:$AL,5,FALSE)</f>
        <v>75</v>
      </c>
      <c r="AE259" s="5">
        <f>VLOOKUP($A259,'NonXtal_SegEnds_Prot#'!$A:$AL,8,FALSE)</f>
        <v>79</v>
      </c>
      <c r="AF259" s="5">
        <f>VLOOKUP($A259,'NonXtal_SegEnds_Prot#'!$A:$AL,11,FALSE)</f>
        <v>109</v>
      </c>
      <c r="AG259" s="5">
        <f>VLOOKUP($A259,'NonXtal_SegEnds_Prot#'!$A:$AL,14,FALSE)</f>
        <v>114</v>
      </c>
      <c r="AH259" s="5">
        <f>VLOOKUP($A259,'NonXtal_SegEnds_Prot#'!$A:$AL,17,FALSE)</f>
        <v>150</v>
      </c>
      <c r="AI259" s="5">
        <f>VLOOKUP($A259,'NonXtal_SegEnds_Prot#'!$A:$AL,20,FALSE)</f>
        <v>158</v>
      </c>
      <c r="AJ259" s="5">
        <f>VLOOKUP($A259,'NonXtal_SegEnds_Prot#'!$A:$AL,23,FALSE)</f>
        <v>185</v>
      </c>
      <c r="AK259" s="5">
        <f>VLOOKUP($A259,'NonXtal_SegEnds_Prot#'!$A:$AL,26,FALSE)</f>
        <v>200</v>
      </c>
      <c r="AL259" s="5">
        <f>VLOOKUP($A259,'NonXtal_SegEnds_Prot#'!$A:$AL,29,FALSE)</f>
        <v>241</v>
      </c>
      <c r="AM259" s="5">
        <f>VLOOKUP($A259,'NonXtal_SegEnds_Prot#'!$A:$AL,32,FALSE)</f>
        <v>285</v>
      </c>
      <c r="AN259" s="5">
        <f>VLOOKUP($A259,'NonXtal_SegEnds_Prot#'!$A:$AL,35,FALSE)</f>
        <v>314</v>
      </c>
      <c r="AO259" s="5">
        <f>VLOOKUP($A259,'NonXtal_SegEnds_Prot#'!$A:$AL,38,FALSE)</f>
        <v>328</v>
      </c>
      <c r="AP259" s="5">
        <f t="shared" si="113"/>
        <v>36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25</v>
      </c>
      <c r="AW259" s="4">
        <f t="shared" si="120"/>
        <v>2</v>
      </c>
      <c r="AX259" s="4">
        <f t="shared" si="121"/>
        <v>37</v>
      </c>
      <c r="AY259" s="4">
        <f t="shared" si="122"/>
        <v>38</v>
      </c>
      <c r="AZ259" s="4">
        <f t="shared" si="123"/>
        <v>24</v>
      </c>
      <c r="BA259" s="4">
        <f t="shared" si="124"/>
        <v>13</v>
      </c>
    </row>
    <row r="260" spans="1:53" x14ac:dyDescent="0.2">
      <c r="A260" s="1" t="str">
        <f>'NonXtal_SegEnds_Prot#'!A247</f>
        <v>npbw2_human</v>
      </c>
      <c r="B260" s="1" t="str">
        <f t="shared" si="100"/>
        <v>FSEPLPFLYVLLPAVYSGICAVGLTGNTAVILVILRATVTNVFILNLAVADGLFTLVLPVNIAEHLLGELLCKLVLAVDHYNIFSSIYFLAVMSVDRYLVVLAYRGAKVASLCVWLGVTVLVLPFFSFAEQVWFKASRVYTLVLGFVLPVCTICVLYTDLLRRLRAVAKALGKARRKVTVLVLVVLAVCLLCWTPFHLASVVALTTTPLVISMSYVITSLSYANSCLNPFLYAFLDDNFRKNFRSILRC</v>
      </c>
      <c r="C260" s="72" t="str">
        <f>IF(ISERROR(MATCH(A260,'Xtal_SegEnds_Prot#'!B:B,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60" s="5" t="str">
        <f t="shared" si="101"/>
        <v>FSEPLPFLYVLLPAVYSGICAVGLTGNTAVILVILRA</v>
      </c>
      <c r="G260" s="4" t="str">
        <f t="shared" si="102"/>
        <v>PKMK</v>
      </c>
      <c r="H260" s="4" t="str">
        <f t="shared" si="103"/>
        <v>TVTNVFILNLAVADGLFTLVLPVNIAEHLL</v>
      </c>
      <c r="I260" s="4" t="str">
        <f t="shared" si="104"/>
        <v>YWPF</v>
      </c>
      <c r="J260" s="4" t="str">
        <f t="shared" si="105"/>
        <v>GELLCKLVLAVDHYNIFSSIYFLAVMSVDRYLVVLA</v>
      </c>
      <c r="K260" s="4" t="str">
        <f t="shared" si="106"/>
        <v/>
      </c>
      <c r="L260" s="4" t="str">
        <f t="shared" si="107"/>
        <v>YRGAKVASLCVWLGVTVLVLPFFSFA</v>
      </c>
      <c r="M260" s="4" t="str">
        <f t="shared" si="108"/>
        <v>CGL</v>
      </c>
      <c r="N260" s="4" t="str">
        <f t="shared" si="109"/>
        <v>EQVWFKASRVYTLVLGFVLPVCTICVLYTDLLRRLRAV</v>
      </c>
      <c r="O260" s="4" t="str">
        <f t="shared" si="110"/>
        <v>AKALGKARRKVTVLVLVVLAVCLLCWTPFHLASVVALTT</v>
      </c>
      <c r="P260" s="4" t="str">
        <f t="shared" si="111"/>
        <v>TPLVISMSYVITSLSYANSCLNPFLYAFL</v>
      </c>
      <c r="Q260" s="4" t="str">
        <f t="shared" si="112"/>
        <v>DDNFRKNFRSILRC</v>
      </c>
      <c r="R260" s="5">
        <f>VLOOKUP($A260,'NonXtal_SegEnds_Prot#'!$A:$AL,3,FALSE)</f>
        <v>37</v>
      </c>
      <c r="S260" s="5">
        <f>VLOOKUP($A260,'NonXtal_SegEnds_Prot#'!$A:$AL,6,FALSE)</f>
        <v>74</v>
      </c>
      <c r="T260" s="5">
        <f>VLOOKUP($A260,'NonXtal_SegEnds_Prot#'!$A:$AL,9,FALSE)</f>
        <v>78</v>
      </c>
      <c r="U260" s="5">
        <f>VLOOKUP($A260,'NonXtal_SegEnds_Prot#'!$A:$AL,12,FALSE)</f>
        <v>109</v>
      </c>
      <c r="V260" s="5">
        <f>VLOOKUP($A260,'NonXtal_SegEnds_Prot#'!$A:$AL,15,FALSE)</f>
        <v>113</v>
      </c>
      <c r="W260" s="5" t="str">
        <f>VLOOKUP($A260,'NonXtal_SegEnds_Prot#'!$A:$AL,18,FALSE)</f>
        <v>-</v>
      </c>
      <c r="X260" s="5">
        <f>VLOOKUP($A260,'NonXtal_SegEnds_Prot#'!$A:$AL,21,FALSE)</f>
        <v>160</v>
      </c>
      <c r="Y260" s="5">
        <f>VLOOKUP($A260,'NonXtal_SegEnds_Prot#'!$A:$AL,24,FALSE)</f>
        <v>197</v>
      </c>
      <c r="Z260" s="5">
        <f>VLOOKUP($A260,'NonXtal_SegEnds_Prot#'!$A:$AL,27,FALSE)</f>
        <v>205</v>
      </c>
      <c r="AA260" s="5">
        <f>VLOOKUP($A260,'NonXtal_SegEnds_Prot#'!$A:$AL,30,FALSE)</f>
        <v>248</v>
      </c>
      <c r="AB260" s="5">
        <f>VLOOKUP($A260,'NonXtal_SegEnds_Prot#'!$A:$AL,33,FALSE)</f>
        <v>291</v>
      </c>
      <c r="AC260" s="5">
        <f>VLOOKUP($A260,'NonXtal_SegEnds_Prot#'!$A:$AL,36,FALSE)</f>
        <v>320</v>
      </c>
      <c r="AD260" s="5">
        <f>VLOOKUP($A260,'NonXtal_SegEnds_Prot#'!$A:$AL,5,FALSE)</f>
        <v>73</v>
      </c>
      <c r="AE260" s="5">
        <f>VLOOKUP($A260,'NonXtal_SegEnds_Prot#'!$A:$AL,8,FALSE)</f>
        <v>77</v>
      </c>
      <c r="AF260" s="5">
        <f>VLOOKUP($A260,'NonXtal_SegEnds_Prot#'!$A:$AL,11,FALSE)</f>
        <v>107</v>
      </c>
      <c r="AG260" s="5">
        <f>VLOOKUP($A260,'NonXtal_SegEnds_Prot#'!$A:$AL,14,FALSE)</f>
        <v>112</v>
      </c>
      <c r="AH260" s="5">
        <f>VLOOKUP($A260,'NonXtal_SegEnds_Prot#'!$A:$AL,17,FALSE)</f>
        <v>148</v>
      </c>
      <c r="AI260" s="5" t="str">
        <f>VLOOKUP($A260,'NonXtal_SegEnds_Prot#'!$A:$AL,20,FALSE)</f>
        <v>-</v>
      </c>
      <c r="AJ260" s="5">
        <f>VLOOKUP($A260,'NonXtal_SegEnds_Prot#'!$A:$AL,23,FALSE)</f>
        <v>185</v>
      </c>
      <c r="AK260" s="5">
        <f>VLOOKUP($A260,'NonXtal_SegEnds_Prot#'!$A:$AL,26,FALSE)</f>
        <v>199</v>
      </c>
      <c r="AL260" s="5">
        <f>VLOOKUP($A260,'NonXtal_SegEnds_Prot#'!$A:$AL,29,FALSE)</f>
        <v>242</v>
      </c>
      <c r="AM260" s="5">
        <f>VLOOKUP($A260,'NonXtal_SegEnds_Prot#'!$A:$AL,32,FALSE)</f>
        <v>286</v>
      </c>
      <c r="AN260" s="5">
        <f>VLOOKUP($A260,'NonXtal_SegEnds_Prot#'!$A:$AL,35,FALSE)</f>
        <v>319</v>
      </c>
      <c r="AO260" s="5">
        <f>VLOOKUP($A260,'NonXtal_SegEnds_Prot#'!$A:$AL,38,FALSE)</f>
        <v>333</v>
      </c>
      <c r="AP260" s="5">
        <f t="shared" si="113"/>
        <v>36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35</v>
      </c>
      <c r="AU260" s="4" t="str">
        <f t="shared" si="118"/>
        <v>-</v>
      </c>
      <c r="AV260" s="4">
        <f t="shared" si="119"/>
        <v>25</v>
      </c>
      <c r="AW260" s="4">
        <f t="shared" si="120"/>
        <v>2</v>
      </c>
      <c r="AX260" s="4">
        <f t="shared" si="121"/>
        <v>37</v>
      </c>
      <c r="AY260" s="4">
        <f t="shared" si="122"/>
        <v>38</v>
      </c>
      <c r="AZ260" s="4">
        <f t="shared" si="123"/>
        <v>28</v>
      </c>
      <c r="BA260" s="4">
        <f t="shared" si="124"/>
        <v>13</v>
      </c>
    </row>
    <row r="261" spans="1:53" x14ac:dyDescent="0.2">
      <c r="A261" s="1" t="str">
        <f>'NonXtal_SegEnds_Prot#'!A248</f>
        <v>mchr2_human</v>
      </c>
      <c r="B261" s="1" t="str">
        <f t="shared" si="100"/>
        <v>YQTASVVDTVILPSMIGIICSTGLVGNILIVFTIIRSTVPDIYICNLAVADLVHIVGMPFLIHQWARGGPLCTIITSLDTCNQFACSAIMTVMSVDRYFALVQRYKTIRINLGLWAASFILALPVWVYSSPDDVLWYTLYLTITTFFFPLPLILVCYILILCYTWEMYQQNKNPSVPKQRVMKLTKMVLVLVVVFILSAAPYHVIQLVNLQMFYVGYYLSICLSYASSSINPFLYILLSGNFQKRLPQIQRR</v>
      </c>
      <c r="C261" s="72" t="str">
        <f>IF(ISERROR(MATCH(A261,'Xtal_SegEnds_Prot#'!B:B,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61" s="5" t="str">
        <f t="shared" si="101"/>
        <v>YQTASVVDTVILPSMIGIICSTGLVGNILIVFTIIRS</v>
      </c>
      <c r="G261" s="4" t="str">
        <f t="shared" si="102"/>
        <v/>
      </c>
      <c r="H261" s="4" t="str">
        <f t="shared" si="103"/>
        <v>TVPDIYICNLAVADLVHIVGMPFLIHQWAR</v>
      </c>
      <c r="I261" s="4" t="str">
        <f t="shared" si="104"/>
        <v>EWVF</v>
      </c>
      <c r="J261" s="4" t="str">
        <f t="shared" si="105"/>
        <v>GGPLCTIITSLDTCNQFACSAIMTVMSVDRYFALVQ</v>
      </c>
      <c r="K261" s="4" t="str">
        <f t="shared" si="106"/>
        <v>PFRLTRWR</v>
      </c>
      <c r="L261" s="4" t="str">
        <f t="shared" si="107"/>
        <v>RYKTIRINLGLWAASFILALPVWVYS</v>
      </c>
      <c r="M261" s="4" t="str">
        <f t="shared" si="108"/>
        <v>CAF</v>
      </c>
      <c r="N261" s="4" t="str">
        <f t="shared" si="109"/>
        <v>SPDDVLWYTLYLTITTFFFPLPLILVCYILILCYTWEMYQQNK</v>
      </c>
      <c r="O261" s="4" t="str">
        <f t="shared" si="110"/>
        <v>NPSVPKQRVMKLTKMVLVLVVVFILSAAPYHVIQLVNLQM</v>
      </c>
      <c r="P261" s="4" t="str">
        <f t="shared" si="111"/>
        <v>FYVGYYLSICLSYASSSINPFLYILL</v>
      </c>
      <c r="Q261" s="4" t="str">
        <f t="shared" si="112"/>
        <v>SGNFQKRLPQIQRR</v>
      </c>
      <c r="R261" s="5">
        <f>VLOOKUP($A261,'NonXtal_SegEnds_Prot#'!$A:$AL,3,FALSE)</f>
        <v>26</v>
      </c>
      <c r="S261" s="5" t="str">
        <f>VLOOKUP($A261,'NonXtal_SegEnds_Prot#'!$A:$AL,6,FALSE)</f>
        <v>-</v>
      </c>
      <c r="T261" s="5">
        <f>VLOOKUP($A261,'NonXtal_SegEnds_Prot#'!$A:$AL,9,FALSE)</f>
        <v>66</v>
      </c>
      <c r="U261" s="5">
        <f>VLOOKUP($A261,'NonXtal_SegEnds_Prot#'!$A:$AL,12,FALSE)</f>
        <v>98</v>
      </c>
      <c r="V261" s="5">
        <f>VLOOKUP($A261,'NonXtal_SegEnds_Prot#'!$A:$AL,15,FALSE)</f>
        <v>102</v>
      </c>
      <c r="W261" s="5">
        <f>VLOOKUP($A261,'NonXtal_SegEnds_Prot#'!$A:$AL,18,FALSE)</f>
        <v>138</v>
      </c>
      <c r="X261" s="5">
        <f>VLOOKUP($A261,'NonXtal_SegEnds_Prot#'!$A:$AL,21,FALSE)</f>
        <v>147</v>
      </c>
      <c r="Y261" s="5">
        <f>VLOOKUP($A261,'NonXtal_SegEnds_Prot#'!$A:$AL,24,FALSE)</f>
        <v>184</v>
      </c>
      <c r="Z261" s="5">
        <f>VLOOKUP($A261,'NonXtal_SegEnds_Prot#'!$A:$AL,27,FALSE)</f>
        <v>190</v>
      </c>
      <c r="AA261" s="5">
        <f>VLOOKUP($A261,'NonXtal_SegEnds_Prot#'!$A:$AL,30,FALSE)</f>
        <v>238</v>
      </c>
      <c r="AB261" s="5">
        <f>VLOOKUP($A261,'NonXtal_SegEnds_Prot#'!$A:$AL,33,FALSE)</f>
        <v>284</v>
      </c>
      <c r="AC261" s="5">
        <f>VLOOKUP($A261,'NonXtal_SegEnds_Prot#'!$A:$AL,36,FALSE)</f>
        <v>310</v>
      </c>
      <c r="AD261" s="5">
        <f>VLOOKUP($A261,'NonXtal_SegEnds_Prot#'!$A:$AL,5,FALSE)</f>
        <v>62</v>
      </c>
      <c r="AE261" s="5" t="str">
        <f>VLOOKUP($A261,'NonXtal_SegEnds_Prot#'!$A:$AL,8,FALSE)</f>
        <v>-</v>
      </c>
      <c r="AF261" s="5">
        <f>VLOOKUP($A261,'NonXtal_SegEnds_Prot#'!$A:$AL,11,FALSE)</f>
        <v>95</v>
      </c>
      <c r="AG261" s="5">
        <f>VLOOKUP($A261,'NonXtal_SegEnds_Prot#'!$A:$AL,14,FALSE)</f>
        <v>101</v>
      </c>
      <c r="AH261" s="5">
        <f>VLOOKUP($A261,'NonXtal_SegEnds_Prot#'!$A:$AL,17,FALSE)</f>
        <v>137</v>
      </c>
      <c r="AI261" s="5">
        <f>VLOOKUP($A261,'NonXtal_SegEnds_Prot#'!$A:$AL,20,FALSE)</f>
        <v>145</v>
      </c>
      <c r="AJ261" s="5">
        <f>VLOOKUP($A261,'NonXtal_SegEnds_Prot#'!$A:$AL,23,FALSE)</f>
        <v>172</v>
      </c>
      <c r="AK261" s="5">
        <f>VLOOKUP($A261,'NonXtal_SegEnds_Prot#'!$A:$AL,26,FALSE)</f>
        <v>186</v>
      </c>
      <c r="AL261" s="5">
        <f>VLOOKUP($A261,'NonXtal_SegEnds_Prot#'!$A:$AL,29,FALSE)</f>
        <v>232</v>
      </c>
      <c r="AM261" s="5">
        <f>VLOOKUP($A261,'NonXtal_SegEnds_Prot#'!$A:$AL,32,FALSE)</f>
        <v>277</v>
      </c>
      <c r="AN261" s="5">
        <f>VLOOKUP($A261,'NonXtal_SegEnds_Prot#'!$A:$AL,35,FALSE)</f>
        <v>309</v>
      </c>
      <c r="AO261" s="5">
        <f>VLOOKUP($A261,'NonXtal_SegEnds_Prot#'!$A:$AL,38,FALSE)</f>
        <v>323</v>
      </c>
      <c r="AP261" s="5">
        <f t="shared" si="113"/>
        <v>36</v>
      </c>
      <c r="AQ261" s="4" t="str">
        <f t="shared" si="114"/>
        <v>-</v>
      </c>
      <c r="AR261" s="4">
        <f t="shared" si="115"/>
        <v>29</v>
      </c>
      <c r="AS261" s="4">
        <f t="shared" si="116"/>
        <v>3</v>
      </c>
      <c r="AT261" s="4">
        <f t="shared" si="117"/>
        <v>35</v>
      </c>
      <c r="AU261" s="4">
        <f t="shared" si="118"/>
        <v>7</v>
      </c>
      <c r="AV261" s="4">
        <f t="shared" si="119"/>
        <v>25</v>
      </c>
      <c r="AW261" s="4">
        <f t="shared" si="120"/>
        <v>2</v>
      </c>
      <c r="AX261" s="4">
        <f t="shared" si="121"/>
        <v>42</v>
      </c>
      <c r="AY261" s="4">
        <f t="shared" si="122"/>
        <v>39</v>
      </c>
      <c r="AZ261" s="4">
        <f t="shared" si="123"/>
        <v>25</v>
      </c>
      <c r="BA261" s="4">
        <f t="shared" si="124"/>
        <v>13</v>
      </c>
    </row>
    <row r="262" spans="1:53" x14ac:dyDescent="0.2">
      <c r="A262" s="1" t="str">
        <f>'NonXtal_SegEnds_Prot#'!A249</f>
        <v>pd2r2_human</v>
      </c>
      <c r="B262" s="1" t="str">
        <f t="shared" si="100"/>
        <v>SNTSIRYIDHAAVLLHGLASLLGLVENGVILFVVGCRTVVTTWVLHLALSDLLASASLPFFTYFLAVGTTFCKLHSSIFFLNMFASGFLLSAISLDRCLQVVRVAAAHKVCLVLWALAVLNTVPYFVFRCNSRQVALAVSKFLLAFLVPLAIIASSHAAVSLRLQHRPGRFVRLVAAVVAAFALCWGPYHVFSLLEARARPLVWRGLPFVTSLAFFNSVANPVLYVLTCPDMLRKLRRSLRT</v>
      </c>
      <c r="C262" s="72" t="str">
        <f>IF(ISERROR(MATCH(A262,'Xtal_SegEnds_Prot#'!B:B,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62" s="5" t="str">
        <f t="shared" si="101"/>
        <v>SNTSIRYIDHAAVLLHGLASLLGLVENGVILFVVGCR</v>
      </c>
      <c r="G262" s="4" t="str">
        <f t="shared" si="102"/>
        <v/>
      </c>
      <c r="H262" s="4" t="str">
        <f t="shared" si="103"/>
        <v>TVVTTWVLHLALSDLLASASLPFFTYFLAV</v>
      </c>
      <c r="I262" s="4" t="str">
        <f t="shared" si="104"/>
        <v>SWEL</v>
      </c>
      <c r="J262" s="4" t="str">
        <f t="shared" si="105"/>
        <v>GTTFCKLHSSIFFLNMFASGFLLSAISLDRCLQVVR</v>
      </c>
      <c r="K262" s="4" t="str">
        <f t="shared" si="106"/>
        <v>PVWAQNHR</v>
      </c>
      <c r="L262" s="4" t="str">
        <f t="shared" si="107"/>
        <v>VAAAHKVCLVLWALAVLNTVPYFVFR</v>
      </c>
      <c r="M262" s="4" t="str">
        <f t="shared" si="108"/>
        <v>CYY</v>
      </c>
      <c r="N262" s="4" t="str">
        <f t="shared" si="109"/>
        <v>CNSRQVALAVSKFLLAFLVPLAIIASSHAAVSLRLQHR</v>
      </c>
      <c r="O262" s="4" t="str">
        <f t="shared" si="110"/>
        <v>PGRFVRLVAAVVAAFALCWGPYHVFSLLEARA</v>
      </c>
      <c r="P262" s="4" t="str">
        <f t="shared" si="111"/>
        <v>RPLVWRGLPFVTSLAFFNSVANPVLYVLT</v>
      </c>
      <c r="Q262" s="4" t="str">
        <f t="shared" si="112"/>
        <v>CPDMLRKLRRSLRT</v>
      </c>
      <c r="R262" s="5">
        <f>VLOOKUP($A262,'NonXtal_SegEnds_Prot#'!$A:$AL,3,FALSE)</f>
        <v>24</v>
      </c>
      <c r="S262" s="5" t="str">
        <f>VLOOKUP($A262,'NonXtal_SegEnds_Prot#'!$A:$AL,6,FALSE)</f>
        <v>-</v>
      </c>
      <c r="T262" s="5">
        <f>VLOOKUP($A262,'NonXtal_SegEnds_Prot#'!$A:$AL,9,FALSE)</f>
        <v>64</v>
      </c>
      <c r="U262" s="5">
        <f>VLOOKUP($A262,'NonXtal_SegEnds_Prot#'!$A:$AL,12,FALSE)</f>
        <v>96</v>
      </c>
      <c r="V262" s="5">
        <f>VLOOKUP($A262,'NonXtal_SegEnds_Prot#'!$A:$AL,15,FALSE)</f>
        <v>100</v>
      </c>
      <c r="W262" s="5">
        <f>VLOOKUP($A262,'NonXtal_SegEnds_Prot#'!$A:$AL,18,FALSE)</f>
        <v>136</v>
      </c>
      <c r="X262" s="5">
        <f>VLOOKUP($A262,'NonXtal_SegEnds_Prot#'!$A:$AL,21,FALSE)</f>
        <v>145</v>
      </c>
      <c r="Y262" s="5">
        <f>VLOOKUP($A262,'NonXtal_SegEnds_Prot#'!$A:$AL,24,FALSE)</f>
        <v>182</v>
      </c>
      <c r="Z262" s="5">
        <f>VLOOKUP($A262,'NonXtal_SegEnds_Prot#'!$A:$AL,27,FALSE)</f>
        <v>199</v>
      </c>
      <c r="AA262" s="5">
        <f>VLOOKUP($A262,'NonXtal_SegEnds_Prot#'!$A:$AL,30,FALSE)</f>
        <v>241</v>
      </c>
      <c r="AB262" s="5">
        <f>VLOOKUP($A262,'NonXtal_SegEnds_Prot#'!$A:$AL,33,FALSE)</f>
        <v>279</v>
      </c>
      <c r="AC262" s="5">
        <f>VLOOKUP($A262,'NonXtal_SegEnds_Prot#'!$A:$AL,36,FALSE)</f>
        <v>308</v>
      </c>
      <c r="AD262" s="5">
        <f>VLOOKUP($A262,'NonXtal_SegEnds_Prot#'!$A:$AL,5,FALSE)</f>
        <v>60</v>
      </c>
      <c r="AE262" s="5" t="str">
        <f>VLOOKUP($A262,'NonXtal_SegEnds_Prot#'!$A:$AL,8,FALSE)</f>
        <v>-</v>
      </c>
      <c r="AF262" s="5">
        <f>VLOOKUP($A262,'NonXtal_SegEnds_Prot#'!$A:$AL,11,FALSE)</f>
        <v>93</v>
      </c>
      <c r="AG262" s="5">
        <f>VLOOKUP($A262,'NonXtal_SegEnds_Prot#'!$A:$AL,14,FALSE)</f>
        <v>99</v>
      </c>
      <c r="AH262" s="5">
        <f>VLOOKUP($A262,'NonXtal_SegEnds_Prot#'!$A:$AL,17,FALSE)</f>
        <v>135</v>
      </c>
      <c r="AI262" s="5">
        <f>VLOOKUP($A262,'NonXtal_SegEnds_Prot#'!$A:$AL,20,FALSE)</f>
        <v>143</v>
      </c>
      <c r="AJ262" s="5">
        <f>VLOOKUP($A262,'NonXtal_SegEnds_Prot#'!$A:$AL,23,FALSE)</f>
        <v>170</v>
      </c>
      <c r="AK262" s="5">
        <f>VLOOKUP($A262,'NonXtal_SegEnds_Prot#'!$A:$AL,26,FALSE)</f>
        <v>184</v>
      </c>
      <c r="AL262" s="5">
        <f>VLOOKUP($A262,'NonXtal_SegEnds_Prot#'!$A:$AL,29,FALSE)</f>
        <v>236</v>
      </c>
      <c r="AM262" s="5">
        <f>VLOOKUP($A262,'NonXtal_SegEnds_Prot#'!$A:$AL,32,FALSE)</f>
        <v>272</v>
      </c>
      <c r="AN262" s="5">
        <f>VLOOKUP($A262,'NonXtal_SegEnds_Prot#'!$A:$AL,35,FALSE)</f>
        <v>307</v>
      </c>
      <c r="AO262" s="5">
        <f>VLOOKUP($A262,'NonXtal_SegEnds_Prot#'!$A:$AL,38,FALSE)</f>
        <v>321</v>
      </c>
      <c r="AP262" s="5">
        <f t="shared" si="113"/>
        <v>36</v>
      </c>
      <c r="AQ262" s="4" t="str">
        <f t="shared" si="114"/>
        <v>-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25</v>
      </c>
      <c r="AW262" s="4">
        <f t="shared" si="120"/>
        <v>2</v>
      </c>
      <c r="AX262" s="4">
        <f t="shared" si="121"/>
        <v>37</v>
      </c>
      <c r="AY262" s="4">
        <f t="shared" si="122"/>
        <v>31</v>
      </c>
      <c r="AZ262" s="4">
        <f t="shared" si="123"/>
        <v>28</v>
      </c>
      <c r="BA262" s="4">
        <f t="shared" si="124"/>
        <v>13</v>
      </c>
    </row>
    <row r="263" spans="1:53" x14ac:dyDescent="0.2">
      <c r="A263" s="1" t="str">
        <f>'NonXtal_SegEnds_Prot#'!A250</f>
        <v>mrgx4_human</v>
      </c>
      <c r="B263" s="1" t="str">
        <f t="shared" si="100"/>
        <v>NQTLSFTVLTCIISLVGLTGNAVVLWLLGYRNAVSIYILNLAAADFLFLSFQIIRLPLRLIIRKILVSVMTFPYFTGLSMLSAISTERCLSVLWTHLSAVVCVLLWGLSLLFSMLEWRFCSSWCETSDFIPVAWLIFLCVVLCVSSLVLLVRILCGSRLTRLYVTILLTVLVFLLCGLPFGILGALIYRMEVLYCHVYLVCMSLSSLNSSANPIIYFFVGSFRQRQNRQNLK</v>
      </c>
      <c r="C263" s="72" t="str">
        <f>IF(ISERROR(MATCH(A263,'Xtal_SegEnds_Prot#'!B:B,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63" s="5" t="str">
        <f t="shared" si="101"/>
        <v>NQTLSFTVLTCIISLVGLTGNAVVLWLLGYR</v>
      </c>
      <c r="G263" s="4" t="str">
        <f t="shared" si="102"/>
        <v/>
      </c>
      <c r="H263" s="4" t="str">
        <f t="shared" si="103"/>
        <v>NAVSIYILNLAAADFLFLSFQIIRLPLRLI</v>
      </c>
      <c r="I263" s="4" t="str">
        <f t="shared" si="104"/>
        <v/>
      </c>
      <c r="J263" s="4" t="str">
        <f t="shared" si="105"/>
        <v>IRKILVSVMTFPYFTGLSMLSAISTERCLSVLW</v>
      </c>
      <c r="K263" s="4" t="str">
        <f t="shared" si="106"/>
        <v>PIWYRCRR</v>
      </c>
      <c r="L263" s="4" t="str">
        <f t="shared" si="107"/>
        <v>THLSAVVCVLLWGLSLLFSMLEWRFC</v>
      </c>
      <c r="M263" s="4" t="str">
        <f t="shared" si="108"/>
        <v/>
      </c>
      <c r="N263" s="4" t="str">
        <f t="shared" si="109"/>
        <v>SSWCETSDFIPVAWLIFLCVVLCVSSLVLLVRILCGSR</v>
      </c>
      <c r="O263" s="4" t="str">
        <f t="shared" si="110"/>
        <v>LTRLYVTILLTVLVFLLCGLPFGILGALIYRM</v>
      </c>
      <c r="P263" s="4" t="str">
        <f t="shared" si="111"/>
        <v>EVLYCHVYLVCMSLSSLNSSANPIIYFFV</v>
      </c>
      <c r="Q263" s="4" t="str">
        <f t="shared" si="112"/>
        <v>GSFRQRQNRQNLK</v>
      </c>
      <c r="R263" s="5">
        <f>VLOOKUP($A263,'NonXtal_SegEnds_Prot#'!$A:$AL,3,FALSE)</f>
        <v>25</v>
      </c>
      <c r="S263" s="5" t="str">
        <f>VLOOKUP($A263,'NonXtal_SegEnds_Prot#'!$A:$AL,6,FALSE)</f>
        <v>-</v>
      </c>
      <c r="T263" s="5">
        <f>VLOOKUP($A263,'NonXtal_SegEnds_Prot#'!$A:$AL,9,FALSE)</f>
        <v>59</v>
      </c>
      <c r="U263" s="5" t="str">
        <f>VLOOKUP($A263,'NonXtal_SegEnds_Prot#'!$A:$AL,12,FALSE)</f>
        <v>-</v>
      </c>
      <c r="V263" s="5">
        <f>VLOOKUP($A263,'NonXtal_SegEnds_Prot#'!$A:$AL,15,FALSE)</f>
        <v>94</v>
      </c>
      <c r="W263" s="5">
        <f>VLOOKUP($A263,'NonXtal_SegEnds_Prot#'!$A:$AL,18,FALSE)</f>
        <v>127</v>
      </c>
      <c r="X263" s="5">
        <f>VLOOKUP($A263,'NonXtal_SegEnds_Prot#'!$A:$AL,21,FALSE)</f>
        <v>136</v>
      </c>
      <c r="Y263" s="5" t="str">
        <f>VLOOKUP($A263,'NonXtal_SegEnds_Prot#'!$A:$AL,24,FALSE)</f>
        <v>-</v>
      </c>
      <c r="Z263" s="5">
        <f>VLOOKUP($A263,'NonXtal_SegEnds_Prot#'!$A:$AL,27,FALSE)</f>
        <v>170</v>
      </c>
      <c r="AA263" s="5">
        <f>VLOOKUP($A263,'NonXtal_SegEnds_Prot#'!$A:$AL,30,FALSE)</f>
        <v>211</v>
      </c>
      <c r="AB263" s="5">
        <f>VLOOKUP($A263,'NonXtal_SegEnds_Prot#'!$A:$AL,33,FALSE)</f>
        <v>247</v>
      </c>
      <c r="AC263" s="5">
        <f>VLOOKUP($A263,'NonXtal_SegEnds_Prot#'!$A:$AL,36,FALSE)</f>
        <v>276</v>
      </c>
      <c r="AD263" s="5">
        <f>VLOOKUP($A263,'NonXtal_SegEnds_Prot#'!$A:$AL,5,FALSE)</f>
        <v>55</v>
      </c>
      <c r="AE263" s="5" t="str">
        <f>VLOOKUP($A263,'NonXtal_SegEnds_Prot#'!$A:$AL,8,FALSE)</f>
        <v>-</v>
      </c>
      <c r="AF263" s="5">
        <f>VLOOKUP($A263,'NonXtal_SegEnds_Prot#'!$A:$AL,11,FALSE)</f>
        <v>88</v>
      </c>
      <c r="AG263" s="5" t="str">
        <f>VLOOKUP($A263,'NonXtal_SegEnds_Prot#'!$A:$AL,14,FALSE)</f>
        <v>-</v>
      </c>
      <c r="AH263" s="5">
        <f>VLOOKUP($A263,'NonXtal_SegEnds_Prot#'!$A:$AL,17,FALSE)</f>
        <v>126</v>
      </c>
      <c r="AI263" s="5">
        <f>VLOOKUP($A263,'NonXtal_SegEnds_Prot#'!$A:$AL,20,FALSE)</f>
        <v>134</v>
      </c>
      <c r="AJ263" s="5">
        <f>VLOOKUP($A263,'NonXtal_SegEnds_Prot#'!$A:$AL,23,FALSE)</f>
        <v>161</v>
      </c>
      <c r="AK263" s="5" t="str">
        <f>VLOOKUP($A263,'NonXtal_SegEnds_Prot#'!$A:$AL,26,FALSE)</f>
        <v>-</v>
      </c>
      <c r="AL263" s="5">
        <f>VLOOKUP($A263,'NonXtal_SegEnds_Prot#'!$A:$AL,29,FALSE)</f>
        <v>207</v>
      </c>
      <c r="AM263" s="5">
        <f>VLOOKUP($A263,'NonXtal_SegEnds_Prot#'!$A:$AL,32,FALSE)</f>
        <v>242</v>
      </c>
      <c r="AN263" s="5">
        <f>VLOOKUP($A263,'NonXtal_SegEnds_Prot#'!$A:$AL,35,FALSE)</f>
        <v>275</v>
      </c>
      <c r="AO263" s="5">
        <f>VLOOKUP($A263,'NonXtal_SegEnds_Prot#'!$A:$AL,38,FALSE)</f>
        <v>288</v>
      </c>
      <c r="AP263" s="5">
        <f t="shared" si="113"/>
        <v>30</v>
      </c>
      <c r="AQ263" s="4" t="str">
        <f t="shared" si="114"/>
        <v>-</v>
      </c>
      <c r="AR263" s="4">
        <f t="shared" si="115"/>
        <v>29</v>
      </c>
      <c r="AS263" s="4" t="str">
        <f t="shared" si="116"/>
        <v>-</v>
      </c>
      <c r="AT263" s="4">
        <f t="shared" si="117"/>
        <v>32</v>
      </c>
      <c r="AU263" s="4">
        <f t="shared" si="118"/>
        <v>7</v>
      </c>
      <c r="AV263" s="4">
        <f t="shared" si="119"/>
        <v>25</v>
      </c>
      <c r="AW263" s="4" t="str">
        <f t="shared" si="120"/>
        <v>-</v>
      </c>
      <c r="AX263" s="4">
        <f t="shared" si="121"/>
        <v>37</v>
      </c>
      <c r="AY263" s="4">
        <f t="shared" si="122"/>
        <v>31</v>
      </c>
      <c r="AZ263" s="4">
        <f t="shared" si="123"/>
        <v>28</v>
      </c>
      <c r="BA263" s="4">
        <f t="shared" si="124"/>
        <v>12</v>
      </c>
    </row>
    <row r="264" spans="1:53" x14ac:dyDescent="0.2">
      <c r="A264" s="1" t="str">
        <f>'NonXtal_SegEnds_Prot#'!A252</f>
        <v>oprk_human</v>
      </c>
      <c r="B264" s="1" t="str">
        <f t="shared" si="100"/>
        <v>AIPVIITAVYSVVFVVGLVGNSLVMFVIIRYTATNIYIFNLALADALVTTTMPFQSTVYLMGDVLCKIVISIDYYNMFTSIFTLTMMSVDRYIAVCHPLKAKIINICIWLLSSSVGISAIVLGYSWWDLFMKICVFIFAFVIPVLIIIVCYTLMILRLKSVSREKDRNLRRITRLVLVVVAVFVVCWTPIHIFILVEALGSTAALSSYYFCIALGYTNSSLNPILYAFLDENFKRCFRDFCF</v>
      </c>
      <c r="C264" s="72" t="str">
        <f>IF(ISERROR(MATCH(A264,'Xtal_SegEnds_Prot#'!B:B, 0)), "NoXtal", "Xtal")</f>
        <v>Xtal</v>
      </c>
      <c r="D264" s="4" t="str">
        <f>VLOOKUP(A264,Classification!A:D,2,FALSE)</f>
        <v>A</v>
      </c>
      <c r="E264" s="5" t="str">
        <f>VLOOKUP(A264,Seqs!A:B,2,FALSE)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264" s="5" t="str">
        <f t="shared" si="101"/>
        <v>AIPVIITAVYSVVFVVGLVGNSLVMFVIIRY</v>
      </c>
      <c r="G264" s="4" t="str">
        <f t="shared" si="102"/>
        <v>TKMK</v>
      </c>
      <c r="H264" s="4" t="str">
        <f t="shared" si="103"/>
        <v>TATNIYIFNLALADALVTTTMPFQSTVYLM</v>
      </c>
      <c r="I264" s="4" t="str">
        <f t="shared" si="104"/>
        <v>SWPF</v>
      </c>
      <c r="J264" s="4" t="str">
        <f t="shared" si="105"/>
        <v>GDVLCKIVISIDYYNMFTSIFTLTMMSVDRYIAVCH</v>
      </c>
      <c r="K264" s="4" t="str">
        <f t="shared" si="106"/>
        <v>PVKALDFR</v>
      </c>
      <c r="L264" s="4" t="str">
        <f t="shared" si="107"/>
        <v>PLKAKIINICIWLLSSSVGISAIVLG</v>
      </c>
      <c r="M264" s="4" t="str">
        <f t="shared" si="108"/>
        <v>CSL</v>
      </c>
      <c r="N264" s="4" t="str">
        <f t="shared" si="109"/>
        <v>YSWWDLFMKICVFIFAFVIPVLIIIVCYTLMILRLKSV</v>
      </c>
      <c r="O264" s="4" t="str">
        <f t="shared" si="110"/>
        <v>SREKDRNLRRITRLVLVVVAVFVVCWTPIHIFILVEALG</v>
      </c>
      <c r="P264" s="4" t="str">
        <f t="shared" si="111"/>
        <v>STAALSSYYFCIALGYTNSSLNPILYAFL</v>
      </c>
      <c r="Q264" s="4" t="str">
        <f t="shared" si="112"/>
        <v>DENFKRCFRDFCF</v>
      </c>
      <c r="R264" s="5">
        <f>VLOOKUP($A264,'NonXtal_SegEnds_Prot#'!$A:$AL,3,FALSE)</f>
        <v>57</v>
      </c>
      <c r="S264" s="5">
        <f>VLOOKUP($A264,'NonXtal_SegEnds_Prot#'!$A:$AL,6,FALSE)</f>
        <v>88</v>
      </c>
      <c r="T264" s="5">
        <f>VLOOKUP($A264,'NonXtal_SegEnds_Prot#'!$A:$AL,9,FALSE)</f>
        <v>92</v>
      </c>
      <c r="U264" s="5">
        <f>VLOOKUP($A264,'NonXtal_SegEnds_Prot#'!$A:$AL,12,FALSE)</f>
        <v>123</v>
      </c>
      <c r="V264" s="5">
        <f>VLOOKUP($A264,'NonXtal_SegEnds_Prot#'!$A:$AL,15,FALSE)</f>
        <v>127</v>
      </c>
      <c r="W264" s="5">
        <f>VLOOKUP($A264,'NonXtal_SegEnds_Prot#'!$A:$AL,18,FALSE)</f>
        <v>163</v>
      </c>
      <c r="X264" s="5">
        <f>VLOOKUP($A264,'NonXtal_SegEnds_Prot#'!$A:$AL,21,FALSE)</f>
        <v>172</v>
      </c>
      <c r="Y264" s="5">
        <f>VLOOKUP($A264,'NonXtal_SegEnds_Prot#'!$A:$AL,24,FALSE)</f>
        <v>210</v>
      </c>
      <c r="Z264" s="5">
        <f>VLOOKUP($A264,'NonXtal_SegEnds_Prot#'!$A:$AL,27,FALSE)</f>
        <v>219</v>
      </c>
      <c r="AA264" s="5">
        <f>VLOOKUP($A264,'NonXtal_SegEnds_Prot#'!$A:$AL,30,FALSE)</f>
        <v>262</v>
      </c>
      <c r="AB264" s="5">
        <f>VLOOKUP($A264,'NonXtal_SegEnds_Prot#'!$A:$AL,33,FALSE)</f>
        <v>305</v>
      </c>
      <c r="AC264" s="5">
        <f>VLOOKUP($A264,'NonXtal_SegEnds_Prot#'!$A:$AL,36,FALSE)</f>
        <v>334</v>
      </c>
      <c r="AD264" s="5">
        <f>VLOOKUP($A264,'NonXtal_SegEnds_Prot#'!$A:$AL,5,FALSE)</f>
        <v>87</v>
      </c>
      <c r="AE264" s="5">
        <f>VLOOKUP($A264,'NonXtal_SegEnds_Prot#'!$A:$AL,8,FALSE)</f>
        <v>91</v>
      </c>
      <c r="AF264" s="5">
        <f>VLOOKUP($A264,'NonXtal_SegEnds_Prot#'!$A:$AL,11,FALSE)</f>
        <v>121</v>
      </c>
      <c r="AG264" s="5">
        <f>VLOOKUP($A264,'NonXtal_SegEnds_Prot#'!$A:$AL,14,FALSE)</f>
        <v>126</v>
      </c>
      <c r="AH264" s="5">
        <f>VLOOKUP($A264,'NonXtal_SegEnds_Prot#'!$A:$AL,17,FALSE)</f>
        <v>162</v>
      </c>
      <c r="AI264" s="5">
        <f>VLOOKUP($A264,'NonXtal_SegEnds_Prot#'!$A:$AL,20,FALSE)</f>
        <v>170</v>
      </c>
      <c r="AJ264" s="5">
        <f>VLOOKUP($A264,'NonXtal_SegEnds_Prot#'!$A:$AL,23,FALSE)</f>
        <v>197</v>
      </c>
      <c r="AK264" s="5">
        <f>VLOOKUP($A264,'NonXtal_SegEnds_Prot#'!$A:$AL,26,FALSE)</f>
        <v>212</v>
      </c>
      <c r="AL264" s="5">
        <f>VLOOKUP($A264,'NonXtal_SegEnds_Prot#'!$A:$AL,29,FALSE)</f>
        <v>256</v>
      </c>
      <c r="AM264" s="5">
        <f>VLOOKUP($A264,'NonXtal_SegEnds_Prot#'!$A:$AL,32,FALSE)</f>
        <v>300</v>
      </c>
      <c r="AN264" s="5">
        <f>VLOOKUP($A264,'NonXtal_SegEnds_Prot#'!$A:$AL,35,FALSE)</f>
        <v>333</v>
      </c>
      <c r="AO264" s="5">
        <f>VLOOKUP($A264,'NonXtal_SegEnds_Prot#'!$A:$AL,38,FALSE)</f>
        <v>346</v>
      </c>
      <c r="AP264" s="5">
        <f t="shared" si="113"/>
        <v>30</v>
      </c>
      <c r="AQ264" s="4">
        <f t="shared" si="114"/>
        <v>3</v>
      </c>
      <c r="AR264" s="4">
        <f t="shared" si="115"/>
        <v>29</v>
      </c>
      <c r="AS264" s="4">
        <f t="shared" si="116"/>
        <v>3</v>
      </c>
      <c r="AT264" s="4">
        <f t="shared" si="117"/>
        <v>35</v>
      </c>
      <c r="AU264" s="4">
        <f t="shared" si="118"/>
        <v>7</v>
      </c>
      <c r="AV264" s="4">
        <f t="shared" si="119"/>
        <v>25</v>
      </c>
      <c r="AW264" s="4">
        <f t="shared" si="120"/>
        <v>2</v>
      </c>
      <c r="AX264" s="4">
        <f t="shared" si="121"/>
        <v>37</v>
      </c>
      <c r="AY264" s="4">
        <f t="shared" si="122"/>
        <v>38</v>
      </c>
      <c r="AZ264" s="4">
        <f t="shared" si="123"/>
        <v>28</v>
      </c>
      <c r="BA264" s="4">
        <f t="shared" si="124"/>
        <v>12</v>
      </c>
    </row>
    <row r="265" spans="1:53" x14ac:dyDescent="0.2">
      <c r="A265" s="1" t="str">
        <f>'NonXtal_SegEnds_Prot#'!A253</f>
        <v>ffar4_human</v>
      </c>
      <c r="B265" s="1" t="str">
        <f t="shared" si="100"/>
        <v>VLAAVETTVLVLIFAVSLLGNVCALVLVARRGATACLVLNLFCADLLFISAIPLVLAVRWTGPVACHLLFYVMTLSGSVTILTLAAVSLERMVCIVHRRARAVLLALIWGYSAVAALPLCVFFTIPGEISWDVSFVTLNFLVPGLVIVISYSKILQTSEHLLDARAVVTIRVSQQDFRLFRTLFLLMVSFFIMWSPIIITILLILIQLVIWPSLFFWVVAFTFANSALNPILYNMTLCRNEWKKIFCCF</v>
      </c>
      <c r="C265" s="72" t="str">
        <f>IF(ISERROR(MATCH(A265,'Xtal_SegEnds_Prot#'!B:B,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265" s="5" t="str">
        <f t="shared" si="101"/>
        <v>VLAAVETTVLVLIFAVSLLGNVCALVLVARR</v>
      </c>
      <c r="G265" s="4" t="str">
        <f t="shared" si="102"/>
        <v/>
      </c>
      <c r="H265" s="4" t="str">
        <f t="shared" si="103"/>
        <v>GATACLVLNLFCADLLFISAIPLVLAVRWT</v>
      </c>
      <c r="I265" s="4" t="str">
        <f t="shared" si="104"/>
        <v>AWLL</v>
      </c>
      <c r="J265" s="4" t="str">
        <f t="shared" si="105"/>
        <v>GPVACHLLFYVMTLSGSVTILTLAAVSLERMVCIVH</v>
      </c>
      <c r="K265" s="4" t="str">
        <f t="shared" si="106"/>
        <v>LQRGVRGP</v>
      </c>
      <c r="L265" s="4" t="str">
        <f t="shared" si="107"/>
        <v>RRARAVLLALIWGYSAVAALPLCVFF</v>
      </c>
      <c r="M265" s="4" t="str">
        <f t="shared" si="108"/>
        <v>CTL</v>
      </c>
      <c r="N265" s="4" t="str">
        <f t="shared" si="109"/>
        <v>TIPGEISWDVSFVTLNFLVPGLVIVISYSKILQTSEHLLDARAVVT</v>
      </c>
      <c r="O265" s="4" t="str">
        <f t="shared" si="110"/>
        <v>IRVSQQDFRLFRTLFLLMVSFFIMWSPIIITILLILIQ</v>
      </c>
      <c r="P265" s="4" t="str">
        <f t="shared" si="111"/>
        <v>LVIWPSLFFWVVAFTFANSALNPILYNMT</v>
      </c>
      <c r="Q265" s="4" t="str">
        <f t="shared" si="112"/>
        <v>LCRNEWKKIFCCF</v>
      </c>
      <c r="R265" s="5">
        <f>VLOOKUP($A265,'NonXtal_SegEnds_Prot#'!$A:$AL,3,FALSE)</f>
        <v>38</v>
      </c>
      <c r="S265" s="5" t="str">
        <f>VLOOKUP($A265,'NonXtal_SegEnds_Prot#'!$A:$AL,6,FALSE)</f>
        <v>-</v>
      </c>
      <c r="T265" s="5">
        <f>VLOOKUP($A265,'NonXtal_SegEnds_Prot#'!$A:$AL,9,FALSE)</f>
        <v>72</v>
      </c>
      <c r="U265" s="5">
        <f>VLOOKUP($A265,'NonXtal_SegEnds_Prot#'!$A:$AL,12,FALSE)</f>
        <v>103</v>
      </c>
      <c r="V265" s="5">
        <f>VLOOKUP($A265,'NonXtal_SegEnds_Prot#'!$A:$AL,15,FALSE)</f>
        <v>107</v>
      </c>
      <c r="W265" s="5">
        <f>VLOOKUP($A265,'NonXtal_SegEnds_Prot#'!$A:$AL,18,FALSE)</f>
        <v>143</v>
      </c>
      <c r="X265" s="5">
        <f>VLOOKUP($A265,'NonXtal_SegEnds_Prot#'!$A:$AL,21,FALSE)</f>
        <v>152</v>
      </c>
      <c r="Y265" s="5">
        <f>VLOOKUP($A265,'NonXtal_SegEnds_Prot#'!$A:$AL,24,FALSE)</f>
        <v>194</v>
      </c>
      <c r="Z265" s="5">
        <f>VLOOKUP($A265,'NonXtal_SegEnds_Prot#'!$A:$AL,27,FALSE)</f>
        <v>200</v>
      </c>
      <c r="AA265" s="5">
        <f>VLOOKUP($A265,'NonXtal_SegEnds_Prot#'!$A:$AL,30,FALSE)</f>
        <v>269</v>
      </c>
      <c r="AB265" s="5">
        <f>VLOOKUP($A265,'NonXtal_SegEnds_Prot#'!$A:$AL,33,FALSE)</f>
        <v>312</v>
      </c>
      <c r="AC265" s="5">
        <f>VLOOKUP($A265,'NonXtal_SegEnds_Prot#'!$A:$AL,36,FALSE)</f>
        <v>341</v>
      </c>
      <c r="AD265" s="5">
        <f>VLOOKUP($A265,'NonXtal_SegEnds_Prot#'!$A:$AL,5,FALSE)</f>
        <v>68</v>
      </c>
      <c r="AE265" s="5" t="str">
        <f>VLOOKUP($A265,'NonXtal_SegEnds_Prot#'!$A:$AL,8,FALSE)</f>
        <v>-</v>
      </c>
      <c r="AF265" s="5">
        <f>VLOOKUP($A265,'NonXtal_SegEnds_Prot#'!$A:$AL,11,FALSE)</f>
        <v>101</v>
      </c>
      <c r="AG265" s="5">
        <f>VLOOKUP($A265,'NonXtal_SegEnds_Prot#'!$A:$AL,14,FALSE)</f>
        <v>106</v>
      </c>
      <c r="AH265" s="5">
        <f>VLOOKUP($A265,'NonXtal_SegEnds_Prot#'!$A:$AL,17,FALSE)</f>
        <v>142</v>
      </c>
      <c r="AI265" s="5">
        <f>VLOOKUP($A265,'NonXtal_SegEnds_Prot#'!$A:$AL,20,FALSE)</f>
        <v>150</v>
      </c>
      <c r="AJ265" s="5">
        <f>VLOOKUP($A265,'NonXtal_SegEnds_Prot#'!$A:$AL,23,FALSE)</f>
        <v>177</v>
      </c>
      <c r="AK265" s="5">
        <f>VLOOKUP($A265,'NonXtal_SegEnds_Prot#'!$A:$AL,26,FALSE)</f>
        <v>196</v>
      </c>
      <c r="AL265" s="5">
        <f>VLOOKUP($A265,'NonXtal_SegEnds_Prot#'!$A:$AL,29,FALSE)</f>
        <v>245</v>
      </c>
      <c r="AM265" s="5">
        <f>VLOOKUP($A265,'NonXtal_SegEnds_Prot#'!$A:$AL,32,FALSE)</f>
        <v>306</v>
      </c>
      <c r="AN265" s="5">
        <f>VLOOKUP($A265,'NonXtal_SegEnds_Prot#'!$A:$AL,35,FALSE)</f>
        <v>340</v>
      </c>
      <c r="AO265" s="5">
        <f>VLOOKUP($A265,'NonXtal_SegEnds_Prot#'!$A:$AL,38,FALSE)</f>
        <v>353</v>
      </c>
      <c r="AP265" s="5">
        <f t="shared" si="113"/>
        <v>30</v>
      </c>
      <c r="AQ265" s="4" t="str">
        <f t="shared" si="114"/>
        <v>-</v>
      </c>
      <c r="AR265" s="4">
        <f t="shared" si="115"/>
        <v>29</v>
      </c>
      <c r="AS265" s="4">
        <f t="shared" si="116"/>
        <v>3</v>
      </c>
      <c r="AT265" s="4">
        <f t="shared" si="117"/>
        <v>35</v>
      </c>
      <c r="AU265" s="4">
        <f t="shared" si="118"/>
        <v>7</v>
      </c>
      <c r="AV265" s="4">
        <f t="shared" si="119"/>
        <v>25</v>
      </c>
      <c r="AW265" s="4">
        <f t="shared" si="120"/>
        <v>2</v>
      </c>
      <c r="AX265" s="4">
        <f t="shared" si="121"/>
        <v>45</v>
      </c>
      <c r="AY265" s="4">
        <f t="shared" si="122"/>
        <v>37</v>
      </c>
      <c r="AZ265" s="4">
        <f t="shared" si="123"/>
        <v>28</v>
      </c>
      <c r="BA265" s="4">
        <f t="shared" si="124"/>
        <v>12</v>
      </c>
    </row>
    <row r="266" spans="1:53" x14ac:dyDescent="0.2">
      <c r="A266" s="1" t="str">
        <f>'NonXtal_SegEnds_Prot#'!A254</f>
        <v>gpr32_human</v>
      </c>
      <c r="B266" s="1" t="str">
        <f t="shared" si="100"/>
        <v>SLRPLTVVILSASIVVGVLGNGLVLWMTVFRTVSTVCFFHLALADFMLSLSLPIAMYYIVSGEWACKLYITFVFLSYFASNCLLVFISVDRCISVLYVQRASWLAFGVWLLAAALCSAHLKFRVVEGHIIGTIGHFLLGFLGPLAIIGTCAHLIRAKLLREANRPKRLLLVLVSAFFIFWSPFNVVLLVHLWRHPRMLLILQASFALGCVNSSLNPFLYVFVGRDFQEKFFQSLT</v>
      </c>
      <c r="C266" s="72" t="str">
        <f>IF(ISERROR(MATCH(A266,'Xtal_SegEnds_Prot#'!B:B,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266" s="5" t="str">
        <f t="shared" si="101"/>
        <v>SLRPLTVVILSASIVVGVLGNGLVLWMTVFR</v>
      </c>
      <c r="G266" s="4" t="str">
        <f t="shared" si="102"/>
        <v/>
      </c>
      <c r="H266" s="4" t="str">
        <f t="shared" si="103"/>
        <v>TVSTVCFFHLALADFMLSLSLPIAMYYIVS</v>
      </c>
      <c r="I266" s="4" t="str">
        <f t="shared" si="104"/>
        <v>QWLL</v>
      </c>
      <c r="J266" s="4" t="str">
        <f t="shared" si="105"/>
        <v>GEWACKLYITFVFLSYFASNCLLVFISVDRCISVLY</v>
      </c>
      <c r="K266" s="4" t="str">
        <f t="shared" si="106"/>
        <v>PVWALNHR</v>
      </c>
      <c r="L266" s="4" t="str">
        <f t="shared" si="107"/>
        <v>VQRASWLAFGVWLLAAALCSAHLKFR</v>
      </c>
      <c r="M266" s="4" t="str">
        <f t="shared" si="108"/>
        <v>CYL</v>
      </c>
      <c r="N266" s="4" t="str">
        <f t="shared" si="109"/>
        <v>VVEGHIIGTIGHFLLGFLGPLAIIGTCAHLIRAKLLRE</v>
      </c>
      <c r="O266" s="4" t="str">
        <f t="shared" si="110"/>
        <v>ANRPKRLLLVLVSAFFIFWSPFNVVLLVHLWR</v>
      </c>
      <c r="P266" s="4" t="str">
        <f t="shared" si="111"/>
        <v>HPRMLLILQASFALGCVNSSLNPFLYVFV</v>
      </c>
      <c r="Q266" s="4" t="str">
        <f t="shared" si="112"/>
        <v>GRDFQEKFFQSLT</v>
      </c>
      <c r="R266" s="5">
        <f>VLOOKUP($A266,'NonXtal_SegEnds_Prot#'!$A:$AL,3,FALSE)</f>
        <v>41</v>
      </c>
      <c r="S266" s="5" t="str">
        <f>VLOOKUP($A266,'NonXtal_SegEnds_Prot#'!$A:$AL,6,FALSE)</f>
        <v>-</v>
      </c>
      <c r="T266" s="5">
        <f>VLOOKUP($A266,'NonXtal_SegEnds_Prot#'!$A:$AL,9,FALSE)</f>
        <v>75</v>
      </c>
      <c r="U266" s="5">
        <f>VLOOKUP($A266,'NonXtal_SegEnds_Prot#'!$A:$AL,12,FALSE)</f>
        <v>106</v>
      </c>
      <c r="V266" s="5">
        <f>VLOOKUP($A266,'NonXtal_SegEnds_Prot#'!$A:$AL,15,FALSE)</f>
        <v>110</v>
      </c>
      <c r="W266" s="5">
        <f>VLOOKUP($A266,'NonXtal_SegEnds_Prot#'!$A:$AL,18,FALSE)</f>
        <v>146</v>
      </c>
      <c r="X266" s="5">
        <f>VLOOKUP($A266,'NonXtal_SegEnds_Prot#'!$A:$AL,21,FALSE)</f>
        <v>155</v>
      </c>
      <c r="Y266" s="5">
        <f>VLOOKUP($A266,'NonXtal_SegEnds_Prot#'!$A:$AL,24,FALSE)</f>
        <v>191</v>
      </c>
      <c r="Z266" s="5">
        <f>VLOOKUP($A266,'NonXtal_SegEnds_Prot#'!$A:$AL,27,FALSE)</f>
        <v>209</v>
      </c>
      <c r="AA266" s="5">
        <f>VLOOKUP($A266,'NonXtal_SegEnds_Prot#'!$A:$AL,30,FALSE)</f>
        <v>251</v>
      </c>
      <c r="AB266" s="5">
        <f>VLOOKUP($A266,'NonXtal_SegEnds_Prot#'!$A:$AL,33,FALSE)</f>
        <v>291</v>
      </c>
      <c r="AC266" s="5">
        <f>VLOOKUP($A266,'NonXtal_SegEnds_Prot#'!$A:$AL,36,FALSE)</f>
        <v>320</v>
      </c>
      <c r="AD266" s="5">
        <f>VLOOKUP($A266,'NonXtal_SegEnds_Prot#'!$A:$AL,5,FALSE)</f>
        <v>71</v>
      </c>
      <c r="AE266" s="5" t="str">
        <f>VLOOKUP($A266,'NonXtal_SegEnds_Prot#'!$A:$AL,8,FALSE)</f>
        <v>-</v>
      </c>
      <c r="AF266" s="5">
        <f>VLOOKUP($A266,'NonXtal_SegEnds_Prot#'!$A:$AL,11,FALSE)</f>
        <v>104</v>
      </c>
      <c r="AG266" s="5">
        <f>VLOOKUP($A266,'NonXtal_SegEnds_Prot#'!$A:$AL,14,FALSE)</f>
        <v>109</v>
      </c>
      <c r="AH266" s="5">
        <f>VLOOKUP($A266,'NonXtal_SegEnds_Prot#'!$A:$AL,17,FALSE)</f>
        <v>145</v>
      </c>
      <c r="AI266" s="5">
        <f>VLOOKUP($A266,'NonXtal_SegEnds_Prot#'!$A:$AL,20,FALSE)</f>
        <v>153</v>
      </c>
      <c r="AJ266" s="5">
        <f>VLOOKUP($A266,'NonXtal_SegEnds_Prot#'!$A:$AL,23,FALSE)</f>
        <v>180</v>
      </c>
      <c r="AK266" s="5">
        <f>VLOOKUP($A266,'NonXtal_SegEnds_Prot#'!$A:$AL,26,FALSE)</f>
        <v>193</v>
      </c>
      <c r="AL266" s="5">
        <f>VLOOKUP($A266,'NonXtal_SegEnds_Prot#'!$A:$AL,29,FALSE)</f>
        <v>246</v>
      </c>
      <c r="AM266" s="5">
        <f>VLOOKUP($A266,'NonXtal_SegEnds_Prot#'!$A:$AL,32,FALSE)</f>
        <v>282</v>
      </c>
      <c r="AN266" s="5">
        <f>VLOOKUP($A266,'NonXtal_SegEnds_Prot#'!$A:$AL,35,FALSE)</f>
        <v>319</v>
      </c>
      <c r="AO266" s="5">
        <f>VLOOKUP($A266,'NonXtal_SegEnds_Prot#'!$A:$AL,38,FALSE)</f>
        <v>332</v>
      </c>
      <c r="AP266" s="5">
        <f t="shared" si="113"/>
        <v>30</v>
      </c>
      <c r="AQ266" s="4" t="str">
        <f t="shared" si="114"/>
        <v>-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7</v>
      </c>
      <c r="AV266" s="4">
        <f t="shared" si="119"/>
        <v>25</v>
      </c>
      <c r="AW266" s="4">
        <f t="shared" si="120"/>
        <v>2</v>
      </c>
      <c r="AX266" s="4">
        <f t="shared" si="121"/>
        <v>37</v>
      </c>
      <c r="AY266" s="4">
        <f t="shared" si="122"/>
        <v>31</v>
      </c>
      <c r="AZ266" s="4">
        <f t="shared" si="123"/>
        <v>28</v>
      </c>
      <c r="BA266" s="4">
        <f t="shared" si="124"/>
        <v>12</v>
      </c>
    </row>
    <row r="267" spans="1:53" x14ac:dyDescent="0.2">
      <c r="A267" s="1" t="str">
        <f>'NonXtal_SegEnds_Prot#'!A255</f>
        <v>c3ar_human</v>
      </c>
      <c r="B267" s="1" t="str">
        <f t="shared" si="100"/>
        <v>PPVILSMVILSLTFLLGLPGNGLVLWVAGLKTVNTIWFLHLTLADLLCCLSLPFSLAHLALGRFLCKLIPSIIVLNMFASVFLLTAISLDRCLVVFKVGMACSICGCIWVVAFVMCIPVFVYRVPTPLVAITITRLVVGFLLPSVIMIACYSFIVFRMQRGQSKTFRVAVVVVAVFLVCWTPYHIFGVLSLLTGKTLMSWDHVCIALASANSCFNPFLYALLGKDFRKKARQSIQ</v>
      </c>
      <c r="C267" s="72" t="str">
        <f>IF(ISERROR(MATCH(A267,'Xtal_SegEnds_Prot#'!B:B,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267" s="5" t="str">
        <f t="shared" si="101"/>
        <v>PPVILSMVILSLTFLLGLPGNGLVLWVAGLK</v>
      </c>
      <c r="G267" s="4" t="str">
        <f t="shared" si="102"/>
        <v/>
      </c>
      <c r="H267" s="4" t="str">
        <f t="shared" si="103"/>
        <v>TVNTIWFLHLTLADLLCCLSLPFSLAHLAL</v>
      </c>
      <c r="I267" s="4" t="str">
        <f t="shared" si="104"/>
        <v>QWPY</v>
      </c>
      <c r="J267" s="4" t="str">
        <f t="shared" si="105"/>
        <v>GRFLCKLIPSIIVLNMFASVFLLTAISLDRCLVVFK</v>
      </c>
      <c r="K267" s="4" t="str">
        <f t="shared" si="106"/>
        <v>PIWCQNHR</v>
      </c>
      <c r="L267" s="4" t="str">
        <f t="shared" si="107"/>
        <v>VGMACSICGCIWVVAFVMCIPVFVYR</v>
      </c>
      <c r="M267" s="4" t="str">
        <f t="shared" si="108"/>
        <v>CGY</v>
      </c>
      <c r="N267" s="4" t="str">
        <f t="shared" si="109"/>
        <v>VPTPLVAITITRLVVGFLLPSVIMIACYSFIVFRMQRG</v>
      </c>
      <c r="O267" s="4" t="str">
        <f t="shared" si="110"/>
        <v>QSKTFRVAVVVVAVFLVCWTPYHIFGVLSLLT</v>
      </c>
      <c r="P267" s="4" t="str">
        <f t="shared" si="111"/>
        <v>GKTLMSWDHVCIALASANSCFNPFLYALL</v>
      </c>
      <c r="Q267" s="4" t="str">
        <f t="shared" si="112"/>
        <v>GKDFRKKARQSIQ</v>
      </c>
      <c r="R267" s="5">
        <f>VLOOKUP($A267,'NonXtal_SegEnds_Prot#'!$A:$AL,3,FALSE)</f>
        <v>21</v>
      </c>
      <c r="S267" s="5" t="str">
        <f>VLOOKUP($A267,'NonXtal_SegEnds_Prot#'!$A:$AL,6,FALSE)</f>
        <v>-</v>
      </c>
      <c r="T267" s="5">
        <f>VLOOKUP($A267,'NonXtal_SegEnds_Prot#'!$A:$AL,9,FALSE)</f>
        <v>55</v>
      </c>
      <c r="U267" s="5">
        <f>VLOOKUP($A267,'NonXtal_SegEnds_Prot#'!$A:$AL,12,FALSE)</f>
        <v>87</v>
      </c>
      <c r="V267" s="5">
        <f>VLOOKUP($A267,'NonXtal_SegEnds_Prot#'!$A:$AL,15,FALSE)</f>
        <v>91</v>
      </c>
      <c r="W267" s="5">
        <f>VLOOKUP($A267,'NonXtal_SegEnds_Prot#'!$A:$AL,18,FALSE)</f>
        <v>127</v>
      </c>
      <c r="X267" s="5">
        <f>VLOOKUP($A267,'NonXtal_SegEnds_Prot#'!$A:$AL,21,FALSE)</f>
        <v>136</v>
      </c>
      <c r="Y267" s="5">
        <f>VLOOKUP($A267,'NonXtal_SegEnds_Prot#'!$A:$AL,24,FALSE)</f>
        <v>172</v>
      </c>
      <c r="Z267" s="5">
        <f>VLOOKUP($A267,'NonXtal_SegEnds_Prot#'!$A:$AL,27,FALSE)</f>
        <v>329</v>
      </c>
      <c r="AA267" s="5">
        <f>VLOOKUP($A267,'NonXtal_SegEnds_Prot#'!$A:$AL,30,FALSE)</f>
        <v>372</v>
      </c>
      <c r="AB267" s="5">
        <f>VLOOKUP($A267,'NonXtal_SegEnds_Prot#'!$A:$AL,33,FALSE)</f>
        <v>410</v>
      </c>
      <c r="AC267" s="5">
        <f>VLOOKUP($A267,'NonXtal_SegEnds_Prot#'!$A:$AL,36,FALSE)</f>
        <v>439</v>
      </c>
      <c r="AD267" s="5">
        <f>VLOOKUP($A267,'NonXtal_SegEnds_Prot#'!$A:$AL,5,FALSE)</f>
        <v>51</v>
      </c>
      <c r="AE267" s="5" t="str">
        <f>VLOOKUP($A267,'NonXtal_SegEnds_Prot#'!$A:$AL,8,FALSE)</f>
        <v>-</v>
      </c>
      <c r="AF267" s="5">
        <f>VLOOKUP($A267,'NonXtal_SegEnds_Prot#'!$A:$AL,11,FALSE)</f>
        <v>84</v>
      </c>
      <c r="AG267" s="5">
        <f>VLOOKUP($A267,'NonXtal_SegEnds_Prot#'!$A:$AL,14,FALSE)</f>
        <v>90</v>
      </c>
      <c r="AH267" s="5">
        <f>VLOOKUP($A267,'NonXtal_SegEnds_Prot#'!$A:$AL,17,FALSE)</f>
        <v>126</v>
      </c>
      <c r="AI267" s="5">
        <f>VLOOKUP($A267,'NonXtal_SegEnds_Prot#'!$A:$AL,20,FALSE)</f>
        <v>134</v>
      </c>
      <c r="AJ267" s="5">
        <f>VLOOKUP($A267,'NonXtal_SegEnds_Prot#'!$A:$AL,23,FALSE)</f>
        <v>161</v>
      </c>
      <c r="AK267" s="5">
        <f>VLOOKUP($A267,'NonXtal_SegEnds_Prot#'!$A:$AL,26,FALSE)</f>
        <v>174</v>
      </c>
      <c r="AL267" s="5">
        <f>VLOOKUP($A267,'NonXtal_SegEnds_Prot#'!$A:$AL,29,FALSE)</f>
        <v>366</v>
      </c>
      <c r="AM267" s="5">
        <f>VLOOKUP($A267,'NonXtal_SegEnds_Prot#'!$A:$AL,32,FALSE)</f>
        <v>403</v>
      </c>
      <c r="AN267" s="5">
        <f>VLOOKUP($A267,'NonXtal_SegEnds_Prot#'!$A:$AL,35,FALSE)</f>
        <v>438</v>
      </c>
      <c r="AO267" s="5">
        <f>VLOOKUP($A267,'NonXtal_SegEnds_Prot#'!$A:$AL,38,FALSE)</f>
        <v>451</v>
      </c>
      <c r="AP267" s="5">
        <f t="shared" si="113"/>
        <v>30</v>
      </c>
      <c r="AQ267" s="4" t="str">
        <f t="shared" si="114"/>
        <v>-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7</v>
      </c>
      <c r="AV267" s="4">
        <f t="shared" si="119"/>
        <v>25</v>
      </c>
      <c r="AW267" s="4">
        <f t="shared" si="120"/>
        <v>2</v>
      </c>
      <c r="AX267" s="4">
        <f t="shared" si="121"/>
        <v>37</v>
      </c>
      <c r="AY267" s="4">
        <f t="shared" si="122"/>
        <v>31</v>
      </c>
      <c r="AZ267" s="4">
        <f t="shared" si="123"/>
        <v>28</v>
      </c>
      <c r="BA267" s="4">
        <f t="shared" si="124"/>
        <v>12</v>
      </c>
    </row>
    <row r="268" spans="1:53" x14ac:dyDescent="0.2">
      <c r="A268" s="1" t="str">
        <f>'NonXtal_SegEnds_Prot#'!A256</f>
        <v>t2r40_human</v>
      </c>
      <c r="B268" s="1" t="str">
        <f t="shared" si="100"/>
        <v>VTFTLVVSGIECITGILGSGFITAIYGAEWALPTGDRIMLMLSFSRLLLQIWMMLENIFSLLFVYNQNSVYILFKVITVFLNHSNLWFAAWLKVFYCLRIANKIIVLMPWLLRLSVLVSLSFSFPLSRSETNMVNLVFFYNMGIFVPLIMFILAATLLILSLKRHTLHMPSMKAHIGAIKATSYFLILYIFNAIALFLSTSNYSSWNILCKIIMAAYPAGHSVQLILGNPGLRRAWKRFQHQ</v>
      </c>
      <c r="C268" s="72" t="str">
        <f>IF(ISERROR(MATCH(A268,'Xtal_SegEnds_Prot#'!B:B, 0)), "NoXtal", "Xtal")</f>
        <v>NoXtal</v>
      </c>
      <c r="D268" s="4" t="str">
        <f>VLOOKUP(A268,Classification!A:D,2,FALSE)</f>
        <v>T</v>
      </c>
      <c r="E268" s="5" t="str">
        <f>VLOOKUP(A268,Seqs!A:B,2,FALSE)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268" s="5" t="str">
        <f t="shared" si="101"/>
        <v>VTFTLVVSGIECITGILGSGFITAIYGAEWA</v>
      </c>
      <c r="G268" s="4" t="str">
        <f t="shared" si="102"/>
        <v>RGKT</v>
      </c>
      <c r="H268" s="4" t="str">
        <f t="shared" si="103"/>
        <v>LPTGDRIMLMLSFSRLLLQIWMMLENIFSLLF</v>
      </c>
      <c r="I268" s="4" t="str">
        <f t="shared" si="104"/>
        <v/>
      </c>
      <c r="J268" s="4" t="str">
        <f t="shared" si="105"/>
        <v>VYNQNSVYILFKVITVFLNHSNLWFAAWLKVFYCLRIAN</v>
      </c>
      <c r="K268" s="4" t="str">
        <f t="shared" si="106"/>
        <v>HPLFFLMK</v>
      </c>
      <c r="L268" s="4" t="str">
        <f t="shared" si="107"/>
        <v>KIIVLMPWLLRLSVLVSLSFSFPLSR</v>
      </c>
      <c r="M268" s="4" t="str">
        <f t="shared" si="108"/>
        <v/>
      </c>
      <c r="N268" s="4" t="str">
        <f t="shared" si="109"/>
        <v>SETNMVNLVFFYNMGIFVPLIMFILAATLLILSLKRHTLHM</v>
      </c>
      <c r="O268" s="4" t="str">
        <f t="shared" si="110"/>
        <v>PSMKAHIGAIKATSYFLILYIFNAIALFLSTSN</v>
      </c>
      <c r="P268" s="4" t="str">
        <f t="shared" si="111"/>
        <v>YSSWNILCKIIMAAYPAGHSVQLILG</v>
      </c>
      <c r="Q268" s="4" t="str">
        <f t="shared" si="112"/>
        <v>NPGLRRAWKRFQHQ</v>
      </c>
      <c r="R268" s="5">
        <f>VLOOKUP($A268,'NonXtal_SegEnds_Prot#'!$A:$AL,3,FALSE)</f>
        <v>18</v>
      </c>
      <c r="S268" s="5">
        <f>VLOOKUP($A268,'NonXtal_SegEnds_Prot#'!$A:$AL,6,FALSE)</f>
        <v>49</v>
      </c>
      <c r="T268" s="5">
        <f>VLOOKUP($A268,'NonXtal_SegEnds_Prot#'!$A:$AL,9,FALSE)</f>
        <v>53</v>
      </c>
      <c r="U268" s="5" t="str">
        <f>VLOOKUP($A268,'NonXtal_SegEnds_Prot#'!$A:$AL,12,FALSE)</f>
        <v>-</v>
      </c>
      <c r="V268" s="5">
        <f>VLOOKUP($A268,'NonXtal_SegEnds_Prot#'!$A:$AL,15,FALSE)</f>
        <v>87</v>
      </c>
      <c r="W268" s="5">
        <f>VLOOKUP($A268,'NonXtal_SegEnds_Prot#'!$A:$AL,18,FALSE)</f>
        <v>128</v>
      </c>
      <c r="X268" s="5">
        <f>VLOOKUP($A268,'NonXtal_SegEnds_Prot#'!$A:$AL,21,FALSE)</f>
        <v>137</v>
      </c>
      <c r="Y268" s="5" t="str">
        <f>VLOOKUP($A268,'NonXtal_SegEnds_Prot#'!$A:$AL,24,FALSE)</f>
        <v>-</v>
      </c>
      <c r="Z268" s="5">
        <f>VLOOKUP($A268,'NonXtal_SegEnds_Prot#'!$A:$AL,27,FALSE)</f>
        <v>187</v>
      </c>
      <c r="AA268" s="5">
        <f>VLOOKUP($A268,'NonXtal_SegEnds_Prot#'!$A:$AL,30,FALSE)</f>
        <v>237</v>
      </c>
      <c r="AB268" s="5">
        <f>VLOOKUP($A268,'NonXtal_SegEnds_Prot#'!$A:$AL,33,FALSE)</f>
        <v>274</v>
      </c>
      <c r="AC268" s="5">
        <f>VLOOKUP($A268,'NonXtal_SegEnds_Prot#'!$A:$AL,36,FALSE)</f>
        <v>300</v>
      </c>
      <c r="AD268" s="5">
        <f>VLOOKUP($A268,'NonXtal_SegEnds_Prot#'!$A:$AL,5,FALSE)</f>
        <v>48</v>
      </c>
      <c r="AE268" s="5">
        <f>VLOOKUP($A268,'NonXtal_SegEnds_Prot#'!$A:$AL,8,FALSE)</f>
        <v>52</v>
      </c>
      <c r="AF268" s="5">
        <f>VLOOKUP($A268,'NonXtal_SegEnds_Prot#'!$A:$AL,11,FALSE)</f>
        <v>84</v>
      </c>
      <c r="AG268" s="5" t="str">
        <f>VLOOKUP($A268,'NonXtal_SegEnds_Prot#'!$A:$AL,14,FALSE)</f>
        <v>-</v>
      </c>
      <c r="AH268" s="5">
        <f>VLOOKUP($A268,'NonXtal_SegEnds_Prot#'!$A:$AL,17,FALSE)</f>
        <v>125</v>
      </c>
      <c r="AI268" s="5">
        <f>VLOOKUP($A268,'NonXtal_SegEnds_Prot#'!$A:$AL,20,FALSE)</f>
        <v>135</v>
      </c>
      <c r="AJ268" s="5">
        <f>VLOOKUP($A268,'NonXtal_SegEnds_Prot#'!$A:$AL,23,FALSE)</f>
        <v>162</v>
      </c>
      <c r="AK268" s="5" t="str">
        <f>VLOOKUP($A268,'NonXtal_SegEnds_Prot#'!$A:$AL,26,FALSE)</f>
        <v>-</v>
      </c>
      <c r="AL268" s="5">
        <f>VLOOKUP($A268,'NonXtal_SegEnds_Prot#'!$A:$AL,29,FALSE)</f>
        <v>227</v>
      </c>
      <c r="AM268" s="5">
        <f>VLOOKUP($A268,'NonXtal_SegEnds_Prot#'!$A:$AL,32,FALSE)</f>
        <v>269</v>
      </c>
      <c r="AN268" s="5">
        <f>VLOOKUP($A268,'NonXtal_SegEnds_Prot#'!$A:$AL,35,FALSE)</f>
        <v>299</v>
      </c>
      <c r="AO268" s="5">
        <f>VLOOKUP($A268,'NonXtal_SegEnds_Prot#'!$A:$AL,38,FALSE)</f>
        <v>313</v>
      </c>
      <c r="AP268" s="5">
        <f t="shared" si="113"/>
        <v>30</v>
      </c>
      <c r="AQ268" s="4">
        <f t="shared" si="114"/>
        <v>3</v>
      </c>
      <c r="AR268" s="4">
        <f t="shared" si="115"/>
        <v>31</v>
      </c>
      <c r="AS268" s="4" t="str">
        <f t="shared" si="116"/>
        <v>-</v>
      </c>
      <c r="AT268" s="4">
        <f t="shared" si="117"/>
        <v>38</v>
      </c>
      <c r="AU268" s="4">
        <f t="shared" si="118"/>
        <v>7</v>
      </c>
      <c r="AV268" s="4">
        <f t="shared" si="119"/>
        <v>25</v>
      </c>
      <c r="AW268" s="4" t="str">
        <f t="shared" si="120"/>
        <v>-</v>
      </c>
      <c r="AX268" s="4">
        <f t="shared" si="121"/>
        <v>40</v>
      </c>
      <c r="AY268" s="4">
        <f t="shared" si="122"/>
        <v>32</v>
      </c>
      <c r="AZ268" s="4">
        <f t="shared" si="123"/>
        <v>25</v>
      </c>
      <c r="BA268" s="4">
        <f t="shared" si="124"/>
        <v>13</v>
      </c>
    </row>
    <row r="269" spans="1:53" x14ac:dyDescent="0.2">
      <c r="A269" s="1" t="str">
        <f>'NonXtal_SegEnds_Prot#'!A257</f>
        <v>oprm_human</v>
      </c>
      <c r="B269" s="1" t="str">
        <f t="shared" si="100"/>
        <v>MITAITIMALYSIVCVVGLFGNFLVMYVIVRYTATNIYIFNLALADALATSTLPFQSVNYLMGTILCKIVISIDYYNMFTSIFTLCTMSVDRYIAVCHPRNAKIINVCNWILSSAIGLPVMFMATWYWENLLKICVFIFAFIMPVLIITVCYGLMILRLKSVSKEKDRNLRRITRMVLVVVAVFIVCWTPIHIYVIIKALVTTFQTVSWHFCIALGYTNSCLNPVLYAFLDENFKRCFREFCI</v>
      </c>
      <c r="C269" s="72" t="str">
        <f>IF(ISERROR(MATCH(A269,'Xtal_SegEnds_Prot#'!B:B,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69" s="5" t="str">
        <f t="shared" si="101"/>
        <v>MITAITIMALYSIVCVVGLFGNFLVMYVIVRY</v>
      </c>
      <c r="G269" s="4" t="str">
        <f t="shared" si="102"/>
        <v>TKMK</v>
      </c>
      <c r="H269" s="4" t="str">
        <f t="shared" si="103"/>
        <v>TATNIYIFNLALADALATSTLPFQSVNYLM</v>
      </c>
      <c r="I269" s="4" t="str">
        <f t="shared" si="104"/>
        <v>TWPF</v>
      </c>
      <c r="J269" s="4" t="str">
        <f t="shared" si="105"/>
        <v>GTILCKIVISIDYYNMFTSIFTLCTMSVDRYIAVCH</v>
      </c>
      <c r="K269" s="4" t="str">
        <f t="shared" si="106"/>
        <v>PVKALDFR</v>
      </c>
      <c r="L269" s="4" t="str">
        <f t="shared" si="107"/>
        <v>PRNAKIINVCNWILSSAIGLPVMFMA</v>
      </c>
      <c r="M269" s="4" t="str">
        <f t="shared" si="108"/>
        <v>CTL</v>
      </c>
      <c r="N269" s="4" t="str">
        <f t="shared" si="109"/>
        <v>TWYWENLLKICVFIFAFIMPVLIITVCYGLMILRLKSV</v>
      </c>
      <c r="O269" s="4" t="str">
        <f t="shared" si="110"/>
        <v>SKEKDRNLRRITRMVLVVVAVFIVCWTPIHIYVIIKALV</v>
      </c>
      <c r="P269" s="4" t="str">
        <f t="shared" si="111"/>
        <v>TTFQTVSWHFCIALGYTNSCLNPVLYAFL</v>
      </c>
      <c r="Q269" s="4" t="str">
        <f t="shared" si="112"/>
        <v>DENFKRCFREFCI</v>
      </c>
      <c r="R269" s="5">
        <f>VLOOKUP($A269,'NonXtal_SegEnds_Prot#'!$A:$AL,3,FALSE)</f>
        <v>67</v>
      </c>
      <c r="S269" s="5">
        <f>VLOOKUP($A269,'NonXtal_SegEnds_Prot#'!$A:$AL,6,FALSE)</f>
        <v>99</v>
      </c>
      <c r="T269" s="5">
        <f>VLOOKUP($A269,'NonXtal_SegEnds_Prot#'!$A:$AL,9,FALSE)</f>
        <v>103</v>
      </c>
      <c r="U269" s="5">
        <f>VLOOKUP($A269,'NonXtal_SegEnds_Prot#'!$A:$AL,12,FALSE)</f>
        <v>134</v>
      </c>
      <c r="V269" s="5">
        <f>VLOOKUP($A269,'NonXtal_SegEnds_Prot#'!$A:$AL,15,FALSE)</f>
        <v>138</v>
      </c>
      <c r="W269" s="5">
        <f>VLOOKUP($A269,'NonXtal_SegEnds_Prot#'!$A:$AL,18,FALSE)</f>
        <v>174</v>
      </c>
      <c r="X269" s="5">
        <f>VLOOKUP($A269,'NonXtal_SegEnds_Prot#'!$A:$AL,21,FALSE)</f>
        <v>183</v>
      </c>
      <c r="Y269" s="5">
        <f>VLOOKUP($A269,'NonXtal_SegEnds_Prot#'!$A:$AL,24,FALSE)</f>
        <v>219</v>
      </c>
      <c r="Z269" s="5">
        <f>VLOOKUP($A269,'NonXtal_SegEnds_Prot#'!$A:$AL,27,FALSE)</f>
        <v>227</v>
      </c>
      <c r="AA269" s="5">
        <f>VLOOKUP($A269,'NonXtal_SegEnds_Prot#'!$A:$AL,30,FALSE)</f>
        <v>270</v>
      </c>
      <c r="AB269" s="5">
        <f>VLOOKUP($A269,'NonXtal_SegEnds_Prot#'!$A:$AL,33,FALSE)</f>
        <v>313</v>
      </c>
      <c r="AC269" s="5">
        <f>VLOOKUP($A269,'NonXtal_SegEnds_Prot#'!$A:$AL,36,FALSE)</f>
        <v>342</v>
      </c>
      <c r="AD269" s="5">
        <f>VLOOKUP($A269,'NonXtal_SegEnds_Prot#'!$A:$AL,5,FALSE)</f>
        <v>98</v>
      </c>
      <c r="AE269" s="5">
        <f>VLOOKUP($A269,'NonXtal_SegEnds_Prot#'!$A:$AL,8,FALSE)</f>
        <v>102</v>
      </c>
      <c r="AF269" s="5">
        <f>VLOOKUP($A269,'NonXtal_SegEnds_Prot#'!$A:$AL,11,FALSE)</f>
        <v>132</v>
      </c>
      <c r="AG269" s="5">
        <f>VLOOKUP($A269,'NonXtal_SegEnds_Prot#'!$A:$AL,14,FALSE)</f>
        <v>137</v>
      </c>
      <c r="AH269" s="5">
        <f>VLOOKUP($A269,'NonXtal_SegEnds_Prot#'!$A:$AL,17,FALSE)</f>
        <v>173</v>
      </c>
      <c r="AI269" s="5">
        <f>VLOOKUP($A269,'NonXtal_SegEnds_Prot#'!$A:$AL,20,FALSE)</f>
        <v>181</v>
      </c>
      <c r="AJ269" s="5">
        <f>VLOOKUP($A269,'NonXtal_SegEnds_Prot#'!$A:$AL,23,FALSE)</f>
        <v>208</v>
      </c>
      <c r="AK269" s="5">
        <f>VLOOKUP($A269,'NonXtal_SegEnds_Prot#'!$A:$AL,26,FALSE)</f>
        <v>221</v>
      </c>
      <c r="AL269" s="5">
        <f>VLOOKUP($A269,'NonXtal_SegEnds_Prot#'!$A:$AL,29,FALSE)</f>
        <v>264</v>
      </c>
      <c r="AM269" s="5">
        <f>VLOOKUP($A269,'NonXtal_SegEnds_Prot#'!$A:$AL,32,FALSE)</f>
        <v>308</v>
      </c>
      <c r="AN269" s="5">
        <f>VLOOKUP($A269,'NonXtal_SegEnds_Prot#'!$A:$AL,35,FALSE)</f>
        <v>341</v>
      </c>
      <c r="AO269" s="5">
        <f>VLOOKUP($A269,'NonXtal_SegEnds_Prot#'!$A:$AL,38,FALSE)</f>
        <v>354</v>
      </c>
      <c r="AP269" s="5">
        <f t="shared" si="113"/>
        <v>31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7</v>
      </c>
      <c r="AV269" s="4">
        <f t="shared" si="119"/>
        <v>25</v>
      </c>
      <c r="AW269" s="4">
        <f t="shared" si="120"/>
        <v>2</v>
      </c>
      <c r="AX269" s="4">
        <f t="shared" si="121"/>
        <v>37</v>
      </c>
      <c r="AY269" s="4">
        <f t="shared" si="122"/>
        <v>38</v>
      </c>
      <c r="AZ269" s="4">
        <f t="shared" si="123"/>
        <v>28</v>
      </c>
      <c r="BA269" s="4">
        <f t="shared" si="124"/>
        <v>12</v>
      </c>
    </row>
    <row r="270" spans="1:53" x14ac:dyDescent="0.2">
      <c r="A270" s="1" t="str">
        <f>'NonXtal_SegEnds_Prot#'!A258</f>
        <v>oprm_mouse</v>
      </c>
      <c r="B270" s="1" t="str">
        <f t="shared" si="100"/>
        <v>MVTAITIMALYSIVCVVGLFGNFLVMYVIVRYTATNIYIFNLALADALATSTLPFQSVNYLMGNILCKIVISIDYYNMFTSIFTLCTMSVDRYIAVCHPRNAKIVNVCNWILSSAIGLPVMFMATWYWENLLKICVFIFAFIMPVLIITVCYGLMILRLKSVSKEKDRNLRRITRMVLVVVAVFIVCWTPIHIYVIIKALITTFQTVSWHFCIALGYTNSCLNPVLYAFLDENFKRCFREFCI</v>
      </c>
      <c r="C270" s="72" t="str">
        <f>IF(ISERROR(MATCH(A270,'Xtal_SegEnds_Prot#'!B:B, 0)), "NoXtal", "Xtal")</f>
        <v>Xtal</v>
      </c>
      <c r="D270" s="4" t="str">
        <f>VLOOKUP(A270,Classification!A:D,2,FALSE)</f>
        <v>A</v>
      </c>
      <c r="E270" s="5" t="str">
        <f>VLOOKUP(A270,Seqs!A:B,2,FALSE)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70" s="5" t="str">
        <f t="shared" si="101"/>
        <v>MVTAITIMALYSIVCVVGLFGNFLVMYVIVRY</v>
      </c>
      <c r="G270" s="4" t="str">
        <f t="shared" si="102"/>
        <v>TKMK</v>
      </c>
      <c r="H270" s="4" t="str">
        <f t="shared" si="103"/>
        <v>TATNIYIFNLALADALATSTLPFQSVNYLM</v>
      </c>
      <c r="I270" s="4" t="str">
        <f t="shared" si="104"/>
        <v>TWPF</v>
      </c>
      <c r="J270" s="4" t="str">
        <f t="shared" si="105"/>
        <v>GNILCKIVISIDYYNMFTSIFTLCTMSVDRYIAVCH</v>
      </c>
      <c r="K270" s="4" t="str">
        <f t="shared" si="106"/>
        <v>PVKALDFR</v>
      </c>
      <c r="L270" s="4" t="str">
        <f t="shared" si="107"/>
        <v>PRNAKIVNVCNWILSSAIGLPVMFMA</v>
      </c>
      <c r="M270" s="4" t="str">
        <f t="shared" si="108"/>
        <v>CTL</v>
      </c>
      <c r="N270" s="4" t="str">
        <f t="shared" si="109"/>
        <v>TWYWENLLKICVFIFAFIMPVLIITVCYGLMILRLKSV</v>
      </c>
      <c r="O270" s="4" t="str">
        <f t="shared" si="110"/>
        <v>SKEKDRNLRRITRMVLVVVAVFIVCWTPIHIYVIIKALI</v>
      </c>
      <c r="P270" s="4" t="str">
        <f t="shared" si="111"/>
        <v>TTFQTVSWHFCIALGYTNSCLNPVLYAFL</v>
      </c>
      <c r="Q270" s="4" t="str">
        <f t="shared" si="112"/>
        <v>DENFKRCFREFCI</v>
      </c>
      <c r="R270" s="5">
        <f>VLOOKUP($A270,'NonXtal_SegEnds_Prot#'!$A:$AL,3,FALSE)</f>
        <v>65</v>
      </c>
      <c r="S270" s="5">
        <f>VLOOKUP($A270,'NonXtal_SegEnds_Prot#'!$A:$AL,6,FALSE)</f>
        <v>97</v>
      </c>
      <c r="T270" s="5">
        <f>VLOOKUP($A270,'NonXtal_SegEnds_Prot#'!$A:$AL,9,FALSE)</f>
        <v>101</v>
      </c>
      <c r="U270" s="5">
        <f>VLOOKUP($A270,'NonXtal_SegEnds_Prot#'!$A:$AL,12,FALSE)</f>
        <v>132</v>
      </c>
      <c r="V270" s="5">
        <f>VLOOKUP($A270,'NonXtal_SegEnds_Prot#'!$A:$AL,15,FALSE)</f>
        <v>136</v>
      </c>
      <c r="W270" s="5">
        <f>VLOOKUP($A270,'NonXtal_SegEnds_Prot#'!$A:$AL,18,FALSE)</f>
        <v>172</v>
      </c>
      <c r="X270" s="5">
        <f>VLOOKUP($A270,'NonXtal_SegEnds_Prot#'!$A:$AL,21,FALSE)</f>
        <v>181</v>
      </c>
      <c r="Y270" s="5">
        <f>VLOOKUP($A270,'NonXtal_SegEnds_Prot#'!$A:$AL,24,FALSE)</f>
        <v>217</v>
      </c>
      <c r="Z270" s="5">
        <f>VLOOKUP($A270,'NonXtal_SegEnds_Prot#'!$A:$AL,27,FALSE)</f>
        <v>225</v>
      </c>
      <c r="AA270" s="5">
        <f>VLOOKUP($A270,'NonXtal_SegEnds_Prot#'!$A:$AL,30,FALSE)</f>
        <v>268</v>
      </c>
      <c r="AB270" s="5">
        <f>VLOOKUP($A270,'NonXtal_SegEnds_Prot#'!$A:$AL,33,FALSE)</f>
        <v>311</v>
      </c>
      <c r="AC270" s="5">
        <f>VLOOKUP($A270,'NonXtal_SegEnds_Prot#'!$A:$AL,36,FALSE)</f>
        <v>340</v>
      </c>
      <c r="AD270" s="5">
        <f>VLOOKUP($A270,'NonXtal_SegEnds_Prot#'!$A:$AL,5,FALSE)</f>
        <v>96</v>
      </c>
      <c r="AE270" s="5">
        <f>VLOOKUP($A270,'NonXtal_SegEnds_Prot#'!$A:$AL,8,FALSE)</f>
        <v>100</v>
      </c>
      <c r="AF270" s="5">
        <f>VLOOKUP($A270,'NonXtal_SegEnds_Prot#'!$A:$AL,11,FALSE)</f>
        <v>130</v>
      </c>
      <c r="AG270" s="5">
        <f>VLOOKUP($A270,'NonXtal_SegEnds_Prot#'!$A:$AL,14,FALSE)</f>
        <v>135</v>
      </c>
      <c r="AH270" s="5">
        <f>VLOOKUP($A270,'NonXtal_SegEnds_Prot#'!$A:$AL,17,FALSE)</f>
        <v>171</v>
      </c>
      <c r="AI270" s="5">
        <f>VLOOKUP($A270,'NonXtal_SegEnds_Prot#'!$A:$AL,20,FALSE)</f>
        <v>179</v>
      </c>
      <c r="AJ270" s="5">
        <f>VLOOKUP($A270,'NonXtal_SegEnds_Prot#'!$A:$AL,23,FALSE)</f>
        <v>206</v>
      </c>
      <c r="AK270" s="5">
        <f>VLOOKUP($A270,'NonXtal_SegEnds_Prot#'!$A:$AL,26,FALSE)</f>
        <v>219</v>
      </c>
      <c r="AL270" s="5">
        <f>VLOOKUP($A270,'NonXtal_SegEnds_Prot#'!$A:$AL,29,FALSE)</f>
        <v>262</v>
      </c>
      <c r="AM270" s="5">
        <f>VLOOKUP($A270,'NonXtal_SegEnds_Prot#'!$A:$AL,32,FALSE)</f>
        <v>306</v>
      </c>
      <c r="AN270" s="5">
        <f>VLOOKUP($A270,'NonXtal_SegEnds_Prot#'!$A:$AL,35,FALSE)</f>
        <v>339</v>
      </c>
      <c r="AO270" s="5">
        <f>VLOOKUP($A270,'NonXtal_SegEnds_Prot#'!$A:$AL,38,FALSE)</f>
        <v>352</v>
      </c>
      <c r="AP270" s="5">
        <f t="shared" si="113"/>
        <v>31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7</v>
      </c>
      <c r="AV270" s="4">
        <f t="shared" si="119"/>
        <v>25</v>
      </c>
      <c r="AW270" s="4">
        <f t="shared" si="120"/>
        <v>2</v>
      </c>
      <c r="AX270" s="4">
        <f t="shared" si="121"/>
        <v>37</v>
      </c>
      <c r="AY270" s="4">
        <f t="shared" si="122"/>
        <v>38</v>
      </c>
      <c r="AZ270" s="4">
        <f t="shared" si="123"/>
        <v>28</v>
      </c>
      <c r="BA270" s="4">
        <f t="shared" si="124"/>
        <v>12</v>
      </c>
    </row>
    <row r="271" spans="1:53" x14ac:dyDescent="0.2">
      <c r="A271" s="1" t="str">
        <f>'NonXtal_SegEnds_Prot#'!A259</f>
        <v>ssr1_human</v>
      </c>
      <c r="B271" s="1" t="str">
        <f t="shared" si="100"/>
        <v>QGSAILISFIYSVVCLVGLCGNSMVIYVILRYTATNIYILNLAIADELLMLSVPFLVTSTLLGALLCRLVLSVDAVNMFTSIYCLTVLSVDRYVAVVHPTVAKVVNLGVWVLSLLVILPIVVFSAQRWLVGFVLYTFLMGFLLPVGAICLCYVLIIAKMRMVWQQRKRSERKITLMVMMVVMVFVICWMPFYVVQLVNVFAATVSQLSVILGYANSCANPILYGFLSDNFKRSFQRILC</v>
      </c>
      <c r="C271" s="72" t="str">
        <f>IF(ISERROR(MATCH(A271,'Xtal_SegEnds_Prot#'!B:B,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71" s="5" t="str">
        <f t="shared" si="101"/>
        <v>QGSAILISFIYSVVCLVGLCGNSMVIYVILRY</v>
      </c>
      <c r="G271" s="4" t="str">
        <f t="shared" si="102"/>
        <v>AKMK</v>
      </c>
      <c r="H271" s="4" t="str">
        <f t="shared" si="103"/>
        <v>TATNIYILNLAIADELLMLSVPFLVTSTLL</v>
      </c>
      <c r="I271" s="4" t="str">
        <f t="shared" si="104"/>
        <v>HWPF</v>
      </c>
      <c r="J271" s="4" t="str">
        <f t="shared" si="105"/>
        <v>GALLCRLVLSVDAVNMFTSIYCLTVLSVDRYVAVVH</v>
      </c>
      <c r="K271" s="4" t="str">
        <f t="shared" si="106"/>
        <v>PIKAARYR</v>
      </c>
      <c r="L271" s="4" t="str">
        <f t="shared" si="107"/>
        <v>PTVAKVVNLGVWVLSLLVILPIVVFS</v>
      </c>
      <c r="M271" s="4" t="str">
        <f t="shared" si="108"/>
        <v>CNM</v>
      </c>
      <c r="N271" s="4" t="str">
        <f t="shared" si="109"/>
        <v>AQRWLVGFVLYTFLMGFLLPVGAICLCYVLIIAKMRMV</v>
      </c>
      <c r="O271" s="4" t="str">
        <f t="shared" si="110"/>
        <v>WQQRKRSERKITLMVMMVVMVFVICWMPFYVVQLVNVFA</v>
      </c>
      <c r="P271" s="4" t="str">
        <f t="shared" si="111"/>
        <v>ATVSQLSVILGYANSCANPILYGFL</v>
      </c>
      <c r="Q271" s="4" t="str">
        <f t="shared" si="112"/>
        <v>SDNFKRSFQRILC</v>
      </c>
      <c r="R271" s="5">
        <f>VLOOKUP($A271,'NonXtal_SegEnds_Prot#'!$A:$AL,3,FALSE)</f>
        <v>55</v>
      </c>
      <c r="S271" s="5">
        <f>VLOOKUP($A271,'NonXtal_SegEnds_Prot#'!$A:$AL,6,FALSE)</f>
        <v>87</v>
      </c>
      <c r="T271" s="5">
        <f>VLOOKUP($A271,'NonXtal_SegEnds_Prot#'!$A:$AL,9,FALSE)</f>
        <v>91</v>
      </c>
      <c r="U271" s="5">
        <f>VLOOKUP($A271,'NonXtal_SegEnds_Prot#'!$A:$AL,12,FALSE)</f>
        <v>122</v>
      </c>
      <c r="V271" s="5">
        <f>VLOOKUP($A271,'NonXtal_SegEnds_Prot#'!$A:$AL,15,FALSE)</f>
        <v>126</v>
      </c>
      <c r="W271" s="5">
        <f>VLOOKUP($A271,'NonXtal_SegEnds_Prot#'!$A:$AL,18,FALSE)</f>
        <v>162</v>
      </c>
      <c r="X271" s="5">
        <f>VLOOKUP($A271,'NonXtal_SegEnds_Prot#'!$A:$AL,21,FALSE)</f>
        <v>171</v>
      </c>
      <c r="Y271" s="5">
        <f>VLOOKUP($A271,'NonXtal_SegEnds_Prot#'!$A:$AL,24,FALSE)</f>
        <v>208</v>
      </c>
      <c r="Z271" s="5">
        <f>VLOOKUP($A271,'NonXtal_SegEnds_Prot#'!$A:$AL,27,FALSE)</f>
        <v>216</v>
      </c>
      <c r="AA271" s="5">
        <f>VLOOKUP($A271,'NonXtal_SegEnds_Prot#'!$A:$AL,30,FALSE)</f>
        <v>259</v>
      </c>
      <c r="AB271" s="5">
        <f>VLOOKUP($A271,'NonXtal_SegEnds_Prot#'!$A:$AL,33,FALSE)</f>
        <v>302</v>
      </c>
      <c r="AC271" s="5">
        <f>VLOOKUP($A271,'NonXtal_SegEnds_Prot#'!$A:$AL,36,FALSE)</f>
        <v>327</v>
      </c>
      <c r="AD271" s="5">
        <f>VLOOKUP($A271,'NonXtal_SegEnds_Prot#'!$A:$AL,5,FALSE)</f>
        <v>86</v>
      </c>
      <c r="AE271" s="5">
        <f>VLOOKUP($A271,'NonXtal_SegEnds_Prot#'!$A:$AL,8,FALSE)</f>
        <v>90</v>
      </c>
      <c r="AF271" s="5">
        <f>VLOOKUP($A271,'NonXtal_SegEnds_Prot#'!$A:$AL,11,FALSE)</f>
        <v>120</v>
      </c>
      <c r="AG271" s="5">
        <f>VLOOKUP($A271,'NonXtal_SegEnds_Prot#'!$A:$AL,14,FALSE)</f>
        <v>125</v>
      </c>
      <c r="AH271" s="5">
        <f>VLOOKUP($A271,'NonXtal_SegEnds_Prot#'!$A:$AL,17,FALSE)</f>
        <v>161</v>
      </c>
      <c r="AI271" s="5">
        <f>VLOOKUP($A271,'NonXtal_SegEnds_Prot#'!$A:$AL,20,FALSE)</f>
        <v>169</v>
      </c>
      <c r="AJ271" s="5">
        <f>VLOOKUP($A271,'NonXtal_SegEnds_Prot#'!$A:$AL,23,FALSE)</f>
        <v>196</v>
      </c>
      <c r="AK271" s="5">
        <f>VLOOKUP($A271,'NonXtal_SegEnds_Prot#'!$A:$AL,26,FALSE)</f>
        <v>210</v>
      </c>
      <c r="AL271" s="5">
        <f>VLOOKUP($A271,'NonXtal_SegEnds_Prot#'!$A:$AL,29,FALSE)</f>
        <v>253</v>
      </c>
      <c r="AM271" s="5">
        <f>VLOOKUP($A271,'NonXtal_SegEnds_Prot#'!$A:$AL,32,FALSE)</f>
        <v>297</v>
      </c>
      <c r="AN271" s="5">
        <f>VLOOKUP($A271,'NonXtal_SegEnds_Prot#'!$A:$AL,35,FALSE)</f>
        <v>326</v>
      </c>
      <c r="AO271" s="5">
        <f>VLOOKUP($A271,'NonXtal_SegEnds_Prot#'!$A:$AL,38,FALSE)</f>
        <v>339</v>
      </c>
      <c r="AP271" s="5">
        <f t="shared" si="113"/>
        <v>31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7</v>
      </c>
      <c r="AV271" s="4">
        <f t="shared" si="119"/>
        <v>25</v>
      </c>
      <c r="AW271" s="4">
        <f t="shared" si="120"/>
        <v>2</v>
      </c>
      <c r="AX271" s="4">
        <f t="shared" si="121"/>
        <v>37</v>
      </c>
      <c r="AY271" s="4">
        <f t="shared" si="122"/>
        <v>38</v>
      </c>
      <c r="AZ271" s="4">
        <f t="shared" si="123"/>
        <v>24</v>
      </c>
      <c r="BA271" s="4">
        <f t="shared" si="124"/>
        <v>12</v>
      </c>
    </row>
    <row r="272" spans="1:53" x14ac:dyDescent="0.2">
      <c r="A272" s="1" t="str">
        <f>'NonXtal_SegEnds_Prot#'!A260</f>
        <v>v1ar_human</v>
      </c>
      <c r="B272" s="1" t="str">
        <f t="shared" si="100"/>
        <v>EELAKLEIAVLAVTFAVAVLGNSSVLLALHRTSRMHLFIRHLSLADLAVAFFQVLPQMCWDIRGPDWLCRVVKHLQVFGMFASAYMLVVMTADRYIAVCHARRSRLMIAAAWVLSFVLSTPQYFVFQPWGSRAYVTWMTGGIFVAPVVILGTCYGFICYNIWCNVRGKTASRKSISRAKIRTVKMTFVIVTAYIVCWAPFFIIQMWSVWDTESENPTITITALLGSLNSCCNPWIYMFFSGHLLQDCVQSFP</v>
      </c>
      <c r="C272" s="72" t="str">
        <f>IF(ISERROR(MATCH(A272,'Xtal_SegEnds_Prot#'!B:B, 0)), "NoXtal", "Xtal")</f>
        <v>NoXtal</v>
      </c>
      <c r="D272" s="4" t="str">
        <f>VLOOKUP(A272,Classification!A:D,2,FALSE)</f>
        <v>A</v>
      </c>
      <c r="E272" s="5" t="str">
        <f>VLOOKUP(A272,Seqs!A:B,2,FALSE)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272" s="5" t="str">
        <f t="shared" si="101"/>
        <v>EELAKLEIAVLAVTFAVAVLGNSSVLLALHRT</v>
      </c>
      <c r="G272" s="4" t="str">
        <f t="shared" si="102"/>
        <v>PRKT</v>
      </c>
      <c r="H272" s="4" t="str">
        <f t="shared" si="103"/>
        <v>SRMHLFIRHLSLADLAVAFFQVLPQMCWDI</v>
      </c>
      <c r="I272" s="4" t="str">
        <f t="shared" si="104"/>
        <v>TYRF</v>
      </c>
      <c r="J272" s="4" t="str">
        <f t="shared" si="105"/>
        <v>RGPDWLCRVVKHLQVFGMFASAYMLVVMTADRYIAVCH</v>
      </c>
      <c r="K272" s="4" t="str">
        <f t="shared" si="106"/>
        <v>PLKTLQQP</v>
      </c>
      <c r="L272" s="4" t="str">
        <f t="shared" si="107"/>
        <v>ARRSRLMIAAAWVLSFVLSTPQYFVF</v>
      </c>
      <c r="M272" s="4" t="str">
        <f t="shared" si="108"/>
        <v>CWA</v>
      </c>
      <c r="N272" s="4" t="str">
        <f t="shared" si="109"/>
        <v>QPWGSRAYVTWMTGGIFVAPVVILGTCYGFICYNIWCNVRGKTASR</v>
      </c>
      <c r="O272" s="4" t="str">
        <f t="shared" si="110"/>
        <v>KSISRAKIRTVKMTFVIVTAYIVCWAPFFIIQMWSVWD</v>
      </c>
      <c r="P272" s="4" t="str">
        <f t="shared" si="111"/>
        <v>TESENPTITITALLGSLNSCCNPWIYMFF</v>
      </c>
      <c r="Q272" s="4" t="str">
        <f t="shared" si="112"/>
        <v>SGHLLQDCVQSFP</v>
      </c>
      <c r="R272" s="5">
        <f>VLOOKUP($A272,'NonXtal_SegEnds_Prot#'!$A:$AL,3,FALSE)</f>
        <v>48</v>
      </c>
      <c r="S272" s="5">
        <f>VLOOKUP($A272,'NonXtal_SegEnds_Prot#'!$A:$AL,6,FALSE)</f>
        <v>80</v>
      </c>
      <c r="T272" s="5">
        <f>VLOOKUP($A272,'NonXtal_SegEnds_Prot#'!$A:$AL,9,FALSE)</f>
        <v>84</v>
      </c>
      <c r="U272" s="5">
        <f>VLOOKUP($A272,'NonXtal_SegEnds_Prot#'!$A:$AL,12,FALSE)</f>
        <v>114</v>
      </c>
      <c r="V272" s="5">
        <f>VLOOKUP($A272,'NonXtal_SegEnds_Prot#'!$A:$AL,15,FALSE)</f>
        <v>118</v>
      </c>
      <c r="W272" s="5">
        <f>VLOOKUP($A272,'NonXtal_SegEnds_Prot#'!$A:$AL,18,FALSE)</f>
        <v>156</v>
      </c>
      <c r="X272" s="5">
        <f>VLOOKUP($A272,'NonXtal_SegEnds_Prot#'!$A:$AL,21,FALSE)</f>
        <v>164</v>
      </c>
      <c r="Y272" s="5">
        <f>VLOOKUP($A272,'NonXtal_SegEnds_Prot#'!$A:$AL,24,FALSE)</f>
        <v>203</v>
      </c>
      <c r="Z272" s="5">
        <f>VLOOKUP($A272,'NonXtal_SegEnds_Prot#'!$A:$AL,27,FALSE)</f>
        <v>209</v>
      </c>
      <c r="AA272" s="5">
        <f>VLOOKUP($A272,'NonXtal_SegEnds_Prot#'!$A:$AL,30,FALSE)</f>
        <v>280</v>
      </c>
      <c r="AB272" s="5">
        <f>VLOOKUP($A272,'NonXtal_SegEnds_Prot#'!$A:$AL,33,FALSE)</f>
        <v>323</v>
      </c>
      <c r="AC272" s="5">
        <f>VLOOKUP($A272,'NonXtal_SegEnds_Prot#'!$A:$AL,36,FALSE)</f>
        <v>352</v>
      </c>
      <c r="AD272" s="5">
        <f>VLOOKUP($A272,'NonXtal_SegEnds_Prot#'!$A:$AL,5,FALSE)</f>
        <v>79</v>
      </c>
      <c r="AE272" s="5">
        <f>VLOOKUP($A272,'NonXtal_SegEnds_Prot#'!$A:$AL,8,FALSE)</f>
        <v>83</v>
      </c>
      <c r="AF272" s="5">
        <f>VLOOKUP($A272,'NonXtal_SegEnds_Prot#'!$A:$AL,11,FALSE)</f>
        <v>113</v>
      </c>
      <c r="AG272" s="5">
        <f>VLOOKUP($A272,'NonXtal_SegEnds_Prot#'!$A:$AL,14,FALSE)</f>
        <v>117</v>
      </c>
      <c r="AH272" s="5">
        <f>VLOOKUP($A272,'NonXtal_SegEnds_Prot#'!$A:$AL,17,FALSE)</f>
        <v>155</v>
      </c>
      <c r="AI272" s="5">
        <f>VLOOKUP($A272,'NonXtal_SegEnds_Prot#'!$A:$AL,20,FALSE)</f>
        <v>163</v>
      </c>
      <c r="AJ272" s="5">
        <f>VLOOKUP($A272,'NonXtal_SegEnds_Prot#'!$A:$AL,23,FALSE)</f>
        <v>189</v>
      </c>
      <c r="AK272" s="5">
        <f>VLOOKUP($A272,'NonXtal_SegEnds_Prot#'!$A:$AL,26,FALSE)</f>
        <v>205</v>
      </c>
      <c r="AL272" s="5">
        <f>VLOOKUP($A272,'NonXtal_SegEnds_Prot#'!$A:$AL,29,FALSE)</f>
        <v>254</v>
      </c>
      <c r="AM272" s="5">
        <f>VLOOKUP($A272,'NonXtal_SegEnds_Prot#'!$A:$AL,32,FALSE)</f>
        <v>317</v>
      </c>
      <c r="AN272" s="5">
        <f>VLOOKUP($A272,'NonXtal_SegEnds_Prot#'!$A:$AL,35,FALSE)</f>
        <v>351</v>
      </c>
      <c r="AO272" s="5">
        <f>VLOOKUP($A272,'NonXtal_SegEnds_Prot#'!$A:$AL,38,FALSE)</f>
        <v>364</v>
      </c>
      <c r="AP272" s="5">
        <f t="shared" si="113"/>
        <v>31</v>
      </c>
      <c r="AQ272" s="4">
        <f t="shared" si="114"/>
        <v>3</v>
      </c>
      <c r="AR272" s="4">
        <f t="shared" si="115"/>
        <v>29</v>
      </c>
      <c r="AS272" s="4">
        <f t="shared" si="116"/>
        <v>3</v>
      </c>
      <c r="AT272" s="4">
        <f t="shared" si="117"/>
        <v>37</v>
      </c>
      <c r="AU272" s="4">
        <f t="shared" si="118"/>
        <v>7</v>
      </c>
      <c r="AV272" s="4">
        <f t="shared" si="119"/>
        <v>25</v>
      </c>
      <c r="AW272" s="4">
        <f t="shared" si="120"/>
        <v>2</v>
      </c>
      <c r="AX272" s="4">
        <f t="shared" si="121"/>
        <v>45</v>
      </c>
      <c r="AY272" s="4">
        <f t="shared" si="122"/>
        <v>37</v>
      </c>
      <c r="AZ272" s="4">
        <f t="shared" si="123"/>
        <v>28</v>
      </c>
      <c r="BA272" s="4">
        <f t="shared" si="124"/>
        <v>12</v>
      </c>
    </row>
    <row r="273" spans="1:53" x14ac:dyDescent="0.2">
      <c r="A273" s="1" t="str">
        <f>'NonXtal_SegEnds_Prot#'!A261</f>
        <v>gnrhr_human</v>
      </c>
      <c r="B273" s="1" t="str">
        <f t="shared" si="100"/>
        <v>TLSGKIRVTVTFFLFLLSATFNASFLLKLQKWRMKLLLKHLTLANLLETLIVMPLDGMWNITGELLCKVLSYLKLFSMYAPAFMMVVISLDRSLAITRSKVGQSMVGLAWILSSVFAGPQLYIFQWWHQAFYNFFTFSCLFIIPLFIMLICNAKIIFTLTRVLHQDPHQSKNNIPRARLKTLKMTVAFATSFTVCWTPYYVLGIWYWFDNRLSDPVNHFFFLFAFLNPCFDPLIYGYF</v>
      </c>
      <c r="C273" s="72" t="str">
        <f>IF(ISERROR(MATCH(A273,'Xtal_SegEnds_Prot#'!B:B,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273" s="5" t="str">
        <f t="shared" si="101"/>
        <v>TLSGKIRVTVTFFLFLLSATFNASFLLKLQKW</v>
      </c>
      <c r="G273" s="4" t="str">
        <f t="shared" si="102"/>
        <v>KKLS</v>
      </c>
      <c r="H273" s="4" t="str">
        <f t="shared" si="103"/>
        <v>RMKLLLKHLTLANLLETLIVMPLDGMWNIT</v>
      </c>
      <c r="I273" s="4" t="str">
        <f t="shared" si="104"/>
        <v>QWYA</v>
      </c>
      <c r="J273" s="4" t="str">
        <f t="shared" si="105"/>
        <v>GELLCKVLSYLKLFSMYAPAFMMVVISLDRSLAITR</v>
      </c>
      <c r="K273" s="4" t="str">
        <f t="shared" si="106"/>
        <v>PLALKSN</v>
      </c>
      <c r="L273" s="4" t="str">
        <f t="shared" si="107"/>
        <v>SKVGQSMVGLAWILSSVFAGPQLYIF</v>
      </c>
      <c r="M273" s="4" t="str">
        <f t="shared" si="108"/>
        <v>CSF</v>
      </c>
      <c r="N273" s="4" t="str">
        <f t="shared" si="109"/>
        <v>QWWHQAFYNFFTFSCLFIIPLFIMLICNAKIIFTLTRVLHQDPH</v>
      </c>
      <c r="O273" s="4" t="str">
        <f t="shared" si="110"/>
        <v>QSKNNIPRARLKTLKMTVAFATSFTVCWTPYYVLGIWYWFD</v>
      </c>
      <c r="P273" s="4" t="str">
        <f t="shared" si="111"/>
        <v>NRLSDPVNHFFFLFAFLNPCFDPLIYGYF</v>
      </c>
      <c r="Q273" s="4" t="str">
        <f t="shared" si="112"/>
        <v/>
      </c>
      <c r="R273" s="5">
        <f>VLOOKUP($A273,'NonXtal_SegEnds_Prot#'!$A:$AL,3,FALSE)</f>
        <v>32</v>
      </c>
      <c r="S273" s="5">
        <f>VLOOKUP($A273,'NonXtal_SegEnds_Prot#'!$A:$AL,6,FALSE)</f>
        <v>71</v>
      </c>
      <c r="T273" s="5">
        <f>VLOOKUP($A273,'NonXtal_SegEnds_Prot#'!$A:$AL,9,FALSE)</f>
        <v>75</v>
      </c>
      <c r="U273" s="5">
        <f>VLOOKUP($A273,'NonXtal_SegEnds_Prot#'!$A:$AL,12,FALSE)</f>
        <v>106</v>
      </c>
      <c r="V273" s="5">
        <f>VLOOKUP($A273,'NonXtal_SegEnds_Prot#'!$A:$AL,15,FALSE)</f>
        <v>110</v>
      </c>
      <c r="W273" s="5">
        <f>VLOOKUP($A273,'NonXtal_SegEnds_Prot#'!$A:$AL,18,FALSE)</f>
        <v>146</v>
      </c>
      <c r="X273" s="5">
        <f>VLOOKUP($A273,'NonXtal_SegEnds_Prot#'!$A:$AL,21,FALSE)</f>
        <v>153</v>
      </c>
      <c r="Y273" s="5">
        <f>VLOOKUP($A273,'NonXtal_SegEnds_Prot#'!$A:$AL,24,FALSE)</f>
        <v>200</v>
      </c>
      <c r="Z273" s="5">
        <f>VLOOKUP($A273,'NonXtal_SegEnds_Prot#'!$A:$AL,27,FALSE)</f>
        <v>204</v>
      </c>
      <c r="AA273" s="5">
        <f>VLOOKUP($A273,'NonXtal_SegEnds_Prot#'!$A:$AL,30,FALSE)</f>
        <v>253</v>
      </c>
      <c r="AB273" s="5">
        <f>VLOOKUP($A273,'NonXtal_SegEnds_Prot#'!$A:$AL,33,FALSE)</f>
        <v>298</v>
      </c>
      <c r="AC273" s="5" t="str">
        <f>VLOOKUP($A273,'NonXtal_SegEnds_Prot#'!$A:$AL,36,FALSE)</f>
        <v>-</v>
      </c>
      <c r="AD273" s="5">
        <f>VLOOKUP($A273,'NonXtal_SegEnds_Prot#'!$A:$AL,5,FALSE)</f>
        <v>63</v>
      </c>
      <c r="AE273" s="5">
        <f>VLOOKUP($A273,'NonXtal_SegEnds_Prot#'!$A:$AL,8,FALSE)</f>
        <v>74</v>
      </c>
      <c r="AF273" s="5">
        <f>VLOOKUP($A273,'NonXtal_SegEnds_Prot#'!$A:$AL,11,FALSE)</f>
        <v>104</v>
      </c>
      <c r="AG273" s="5">
        <f>VLOOKUP($A273,'NonXtal_SegEnds_Prot#'!$A:$AL,14,FALSE)</f>
        <v>109</v>
      </c>
      <c r="AH273" s="5">
        <f>VLOOKUP($A273,'NonXtal_SegEnds_Prot#'!$A:$AL,17,FALSE)</f>
        <v>145</v>
      </c>
      <c r="AI273" s="5">
        <f>VLOOKUP($A273,'NonXtal_SegEnds_Prot#'!$A:$AL,20,FALSE)</f>
        <v>152</v>
      </c>
      <c r="AJ273" s="5">
        <f>VLOOKUP($A273,'NonXtal_SegEnds_Prot#'!$A:$AL,23,FALSE)</f>
        <v>178</v>
      </c>
      <c r="AK273" s="5">
        <f>VLOOKUP($A273,'NonXtal_SegEnds_Prot#'!$A:$AL,26,FALSE)</f>
        <v>202</v>
      </c>
      <c r="AL273" s="5">
        <f>VLOOKUP($A273,'NonXtal_SegEnds_Prot#'!$A:$AL,29,FALSE)</f>
        <v>247</v>
      </c>
      <c r="AM273" s="5">
        <f>VLOOKUP($A273,'NonXtal_SegEnds_Prot#'!$A:$AL,32,FALSE)</f>
        <v>293</v>
      </c>
      <c r="AN273" s="5">
        <f>VLOOKUP($A273,'NonXtal_SegEnds_Prot#'!$A:$AL,35,FALSE)</f>
        <v>326</v>
      </c>
      <c r="AO273" s="5" t="str">
        <f>VLOOKUP($A273,'NonXtal_SegEnds_Prot#'!$A:$AL,38,FALSE)</f>
        <v>-</v>
      </c>
      <c r="AP273" s="5">
        <f t="shared" si="113"/>
        <v>31</v>
      </c>
      <c r="AQ273" s="4">
        <f t="shared" si="114"/>
        <v>3</v>
      </c>
      <c r="AR273" s="4">
        <f t="shared" si="115"/>
        <v>29</v>
      </c>
      <c r="AS273" s="4">
        <f t="shared" si="116"/>
        <v>3</v>
      </c>
      <c r="AT273" s="4">
        <f t="shared" si="117"/>
        <v>35</v>
      </c>
      <c r="AU273" s="4">
        <f t="shared" si="118"/>
        <v>6</v>
      </c>
      <c r="AV273" s="4">
        <f t="shared" si="119"/>
        <v>25</v>
      </c>
      <c r="AW273" s="4">
        <f t="shared" si="120"/>
        <v>2</v>
      </c>
      <c r="AX273" s="4">
        <f t="shared" si="121"/>
        <v>43</v>
      </c>
      <c r="AY273" s="4">
        <f t="shared" si="122"/>
        <v>40</v>
      </c>
      <c r="AZ273" s="4">
        <f t="shared" si="123"/>
        <v>28</v>
      </c>
      <c r="BA273" s="4" t="str">
        <f t="shared" si="124"/>
        <v>-</v>
      </c>
    </row>
    <row r="274" spans="1:53" x14ac:dyDescent="0.2">
      <c r="A274" s="1" t="str">
        <f>'NonXtal_SegEnds_Prot#'!A263</f>
        <v>galr1_human</v>
      </c>
      <c r="B274" s="1" t="str">
        <f t="shared" si="100"/>
        <v>GVENFVTLVVFGLIFALGVLGNSLVITVLARSSTTNLFILNLSIADLAYLLFCIPFQATVYAGAFICKFIHYFFTVSMLVSIFTLAAMSVDRYVAIVHSRNALLGVGCIWALSIAMASPVAYHQDPRHKKAYVVCTFVFGYLLPLLLICFCYAKVLNHLHKKLKNMSKKKTAQTVLVVVVVFGISWLPHHIIHLWAEFGTPASFLFRITAHCLAYSNSSVNPIIYAFLSENFRKAYKQVFK</v>
      </c>
      <c r="C274" s="72" t="str">
        <f>IF(ISERROR(MATCH(A274,'Xtal_SegEnds_Prot#'!B:B,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274" s="5" t="str">
        <f t="shared" si="101"/>
        <v>GVENFVTLVVFGLIFALGVLGNSLVITVLARS</v>
      </c>
      <c r="G274" s="4" t="str">
        <f t="shared" si="102"/>
        <v/>
      </c>
      <c r="H274" s="4" t="str">
        <f t="shared" si="103"/>
        <v>STTNLFILNLSIADLAYLLFCIPFQATVYA</v>
      </c>
      <c r="I274" s="4" t="str">
        <f t="shared" si="104"/>
        <v>TWVL</v>
      </c>
      <c r="J274" s="4" t="str">
        <f t="shared" si="105"/>
        <v>GAFICKFIHYFFTVSMLVSIFTLAAMSVDRYVAIVH</v>
      </c>
      <c r="K274" s="4" t="str">
        <f t="shared" si="106"/>
        <v>SRRSSSLR</v>
      </c>
      <c r="L274" s="4" t="str">
        <f t="shared" si="107"/>
        <v>SRNALLGVGCIWALSIAMASPVAYHQ</v>
      </c>
      <c r="M274" s="4" t="str">
        <f t="shared" si="108"/>
        <v>CWE</v>
      </c>
      <c r="N274" s="4" t="str">
        <f t="shared" si="109"/>
        <v>DPRHKKAYVVCTFVFGYLLPLLLICFCYAKVLNHLHKKLKNM</v>
      </c>
      <c r="O274" s="4" t="str">
        <f t="shared" si="110"/>
        <v>SKKKTAQTVLVVVVVFGISWLPHHIIHLWAEFG</v>
      </c>
      <c r="P274" s="4" t="str">
        <f t="shared" si="111"/>
        <v>TPASFLFRITAHCLAYSNSSVNPIIYAFL</v>
      </c>
      <c r="Q274" s="4" t="str">
        <f t="shared" si="112"/>
        <v>SENFRKAYKQVFK</v>
      </c>
      <c r="R274" s="5">
        <f>VLOOKUP($A274,'NonXtal_SegEnds_Prot#'!$A:$AL,3,FALSE)</f>
        <v>30</v>
      </c>
      <c r="S274" s="5" t="str">
        <f>VLOOKUP($A274,'NonXtal_SegEnds_Prot#'!$A:$AL,6,FALSE)</f>
        <v>-</v>
      </c>
      <c r="T274" s="5">
        <f>VLOOKUP($A274,'NonXtal_SegEnds_Prot#'!$A:$AL,9,FALSE)</f>
        <v>68</v>
      </c>
      <c r="U274" s="5">
        <f>VLOOKUP($A274,'NonXtal_SegEnds_Prot#'!$A:$AL,12,FALSE)</f>
        <v>100</v>
      </c>
      <c r="V274" s="5">
        <f>VLOOKUP($A274,'NonXtal_SegEnds_Prot#'!$A:$AL,15,FALSE)</f>
        <v>104</v>
      </c>
      <c r="W274" s="5">
        <f>VLOOKUP($A274,'NonXtal_SegEnds_Prot#'!$A:$AL,18,FALSE)</f>
        <v>140</v>
      </c>
      <c r="X274" s="5">
        <f>VLOOKUP($A274,'NonXtal_SegEnds_Prot#'!$A:$AL,21,FALSE)</f>
        <v>149</v>
      </c>
      <c r="Y274" s="5">
        <f>VLOOKUP($A274,'NonXtal_SegEnds_Prot#'!$A:$AL,24,FALSE)</f>
        <v>187</v>
      </c>
      <c r="Z274" s="5">
        <f>VLOOKUP($A274,'NonXtal_SegEnds_Prot#'!$A:$AL,27,FALSE)</f>
        <v>193</v>
      </c>
      <c r="AA274" s="5">
        <f>VLOOKUP($A274,'NonXtal_SegEnds_Prot#'!$A:$AL,30,FALSE)</f>
        <v>241</v>
      </c>
      <c r="AB274" s="5">
        <f>VLOOKUP($A274,'NonXtal_SegEnds_Prot#'!$A:$AL,33,FALSE)</f>
        <v>278</v>
      </c>
      <c r="AC274" s="5">
        <f>VLOOKUP($A274,'NonXtal_SegEnds_Prot#'!$A:$AL,36,FALSE)</f>
        <v>307</v>
      </c>
      <c r="AD274" s="5">
        <f>VLOOKUP($A274,'NonXtal_SegEnds_Prot#'!$A:$AL,5,FALSE)</f>
        <v>61</v>
      </c>
      <c r="AE274" s="5" t="str">
        <f>VLOOKUP($A274,'NonXtal_SegEnds_Prot#'!$A:$AL,8,FALSE)</f>
        <v>-</v>
      </c>
      <c r="AF274" s="5">
        <f>VLOOKUP($A274,'NonXtal_SegEnds_Prot#'!$A:$AL,11,FALSE)</f>
        <v>97</v>
      </c>
      <c r="AG274" s="5">
        <f>VLOOKUP($A274,'NonXtal_SegEnds_Prot#'!$A:$AL,14,FALSE)</f>
        <v>103</v>
      </c>
      <c r="AH274" s="5">
        <f>VLOOKUP($A274,'NonXtal_SegEnds_Prot#'!$A:$AL,17,FALSE)</f>
        <v>139</v>
      </c>
      <c r="AI274" s="5">
        <f>VLOOKUP($A274,'NonXtal_SegEnds_Prot#'!$A:$AL,20,FALSE)</f>
        <v>147</v>
      </c>
      <c r="AJ274" s="5">
        <f>VLOOKUP($A274,'NonXtal_SegEnds_Prot#'!$A:$AL,23,FALSE)</f>
        <v>174</v>
      </c>
      <c r="AK274" s="5">
        <f>VLOOKUP($A274,'NonXtal_SegEnds_Prot#'!$A:$AL,26,FALSE)</f>
        <v>189</v>
      </c>
      <c r="AL274" s="5">
        <f>VLOOKUP($A274,'NonXtal_SegEnds_Prot#'!$A:$AL,29,FALSE)</f>
        <v>234</v>
      </c>
      <c r="AM274" s="5">
        <f>VLOOKUP($A274,'NonXtal_SegEnds_Prot#'!$A:$AL,32,FALSE)</f>
        <v>273</v>
      </c>
      <c r="AN274" s="5">
        <f>VLOOKUP($A274,'NonXtal_SegEnds_Prot#'!$A:$AL,35,FALSE)</f>
        <v>306</v>
      </c>
      <c r="AO274" s="5">
        <f>VLOOKUP($A274,'NonXtal_SegEnds_Prot#'!$A:$AL,38,FALSE)</f>
        <v>319</v>
      </c>
      <c r="AP274" s="5">
        <f t="shared" si="113"/>
        <v>31</v>
      </c>
      <c r="AQ274" s="4" t="str">
        <f t="shared" si="114"/>
        <v>-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>
        <f t="shared" si="118"/>
        <v>7</v>
      </c>
      <c r="AV274" s="4">
        <f t="shared" si="119"/>
        <v>25</v>
      </c>
      <c r="AW274" s="4">
        <f t="shared" si="120"/>
        <v>2</v>
      </c>
      <c r="AX274" s="4">
        <f t="shared" si="121"/>
        <v>41</v>
      </c>
      <c r="AY274" s="4">
        <f t="shared" si="122"/>
        <v>32</v>
      </c>
      <c r="AZ274" s="4">
        <f t="shared" si="123"/>
        <v>28</v>
      </c>
      <c r="BA274" s="4">
        <f t="shared" si="124"/>
        <v>12</v>
      </c>
    </row>
    <row r="275" spans="1:53" x14ac:dyDescent="0.2">
      <c r="A275" s="1" t="str">
        <f>'NonXtal_SegEnds_Prot#'!A264</f>
        <v>ssr5_human</v>
      </c>
      <c r="B275" s="1" t="str">
        <f t="shared" si="100"/>
        <v>GARAVLVPVLYLLVCAAGLGGNTLVIYVVLRFTVTNIYILNLAVADVLYMLGLPFLATQNAAGPVLCRLVMTLDGVNQFTSVFCLTVMSVDRYLAVVHPRVAKLASAAAWVLSLCMSLPLLVFAVGLWGAVFIIYTAVLGFFAPLLVICLCYLLIVVKVRAAGVRVSERKVTRMVLVVVLVFAGCWLPFFTVNIVNLAVEPASAGLYFFVVILSYANSCANPVLYGFLSDNFRQSFQKVLC</v>
      </c>
      <c r="C275" s="72" t="str">
        <f>IF(ISERROR(MATCH(A275,'Xtal_SegEnds_Prot#'!B:B,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75" s="5" t="str">
        <f t="shared" si="101"/>
        <v>GARAVLVPVLYLLVCAAGLGGNTLVIYVVLRF</v>
      </c>
      <c r="G275" s="4" t="str">
        <f t="shared" si="102"/>
        <v>AKMK</v>
      </c>
      <c r="H275" s="4" t="str">
        <f t="shared" si="103"/>
        <v>TVTNIYILNLAVADVLYMLGLPFLATQNAA</v>
      </c>
      <c r="I275" s="4" t="str">
        <f t="shared" si="104"/>
        <v>FWPF</v>
      </c>
      <c r="J275" s="4" t="str">
        <f t="shared" si="105"/>
        <v>GPVLCRLVMTLDGVNQFTSVFCLTVMSVDRYLAVVH</v>
      </c>
      <c r="K275" s="4" t="str">
        <f t="shared" si="106"/>
        <v>PLSSARWR</v>
      </c>
      <c r="L275" s="4" t="str">
        <f t="shared" si="107"/>
        <v>PRVAKLASAAAWVLSLCMSLPLLVFA</v>
      </c>
      <c r="M275" s="4" t="str">
        <f t="shared" si="108"/>
        <v>CNA</v>
      </c>
      <c r="N275" s="4" t="str">
        <f t="shared" si="109"/>
        <v>VGLWGAVFIIYTAVLGFFAPLLVICLCYLLIVVKVRAAGVRV</v>
      </c>
      <c r="O275" s="4" t="str">
        <f t="shared" si="110"/>
        <v>SERKVTRMVLVVVLVFAGCWLPFFTVNIVNLAV</v>
      </c>
      <c r="P275" s="4" t="str">
        <f t="shared" si="111"/>
        <v>EPASAGLYFFVVILSYANSCANPVLYGFL</v>
      </c>
      <c r="Q275" s="4" t="str">
        <f t="shared" si="112"/>
        <v>SDNFRQSFQKVLC</v>
      </c>
      <c r="R275" s="5">
        <f>VLOOKUP($A275,'NonXtal_SegEnds_Prot#'!$A:$AL,3,FALSE)</f>
        <v>37</v>
      </c>
      <c r="S275" s="5">
        <f>VLOOKUP($A275,'NonXtal_SegEnds_Prot#'!$A:$AL,6,FALSE)</f>
        <v>69</v>
      </c>
      <c r="T275" s="5">
        <f>VLOOKUP($A275,'NonXtal_SegEnds_Prot#'!$A:$AL,9,FALSE)</f>
        <v>73</v>
      </c>
      <c r="U275" s="5">
        <f>VLOOKUP($A275,'NonXtal_SegEnds_Prot#'!$A:$AL,12,FALSE)</f>
        <v>104</v>
      </c>
      <c r="V275" s="5">
        <f>VLOOKUP($A275,'NonXtal_SegEnds_Prot#'!$A:$AL,15,FALSE)</f>
        <v>108</v>
      </c>
      <c r="W275" s="5">
        <f>VLOOKUP($A275,'NonXtal_SegEnds_Prot#'!$A:$AL,18,FALSE)</f>
        <v>144</v>
      </c>
      <c r="X275" s="5">
        <f>VLOOKUP($A275,'NonXtal_SegEnds_Prot#'!$A:$AL,21,FALSE)</f>
        <v>153</v>
      </c>
      <c r="Y275" s="5">
        <f>VLOOKUP($A275,'NonXtal_SegEnds_Prot#'!$A:$AL,24,FALSE)</f>
        <v>186</v>
      </c>
      <c r="Z275" s="5">
        <f>VLOOKUP($A275,'NonXtal_SegEnds_Prot#'!$A:$AL,27,FALSE)</f>
        <v>194</v>
      </c>
      <c r="AA275" s="5">
        <f>VLOOKUP($A275,'NonXtal_SegEnds_Prot#'!$A:$AL,30,FALSE)</f>
        <v>242</v>
      </c>
      <c r="AB275" s="5">
        <f>VLOOKUP($A275,'NonXtal_SegEnds_Prot#'!$A:$AL,33,FALSE)</f>
        <v>279</v>
      </c>
      <c r="AC275" s="5">
        <f>VLOOKUP($A275,'NonXtal_SegEnds_Prot#'!$A:$AL,36,FALSE)</f>
        <v>308</v>
      </c>
      <c r="AD275" s="5">
        <f>VLOOKUP($A275,'NonXtal_SegEnds_Prot#'!$A:$AL,5,FALSE)</f>
        <v>68</v>
      </c>
      <c r="AE275" s="5">
        <f>VLOOKUP($A275,'NonXtal_SegEnds_Prot#'!$A:$AL,8,FALSE)</f>
        <v>72</v>
      </c>
      <c r="AF275" s="5">
        <f>VLOOKUP($A275,'NonXtal_SegEnds_Prot#'!$A:$AL,11,FALSE)</f>
        <v>102</v>
      </c>
      <c r="AG275" s="5">
        <f>VLOOKUP($A275,'NonXtal_SegEnds_Prot#'!$A:$AL,14,FALSE)</f>
        <v>107</v>
      </c>
      <c r="AH275" s="5">
        <f>VLOOKUP($A275,'NonXtal_SegEnds_Prot#'!$A:$AL,17,FALSE)</f>
        <v>143</v>
      </c>
      <c r="AI275" s="5">
        <f>VLOOKUP($A275,'NonXtal_SegEnds_Prot#'!$A:$AL,20,FALSE)</f>
        <v>151</v>
      </c>
      <c r="AJ275" s="5">
        <f>VLOOKUP($A275,'NonXtal_SegEnds_Prot#'!$A:$AL,23,FALSE)</f>
        <v>178</v>
      </c>
      <c r="AK275" s="5">
        <f>VLOOKUP($A275,'NonXtal_SegEnds_Prot#'!$A:$AL,26,FALSE)</f>
        <v>188</v>
      </c>
      <c r="AL275" s="5">
        <f>VLOOKUP($A275,'NonXtal_SegEnds_Prot#'!$A:$AL,29,FALSE)</f>
        <v>235</v>
      </c>
      <c r="AM275" s="5">
        <f>VLOOKUP($A275,'NonXtal_SegEnds_Prot#'!$A:$AL,32,FALSE)</f>
        <v>274</v>
      </c>
      <c r="AN275" s="5">
        <f>VLOOKUP($A275,'NonXtal_SegEnds_Prot#'!$A:$AL,35,FALSE)</f>
        <v>307</v>
      </c>
      <c r="AO275" s="5">
        <f>VLOOKUP($A275,'NonXtal_SegEnds_Prot#'!$A:$AL,38,FALSE)</f>
        <v>320</v>
      </c>
      <c r="AP275" s="5">
        <f t="shared" si="113"/>
        <v>31</v>
      </c>
      <c r="AQ275" s="4">
        <f t="shared" si="114"/>
        <v>3</v>
      </c>
      <c r="AR275" s="4">
        <f t="shared" si="115"/>
        <v>29</v>
      </c>
      <c r="AS275" s="4">
        <f t="shared" si="116"/>
        <v>3</v>
      </c>
      <c r="AT275" s="4">
        <f t="shared" si="117"/>
        <v>35</v>
      </c>
      <c r="AU275" s="4">
        <f t="shared" si="118"/>
        <v>7</v>
      </c>
      <c r="AV275" s="4">
        <f t="shared" si="119"/>
        <v>25</v>
      </c>
      <c r="AW275" s="4">
        <f t="shared" si="120"/>
        <v>2</v>
      </c>
      <c r="AX275" s="4">
        <f t="shared" si="121"/>
        <v>41</v>
      </c>
      <c r="AY275" s="4">
        <f t="shared" si="122"/>
        <v>32</v>
      </c>
      <c r="AZ275" s="4">
        <f t="shared" si="123"/>
        <v>28</v>
      </c>
      <c r="BA275" s="4">
        <f t="shared" si="124"/>
        <v>12</v>
      </c>
    </row>
    <row r="276" spans="1:53" x14ac:dyDescent="0.2">
      <c r="A276" s="1" t="str">
        <f>'NonXtal_SegEnds_Prot#'!A265</f>
        <v>galr2_human</v>
      </c>
      <c r="B276" s="1" t="str">
        <f t="shared" si="100"/>
        <v>HPEAVIVPLLFALIFLVGTVGNTLVLAVLLRGSTTNLFILNLGVADLCFILCCVPFQATIYTGSLLCKAVHFLIFLTMHASSFTLAAVSLDRYLAIRYPRNALAAIGLIWGLSLLFSGPYLSYYSAPRRRAMDICTFVFSYLLPVLVLGLTYARTLRYLWRAVDPVSGARRAKRKVTRMILIVAALFCLCWMPHHALILCVWFGTRATYALRILSHLVSYANSCVNPIVYALVSKHFRKGFRTICA</v>
      </c>
      <c r="C276" s="72" t="str">
        <f>IF(ISERROR(MATCH(A276,'Xtal_SegEnds_Prot#'!B:B,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276" s="5" t="str">
        <f t="shared" si="101"/>
        <v>HPEAVIVPLLFALIFLVGTVGNTLVLAVLLRG</v>
      </c>
      <c r="G276" s="4" t="str">
        <f t="shared" si="102"/>
        <v>GQAV</v>
      </c>
      <c r="H276" s="4" t="str">
        <f t="shared" si="103"/>
        <v>STTNLFILNLGVADLCFILCCVPFQATIYT</v>
      </c>
      <c r="I276" s="4" t="str">
        <f t="shared" si="104"/>
        <v>GWVF</v>
      </c>
      <c r="J276" s="4" t="str">
        <f t="shared" si="105"/>
        <v>GSLLCKAVHFLIFLTMHASSFTLAAVSLDRYLAIRY</v>
      </c>
      <c r="K276" s="4" t="str">
        <f t="shared" si="106"/>
        <v>PLHSRELR</v>
      </c>
      <c r="L276" s="4" t="str">
        <f t="shared" si="107"/>
        <v>PRNALAAIGLIWGLSLLFSGPYLSYY</v>
      </c>
      <c r="M276" s="4" t="str">
        <f t="shared" si="108"/>
        <v>CHP</v>
      </c>
      <c r="N276" s="4" t="str">
        <f t="shared" si="109"/>
        <v>SAPRRRAMDICTFVFSYLLPVLVLGLTYARTLRYLWRAVDPV</v>
      </c>
      <c r="O276" s="4" t="str">
        <f t="shared" si="110"/>
        <v>SGARRAKRKVTRMILIVAALFCLCWMPHHALILCVWFG</v>
      </c>
      <c r="P276" s="4" t="str">
        <f t="shared" si="111"/>
        <v>TRATYALRILSHLVSYANSCVNPIVYALV</v>
      </c>
      <c r="Q276" s="4" t="str">
        <f t="shared" si="112"/>
        <v>SKHFRKGFRTICA</v>
      </c>
      <c r="R276" s="5">
        <f>VLOOKUP($A276,'NonXtal_SegEnds_Prot#'!$A:$AL,3,FALSE)</f>
        <v>22</v>
      </c>
      <c r="S276" s="5">
        <f>VLOOKUP($A276,'NonXtal_SegEnds_Prot#'!$A:$AL,6,FALSE)</f>
        <v>54</v>
      </c>
      <c r="T276" s="5">
        <f>VLOOKUP($A276,'NonXtal_SegEnds_Prot#'!$A:$AL,9,FALSE)</f>
        <v>58</v>
      </c>
      <c r="U276" s="5">
        <f>VLOOKUP($A276,'NonXtal_SegEnds_Prot#'!$A:$AL,12,FALSE)</f>
        <v>90</v>
      </c>
      <c r="V276" s="5">
        <f>VLOOKUP($A276,'NonXtal_SegEnds_Prot#'!$A:$AL,15,FALSE)</f>
        <v>94</v>
      </c>
      <c r="W276" s="5">
        <f>VLOOKUP($A276,'NonXtal_SegEnds_Prot#'!$A:$AL,18,FALSE)</f>
        <v>130</v>
      </c>
      <c r="X276" s="5">
        <f>VLOOKUP($A276,'NonXtal_SegEnds_Prot#'!$A:$AL,21,FALSE)</f>
        <v>139</v>
      </c>
      <c r="Y276" s="5">
        <f>VLOOKUP($A276,'NonXtal_SegEnds_Prot#'!$A:$AL,24,FALSE)</f>
        <v>175</v>
      </c>
      <c r="Z276" s="5">
        <f>VLOOKUP($A276,'NonXtal_SegEnds_Prot#'!$A:$AL,27,FALSE)</f>
        <v>180</v>
      </c>
      <c r="AA276" s="5">
        <f>VLOOKUP($A276,'NonXtal_SegEnds_Prot#'!$A:$AL,30,FALSE)</f>
        <v>225</v>
      </c>
      <c r="AB276" s="5">
        <f>VLOOKUP($A276,'NonXtal_SegEnds_Prot#'!$A:$AL,33,FALSE)</f>
        <v>267</v>
      </c>
      <c r="AC276" s="5">
        <f>VLOOKUP($A276,'NonXtal_SegEnds_Prot#'!$A:$AL,36,FALSE)</f>
        <v>296</v>
      </c>
      <c r="AD276" s="5">
        <f>VLOOKUP($A276,'NonXtal_SegEnds_Prot#'!$A:$AL,5,FALSE)</f>
        <v>53</v>
      </c>
      <c r="AE276" s="5">
        <f>VLOOKUP($A276,'NonXtal_SegEnds_Prot#'!$A:$AL,8,FALSE)</f>
        <v>57</v>
      </c>
      <c r="AF276" s="5">
        <f>VLOOKUP($A276,'NonXtal_SegEnds_Prot#'!$A:$AL,11,FALSE)</f>
        <v>87</v>
      </c>
      <c r="AG276" s="5">
        <f>VLOOKUP($A276,'NonXtal_SegEnds_Prot#'!$A:$AL,14,FALSE)</f>
        <v>93</v>
      </c>
      <c r="AH276" s="5">
        <f>VLOOKUP($A276,'NonXtal_SegEnds_Prot#'!$A:$AL,17,FALSE)</f>
        <v>129</v>
      </c>
      <c r="AI276" s="5">
        <f>VLOOKUP($A276,'NonXtal_SegEnds_Prot#'!$A:$AL,20,FALSE)</f>
        <v>137</v>
      </c>
      <c r="AJ276" s="5">
        <f>VLOOKUP($A276,'NonXtal_SegEnds_Prot#'!$A:$AL,23,FALSE)</f>
        <v>164</v>
      </c>
      <c r="AK276" s="5">
        <f>VLOOKUP($A276,'NonXtal_SegEnds_Prot#'!$A:$AL,26,FALSE)</f>
        <v>177</v>
      </c>
      <c r="AL276" s="5">
        <f>VLOOKUP($A276,'NonXtal_SegEnds_Prot#'!$A:$AL,29,FALSE)</f>
        <v>221</v>
      </c>
      <c r="AM276" s="5">
        <f>VLOOKUP($A276,'NonXtal_SegEnds_Prot#'!$A:$AL,32,FALSE)</f>
        <v>262</v>
      </c>
      <c r="AN276" s="5">
        <f>VLOOKUP($A276,'NonXtal_SegEnds_Prot#'!$A:$AL,35,FALSE)</f>
        <v>295</v>
      </c>
      <c r="AO276" s="5">
        <f>VLOOKUP($A276,'NonXtal_SegEnds_Prot#'!$A:$AL,38,FALSE)</f>
        <v>308</v>
      </c>
      <c r="AP276" s="5">
        <f t="shared" si="113"/>
        <v>31</v>
      </c>
      <c r="AQ276" s="4">
        <f t="shared" si="114"/>
        <v>3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>
        <f t="shared" si="118"/>
        <v>7</v>
      </c>
      <c r="AV276" s="4">
        <f t="shared" si="119"/>
        <v>25</v>
      </c>
      <c r="AW276" s="4">
        <f t="shared" si="120"/>
        <v>2</v>
      </c>
      <c r="AX276" s="4">
        <f t="shared" si="121"/>
        <v>41</v>
      </c>
      <c r="AY276" s="4">
        <f t="shared" si="122"/>
        <v>37</v>
      </c>
      <c r="AZ276" s="4">
        <f t="shared" si="123"/>
        <v>28</v>
      </c>
      <c r="BA276" s="4">
        <f t="shared" si="124"/>
        <v>12</v>
      </c>
    </row>
    <row r="277" spans="1:53" x14ac:dyDescent="0.2">
      <c r="A277" s="1" t="str">
        <f>'NonXtal_SegEnds_Prot#'!A266</f>
        <v>galr3_human</v>
      </c>
      <c r="B277" s="1" t="str">
        <f t="shared" si="100"/>
        <v>SVGAVAVPVVFALIFLLGTVGNGLVLAVLLQPQEPGSTTDLFILNLAVADLCFILCCVPFQATIYTGALVCKAVHLLIYLTMYASSFTLAAVSVDRYLAVRHPRNARAAVGLVWLLAALFSAPYLSYYEDARRRALDVATFAAGYLLPVAVVSLAYGRTLRFLWAAVGPAEARRRATGRAGRAMLAVAALYALCWGPHHALILCFWYGSPATYACRLASHCLAYANSCLNPLVYALASRHFRARFRRLWP</v>
      </c>
      <c r="C277" s="72" t="str">
        <f>IF(ISERROR(MATCH(A277,'Xtal_SegEnds_Prot#'!B:B,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277" s="5" t="str">
        <f t="shared" si="101"/>
        <v>SVGAVAVPVVFALIFLLGTVGNGLVLAVLLQP</v>
      </c>
      <c r="G277" s="4" t="str">
        <f t="shared" si="102"/>
        <v>PSAW</v>
      </c>
      <c r="H277" s="4" t="str">
        <f t="shared" si="103"/>
        <v>QEPGSTTDLFILNLAVADLCFILCCVPFQATIYT</v>
      </c>
      <c r="I277" s="4" t="str">
        <f t="shared" si="104"/>
        <v>AWLF</v>
      </c>
      <c r="J277" s="4" t="str">
        <f t="shared" si="105"/>
        <v>GALVCKAVHLLIYLTMYASSFTLAAVSVDRYLAVRH</v>
      </c>
      <c r="K277" s="4" t="str">
        <f t="shared" si="106"/>
        <v>PLRSRALR</v>
      </c>
      <c r="L277" s="4" t="str">
        <f t="shared" si="107"/>
        <v>PRNARAAVGLVWLLAALFSAPYLSYY</v>
      </c>
      <c r="M277" s="4" t="str">
        <f t="shared" si="108"/>
        <v>CVP</v>
      </c>
      <c r="N277" s="4" t="str">
        <f t="shared" si="109"/>
        <v>EDARRRALDVATFAAGYLLPVAVVSLAYGRTLRFLWAAVGPA</v>
      </c>
      <c r="O277" s="4" t="str">
        <f t="shared" si="110"/>
        <v>EARRRATGRAGRAMLAVAALYALCWGPHHALILCFWYG</v>
      </c>
      <c r="P277" s="4" t="str">
        <f t="shared" si="111"/>
        <v>SPATYACRLASHCLAYANSCLNPLVYALA</v>
      </c>
      <c r="Q277" s="4" t="str">
        <f t="shared" si="112"/>
        <v>SRHFRARFRRLWP</v>
      </c>
      <c r="R277" s="5">
        <f>VLOOKUP($A277,'NonXtal_SegEnds_Prot#'!$A:$AL,3,FALSE)</f>
        <v>14</v>
      </c>
      <c r="S277" s="5">
        <f>VLOOKUP($A277,'NonXtal_SegEnds_Prot#'!$A:$AL,6,FALSE)</f>
        <v>47</v>
      </c>
      <c r="T277" s="5">
        <f>VLOOKUP($A277,'NonXtal_SegEnds_Prot#'!$A:$AL,9,FALSE)</f>
        <v>51</v>
      </c>
      <c r="U277" s="5">
        <f>VLOOKUP($A277,'NonXtal_SegEnds_Prot#'!$A:$AL,12,FALSE)</f>
        <v>87</v>
      </c>
      <c r="V277" s="5">
        <f>VLOOKUP($A277,'NonXtal_SegEnds_Prot#'!$A:$AL,15,FALSE)</f>
        <v>91</v>
      </c>
      <c r="W277" s="5">
        <f>VLOOKUP($A277,'NonXtal_SegEnds_Prot#'!$A:$AL,18,FALSE)</f>
        <v>127</v>
      </c>
      <c r="X277" s="5">
        <f>VLOOKUP($A277,'NonXtal_SegEnds_Prot#'!$A:$AL,21,FALSE)</f>
        <v>136</v>
      </c>
      <c r="Y277" s="5">
        <f>VLOOKUP($A277,'NonXtal_SegEnds_Prot#'!$A:$AL,24,FALSE)</f>
        <v>172</v>
      </c>
      <c r="Z277" s="5">
        <f>VLOOKUP($A277,'NonXtal_SegEnds_Prot#'!$A:$AL,27,FALSE)</f>
        <v>177</v>
      </c>
      <c r="AA277" s="5">
        <f>VLOOKUP($A277,'NonXtal_SegEnds_Prot#'!$A:$AL,30,FALSE)</f>
        <v>224</v>
      </c>
      <c r="AB277" s="5">
        <f>VLOOKUP($A277,'NonXtal_SegEnds_Prot#'!$A:$AL,33,FALSE)</f>
        <v>266</v>
      </c>
      <c r="AC277" s="5">
        <f>VLOOKUP($A277,'NonXtal_SegEnds_Prot#'!$A:$AL,36,FALSE)</f>
        <v>295</v>
      </c>
      <c r="AD277" s="5">
        <f>VLOOKUP($A277,'NonXtal_SegEnds_Prot#'!$A:$AL,5,FALSE)</f>
        <v>45</v>
      </c>
      <c r="AE277" s="5">
        <f>VLOOKUP($A277,'NonXtal_SegEnds_Prot#'!$A:$AL,8,FALSE)</f>
        <v>50</v>
      </c>
      <c r="AF277" s="5">
        <f>VLOOKUP($A277,'NonXtal_SegEnds_Prot#'!$A:$AL,11,FALSE)</f>
        <v>84</v>
      </c>
      <c r="AG277" s="5">
        <f>VLOOKUP($A277,'NonXtal_SegEnds_Prot#'!$A:$AL,14,FALSE)</f>
        <v>90</v>
      </c>
      <c r="AH277" s="5">
        <f>VLOOKUP($A277,'NonXtal_SegEnds_Prot#'!$A:$AL,17,FALSE)</f>
        <v>126</v>
      </c>
      <c r="AI277" s="5">
        <f>VLOOKUP($A277,'NonXtal_SegEnds_Prot#'!$A:$AL,20,FALSE)</f>
        <v>134</v>
      </c>
      <c r="AJ277" s="5">
        <f>VLOOKUP($A277,'NonXtal_SegEnds_Prot#'!$A:$AL,23,FALSE)</f>
        <v>161</v>
      </c>
      <c r="AK277" s="5">
        <f>VLOOKUP($A277,'NonXtal_SegEnds_Prot#'!$A:$AL,26,FALSE)</f>
        <v>174</v>
      </c>
      <c r="AL277" s="5">
        <f>VLOOKUP($A277,'NonXtal_SegEnds_Prot#'!$A:$AL,29,FALSE)</f>
        <v>218</v>
      </c>
      <c r="AM277" s="5">
        <f>VLOOKUP($A277,'NonXtal_SegEnds_Prot#'!$A:$AL,32,FALSE)</f>
        <v>261</v>
      </c>
      <c r="AN277" s="5">
        <f>VLOOKUP($A277,'NonXtal_SegEnds_Prot#'!$A:$AL,35,FALSE)</f>
        <v>294</v>
      </c>
      <c r="AO277" s="5">
        <f>VLOOKUP($A277,'NonXtal_SegEnds_Prot#'!$A:$AL,38,FALSE)</f>
        <v>307</v>
      </c>
      <c r="AP277" s="5">
        <f t="shared" si="113"/>
        <v>31</v>
      </c>
      <c r="AQ277" s="4">
        <f t="shared" si="114"/>
        <v>3</v>
      </c>
      <c r="AR277" s="4">
        <f t="shared" si="115"/>
        <v>33</v>
      </c>
      <c r="AS277" s="4">
        <f t="shared" si="116"/>
        <v>3</v>
      </c>
      <c r="AT277" s="4">
        <f t="shared" si="117"/>
        <v>35</v>
      </c>
      <c r="AU277" s="4">
        <f t="shared" si="118"/>
        <v>7</v>
      </c>
      <c r="AV277" s="4">
        <f t="shared" si="119"/>
        <v>25</v>
      </c>
      <c r="AW277" s="4">
        <f t="shared" si="120"/>
        <v>2</v>
      </c>
      <c r="AX277" s="4">
        <f t="shared" si="121"/>
        <v>41</v>
      </c>
      <c r="AY277" s="4">
        <f t="shared" si="122"/>
        <v>37</v>
      </c>
      <c r="AZ277" s="4">
        <f t="shared" si="123"/>
        <v>28</v>
      </c>
      <c r="BA277" s="4">
        <f t="shared" si="124"/>
        <v>12</v>
      </c>
    </row>
    <row r="278" spans="1:53" x14ac:dyDescent="0.2">
      <c r="A278" s="1" t="str">
        <f>'NonXtal_SegEnds_Prot#'!A267</f>
        <v>gp142_human</v>
      </c>
      <c r="B278" s="1" t="str">
        <f t="shared" si="100"/>
        <v>CVAGVIPVIYYSVLLGLGLPVSLLTAVALARLRPSYYYLLALTASDIIIQVVIVFAGFLLQGARQVPQAVVRTANILEFAANHASVWIAILLTVDRYTALCHSPGRTRRAIAAVLSAALLTGIPFYWWPRTLDEVLKWAHCLTVYFIPCGVFLVTNSAIIHRLRRLQPRVGKSTAILLGITTLFTLLWAPRVFVMLYHMYVDWRVHLALDVANMVAMLHTAANFGLYCFVSKTFRATVRQVIH</v>
      </c>
      <c r="C278" s="72" t="str">
        <f>IF(ISERROR(MATCH(A278,'Xtal_SegEnds_Prot#'!B:B,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278" s="5" t="str">
        <f t="shared" si="101"/>
        <v>CVAGVIPVIYYSVLLGLGLPVSLLTAVALARL</v>
      </c>
      <c r="G278" s="4" t="str">
        <f t="shared" si="102"/>
        <v/>
      </c>
      <c r="H278" s="4" t="str">
        <f t="shared" si="103"/>
        <v>RPSYYYLLALTASDIIIQVVIVFAGFLLQGA</v>
      </c>
      <c r="I278" s="4" t="str">
        <f t="shared" si="104"/>
        <v/>
      </c>
      <c r="J278" s="4" t="str">
        <f t="shared" si="105"/>
        <v>RQVPQAVVRTANILEFAANHASVWIAILLTVDRYTALCH</v>
      </c>
      <c r="K278" s="4" t="str">
        <f t="shared" si="106"/>
        <v>PLHHRAAS</v>
      </c>
      <c r="L278" s="4" t="str">
        <f t="shared" si="107"/>
        <v>SPGRTRRAIAAVLSAALLTGIPFYWW</v>
      </c>
      <c r="M278" s="4" t="str">
        <f t="shared" si="108"/>
        <v/>
      </c>
      <c r="N278" s="4" t="str">
        <f t="shared" si="109"/>
        <v>PRTLDEVLKWAHCLTVYFIPCGVFLVTNSAIIHRLRR</v>
      </c>
      <c r="O278" s="4" t="str">
        <f t="shared" si="110"/>
        <v>LQPRVGKSTAILLGITTLFTLLWAPRVFVMLYHMYV</v>
      </c>
      <c r="P278" s="4" t="str">
        <f t="shared" si="111"/>
        <v>DWRVHLALDVANMVAMLHTAANFGLYCFV</v>
      </c>
      <c r="Q278" s="4" t="str">
        <f t="shared" si="112"/>
        <v>SKTFRATVRQVIH</v>
      </c>
      <c r="R278" s="5">
        <f>VLOOKUP($A278,'NonXtal_SegEnds_Prot#'!$A:$AL,3,FALSE)</f>
        <v>153</v>
      </c>
      <c r="S278" s="5" t="str">
        <f>VLOOKUP($A278,'NonXtal_SegEnds_Prot#'!$A:$AL,6,FALSE)</f>
        <v>-</v>
      </c>
      <c r="T278" s="5">
        <f>VLOOKUP($A278,'NonXtal_SegEnds_Prot#'!$A:$AL,9,FALSE)</f>
        <v>190</v>
      </c>
      <c r="U278" s="5" t="str">
        <f>VLOOKUP($A278,'NonXtal_SegEnds_Prot#'!$A:$AL,12,FALSE)</f>
        <v>-</v>
      </c>
      <c r="V278" s="5">
        <f>VLOOKUP($A278,'NonXtal_SegEnds_Prot#'!$A:$AL,15,FALSE)</f>
        <v>224</v>
      </c>
      <c r="W278" s="5">
        <f>VLOOKUP($A278,'NonXtal_SegEnds_Prot#'!$A:$AL,18,FALSE)</f>
        <v>263</v>
      </c>
      <c r="X278" s="5">
        <f>VLOOKUP($A278,'NonXtal_SegEnds_Prot#'!$A:$AL,21,FALSE)</f>
        <v>271</v>
      </c>
      <c r="Y278" s="5" t="str">
        <f>VLOOKUP($A278,'NonXtal_SegEnds_Prot#'!$A:$AL,24,FALSE)</f>
        <v>-</v>
      </c>
      <c r="Z278" s="5">
        <f>VLOOKUP($A278,'NonXtal_SegEnds_Prot#'!$A:$AL,27,FALSE)</f>
        <v>306</v>
      </c>
      <c r="AA278" s="5">
        <f>VLOOKUP($A278,'NonXtal_SegEnds_Prot#'!$A:$AL,30,FALSE)</f>
        <v>348</v>
      </c>
      <c r="AB278" s="5">
        <f>VLOOKUP($A278,'NonXtal_SegEnds_Prot#'!$A:$AL,33,FALSE)</f>
        <v>389</v>
      </c>
      <c r="AC278" s="5">
        <f>VLOOKUP($A278,'NonXtal_SegEnds_Prot#'!$A:$AL,36,FALSE)</f>
        <v>418</v>
      </c>
      <c r="AD278" s="5">
        <f>VLOOKUP($A278,'NonXtal_SegEnds_Prot#'!$A:$AL,5,FALSE)</f>
        <v>184</v>
      </c>
      <c r="AE278" s="5" t="str">
        <f>VLOOKUP($A278,'NonXtal_SegEnds_Prot#'!$A:$AL,8,FALSE)</f>
        <v>-</v>
      </c>
      <c r="AF278" s="5">
        <f>VLOOKUP($A278,'NonXtal_SegEnds_Prot#'!$A:$AL,11,FALSE)</f>
        <v>220</v>
      </c>
      <c r="AG278" s="5" t="str">
        <f>VLOOKUP($A278,'NonXtal_SegEnds_Prot#'!$A:$AL,14,FALSE)</f>
        <v>-</v>
      </c>
      <c r="AH278" s="5">
        <f>VLOOKUP($A278,'NonXtal_SegEnds_Prot#'!$A:$AL,17,FALSE)</f>
        <v>262</v>
      </c>
      <c r="AI278" s="5">
        <f>VLOOKUP($A278,'NonXtal_SegEnds_Prot#'!$A:$AL,20,FALSE)</f>
        <v>270</v>
      </c>
      <c r="AJ278" s="5">
        <f>VLOOKUP($A278,'NonXtal_SegEnds_Prot#'!$A:$AL,23,FALSE)</f>
        <v>296</v>
      </c>
      <c r="AK278" s="5" t="str">
        <f>VLOOKUP($A278,'NonXtal_SegEnds_Prot#'!$A:$AL,26,FALSE)</f>
        <v>-</v>
      </c>
      <c r="AL278" s="5">
        <f>VLOOKUP($A278,'NonXtal_SegEnds_Prot#'!$A:$AL,29,FALSE)</f>
        <v>342</v>
      </c>
      <c r="AM278" s="5">
        <f>VLOOKUP($A278,'NonXtal_SegEnds_Prot#'!$A:$AL,32,FALSE)</f>
        <v>383</v>
      </c>
      <c r="AN278" s="5">
        <f>VLOOKUP($A278,'NonXtal_SegEnds_Prot#'!$A:$AL,35,FALSE)</f>
        <v>417</v>
      </c>
      <c r="AO278" s="5">
        <f>VLOOKUP($A278,'NonXtal_SegEnds_Prot#'!$A:$AL,38,FALSE)</f>
        <v>430</v>
      </c>
      <c r="AP278" s="5">
        <f t="shared" si="113"/>
        <v>31</v>
      </c>
      <c r="AQ278" s="4" t="str">
        <f t="shared" si="114"/>
        <v>-</v>
      </c>
      <c r="AR278" s="4">
        <f t="shared" si="115"/>
        <v>30</v>
      </c>
      <c r="AS278" s="4" t="str">
        <f t="shared" si="116"/>
        <v>-</v>
      </c>
      <c r="AT278" s="4">
        <f t="shared" si="117"/>
        <v>38</v>
      </c>
      <c r="AU278" s="4">
        <f t="shared" si="118"/>
        <v>7</v>
      </c>
      <c r="AV278" s="4">
        <f t="shared" si="119"/>
        <v>25</v>
      </c>
      <c r="AW278" s="4" t="str">
        <f t="shared" si="120"/>
        <v>-</v>
      </c>
      <c r="AX278" s="4">
        <f t="shared" si="121"/>
        <v>36</v>
      </c>
      <c r="AY278" s="4">
        <f t="shared" si="122"/>
        <v>35</v>
      </c>
      <c r="AZ278" s="4">
        <f t="shared" si="123"/>
        <v>28</v>
      </c>
      <c r="BA278" s="4">
        <f t="shared" si="124"/>
        <v>12</v>
      </c>
    </row>
    <row r="279" spans="1:53" x14ac:dyDescent="0.2">
      <c r="A279" s="1" t="str">
        <f>'NonXtal_SegEnds_Prot#'!A268</f>
        <v>mchr1_human</v>
      </c>
      <c r="B279" s="1" t="str">
        <f t="shared" si="100"/>
        <v>SYINIIMPSVFGTICLLGIIGNSTVIFAVVKKWCNNVPDIFIINLSVVDLLFLLGMPFMIHQLMGGETMCTLITAMDANSQFTSTYILTAMAIDRYLATVHPSVATLVICLLWALSFISITPVWLYAPDTDLYWFTLYQFFLAFALPFVVITAAYVRILQRMTSSQRSIRLRTKRVTRTAIAICLVFFVCWAPYYVLQLTQLSIFVYLYNAAISLGYANSCLNPFVYIVLCETFRKRLVLSVK</v>
      </c>
      <c r="C279" s="72" t="str">
        <f>IF(ISERROR(MATCH(A279,'Xtal_SegEnds_Prot#'!B:B,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79" s="5" t="str">
        <f t="shared" si="101"/>
        <v>SYINIIMPSVFGTICLLGIIGNSTVIFAVVKK</v>
      </c>
      <c r="G279" s="4" t="str">
        <f t="shared" si="102"/>
        <v>SKLH</v>
      </c>
      <c r="H279" s="4" t="str">
        <f t="shared" si="103"/>
        <v>WCNNVPDIFIINLSVVDLLFLLGMPFMIHQLMG</v>
      </c>
      <c r="I279" s="4" t="str">
        <f t="shared" si="104"/>
        <v>VWHF</v>
      </c>
      <c r="J279" s="4" t="str">
        <f t="shared" si="105"/>
        <v>GETMCTLITAMDANSQFTSTYILTAMAIDRYLATVH</v>
      </c>
      <c r="K279" s="4" t="str">
        <f t="shared" si="106"/>
        <v>PISSTKFR</v>
      </c>
      <c r="L279" s="4" t="str">
        <f t="shared" si="107"/>
        <v>PSVATLVICLLWALSFISITPVWLYA</v>
      </c>
      <c r="M279" s="4" t="str">
        <f t="shared" si="108"/>
        <v>CGI</v>
      </c>
      <c r="N279" s="4" t="str">
        <f t="shared" si="109"/>
        <v>PDTDLYWFTLYQFFLAFALPFVVITAAYVRILQRMTSS</v>
      </c>
      <c r="O279" s="4" t="str">
        <f t="shared" si="110"/>
        <v>QRSIRLRTKRVTRTAIAICLVFFVCWAPYYVLQLTQLSI</v>
      </c>
      <c r="P279" s="4" t="str">
        <f t="shared" si="111"/>
        <v>FVYLYNAAISLGYANSCLNPFVYIVL</v>
      </c>
      <c r="Q279" s="4" t="str">
        <f t="shared" si="112"/>
        <v>CETFRKRLVLSVK</v>
      </c>
      <c r="R279" s="5">
        <f>VLOOKUP($A279,'NonXtal_SegEnds_Prot#'!$A:$AL,3,FALSE)</f>
        <v>106</v>
      </c>
      <c r="S279" s="5">
        <f>VLOOKUP($A279,'NonXtal_SegEnds_Prot#'!$A:$AL,6,FALSE)</f>
        <v>138</v>
      </c>
      <c r="T279" s="5">
        <f>VLOOKUP($A279,'NonXtal_SegEnds_Prot#'!$A:$AL,9,FALSE)</f>
        <v>142</v>
      </c>
      <c r="U279" s="5">
        <f>VLOOKUP($A279,'NonXtal_SegEnds_Prot#'!$A:$AL,12,FALSE)</f>
        <v>177</v>
      </c>
      <c r="V279" s="5">
        <f>VLOOKUP($A279,'NonXtal_SegEnds_Prot#'!$A:$AL,15,FALSE)</f>
        <v>181</v>
      </c>
      <c r="W279" s="5">
        <f>VLOOKUP($A279,'NonXtal_SegEnds_Prot#'!$A:$AL,18,FALSE)</f>
        <v>217</v>
      </c>
      <c r="X279" s="5">
        <f>VLOOKUP($A279,'NonXtal_SegEnds_Prot#'!$A:$AL,21,FALSE)</f>
        <v>226</v>
      </c>
      <c r="Y279" s="5">
        <f>VLOOKUP($A279,'NonXtal_SegEnds_Prot#'!$A:$AL,24,FALSE)</f>
        <v>263</v>
      </c>
      <c r="Z279" s="5">
        <f>VLOOKUP($A279,'NonXtal_SegEnds_Prot#'!$A:$AL,27,FALSE)</f>
        <v>270</v>
      </c>
      <c r="AA279" s="5">
        <f>VLOOKUP($A279,'NonXtal_SegEnds_Prot#'!$A:$AL,30,FALSE)</f>
        <v>313</v>
      </c>
      <c r="AB279" s="5">
        <f>VLOOKUP($A279,'NonXtal_SegEnds_Prot#'!$A:$AL,33,FALSE)</f>
        <v>358</v>
      </c>
      <c r="AC279" s="5">
        <f>VLOOKUP($A279,'NonXtal_SegEnds_Prot#'!$A:$AL,36,FALSE)</f>
        <v>384</v>
      </c>
      <c r="AD279" s="5">
        <f>VLOOKUP($A279,'NonXtal_SegEnds_Prot#'!$A:$AL,5,FALSE)</f>
        <v>137</v>
      </c>
      <c r="AE279" s="5">
        <f>VLOOKUP($A279,'NonXtal_SegEnds_Prot#'!$A:$AL,8,FALSE)</f>
        <v>141</v>
      </c>
      <c r="AF279" s="5">
        <f>VLOOKUP($A279,'NonXtal_SegEnds_Prot#'!$A:$AL,11,FALSE)</f>
        <v>174</v>
      </c>
      <c r="AG279" s="5">
        <f>VLOOKUP($A279,'NonXtal_SegEnds_Prot#'!$A:$AL,14,FALSE)</f>
        <v>180</v>
      </c>
      <c r="AH279" s="5">
        <f>VLOOKUP($A279,'NonXtal_SegEnds_Prot#'!$A:$AL,17,FALSE)</f>
        <v>216</v>
      </c>
      <c r="AI279" s="5">
        <f>VLOOKUP($A279,'NonXtal_SegEnds_Prot#'!$A:$AL,20,FALSE)</f>
        <v>224</v>
      </c>
      <c r="AJ279" s="5">
        <f>VLOOKUP($A279,'NonXtal_SegEnds_Prot#'!$A:$AL,23,FALSE)</f>
        <v>251</v>
      </c>
      <c r="AK279" s="5">
        <f>VLOOKUP($A279,'NonXtal_SegEnds_Prot#'!$A:$AL,26,FALSE)</f>
        <v>265</v>
      </c>
      <c r="AL279" s="5">
        <f>VLOOKUP($A279,'NonXtal_SegEnds_Prot#'!$A:$AL,29,FALSE)</f>
        <v>307</v>
      </c>
      <c r="AM279" s="5">
        <f>VLOOKUP($A279,'NonXtal_SegEnds_Prot#'!$A:$AL,32,FALSE)</f>
        <v>351</v>
      </c>
      <c r="AN279" s="5">
        <f>VLOOKUP($A279,'NonXtal_SegEnds_Prot#'!$A:$AL,35,FALSE)</f>
        <v>383</v>
      </c>
      <c r="AO279" s="5">
        <f>VLOOKUP($A279,'NonXtal_SegEnds_Prot#'!$A:$AL,38,FALSE)</f>
        <v>396</v>
      </c>
      <c r="AP279" s="5">
        <f t="shared" si="113"/>
        <v>31</v>
      </c>
      <c r="AQ279" s="4">
        <f t="shared" si="114"/>
        <v>3</v>
      </c>
      <c r="AR279" s="4">
        <f t="shared" si="115"/>
        <v>32</v>
      </c>
      <c r="AS279" s="4">
        <f t="shared" si="116"/>
        <v>3</v>
      </c>
      <c r="AT279" s="4">
        <f t="shared" si="117"/>
        <v>35</v>
      </c>
      <c r="AU279" s="4">
        <f t="shared" si="118"/>
        <v>7</v>
      </c>
      <c r="AV279" s="4">
        <f t="shared" si="119"/>
        <v>25</v>
      </c>
      <c r="AW279" s="4">
        <f t="shared" si="120"/>
        <v>2</v>
      </c>
      <c r="AX279" s="4">
        <f t="shared" si="121"/>
        <v>37</v>
      </c>
      <c r="AY279" s="4">
        <f t="shared" si="122"/>
        <v>38</v>
      </c>
      <c r="AZ279" s="4">
        <f t="shared" si="123"/>
        <v>25</v>
      </c>
      <c r="BA279" s="4">
        <f t="shared" si="124"/>
        <v>12</v>
      </c>
    </row>
    <row r="280" spans="1:53" x14ac:dyDescent="0.2">
      <c r="A280" s="1" t="str">
        <f>'NonXtal_SegEnds_Prot#'!A269</f>
        <v>oprx_human</v>
      </c>
      <c r="B280" s="1" t="str">
        <f t="shared" si="100"/>
        <v>LGLKVTIVGLYLAVCVGGLLGNCLVMYVILRHTATNIYIFNLALADTLVLLTLPFQGTDILLGNALCKTVIAIDYYNMFTSTFTLTAMSVDRYVAICHSSKAQAVNVAIWALASVVGVPVAIMGQDYWGPVFAICIFLFSFIVPVLVISVCYSLMIRRLRGVSREKDRNLRRITRLVLVVVAVFVGCWTPVQVFVLAQGLGSETAVAILRFCTALGYVNSCLNPILYAFLDENFKACFRKFCC</v>
      </c>
      <c r="C280" s="72" t="str">
        <f>IF(ISERROR(MATCH(A280,'Xtal_SegEnds_Prot#'!B:B, 0)), "NoXtal", "Xtal")</f>
        <v>Xtal</v>
      </c>
      <c r="D280" s="4" t="str">
        <f>VLOOKUP(A280,Classification!A:D,2,FALSE)</f>
        <v>A</v>
      </c>
      <c r="E280" s="5" t="str">
        <f>VLOOKUP(A280,Seqs!A:B,2,FALSE)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80" s="5" t="str">
        <f t="shared" si="101"/>
        <v>LGLKVTIVGLYLAVCVGGLLGNCLVMYVILRH</v>
      </c>
      <c r="G280" s="4" t="str">
        <f t="shared" si="102"/>
        <v>TKMK</v>
      </c>
      <c r="H280" s="4" t="str">
        <f t="shared" si="103"/>
        <v>TATNIYIFNLALADTLVLLTLPFQGTDILL</v>
      </c>
      <c r="I280" s="4" t="str">
        <f t="shared" si="104"/>
        <v>FWPF</v>
      </c>
      <c r="J280" s="4" t="str">
        <f t="shared" si="105"/>
        <v>GNALCKTVIAIDYYNMFTSTFTLTAMSVDRYVAICH</v>
      </c>
      <c r="K280" s="4" t="str">
        <f t="shared" si="106"/>
        <v>PIRALDVR</v>
      </c>
      <c r="L280" s="4" t="str">
        <f t="shared" si="107"/>
        <v>SSKAQAVNVAIWALASVVGVPVAIMG</v>
      </c>
      <c r="M280" s="4" t="str">
        <f t="shared" si="108"/>
        <v>CLV</v>
      </c>
      <c r="N280" s="4" t="str">
        <f t="shared" si="109"/>
        <v>QDYWGPVFAICIFLFSFIVPVLVISVCYSLMIRRLRGV</v>
      </c>
      <c r="O280" s="4" t="str">
        <f t="shared" si="110"/>
        <v>SREKDRNLRRITRLVLVVVAVFVGCWTPVQVFVLAQGLG</v>
      </c>
      <c r="P280" s="4" t="str">
        <f t="shared" si="111"/>
        <v>SETAVAILRFCTALGYVNSCLNPILYAFL</v>
      </c>
      <c r="Q280" s="4" t="str">
        <f t="shared" si="112"/>
        <v>DENFKACFRKFCC</v>
      </c>
      <c r="R280" s="5">
        <f>VLOOKUP($A280,'NonXtal_SegEnds_Prot#'!$A:$AL,3,FALSE)</f>
        <v>48</v>
      </c>
      <c r="S280" s="5">
        <f>VLOOKUP($A280,'NonXtal_SegEnds_Prot#'!$A:$AL,6,FALSE)</f>
        <v>80</v>
      </c>
      <c r="T280" s="5">
        <f>VLOOKUP($A280,'NonXtal_SegEnds_Prot#'!$A:$AL,9,FALSE)</f>
        <v>84</v>
      </c>
      <c r="U280" s="5">
        <f>VLOOKUP($A280,'NonXtal_SegEnds_Prot#'!$A:$AL,12,FALSE)</f>
        <v>115</v>
      </c>
      <c r="V280" s="5">
        <f>VLOOKUP($A280,'NonXtal_SegEnds_Prot#'!$A:$AL,15,FALSE)</f>
        <v>119</v>
      </c>
      <c r="W280" s="5">
        <f>VLOOKUP($A280,'NonXtal_SegEnds_Prot#'!$A:$AL,18,FALSE)</f>
        <v>155</v>
      </c>
      <c r="X280" s="5">
        <f>VLOOKUP($A280,'NonXtal_SegEnds_Prot#'!$A:$AL,21,FALSE)</f>
        <v>164</v>
      </c>
      <c r="Y280" s="5">
        <f>VLOOKUP($A280,'NonXtal_SegEnds_Prot#'!$A:$AL,24,FALSE)</f>
        <v>200</v>
      </c>
      <c r="Z280" s="5">
        <f>VLOOKUP($A280,'NonXtal_SegEnds_Prot#'!$A:$AL,27,FALSE)</f>
        <v>208</v>
      </c>
      <c r="AA280" s="5">
        <f>VLOOKUP($A280,'NonXtal_SegEnds_Prot#'!$A:$AL,30,FALSE)</f>
        <v>251</v>
      </c>
      <c r="AB280" s="5">
        <f>VLOOKUP($A280,'NonXtal_SegEnds_Prot#'!$A:$AL,33,FALSE)</f>
        <v>294</v>
      </c>
      <c r="AC280" s="5">
        <f>VLOOKUP($A280,'NonXtal_SegEnds_Prot#'!$A:$AL,36,FALSE)</f>
        <v>323</v>
      </c>
      <c r="AD280" s="5">
        <f>VLOOKUP($A280,'NonXtal_SegEnds_Prot#'!$A:$AL,5,FALSE)</f>
        <v>79</v>
      </c>
      <c r="AE280" s="5">
        <f>VLOOKUP($A280,'NonXtal_SegEnds_Prot#'!$A:$AL,8,FALSE)</f>
        <v>83</v>
      </c>
      <c r="AF280" s="5">
        <f>VLOOKUP($A280,'NonXtal_SegEnds_Prot#'!$A:$AL,11,FALSE)</f>
        <v>113</v>
      </c>
      <c r="AG280" s="5">
        <f>VLOOKUP($A280,'NonXtal_SegEnds_Prot#'!$A:$AL,14,FALSE)</f>
        <v>118</v>
      </c>
      <c r="AH280" s="5">
        <f>VLOOKUP($A280,'NonXtal_SegEnds_Prot#'!$A:$AL,17,FALSE)</f>
        <v>154</v>
      </c>
      <c r="AI280" s="5">
        <f>VLOOKUP($A280,'NonXtal_SegEnds_Prot#'!$A:$AL,20,FALSE)</f>
        <v>162</v>
      </c>
      <c r="AJ280" s="5">
        <f>VLOOKUP($A280,'NonXtal_SegEnds_Prot#'!$A:$AL,23,FALSE)</f>
        <v>189</v>
      </c>
      <c r="AK280" s="5">
        <f>VLOOKUP($A280,'NonXtal_SegEnds_Prot#'!$A:$AL,26,FALSE)</f>
        <v>202</v>
      </c>
      <c r="AL280" s="5">
        <f>VLOOKUP($A280,'NonXtal_SegEnds_Prot#'!$A:$AL,29,FALSE)</f>
        <v>245</v>
      </c>
      <c r="AM280" s="5">
        <f>VLOOKUP($A280,'NonXtal_SegEnds_Prot#'!$A:$AL,32,FALSE)</f>
        <v>289</v>
      </c>
      <c r="AN280" s="5">
        <f>VLOOKUP($A280,'NonXtal_SegEnds_Prot#'!$A:$AL,35,FALSE)</f>
        <v>322</v>
      </c>
      <c r="AO280" s="5">
        <f>VLOOKUP($A280,'NonXtal_SegEnds_Prot#'!$A:$AL,38,FALSE)</f>
        <v>335</v>
      </c>
      <c r="AP280" s="5">
        <f t="shared" si="113"/>
        <v>31</v>
      </c>
      <c r="AQ280" s="4">
        <f t="shared" si="114"/>
        <v>3</v>
      </c>
      <c r="AR280" s="4">
        <f t="shared" si="115"/>
        <v>29</v>
      </c>
      <c r="AS280" s="4">
        <f t="shared" si="116"/>
        <v>3</v>
      </c>
      <c r="AT280" s="4">
        <f t="shared" si="117"/>
        <v>35</v>
      </c>
      <c r="AU280" s="4">
        <f t="shared" si="118"/>
        <v>7</v>
      </c>
      <c r="AV280" s="4">
        <f t="shared" si="119"/>
        <v>25</v>
      </c>
      <c r="AW280" s="4">
        <f t="shared" si="120"/>
        <v>2</v>
      </c>
      <c r="AX280" s="4">
        <f t="shared" si="121"/>
        <v>37</v>
      </c>
      <c r="AY280" s="4">
        <f t="shared" si="122"/>
        <v>38</v>
      </c>
      <c r="AZ280" s="4">
        <f t="shared" si="123"/>
        <v>28</v>
      </c>
      <c r="BA280" s="4">
        <f t="shared" si="124"/>
        <v>12</v>
      </c>
    </row>
    <row r="281" spans="1:53" x14ac:dyDescent="0.2">
      <c r="A281" s="1" t="str">
        <f>'NonXtal_SegEnds_Prot#'!A270</f>
        <v>ur2r_human</v>
      </c>
      <c r="B281" s="1" t="str">
        <f t="shared" si="100"/>
        <v>LVATGTIGTLLSAMGVVGVVGNAYTLVVTCRSASMYVYVVNLALADLLYLLSIPFIVATYVTGDVGCRVLFGLDFLTMHASIFTLTVMSSERYAAVLRKGYRKLLALGTWLLALLLTLPVMLAMGPRAHRAYLTLLFATSIAGPGLLIGLLYARLARAYRRSQRASPGARALRLVLGIVLLFWACFLPFWLWQLLAQYHPRTARIVNYLTTCLTYGNSCANPFLYTLLTRNYRDHLRGRVR</v>
      </c>
      <c r="C281" s="72" t="str">
        <f>IF(ISERROR(MATCH(A281,'Xtal_SegEnds_Prot#'!B:B,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281" s="5" t="str">
        <f t="shared" si="101"/>
        <v>LVATGTIGTLLSAMGVVGVVGNAYTLVVTCRS</v>
      </c>
      <c r="G281" s="4" t="str">
        <f t="shared" si="102"/>
        <v>LRAV</v>
      </c>
      <c r="H281" s="4" t="str">
        <f t="shared" si="103"/>
        <v>ASMYVYVVNLALADLLYLLSIPFIVATYVT</v>
      </c>
      <c r="I281" s="4" t="str">
        <f t="shared" si="104"/>
        <v>EWHF</v>
      </c>
      <c r="J281" s="4" t="str">
        <f t="shared" si="105"/>
        <v>GDVGCRVLFGLDFLTMHASIFTLTVMSSERYAAVLR</v>
      </c>
      <c r="K281" s="4" t="str">
        <f t="shared" si="106"/>
        <v>PLDTVQRP</v>
      </c>
      <c r="L281" s="4" t="str">
        <f t="shared" si="107"/>
        <v>KGYRKLLALGTWLLALLLTLPVMLAM</v>
      </c>
      <c r="M281" s="4" t="str">
        <f t="shared" si="108"/>
        <v>CLP</v>
      </c>
      <c r="N281" s="4" t="str">
        <f t="shared" si="109"/>
        <v>GPRAHRAYLTLLFATSIAGPGLLIGLLYARLARAYRRSQRAS</v>
      </c>
      <c r="O281" s="4" t="str">
        <f t="shared" si="110"/>
        <v>PGARALRLVLGIVLLFWACFLPFWLWQLLAQYH</v>
      </c>
      <c r="P281" s="4" t="str">
        <f t="shared" si="111"/>
        <v>PRTARIVNYLTTCLTYGNSCANPFLYTLL</v>
      </c>
      <c r="Q281" s="4" t="str">
        <f t="shared" si="112"/>
        <v>TRNYRDHLRGRVR</v>
      </c>
      <c r="R281" s="5">
        <f>VLOOKUP($A281,'NonXtal_SegEnds_Prot#'!$A:$AL,3,FALSE)</f>
        <v>48</v>
      </c>
      <c r="S281" s="5">
        <f>VLOOKUP($A281,'NonXtal_SegEnds_Prot#'!$A:$AL,6,FALSE)</f>
        <v>80</v>
      </c>
      <c r="T281" s="5">
        <f>VLOOKUP($A281,'NonXtal_SegEnds_Prot#'!$A:$AL,9,FALSE)</f>
        <v>84</v>
      </c>
      <c r="U281" s="5">
        <f>VLOOKUP($A281,'NonXtal_SegEnds_Prot#'!$A:$AL,12,FALSE)</f>
        <v>115</v>
      </c>
      <c r="V281" s="5">
        <f>VLOOKUP($A281,'NonXtal_SegEnds_Prot#'!$A:$AL,15,FALSE)</f>
        <v>119</v>
      </c>
      <c r="W281" s="5">
        <f>VLOOKUP($A281,'NonXtal_SegEnds_Prot#'!$A:$AL,18,FALSE)</f>
        <v>155</v>
      </c>
      <c r="X281" s="5">
        <f>VLOOKUP($A281,'NonXtal_SegEnds_Prot#'!$A:$AL,21,FALSE)</f>
        <v>163</v>
      </c>
      <c r="Y281" s="5">
        <f>VLOOKUP($A281,'NonXtal_SegEnds_Prot#'!$A:$AL,24,FALSE)</f>
        <v>199</v>
      </c>
      <c r="Z281" s="5">
        <f>VLOOKUP($A281,'NonXtal_SegEnds_Prot#'!$A:$AL,27,FALSE)</f>
        <v>204</v>
      </c>
      <c r="AA281" s="5">
        <f>VLOOKUP($A281,'NonXtal_SegEnds_Prot#'!$A:$AL,30,FALSE)</f>
        <v>252</v>
      </c>
      <c r="AB281" s="5">
        <f>VLOOKUP($A281,'NonXtal_SegEnds_Prot#'!$A:$AL,33,FALSE)</f>
        <v>290</v>
      </c>
      <c r="AC281" s="5">
        <f>VLOOKUP($A281,'NonXtal_SegEnds_Prot#'!$A:$AL,36,FALSE)</f>
        <v>319</v>
      </c>
      <c r="AD281" s="5">
        <f>VLOOKUP($A281,'NonXtal_SegEnds_Prot#'!$A:$AL,5,FALSE)</f>
        <v>79</v>
      </c>
      <c r="AE281" s="5">
        <f>VLOOKUP($A281,'NonXtal_SegEnds_Prot#'!$A:$AL,8,FALSE)</f>
        <v>83</v>
      </c>
      <c r="AF281" s="5">
        <f>VLOOKUP($A281,'NonXtal_SegEnds_Prot#'!$A:$AL,11,FALSE)</f>
        <v>113</v>
      </c>
      <c r="AG281" s="5">
        <f>VLOOKUP($A281,'NonXtal_SegEnds_Prot#'!$A:$AL,14,FALSE)</f>
        <v>118</v>
      </c>
      <c r="AH281" s="5">
        <f>VLOOKUP($A281,'NonXtal_SegEnds_Prot#'!$A:$AL,17,FALSE)</f>
        <v>154</v>
      </c>
      <c r="AI281" s="5">
        <f>VLOOKUP($A281,'NonXtal_SegEnds_Prot#'!$A:$AL,20,FALSE)</f>
        <v>162</v>
      </c>
      <c r="AJ281" s="5">
        <f>VLOOKUP($A281,'NonXtal_SegEnds_Prot#'!$A:$AL,23,FALSE)</f>
        <v>188</v>
      </c>
      <c r="AK281" s="5">
        <f>VLOOKUP($A281,'NonXtal_SegEnds_Prot#'!$A:$AL,26,FALSE)</f>
        <v>201</v>
      </c>
      <c r="AL281" s="5">
        <f>VLOOKUP($A281,'NonXtal_SegEnds_Prot#'!$A:$AL,29,FALSE)</f>
        <v>245</v>
      </c>
      <c r="AM281" s="5">
        <f>VLOOKUP($A281,'NonXtal_SegEnds_Prot#'!$A:$AL,32,FALSE)</f>
        <v>284</v>
      </c>
      <c r="AN281" s="5">
        <f>VLOOKUP($A281,'NonXtal_SegEnds_Prot#'!$A:$AL,35,FALSE)</f>
        <v>318</v>
      </c>
      <c r="AO281" s="5">
        <f>VLOOKUP($A281,'NonXtal_SegEnds_Prot#'!$A:$AL,38,FALSE)</f>
        <v>331</v>
      </c>
      <c r="AP281" s="5">
        <f t="shared" si="113"/>
        <v>31</v>
      </c>
      <c r="AQ281" s="4">
        <f t="shared" si="114"/>
        <v>3</v>
      </c>
      <c r="AR281" s="4">
        <f t="shared" si="115"/>
        <v>29</v>
      </c>
      <c r="AS281" s="4">
        <f t="shared" si="116"/>
        <v>3</v>
      </c>
      <c r="AT281" s="4">
        <f t="shared" si="117"/>
        <v>35</v>
      </c>
      <c r="AU281" s="4">
        <f t="shared" si="118"/>
        <v>7</v>
      </c>
      <c r="AV281" s="4">
        <f t="shared" si="119"/>
        <v>25</v>
      </c>
      <c r="AW281" s="4">
        <f t="shared" si="120"/>
        <v>2</v>
      </c>
      <c r="AX281" s="4">
        <f t="shared" si="121"/>
        <v>41</v>
      </c>
      <c r="AY281" s="4">
        <f t="shared" si="122"/>
        <v>32</v>
      </c>
      <c r="AZ281" s="4">
        <f t="shared" si="123"/>
        <v>28</v>
      </c>
      <c r="BA281" s="4">
        <f t="shared" si="124"/>
        <v>12</v>
      </c>
    </row>
    <row r="282" spans="1:53" x14ac:dyDescent="0.2">
      <c r="A282" s="1" t="str">
        <f>'NonXtal_SegEnds_Prot#'!A271</f>
        <v>v2r_human</v>
      </c>
      <c r="B282" s="1" t="str">
        <f t="shared" si="100"/>
        <v>PLLARAELALLSIVFVAVALSNGLVLAALARRWAPIHVFIGHLCLADLAVALFQVLPQLAWKARGPDALCRAVKYLQMVGMYASSYMILAMTLDRHRAICRGAHWNRPVLVAWAFSLLLSLPQLFIFEPWGRRTYVTWIALMVFVAPTLGIAACQVLIFREIHASLVPGPSERAHVSAAVAKTVRMTLVIVVVYVLCWAPFFLVQLWAAWDEGAPFVLLMLLASLNSCTNPWIYASFSSSVSSELRSLLC</v>
      </c>
      <c r="C282" s="72" t="str">
        <f>IF(ISERROR(MATCH(A282,'Xtal_SegEnds_Prot#'!B:B,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82" s="5" t="str">
        <f t="shared" si="101"/>
        <v>PLLARAELALLSIVFVAVALSNGLVLAALARR</v>
      </c>
      <c r="G282" s="4" t="str">
        <f t="shared" si="102"/>
        <v>RRGH</v>
      </c>
      <c r="H282" s="4" t="str">
        <f t="shared" si="103"/>
        <v>WAPIHVFIGHLCLADLAVALFQVLPQLAWKA</v>
      </c>
      <c r="I282" s="4" t="str">
        <f t="shared" si="104"/>
        <v>TDRF</v>
      </c>
      <c r="J282" s="4" t="str">
        <f t="shared" si="105"/>
        <v>RGPDALCRAVKYLQMVGMYASSYMILAMTLDRHRAICR</v>
      </c>
      <c r="K282" s="4" t="str">
        <f t="shared" si="106"/>
        <v>PMLAYRHG</v>
      </c>
      <c r="L282" s="4" t="str">
        <f t="shared" si="107"/>
        <v>GAHWNRPVLVAWAFSLLLSLPQLFIF</v>
      </c>
      <c r="M282" s="4" t="str">
        <f t="shared" si="108"/>
        <v>CWA</v>
      </c>
      <c r="N282" s="4" t="str">
        <f t="shared" si="109"/>
        <v>EPWGRRTYVTWIALMVFVAPTLGIAACQVLIFREIHASLVPGPSER</v>
      </c>
      <c r="O282" s="4" t="str">
        <f t="shared" si="110"/>
        <v>AHVSAAVAKTVRMTLVIVVVYVLCWAPFFLVQLWAAWD</v>
      </c>
      <c r="P282" s="4" t="str">
        <f t="shared" si="111"/>
        <v>EGAPFVLLMLLASLNSCTNPWIYASF</v>
      </c>
      <c r="Q282" s="4" t="str">
        <f t="shared" si="112"/>
        <v>SSSVSSELRSLLC</v>
      </c>
      <c r="R282" s="5">
        <f>VLOOKUP($A282,'NonXtal_SegEnds_Prot#'!$A:$AL,3,FALSE)</f>
        <v>34</v>
      </c>
      <c r="S282" s="5">
        <f>VLOOKUP($A282,'NonXtal_SegEnds_Prot#'!$A:$AL,6,FALSE)</f>
        <v>67</v>
      </c>
      <c r="T282" s="5">
        <f>VLOOKUP($A282,'NonXtal_SegEnds_Prot#'!$A:$AL,9,FALSE)</f>
        <v>71</v>
      </c>
      <c r="U282" s="5">
        <f>VLOOKUP($A282,'NonXtal_SegEnds_Prot#'!$A:$AL,12,FALSE)</f>
        <v>102</v>
      </c>
      <c r="V282" s="5">
        <f>VLOOKUP($A282,'NonXtal_SegEnds_Prot#'!$A:$AL,15,FALSE)</f>
        <v>106</v>
      </c>
      <c r="W282" s="5">
        <f>VLOOKUP($A282,'NonXtal_SegEnds_Prot#'!$A:$AL,18,FALSE)</f>
        <v>144</v>
      </c>
      <c r="X282" s="5">
        <f>VLOOKUP($A282,'NonXtal_SegEnds_Prot#'!$A:$AL,21,FALSE)</f>
        <v>153</v>
      </c>
      <c r="Y282" s="5">
        <f>VLOOKUP($A282,'NonXtal_SegEnds_Prot#'!$A:$AL,24,FALSE)</f>
        <v>192</v>
      </c>
      <c r="Z282" s="5">
        <f>VLOOKUP($A282,'NonXtal_SegEnds_Prot#'!$A:$AL,27,FALSE)</f>
        <v>198</v>
      </c>
      <c r="AA282" s="5">
        <f>VLOOKUP($A282,'NonXtal_SegEnds_Prot#'!$A:$AL,30,FALSE)</f>
        <v>260</v>
      </c>
      <c r="AB282" s="5">
        <f>VLOOKUP($A282,'NonXtal_SegEnds_Prot#'!$A:$AL,33,FALSE)</f>
        <v>303</v>
      </c>
      <c r="AC282" s="5">
        <f>VLOOKUP($A282,'NonXtal_SegEnds_Prot#'!$A:$AL,36,FALSE)</f>
        <v>329</v>
      </c>
      <c r="AD282" s="5">
        <f>VLOOKUP($A282,'NonXtal_SegEnds_Prot#'!$A:$AL,5,FALSE)</f>
        <v>65</v>
      </c>
      <c r="AE282" s="5">
        <f>VLOOKUP($A282,'NonXtal_SegEnds_Prot#'!$A:$AL,8,FALSE)</f>
        <v>70</v>
      </c>
      <c r="AF282" s="5">
        <f>VLOOKUP($A282,'NonXtal_SegEnds_Prot#'!$A:$AL,11,FALSE)</f>
        <v>101</v>
      </c>
      <c r="AG282" s="5">
        <f>VLOOKUP($A282,'NonXtal_SegEnds_Prot#'!$A:$AL,14,FALSE)</f>
        <v>105</v>
      </c>
      <c r="AH282" s="5">
        <f>VLOOKUP($A282,'NonXtal_SegEnds_Prot#'!$A:$AL,17,FALSE)</f>
        <v>143</v>
      </c>
      <c r="AI282" s="5">
        <f>VLOOKUP($A282,'NonXtal_SegEnds_Prot#'!$A:$AL,20,FALSE)</f>
        <v>151</v>
      </c>
      <c r="AJ282" s="5">
        <f>VLOOKUP($A282,'NonXtal_SegEnds_Prot#'!$A:$AL,23,FALSE)</f>
        <v>178</v>
      </c>
      <c r="AK282" s="5">
        <f>VLOOKUP($A282,'NonXtal_SegEnds_Prot#'!$A:$AL,26,FALSE)</f>
        <v>194</v>
      </c>
      <c r="AL282" s="5">
        <f>VLOOKUP($A282,'NonXtal_SegEnds_Prot#'!$A:$AL,29,FALSE)</f>
        <v>243</v>
      </c>
      <c r="AM282" s="5">
        <f>VLOOKUP($A282,'NonXtal_SegEnds_Prot#'!$A:$AL,32,FALSE)</f>
        <v>297</v>
      </c>
      <c r="AN282" s="5">
        <f>VLOOKUP($A282,'NonXtal_SegEnds_Prot#'!$A:$AL,35,FALSE)</f>
        <v>328</v>
      </c>
      <c r="AO282" s="5">
        <f>VLOOKUP($A282,'NonXtal_SegEnds_Prot#'!$A:$AL,38,FALSE)</f>
        <v>341</v>
      </c>
      <c r="AP282" s="5">
        <f t="shared" si="113"/>
        <v>31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37</v>
      </c>
      <c r="AU282" s="4">
        <f t="shared" si="118"/>
        <v>7</v>
      </c>
      <c r="AV282" s="4">
        <f t="shared" si="119"/>
        <v>25</v>
      </c>
      <c r="AW282" s="4">
        <f t="shared" si="120"/>
        <v>2</v>
      </c>
      <c r="AX282" s="4">
        <f t="shared" si="121"/>
        <v>45</v>
      </c>
      <c r="AY282" s="4">
        <f t="shared" si="122"/>
        <v>37</v>
      </c>
      <c r="AZ282" s="4">
        <f t="shared" si="123"/>
        <v>25</v>
      </c>
      <c r="BA282" s="4">
        <f t="shared" si="124"/>
        <v>12</v>
      </c>
    </row>
    <row r="283" spans="1:53" x14ac:dyDescent="0.2">
      <c r="A283" s="1" t="str">
        <f>'NonXtal_SegEnds_Prot#'!A272</f>
        <v>kissr_human</v>
      </c>
      <c r="B283" s="1" t="str">
        <f t="shared" si="100"/>
        <v>AVDAWLVPLFFAALMLLGLVGNSLVIYVICRHTVTNFYIANLAATDVTFLLCCVPFTALLYPGDFMCKFVNYIQQVSVQATCATLTAMSVDRWYVTVFPRLALAVSLSIWVGSAAVSAPVLALHSRALERAFALYNLLALYLLPLLATCACYAAMLRHLGRVAVRPAPVLAERAGAVRAKVSRLVAAVVLLFAACWGPIQLFLVLQALGSYAAYALKTWAHCMSYSNSALNPLLYAFLGSHFRQAFRRVCP</v>
      </c>
      <c r="C283" s="72" t="str">
        <f>IF(ISERROR(MATCH(A283,'Xtal_SegEnds_Prot#'!B:B,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283" s="5" t="str">
        <f t="shared" si="101"/>
        <v>AVDAWLVPLFFAALMLLGLVGNSLVIYVICRH</v>
      </c>
      <c r="G283" s="4" t="str">
        <f t="shared" si="102"/>
        <v>KPMR</v>
      </c>
      <c r="H283" s="4" t="str">
        <f t="shared" si="103"/>
        <v>TVTNFYIANLAATDVTFLLCCVPFTALLYP</v>
      </c>
      <c r="I283" s="4" t="str">
        <f t="shared" si="104"/>
        <v>GWVL</v>
      </c>
      <c r="J283" s="4" t="str">
        <f t="shared" si="105"/>
        <v>GDFMCKFVNYIQQVSVQATCATLTAMSVDRWYVTVF</v>
      </c>
      <c r="K283" s="4" t="str">
        <f t="shared" si="106"/>
        <v>PLRALHRR</v>
      </c>
      <c r="L283" s="4" t="str">
        <f t="shared" si="107"/>
        <v>PRLALAVSLSIWVGSAAVSAPVLALH</v>
      </c>
      <c r="M283" s="4" t="str">
        <f t="shared" si="108"/>
        <v>CSE</v>
      </c>
      <c r="N283" s="4" t="str">
        <f t="shared" si="109"/>
        <v>SRALERAFALYNLLALYLLPLLATCACYAAMLRHLGRVAVRPAP</v>
      </c>
      <c r="O283" s="4" t="str">
        <f t="shared" si="110"/>
        <v>VLAERAGAVRAKVSRLVAAVVLLFAACWGPIQLFLVLQALG</v>
      </c>
      <c r="P283" s="4" t="str">
        <f t="shared" si="111"/>
        <v>SYAAYALKTWAHCMSYSNSALNPLLYAFL</v>
      </c>
      <c r="Q283" s="4" t="str">
        <f t="shared" si="112"/>
        <v>GSHFRQAFRRVCP</v>
      </c>
      <c r="R283" s="5">
        <f>VLOOKUP($A283,'NonXtal_SegEnds_Prot#'!$A:$AL,3,FALSE)</f>
        <v>39</v>
      </c>
      <c r="S283" s="5">
        <f>VLOOKUP($A283,'NonXtal_SegEnds_Prot#'!$A:$AL,6,FALSE)</f>
        <v>71</v>
      </c>
      <c r="T283" s="5">
        <f>VLOOKUP($A283,'NonXtal_SegEnds_Prot#'!$A:$AL,9,FALSE)</f>
        <v>75</v>
      </c>
      <c r="U283" s="5">
        <f>VLOOKUP($A283,'NonXtal_SegEnds_Prot#'!$A:$AL,12,FALSE)</f>
        <v>107</v>
      </c>
      <c r="V283" s="5">
        <f>VLOOKUP($A283,'NonXtal_SegEnds_Prot#'!$A:$AL,15,FALSE)</f>
        <v>111</v>
      </c>
      <c r="W283" s="5">
        <f>VLOOKUP($A283,'NonXtal_SegEnds_Prot#'!$A:$AL,18,FALSE)</f>
        <v>147</v>
      </c>
      <c r="X283" s="5">
        <f>VLOOKUP($A283,'NonXtal_SegEnds_Prot#'!$A:$AL,21,FALSE)</f>
        <v>156</v>
      </c>
      <c r="Y283" s="5">
        <f>VLOOKUP($A283,'NonXtal_SegEnds_Prot#'!$A:$AL,24,FALSE)</f>
        <v>191</v>
      </c>
      <c r="Z283" s="5">
        <f>VLOOKUP($A283,'NonXtal_SegEnds_Prot#'!$A:$AL,27,FALSE)</f>
        <v>197</v>
      </c>
      <c r="AA283" s="5">
        <f>VLOOKUP($A283,'NonXtal_SegEnds_Prot#'!$A:$AL,30,FALSE)</f>
        <v>249</v>
      </c>
      <c r="AB283" s="5">
        <f>VLOOKUP($A283,'NonXtal_SegEnds_Prot#'!$A:$AL,33,FALSE)</f>
        <v>298</v>
      </c>
      <c r="AC283" s="5">
        <f>VLOOKUP($A283,'NonXtal_SegEnds_Prot#'!$A:$AL,36,FALSE)</f>
        <v>327</v>
      </c>
      <c r="AD283" s="5">
        <f>VLOOKUP($A283,'NonXtal_SegEnds_Prot#'!$A:$AL,5,FALSE)</f>
        <v>70</v>
      </c>
      <c r="AE283" s="5">
        <f>VLOOKUP($A283,'NonXtal_SegEnds_Prot#'!$A:$AL,8,FALSE)</f>
        <v>74</v>
      </c>
      <c r="AF283" s="5">
        <f>VLOOKUP($A283,'NonXtal_SegEnds_Prot#'!$A:$AL,11,FALSE)</f>
        <v>104</v>
      </c>
      <c r="AG283" s="5">
        <f>VLOOKUP($A283,'NonXtal_SegEnds_Prot#'!$A:$AL,14,FALSE)</f>
        <v>110</v>
      </c>
      <c r="AH283" s="5">
        <f>VLOOKUP($A283,'NonXtal_SegEnds_Prot#'!$A:$AL,17,FALSE)</f>
        <v>146</v>
      </c>
      <c r="AI283" s="5">
        <f>VLOOKUP($A283,'NonXtal_SegEnds_Prot#'!$A:$AL,20,FALSE)</f>
        <v>154</v>
      </c>
      <c r="AJ283" s="5">
        <f>VLOOKUP($A283,'NonXtal_SegEnds_Prot#'!$A:$AL,23,FALSE)</f>
        <v>181</v>
      </c>
      <c r="AK283" s="5">
        <f>VLOOKUP($A283,'NonXtal_SegEnds_Prot#'!$A:$AL,26,FALSE)</f>
        <v>193</v>
      </c>
      <c r="AL283" s="5">
        <f>VLOOKUP($A283,'NonXtal_SegEnds_Prot#'!$A:$AL,29,FALSE)</f>
        <v>240</v>
      </c>
      <c r="AM283" s="5">
        <f>VLOOKUP($A283,'NonXtal_SegEnds_Prot#'!$A:$AL,32,FALSE)</f>
        <v>289</v>
      </c>
      <c r="AN283" s="5">
        <f>VLOOKUP($A283,'NonXtal_SegEnds_Prot#'!$A:$AL,35,FALSE)</f>
        <v>326</v>
      </c>
      <c r="AO283" s="5">
        <f>VLOOKUP($A283,'NonXtal_SegEnds_Prot#'!$A:$AL,38,FALSE)</f>
        <v>339</v>
      </c>
      <c r="AP283" s="5">
        <f t="shared" si="113"/>
        <v>31</v>
      </c>
      <c r="AQ283" s="4">
        <f t="shared" si="114"/>
        <v>3</v>
      </c>
      <c r="AR283" s="4">
        <f t="shared" si="115"/>
        <v>29</v>
      </c>
      <c r="AS283" s="4">
        <f t="shared" si="116"/>
        <v>3</v>
      </c>
      <c r="AT283" s="4">
        <f t="shared" si="117"/>
        <v>35</v>
      </c>
      <c r="AU283" s="4">
        <f t="shared" si="118"/>
        <v>7</v>
      </c>
      <c r="AV283" s="4">
        <f t="shared" si="119"/>
        <v>25</v>
      </c>
      <c r="AW283" s="4">
        <f t="shared" si="120"/>
        <v>2</v>
      </c>
      <c r="AX283" s="4">
        <f t="shared" si="121"/>
        <v>43</v>
      </c>
      <c r="AY283" s="4">
        <f t="shared" si="122"/>
        <v>40</v>
      </c>
      <c r="AZ283" s="4">
        <f t="shared" si="123"/>
        <v>28</v>
      </c>
      <c r="BA283" s="4">
        <f t="shared" si="124"/>
        <v>12</v>
      </c>
    </row>
    <row r="284" spans="1:53" x14ac:dyDescent="0.2">
      <c r="A284" s="1" t="str">
        <f>'NonXtal_SegEnds_Prot#'!A273</f>
        <v>ssr3_human</v>
      </c>
      <c r="B284" s="1" t="str">
        <f t="shared" si="100"/>
        <v>AVSGVLIPLVYLVVCVVGLLGNSLVIYVVLRHSVTNVYILNLALADELFMLGLPFLAAQNALGSLMCRLVMAVDGINQFTSIFCLTVMSVDRYLAVVHAPVARTVSAAVWVASAVVVLPVVVFSAAAWRAGFIIYTAALGFFGPLLVICLCYLLIVVKVRSAGRRVQRRRRSERRVTRMVVAVVALFVLCWMPFYVLNIVNVVCEPAFFGLYFLVVALPYANSCANPILYGFLSYRFKQGFRRVLL</v>
      </c>
      <c r="C284" s="72" t="str">
        <f>IF(ISERROR(MATCH(A284,'Xtal_SegEnds_Prot#'!B:B,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84" s="5" t="str">
        <f t="shared" si="101"/>
        <v>AVSGVLIPLVYLVVCVVGLLGNSLVIYVVLRH</v>
      </c>
      <c r="G284" s="4" t="str">
        <f t="shared" si="102"/>
        <v>TASP</v>
      </c>
      <c r="H284" s="4" t="str">
        <f t="shared" si="103"/>
        <v>SVTNVYILNLALADELFMLGLPFLAAQNAL</v>
      </c>
      <c r="I284" s="4" t="str">
        <f t="shared" si="104"/>
        <v>YWPF</v>
      </c>
      <c r="J284" s="4" t="str">
        <f t="shared" si="105"/>
        <v>GSLMCRLVMAVDGINQFTSIFCLTVMSVDRYLAVVH</v>
      </c>
      <c r="K284" s="4" t="str">
        <f t="shared" si="106"/>
        <v>PTRSARWR</v>
      </c>
      <c r="L284" s="4" t="str">
        <f t="shared" si="107"/>
        <v>APVARTVSAAVWVASAVVVLPVVVFS</v>
      </c>
      <c r="M284" s="4" t="str">
        <f t="shared" si="108"/>
        <v>CHM</v>
      </c>
      <c r="N284" s="4" t="str">
        <f t="shared" si="109"/>
        <v>AAAWRAGFIIYTAALGFFGPLLVICLCYLLIVVKVRSAGRRV</v>
      </c>
      <c r="O284" s="4" t="str">
        <f t="shared" si="110"/>
        <v>QRRRRSERRVTRMVVAVVALFVLCWMPFYVLNIVNVVC</v>
      </c>
      <c r="P284" s="4" t="str">
        <f t="shared" si="111"/>
        <v>EPAFFGLYFLVVALPYANSCANPILYGFL</v>
      </c>
      <c r="Q284" s="4" t="str">
        <f t="shared" si="112"/>
        <v>SYRFKQGFRRVLL</v>
      </c>
      <c r="R284" s="5">
        <f>VLOOKUP($A284,'NonXtal_SegEnds_Prot#'!$A:$AL,3,FALSE)</f>
        <v>41</v>
      </c>
      <c r="S284" s="5">
        <f>VLOOKUP($A284,'NonXtal_SegEnds_Prot#'!$A:$AL,6,FALSE)</f>
        <v>73</v>
      </c>
      <c r="T284" s="5">
        <f>VLOOKUP($A284,'NonXtal_SegEnds_Prot#'!$A:$AL,9,FALSE)</f>
        <v>77</v>
      </c>
      <c r="U284" s="5">
        <f>VLOOKUP($A284,'NonXtal_SegEnds_Prot#'!$A:$AL,12,FALSE)</f>
        <v>108</v>
      </c>
      <c r="V284" s="5">
        <f>VLOOKUP($A284,'NonXtal_SegEnds_Prot#'!$A:$AL,15,FALSE)</f>
        <v>112</v>
      </c>
      <c r="W284" s="5">
        <f>VLOOKUP($A284,'NonXtal_SegEnds_Prot#'!$A:$AL,18,FALSE)</f>
        <v>148</v>
      </c>
      <c r="X284" s="5">
        <f>VLOOKUP($A284,'NonXtal_SegEnds_Prot#'!$A:$AL,21,FALSE)</f>
        <v>157</v>
      </c>
      <c r="Y284" s="5">
        <f>VLOOKUP($A284,'NonXtal_SegEnds_Prot#'!$A:$AL,24,FALSE)</f>
        <v>191</v>
      </c>
      <c r="Z284" s="5">
        <f>VLOOKUP($A284,'NonXtal_SegEnds_Prot#'!$A:$AL,27,FALSE)</f>
        <v>199</v>
      </c>
      <c r="AA284" s="5">
        <f>VLOOKUP($A284,'NonXtal_SegEnds_Prot#'!$A:$AL,30,FALSE)</f>
        <v>246</v>
      </c>
      <c r="AB284" s="5">
        <f>VLOOKUP($A284,'NonXtal_SegEnds_Prot#'!$A:$AL,33,FALSE)</f>
        <v>288</v>
      </c>
      <c r="AC284" s="5">
        <f>VLOOKUP($A284,'NonXtal_SegEnds_Prot#'!$A:$AL,36,FALSE)</f>
        <v>317</v>
      </c>
      <c r="AD284" s="5">
        <f>VLOOKUP($A284,'NonXtal_SegEnds_Prot#'!$A:$AL,5,FALSE)</f>
        <v>72</v>
      </c>
      <c r="AE284" s="5">
        <f>VLOOKUP($A284,'NonXtal_SegEnds_Prot#'!$A:$AL,8,FALSE)</f>
        <v>76</v>
      </c>
      <c r="AF284" s="5">
        <f>VLOOKUP($A284,'NonXtal_SegEnds_Prot#'!$A:$AL,11,FALSE)</f>
        <v>106</v>
      </c>
      <c r="AG284" s="5">
        <f>VLOOKUP($A284,'NonXtal_SegEnds_Prot#'!$A:$AL,14,FALSE)</f>
        <v>111</v>
      </c>
      <c r="AH284" s="5">
        <f>VLOOKUP($A284,'NonXtal_SegEnds_Prot#'!$A:$AL,17,FALSE)</f>
        <v>147</v>
      </c>
      <c r="AI284" s="5">
        <f>VLOOKUP($A284,'NonXtal_SegEnds_Prot#'!$A:$AL,20,FALSE)</f>
        <v>155</v>
      </c>
      <c r="AJ284" s="5">
        <f>VLOOKUP($A284,'NonXtal_SegEnds_Prot#'!$A:$AL,23,FALSE)</f>
        <v>182</v>
      </c>
      <c r="AK284" s="5">
        <f>VLOOKUP($A284,'NonXtal_SegEnds_Prot#'!$A:$AL,26,FALSE)</f>
        <v>193</v>
      </c>
      <c r="AL284" s="5">
        <f>VLOOKUP($A284,'NonXtal_SegEnds_Prot#'!$A:$AL,29,FALSE)</f>
        <v>240</v>
      </c>
      <c r="AM284" s="5">
        <f>VLOOKUP($A284,'NonXtal_SegEnds_Prot#'!$A:$AL,32,FALSE)</f>
        <v>283</v>
      </c>
      <c r="AN284" s="5">
        <f>VLOOKUP($A284,'NonXtal_SegEnds_Prot#'!$A:$AL,35,FALSE)</f>
        <v>316</v>
      </c>
      <c r="AO284" s="5">
        <f>VLOOKUP($A284,'NonXtal_SegEnds_Prot#'!$A:$AL,38,FALSE)</f>
        <v>329</v>
      </c>
      <c r="AP284" s="5">
        <f t="shared" si="113"/>
        <v>31</v>
      </c>
      <c r="AQ284" s="4">
        <f t="shared" si="114"/>
        <v>3</v>
      </c>
      <c r="AR284" s="4">
        <f t="shared" si="115"/>
        <v>29</v>
      </c>
      <c r="AS284" s="4">
        <f t="shared" si="116"/>
        <v>3</v>
      </c>
      <c r="AT284" s="4">
        <f t="shared" si="117"/>
        <v>35</v>
      </c>
      <c r="AU284" s="4">
        <f t="shared" si="118"/>
        <v>7</v>
      </c>
      <c r="AV284" s="4">
        <f t="shared" si="119"/>
        <v>25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28</v>
      </c>
      <c r="BA284" s="4">
        <f t="shared" si="124"/>
        <v>12</v>
      </c>
    </row>
    <row r="285" spans="1:53" x14ac:dyDescent="0.2">
      <c r="A285" s="1" t="str">
        <f>'NonXtal_SegEnds_Prot#'!A274</f>
        <v>npbw1_human</v>
      </c>
      <c r="B285" s="1" t="str">
        <f t="shared" si="100"/>
        <v>APLAVAVPVVYAVICAVGLAGNSAVLYVLLRATVTNLFILNLAIADELFTLVLPINIADFLLGELMCKLIVAIDQYNTFSSLYFLTVMSADRYLVVLAYSAARAVSLAVWGIVTLVVLPFAVFAEAFWWRASRLYTLVLGFAIPVSTICVLYTTLLCRLHAMAKALERAKKRVTFLVVAILAVCLLCWTPYHLSTVVALTTTPLVIAISYFITSLSYANSCLNPFLYAFLDASFRRNLRQLIT</v>
      </c>
      <c r="C285" s="72" t="str">
        <f>IF(ISERROR(MATCH(A285,'Xtal_SegEnds_Prot#'!B:B,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85" s="5" t="str">
        <f t="shared" si="101"/>
        <v>APLAVAVPVVYAVICAVGLAGNSAVLYVLLRA</v>
      </c>
      <c r="G285" s="4" t="str">
        <f t="shared" si="102"/>
        <v>PRMK</v>
      </c>
      <c r="H285" s="4" t="str">
        <f t="shared" si="103"/>
        <v>TVTNLFILNLAIADELFTLVLPINIADFLL</v>
      </c>
      <c r="I285" s="4" t="str">
        <f t="shared" si="104"/>
        <v>QWPF</v>
      </c>
      <c r="J285" s="4" t="str">
        <f t="shared" si="105"/>
        <v>GELMCKLIVAIDQYNTFSSLYFLTVMSADRYLVVLA</v>
      </c>
      <c r="K285" s="4" t="str">
        <f t="shared" si="106"/>
        <v/>
      </c>
      <c r="L285" s="4" t="str">
        <f t="shared" si="107"/>
        <v>YSAARAVSLAVWGIVTLVVLPFAVFA</v>
      </c>
      <c r="M285" s="4" t="str">
        <f t="shared" si="108"/>
        <v>CVL</v>
      </c>
      <c r="N285" s="4" t="str">
        <f t="shared" si="109"/>
        <v>EAFWWRASRLYTLVLGFAIPVSTICVLYTTLLCRLHAM</v>
      </c>
      <c r="O285" s="4" t="str">
        <f t="shared" si="110"/>
        <v>AKALERAKKRVTFLVVAILAVCLLCWTPYHLSTVVALTT</v>
      </c>
      <c r="P285" s="4" t="str">
        <f t="shared" si="111"/>
        <v>TPLVIAISYFITSLSYANSCLNPFLYAFL</v>
      </c>
      <c r="Q285" s="4" t="str">
        <f t="shared" si="112"/>
        <v>DASFRRNLRQLIT</v>
      </c>
      <c r="R285" s="5">
        <f>VLOOKUP($A285,'NonXtal_SegEnds_Prot#'!$A:$AL,3,FALSE)</f>
        <v>34</v>
      </c>
      <c r="S285" s="5">
        <f>VLOOKUP($A285,'NonXtal_SegEnds_Prot#'!$A:$AL,6,FALSE)</f>
        <v>66</v>
      </c>
      <c r="T285" s="5">
        <f>VLOOKUP($A285,'NonXtal_SegEnds_Prot#'!$A:$AL,9,FALSE)</f>
        <v>70</v>
      </c>
      <c r="U285" s="5">
        <f>VLOOKUP($A285,'NonXtal_SegEnds_Prot#'!$A:$AL,12,FALSE)</f>
        <v>101</v>
      </c>
      <c r="V285" s="5">
        <f>VLOOKUP($A285,'NonXtal_SegEnds_Prot#'!$A:$AL,15,FALSE)</f>
        <v>105</v>
      </c>
      <c r="W285" s="5" t="str">
        <f>VLOOKUP($A285,'NonXtal_SegEnds_Prot#'!$A:$AL,18,FALSE)</f>
        <v>-</v>
      </c>
      <c r="X285" s="5">
        <f>VLOOKUP($A285,'NonXtal_SegEnds_Prot#'!$A:$AL,21,FALSE)</f>
        <v>152</v>
      </c>
      <c r="Y285" s="5">
        <f>VLOOKUP($A285,'NonXtal_SegEnds_Prot#'!$A:$AL,24,FALSE)</f>
        <v>188</v>
      </c>
      <c r="Z285" s="5">
        <f>VLOOKUP($A285,'NonXtal_SegEnds_Prot#'!$A:$AL,27,FALSE)</f>
        <v>196</v>
      </c>
      <c r="AA285" s="5">
        <f>VLOOKUP($A285,'NonXtal_SegEnds_Prot#'!$A:$AL,30,FALSE)</f>
        <v>239</v>
      </c>
      <c r="AB285" s="5">
        <f>VLOOKUP($A285,'NonXtal_SegEnds_Prot#'!$A:$AL,33,FALSE)</f>
        <v>282</v>
      </c>
      <c r="AC285" s="5">
        <f>VLOOKUP($A285,'NonXtal_SegEnds_Prot#'!$A:$AL,36,FALSE)</f>
        <v>311</v>
      </c>
      <c r="AD285" s="5">
        <f>VLOOKUP($A285,'NonXtal_SegEnds_Prot#'!$A:$AL,5,FALSE)</f>
        <v>65</v>
      </c>
      <c r="AE285" s="5">
        <f>VLOOKUP($A285,'NonXtal_SegEnds_Prot#'!$A:$AL,8,FALSE)</f>
        <v>69</v>
      </c>
      <c r="AF285" s="5">
        <f>VLOOKUP($A285,'NonXtal_SegEnds_Prot#'!$A:$AL,11,FALSE)</f>
        <v>99</v>
      </c>
      <c r="AG285" s="5">
        <f>VLOOKUP($A285,'NonXtal_SegEnds_Prot#'!$A:$AL,14,FALSE)</f>
        <v>104</v>
      </c>
      <c r="AH285" s="5">
        <f>VLOOKUP($A285,'NonXtal_SegEnds_Prot#'!$A:$AL,17,FALSE)</f>
        <v>140</v>
      </c>
      <c r="AI285" s="5" t="str">
        <f>VLOOKUP($A285,'NonXtal_SegEnds_Prot#'!$A:$AL,20,FALSE)</f>
        <v>-</v>
      </c>
      <c r="AJ285" s="5">
        <f>VLOOKUP($A285,'NonXtal_SegEnds_Prot#'!$A:$AL,23,FALSE)</f>
        <v>177</v>
      </c>
      <c r="AK285" s="5">
        <f>VLOOKUP($A285,'NonXtal_SegEnds_Prot#'!$A:$AL,26,FALSE)</f>
        <v>190</v>
      </c>
      <c r="AL285" s="5">
        <f>VLOOKUP($A285,'NonXtal_SegEnds_Prot#'!$A:$AL,29,FALSE)</f>
        <v>233</v>
      </c>
      <c r="AM285" s="5">
        <f>VLOOKUP($A285,'NonXtal_SegEnds_Prot#'!$A:$AL,32,FALSE)</f>
        <v>277</v>
      </c>
      <c r="AN285" s="5">
        <f>VLOOKUP($A285,'NonXtal_SegEnds_Prot#'!$A:$AL,35,FALSE)</f>
        <v>310</v>
      </c>
      <c r="AO285" s="5">
        <f>VLOOKUP($A285,'NonXtal_SegEnds_Prot#'!$A:$AL,38,FALSE)</f>
        <v>323</v>
      </c>
      <c r="AP285" s="5">
        <f t="shared" si="113"/>
        <v>31</v>
      </c>
      <c r="AQ285" s="4">
        <f t="shared" si="114"/>
        <v>3</v>
      </c>
      <c r="AR285" s="4">
        <f t="shared" si="115"/>
        <v>29</v>
      </c>
      <c r="AS285" s="4">
        <f t="shared" si="116"/>
        <v>3</v>
      </c>
      <c r="AT285" s="4">
        <f t="shared" si="117"/>
        <v>35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37</v>
      </c>
      <c r="AY285" s="4">
        <f t="shared" si="122"/>
        <v>38</v>
      </c>
      <c r="AZ285" s="4">
        <f t="shared" si="123"/>
        <v>28</v>
      </c>
      <c r="BA285" s="4">
        <f t="shared" si="124"/>
        <v>12</v>
      </c>
    </row>
    <row r="286" spans="1:53" x14ac:dyDescent="0.2">
      <c r="A286" s="1" t="str">
        <f>'NonXtal_SegEnds_Prot#'!A275</f>
        <v>v1br_human</v>
      </c>
      <c r="B286" s="1" t="str">
        <f t="shared" si="100"/>
        <v>EELAKVEIGVLATVLVLATGGNLAVLLTLGQLSRMHLFVLHLALTDLAVALFQVLPQLLWDIQGPDLLCRAVKYLQVLSMFASTYMLLAMTLDRYLAVCHGQSTYLLIAAPWLLAAIFSLPQVFIFFPWGPRAYLTWTTLAIFVLPVTMLTACYSLICHEICKNLKVKTQAWNTISRAKIRTVKMTFVIVLAYIACWAPFFSVQMWSVWDEDSTNVAFTISMLLGNLNSCCNPWIYMGFNSHLLPRPLRHLA</v>
      </c>
      <c r="C286" s="72" t="str">
        <f>IF(ISERROR(MATCH(A286,'Xtal_SegEnds_Prot#'!B:B,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286" s="5" t="str">
        <f t="shared" si="101"/>
        <v>EELAKVEIGVLATVLVLATGGNLAVLLTLGQL</v>
      </c>
      <c r="G286" s="4" t="str">
        <f t="shared" si="102"/>
        <v>GRKR</v>
      </c>
      <c r="H286" s="4" t="str">
        <f t="shared" si="103"/>
        <v>SRMHLFVLHLALTDLAVALFQVLPQLLWDI</v>
      </c>
      <c r="I286" s="4" t="str">
        <f t="shared" si="104"/>
        <v>TYRF</v>
      </c>
      <c r="J286" s="4" t="str">
        <f t="shared" si="105"/>
        <v>QGPDLLCRAVKYLQVLSMFASTYMLLAMTLDRYLAVCH</v>
      </c>
      <c r="K286" s="4" t="str">
        <f t="shared" si="106"/>
        <v>PLRSLQQP</v>
      </c>
      <c r="L286" s="4" t="str">
        <f t="shared" si="107"/>
        <v>GQSTYLLIAAPWLLAAIFSLPQVFIF</v>
      </c>
      <c r="M286" s="4" t="str">
        <f t="shared" si="108"/>
        <v>CWA</v>
      </c>
      <c r="N286" s="4" t="str">
        <f t="shared" si="109"/>
        <v>FPWGPRAYLTWTTLAIFVLPVTMLTACYSLICHEICKNLKVKTQAW</v>
      </c>
      <c r="O286" s="4" t="str">
        <f t="shared" si="110"/>
        <v>NTISRAKIRTVKMTFVIVLAYIACWAPFFSVQMWSVWD</v>
      </c>
      <c r="P286" s="4" t="str">
        <f t="shared" si="111"/>
        <v>EDSTNVAFTISMLLGNLNSCCNPWIYMGF</v>
      </c>
      <c r="Q286" s="4" t="str">
        <f t="shared" si="112"/>
        <v>NSHLLPRPLRHLA</v>
      </c>
      <c r="R286" s="5">
        <f>VLOOKUP($A286,'NonXtal_SegEnds_Prot#'!$A:$AL,3,FALSE)</f>
        <v>31</v>
      </c>
      <c r="S286" s="5">
        <f>VLOOKUP($A286,'NonXtal_SegEnds_Prot#'!$A:$AL,6,FALSE)</f>
        <v>63</v>
      </c>
      <c r="T286" s="5">
        <f>VLOOKUP($A286,'NonXtal_SegEnds_Prot#'!$A:$AL,9,FALSE)</f>
        <v>67</v>
      </c>
      <c r="U286" s="5">
        <f>VLOOKUP($A286,'NonXtal_SegEnds_Prot#'!$A:$AL,12,FALSE)</f>
        <v>97</v>
      </c>
      <c r="V286" s="5">
        <f>VLOOKUP($A286,'NonXtal_SegEnds_Prot#'!$A:$AL,15,FALSE)</f>
        <v>101</v>
      </c>
      <c r="W286" s="5">
        <f>VLOOKUP($A286,'NonXtal_SegEnds_Prot#'!$A:$AL,18,FALSE)</f>
        <v>139</v>
      </c>
      <c r="X286" s="5">
        <f>VLOOKUP($A286,'NonXtal_SegEnds_Prot#'!$A:$AL,21,FALSE)</f>
        <v>147</v>
      </c>
      <c r="Y286" s="5">
        <f>VLOOKUP($A286,'NonXtal_SegEnds_Prot#'!$A:$AL,24,FALSE)</f>
        <v>186</v>
      </c>
      <c r="Z286" s="5">
        <f>VLOOKUP($A286,'NonXtal_SegEnds_Prot#'!$A:$AL,27,FALSE)</f>
        <v>192</v>
      </c>
      <c r="AA286" s="5">
        <f>VLOOKUP($A286,'NonXtal_SegEnds_Prot#'!$A:$AL,30,FALSE)</f>
        <v>270</v>
      </c>
      <c r="AB286" s="5">
        <f>VLOOKUP($A286,'NonXtal_SegEnds_Prot#'!$A:$AL,33,FALSE)</f>
        <v>313</v>
      </c>
      <c r="AC286" s="5">
        <f>VLOOKUP($A286,'NonXtal_SegEnds_Prot#'!$A:$AL,36,FALSE)</f>
        <v>342</v>
      </c>
      <c r="AD286" s="5">
        <f>VLOOKUP($A286,'NonXtal_SegEnds_Prot#'!$A:$AL,5,FALSE)</f>
        <v>62</v>
      </c>
      <c r="AE286" s="5">
        <f>VLOOKUP($A286,'NonXtal_SegEnds_Prot#'!$A:$AL,8,FALSE)</f>
        <v>66</v>
      </c>
      <c r="AF286" s="5">
        <f>VLOOKUP($A286,'NonXtal_SegEnds_Prot#'!$A:$AL,11,FALSE)</f>
        <v>96</v>
      </c>
      <c r="AG286" s="5">
        <f>VLOOKUP($A286,'NonXtal_SegEnds_Prot#'!$A:$AL,14,FALSE)</f>
        <v>100</v>
      </c>
      <c r="AH286" s="5">
        <f>VLOOKUP($A286,'NonXtal_SegEnds_Prot#'!$A:$AL,17,FALSE)</f>
        <v>138</v>
      </c>
      <c r="AI286" s="5">
        <f>VLOOKUP($A286,'NonXtal_SegEnds_Prot#'!$A:$AL,20,FALSE)</f>
        <v>146</v>
      </c>
      <c r="AJ286" s="5">
        <f>VLOOKUP($A286,'NonXtal_SegEnds_Prot#'!$A:$AL,23,FALSE)</f>
        <v>172</v>
      </c>
      <c r="AK286" s="5">
        <f>VLOOKUP($A286,'NonXtal_SegEnds_Prot#'!$A:$AL,26,FALSE)</f>
        <v>188</v>
      </c>
      <c r="AL286" s="5">
        <f>VLOOKUP($A286,'NonXtal_SegEnds_Prot#'!$A:$AL,29,FALSE)</f>
        <v>237</v>
      </c>
      <c r="AM286" s="5">
        <f>VLOOKUP($A286,'NonXtal_SegEnds_Prot#'!$A:$AL,32,FALSE)</f>
        <v>307</v>
      </c>
      <c r="AN286" s="5">
        <f>VLOOKUP($A286,'NonXtal_SegEnds_Prot#'!$A:$AL,35,FALSE)</f>
        <v>341</v>
      </c>
      <c r="AO286" s="5">
        <f>VLOOKUP($A286,'NonXtal_SegEnds_Prot#'!$A:$AL,38,FALSE)</f>
        <v>354</v>
      </c>
      <c r="AP286" s="5">
        <f t="shared" si="113"/>
        <v>31</v>
      </c>
      <c r="AQ286" s="4">
        <f t="shared" si="114"/>
        <v>3</v>
      </c>
      <c r="AR286" s="4">
        <f t="shared" si="115"/>
        <v>29</v>
      </c>
      <c r="AS286" s="4">
        <f t="shared" si="116"/>
        <v>3</v>
      </c>
      <c r="AT286" s="4">
        <f t="shared" si="117"/>
        <v>37</v>
      </c>
      <c r="AU286" s="4">
        <f t="shared" si="118"/>
        <v>7</v>
      </c>
      <c r="AV286" s="4">
        <f t="shared" si="119"/>
        <v>25</v>
      </c>
      <c r="AW286" s="4">
        <f t="shared" si="120"/>
        <v>2</v>
      </c>
      <c r="AX286" s="4">
        <f t="shared" si="121"/>
        <v>45</v>
      </c>
      <c r="AY286" s="4">
        <f t="shared" si="122"/>
        <v>37</v>
      </c>
      <c r="AZ286" s="4">
        <f t="shared" si="123"/>
        <v>28</v>
      </c>
      <c r="BA286" s="4">
        <f t="shared" si="124"/>
        <v>12</v>
      </c>
    </row>
    <row r="287" spans="1:53" x14ac:dyDescent="0.2">
      <c r="A287" s="1" t="str">
        <f>'NonXtal_SegEnds_Prot#'!A277</f>
        <v>gp141_human</v>
      </c>
      <c r="B287" s="1" t="str">
        <f t="shared" si="100"/>
        <v>DPIVTPHLISLYFIVLIGGLVGVISILFLLVKSVTTMAVINLVVVHSVFLLTVPFRLTYLIKGLPFCKFVSAMLHIHMYLTFLFYVVILVTRYLIFFKKLHAVAASAGMWTLVIVIVVPLVVSRYVKIINYMIVIFVIAVAVILLVFQVFIIMLMVQKLRHSEFWAQLKNLFFIGVILVCFLPYQFFRIYYLNVCNSKVAFYNEIFLSVTAISCYDLLLFVFGSHWFKQKIIGLWN</v>
      </c>
      <c r="C287" s="72" t="str">
        <f>IF(ISERROR(MATCH(A287,'Xtal_SegEnds_Prot#'!B:B,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287" s="5" t="str">
        <f t="shared" si="101"/>
        <v>DPIVTPHLISLYFIVLIGGLVGVISILFLLVK</v>
      </c>
      <c r="G287" s="4" t="str">
        <f t="shared" si="102"/>
        <v>MNTR</v>
      </c>
      <c r="H287" s="4" t="str">
        <f t="shared" si="103"/>
        <v>SVTTMAVINLVVVHSVFLLTVPFRLTYLIK</v>
      </c>
      <c r="I287" s="4" t="str">
        <f t="shared" si="104"/>
        <v>TWMF</v>
      </c>
      <c r="J287" s="4" t="str">
        <f t="shared" si="105"/>
        <v>GLPFCKFVSAMLHIHMYLTFLFYVVILVTRYLIFFK</v>
      </c>
      <c r="K287" s="4" t="str">
        <f t="shared" si="106"/>
        <v>CKDKVEFY</v>
      </c>
      <c r="L287" s="4" t="str">
        <f t="shared" si="107"/>
        <v>KLHAVAASAGMWTLVIVIVVPLVVSR</v>
      </c>
      <c r="M287" s="4" t="str">
        <f t="shared" si="108"/>
        <v>CFK</v>
      </c>
      <c r="N287" s="4" t="str">
        <f t="shared" si="109"/>
        <v>YVKIINYMIVIFVIAVAVILLVFQVFIIMLMVQKLRHS</v>
      </c>
      <c r="O287" s="4" t="str">
        <f t="shared" si="110"/>
        <v>EFWAQLKNLFFIGVILVCFLPYQFFRIYYLNV</v>
      </c>
      <c r="P287" s="4" t="str">
        <f t="shared" si="111"/>
        <v>CNSKVAFYNEIFLSVTAISCYDLLLFVFG</v>
      </c>
      <c r="Q287" s="4" t="str">
        <f t="shared" si="112"/>
        <v>SHWFKQKIIGLWN</v>
      </c>
      <c r="R287" s="5">
        <f>VLOOKUP($A287,'NonXtal_SegEnds_Prot#'!$A:$AL,3,FALSE)</f>
        <v>13</v>
      </c>
      <c r="S287" s="5">
        <f>VLOOKUP($A287,'NonXtal_SegEnds_Prot#'!$A:$AL,6,FALSE)</f>
        <v>45</v>
      </c>
      <c r="T287" s="5">
        <f>VLOOKUP($A287,'NonXtal_SegEnds_Prot#'!$A:$AL,9,FALSE)</f>
        <v>49</v>
      </c>
      <c r="U287" s="5">
        <f>VLOOKUP($A287,'NonXtal_SegEnds_Prot#'!$A:$AL,12,FALSE)</f>
        <v>80</v>
      </c>
      <c r="V287" s="5">
        <f>VLOOKUP($A287,'NonXtal_SegEnds_Prot#'!$A:$AL,15,FALSE)</f>
        <v>84</v>
      </c>
      <c r="W287" s="5">
        <f>VLOOKUP($A287,'NonXtal_SegEnds_Prot#'!$A:$AL,18,FALSE)</f>
        <v>120</v>
      </c>
      <c r="X287" s="5">
        <f>VLOOKUP($A287,'NonXtal_SegEnds_Prot#'!$A:$AL,21,FALSE)</f>
        <v>129</v>
      </c>
      <c r="Y287" s="5">
        <f>VLOOKUP($A287,'NonXtal_SegEnds_Prot#'!$A:$AL,24,FALSE)</f>
        <v>166</v>
      </c>
      <c r="Z287" s="5">
        <f>VLOOKUP($A287,'NonXtal_SegEnds_Prot#'!$A:$AL,27,FALSE)</f>
        <v>177</v>
      </c>
      <c r="AA287" s="5">
        <f>VLOOKUP($A287,'NonXtal_SegEnds_Prot#'!$A:$AL,30,FALSE)</f>
        <v>220</v>
      </c>
      <c r="AB287" s="5">
        <f>VLOOKUP($A287,'NonXtal_SegEnds_Prot#'!$A:$AL,33,FALSE)</f>
        <v>258</v>
      </c>
      <c r="AC287" s="5">
        <f>VLOOKUP($A287,'NonXtal_SegEnds_Prot#'!$A:$AL,36,FALSE)</f>
        <v>288</v>
      </c>
      <c r="AD287" s="5">
        <f>VLOOKUP($A287,'NonXtal_SegEnds_Prot#'!$A:$AL,5,FALSE)</f>
        <v>44</v>
      </c>
      <c r="AE287" s="5">
        <f>VLOOKUP($A287,'NonXtal_SegEnds_Prot#'!$A:$AL,8,FALSE)</f>
        <v>48</v>
      </c>
      <c r="AF287" s="5">
        <f>VLOOKUP($A287,'NonXtal_SegEnds_Prot#'!$A:$AL,11,FALSE)</f>
        <v>78</v>
      </c>
      <c r="AG287" s="5">
        <f>VLOOKUP($A287,'NonXtal_SegEnds_Prot#'!$A:$AL,14,FALSE)</f>
        <v>83</v>
      </c>
      <c r="AH287" s="5">
        <f>VLOOKUP($A287,'NonXtal_SegEnds_Prot#'!$A:$AL,17,FALSE)</f>
        <v>119</v>
      </c>
      <c r="AI287" s="5">
        <f>VLOOKUP($A287,'NonXtal_SegEnds_Prot#'!$A:$AL,20,FALSE)</f>
        <v>127</v>
      </c>
      <c r="AJ287" s="5">
        <f>VLOOKUP($A287,'NonXtal_SegEnds_Prot#'!$A:$AL,23,FALSE)</f>
        <v>154</v>
      </c>
      <c r="AK287" s="5">
        <f>VLOOKUP($A287,'NonXtal_SegEnds_Prot#'!$A:$AL,26,FALSE)</f>
        <v>168</v>
      </c>
      <c r="AL287" s="5">
        <f>VLOOKUP($A287,'NonXtal_SegEnds_Prot#'!$A:$AL,29,FALSE)</f>
        <v>214</v>
      </c>
      <c r="AM287" s="5">
        <f>VLOOKUP($A287,'NonXtal_SegEnds_Prot#'!$A:$AL,32,FALSE)</f>
        <v>251</v>
      </c>
      <c r="AN287" s="5">
        <f>VLOOKUP($A287,'NonXtal_SegEnds_Prot#'!$A:$AL,35,FALSE)</f>
        <v>286</v>
      </c>
      <c r="AO287" s="5">
        <f>VLOOKUP($A287,'NonXtal_SegEnds_Prot#'!$A:$AL,38,FALSE)</f>
        <v>300</v>
      </c>
      <c r="AP287" s="5">
        <f t="shared" si="113"/>
        <v>31</v>
      </c>
      <c r="AQ287" s="4">
        <f t="shared" si="114"/>
        <v>3</v>
      </c>
      <c r="AR287" s="4">
        <f t="shared" si="115"/>
        <v>29</v>
      </c>
      <c r="AS287" s="4">
        <f t="shared" si="116"/>
        <v>3</v>
      </c>
      <c r="AT287" s="4">
        <f t="shared" si="117"/>
        <v>35</v>
      </c>
      <c r="AU287" s="4">
        <f t="shared" si="118"/>
        <v>7</v>
      </c>
      <c r="AV287" s="4">
        <f t="shared" si="119"/>
        <v>25</v>
      </c>
      <c r="AW287" s="4">
        <f t="shared" si="120"/>
        <v>2</v>
      </c>
      <c r="AX287" s="4">
        <f t="shared" si="121"/>
        <v>37</v>
      </c>
      <c r="AY287" s="4">
        <f t="shared" si="122"/>
        <v>31</v>
      </c>
      <c r="AZ287" s="4">
        <f t="shared" si="123"/>
        <v>28</v>
      </c>
      <c r="BA287" s="4">
        <f t="shared" si="124"/>
        <v>12</v>
      </c>
    </row>
    <row r="288" spans="1:53" x14ac:dyDescent="0.2">
      <c r="A288" s="1" t="str">
        <f>'NonXtal_SegEnds_Prot#'!A278</f>
        <v>opn4_human</v>
      </c>
      <c r="B288" s="1" t="str">
        <f t="shared" si="100"/>
        <v>DHAHYTLGTVILLVGLTGMLGNLTVIYTFCRSTPANMFIINLAVSDFLMSFTQAPVFFTSSLYKGETGCEFYAFCGALFGISSMITLTAIALDRYLVITRKRRAAFVLLGVWLYALAWSLPPFFTPAVRAYTMLLCCFVFFLPLLIIIYCYIFIFRAIRETGRALQTLWQRQRLQSECKMAKIMLLVILLFVLSWAPYSAVALVAFAGTPYMSSVPAVIAKASAIHNPIIYAITHPKYRVAIAQHL</v>
      </c>
      <c r="C288" s="72" t="str">
        <f>IF(ISERROR(MATCH(A288,'Xtal_SegEnds_Prot#'!B:B,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288" s="5" t="str">
        <f t="shared" si="101"/>
        <v>DHAHYTLGTVILLVGLTGMLGNLTVIYTFCRS</v>
      </c>
      <c r="G288" s="4" t="str">
        <f t="shared" si="102"/>
        <v>RSLR</v>
      </c>
      <c r="H288" s="4" t="str">
        <f t="shared" si="103"/>
        <v>TPANMFIINLAVSDFLMSFTQAPVFFTSSLYK</v>
      </c>
      <c r="I288" s="4" t="str">
        <f t="shared" si="104"/>
        <v>QWLF</v>
      </c>
      <c r="J288" s="4" t="str">
        <f t="shared" si="105"/>
        <v>GETGCEFYAFCGALFGISSMITLTAIALDRYLVITR</v>
      </c>
      <c r="K288" s="4" t="str">
        <f t="shared" si="106"/>
        <v>PLATFGVA</v>
      </c>
      <c r="L288" s="4" t="str">
        <f t="shared" si="107"/>
        <v>KRRAAFVLLGVWLYALAWSLPPFF</v>
      </c>
      <c r="M288" s="4" t="str">
        <f t="shared" si="108"/>
        <v>CSW</v>
      </c>
      <c r="N288" s="4" t="str">
        <f t="shared" si="109"/>
        <v>TPAVRAYTMLLCCFVFFLPLLIIIYCYIFIFRAIRETGRALQT</v>
      </c>
      <c r="O288" s="4" t="str">
        <f t="shared" si="110"/>
        <v>LWQRQRLQSECKMAKIMLLVILLFVLSWAPYSAVALVAFAG</v>
      </c>
      <c r="P288" s="4" t="str">
        <f t="shared" si="111"/>
        <v>TPYMSSVPAVIAKASAIHNPIIYAIT</v>
      </c>
      <c r="Q288" s="4" t="str">
        <f t="shared" si="112"/>
        <v>HPKYRVAIAQHL</v>
      </c>
      <c r="R288" s="5">
        <f>VLOOKUP($A288,'NonXtal_SegEnds_Prot#'!$A:$AL,3,FALSE)</f>
        <v>67</v>
      </c>
      <c r="S288" s="5">
        <f>VLOOKUP($A288,'NonXtal_SegEnds_Prot#'!$A:$AL,6,FALSE)</f>
        <v>99</v>
      </c>
      <c r="T288" s="5">
        <f>VLOOKUP($A288,'NonXtal_SegEnds_Prot#'!$A:$AL,9,FALSE)</f>
        <v>103</v>
      </c>
      <c r="U288" s="5">
        <f>VLOOKUP($A288,'NonXtal_SegEnds_Prot#'!$A:$AL,12,FALSE)</f>
        <v>135</v>
      </c>
      <c r="V288" s="5">
        <f>VLOOKUP($A288,'NonXtal_SegEnds_Prot#'!$A:$AL,15,FALSE)</f>
        <v>139</v>
      </c>
      <c r="W288" s="5">
        <f>VLOOKUP($A288,'NonXtal_SegEnds_Prot#'!$A:$AL,18,FALSE)</f>
        <v>175</v>
      </c>
      <c r="X288" s="5">
        <f>VLOOKUP($A288,'NonXtal_SegEnds_Prot#'!$A:$AL,21,FALSE)</f>
        <v>184</v>
      </c>
      <c r="Y288" s="5">
        <f>VLOOKUP($A288,'NonXtal_SegEnds_Prot#'!$A:$AL,24,FALSE)</f>
        <v>221</v>
      </c>
      <c r="Z288" s="5">
        <f>VLOOKUP($A288,'NonXtal_SegEnds_Prot#'!$A:$AL,27,FALSE)</f>
        <v>229</v>
      </c>
      <c r="AA288" s="5">
        <f>VLOOKUP($A288,'NonXtal_SegEnds_Prot#'!$A:$AL,30,FALSE)</f>
        <v>282</v>
      </c>
      <c r="AB288" s="5">
        <f>VLOOKUP($A288,'NonXtal_SegEnds_Prot#'!$A:$AL,33,FALSE)</f>
        <v>328</v>
      </c>
      <c r="AC288" s="5">
        <f>VLOOKUP($A288,'NonXtal_SegEnds_Prot#'!$A:$AL,36,FALSE)</f>
        <v>354</v>
      </c>
      <c r="AD288" s="5">
        <f>VLOOKUP($A288,'NonXtal_SegEnds_Prot#'!$A:$AL,5,FALSE)</f>
        <v>98</v>
      </c>
      <c r="AE288" s="5">
        <f>VLOOKUP($A288,'NonXtal_SegEnds_Prot#'!$A:$AL,8,FALSE)</f>
        <v>102</v>
      </c>
      <c r="AF288" s="5">
        <f>VLOOKUP($A288,'NonXtal_SegEnds_Prot#'!$A:$AL,11,FALSE)</f>
        <v>134</v>
      </c>
      <c r="AG288" s="5">
        <f>VLOOKUP($A288,'NonXtal_SegEnds_Prot#'!$A:$AL,14,FALSE)</f>
        <v>138</v>
      </c>
      <c r="AH288" s="5">
        <f>VLOOKUP($A288,'NonXtal_SegEnds_Prot#'!$A:$AL,17,FALSE)</f>
        <v>174</v>
      </c>
      <c r="AI288" s="5">
        <f>VLOOKUP($A288,'NonXtal_SegEnds_Prot#'!$A:$AL,20,FALSE)</f>
        <v>182</v>
      </c>
      <c r="AJ288" s="5">
        <f>VLOOKUP($A288,'NonXtal_SegEnds_Prot#'!$A:$AL,23,FALSE)</f>
        <v>207</v>
      </c>
      <c r="AK288" s="5">
        <f>VLOOKUP($A288,'NonXtal_SegEnds_Prot#'!$A:$AL,26,FALSE)</f>
        <v>223</v>
      </c>
      <c r="AL288" s="5">
        <f>VLOOKUP($A288,'NonXtal_SegEnds_Prot#'!$A:$AL,29,FALSE)</f>
        <v>271</v>
      </c>
      <c r="AM288" s="5">
        <f>VLOOKUP($A288,'NonXtal_SegEnds_Prot#'!$A:$AL,32,FALSE)</f>
        <v>322</v>
      </c>
      <c r="AN288" s="5">
        <f>VLOOKUP($A288,'NonXtal_SegEnds_Prot#'!$A:$AL,35,FALSE)</f>
        <v>353</v>
      </c>
      <c r="AO288" s="5">
        <f>VLOOKUP($A288,'NonXtal_SegEnds_Prot#'!$A:$AL,38,FALSE)</f>
        <v>365</v>
      </c>
      <c r="AP288" s="5">
        <f t="shared" si="113"/>
        <v>31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>
        <f t="shared" si="118"/>
        <v>7</v>
      </c>
      <c r="AV288" s="4">
        <f t="shared" si="119"/>
        <v>23</v>
      </c>
      <c r="AW288" s="4">
        <f t="shared" si="120"/>
        <v>2</v>
      </c>
      <c r="AX288" s="4">
        <f t="shared" si="121"/>
        <v>42</v>
      </c>
      <c r="AY288" s="4">
        <f t="shared" si="122"/>
        <v>40</v>
      </c>
      <c r="AZ288" s="4">
        <f t="shared" si="123"/>
        <v>25</v>
      </c>
      <c r="BA288" s="4">
        <f t="shared" si="124"/>
        <v>11</v>
      </c>
    </row>
    <row r="289" spans="1:53" x14ac:dyDescent="0.2">
      <c r="A289" s="1" t="str">
        <f>'NonXtal_SegEnds_Prot#'!A279</f>
        <v>opn3_human</v>
      </c>
      <c r="B289" s="1" t="str">
        <f t="shared" si="100"/>
        <v>PGTYERLALLLGSIGLLGVGNNLLVLVLYYKFTPTHLLLVNISLSDLLVSLFGVTFTFVSCLRDTVGCVWDGFSGSLFGIVSIATLTVLAYERYIRVVHFSWAWRAITYIWLYSLAWAGAPLLNDSSFVLFLFLGCLVVPLGVIAHCYGHILYSIRMLRCVEDQVIKILKYEKKLAKMCFLMIFTFLVCWMPYIVICFLVVNGTPTISIVSYLFAKSNTVYNPVIYVFMIRKFRRSLLQLLC</v>
      </c>
      <c r="C289" s="72" t="str">
        <f>IF(ISERROR(MATCH(A289,'Xtal_SegEnds_Prot#'!B:B,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289" s="5" t="str">
        <f t="shared" si="101"/>
        <v>PGTYERLALLLGSIGLLGVGNNLLVLVLYYKF</v>
      </c>
      <c r="G289" s="4" t="str">
        <f t="shared" si="102"/>
        <v>QRLR</v>
      </c>
      <c r="H289" s="4" t="str">
        <f t="shared" si="103"/>
        <v>TPTHLLLVNISLSDLLVSLFGVTFTFVSCLR</v>
      </c>
      <c r="I289" s="4" t="str">
        <f t="shared" si="104"/>
        <v>GWVW</v>
      </c>
      <c r="J289" s="4" t="str">
        <f t="shared" si="105"/>
        <v>DTVGCVWDGFSGSLFGIVSIATLTVLAYERYIRVVH</v>
      </c>
      <c r="K289" s="4" t="str">
        <f t="shared" si="106"/>
        <v/>
      </c>
      <c r="L289" s="4" t="str">
        <f t="shared" si="107"/>
        <v>FSWAWRAITYIWLYSLAWAGAPLL</v>
      </c>
      <c r="M289" s="4" t="str">
        <f t="shared" si="108"/>
        <v>CTV</v>
      </c>
      <c r="N289" s="4" t="str">
        <f t="shared" si="109"/>
        <v>NDSSFVLFLFLGCLVVPLGVIAHCYGHILYSIRMLRCVED</v>
      </c>
      <c r="O289" s="4" t="str">
        <f t="shared" si="110"/>
        <v>QVIKILKYEKKLAKMCFLMIFTFLVCWMPYIVICFLVVNG</v>
      </c>
      <c r="P289" s="4" t="str">
        <f t="shared" si="111"/>
        <v>TPTISIVSYLFAKSNTVYNPVIYVFM</v>
      </c>
      <c r="Q289" s="4" t="str">
        <f t="shared" si="112"/>
        <v>IRKFRRSLLQLLC</v>
      </c>
      <c r="R289" s="5">
        <f>VLOOKUP($A289,'NonXtal_SegEnds_Prot#'!$A:$AL,3,FALSE)</f>
        <v>38</v>
      </c>
      <c r="S289" s="5">
        <f>VLOOKUP($A289,'NonXtal_SegEnds_Prot#'!$A:$AL,6,FALSE)</f>
        <v>70</v>
      </c>
      <c r="T289" s="5">
        <f>VLOOKUP($A289,'NonXtal_SegEnds_Prot#'!$A:$AL,9,FALSE)</f>
        <v>74</v>
      </c>
      <c r="U289" s="5">
        <f>VLOOKUP($A289,'NonXtal_SegEnds_Prot#'!$A:$AL,12,FALSE)</f>
        <v>106</v>
      </c>
      <c r="V289" s="5">
        <f>VLOOKUP($A289,'NonXtal_SegEnds_Prot#'!$A:$AL,15,FALSE)</f>
        <v>110</v>
      </c>
      <c r="W289" s="5" t="str">
        <f>VLOOKUP($A289,'NonXtal_SegEnds_Prot#'!$A:$AL,18,FALSE)</f>
        <v>-</v>
      </c>
      <c r="X289" s="5">
        <f>VLOOKUP($A289,'NonXtal_SegEnds_Prot#'!$A:$AL,21,FALSE)</f>
        <v>151</v>
      </c>
      <c r="Y289" s="5">
        <f>VLOOKUP($A289,'NonXtal_SegEnds_Prot#'!$A:$AL,24,FALSE)</f>
        <v>188</v>
      </c>
      <c r="Z289" s="5">
        <f>VLOOKUP($A289,'NonXtal_SegEnds_Prot#'!$A:$AL,27,FALSE)</f>
        <v>198</v>
      </c>
      <c r="AA289" s="5">
        <f>VLOOKUP($A289,'NonXtal_SegEnds_Prot#'!$A:$AL,30,FALSE)</f>
        <v>242</v>
      </c>
      <c r="AB289" s="5">
        <f>VLOOKUP($A289,'NonXtal_SegEnds_Prot#'!$A:$AL,33,FALSE)</f>
        <v>287</v>
      </c>
      <c r="AC289" s="5">
        <f>VLOOKUP($A289,'NonXtal_SegEnds_Prot#'!$A:$AL,36,FALSE)</f>
        <v>313</v>
      </c>
      <c r="AD289" s="5">
        <f>VLOOKUP($A289,'NonXtal_SegEnds_Prot#'!$A:$AL,5,FALSE)</f>
        <v>69</v>
      </c>
      <c r="AE289" s="5">
        <f>VLOOKUP($A289,'NonXtal_SegEnds_Prot#'!$A:$AL,8,FALSE)</f>
        <v>73</v>
      </c>
      <c r="AF289" s="5">
        <f>VLOOKUP($A289,'NonXtal_SegEnds_Prot#'!$A:$AL,11,FALSE)</f>
        <v>104</v>
      </c>
      <c r="AG289" s="5">
        <f>VLOOKUP($A289,'NonXtal_SegEnds_Prot#'!$A:$AL,14,FALSE)</f>
        <v>109</v>
      </c>
      <c r="AH289" s="5">
        <f>VLOOKUP($A289,'NonXtal_SegEnds_Prot#'!$A:$AL,17,FALSE)</f>
        <v>145</v>
      </c>
      <c r="AI289" s="5" t="str">
        <f>VLOOKUP($A289,'NonXtal_SegEnds_Prot#'!$A:$AL,20,FALSE)</f>
        <v>-</v>
      </c>
      <c r="AJ289" s="5">
        <f>VLOOKUP($A289,'NonXtal_SegEnds_Prot#'!$A:$AL,23,FALSE)</f>
        <v>174</v>
      </c>
      <c r="AK289" s="5">
        <f>VLOOKUP($A289,'NonXtal_SegEnds_Prot#'!$A:$AL,26,FALSE)</f>
        <v>190</v>
      </c>
      <c r="AL289" s="5">
        <f>VLOOKUP($A289,'NonXtal_SegEnds_Prot#'!$A:$AL,29,FALSE)</f>
        <v>237</v>
      </c>
      <c r="AM289" s="5">
        <f>VLOOKUP($A289,'NonXtal_SegEnds_Prot#'!$A:$AL,32,FALSE)</f>
        <v>281</v>
      </c>
      <c r="AN289" s="5">
        <f>VLOOKUP($A289,'NonXtal_SegEnds_Prot#'!$A:$AL,35,FALSE)</f>
        <v>312</v>
      </c>
      <c r="AO289" s="5">
        <f>VLOOKUP($A289,'NonXtal_SegEnds_Prot#'!$A:$AL,38,FALSE)</f>
        <v>325</v>
      </c>
      <c r="AP289" s="5">
        <f t="shared" si="113"/>
        <v>31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23</v>
      </c>
      <c r="AW289" s="4">
        <f t="shared" si="120"/>
        <v>2</v>
      </c>
      <c r="AX289" s="4">
        <f t="shared" si="121"/>
        <v>39</v>
      </c>
      <c r="AY289" s="4">
        <f t="shared" si="122"/>
        <v>39</v>
      </c>
      <c r="AZ289" s="4">
        <f t="shared" si="123"/>
        <v>25</v>
      </c>
      <c r="BA289" s="4">
        <f t="shared" si="124"/>
        <v>12</v>
      </c>
    </row>
    <row r="290" spans="1:53" x14ac:dyDescent="0.2">
      <c r="A290" s="1" t="str">
        <f>'NonXtal_SegEnds_Prot#'!A280</f>
        <v>opsd_bovin</v>
      </c>
      <c r="B290" s="1" t="str">
        <f t="shared" si="100"/>
        <v>PWQFSMLAAYMFLLIMLGFPINFLTLYVTVQHTPLNYILLNLAVADLFMVFGGFTTTLYTSLHGPTGCNLEGFFATLGGEIALWSLVVLAIERYVVVCKENHAIMGVAFTWVMALACAAPPLVNNESFVIYMFVVHFIIPLIVIFFCYGQLVFTVKEAAAQQATTQKAEKEVTRMVIIMVIAFLICWLPYAGVAFYIFTHGPIFMTIPAFFAKTSAVYNPVIYIMMNKQFRNCMVTTLC</v>
      </c>
      <c r="C290" s="72" t="str">
        <f>IF(ISERROR(MATCH(A290,'Xtal_SegEnds_Prot#'!B:B, 0)), "NoXtal", "Xtal")</f>
        <v>Xtal</v>
      </c>
      <c r="D290" s="4" t="str">
        <f>VLOOKUP(A290,Classification!A:D,2,FALSE)</f>
        <v>A</v>
      </c>
      <c r="E290" s="5" t="str">
        <f>VLOOKUP(A290,Seqs!A:B,2,FALSE)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290" s="5" t="str">
        <f t="shared" si="101"/>
        <v>PWQFSMLAAYMFLLIMLGFPINFLTLYVTVQH</v>
      </c>
      <c r="G290" s="4" t="str">
        <f t="shared" si="102"/>
        <v>KKLR</v>
      </c>
      <c r="H290" s="4" t="str">
        <f t="shared" si="103"/>
        <v>TPLNYILLNLAVADLFMVFGGFTTTLYTSLH</v>
      </c>
      <c r="I290" s="4" t="str">
        <f t="shared" si="104"/>
        <v>YFVF</v>
      </c>
      <c r="J290" s="4" t="str">
        <f t="shared" si="105"/>
        <v>GPTGCNLEGFFATLGGEIALWSLVVLAIERYVVVCK</v>
      </c>
      <c r="K290" s="4" t="str">
        <f t="shared" si="106"/>
        <v>PMSNFRFG</v>
      </c>
      <c r="L290" s="4" t="str">
        <f t="shared" si="107"/>
        <v>ENHAIMGVAFTWVMALACAAPPLV</v>
      </c>
      <c r="M290" s="4" t="str">
        <f t="shared" si="108"/>
        <v>CGI</v>
      </c>
      <c r="N290" s="4" t="str">
        <f t="shared" si="109"/>
        <v>NNESFVIYMFVVHFIIPLIVIFFCYGQLVFTVKEAAAQQ</v>
      </c>
      <c r="O290" s="4" t="str">
        <f t="shared" si="110"/>
        <v>ATTQKAEKEVTRMVIIMVIAFLICWLPYAGVAFYIFTH</v>
      </c>
      <c r="P290" s="4" t="str">
        <f t="shared" si="111"/>
        <v>GPIFMTIPAFFAKTSAVYNPVIYIMM</v>
      </c>
      <c r="Q290" s="4" t="str">
        <f t="shared" si="112"/>
        <v>NKQFRNCMVTTLC</v>
      </c>
      <c r="R290" s="5">
        <f>VLOOKUP($A290,'NonXtal_SegEnds_Prot#'!$A:$AL,3,FALSE)</f>
        <v>34</v>
      </c>
      <c r="S290" s="5">
        <f>VLOOKUP($A290,'NonXtal_SegEnds_Prot#'!$A:$AL,6,FALSE)</f>
        <v>66</v>
      </c>
      <c r="T290" s="5">
        <f>VLOOKUP($A290,'NonXtal_SegEnds_Prot#'!$A:$AL,9,FALSE)</f>
        <v>70</v>
      </c>
      <c r="U290" s="5">
        <f>VLOOKUP($A290,'NonXtal_SegEnds_Prot#'!$A:$AL,12,FALSE)</f>
        <v>102</v>
      </c>
      <c r="V290" s="5">
        <f>VLOOKUP($A290,'NonXtal_SegEnds_Prot#'!$A:$AL,15,FALSE)</f>
        <v>106</v>
      </c>
      <c r="W290" s="5">
        <f>VLOOKUP($A290,'NonXtal_SegEnds_Prot#'!$A:$AL,18,FALSE)</f>
        <v>142</v>
      </c>
      <c r="X290" s="5">
        <f>VLOOKUP($A290,'NonXtal_SegEnds_Prot#'!$A:$AL,21,FALSE)</f>
        <v>150</v>
      </c>
      <c r="Y290" s="5">
        <f>VLOOKUP($A290,'NonXtal_SegEnds_Prot#'!$A:$AL,24,FALSE)</f>
        <v>187</v>
      </c>
      <c r="Z290" s="5">
        <f>VLOOKUP($A290,'NonXtal_SegEnds_Prot#'!$A:$AL,27,FALSE)</f>
        <v>199</v>
      </c>
      <c r="AA290" s="5">
        <f>VLOOKUP($A290,'NonXtal_SegEnds_Prot#'!$A:$AL,30,FALSE)</f>
        <v>241</v>
      </c>
      <c r="AB290" s="5">
        <f>VLOOKUP($A290,'NonXtal_SegEnds_Prot#'!$A:$AL,33,FALSE)</f>
        <v>284</v>
      </c>
      <c r="AC290" s="5">
        <f>VLOOKUP($A290,'NonXtal_SegEnds_Prot#'!$A:$AL,36,FALSE)</f>
        <v>310</v>
      </c>
      <c r="AD290" s="5">
        <f>VLOOKUP($A290,'NonXtal_SegEnds_Prot#'!$A:$AL,5,FALSE)</f>
        <v>65</v>
      </c>
      <c r="AE290" s="5">
        <f>VLOOKUP($A290,'NonXtal_SegEnds_Prot#'!$A:$AL,8,FALSE)</f>
        <v>69</v>
      </c>
      <c r="AF290" s="5">
        <f>VLOOKUP($A290,'NonXtal_SegEnds_Prot#'!$A:$AL,11,FALSE)</f>
        <v>100</v>
      </c>
      <c r="AG290" s="5">
        <f>VLOOKUP($A290,'NonXtal_SegEnds_Prot#'!$A:$AL,14,FALSE)</f>
        <v>105</v>
      </c>
      <c r="AH290" s="5">
        <f>VLOOKUP($A290,'NonXtal_SegEnds_Prot#'!$A:$AL,17,FALSE)</f>
        <v>141</v>
      </c>
      <c r="AI290" s="5">
        <f>VLOOKUP($A290,'NonXtal_SegEnds_Prot#'!$A:$AL,20,FALSE)</f>
        <v>149</v>
      </c>
      <c r="AJ290" s="5">
        <f>VLOOKUP($A290,'NonXtal_SegEnds_Prot#'!$A:$AL,23,FALSE)</f>
        <v>173</v>
      </c>
      <c r="AK290" s="5">
        <f>VLOOKUP($A290,'NonXtal_SegEnds_Prot#'!$A:$AL,26,FALSE)</f>
        <v>189</v>
      </c>
      <c r="AL290" s="5">
        <f>VLOOKUP($A290,'NonXtal_SegEnds_Prot#'!$A:$AL,29,FALSE)</f>
        <v>237</v>
      </c>
      <c r="AM290" s="5">
        <f>VLOOKUP($A290,'NonXtal_SegEnds_Prot#'!$A:$AL,32,FALSE)</f>
        <v>278</v>
      </c>
      <c r="AN290" s="5">
        <f>VLOOKUP($A290,'NonXtal_SegEnds_Prot#'!$A:$AL,35,FALSE)</f>
        <v>309</v>
      </c>
      <c r="AO290" s="5">
        <f>VLOOKUP($A290,'NonXtal_SegEnds_Prot#'!$A:$AL,38,FALSE)</f>
        <v>322</v>
      </c>
      <c r="AP290" s="5">
        <f t="shared" si="113"/>
        <v>31</v>
      </c>
      <c r="AQ290" s="4">
        <f t="shared" si="114"/>
        <v>3</v>
      </c>
      <c r="AR290" s="4">
        <f t="shared" si="115"/>
        <v>30</v>
      </c>
      <c r="AS290" s="4">
        <f t="shared" si="116"/>
        <v>3</v>
      </c>
      <c r="AT290" s="4">
        <f t="shared" si="117"/>
        <v>35</v>
      </c>
      <c r="AU290" s="4">
        <f t="shared" si="118"/>
        <v>7</v>
      </c>
      <c r="AV290" s="4">
        <f t="shared" si="119"/>
        <v>23</v>
      </c>
      <c r="AW290" s="4">
        <f t="shared" si="120"/>
        <v>2</v>
      </c>
      <c r="AX290" s="4">
        <f t="shared" si="121"/>
        <v>38</v>
      </c>
      <c r="AY290" s="4">
        <f t="shared" si="122"/>
        <v>37</v>
      </c>
      <c r="AZ290" s="4">
        <f t="shared" si="123"/>
        <v>25</v>
      </c>
      <c r="BA290" s="4">
        <f t="shared" si="124"/>
        <v>12</v>
      </c>
    </row>
    <row r="291" spans="1:53" x14ac:dyDescent="0.2">
      <c r="A291" s="1" t="str">
        <f>'NonXtal_SegEnds_Prot#'!A281</f>
        <v>opn5_human</v>
      </c>
      <c r="B291" s="1" t="str">
        <f t="shared" si="100"/>
        <v>WEADLVAGFYLTIIGILSTFGNGYVLYMSSRRPAEIMTINLAVCDLGISVVGKPFTIISCFCHGWIGCRWYGWAGFFFGCGSLITMTAVSLDRYLKICYRKHAYICLAAIWAYASFWTTMPLVSVGGQVFILNILFFCLLLPTAVIVFSYVKIIAKVKSSSKEVARIHSSHVLEMKLTKVAMLICAGFLIAWIPYAVVSVWSAFGPIQLSVVPTLLAKSAAMYNPIIYQVIDYKFACCQTGGL</v>
      </c>
      <c r="C291" s="72" t="str">
        <f>IF(ISERROR(MATCH(A291,'Xtal_SegEnds_Prot#'!B:B,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291" s="5" t="str">
        <f t="shared" si="101"/>
        <v>WEADLVAGFYLTIIGILSTFGNGYVLYMSSRR</v>
      </c>
      <c r="G291" s="4" t="str">
        <f t="shared" si="102"/>
        <v>KKLR</v>
      </c>
      <c r="H291" s="4" t="str">
        <f t="shared" si="103"/>
        <v>PAEIMTINLAVCDLGISVVGKPFTIISCFCH</v>
      </c>
      <c r="I291" s="4" t="str">
        <f t="shared" si="104"/>
        <v>RWVF</v>
      </c>
      <c r="J291" s="4" t="str">
        <f t="shared" si="105"/>
        <v>GWIGCRWYGWAGFFFGCGSLITMTAVSLDRYLKICY</v>
      </c>
      <c r="K291" s="4" t="str">
        <f t="shared" si="106"/>
        <v>LSYGVWLK</v>
      </c>
      <c r="L291" s="4" t="str">
        <f t="shared" si="107"/>
        <v>RKHAYICLAAIWAYASFWTTMPLV</v>
      </c>
      <c r="M291" s="4" t="str">
        <f t="shared" si="108"/>
        <v>CTL</v>
      </c>
      <c r="N291" s="4" t="str">
        <f t="shared" si="109"/>
        <v>SVGGQVFILNILFFCLLLPTAVIVFSYVKIIAKVKSSSKEVA</v>
      </c>
      <c r="O291" s="4" t="str">
        <f t="shared" si="110"/>
        <v>RIHSSHVLEMKLTKVAMLICAGFLIAWIPYAVVSVWSAFG</v>
      </c>
      <c r="P291" s="4" t="str">
        <f t="shared" si="111"/>
        <v>PIQLSVVPTLLAKSAAMYNPIIYQVI</v>
      </c>
      <c r="Q291" s="4" t="str">
        <f t="shared" si="112"/>
        <v>DYKFACCQTGGL</v>
      </c>
      <c r="R291" s="5">
        <f>VLOOKUP($A291,'NonXtal_SegEnds_Prot#'!$A:$AL,3,FALSE)</f>
        <v>30</v>
      </c>
      <c r="S291" s="5">
        <f>VLOOKUP($A291,'NonXtal_SegEnds_Prot#'!$A:$AL,6,FALSE)</f>
        <v>63</v>
      </c>
      <c r="T291" s="5">
        <f>VLOOKUP($A291,'NonXtal_SegEnds_Prot#'!$A:$AL,9,FALSE)</f>
        <v>67</v>
      </c>
      <c r="U291" s="5">
        <f>VLOOKUP($A291,'NonXtal_SegEnds_Prot#'!$A:$AL,12,FALSE)</f>
        <v>98</v>
      </c>
      <c r="V291" s="5">
        <f>VLOOKUP($A291,'NonXtal_SegEnds_Prot#'!$A:$AL,15,FALSE)</f>
        <v>102</v>
      </c>
      <c r="W291" s="5">
        <f>VLOOKUP($A291,'NonXtal_SegEnds_Prot#'!$A:$AL,18,FALSE)</f>
        <v>138</v>
      </c>
      <c r="X291" s="5">
        <f>VLOOKUP($A291,'NonXtal_SegEnds_Prot#'!$A:$AL,21,FALSE)</f>
        <v>146</v>
      </c>
      <c r="Y291" s="5">
        <f>VLOOKUP($A291,'NonXtal_SegEnds_Prot#'!$A:$AL,24,FALSE)</f>
        <v>183</v>
      </c>
      <c r="Z291" s="5">
        <f>VLOOKUP($A291,'NonXtal_SegEnds_Prot#'!$A:$AL,27,FALSE)</f>
        <v>193</v>
      </c>
      <c r="AA291" s="5">
        <f>VLOOKUP($A291,'NonXtal_SegEnds_Prot#'!$A:$AL,30,FALSE)</f>
        <v>239</v>
      </c>
      <c r="AB291" s="5">
        <f>VLOOKUP($A291,'NonXtal_SegEnds_Prot#'!$A:$AL,33,FALSE)</f>
        <v>284</v>
      </c>
      <c r="AC291" s="5">
        <f>VLOOKUP($A291,'NonXtal_SegEnds_Prot#'!$A:$AL,36,FALSE)</f>
        <v>310</v>
      </c>
      <c r="AD291" s="5">
        <f>VLOOKUP($A291,'NonXtal_SegEnds_Prot#'!$A:$AL,5,FALSE)</f>
        <v>61</v>
      </c>
      <c r="AE291" s="5">
        <f>VLOOKUP($A291,'NonXtal_SegEnds_Prot#'!$A:$AL,8,FALSE)</f>
        <v>66</v>
      </c>
      <c r="AF291" s="5">
        <f>VLOOKUP($A291,'NonXtal_SegEnds_Prot#'!$A:$AL,11,FALSE)</f>
        <v>97</v>
      </c>
      <c r="AG291" s="5">
        <f>VLOOKUP($A291,'NonXtal_SegEnds_Prot#'!$A:$AL,14,FALSE)</f>
        <v>101</v>
      </c>
      <c r="AH291" s="5">
        <f>VLOOKUP($A291,'NonXtal_SegEnds_Prot#'!$A:$AL,17,FALSE)</f>
        <v>137</v>
      </c>
      <c r="AI291" s="5">
        <f>VLOOKUP($A291,'NonXtal_SegEnds_Prot#'!$A:$AL,20,FALSE)</f>
        <v>145</v>
      </c>
      <c r="AJ291" s="5">
        <f>VLOOKUP($A291,'NonXtal_SegEnds_Prot#'!$A:$AL,23,FALSE)</f>
        <v>169</v>
      </c>
      <c r="AK291" s="5">
        <f>VLOOKUP($A291,'NonXtal_SegEnds_Prot#'!$A:$AL,26,FALSE)</f>
        <v>185</v>
      </c>
      <c r="AL291" s="5">
        <f>VLOOKUP($A291,'NonXtal_SegEnds_Prot#'!$A:$AL,29,FALSE)</f>
        <v>234</v>
      </c>
      <c r="AM291" s="5">
        <f>VLOOKUP($A291,'NonXtal_SegEnds_Prot#'!$A:$AL,32,FALSE)</f>
        <v>278</v>
      </c>
      <c r="AN291" s="5">
        <f>VLOOKUP($A291,'NonXtal_SegEnds_Prot#'!$A:$AL,35,FALSE)</f>
        <v>309</v>
      </c>
      <c r="AO291" s="5">
        <f>VLOOKUP($A291,'NonXtal_SegEnds_Prot#'!$A:$AL,38,FALSE)</f>
        <v>321</v>
      </c>
      <c r="AP291" s="5">
        <f t="shared" si="113"/>
        <v>31</v>
      </c>
      <c r="AQ291" s="4">
        <f t="shared" si="114"/>
        <v>3</v>
      </c>
      <c r="AR291" s="4">
        <f t="shared" si="115"/>
        <v>30</v>
      </c>
      <c r="AS291" s="4">
        <f t="shared" si="116"/>
        <v>3</v>
      </c>
      <c r="AT291" s="4">
        <f t="shared" si="117"/>
        <v>35</v>
      </c>
      <c r="AU291" s="4">
        <f t="shared" si="118"/>
        <v>7</v>
      </c>
      <c r="AV291" s="4">
        <f t="shared" si="119"/>
        <v>23</v>
      </c>
      <c r="AW291" s="4">
        <f t="shared" si="120"/>
        <v>2</v>
      </c>
      <c r="AX291" s="4">
        <f t="shared" si="121"/>
        <v>41</v>
      </c>
      <c r="AY291" s="4">
        <f t="shared" si="122"/>
        <v>39</v>
      </c>
      <c r="AZ291" s="4">
        <f t="shared" si="123"/>
        <v>25</v>
      </c>
      <c r="BA291" s="4">
        <f t="shared" si="124"/>
        <v>11</v>
      </c>
    </row>
    <row r="292" spans="1:53" x14ac:dyDescent="0.2">
      <c r="A292" s="1" t="str">
        <f>'NonXtal_SegEnds_Prot#'!A282</f>
        <v>ta2r1_human</v>
      </c>
      <c r="B292" s="1" t="str">
        <f t="shared" si="100"/>
        <v>LIIYFLLAVIQFLLGIFTNGIIVVVNGIDLIMAPLDLLLSCLAVSRIFLQLFIFYVNVIVIFMCSANCAILLFINELELWLATWLGVFYCAKVASRISKLVPWMILGSLLYVSMICVFHKEDTLAIQIFSFVAEFSVPLLIFLFAVLLLIFSLGRHTRQMPGRGAPISALLSILSFLILYFSHCMIKVFLSSLRRFIFLFFILVIGIYPSGHSLILILGNPKLKQNAKKFLLH</v>
      </c>
      <c r="C292" s="72" t="str">
        <f>IF(ISERROR(MATCH(A292,'Xtal_SegEnds_Prot#'!B:B, 0)), "NoXtal", "Xtal")</f>
        <v>NoXtal</v>
      </c>
      <c r="D292" s="4" t="str">
        <f>VLOOKUP(A292,Classification!A:D,2,FALSE)</f>
        <v>T</v>
      </c>
      <c r="E292" s="5" t="str">
        <f>VLOOKUP(A292,Seqs!A:B,2,FALSE)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292" s="5" t="str">
        <f t="shared" si="101"/>
        <v>LIIYFLLAVIQFLLGIFTNGIIVVVNGIDLI</v>
      </c>
      <c r="G292" s="4" t="str">
        <f t="shared" si="102"/>
        <v>KHRK</v>
      </c>
      <c r="H292" s="4" t="str">
        <f t="shared" si="103"/>
        <v>MAPLDLLLSCLAVSRIFLQLFIFYVNVIVIF</v>
      </c>
      <c r="I292" s="4" t="str">
        <f t="shared" si="104"/>
        <v/>
      </c>
      <c r="J292" s="4" t="str">
        <f t="shared" si="105"/>
        <v>MCSANCAILLFINELELWLATWLGVFYCAKVAS</v>
      </c>
      <c r="K292" s="4" t="str">
        <f t="shared" si="106"/>
        <v>HPLFIWLK</v>
      </c>
      <c r="L292" s="4" t="str">
        <f t="shared" si="107"/>
        <v>RISKLVPWMILGSLLYVSMICVFH</v>
      </c>
      <c r="M292" s="4" t="str">
        <f t="shared" si="108"/>
        <v/>
      </c>
      <c r="N292" s="4" t="str">
        <f t="shared" si="109"/>
        <v>KEDTLAIQIFSFVAEFSVPLLIFLFAVLLLIFSLGRHTRQM</v>
      </c>
      <c r="O292" s="4" t="str">
        <f t="shared" si="110"/>
        <v>PGRGAPISALLSILSFLILYFSHCMIKVFLSSL</v>
      </c>
      <c r="P292" s="4" t="str">
        <f t="shared" si="111"/>
        <v>RRFIFLFFILVIGIYPSGHSLILILG</v>
      </c>
      <c r="Q292" s="4" t="str">
        <f t="shared" si="112"/>
        <v>NPKLKQNAKKFLLH</v>
      </c>
      <c r="R292" s="5">
        <f>VLOOKUP($A292,'NonXtal_SegEnds_Prot#'!$A:$AL,3,FALSE)</f>
        <v>6</v>
      </c>
      <c r="S292" s="5">
        <f>VLOOKUP($A292,'NonXtal_SegEnds_Prot#'!$A:$AL,6,FALSE)</f>
        <v>37</v>
      </c>
      <c r="T292" s="5">
        <f>VLOOKUP($A292,'NonXtal_SegEnds_Prot#'!$A:$AL,9,FALSE)</f>
        <v>41</v>
      </c>
      <c r="U292" s="5" t="str">
        <f>VLOOKUP($A292,'NonXtal_SegEnds_Prot#'!$A:$AL,12,FALSE)</f>
        <v>-</v>
      </c>
      <c r="V292" s="5">
        <f>VLOOKUP($A292,'NonXtal_SegEnds_Prot#'!$A:$AL,15,FALSE)</f>
        <v>77</v>
      </c>
      <c r="W292" s="5">
        <f>VLOOKUP($A292,'NonXtal_SegEnds_Prot#'!$A:$AL,18,FALSE)</f>
        <v>112</v>
      </c>
      <c r="X292" s="5">
        <f>VLOOKUP($A292,'NonXtal_SegEnds_Prot#'!$A:$AL,21,FALSE)</f>
        <v>121</v>
      </c>
      <c r="Y292" s="5" t="str">
        <f>VLOOKUP($A292,'NonXtal_SegEnds_Prot#'!$A:$AL,24,FALSE)</f>
        <v>-</v>
      </c>
      <c r="Z292" s="5">
        <f>VLOOKUP($A292,'NonXtal_SegEnds_Prot#'!$A:$AL,27,FALSE)</f>
        <v>168</v>
      </c>
      <c r="AA292" s="5">
        <f>VLOOKUP($A292,'NonXtal_SegEnds_Prot#'!$A:$AL,30,FALSE)</f>
        <v>218</v>
      </c>
      <c r="AB292" s="5">
        <f>VLOOKUP($A292,'NonXtal_SegEnds_Prot#'!$A:$AL,33,FALSE)</f>
        <v>255</v>
      </c>
      <c r="AC292" s="5">
        <f>VLOOKUP($A292,'NonXtal_SegEnds_Prot#'!$A:$AL,36,FALSE)</f>
        <v>281</v>
      </c>
      <c r="AD292" s="5">
        <f>VLOOKUP($A292,'NonXtal_SegEnds_Prot#'!$A:$AL,5,FALSE)</f>
        <v>36</v>
      </c>
      <c r="AE292" s="5">
        <f>VLOOKUP($A292,'NonXtal_SegEnds_Prot#'!$A:$AL,8,FALSE)</f>
        <v>40</v>
      </c>
      <c r="AF292" s="5">
        <f>VLOOKUP($A292,'NonXtal_SegEnds_Prot#'!$A:$AL,11,FALSE)</f>
        <v>71</v>
      </c>
      <c r="AG292" s="5" t="str">
        <f>VLOOKUP($A292,'NonXtal_SegEnds_Prot#'!$A:$AL,14,FALSE)</f>
        <v>-</v>
      </c>
      <c r="AH292" s="5">
        <f>VLOOKUP($A292,'NonXtal_SegEnds_Prot#'!$A:$AL,17,FALSE)</f>
        <v>109</v>
      </c>
      <c r="AI292" s="5">
        <f>VLOOKUP($A292,'NonXtal_SegEnds_Prot#'!$A:$AL,20,FALSE)</f>
        <v>119</v>
      </c>
      <c r="AJ292" s="5">
        <f>VLOOKUP($A292,'NonXtal_SegEnds_Prot#'!$A:$AL,23,FALSE)</f>
        <v>144</v>
      </c>
      <c r="AK292" s="5" t="str">
        <f>VLOOKUP($A292,'NonXtal_SegEnds_Prot#'!$A:$AL,26,FALSE)</f>
        <v>-</v>
      </c>
      <c r="AL292" s="5">
        <f>VLOOKUP($A292,'NonXtal_SegEnds_Prot#'!$A:$AL,29,FALSE)</f>
        <v>208</v>
      </c>
      <c r="AM292" s="5">
        <f>VLOOKUP($A292,'NonXtal_SegEnds_Prot#'!$A:$AL,32,FALSE)</f>
        <v>250</v>
      </c>
      <c r="AN292" s="5">
        <f>VLOOKUP($A292,'NonXtal_SegEnds_Prot#'!$A:$AL,35,FALSE)</f>
        <v>280</v>
      </c>
      <c r="AO292" s="5">
        <f>VLOOKUP($A292,'NonXtal_SegEnds_Prot#'!$A:$AL,38,FALSE)</f>
        <v>294</v>
      </c>
      <c r="AP292" s="5">
        <f t="shared" si="113"/>
        <v>30</v>
      </c>
      <c r="AQ292" s="4">
        <f t="shared" si="114"/>
        <v>3</v>
      </c>
      <c r="AR292" s="4">
        <f t="shared" si="115"/>
        <v>30</v>
      </c>
      <c r="AS292" s="4" t="str">
        <f t="shared" si="116"/>
        <v>-</v>
      </c>
      <c r="AT292" s="4">
        <f t="shared" si="117"/>
        <v>32</v>
      </c>
      <c r="AU292" s="4">
        <f t="shared" si="118"/>
        <v>7</v>
      </c>
      <c r="AV292" s="4">
        <f t="shared" si="119"/>
        <v>23</v>
      </c>
      <c r="AW292" s="4" t="str">
        <f t="shared" si="120"/>
        <v>-</v>
      </c>
      <c r="AX292" s="4">
        <f t="shared" si="121"/>
        <v>40</v>
      </c>
      <c r="AY292" s="4">
        <f t="shared" si="122"/>
        <v>32</v>
      </c>
      <c r="AZ292" s="4">
        <f t="shared" si="123"/>
        <v>25</v>
      </c>
      <c r="BA292" s="4">
        <f t="shared" si="124"/>
        <v>13</v>
      </c>
    </row>
    <row r="293" spans="1:53" x14ac:dyDescent="0.2">
      <c r="A293" s="1" t="str">
        <f>'NonXtal_SegEnds_Prot#'!A283</f>
        <v>lgr6_human</v>
      </c>
      <c r="B293" s="1" t="str">
        <f t="shared" si="100"/>
        <v>LFESWGIRLAVWAIVLLSVLCNGLVLLTVFAGPPVKFVVGAIAGANTLTGISCGLLASVDALTRWETGLGCRATGFLAVLGSEASVLLLTLAAVQCSVSVSCLGSVRAGVLGCLALAGLAAALPLAAALGFTVALVMMNSFCFLVVAGAYIKLYCDLPRVWDCAMVRHVAWLIFADGLLYCPVAFLSFASMLGPEAVKSVLLVVLPLPACLNPLLYLLFNPHFRDDLRRLRP</v>
      </c>
      <c r="C293" s="72" t="str">
        <f>IF(ISERROR(MATCH(A293,'Xtal_SegEnds_Prot#'!B:B,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293" s="5" t="str">
        <f t="shared" si="101"/>
        <v>LFESWGIRLAVWAIVLLSVLCNGLVLLTVFAG</v>
      </c>
      <c r="G293" s="4" t="str">
        <f t="shared" si="102"/>
        <v/>
      </c>
      <c r="H293" s="4" t="str">
        <f t="shared" si="103"/>
        <v>PPVKFVVGAIAGANTLTGISCGLLASVDALT</v>
      </c>
      <c r="I293" s="4" t="str">
        <f t="shared" si="104"/>
        <v/>
      </c>
      <c r="J293" s="4" t="str">
        <f t="shared" si="105"/>
        <v>RWETGLGCRATGFLAVLGSEASVLLLTLAAVQCSVSVSC</v>
      </c>
      <c r="K293" s="4" t="str">
        <f t="shared" si="106"/>
        <v>VRAYGKSP</v>
      </c>
      <c r="L293" s="4" t="str">
        <f t="shared" si="107"/>
        <v>LGSVRAGVLGCLALAGLAAALPLA</v>
      </c>
      <c r="M293" s="4" t="str">
        <f t="shared" si="108"/>
        <v>CLP</v>
      </c>
      <c r="N293" s="4" t="str">
        <f t="shared" si="109"/>
        <v>AALGFTVALVMMNSFCFLVVAGAYIKLYCDLPR</v>
      </c>
      <c r="O293" s="4" t="str">
        <f t="shared" si="110"/>
        <v>VWDCAMVRHVAWLIFADGLLYCPVAFLSFASMLG</v>
      </c>
      <c r="P293" s="4" t="str">
        <f t="shared" si="111"/>
        <v>PEAVKSVLLVVLPLPACLNPLLYLLF</v>
      </c>
      <c r="Q293" s="4" t="str">
        <f t="shared" si="112"/>
        <v>NPHFRDDLRRLRP</v>
      </c>
      <c r="R293" s="5">
        <f>VLOOKUP($A293,'NonXtal_SegEnds_Prot#'!$A:$AL,3,FALSE)</f>
        <v>558</v>
      </c>
      <c r="S293" s="5" t="str">
        <f>VLOOKUP($A293,'NonXtal_SegEnds_Prot#'!$A:$AL,6,FALSE)</f>
        <v>-</v>
      </c>
      <c r="T293" s="5">
        <f>VLOOKUP($A293,'NonXtal_SegEnds_Prot#'!$A:$AL,9,FALSE)</f>
        <v>595</v>
      </c>
      <c r="U293" s="5" t="str">
        <f>VLOOKUP($A293,'NonXtal_SegEnds_Prot#'!$A:$AL,12,FALSE)</f>
        <v>-</v>
      </c>
      <c r="V293" s="5">
        <f>VLOOKUP($A293,'NonXtal_SegEnds_Prot#'!$A:$AL,15,FALSE)</f>
        <v>635</v>
      </c>
      <c r="W293" s="5">
        <f>VLOOKUP($A293,'NonXtal_SegEnds_Prot#'!$A:$AL,18,FALSE)</f>
        <v>674</v>
      </c>
      <c r="X293" s="5">
        <f>VLOOKUP($A293,'NonXtal_SegEnds_Prot#'!$A:$AL,21,FALSE)</f>
        <v>683</v>
      </c>
      <c r="Y293" s="5">
        <f>VLOOKUP($A293,'NonXtal_SegEnds_Prot#'!$A:$AL,24,FALSE)</f>
        <v>717</v>
      </c>
      <c r="Z293" s="5">
        <f>VLOOKUP($A293,'NonXtal_SegEnds_Prot#'!$A:$AL,27,FALSE)</f>
        <v>728</v>
      </c>
      <c r="AA293" s="5">
        <f>VLOOKUP($A293,'NonXtal_SegEnds_Prot#'!$A:$AL,30,FALSE)</f>
        <v>766</v>
      </c>
      <c r="AB293" s="5">
        <f>VLOOKUP($A293,'NonXtal_SegEnds_Prot#'!$A:$AL,33,FALSE)</f>
        <v>805</v>
      </c>
      <c r="AC293" s="5">
        <f>VLOOKUP($A293,'NonXtal_SegEnds_Prot#'!$A:$AL,36,FALSE)</f>
        <v>831</v>
      </c>
      <c r="AD293" s="5">
        <f>VLOOKUP($A293,'NonXtal_SegEnds_Prot#'!$A:$AL,5,FALSE)</f>
        <v>589</v>
      </c>
      <c r="AE293" s="5" t="str">
        <f>VLOOKUP($A293,'NonXtal_SegEnds_Prot#'!$A:$AL,8,FALSE)</f>
        <v>-</v>
      </c>
      <c r="AF293" s="5">
        <f>VLOOKUP($A293,'NonXtal_SegEnds_Prot#'!$A:$AL,11,FALSE)</f>
        <v>625</v>
      </c>
      <c r="AG293" s="5" t="str">
        <f>VLOOKUP($A293,'NonXtal_SegEnds_Prot#'!$A:$AL,14,FALSE)</f>
        <v>-</v>
      </c>
      <c r="AH293" s="5">
        <f>VLOOKUP($A293,'NonXtal_SegEnds_Prot#'!$A:$AL,17,FALSE)</f>
        <v>673</v>
      </c>
      <c r="AI293" s="5">
        <f>VLOOKUP($A293,'NonXtal_SegEnds_Prot#'!$A:$AL,20,FALSE)</f>
        <v>681</v>
      </c>
      <c r="AJ293" s="5">
        <f>VLOOKUP($A293,'NonXtal_SegEnds_Prot#'!$A:$AL,23,FALSE)</f>
        <v>706</v>
      </c>
      <c r="AK293" s="5">
        <f>VLOOKUP($A293,'NonXtal_SegEnds_Prot#'!$A:$AL,26,FALSE)</f>
        <v>719</v>
      </c>
      <c r="AL293" s="5">
        <f>VLOOKUP($A293,'NonXtal_SegEnds_Prot#'!$A:$AL,29,FALSE)</f>
        <v>760</v>
      </c>
      <c r="AM293" s="5">
        <f>VLOOKUP($A293,'NonXtal_SegEnds_Prot#'!$A:$AL,32,FALSE)</f>
        <v>799</v>
      </c>
      <c r="AN293" s="5">
        <f>VLOOKUP($A293,'NonXtal_SegEnds_Prot#'!$A:$AL,35,FALSE)</f>
        <v>830</v>
      </c>
      <c r="AO293" s="5">
        <f>VLOOKUP($A293,'NonXtal_SegEnds_Prot#'!$A:$AL,38,FALSE)</f>
        <v>843</v>
      </c>
      <c r="AP293" s="5">
        <f t="shared" si="113"/>
        <v>31</v>
      </c>
      <c r="AQ293" s="4" t="str">
        <f t="shared" si="114"/>
        <v>-</v>
      </c>
      <c r="AR293" s="4">
        <f t="shared" si="115"/>
        <v>30</v>
      </c>
      <c r="AS293" s="4" t="str">
        <f t="shared" si="116"/>
        <v>-</v>
      </c>
      <c r="AT293" s="4">
        <f t="shared" si="117"/>
        <v>38</v>
      </c>
      <c r="AU293" s="4">
        <f t="shared" si="118"/>
        <v>7</v>
      </c>
      <c r="AV293" s="4">
        <f t="shared" si="119"/>
        <v>23</v>
      </c>
      <c r="AW293" s="4">
        <f t="shared" si="120"/>
        <v>2</v>
      </c>
      <c r="AX293" s="4">
        <f t="shared" si="121"/>
        <v>32</v>
      </c>
      <c r="AY293" s="4">
        <f t="shared" si="122"/>
        <v>33</v>
      </c>
      <c r="AZ293" s="4">
        <f t="shared" si="123"/>
        <v>25</v>
      </c>
      <c r="BA293" s="4">
        <f t="shared" si="124"/>
        <v>12</v>
      </c>
    </row>
    <row r="294" spans="1:53" x14ac:dyDescent="0.2">
      <c r="A294" s="1" t="str">
        <f>'NonXtal_SegEnds_Prot#'!A284</f>
        <v>opsg_human</v>
      </c>
      <c r="B294" s="1" t="str">
        <f t="shared" si="100"/>
        <v>RWVYHLTSVWMIFVVIASVFTNGLVLAATMKFHPLNWILVNLAVADLAETVIASTISVVNQVYGHPMCVLEGYTVSLCGITGLWSLAIISWERWMVVCKAKLAIVGIAFSWIWAAVWTAPPIFGVQSYMIVLMVTCCITPLSIIVLCYLQVWLAIRAVAKQQESTQKAEKEVTRMVVVMVLAFCFCWGPYAFFACFAAANHPLMAALPAFFAKSATIYNPVIYVFMNRQFRNCILQLFG</v>
      </c>
      <c r="C294" s="72" t="str">
        <f>IF(ISERROR(MATCH(A294,'Xtal_SegEnds_Prot#'!B:B,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294" s="5" t="str">
        <f t="shared" si="101"/>
        <v>RWVYHLTSVWMIFVVIASVFTNGLVLAATMKF</v>
      </c>
      <c r="G294" s="4" t="str">
        <f t="shared" si="102"/>
        <v>KKLR</v>
      </c>
      <c r="H294" s="4" t="str">
        <f t="shared" si="103"/>
        <v>HPLNWILVNLAVADLAETVIASTISVVNQVY</v>
      </c>
      <c r="I294" s="4" t="str">
        <f t="shared" si="104"/>
        <v>YFVL</v>
      </c>
      <c r="J294" s="4" t="str">
        <f t="shared" si="105"/>
        <v>GHPMCVLEGYTVSLCGITGLWSLAIISWERWMVVCK</v>
      </c>
      <c r="K294" s="4" t="str">
        <f t="shared" si="106"/>
        <v>PFGNVRFD</v>
      </c>
      <c r="L294" s="4" t="str">
        <f t="shared" si="107"/>
        <v>AKLAIVGIAFSWIWAAVWTAPPIF</v>
      </c>
      <c r="M294" s="4" t="str">
        <f t="shared" si="108"/>
        <v>CGP</v>
      </c>
      <c r="N294" s="4" t="str">
        <f t="shared" si="109"/>
        <v>GVQSYMIVLMVTCCITPLSIIVLCYLQVWLAIRAVAKQQ</v>
      </c>
      <c r="O294" s="4" t="str">
        <f t="shared" si="110"/>
        <v>ESTQKAEKEVTRMVVVMVLAFCFCWGPYAFFACFAAAN</v>
      </c>
      <c r="P294" s="4" t="str">
        <f t="shared" si="111"/>
        <v>HPLMAALPAFFAKSATIYNPVIYVFM</v>
      </c>
      <c r="Q294" s="4" t="str">
        <f t="shared" si="112"/>
        <v>NRQFRNCILQLFG</v>
      </c>
      <c r="R294" s="5">
        <f>VLOOKUP($A294,'NonXtal_SegEnds_Prot#'!$A:$AL,3,FALSE)</f>
        <v>50</v>
      </c>
      <c r="S294" s="5">
        <f>VLOOKUP($A294,'NonXtal_SegEnds_Prot#'!$A:$AL,6,FALSE)</f>
        <v>82</v>
      </c>
      <c r="T294" s="5">
        <f>VLOOKUP($A294,'NonXtal_SegEnds_Prot#'!$A:$AL,9,FALSE)</f>
        <v>86</v>
      </c>
      <c r="U294" s="5">
        <f>VLOOKUP($A294,'NonXtal_SegEnds_Prot#'!$A:$AL,12,FALSE)</f>
        <v>118</v>
      </c>
      <c r="V294" s="5">
        <f>VLOOKUP($A294,'NonXtal_SegEnds_Prot#'!$A:$AL,15,FALSE)</f>
        <v>122</v>
      </c>
      <c r="W294" s="5">
        <f>VLOOKUP($A294,'NonXtal_SegEnds_Prot#'!$A:$AL,18,FALSE)</f>
        <v>158</v>
      </c>
      <c r="X294" s="5">
        <f>VLOOKUP($A294,'NonXtal_SegEnds_Prot#'!$A:$AL,21,FALSE)</f>
        <v>166</v>
      </c>
      <c r="Y294" s="5">
        <f>VLOOKUP($A294,'NonXtal_SegEnds_Prot#'!$A:$AL,24,FALSE)</f>
        <v>203</v>
      </c>
      <c r="Z294" s="5">
        <f>VLOOKUP($A294,'NonXtal_SegEnds_Prot#'!$A:$AL,27,FALSE)</f>
        <v>215</v>
      </c>
      <c r="AA294" s="5">
        <f>VLOOKUP($A294,'NonXtal_SegEnds_Prot#'!$A:$AL,30,FALSE)</f>
        <v>257</v>
      </c>
      <c r="AB294" s="5">
        <f>VLOOKUP($A294,'NonXtal_SegEnds_Prot#'!$A:$AL,33,FALSE)</f>
        <v>300</v>
      </c>
      <c r="AC294" s="5">
        <f>VLOOKUP($A294,'NonXtal_SegEnds_Prot#'!$A:$AL,36,FALSE)</f>
        <v>326</v>
      </c>
      <c r="AD294" s="5">
        <f>VLOOKUP($A294,'NonXtal_SegEnds_Prot#'!$A:$AL,5,FALSE)</f>
        <v>81</v>
      </c>
      <c r="AE294" s="5">
        <f>VLOOKUP($A294,'NonXtal_SegEnds_Prot#'!$A:$AL,8,FALSE)</f>
        <v>85</v>
      </c>
      <c r="AF294" s="5">
        <f>VLOOKUP($A294,'NonXtal_SegEnds_Prot#'!$A:$AL,11,FALSE)</f>
        <v>116</v>
      </c>
      <c r="AG294" s="5">
        <f>VLOOKUP($A294,'NonXtal_SegEnds_Prot#'!$A:$AL,14,FALSE)</f>
        <v>121</v>
      </c>
      <c r="AH294" s="5">
        <f>VLOOKUP($A294,'NonXtal_SegEnds_Prot#'!$A:$AL,17,FALSE)</f>
        <v>157</v>
      </c>
      <c r="AI294" s="5">
        <f>VLOOKUP($A294,'NonXtal_SegEnds_Prot#'!$A:$AL,20,FALSE)</f>
        <v>165</v>
      </c>
      <c r="AJ294" s="5">
        <f>VLOOKUP($A294,'NonXtal_SegEnds_Prot#'!$A:$AL,23,FALSE)</f>
        <v>189</v>
      </c>
      <c r="AK294" s="5">
        <f>VLOOKUP($A294,'NonXtal_SegEnds_Prot#'!$A:$AL,26,FALSE)</f>
        <v>205</v>
      </c>
      <c r="AL294" s="5">
        <f>VLOOKUP($A294,'NonXtal_SegEnds_Prot#'!$A:$AL,29,FALSE)</f>
        <v>253</v>
      </c>
      <c r="AM294" s="5">
        <f>VLOOKUP($A294,'NonXtal_SegEnds_Prot#'!$A:$AL,32,FALSE)</f>
        <v>294</v>
      </c>
      <c r="AN294" s="5">
        <f>VLOOKUP($A294,'NonXtal_SegEnds_Prot#'!$A:$AL,35,FALSE)</f>
        <v>325</v>
      </c>
      <c r="AO294" s="5">
        <f>VLOOKUP($A294,'NonXtal_SegEnds_Prot#'!$A:$AL,38,FALSE)</f>
        <v>338</v>
      </c>
      <c r="AP294" s="5">
        <f t="shared" si="113"/>
        <v>31</v>
      </c>
      <c r="AQ294" s="4">
        <f t="shared" si="114"/>
        <v>3</v>
      </c>
      <c r="AR294" s="4">
        <f t="shared" si="115"/>
        <v>30</v>
      </c>
      <c r="AS294" s="4">
        <f t="shared" si="116"/>
        <v>3</v>
      </c>
      <c r="AT294" s="4">
        <f t="shared" si="117"/>
        <v>35</v>
      </c>
      <c r="AU294" s="4">
        <f t="shared" si="118"/>
        <v>7</v>
      </c>
      <c r="AV294" s="4">
        <f t="shared" si="119"/>
        <v>23</v>
      </c>
      <c r="AW294" s="4">
        <f t="shared" si="120"/>
        <v>2</v>
      </c>
      <c r="AX294" s="4">
        <f t="shared" si="121"/>
        <v>38</v>
      </c>
      <c r="AY294" s="4">
        <f t="shared" si="122"/>
        <v>37</v>
      </c>
      <c r="AZ294" s="4">
        <f t="shared" si="123"/>
        <v>25</v>
      </c>
      <c r="BA294" s="4">
        <f t="shared" si="124"/>
        <v>12</v>
      </c>
    </row>
    <row r="295" spans="1:53" x14ac:dyDescent="0.2">
      <c r="A295" s="1" t="str">
        <f>'NonXtal_SegEnds_Prot#'!A285</f>
        <v>opsr_human</v>
      </c>
      <c r="B295" s="1" t="str">
        <f t="shared" si="100"/>
        <v>RWVYHLTSVWMIFVVTASVFTNGLVLAATMKFHPLNWILVNLAVADLAETVIASTISIVNQVSLGHPMCVLEGYTVSLCGITGLWSLAIISWERWLVVCKAKLAIVGIAFSWIWSAVWTAPPIFGVQSYMIVLMVTCCIIPLAIIMLCYLQVWLAIRAVAKQQESTQKAEKEVTRMVVVMIFAYCVCWGPYTFFACFAAANHPLMAALPAYFAKSATIYNPVIYVFMNRQFRNCILQLFG</v>
      </c>
      <c r="C295" s="72" t="str">
        <f>IF(ISERROR(MATCH(A295,'Xtal_SegEnds_Prot#'!B:B,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295" s="5" t="str">
        <f t="shared" si="101"/>
        <v>RWVYHLTSVWMIFVVTASVFTNGLVLAATMKF</v>
      </c>
      <c r="G295" s="4" t="str">
        <f t="shared" si="102"/>
        <v>KKLR</v>
      </c>
      <c r="H295" s="4" t="str">
        <f t="shared" si="103"/>
        <v>HPLNWILVNLAVADLAETVIASTISIVNQVS</v>
      </c>
      <c r="I295" s="4" t="str">
        <f t="shared" si="104"/>
        <v>GYFV</v>
      </c>
      <c r="J295" s="4" t="str">
        <f t="shared" si="105"/>
        <v>LGHPMCVLEGYTVSLCGITGLWSLAIISWERWLVVCK</v>
      </c>
      <c r="K295" s="4" t="str">
        <f t="shared" si="106"/>
        <v>PFGNVRFD</v>
      </c>
      <c r="L295" s="4" t="str">
        <f t="shared" si="107"/>
        <v>AKLAIVGIAFSWIWSAVWTAPPIF</v>
      </c>
      <c r="M295" s="4" t="str">
        <f t="shared" si="108"/>
        <v>CGP</v>
      </c>
      <c r="N295" s="4" t="str">
        <f t="shared" si="109"/>
        <v>GVQSYMIVLMVTCCIIPLAIIMLCYLQVWLAIRAVAKQQ</v>
      </c>
      <c r="O295" s="4" t="str">
        <f t="shared" si="110"/>
        <v>ESTQKAEKEVTRMVVVMIFAYCVCWGPYTFFACFAAAN</v>
      </c>
      <c r="P295" s="4" t="str">
        <f t="shared" si="111"/>
        <v>HPLMAALPAYFAKSATIYNPVIYVFM</v>
      </c>
      <c r="Q295" s="4" t="str">
        <f t="shared" si="112"/>
        <v>NRQFRNCILQLFG</v>
      </c>
      <c r="R295" s="5">
        <f>VLOOKUP($A295,'NonXtal_SegEnds_Prot#'!$A:$AL,3,FALSE)</f>
        <v>50</v>
      </c>
      <c r="S295" s="5">
        <f>VLOOKUP($A295,'NonXtal_SegEnds_Prot#'!$A:$AL,6,FALSE)</f>
        <v>82</v>
      </c>
      <c r="T295" s="5">
        <f>VLOOKUP($A295,'NonXtal_SegEnds_Prot#'!$A:$AL,9,FALSE)</f>
        <v>86</v>
      </c>
      <c r="U295" s="5">
        <f>VLOOKUP($A295,'NonXtal_SegEnds_Prot#'!$A:$AL,12,FALSE)</f>
        <v>117</v>
      </c>
      <c r="V295" s="5">
        <f>VLOOKUP($A295,'NonXtal_SegEnds_Prot#'!$A:$AL,15,FALSE)</f>
        <v>121</v>
      </c>
      <c r="W295" s="5">
        <f>VLOOKUP($A295,'NonXtal_SegEnds_Prot#'!$A:$AL,18,FALSE)</f>
        <v>158</v>
      </c>
      <c r="X295" s="5">
        <f>VLOOKUP($A295,'NonXtal_SegEnds_Prot#'!$A:$AL,21,FALSE)</f>
        <v>166</v>
      </c>
      <c r="Y295" s="5">
        <f>VLOOKUP($A295,'NonXtal_SegEnds_Prot#'!$A:$AL,24,FALSE)</f>
        <v>203</v>
      </c>
      <c r="Z295" s="5">
        <f>VLOOKUP($A295,'NonXtal_SegEnds_Prot#'!$A:$AL,27,FALSE)</f>
        <v>215</v>
      </c>
      <c r="AA295" s="5">
        <f>VLOOKUP($A295,'NonXtal_SegEnds_Prot#'!$A:$AL,30,FALSE)</f>
        <v>257</v>
      </c>
      <c r="AB295" s="5">
        <f>VLOOKUP($A295,'NonXtal_SegEnds_Prot#'!$A:$AL,33,FALSE)</f>
        <v>300</v>
      </c>
      <c r="AC295" s="5">
        <f>VLOOKUP($A295,'NonXtal_SegEnds_Prot#'!$A:$AL,36,FALSE)</f>
        <v>326</v>
      </c>
      <c r="AD295" s="5">
        <f>VLOOKUP($A295,'NonXtal_SegEnds_Prot#'!$A:$AL,5,FALSE)</f>
        <v>81</v>
      </c>
      <c r="AE295" s="5">
        <f>VLOOKUP($A295,'NonXtal_SegEnds_Prot#'!$A:$AL,8,FALSE)</f>
        <v>85</v>
      </c>
      <c r="AF295" s="5">
        <f>VLOOKUP($A295,'NonXtal_SegEnds_Prot#'!$A:$AL,11,FALSE)</f>
        <v>116</v>
      </c>
      <c r="AG295" s="5">
        <f>VLOOKUP($A295,'NonXtal_SegEnds_Prot#'!$A:$AL,14,FALSE)</f>
        <v>120</v>
      </c>
      <c r="AH295" s="5">
        <f>VLOOKUP($A295,'NonXtal_SegEnds_Prot#'!$A:$AL,17,FALSE)</f>
        <v>157</v>
      </c>
      <c r="AI295" s="5">
        <f>VLOOKUP($A295,'NonXtal_SegEnds_Prot#'!$A:$AL,20,FALSE)</f>
        <v>165</v>
      </c>
      <c r="AJ295" s="5">
        <f>VLOOKUP($A295,'NonXtal_SegEnds_Prot#'!$A:$AL,23,FALSE)</f>
        <v>189</v>
      </c>
      <c r="AK295" s="5">
        <f>VLOOKUP($A295,'NonXtal_SegEnds_Prot#'!$A:$AL,26,FALSE)</f>
        <v>205</v>
      </c>
      <c r="AL295" s="5">
        <f>VLOOKUP($A295,'NonXtal_SegEnds_Prot#'!$A:$AL,29,FALSE)</f>
        <v>253</v>
      </c>
      <c r="AM295" s="5">
        <f>VLOOKUP($A295,'NonXtal_SegEnds_Prot#'!$A:$AL,32,FALSE)</f>
        <v>294</v>
      </c>
      <c r="AN295" s="5">
        <f>VLOOKUP($A295,'NonXtal_SegEnds_Prot#'!$A:$AL,35,FALSE)</f>
        <v>325</v>
      </c>
      <c r="AO295" s="5">
        <f>VLOOKUP($A295,'NonXtal_SegEnds_Prot#'!$A:$AL,38,FALSE)</f>
        <v>338</v>
      </c>
      <c r="AP295" s="5">
        <f t="shared" si="113"/>
        <v>31</v>
      </c>
      <c r="AQ295" s="4">
        <f t="shared" si="114"/>
        <v>3</v>
      </c>
      <c r="AR295" s="4">
        <f t="shared" si="115"/>
        <v>30</v>
      </c>
      <c r="AS295" s="4">
        <f t="shared" si="116"/>
        <v>3</v>
      </c>
      <c r="AT295" s="4">
        <f t="shared" si="117"/>
        <v>36</v>
      </c>
      <c r="AU295" s="4">
        <f t="shared" si="118"/>
        <v>7</v>
      </c>
      <c r="AV295" s="4">
        <f t="shared" si="119"/>
        <v>23</v>
      </c>
      <c r="AW295" s="4">
        <f t="shared" si="120"/>
        <v>2</v>
      </c>
      <c r="AX295" s="4">
        <f t="shared" si="121"/>
        <v>38</v>
      </c>
      <c r="AY295" s="4">
        <f t="shared" si="122"/>
        <v>37</v>
      </c>
      <c r="AZ295" s="4">
        <f t="shared" si="123"/>
        <v>25</v>
      </c>
      <c r="BA295" s="4">
        <f t="shared" si="124"/>
        <v>12</v>
      </c>
    </row>
    <row r="296" spans="1:53" x14ac:dyDescent="0.2">
      <c r="A296" s="1" t="str">
        <f>'NonXtal_SegEnds_Prot#'!A286</f>
        <v>opsd_human</v>
      </c>
      <c r="B296" s="1" t="str">
        <f t="shared" si="100"/>
        <v>PWQFSMLAAYMFLLIVLGFPINFLTLYVTVQHTPLNYILLNLAVADLFMVLGGFTSTLYTSLHGPTGCNLEGFFATLGGEIALWSLVVLAIERYVVVCKENHAIMGVAFTWVMALACAAPPLANNESFVIYMFVVHFTIPMIIIFFCYGQLVFTVKEAAAQQATTQKAEKEVTRMVIIMVIAFLICWVPYASVAFYIFTHGPIFMTIPAFFAKSAAIYNPVIYIMMNKQFRNCMLTTIC</v>
      </c>
      <c r="C296" s="72" t="str">
        <f>IF(ISERROR(MATCH(A296,'Xtal_SegEnds_Prot#'!B:B, 0)), "NoXtal", "Xtal")</f>
        <v>Xtal</v>
      </c>
      <c r="D296" s="4" t="str">
        <f>VLOOKUP(A296,Classification!A:D,2,FALSE)</f>
        <v>A</v>
      </c>
      <c r="E296" s="5" t="str">
        <f>VLOOKUP(A296,Seqs!A:B,2,FALSE)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296" s="5" t="str">
        <f t="shared" si="101"/>
        <v>PWQFSMLAAYMFLLIVLGFPINFLTLYVTVQH</v>
      </c>
      <c r="G296" s="4" t="str">
        <f t="shared" si="102"/>
        <v>KKLR</v>
      </c>
      <c r="H296" s="4" t="str">
        <f t="shared" si="103"/>
        <v>TPLNYILLNLAVADLFMVLGGFTSTLYTSLH</v>
      </c>
      <c r="I296" s="4" t="str">
        <f t="shared" si="104"/>
        <v>YFVF</v>
      </c>
      <c r="J296" s="4" t="str">
        <f t="shared" si="105"/>
        <v>GPTGCNLEGFFATLGGEIALWSLVVLAIERYVVVCK</v>
      </c>
      <c r="K296" s="4" t="str">
        <f t="shared" si="106"/>
        <v>PMSNFRFG</v>
      </c>
      <c r="L296" s="4" t="str">
        <f t="shared" si="107"/>
        <v>ENHAIMGVAFTWVMALACAAPPLA</v>
      </c>
      <c r="M296" s="4" t="str">
        <f t="shared" si="108"/>
        <v>CGI</v>
      </c>
      <c r="N296" s="4" t="str">
        <f t="shared" si="109"/>
        <v>NNESFVIYMFVVHFTIPMIIIFFCYGQLVFTVKEAAAQQ</v>
      </c>
      <c r="O296" s="4" t="str">
        <f t="shared" si="110"/>
        <v>ATTQKAEKEVTRMVIIMVIAFLICWVPYASVAFYIFTH</v>
      </c>
      <c r="P296" s="4" t="str">
        <f t="shared" si="111"/>
        <v>GPIFMTIPAFFAKSAAIYNPVIYIMM</v>
      </c>
      <c r="Q296" s="4" t="str">
        <f t="shared" si="112"/>
        <v>NKQFRNCMLTTIC</v>
      </c>
      <c r="R296" s="5">
        <f>VLOOKUP($A296,'NonXtal_SegEnds_Prot#'!$A:$AL,3,FALSE)</f>
        <v>34</v>
      </c>
      <c r="S296" s="5">
        <f>VLOOKUP($A296,'NonXtal_SegEnds_Prot#'!$A:$AL,6,FALSE)</f>
        <v>66</v>
      </c>
      <c r="T296" s="5">
        <f>VLOOKUP($A296,'NonXtal_SegEnds_Prot#'!$A:$AL,9,FALSE)</f>
        <v>70</v>
      </c>
      <c r="U296" s="5">
        <f>VLOOKUP($A296,'NonXtal_SegEnds_Prot#'!$A:$AL,12,FALSE)</f>
        <v>102</v>
      </c>
      <c r="V296" s="5">
        <f>VLOOKUP($A296,'NonXtal_SegEnds_Prot#'!$A:$AL,15,FALSE)</f>
        <v>106</v>
      </c>
      <c r="W296" s="5">
        <f>VLOOKUP($A296,'NonXtal_SegEnds_Prot#'!$A:$AL,18,FALSE)</f>
        <v>142</v>
      </c>
      <c r="X296" s="5">
        <f>VLOOKUP($A296,'NonXtal_SegEnds_Prot#'!$A:$AL,21,FALSE)</f>
        <v>150</v>
      </c>
      <c r="Y296" s="5">
        <f>VLOOKUP($A296,'NonXtal_SegEnds_Prot#'!$A:$AL,24,FALSE)</f>
        <v>187</v>
      </c>
      <c r="Z296" s="5">
        <f>VLOOKUP($A296,'NonXtal_SegEnds_Prot#'!$A:$AL,27,FALSE)</f>
        <v>199</v>
      </c>
      <c r="AA296" s="5">
        <f>VLOOKUP($A296,'NonXtal_SegEnds_Prot#'!$A:$AL,30,FALSE)</f>
        <v>241</v>
      </c>
      <c r="AB296" s="5">
        <f>VLOOKUP($A296,'NonXtal_SegEnds_Prot#'!$A:$AL,33,FALSE)</f>
        <v>284</v>
      </c>
      <c r="AC296" s="5">
        <f>VLOOKUP($A296,'NonXtal_SegEnds_Prot#'!$A:$AL,36,FALSE)</f>
        <v>310</v>
      </c>
      <c r="AD296" s="5">
        <f>VLOOKUP($A296,'NonXtal_SegEnds_Prot#'!$A:$AL,5,FALSE)</f>
        <v>65</v>
      </c>
      <c r="AE296" s="5">
        <f>VLOOKUP($A296,'NonXtal_SegEnds_Prot#'!$A:$AL,8,FALSE)</f>
        <v>69</v>
      </c>
      <c r="AF296" s="5">
        <f>VLOOKUP($A296,'NonXtal_SegEnds_Prot#'!$A:$AL,11,FALSE)</f>
        <v>100</v>
      </c>
      <c r="AG296" s="5">
        <f>VLOOKUP($A296,'NonXtal_SegEnds_Prot#'!$A:$AL,14,FALSE)</f>
        <v>105</v>
      </c>
      <c r="AH296" s="5">
        <f>VLOOKUP($A296,'NonXtal_SegEnds_Prot#'!$A:$AL,17,FALSE)</f>
        <v>141</v>
      </c>
      <c r="AI296" s="5">
        <f>VLOOKUP($A296,'NonXtal_SegEnds_Prot#'!$A:$AL,20,FALSE)</f>
        <v>149</v>
      </c>
      <c r="AJ296" s="5">
        <f>VLOOKUP($A296,'NonXtal_SegEnds_Prot#'!$A:$AL,23,FALSE)</f>
        <v>173</v>
      </c>
      <c r="AK296" s="5">
        <f>VLOOKUP($A296,'NonXtal_SegEnds_Prot#'!$A:$AL,26,FALSE)</f>
        <v>189</v>
      </c>
      <c r="AL296" s="5">
        <f>VLOOKUP($A296,'NonXtal_SegEnds_Prot#'!$A:$AL,29,FALSE)</f>
        <v>237</v>
      </c>
      <c r="AM296" s="5">
        <f>VLOOKUP($A296,'NonXtal_SegEnds_Prot#'!$A:$AL,32,FALSE)</f>
        <v>278</v>
      </c>
      <c r="AN296" s="5">
        <f>VLOOKUP($A296,'NonXtal_SegEnds_Prot#'!$A:$AL,35,FALSE)</f>
        <v>309</v>
      </c>
      <c r="AO296" s="5">
        <f>VLOOKUP($A296,'NonXtal_SegEnds_Prot#'!$A:$AL,38,FALSE)</f>
        <v>322</v>
      </c>
      <c r="AP296" s="5">
        <f t="shared" si="113"/>
        <v>31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>
        <f t="shared" si="118"/>
        <v>7</v>
      </c>
      <c r="AV296" s="4">
        <f t="shared" si="119"/>
        <v>23</v>
      </c>
      <c r="AW296" s="4">
        <f t="shared" si="120"/>
        <v>2</v>
      </c>
      <c r="AX296" s="4">
        <f t="shared" si="121"/>
        <v>38</v>
      </c>
      <c r="AY296" s="4">
        <f t="shared" si="122"/>
        <v>37</v>
      </c>
      <c r="AZ296" s="4">
        <f t="shared" si="123"/>
        <v>25</v>
      </c>
      <c r="BA296" s="4">
        <f t="shared" si="124"/>
        <v>12</v>
      </c>
    </row>
    <row r="297" spans="1:53" x14ac:dyDescent="0.2">
      <c r="A297" s="1" t="str">
        <f>'NonXtal_SegEnds_Prot#'!A287</f>
        <v>opsb_human</v>
      </c>
      <c r="B297" s="1" t="str">
        <f t="shared" si="100"/>
        <v>VWAFYLQAAFMGTVFLIGFPLNAMVLVATLRYQPLNYILVNVSFGGFLLCIFSVFPVFVASCNGRHVCALEGFLGTVAGLVTGWSLAFLAFERYIVICKSKHALTVVLATWTIGIGVSIPPFFRSESYTWFLFIFCFIVPLSLICFSYTQLLRALKAVAAQQATTQKAEREVSRMVVVMVGSFCVCYVPYAAFAMYMVNNDLRLVTIPSFFSKSACIYNPIIYCFMNKQFQACIMKMVC</v>
      </c>
      <c r="C297" s="72" t="str">
        <f>IF(ISERROR(MATCH(A297,'Xtal_SegEnds_Prot#'!B:B,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297" s="5" t="str">
        <f t="shared" si="101"/>
        <v>VWAFYLQAAFMGTVFLIGFPLNAMVLVATLRY</v>
      </c>
      <c r="G297" s="4" t="str">
        <f t="shared" si="102"/>
        <v>KKLR</v>
      </c>
      <c r="H297" s="4" t="str">
        <f t="shared" si="103"/>
        <v>QPLNYILVNVSFGGFLLCIFSVFPVFVASCN</v>
      </c>
      <c r="I297" s="4" t="str">
        <f t="shared" si="104"/>
        <v>YFVF</v>
      </c>
      <c r="J297" s="4" t="str">
        <f t="shared" si="105"/>
        <v>GRHVCALEGFLGTVAGLVTGWSLAFLAFERYIVICK</v>
      </c>
      <c r="K297" s="4" t="str">
        <f t="shared" si="106"/>
        <v>PFGNFRFS</v>
      </c>
      <c r="L297" s="4" t="str">
        <f t="shared" si="107"/>
        <v>SKHALTVVLATWTIGIGVSIPPFF</v>
      </c>
      <c r="M297" s="4" t="str">
        <f t="shared" si="108"/>
        <v>CGP</v>
      </c>
      <c r="N297" s="4" t="str">
        <f t="shared" si="109"/>
        <v>RSESYTWFLFIFCFIVPLSLICFSYTQLLRALKAVAAQQ</v>
      </c>
      <c r="O297" s="4" t="str">
        <f t="shared" si="110"/>
        <v>ATTQKAEREVSRMVVVMVGSFCVCYVPYAAFAMYMVNN</v>
      </c>
      <c r="P297" s="4" t="str">
        <f t="shared" si="111"/>
        <v>DLRLVTIPSFFSKSACIYNPIIYCFM</v>
      </c>
      <c r="Q297" s="4" t="str">
        <f t="shared" si="112"/>
        <v>NKQFQACIMKMVC</v>
      </c>
      <c r="R297" s="5">
        <f>VLOOKUP($A297,'NonXtal_SegEnds_Prot#'!$A:$AL,3,FALSE)</f>
        <v>31</v>
      </c>
      <c r="S297" s="5">
        <f>VLOOKUP($A297,'NonXtal_SegEnds_Prot#'!$A:$AL,6,FALSE)</f>
        <v>63</v>
      </c>
      <c r="T297" s="5">
        <f>VLOOKUP($A297,'NonXtal_SegEnds_Prot#'!$A:$AL,9,FALSE)</f>
        <v>67</v>
      </c>
      <c r="U297" s="5">
        <f>VLOOKUP($A297,'NonXtal_SegEnds_Prot#'!$A:$AL,12,FALSE)</f>
        <v>99</v>
      </c>
      <c r="V297" s="5">
        <f>VLOOKUP($A297,'NonXtal_SegEnds_Prot#'!$A:$AL,15,FALSE)</f>
        <v>103</v>
      </c>
      <c r="W297" s="5">
        <f>VLOOKUP($A297,'NonXtal_SegEnds_Prot#'!$A:$AL,18,FALSE)</f>
        <v>139</v>
      </c>
      <c r="X297" s="5">
        <f>VLOOKUP($A297,'NonXtal_SegEnds_Prot#'!$A:$AL,21,FALSE)</f>
        <v>147</v>
      </c>
      <c r="Y297" s="5">
        <f>VLOOKUP($A297,'NonXtal_SegEnds_Prot#'!$A:$AL,24,FALSE)</f>
        <v>184</v>
      </c>
      <c r="Z297" s="5">
        <f>VLOOKUP($A297,'NonXtal_SegEnds_Prot#'!$A:$AL,27,FALSE)</f>
        <v>196</v>
      </c>
      <c r="AA297" s="5">
        <f>VLOOKUP($A297,'NonXtal_SegEnds_Prot#'!$A:$AL,30,FALSE)</f>
        <v>238</v>
      </c>
      <c r="AB297" s="5">
        <f>VLOOKUP($A297,'NonXtal_SegEnds_Prot#'!$A:$AL,33,FALSE)</f>
        <v>281</v>
      </c>
      <c r="AC297" s="5">
        <f>VLOOKUP($A297,'NonXtal_SegEnds_Prot#'!$A:$AL,36,FALSE)</f>
        <v>307</v>
      </c>
      <c r="AD297" s="5">
        <f>VLOOKUP($A297,'NonXtal_SegEnds_Prot#'!$A:$AL,5,FALSE)</f>
        <v>62</v>
      </c>
      <c r="AE297" s="5">
        <f>VLOOKUP($A297,'NonXtal_SegEnds_Prot#'!$A:$AL,8,FALSE)</f>
        <v>66</v>
      </c>
      <c r="AF297" s="5">
        <f>VLOOKUP($A297,'NonXtal_SegEnds_Prot#'!$A:$AL,11,FALSE)</f>
        <v>97</v>
      </c>
      <c r="AG297" s="5">
        <f>VLOOKUP($A297,'NonXtal_SegEnds_Prot#'!$A:$AL,14,FALSE)</f>
        <v>102</v>
      </c>
      <c r="AH297" s="5">
        <f>VLOOKUP($A297,'NonXtal_SegEnds_Prot#'!$A:$AL,17,FALSE)</f>
        <v>138</v>
      </c>
      <c r="AI297" s="5">
        <f>VLOOKUP($A297,'NonXtal_SegEnds_Prot#'!$A:$AL,20,FALSE)</f>
        <v>146</v>
      </c>
      <c r="AJ297" s="5">
        <f>VLOOKUP($A297,'NonXtal_SegEnds_Prot#'!$A:$AL,23,FALSE)</f>
        <v>170</v>
      </c>
      <c r="AK297" s="5">
        <f>VLOOKUP($A297,'NonXtal_SegEnds_Prot#'!$A:$AL,26,FALSE)</f>
        <v>186</v>
      </c>
      <c r="AL297" s="5">
        <f>VLOOKUP($A297,'NonXtal_SegEnds_Prot#'!$A:$AL,29,FALSE)</f>
        <v>234</v>
      </c>
      <c r="AM297" s="5">
        <f>VLOOKUP($A297,'NonXtal_SegEnds_Prot#'!$A:$AL,32,FALSE)</f>
        <v>275</v>
      </c>
      <c r="AN297" s="5">
        <f>VLOOKUP($A297,'NonXtal_SegEnds_Prot#'!$A:$AL,35,FALSE)</f>
        <v>306</v>
      </c>
      <c r="AO297" s="5">
        <f>VLOOKUP($A297,'NonXtal_SegEnds_Prot#'!$A:$AL,38,FALSE)</f>
        <v>319</v>
      </c>
      <c r="AP297" s="5">
        <f t="shared" si="113"/>
        <v>31</v>
      </c>
      <c r="AQ297" s="4">
        <f t="shared" si="114"/>
        <v>3</v>
      </c>
      <c r="AR297" s="4">
        <f t="shared" si="115"/>
        <v>30</v>
      </c>
      <c r="AS297" s="4">
        <f t="shared" si="116"/>
        <v>3</v>
      </c>
      <c r="AT297" s="4">
        <f t="shared" si="117"/>
        <v>35</v>
      </c>
      <c r="AU297" s="4">
        <f t="shared" si="118"/>
        <v>7</v>
      </c>
      <c r="AV297" s="4">
        <f t="shared" si="119"/>
        <v>23</v>
      </c>
      <c r="AW297" s="4">
        <f t="shared" si="120"/>
        <v>2</v>
      </c>
      <c r="AX297" s="4">
        <f t="shared" si="121"/>
        <v>38</v>
      </c>
      <c r="AY297" s="4">
        <f t="shared" si="122"/>
        <v>37</v>
      </c>
      <c r="AZ297" s="4">
        <f t="shared" si="123"/>
        <v>25</v>
      </c>
      <c r="BA297" s="4">
        <f t="shared" si="124"/>
        <v>12</v>
      </c>
    </row>
    <row r="298" spans="1:53" x14ac:dyDescent="0.2">
      <c r="A298" s="1" t="str">
        <f>'NonXtal_SegEnds_Prot#'!A288</f>
        <v>opsd_todpa</v>
      </c>
      <c r="B298" s="1" t="str">
        <f t="shared" si="100"/>
        <v>DAVYYSLGIFIGICGIIGCGGNGIVIYLFTKTTPANMFIINLAFSDFTFSLVNGFPLMTISCFLKGFAACKVYGFIGGIFGFMSIMTMAMISIDRYNVIGRHRRAFIMIIFVWLWSVLWAIGPIFDSTTRSNILCMFILGFFGPILIIFFCYFNIVMSVSNHEKEMAAMAKKELRKAQAGANAEMRLAKISIVIVSQFLLSWSPYAVVALLAQFGTPYAAQLPVMFAKASAIHNPMIYSVSHPKFREAISQTF</v>
      </c>
      <c r="C298" s="72" t="str">
        <f>IF(ISERROR(MATCH(A298,'Xtal_SegEnds_Prot#'!B:B, 0)), "NoXtal", "Xtal")</f>
        <v>Xtal</v>
      </c>
      <c r="D298" s="4" t="str">
        <f>VLOOKUP(A298,Classification!A:D,2,FALSE)</f>
        <v>A</v>
      </c>
      <c r="E298" s="5" t="str">
        <f>VLOOKUP(A298,Seqs!A:B,2,FALSE)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98" s="5" t="str">
        <f t="shared" si="101"/>
        <v>DAVYYSLGIFIGICGIIGCGGNGIVIYLFTKT</v>
      </c>
      <c r="G298" s="4" t="str">
        <f t="shared" si="102"/>
        <v>KSLQ</v>
      </c>
      <c r="H298" s="4" t="str">
        <f t="shared" si="103"/>
        <v>TPANMFIINLAFSDFTFSLVNGFPLMTISCFLK</v>
      </c>
      <c r="I298" s="4" t="str">
        <f t="shared" si="104"/>
        <v>KWIF</v>
      </c>
      <c r="J298" s="4" t="str">
        <f t="shared" si="105"/>
        <v>GFAACKVYGFIGGIFGFMSIMTMAMISIDRYNVIGR</v>
      </c>
      <c r="K298" s="4" t="str">
        <f t="shared" si="106"/>
        <v>PMAASKKM</v>
      </c>
      <c r="L298" s="4" t="str">
        <f t="shared" si="107"/>
        <v>HRRAFIMIIFVWLWSVLWAIGPIF</v>
      </c>
      <c r="M298" s="4" t="str">
        <f t="shared" si="108"/>
        <v>CSF</v>
      </c>
      <c r="N298" s="4" t="str">
        <f t="shared" si="109"/>
        <v>DSTTRSNILCMFILGFFGPILIIFFCYFNIVMSVSNHEKEMAAMAK</v>
      </c>
      <c r="O298" s="4" t="str">
        <f t="shared" si="110"/>
        <v>KELRKAQAGANAEMRLAKISIVIVSQFLLSWSPYAVVALLAQFG</v>
      </c>
      <c r="P298" s="4" t="str">
        <f t="shared" si="111"/>
        <v>TPYAAQLPVMFAKASAIHNPMIYSVS</v>
      </c>
      <c r="Q298" s="4" t="str">
        <f t="shared" si="112"/>
        <v>HPKFREAISQTF</v>
      </c>
      <c r="R298" s="5">
        <f>VLOOKUP($A298,'NonXtal_SegEnds_Prot#'!$A:$AL,3,FALSE)</f>
        <v>31</v>
      </c>
      <c r="S298" s="5">
        <f>VLOOKUP($A298,'NonXtal_SegEnds_Prot#'!$A:$AL,6,FALSE)</f>
        <v>63</v>
      </c>
      <c r="T298" s="5">
        <f>VLOOKUP($A298,'NonXtal_SegEnds_Prot#'!$A:$AL,9,FALSE)</f>
        <v>67</v>
      </c>
      <c r="U298" s="5">
        <f>VLOOKUP($A298,'NonXtal_SegEnds_Prot#'!$A:$AL,12,FALSE)</f>
        <v>100</v>
      </c>
      <c r="V298" s="5">
        <f>VLOOKUP($A298,'NonXtal_SegEnds_Prot#'!$A:$AL,15,FALSE)</f>
        <v>104</v>
      </c>
      <c r="W298" s="5">
        <f>VLOOKUP($A298,'NonXtal_SegEnds_Prot#'!$A:$AL,18,FALSE)</f>
        <v>140</v>
      </c>
      <c r="X298" s="5">
        <f>VLOOKUP($A298,'NonXtal_SegEnds_Prot#'!$A:$AL,21,FALSE)</f>
        <v>149</v>
      </c>
      <c r="Y298" s="5">
        <f>VLOOKUP($A298,'NonXtal_SegEnds_Prot#'!$A:$AL,24,FALSE)</f>
        <v>186</v>
      </c>
      <c r="Z298" s="5">
        <f>VLOOKUP($A298,'NonXtal_SegEnds_Prot#'!$A:$AL,27,FALSE)</f>
        <v>194</v>
      </c>
      <c r="AA298" s="5">
        <f>VLOOKUP($A298,'NonXtal_SegEnds_Prot#'!$A:$AL,30,FALSE)</f>
        <v>244</v>
      </c>
      <c r="AB298" s="5">
        <f>VLOOKUP($A298,'NonXtal_SegEnds_Prot#'!$A:$AL,33,FALSE)</f>
        <v>293</v>
      </c>
      <c r="AC298" s="5">
        <f>VLOOKUP($A298,'NonXtal_SegEnds_Prot#'!$A:$AL,36,FALSE)</f>
        <v>319</v>
      </c>
      <c r="AD298" s="5">
        <f>VLOOKUP($A298,'NonXtal_SegEnds_Prot#'!$A:$AL,5,FALSE)</f>
        <v>62</v>
      </c>
      <c r="AE298" s="5">
        <f>VLOOKUP($A298,'NonXtal_SegEnds_Prot#'!$A:$AL,8,FALSE)</f>
        <v>66</v>
      </c>
      <c r="AF298" s="5">
        <f>VLOOKUP($A298,'NonXtal_SegEnds_Prot#'!$A:$AL,11,FALSE)</f>
        <v>99</v>
      </c>
      <c r="AG298" s="5">
        <f>VLOOKUP($A298,'NonXtal_SegEnds_Prot#'!$A:$AL,14,FALSE)</f>
        <v>103</v>
      </c>
      <c r="AH298" s="5">
        <f>VLOOKUP($A298,'NonXtal_SegEnds_Prot#'!$A:$AL,17,FALSE)</f>
        <v>139</v>
      </c>
      <c r="AI298" s="5">
        <f>VLOOKUP($A298,'NonXtal_SegEnds_Prot#'!$A:$AL,20,FALSE)</f>
        <v>147</v>
      </c>
      <c r="AJ298" s="5">
        <f>VLOOKUP($A298,'NonXtal_SegEnds_Prot#'!$A:$AL,23,FALSE)</f>
        <v>172</v>
      </c>
      <c r="AK298" s="5">
        <f>VLOOKUP($A298,'NonXtal_SegEnds_Prot#'!$A:$AL,26,FALSE)</f>
        <v>188</v>
      </c>
      <c r="AL298" s="5">
        <f>VLOOKUP($A298,'NonXtal_SegEnds_Prot#'!$A:$AL,29,FALSE)</f>
        <v>239</v>
      </c>
      <c r="AM298" s="5">
        <f>VLOOKUP($A298,'NonXtal_SegEnds_Prot#'!$A:$AL,32,FALSE)</f>
        <v>287</v>
      </c>
      <c r="AN298" s="5">
        <f>VLOOKUP($A298,'NonXtal_SegEnds_Prot#'!$A:$AL,35,FALSE)</f>
        <v>318</v>
      </c>
      <c r="AO298" s="5">
        <f>VLOOKUP($A298,'NonXtal_SegEnds_Prot#'!$A:$AL,38,FALSE)</f>
        <v>330</v>
      </c>
      <c r="AP298" s="5">
        <f t="shared" si="113"/>
        <v>31</v>
      </c>
      <c r="AQ298" s="4">
        <f t="shared" si="114"/>
        <v>3</v>
      </c>
      <c r="AR298" s="4">
        <f t="shared" si="115"/>
        <v>32</v>
      </c>
      <c r="AS298" s="4">
        <f t="shared" si="116"/>
        <v>3</v>
      </c>
      <c r="AT298" s="4">
        <f t="shared" si="117"/>
        <v>35</v>
      </c>
      <c r="AU298" s="4">
        <f t="shared" si="118"/>
        <v>7</v>
      </c>
      <c r="AV298" s="4">
        <f t="shared" si="119"/>
        <v>23</v>
      </c>
      <c r="AW298" s="4">
        <f t="shared" si="120"/>
        <v>2</v>
      </c>
      <c r="AX298" s="4">
        <f t="shared" si="121"/>
        <v>45</v>
      </c>
      <c r="AY298" s="4">
        <f t="shared" si="122"/>
        <v>43</v>
      </c>
      <c r="AZ298" s="4">
        <f t="shared" si="123"/>
        <v>25</v>
      </c>
      <c r="BA298" s="4">
        <f t="shared" si="124"/>
        <v>11</v>
      </c>
    </row>
    <row r="299" spans="1:53" x14ac:dyDescent="0.2">
      <c r="A299" s="1" t="str">
        <f>'NonXtal_SegEnds_Prot#'!A289</f>
        <v>npff2_human</v>
      </c>
      <c r="B299" s="1" t="str">
        <f t="shared" si="100"/>
        <v>AAIFIISYFLIFFLCMMGNTVVCFIVMRNTVTNLFILNLAISDLLVGIFCMPITLLDNIIGNTMCKISGLVQGISVAASVFTLVAIAVDRFQCVVYIKTAFVIIMIIWVLAITIMSPSAVMLQEMRKIYTTVLFANIYLAPLSLIVIMYGRIGISLFRAAVPHTHVVSRKKQKIIKMLLIVALLFILSWLPLWTLMMLSDYAQIINIYIYPFAHWLAFGNSSVNPIIYGFFNENFRRGFQEAF</v>
      </c>
      <c r="C299" s="72" t="str">
        <f>IF(ISERROR(MATCH(A299,'Xtal_SegEnds_Prot#'!B:B,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9" s="5" t="str">
        <f t="shared" si="101"/>
        <v>AAIFIISYFLIFFLCMMGNTVVCFIVMRN</v>
      </c>
      <c r="G299" s="4" t="str">
        <f t="shared" si="102"/>
        <v>KHMH</v>
      </c>
      <c r="H299" s="4" t="str">
        <f t="shared" si="103"/>
        <v>TVTNLFILNLAISDLLVGIFCMPITLLDNII</v>
      </c>
      <c r="I299" s="4" t="str">
        <f t="shared" si="104"/>
        <v>GWPF</v>
      </c>
      <c r="J299" s="4" t="str">
        <f t="shared" si="105"/>
        <v>GNTMCKISGLVQGISVAASVFTLVAIAVDRFQCVVY</v>
      </c>
      <c r="K299" s="4" t="str">
        <f t="shared" si="106"/>
        <v>PFKPKLT</v>
      </c>
      <c r="L299" s="4" t="str">
        <f t="shared" si="107"/>
        <v>IKTAFVIIMIIWVLAITIMSPSAVML</v>
      </c>
      <c r="M299" s="4" t="str">
        <f t="shared" si="108"/>
        <v>CRE</v>
      </c>
      <c r="N299" s="4" t="str">
        <f t="shared" si="109"/>
        <v>QEMRKIYTTVLFANIYLAPLSLIVIMYGRIGISLFRAAVPHT</v>
      </c>
      <c r="O299" s="4" t="str">
        <f t="shared" si="110"/>
        <v>HVVSRKKQKIIKMLLIVALLFILSWLPLWTLMMLSDYA</v>
      </c>
      <c r="P299" s="4" t="str">
        <f t="shared" si="111"/>
        <v>QIINIYIYPFAHWLAFGNSSVNPIIYGFF</v>
      </c>
      <c r="Q299" s="4" t="str">
        <f t="shared" si="112"/>
        <v>NENFRRGFQEAF</v>
      </c>
      <c r="R299" s="5">
        <f>VLOOKUP($A299,'NonXtal_SegEnds_Prot#'!$A:$AL,3,FALSE)</f>
        <v>147</v>
      </c>
      <c r="S299" s="5">
        <f>VLOOKUP($A299,'NonXtal_SegEnds_Prot#'!$A:$AL,6,FALSE)</f>
        <v>176</v>
      </c>
      <c r="T299" s="5">
        <f>VLOOKUP($A299,'NonXtal_SegEnds_Prot#'!$A:$AL,9,FALSE)</f>
        <v>180</v>
      </c>
      <c r="U299" s="5">
        <f>VLOOKUP($A299,'NonXtal_SegEnds_Prot#'!$A:$AL,12,FALSE)</f>
        <v>212</v>
      </c>
      <c r="V299" s="5">
        <f>VLOOKUP($A299,'NonXtal_SegEnds_Prot#'!$A:$AL,15,FALSE)</f>
        <v>216</v>
      </c>
      <c r="W299" s="5">
        <f>VLOOKUP($A299,'NonXtal_SegEnds_Prot#'!$A:$AL,18,FALSE)</f>
        <v>252</v>
      </c>
      <c r="X299" s="5">
        <f>VLOOKUP($A299,'NonXtal_SegEnds_Prot#'!$A:$AL,21,FALSE)</f>
        <v>259</v>
      </c>
      <c r="Y299" s="5">
        <f>VLOOKUP($A299,'NonXtal_SegEnds_Prot#'!$A:$AL,24,FALSE)</f>
        <v>308</v>
      </c>
      <c r="Z299" s="5">
        <f>VLOOKUP($A299,'NonXtal_SegEnds_Prot#'!$A:$AL,27,FALSE)</f>
        <v>315</v>
      </c>
      <c r="AA299" s="5">
        <f>VLOOKUP($A299,'NonXtal_SegEnds_Prot#'!$A:$AL,30,FALSE)</f>
        <v>365</v>
      </c>
      <c r="AB299" s="5">
        <f>VLOOKUP($A299,'NonXtal_SegEnds_Prot#'!$A:$AL,33,FALSE)</f>
        <v>410</v>
      </c>
      <c r="AC299" s="5">
        <f>VLOOKUP($A299,'NonXtal_SegEnds_Prot#'!$A:$AL,36,FALSE)</f>
        <v>439</v>
      </c>
      <c r="AD299" s="5">
        <f>VLOOKUP($A299,'NonXtal_SegEnds_Prot#'!$A:$AL,5,FALSE)</f>
        <v>175</v>
      </c>
      <c r="AE299" s="5">
        <f>VLOOKUP($A299,'NonXtal_SegEnds_Prot#'!$A:$AL,8,FALSE)</f>
        <v>179</v>
      </c>
      <c r="AF299" s="5">
        <f>VLOOKUP($A299,'NonXtal_SegEnds_Prot#'!$A:$AL,11,FALSE)</f>
        <v>210</v>
      </c>
      <c r="AG299" s="5">
        <f>VLOOKUP($A299,'NonXtal_SegEnds_Prot#'!$A:$AL,14,FALSE)</f>
        <v>215</v>
      </c>
      <c r="AH299" s="5">
        <f>VLOOKUP($A299,'NonXtal_SegEnds_Prot#'!$A:$AL,17,FALSE)</f>
        <v>251</v>
      </c>
      <c r="AI299" s="5">
        <f>VLOOKUP($A299,'NonXtal_SegEnds_Prot#'!$A:$AL,20,FALSE)</f>
        <v>258</v>
      </c>
      <c r="AJ299" s="5">
        <f>VLOOKUP($A299,'NonXtal_SegEnds_Prot#'!$A:$AL,23,FALSE)</f>
        <v>284</v>
      </c>
      <c r="AK299" s="5">
        <f>VLOOKUP($A299,'NonXtal_SegEnds_Prot#'!$A:$AL,26,FALSE)</f>
        <v>310</v>
      </c>
      <c r="AL299" s="5">
        <f>VLOOKUP($A299,'NonXtal_SegEnds_Prot#'!$A:$AL,29,FALSE)</f>
        <v>356</v>
      </c>
      <c r="AM299" s="5">
        <f>VLOOKUP($A299,'NonXtal_SegEnds_Prot#'!$A:$AL,32,FALSE)</f>
        <v>402</v>
      </c>
      <c r="AN299" s="5">
        <f>VLOOKUP($A299,'NonXtal_SegEnds_Prot#'!$A:$AL,35,FALSE)</f>
        <v>438</v>
      </c>
      <c r="AO299" s="5">
        <f>VLOOKUP($A299,'NonXtal_SegEnds_Prot#'!$A:$AL,38,FALSE)</f>
        <v>450</v>
      </c>
      <c r="AP299" s="5">
        <f t="shared" si="113"/>
        <v>28</v>
      </c>
      <c r="AQ299" s="4">
        <f t="shared" si="114"/>
        <v>3</v>
      </c>
      <c r="AR299" s="4">
        <f t="shared" si="115"/>
        <v>30</v>
      </c>
      <c r="AS299" s="4">
        <f t="shared" si="116"/>
        <v>3</v>
      </c>
      <c r="AT299" s="4">
        <f t="shared" si="117"/>
        <v>35</v>
      </c>
      <c r="AU299" s="4">
        <f t="shared" si="118"/>
        <v>6</v>
      </c>
      <c r="AV299" s="4">
        <f t="shared" si="119"/>
        <v>25</v>
      </c>
      <c r="AW299" s="4">
        <f t="shared" si="120"/>
        <v>2</v>
      </c>
      <c r="AX299" s="4">
        <f t="shared" si="121"/>
        <v>41</v>
      </c>
      <c r="AY299" s="4">
        <f t="shared" si="122"/>
        <v>37</v>
      </c>
      <c r="AZ299" s="4">
        <f t="shared" si="123"/>
        <v>28</v>
      </c>
      <c r="BA299" s="4">
        <f t="shared" si="124"/>
        <v>11</v>
      </c>
    </row>
    <row r="300" spans="1:53" x14ac:dyDescent="0.2">
      <c r="A300" s="1" t="str">
        <f>'NonXtal_SegEnds_Prot#'!A290</f>
        <v>gp135_human</v>
      </c>
      <c r="B300" s="1" t="str">
        <f t="shared" si="100"/>
        <v>VAAQALVLLLIFLLSSLGNCAVMGVIVKHTVTNAFILSLSLSDLLTALLCLPAAFLDLFTAGPWRGFCAASRFFSSCFGIVSTLSVALISLDRYCAIVRRRRALQLLAGAWLTALGFSLPWELLGAQLGAAFSVGLVVACYLLPFLLMCFCHYHICKTVRLSDVRVRARVLRFFSEVRTATTVLIMIVFVICCWGPYCFLVLLAAARMQAPSLLSVVAVWLTWANGAINPVIYAIRNPNISMLLGRNR</v>
      </c>
      <c r="C300" s="72" t="str">
        <f>IF(ISERROR(MATCH(A300,'Xtal_SegEnds_Prot#'!B:B,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300" s="5" t="str">
        <f t="shared" si="101"/>
        <v>VAAQALVLLLIFLLSSLGNCAVMGVIVKH</v>
      </c>
      <c r="G300" s="4" t="str">
        <f t="shared" si="102"/>
        <v>RQLR</v>
      </c>
      <c r="H300" s="4" t="str">
        <f t="shared" si="103"/>
        <v>TVTNAFILSLSLSDLLTALLCLPAAFLDLFT</v>
      </c>
      <c r="I300" s="4" t="str">
        <f t="shared" si="104"/>
        <v/>
      </c>
      <c r="J300" s="4" t="str">
        <f t="shared" si="105"/>
        <v>AGPWRGFCAASRFFSSCFGIVSTLSVALISLDRYCAIVR</v>
      </c>
      <c r="K300" s="4" t="str">
        <f t="shared" si="106"/>
        <v>PPREKIG</v>
      </c>
      <c r="L300" s="4" t="str">
        <f t="shared" si="107"/>
        <v>RRRALQLLAGAWLTALGFSLPWELLG</v>
      </c>
      <c r="M300" s="4" t="str">
        <f t="shared" si="108"/>
        <v>CLY</v>
      </c>
      <c r="N300" s="4" t="str">
        <f t="shared" si="109"/>
        <v>AQLGAAFSVGLVVACYLLPFLLMCFCHYHICKTVRLSDVRVR</v>
      </c>
      <c r="O300" s="4" t="str">
        <f t="shared" si="110"/>
        <v>ARVLRFFSEVRTATTVLIMIVFVICCWGPYCFLVLLAAAR</v>
      </c>
      <c r="P300" s="4" t="str">
        <f t="shared" si="111"/>
        <v>MQAPSLLSVVAVWLTWANGAINPVIYAIR</v>
      </c>
      <c r="Q300" s="4" t="str">
        <f t="shared" si="112"/>
        <v>NPNISMLLGRNR</v>
      </c>
      <c r="R300" s="5">
        <f>VLOOKUP($A300,'NonXtal_SegEnds_Prot#'!$A:$AL,3,FALSE)</f>
        <v>103</v>
      </c>
      <c r="S300" s="5">
        <f>VLOOKUP($A300,'NonXtal_SegEnds_Prot#'!$A:$AL,6,FALSE)</f>
        <v>132</v>
      </c>
      <c r="T300" s="5">
        <f>VLOOKUP($A300,'NonXtal_SegEnds_Prot#'!$A:$AL,9,FALSE)</f>
        <v>136</v>
      </c>
      <c r="U300" s="5" t="str">
        <f>VLOOKUP($A300,'NonXtal_SegEnds_Prot#'!$A:$AL,12,FALSE)</f>
        <v>-</v>
      </c>
      <c r="V300" s="5">
        <f>VLOOKUP($A300,'NonXtal_SegEnds_Prot#'!$A:$AL,15,FALSE)</f>
        <v>177</v>
      </c>
      <c r="W300" s="5">
        <f>VLOOKUP($A300,'NonXtal_SegEnds_Prot#'!$A:$AL,18,FALSE)</f>
        <v>216</v>
      </c>
      <c r="X300" s="5">
        <f>VLOOKUP($A300,'NonXtal_SegEnds_Prot#'!$A:$AL,21,FALSE)</f>
        <v>223</v>
      </c>
      <c r="Y300" s="5">
        <f>VLOOKUP($A300,'NonXtal_SegEnds_Prot#'!$A:$AL,24,FALSE)</f>
        <v>262</v>
      </c>
      <c r="Z300" s="5">
        <f>VLOOKUP($A300,'NonXtal_SegEnds_Prot#'!$A:$AL,27,FALSE)</f>
        <v>271</v>
      </c>
      <c r="AA300" s="5">
        <f>VLOOKUP($A300,'NonXtal_SegEnds_Prot#'!$A:$AL,30,FALSE)</f>
        <v>318</v>
      </c>
      <c r="AB300" s="5">
        <f>VLOOKUP($A300,'NonXtal_SegEnds_Prot#'!$A:$AL,33,FALSE)</f>
        <v>362</v>
      </c>
      <c r="AC300" s="5">
        <f>VLOOKUP($A300,'NonXtal_SegEnds_Prot#'!$A:$AL,36,FALSE)</f>
        <v>391</v>
      </c>
      <c r="AD300" s="5">
        <f>VLOOKUP($A300,'NonXtal_SegEnds_Prot#'!$A:$AL,5,FALSE)</f>
        <v>131</v>
      </c>
      <c r="AE300" s="5">
        <f>VLOOKUP($A300,'NonXtal_SegEnds_Prot#'!$A:$AL,8,FALSE)</f>
        <v>135</v>
      </c>
      <c r="AF300" s="5">
        <f>VLOOKUP($A300,'NonXtal_SegEnds_Prot#'!$A:$AL,11,FALSE)</f>
        <v>166</v>
      </c>
      <c r="AG300" s="5" t="str">
        <f>VLOOKUP($A300,'NonXtal_SegEnds_Prot#'!$A:$AL,14,FALSE)</f>
        <v>-</v>
      </c>
      <c r="AH300" s="5">
        <f>VLOOKUP($A300,'NonXtal_SegEnds_Prot#'!$A:$AL,17,FALSE)</f>
        <v>215</v>
      </c>
      <c r="AI300" s="5">
        <f>VLOOKUP($A300,'NonXtal_SegEnds_Prot#'!$A:$AL,20,FALSE)</f>
        <v>222</v>
      </c>
      <c r="AJ300" s="5">
        <f>VLOOKUP($A300,'NonXtal_SegEnds_Prot#'!$A:$AL,23,FALSE)</f>
        <v>248</v>
      </c>
      <c r="AK300" s="5">
        <f>VLOOKUP($A300,'NonXtal_SegEnds_Prot#'!$A:$AL,26,FALSE)</f>
        <v>264</v>
      </c>
      <c r="AL300" s="5">
        <f>VLOOKUP($A300,'NonXtal_SegEnds_Prot#'!$A:$AL,29,FALSE)</f>
        <v>312</v>
      </c>
      <c r="AM300" s="5">
        <f>VLOOKUP($A300,'NonXtal_SegEnds_Prot#'!$A:$AL,32,FALSE)</f>
        <v>357</v>
      </c>
      <c r="AN300" s="5">
        <f>VLOOKUP($A300,'NonXtal_SegEnds_Prot#'!$A:$AL,35,FALSE)</f>
        <v>390</v>
      </c>
      <c r="AO300" s="5">
        <f>VLOOKUP($A300,'NonXtal_SegEnds_Prot#'!$A:$AL,38,FALSE)</f>
        <v>402</v>
      </c>
      <c r="AP300" s="5">
        <f t="shared" si="113"/>
        <v>28</v>
      </c>
      <c r="AQ300" s="4">
        <f t="shared" si="114"/>
        <v>3</v>
      </c>
      <c r="AR300" s="4">
        <f t="shared" si="115"/>
        <v>30</v>
      </c>
      <c r="AS300" s="4" t="str">
        <f t="shared" si="116"/>
        <v>-</v>
      </c>
      <c r="AT300" s="4">
        <f t="shared" si="117"/>
        <v>38</v>
      </c>
      <c r="AU300" s="4">
        <f t="shared" si="118"/>
        <v>6</v>
      </c>
      <c r="AV300" s="4">
        <f t="shared" si="119"/>
        <v>25</v>
      </c>
      <c r="AW300" s="4">
        <f t="shared" si="120"/>
        <v>2</v>
      </c>
      <c r="AX300" s="4">
        <f t="shared" si="121"/>
        <v>41</v>
      </c>
      <c r="AY300" s="4">
        <f t="shared" si="122"/>
        <v>39</v>
      </c>
      <c r="AZ300" s="4">
        <f t="shared" si="123"/>
        <v>28</v>
      </c>
      <c r="BA300" s="4">
        <f t="shared" si="124"/>
        <v>11</v>
      </c>
    </row>
    <row r="301" spans="1:53" x14ac:dyDescent="0.2">
      <c r="A301" s="1" t="str">
        <f>'NonXtal_SegEnds_Prot#'!A291</f>
        <v>gp150_human</v>
      </c>
      <c r="B301" s="1" t="str">
        <f t="shared" si="100"/>
        <v>RRVRLVFLGVILVVAVAGNTTVLCRLCGGRKMDFLLVQLALADLYACGGTALSQLAWELLAATGDLACRFLQLLQASGRGASAHLVVLIALERRRAVRLPLPARALAALGWLLALLLALPPAFVVRWHLQVYAFYEAVAGFVAPVTVLGVACGHLLSVWWRHRPQAPAPAPSALPRAKVQSLKMSLLLALLFVGCELPYFAARLAAAWSDWEGEGLSAALRVVAMANSALNPFVYLFFQAGDCRLRRQLR</v>
      </c>
      <c r="C301" s="72" t="str">
        <f>IF(ISERROR(MATCH(A301,'Xtal_SegEnds_Prot#'!B:B,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301" s="5" t="str">
        <f t="shared" si="101"/>
        <v>RRVRLVFLGVILVVAVAGNTTVLCRLCGG</v>
      </c>
      <c r="G301" s="4" t="str">
        <f t="shared" si="102"/>
        <v/>
      </c>
      <c r="H301" s="4" t="str">
        <f t="shared" si="103"/>
        <v>RKMDFLLVQLALADLYACGGTALSQLAWELL</v>
      </c>
      <c r="I301" s="4" t="str">
        <f t="shared" si="104"/>
        <v/>
      </c>
      <c r="J301" s="4" t="str">
        <f t="shared" si="105"/>
        <v>AATGDLACRFLQLLQASGRGASAHLVVLIALERRRAVRL</v>
      </c>
      <c r="K301" s="4" t="str">
        <f t="shared" si="106"/>
        <v/>
      </c>
      <c r="L301" s="4" t="str">
        <f t="shared" si="107"/>
        <v>PLPARALAALGWLLALLLALPPAFVV</v>
      </c>
      <c r="M301" s="4" t="str">
        <f t="shared" si="108"/>
        <v>CHG</v>
      </c>
      <c r="N301" s="4" t="str">
        <f t="shared" si="109"/>
        <v>RWHLQVYAFYEAVAGFVAPVTVLGVACGHLLSVWWRHRPQAPA</v>
      </c>
      <c r="O301" s="4" t="str">
        <f t="shared" si="110"/>
        <v>PAPSALPRAKVQSLKMSLLLALLFVGCELPYFAARLAAAWS</v>
      </c>
      <c r="P301" s="4" t="str">
        <f t="shared" si="111"/>
        <v>DWEGEGLSAALRVVAMANSALNPFVYLFF</v>
      </c>
      <c r="Q301" s="4" t="str">
        <f t="shared" si="112"/>
        <v>QAGDCRLRRQLR</v>
      </c>
      <c r="R301" s="5">
        <f>VLOOKUP($A301,'NonXtal_SegEnds_Prot#'!$A:$AL,3,FALSE)</f>
        <v>42</v>
      </c>
      <c r="S301" s="5" t="str">
        <f>VLOOKUP($A301,'NonXtal_SegEnds_Prot#'!$A:$AL,6,FALSE)</f>
        <v>-</v>
      </c>
      <c r="T301" s="5">
        <f>VLOOKUP($A301,'NonXtal_SegEnds_Prot#'!$A:$AL,9,FALSE)</f>
        <v>80</v>
      </c>
      <c r="U301" s="5" t="str">
        <f>VLOOKUP($A301,'NonXtal_SegEnds_Prot#'!$A:$AL,12,FALSE)</f>
        <v>-</v>
      </c>
      <c r="V301" s="5">
        <f>VLOOKUP($A301,'NonXtal_SegEnds_Prot#'!$A:$AL,15,FALSE)</f>
        <v>115</v>
      </c>
      <c r="W301" s="5" t="str">
        <f>VLOOKUP($A301,'NonXtal_SegEnds_Prot#'!$A:$AL,18,FALSE)</f>
        <v>-</v>
      </c>
      <c r="X301" s="5">
        <f>VLOOKUP($A301,'NonXtal_SegEnds_Prot#'!$A:$AL,21,FALSE)</f>
        <v>158</v>
      </c>
      <c r="Y301" s="5">
        <f>VLOOKUP($A301,'NonXtal_SegEnds_Prot#'!$A:$AL,24,FALSE)</f>
        <v>217</v>
      </c>
      <c r="Z301" s="5">
        <f>VLOOKUP($A301,'NonXtal_SegEnds_Prot#'!$A:$AL,27,FALSE)</f>
        <v>226</v>
      </c>
      <c r="AA301" s="5">
        <f>VLOOKUP($A301,'NonXtal_SegEnds_Prot#'!$A:$AL,30,FALSE)</f>
        <v>281</v>
      </c>
      <c r="AB301" s="5">
        <f>VLOOKUP($A301,'NonXtal_SegEnds_Prot#'!$A:$AL,33,FALSE)</f>
        <v>327</v>
      </c>
      <c r="AC301" s="5">
        <f>VLOOKUP($A301,'NonXtal_SegEnds_Prot#'!$A:$AL,36,FALSE)</f>
        <v>356</v>
      </c>
      <c r="AD301" s="5">
        <f>VLOOKUP($A301,'NonXtal_SegEnds_Prot#'!$A:$AL,5,FALSE)</f>
        <v>70</v>
      </c>
      <c r="AE301" s="5" t="str">
        <f>VLOOKUP($A301,'NonXtal_SegEnds_Prot#'!$A:$AL,8,FALSE)</f>
        <v>-</v>
      </c>
      <c r="AF301" s="5">
        <f>VLOOKUP($A301,'NonXtal_SegEnds_Prot#'!$A:$AL,11,FALSE)</f>
        <v>110</v>
      </c>
      <c r="AG301" s="5" t="str">
        <f>VLOOKUP($A301,'NonXtal_SegEnds_Prot#'!$A:$AL,14,FALSE)</f>
        <v>-</v>
      </c>
      <c r="AH301" s="5">
        <f>VLOOKUP($A301,'NonXtal_SegEnds_Prot#'!$A:$AL,17,FALSE)</f>
        <v>153</v>
      </c>
      <c r="AI301" s="5" t="str">
        <f>VLOOKUP($A301,'NonXtal_SegEnds_Prot#'!$A:$AL,20,FALSE)</f>
        <v>-</v>
      </c>
      <c r="AJ301" s="5">
        <f>VLOOKUP($A301,'NonXtal_SegEnds_Prot#'!$A:$AL,23,FALSE)</f>
        <v>183</v>
      </c>
      <c r="AK301" s="5">
        <f>VLOOKUP($A301,'NonXtal_SegEnds_Prot#'!$A:$AL,26,FALSE)</f>
        <v>219</v>
      </c>
      <c r="AL301" s="5">
        <f>VLOOKUP($A301,'NonXtal_SegEnds_Prot#'!$A:$AL,29,FALSE)</f>
        <v>268</v>
      </c>
      <c r="AM301" s="5">
        <f>VLOOKUP($A301,'NonXtal_SegEnds_Prot#'!$A:$AL,32,FALSE)</f>
        <v>321</v>
      </c>
      <c r="AN301" s="5">
        <f>VLOOKUP($A301,'NonXtal_SegEnds_Prot#'!$A:$AL,35,FALSE)</f>
        <v>355</v>
      </c>
      <c r="AO301" s="5">
        <f>VLOOKUP($A301,'NonXtal_SegEnds_Prot#'!$A:$AL,38,FALSE)</f>
        <v>367</v>
      </c>
      <c r="AP301" s="5">
        <f t="shared" si="113"/>
        <v>28</v>
      </c>
      <c r="AQ301" s="4" t="str">
        <f t="shared" si="114"/>
        <v>-</v>
      </c>
      <c r="AR301" s="4">
        <f t="shared" si="115"/>
        <v>30</v>
      </c>
      <c r="AS301" s="4" t="str">
        <f t="shared" si="116"/>
        <v>-</v>
      </c>
      <c r="AT301" s="4">
        <f t="shared" si="117"/>
        <v>38</v>
      </c>
      <c r="AU301" s="4" t="str">
        <f t="shared" si="118"/>
        <v>-</v>
      </c>
      <c r="AV301" s="4">
        <f t="shared" si="119"/>
        <v>25</v>
      </c>
      <c r="AW301" s="4">
        <f t="shared" si="120"/>
        <v>2</v>
      </c>
      <c r="AX301" s="4">
        <f t="shared" si="121"/>
        <v>42</v>
      </c>
      <c r="AY301" s="4">
        <f t="shared" si="122"/>
        <v>40</v>
      </c>
      <c r="AZ301" s="4">
        <f t="shared" si="123"/>
        <v>28</v>
      </c>
      <c r="BA301" s="4">
        <f t="shared" si="124"/>
        <v>11</v>
      </c>
    </row>
    <row r="302" spans="1:53" x14ac:dyDescent="0.2">
      <c r="A302" s="1" t="str">
        <f>'NonXtal_SegEnds_Prot#'!A292</f>
        <v>npy2r_human</v>
      </c>
      <c r="B302" s="1" t="str">
        <f t="shared" si="100"/>
        <v>QVVLILAYCSIILLGVIGNSLVIHVVIKFTVTNFFIANLAVADLLVNTLCLPFTLTYTLMGPVLCHLVPYAQGLAVQVSTITLTVIALDRHRCIVYKRISFLIIGLAWGISALLASPLAIFRSIYGTVYSLSSLLILYVLPLGIISFSYTRIWSKLKNHVSPGDHYHQRRQKTTKMLVCVVVVFAVSWLPLHAFQLAVDIDLKEYKLIFTVFHIIAMCSTFANPLLYGWMNSNYRKAFLSAF</v>
      </c>
      <c r="C302" s="72" t="str">
        <f>IF(ISERROR(MATCH(A302,'Xtal_SegEnds_Prot#'!B:B,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302" s="5" t="str">
        <f t="shared" si="101"/>
        <v>QVVLILAYCSIILLGVIGNSLVIHVVIKF</v>
      </c>
      <c r="G302" s="4" t="str">
        <f t="shared" si="102"/>
        <v>KSMR</v>
      </c>
      <c r="H302" s="4" t="str">
        <f t="shared" si="103"/>
        <v>TVTNFFIANLAVADLLVNTLCLPFTLTYTLM</v>
      </c>
      <c r="I302" s="4" t="str">
        <f t="shared" si="104"/>
        <v>EWKM</v>
      </c>
      <c r="J302" s="4" t="str">
        <f t="shared" si="105"/>
        <v>GPVLCHLVPYAQGLAVQVSTITLTVIALDRHRCIVY</v>
      </c>
      <c r="K302" s="4" t="str">
        <f t="shared" si="106"/>
        <v>HLESKIS</v>
      </c>
      <c r="L302" s="4" t="str">
        <f t="shared" si="107"/>
        <v>KRISFLIIGLAWGISALLASPLAIFR</v>
      </c>
      <c r="M302" s="4" t="str">
        <f t="shared" si="108"/>
        <v>CTE</v>
      </c>
      <c r="N302" s="4" t="str">
        <f t="shared" si="109"/>
        <v>SIYGTVYSLSSLLILYVLPLGIISFSYTRIWSKLKNHVSPG</v>
      </c>
      <c r="O302" s="4" t="str">
        <f t="shared" si="110"/>
        <v>DHYHQRRQKTTKMLVCVVVVFAVSWLPLHAFQLAVDID</v>
      </c>
      <c r="P302" s="4" t="str">
        <f t="shared" si="111"/>
        <v>LKEYKLIFTVFHIIAMCSTFANPLLYGWM</v>
      </c>
      <c r="Q302" s="4" t="str">
        <f t="shared" si="112"/>
        <v>NSNYRKAFLSAF</v>
      </c>
      <c r="R302" s="5">
        <f>VLOOKUP($A302,'NonXtal_SegEnds_Prot#'!$A:$AL,3,FALSE)</f>
        <v>50</v>
      </c>
      <c r="S302" s="5">
        <f>VLOOKUP($A302,'NonXtal_SegEnds_Prot#'!$A:$AL,6,FALSE)</f>
        <v>79</v>
      </c>
      <c r="T302" s="5">
        <f>VLOOKUP($A302,'NonXtal_SegEnds_Prot#'!$A:$AL,9,FALSE)</f>
        <v>83</v>
      </c>
      <c r="U302" s="5">
        <f>VLOOKUP($A302,'NonXtal_SegEnds_Prot#'!$A:$AL,12,FALSE)</f>
        <v>115</v>
      </c>
      <c r="V302" s="5">
        <f>VLOOKUP($A302,'NonXtal_SegEnds_Prot#'!$A:$AL,15,FALSE)</f>
        <v>119</v>
      </c>
      <c r="W302" s="5">
        <f>VLOOKUP($A302,'NonXtal_SegEnds_Prot#'!$A:$AL,18,FALSE)</f>
        <v>155</v>
      </c>
      <c r="X302" s="5">
        <f>VLOOKUP($A302,'NonXtal_SegEnds_Prot#'!$A:$AL,21,FALSE)</f>
        <v>162</v>
      </c>
      <c r="Y302" s="5">
        <f>VLOOKUP($A302,'NonXtal_SegEnds_Prot#'!$A:$AL,24,FALSE)</f>
        <v>203</v>
      </c>
      <c r="Z302" s="5">
        <f>VLOOKUP($A302,'NonXtal_SegEnds_Prot#'!$A:$AL,27,FALSE)</f>
        <v>213</v>
      </c>
      <c r="AA302" s="5">
        <f>VLOOKUP($A302,'NonXtal_SegEnds_Prot#'!$A:$AL,30,FALSE)</f>
        <v>257</v>
      </c>
      <c r="AB302" s="5">
        <f>VLOOKUP($A302,'NonXtal_SegEnds_Prot#'!$A:$AL,33,FALSE)</f>
        <v>300</v>
      </c>
      <c r="AC302" s="5">
        <f>VLOOKUP($A302,'NonXtal_SegEnds_Prot#'!$A:$AL,36,FALSE)</f>
        <v>329</v>
      </c>
      <c r="AD302" s="5">
        <f>VLOOKUP($A302,'NonXtal_SegEnds_Prot#'!$A:$AL,5,FALSE)</f>
        <v>78</v>
      </c>
      <c r="AE302" s="5">
        <f>VLOOKUP($A302,'NonXtal_SegEnds_Prot#'!$A:$AL,8,FALSE)</f>
        <v>82</v>
      </c>
      <c r="AF302" s="5">
        <f>VLOOKUP($A302,'NonXtal_SegEnds_Prot#'!$A:$AL,11,FALSE)</f>
        <v>113</v>
      </c>
      <c r="AG302" s="5">
        <f>VLOOKUP($A302,'NonXtal_SegEnds_Prot#'!$A:$AL,14,FALSE)</f>
        <v>118</v>
      </c>
      <c r="AH302" s="5">
        <f>VLOOKUP($A302,'NonXtal_SegEnds_Prot#'!$A:$AL,17,FALSE)</f>
        <v>154</v>
      </c>
      <c r="AI302" s="5">
        <f>VLOOKUP($A302,'NonXtal_SegEnds_Prot#'!$A:$AL,20,FALSE)</f>
        <v>161</v>
      </c>
      <c r="AJ302" s="5">
        <f>VLOOKUP($A302,'NonXtal_SegEnds_Prot#'!$A:$AL,23,FALSE)</f>
        <v>187</v>
      </c>
      <c r="AK302" s="5">
        <f>VLOOKUP($A302,'NonXtal_SegEnds_Prot#'!$A:$AL,26,FALSE)</f>
        <v>205</v>
      </c>
      <c r="AL302" s="5">
        <f>VLOOKUP($A302,'NonXtal_SegEnds_Prot#'!$A:$AL,29,FALSE)</f>
        <v>253</v>
      </c>
      <c r="AM302" s="5">
        <f>VLOOKUP($A302,'NonXtal_SegEnds_Prot#'!$A:$AL,32,FALSE)</f>
        <v>294</v>
      </c>
      <c r="AN302" s="5">
        <f>VLOOKUP($A302,'NonXtal_SegEnds_Prot#'!$A:$AL,35,FALSE)</f>
        <v>328</v>
      </c>
      <c r="AO302" s="5">
        <f>VLOOKUP($A302,'NonXtal_SegEnds_Prot#'!$A:$AL,38,FALSE)</f>
        <v>340</v>
      </c>
      <c r="AP302" s="5">
        <f t="shared" si="113"/>
        <v>28</v>
      </c>
      <c r="AQ302" s="4">
        <f t="shared" si="114"/>
        <v>3</v>
      </c>
      <c r="AR302" s="4">
        <f t="shared" si="115"/>
        <v>30</v>
      </c>
      <c r="AS302" s="4">
        <f t="shared" si="116"/>
        <v>3</v>
      </c>
      <c r="AT302" s="4">
        <f t="shared" si="117"/>
        <v>35</v>
      </c>
      <c r="AU302" s="4">
        <f t="shared" si="118"/>
        <v>6</v>
      </c>
      <c r="AV302" s="4">
        <f t="shared" si="119"/>
        <v>25</v>
      </c>
      <c r="AW302" s="4">
        <f t="shared" si="120"/>
        <v>2</v>
      </c>
      <c r="AX302" s="4">
        <f t="shared" si="121"/>
        <v>40</v>
      </c>
      <c r="AY302" s="4">
        <f t="shared" si="122"/>
        <v>37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'NonXtal_SegEnds_Prot#'!A294</f>
        <v>gp176_human</v>
      </c>
      <c r="B303" s="1" t="str">
        <f t="shared" si="100"/>
        <v>RQFTTTVQVVIFIGSLLGNFMVLWSTCRTSVTNRFIKNLACSGICASLVCVPFDIILSTSYTMLFCKVVKFLHKVFCSVTILSFPAIALDRYYSVLYDAKSRELVMYIWAHAVVASVPVFAVTSLGHLVYVLVYNITTVIVPVVVVFLFLILIRRALSASQKKKVIISIPYASQREAELHATLLSMVMVFILCSVPYATLVVYQTVLSVFLLLTAVWLPKVSLLANPVLFLTVNKSVRKCLIGTL</v>
      </c>
      <c r="C303" s="72" t="str">
        <f>IF(ISERROR(MATCH(A303,'Xtal_SegEnds_Prot#'!B:B,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303" s="5" t="str">
        <f t="shared" si="101"/>
        <v>RQFTTTVQVVIFIGSLLGNFMVLWSTCRT</v>
      </c>
      <c r="G303" s="4" t="str">
        <f t="shared" si="102"/>
        <v>TVFK</v>
      </c>
      <c r="H303" s="4" t="str">
        <f t="shared" si="103"/>
        <v>SVTNRFIKNLACSGICASLVCVPFDIILSTS</v>
      </c>
      <c r="I303" s="4" t="str">
        <f t="shared" si="104"/>
        <v>CWWI</v>
      </c>
      <c r="J303" s="4" t="str">
        <f t="shared" si="105"/>
        <v>YTMLFCKVVKFLHKVFCSVTILSFPAIALDRYYSVLY</v>
      </c>
      <c r="K303" s="4" t="str">
        <f t="shared" si="106"/>
        <v>PLERKIS</v>
      </c>
      <c r="L303" s="4" t="str">
        <f t="shared" si="107"/>
        <v>DAKSRELVMYIWAHAVVASVPVFAVT</v>
      </c>
      <c r="M303" s="4" t="str">
        <f t="shared" si="108"/>
        <v>CTE</v>
      </c>
      <c r="N303" s="4" t="str">
        <f t="shared" si="109"/>
        <v>SLGHLVYVLVYNITTVIVPVVVVFLFLILIRRALSASQKKKVI</v>
      </c>
      <c r="O303" s="4" t="str">
        <f t="shared" si="110"/>
        <v>ISIPYASQREAELHATLLSMVMVFILCSVPYATLVVYQTVL</v>
      </c>
      <c r="P303" s="4" t="str">
        <f t="shared" si="111"/>
        <v>SVFLLLTAVWLPKVSLLANPVLFLTV</v>
      </c>
      <c r="Q303" s="4" t="str">
        <f t="shared" si="112"/>
        <v>NKSVRKCLIGTL</v>
      </c>
      <c r="R303" s="5">
        <f>VLOOKUP($A303,'NonXtal_SegEnds_Prot#'!$A:$AL,3,FALSE)</f>
        <v>41</v>
      </c>
      <c r="S303" s="5">
        <f>VLOOKUP($A303,'NonXtal_SegEnds_Prot#'!$A:$AL,6,FALSE)</f>
        <v>70</v>
      </c>
      <c r="T303" s="5">
        <f>VLOOKUP($A303,'NonXtal_SegEnds_Prot#'!$A:$AL,9,FALSE)</f>
        <v>74</v>
      </c>
      <c r="U303" s="5">
        <f>VLOOKUP($A303,'NonXtal_SegEnds_Prot#'!$A:$AL,12,FALSE)</f>
        <v>108</v>
      </c>
      <c r="V303" s="5">
        <f>VLOOKUP($A303,'NonXtal_SegEnds_Prot#'!$A:$AL,15,FALSE)</f>
        <v>112</v>
      </c>
      <c r="W303" s="5">
        <f>VLOOKUP($A303,'NonXtal_SegEnds_Prot#'!$A:$AL,18,FALSE)</f>
        <v>149</v>
      </c>
      <c r="X303" s="5">
        <f>VLOOKUP($A303,'NonXtal_SegEnds_Prot#'!$A:$AL,21,FALSE)</f>
        <v>156</v>
      </c>
      <c r="Y303" s="5">
        <f>VLOOKUP($A303,'NonXtal_SegEnds_Prot#'!$A:$AL,24,FALSE)</f>
        <v>192</v>
      </c>
      <c r="Z303" s="5">
        <f>VLOOKUP($A303,'NonXtal_SegEnds_Prot#'!$A:$AL,27,FALSE)</f>
        <v>199</v>
      </c>
      <c r="AA303" s="5">
        <f>VLOOKUP($A303,'NonXtal_SegEnds_Prot#'!$A:$AL,30,FALSE)</f>
        <v>252</v>
      </c>
      <c r="AB303" s="5">
        <f>VLOOKUP($A303,'NonXtal_SegEnds_Prot#'!$A:$AL,33,FALSE)</f>
        <v>298</v>
      </c>
      <c r="AC303" s="5">
        <f>VLOOKUP($A303,'NonXtal_SegEnds_Prot#'!$A:$AL,36,FALSE)</f>
        <v>324</v>
      </c>
      <c r="AD303" s="5">
        <f>VLOOKUP($A303,'NonXtal_SegEnds_Prot#'!$A:$AL,5,FALSE)</f>
        <v>69</v>
      </c>
      <c r="AE303" s="5">
        <f>VLOOKUP($A303,'NonXtal_SegEnds_Prot#'!$A:$AL,8,FALSE)</f>
        <v>73</v>
      </c>
      <c r="AF303" s="5">
        <f>VLOOKUP($A303,'NonXtal_SegEnds_Prot#'!$A:$AL,11,FALSE)</f>
        <v>104</v>
      </c>
      <c r="AG303" s="5">
        <f>VLOOKUP($A303,'NonXtal_SegEnds_Prot#'!$A:$AL,14,FALSE)</f>
        <v>111</v>
      </c>
      <c r="AH303" s="5">
        <f>VLOOKUP($A303,'NonXtal_SegEnds_Prot#'!$A:$AL,17,FALSE)</f>
        <v>148</v>
      </c>
      <c r="AI303" s="5">
        <f>VLOOKUP($A303,'NonXtal_SegEnds_Prot#'!$A:$AL,20,FALSE)</f>
        <v>155</v>
      </c>
      <c r="AJ303" s="5">
        <f>VLOOKUP($A303,'NonXtal_SegEnds_Prot#'!$A:$AL,23,FALSE)</f>
        <v>181</v>
      </c>
      <c r="AK303" s="5">
        <f>VLOOKUP($A303,'NonXtal_SegEnds_Prot#'!$A:$AL,26,FALSE)</f>
        <v>194</v>
      </c>
      <c r="AL303" s="5">
        <f>VLOOKUP($A303,'NonXtal_SegEnds_Prot#'!$A:$AL,29,FALSE)</f>
        <v>241</v>
      </c>
      <c r="AM303" s="5">
        <f>VLOOKUP($A303,'NonXtal_SegEnds_Prot#'!$A:$AL,32,FALSE)</f>
        <v>292</v>
      </c>
      <c r="AN303" s="5">
        <f>VLOOKUP($A303,'NonXtal_SegEnds_Prot#'!$A:$AL,35,FALSE)</f>
        <v>323</v>
      </c>
      <c r="AO303" s="5">
        <f>VLOOKUP($A303,'NonXtal_SegEnds_Prot#'!$A:$AL,38,FALSE)</f>
        <v>335</v>
      </c>
      <c r="AP303" s="5">
        <f t="shared" si="113"/>
        <v>28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36</v>
      </c>
      <c r="AU303" s="4">
        <f t="shared" si="118"/>
        <v>6</v>
      </c>
      <c r="AV303" s="4">
        <f t="shared" si="119"/>
        <v>25</v>
      </c>
      <c r="AW303" s="4">
        <f t="shared" si="120"/>
        <v>2</v>
      </c>
      <c r="AX303" s="4">
        <f t="shared" si="121"/>
        <v>42</v>
      </c>
      <c r="AY303" s="4">
        <f t="shared" si="122"/>
        <v>40</v>
      </c>
      <c r="AZ303" s="4">
        <f t="shared" si="123"/>
        <v>25</v>
      </c>
      <c r="BA303" s="4">
        <f t="shared" si="124"/>
        <v>11</v>
      </c>
    </row>
    <row r="304" spans="1:53" x14ac:dyDescent="0.2">
      <c r="A304" s="1" t="str">
        <f>'NonXtal_SegEnds_Prot#'!A295</f>
        <v>oxyr_human</v>
      </c>
      <c r="B304" s="1" t="str">
        <f t="shared" si="100"/>
        <v>ARVEVAVLCLILLLALSGNACVLLALRTTSRLFFFMKHLSIADLVVAVFQVLPQLLWDIYGPDLLCRLVKYLQVVGMFASTYLLLLMSLDRCLAICQRRTDRLAVLATWLGCLVASAPQVHIFPWGPKAYITWITLAVYIVPVIVLAACYGLISFKIWQNLRLKTAAAKLISKAKIRTVKMTFIIVLAFIVCWTPFFFVQMWSVWDEASAFIIVMLLASLNSCCNPWIYMLFTGHLFHELVQRF</v>
      </c>
      <c r="C304" s="72" t="str">
        <f>IF(ISERROR(MATCH(A304,'Xtal_SegEnds_Prot#'!B:B, 0)), "NoXtal", "Xtal")</f>
        <v>NoXtal</v>
      </c>
      <c r="D304" s="4" t="str">
        <f>VLOOKUP(A304,Classification!A:D,2,FALSE)</f>
        <v>A</v>
      </c>
      <c r="E304" s="5" t="str">
        <f>VLOOKUP(A304,Seqs!A:B,2,FALSE)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4" s="5" t="str">
        <f t="shared" si="101"/>
        <v>ARVEVAVLCLILLLALSGNACVLLALRTT</v>
      </c>
      <c r="G304" s="4" t="str">
        <f t="shared" si="102"/>
        <v>RQKH</v>
      </c>
      <c r="H304" s="4" t="str">
        <f t="shared" si="103"/>
        <v>SRLFFFMKHLSIADLVVAVFQVLPQLLWDI</v>
      </c>
      <c r="I304" s="4" t="str">
        <f t="shared" si="104"/>
        <v>TFRF</v>
      </c>
      <c r="J304" s="4" t="str">
        <f t="shared" si="105"/>
        <v>YGPDLLCRLVKYLQVVGMFASTYLLLLMSLDRCLAICQ</v>
      </c>
      <c r="K304" s="4" t="str">
        <f t="shared" si="106"/>
        <v>PLRSLR</v>
      </c>
      <c r="L304" s="4" t="str">
        <f t="shared" si="107"/>
        <v>RRTDRLAVLATWLGCLVASAPQVHIF</v>
      </c>
      <c r="M304" s="4" t="str">
        <f t="shared" si="108"/>
        <v>CWA</v>
      </c>
      <c r="N304" s="4" t="str">
        <f t="shared" si="109"/>
        <v>PWGPKAYITWITLAVYIVPVIVLAACYGLISFKIWQNLRLKTAAA</v>
      </c>
      <c r="O304" s="4" t="str">
        <f t="shared" si="110"/>
        <v>KLISKAKIRTVKMTFIIVLAFIVCWTPFFFVQMWSVWD</v>
      </c>
      <c r="P304" s="4" t="str">
        <f t="shared" si="111"/>
        <v>EASAFIIVMLLASLNSCCNPWIYMLF</v>
      </c>
      <c r="Q304" s="4" t="str">
        <f t="shared" si="112"/>
        <v>TGHLFHELVQRF</v>
      </c>
      <c r="R304" s="5">
        <f>VLOOKUP($A304,'NonXtal_SegEnds_Prot#'!$A:$AL,3,FALSE)</f>
        <v>39</v>
      </c>
      <c r="S304" s="5">
        <f>VLOOKUP($A304,'NonXtal_SegEnds_Prot#'!$A:$AL,6,FALSE)</f>
        <v>68</v>
      </c>
      <c r="T304" s="5">
        <f>VLOOKUP($A304,'NonXtal_SegEnds_Prot#'!$A:$AL,9,FALSE)</f>
        <v>72</v>
      </c>
      <c r="U304" s="5">
        <f>VLOOKUP($A304,'NonXtal_SegEnds_Prot#'!$A:$AL,12,FALSE)</f>
        <v>102</v>
      </c>
      <c r="V304" s="5">
        <f>VLOOKUP($A304,'NonXtal_SegEnds_Prot#'!$A:$AL,15,FALSE)</f>
        <v>106</v>
      </c>
      <c r="W304" s="5">
        <f>VLOOKUP($A304,'NonXtal_SegEnds_Prot#'!$A:$AL,18,FALSE)</f>
        <v>144</v>
      </c>
      <c r="X304" s="5">
        <f>VLOOKUP($A304,'NonXtal_SegEnds_Prot#'!$A:$AL,21,FALSE)</f>
        <v>150</v>
      </c>
      <c r="Y304" s="5">
        <f>VLOOKUP($A304,'NonXtal_SegEnds_Prot#'!$A:$AL,24,FALSE)</f>
        <v>187</v>
      </c>
      <c r="Z304" s="5">
        <f>VLOOKUP($A304,'NonXtal_SegEnds_Prot#'!$A:$AL,27,FALSE)</f>
        <v>194</v>
      </c>
      <c r="AA304" s="5">
        <f>VLOOKUP($A304,'NonXtal_SegEnds_Prot#'!$A:$AL,30,FALSE)</f>
        <v>264</v>
      </c>
      <c r="AB304" s="5">
        <f>VLOOKUP($A304,'NonXtal_SegEnds_Prot#'!$A:$AL,33,FALSE)</f>
        <v>307</v>
      </c>
      <c r="AC304" s="5">
        <f>VLOOKUP($A304,'NonXtal_SegEnds_Prot#'!$A:$AL,36,FALSE)</f>
        <v>333</v>
      </c>
      <c r="AD304" s="5">
        <f>VLOOKUP($A304,'NonXtal_SegEnds_Prot#'!$A:$AL,5,FALSE)</f>
        <v>67</v>
      </c>
      <c r="AE304" s="5">
        <f>VLOOKUP($A304,'NonXtal_SegEnds_Prot#'!$A:$AL,8,FALSE)</f>
        <v>71</v>
      </c>
      <c r="AF304" s="5">
        <f>VLOOKUP($A304,'NonXtal_SegEnds_Prot#'!$A:$AL,11,FALSE)</f>
        <v>101</v>
      </c>
      <c r="AG304" s="5">
        <f>VLOOKUP($A304,'NonXtal_SegEnds_Prot#'!$A:$AL,14,FALSE)</f>
        <v>105</v>
      </c>
      <c r="AH304" s="5">
        <f>VLOOKUP($A304,'NonXtal_SegEnds_Prot#'!$A:$AL,17,FALSE)</f>
        <v>143</v>
      </c>
      <c r="AI304" s="5">
        <f>VLOOKUP($A304,'NonXtal_SegEnds_Prot#'!$A:$AL,20,FALSE)</f>
        <v>149</v>
      </c>
      <c r="AJ304" s="5">
        <f>VLOOKUP($A304,'NonXtal_SegEnds_Prot#'!$A:$AL,23,FALSE)</f>
        <v>175</v>
      </c>
      <c r="AK304" s="5">
        <f>VLOOKUP($A304,'NonXtal_SegEnds_Prot#'!$A:$AL,26,FALSE)</f>
        <v>189</v>
      </c>
      <c r="AL304" s="5">
        <f>VLOOKUP($A304,'NonXtal_SegEnds_Prot#'!$A:$AL,29,FALSE)</f>
        <v>238</v>
      </c>
      <c r="AM304" s="5">
        <f>VLOOKUP($A304,'NonXtal_SegEnds_Prot#'!$A:$AL,32,FALSE)</f>
        <v>301</v>
      </c>
      <c r="AN304" s="5">
        <f>VLOOKUP($A304,'NonXtal_SegEnds_Prot#'!$A:$AL,35,FALSE)</f>
        <v>332</v>
      </c>
      <c r="AO304" s="5">
        <f>VLOOKUP($A304,'NonXtal_SegEnds_Prot#'!$A:$AL,38,FALSE)</f>
        <v>344</v>
      </c>
      <c r="AP304" s="5">
        <f t="shared" si="113"/>
        <v>28</v>
      </c>
      <c r="AQ304" s="4">
        <f t="shared" si="114"/>
        <v>3</v>
      </c>
      <c r="AR304" s="4">
        <f t="shared" si="115"/>
        <v>29</v>
      </c>
      <c r="AS304" s="4">
        <f t="shared" si="116"/>
        <v>3</v>
      </c>
      <c r="AT304" s="4">
        <f t="shared" si="117"/>
        <v>37</v>
      </c>
      <c r="AU304" s="4">
        <f t="shared" si="118"/>
        <v>5</v>
      </c>
      <c r="AV304" s="4">
        <f t="shared" si="119"/>
        <v>25</v>
      </c>
      <c r="AW304" s="4">
        <f t="shared" si="120"/>
        <v>2</v>
      </c>
      <c r="AX304" s="4">
        <f t="shared" si="121"/>
        <v>44</v>
      </c>
      <c r="AY304" s="4">
        <f t="shared" si="122"/>
        <v>37</v>
      </c>
      <c r="AZ304" s="4">
        <f t="shared" si="123"/>
        <v>25</v>
      </c>
      <c r="BA304" s="4">
        <f t="shared" si="124"/>
        <v>11</v>
      </c>
    </row>
    <row r="305" spans="1:53" x14ac:dyDescent="0.2">
      <c r="A305" s="1" t="str">
        <f>'NonXtal_SegEnds_Prot#'!A296</f>
        <v>nk2r_human</v>
      </c>
      <c r="B305" s="1" t="str">
        <f t="shared" si="100"/>
        <v>LALWATAYLALVLVAVTGNAIVIWIILAHTVTNYFIVNLALADLCMAAFNAAFNFVYASHGRAFCYFQNLFPITAMFVSIYSMTAIAADRYMAIVHAPSTKAVIAGIWLVALALASPQCFYSGKTLLLYHLVVIALIYFLPLAVMFVAYSVIGLTLWRRAVPGHANLRHLQAMKKFVKTMVLVVLTFAICWLPYHLYFILGSFQHKFIQQVYLALFWLAMSSTMYNPIIYCCLNHRFRSGFRLAF</v>
      </c>
      <c r="C305" s="72" t="str">
        <f>IF(ISERROR(MATCH(A305,'Xtal_SegEnds_Prot#'!B:B, 0)), "NoXtal", "Xtal")</f>
        <v>NoXtal</v>
      </c>
      <c r="D305" s="4" t="str">
        <f>VLOOKUP(A305,Classification!A:D,2,FALSE)</f>
        <v>A</v>
      </c>
      <c r="E305" s="5" t="str">
        <f>VLOOKUP(A305,Seqs!A:B,2,FALSE)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305" s="5" t="str">
        <f t="shared" si="101"/>
        <v>LALWATAYLALVLVAVTGNAIVIWIILAH</v>
      </c>
      <c r="G305" s="4" t="str">
        <f t="shared" si="102"/>
        <v>RRMR</v>
      </c>
      <c r="H305" s="4" t="str">
        <f t="shared" si="103"/>
        <v>TVTNYFIVNLALADLCMAAFNAAFNFVYASH</v>
      </c>
      <c r="I305" s="4" t="str">
        <f t="shared" si="104"/>
        <v>IWYF</v>
      </c>
      <c r="J305" s="4" t="str">
        <f t="shared" si="105"/>
        <v>GRAFCYFQNLFPITAMFVSIYSMTAIAADRYMAIVH</v>
      </c>
      <c r="K305" s="4" t="str">
        <f t="shared" si="106"/>
        <v>PFQPRLS</v>
      </c>
      <c r="L305" s="4" t="str">
        <f t="shared" si="107"/>
        <v>APSTKAVIAGIWLVALALASPQCFYS</v>
      </c>
      <c r="M305" s="4" t="str">
        <f t="shared" si="108"/>
        <v>CVV</v>
      </c>
      <c r="N305" s="4" t="str">
        <f t="shared" si="109"/>
        <v>GKTLLLYHLVVIALIYFLPLAVMFVAYSVIGLTLWRRAVPGH</v>
      </c>
      <c r="O305" s="4" t="str">
        <f t="shared" si="110"/>
        <v>ANLRHLQAMKKFVKTMVLVVLTFAICWLPYHLYFILGSFQ</v>
      </c>
      <c r="P305" s="4" t="str">
        <f t="shared" si="111"/>
        <v>HKFIQQVYLALFWLAMSSTMYNPIIYCCL</v>
      </c>
      <c r="Q305" s="4" t="str">
        <f t="shared" si="112"/>
        <v>NHRFRSGFRLAF</v>
      </c>
      <c r="R305" s="5">
        <f>VLOOKUP($A305,'NonXtal_SegEnds_Prot#'!$A:$AL,3,FALSE)</f>
        <v>33</v>
      </c>
      <c r="S305" s="5">
        <f>VLOOKUP($A305,'NonXtal_SegEnds_Prot#'!$A:$AL,6,FALSE)</f>
        <v>62</v>
      </c>
      <c r="T305" s="5">
        <f>VLOOKUP($A305,'NonXtal_SegEnds_Prot#'!$A:$AL,9,FALSE)</f>
        <v>66</v>
      </c>
      <c r="U305" s="5">
        <f>VLOOKUP($A305,'NonXtal_SegEnds_Prot#'!$A:$AL,12,FALSE)</f>
        <v>98</v>
      </c>
      <c r="V305" s="5">
        <f>VLOOKUP($A305,'NonXtal_SegEnds_Prot#'!$A:$AL,15,FALSE)</f>
        <v>102</v>
      </c>
      <c r="W305" s="5">
        <f>VLOOKUP($A305,'NonXtal_SegEnds_Prot#'!$A:$AL,18,FALSE)</f>
        <v>138</v>
      </c>
      <c r="X305" s="5">
        <f>VLOOKUP($A305,'NonXtal_SegEnds_Prot#'!$A:$AL,21,FALSE)</f>
        <v>145</v>
      </c>
      <c r="Y305" s="5">
        <f>VLOOKUP($A305,'NonXtal_SegEnds_Prot#'!$A:$AL,24,FALSE)</f>
        <v>181</v>
      </c>
      <c r="Z305" s="5">
        <f>VLOOKUP($A305,'NonXtal_SegEnds_Prot#'!$A:$AL,27,FALSE)</f>
        <v>191</v>
      </c>
      <c r="AA305" s="5">
        <f>VLOOKUP($A305,'NonXtal_SegEnds_Prot#'!$A:$AL,30,FALSE)</f>
        <v>237</v>
      </c>
      <c r="AB305" s="5">
        <f>VLOOKUP($A305,'NonXtal_SegEnds_Prot#'!$A:$AL,33,FALSE)</f>
        <v>282</v>
      </c>
      <c r="AC305" s="5">
        <f>VLOOKUP($A305,'NonXtal_SegEnds_Prot#'!$A:$AL,36,FALSE)</f>
        <v>311</v>
      </c>
      <c r="AD305" s="5">
        <f>VLOOKUP($A305,'NonXtal_SegEnds_Prot#'!$A:$AL,5,FALSE)</f>
        <v>61</v>
      </c>
      <c r="AE305" s="5">
        <f>VLOOKUP($A305,'NonXtal_SegEnds_Prot#'!$A:$AL,8,FALSE)</f>
        <v>65</v>
      </c>
      <c r="AF305" s="5">
        <f>VLOOKUP($A305,'NonXtal_SegEnds_Prot#'!$A:$AL,11,FALSE)</f>
        <v>96</v>
      </c>
      <c r="AG305" s="5">
        <f>VLOOKUP($A305,'NonXtal_SegEnds_Prot#'!$A:$AL,14,FALSE)</f>
        <v>101</v>
      </c>
      <c r="AH305" s="5">
        <f>VLOOKUP($A305,'NonXtal_SegEnds_Prot#'!$A:$AL,17,FALSE)</f>
        <v>137</v>
      </c>
      <c r="AI305" s="5">
        <f>VLOOKUP($A305,'NonXtal_SegEnds_Prot#'!$A:$AL,20,FALSE)</f>
        <v>144</v>
      </c>
      <c r="AJ305" s="5">
        <f>VLOOKUP($A305,'NonXtal_SegEnds_Prot#'!$A:$AL,23,FALSE)</f>
        <v>170</v>
      </c>
      <c r="AK305" s="5">
        <f>VLOOKUP($A305,'NonXtal_SegEnds_Prot#'!$A:$AL,26,FALSE)</f>
        <v>183</v>
      </c>
      <c r="AL305" s="5">
        <f>VLOOKUP($A305,'NonXtal_SegEnds_Prot#'!$A:$AL,29,FALSE)</f>
        <v>232</v>
      </c>
      <c r="AM305" s="5">
        <f>VLOOKUP($A305,'NonXtal_SegEnds_Prot#'!$A:$AL,32,FALSE)</f>
        <v>276</v>
      </c>
      <c r="AN305" s="5">
        <f>VLOOKUP($A305,'NonXtal_SegEnds_Prot#'!$A:$AL,35,FALSE)</f>
        <v>310</v>
      </c>
      <c r="AO305" s="5">
        <f>VLOOKUP($A305,'NonXtal_SegEnds_Prot#'!$A:$AL,38,FALSE)</f>
        <v>322</v>
      </c>
      <c r="AP305" s="5">
        <f t="shared" si="113"/>
        <v>28</v>
      </c>
      <c r="AQ305" s="4">
        <f t="shared" si="114"/>
        <v>3</v>
      </c>
      <c r="AR305" s="4">
        <f t="shared" si="115"/>
        <v>30</v>
      </c>
      <c r="AS305" s="4">
        <f t="shared" si="116"/>
        <v>3</v>
      </c>
      <c r="AT305" s="4">
        <f t="shared" si="117"/>
        <v>35</v>
      </c>
      <c r="AU305" s="4">
        <f t="shared" si="118"/>
        <v>6</v>
      </c>
      <c r="AV305" s="4">
        <f t="shared" si="119"/>
        <v>25</v>
      </c>
      <c r="AW305" s="4">
        <f t="shared" si="120"/>
        <v>2</v>
      </c>
      <c r="AX305" s="4">
        <f t="shared" si="121"/>
        <v>41</v>
      </c>
      <c r="AY305" s="4">
        <f t="shared" si="122"/>
        <v>39</v>
      </c>
      <c r="AZ305" s="4">
        <f t="shared" si="123"/>
        <v>28</v>
      </c>
      <c r="BA305" s="4">
        <f t="shared" si="124"/>
        <v>11</v>
      </c>
    </row>
    <row r="306" spans="1:53" x14ac:dyDescent="0.2">
      <c r="A306" s="1" t="str">
        <f>'NonXtal_SegEnds_Prot#'!A297</f>
        <v>gpr84_human</v>
      </c>
      <c r="B306" s="1" t="str">
        <f t="shared" si="100"/>
        <v>RYVAVSWGVVVAVTGTVGNVLTLLALAIQTRFNLLIANLTLADLLYCTLLQPFSVDTYLHWRTGATFCRVFGLLLFASNSVSILTLCLIALGRYLLIAHAKGIVLALVSTWVVGVASFAPLWPIYLRQASIHSNHVARTDEAMPGRFQELDSRLASGGPSEGISSEPVPDSSSEFGKVTRMCFAVFLCFALSYIPFLLLNILDARVVVHMLAANLTWLNGCINPVLYAAMNRQFRQAYGSIL</v>
      </c>
      <c r="C306" s="72" t="str">
        <f>IF(ISERROR(MATCH(A306,'Xtal_SegEnds_Prot#'!B:B, 0)), "NoXtal", "Xtal")</f>
        <v>NoXtal</v>
      </c>
      <c r="D306" s="4" t="str">
        <f>VLOOKUP(A306,Classification!A:D,2,FALSE)</f>
        <v>A</v>
      </c>
      <c r="E306" s="5" t="str">
        <f>VLOOKUP(A306,Seqs!A:B,2,FALSE)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306" s="5" t="str">
        <f t="shared" si="101"/>
        <v>RYVAVSWGVVVAVTGTVGNVLTLLALAIQ</v>
      </c>
      <c r="G306" s="4" t="str">
        <f t="shared" si="102"/>
        <v>PKLR</v>
      </c>
      <c r="H306" s="4" t="str">
        <f t="shared" si="103"/>
        <v>TRFNLLIANLTLADLLYCTLLQPFSVDTYLH</v>
      </c>
      <c r="I306" s="4" t="str">
        <f t="shared" si="104"/>
        <v/>
      </c>
      <c r="J306" s="4" t="str">
        <f t="shared" si="105"/>
        <v>WRTGATFCRVFGLLLFASNSVSILTLCLIALGRYLLIAH</v>
      </c>
      <c r="K306" s="4" t="str">
        <f t="shared" si="106"/>
        <v>PKLFPQVF</v>
      </c>
      <c r="L306" s="4" t="str">
        <f t="shared" si="107"/>
        <v>AKGIVLALVSTWVVGVASFAPLWPIY</v>
      </c>
      <c r="M306" s="4" t="str">
        <f t="shared" si="108"/>
        <v>CSF</v>
      </c>
      <c r="N306" s="4" t="str">
        <f t="shared" si="109"/>
        <v>LRQASIHSNHVARTDEAMPGRFQELDSRLASGGPSEGISSEPV</v>
      </c>
      <c r="O306" s="4" t="str">
        <f t="shared" si="110"/>
        <v>PDSSSEFGKVTRMCFAVFLCFALSYIPFLLLNILDARV</v>
      </c>
      <c r="P306" s="4" t="str">
        <f t="shared" si="111"/>
        <v>VVHMLAANLTWLNGCINPVLYAAM</v>
      </c>
      <c r="Q306" s="4" t="str">
        <f t="shared" si="112"/>
        <v>NRQFRQAYGSIL</v>
      </c>
      <c r="R306" s="5">
        <f>VLOOKUP($A306,'NonXtal_SegEnds_Prot#'!$A:$AL,3,FALSE)</f>
        <v>20</v>
      </c>
      <c r="S306" s="5">
        <f>VLOOKUP($A306,'NonXtal_SegEnds_Prot#'!$A:$AL,6,FALSE)</f>
        <v>49</v>
      </c>
      <c r="T306" s="5">
        <f>VLOOKUP($A306,'NonXtal_SegEnds_Prot#'!$A:$AL,9,FALSE)</f>
        <v>53</v>
      </c>
      <c r="U306" s="5" t="str">
        <f>VLOOKUP($A306,'NonXtal_SegEnds_Prot#'!$A:$AL,12,FALSE)</f>
        <v>-</v>
      </c>
      <c r="V306" s="5">
        <f>VLOOKUP($A306,'NonXtal_SegEnds_Prot#'!$A:$AL,15,FALSE)</f>
        <v>86</v>
      </c>
      <c r="W306" s="5">
        <f>VLOOKUP($A306,'NonXtal_SegEnds_Prot#'!$A:$AL,18,FALSE)</f>
        <v>125</v>
      </c>
      <c r="X306" s="5">
        <f>VLOOKUP($A306,'NonXtal_SegEnds_Prot#'!$A:$AL,21,FALSE)</f>
        <v>134</v>
      </c>
      <c r="Y306" s="5">
        <f>VLOOKUP($A306,'NonXtal_SegEnds_Prot#'!$A:$AL,24,FALSE)</f>
        <v>168</v>
      </c>
      <c r="Z306" s="5">
        <f>VLOOKUP($A306,'NonXtal_SegEnds_Prot#'!$A:$AL,27,FALSE)</f>
        <v>217</v>
      </c>
      <c r="AA306" s="5">
        <f>VLOOKUP($A306,'NonXtal_SegEnds_Prot#'!$A:$AL,30,FALSE)</f>
        <v>308</v>
      </c>
      <c r="AB306" s="5">
        <f>VLOOKUP($A306,'NonXtal_SegEnds_Prot#'!$A:$AL,33,FALSE)</f>
        <v>350</v>
      </c>
      <c r="AC306" s="5">
        <f>VLOOKUP($A306,'NonXtal_SegEnds_Prot#'!$A:$AL,36,FALSE)</f>
        <v>374</v>
      </c>
      <c r="AD306" s="5">
        <f>VLOOKUP($A306,'NonXtal_SegEnds_Prot#'!$A:$AL,5,FALSE)</f>
        <v>48</v>
      </c>
      <c r="AE306" s="5">
        <f>VLOOKUP($A306,'NonXtal_SegEnds_Prot#'!$A:$AL,8,FALSE)</f>
        <v>52</v>
      </c>
      <c r="AF306" s="5">
        <f>VLOOKUP($A306,'NonXtal_SegEnds_Prot#'!$A:$AL,11,FALSE)</f>
        <v>83</v>
      </c>
      <c r="AG306" s="5" t="str">
        <f>VLOOKUP($A306,'NonXtal_SegEnds_Prot#'!$A:$AL,14,FALSE)</f>
        <v>-</v>
      </c>
      <c r="AH306" s="5">
        <f>VLOOKUP($A306,'NonXtal_SegEnds_Prot#'!$A:$AL,17,FALSE)</f>
        <v>124</v>
      </c>
      <c r="AI306" s="5">
        <f>VLOOKUP($A306,'NonXtal_SegEnds_Prot#'!$A:$AL,20,FALSE)</f>
        <v>132</v>
      </c>
      <c r="AJ306" s="5">
        <f>VLOOKUP($A306,'NonXtal_SegEnds_Prot#'!$A:$AL,23,FALSE)</f>
        <v>159</v>
      </c>
      <c r="AK306" s="5">
        <f>VLOOKUP($A306,'NonXtal_SegEnds_Prot#'!$A:$AL,26,FALSE)</f>
        <v>170</v>
      </c>
      <c r="AL306" s="5">
        <f>VLOOKUP($A306,'NonXtal_SegEnds_Prot#'!$A:$AL,29,FALSE)</f>
        <v>259</v>
      </c>
      <c r="AM306" s="5">
        <f>VLOOKUP($A306,'NonXtal_SegEnds_Prot#'!$A:$AL,32,FALSE)</f>
        <v>345</v>
      </c>
      <c r="AN306" s="5">
        <f>VLOOKUP($A306,'NonXtal_SegEnds_Prot#'!$A:$AL,35,FALSE)</f>
        <v>373</v>
      </c>
      <c r="AO306" s="5">
        <f>VLOOKUP($A306,'NonXtal_SegEnds_Prot#'!$A:$AL,38,FALSE)</f>
        <v>385</v>
      </c>
      <c r="AP306" s="5">
        <f t="shared" si="113"/>
        <v>28</v>
      </c>
      <c r="AQ306" s="4">
        <f t="shared" si="114"/>
        <v>3</v>
      </c>
      <c r="AR306" s="4">
        <f t="shared" si="115"/>
        <v>30</v>
      </c>
      <c r="AS306" s="4" t="str">
        <f t="shared" si="116"/>
        <v>-</v>
      </c>
      <c r="AT306" s="4">
        <f t="shared" si="117"/>
        <v>38</v>
      </c>
      <c r="AU306" s="4">
        <f t="shared" si="118"/>
        <v>7</v>
      </c>
      <c r="AV306" s="4">
        <f t="shared" si="119"/>
        <v>25</v>
      </c>
      <c r="AW306" s="4">
        <f t="shared" si="120"/>
        <v>2</v>
      </c>
      <c r="AX306" s="4">
        <f t="shared" si="121"/>
        <v>42</v>
      </c>
      <c r="AY306" s="4">
        <f t="shared" si="122"/>
        <v>37</v>
      </c>
      <c r="AZ306" s="4">
        <f t="shared" si="123"/>
        <v>23</v>
      </c>
      <c r="BA306" s="4">
        <f t="shared" si="124"/>
        <v>11</v>
      </c>
    </row>
    <row r="307" spans="1:53" x14ac:dyDescent="0.2">
      <c r="A307" s="1" t="str">
        <f>'NonXtal_SegEnds_Prot#'!A298</f>
        <v>gpr78_human</v>
      </c>
      <c r="B307" s="1" t="str">
        <f t="shared" si="100"/>
        <v>EALLAGLLVMVLAVALLSNALVLLCCAYSTRASGVLLVNLSLGHLLLAALDMPFTLLGVMRTPSAPGACQVIGFLDTFLASNAALSVAALSADQWLAVGFPRYAGLLLGCAWGQSLAFSGAALGCSRPRFAAFTATLHAVGFVLPLAVLCLTSLQVHRVARRHCQRMDTVTIQQKRRRHRATRKIGIAIATFLICFAPYVMTRLAELVPNAQWGILSKCLTYSKAVADPFTYSLLRRPFRQVLAGMV</v>
      </c>
      <c r="C307" s="72" t="str">
        <f>IF(ISERROR(MATCH(A307,'Xtal_SegEnds_Prot#'!B:B, 0)), "NoXtal", "Xtal")</f>
        <v>NoXtal</v>
      </c>
      <c r="D307" s="4" t="str">
        <f>VLOOKUP(A307,Classification!A:D,2,FALSE)</f>
        <v>A</v>
      </c>
      <c r="E307" s="5" t="str">
        <f>VLOOKUP(A307,Seqs!A:B,2,FALSE)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307" s="5" t="str">
        <f t="shared" si="101"/>
        <v>EALLAGLLVMVLAVALLSNALVLLCCAYS</v>
      </c>
      <c r="G307" s="4" t="str">
        <f t="shared" si="102"/>
        <v>AELR</v>
      </c>
      <c r="H307" s="4" t="str">
        <f t="shared" si="103"/>
        <v>TRASGVLLVNLSLGHLLLAALDMPFTLLGVMR</v>
      </c>
      <c r="I307" s="4" t="str">
        <f t="shared" si="104"/>
        <v/>
      </c>
      <c r="J307" s="4" t="str">
        <f t="shared" si="105"/>
        <v>TPSAPGACQVIGFLDTFLASNAALSVAALSADQWLAVGF</v>
      </c>
      <c r="K307" s="4" t="str">
        <f t="shared" si="106"/>
        <v>PLRYAGRL</v>
      </c>
      <c r="L307" s="4" t="str">
        <f t="shared" si="107"/>
        <v>PRYAGLLLGCAWGQSLAFSGAALGCS</v>
      </c>
      <c r="M307" s="4" t="str">
        <f t="shared" si="108"/>
        <v>CSL</v>
      </c>
      <c r="N307" s="4" t="str">
        <f t="shared" si="109"/>
        <v>RPRFAAFTATLHAVGFVLPLAVLCLTSLQVHRVARRHCQRMDTVT</v>
      </c>
      <c r="O307" s="4" t="str">
        <f t="shared" si="110"/>
        <v>IQQKRRRHRATRKIGIAIATFLICFAPYVMTRLAELVP</v>
      </c>
      <c r="P307" s="4" t="str">
        <f t="shared" si="111"/>
        <v>NAQWGILSKCLTYSKAVADPFTYSLL</v>
      </c>
      <c r="Q307" s="4" t="str">
        <f t="shared" si="112"/>
        <v>RRPFRQVLAGMV</v>
      </c>
      <c r="R307" s="5">
        <f>VLOOKUP($A307,'NonXtal_SegEnds_Prot#'!$A:$AL,3,FALSE)</f>
        <v>5</v>
      </c>
      <c r="S307" s="5">
        <f>VLOOKUP($A307,'NonXtal_SegEnds_Prot#'!$A:$AL,6,FALSE)</f>
        <v>34</v>
      </c>
      <c r="T307" s="5">
        <f>VLOOKUP($A307,'NonXtal_SegEnds_Prot#'!$A:$AL,9,FALSE)</f>
        <v>38</v>
      </c>
      <c r="U307" s="5" t="str">
        <f>VLOOKUP($A307,'NonXtal_SegEnds_Prot#'!$A:$AL,12,FALSE)</f>
        <v>-</v>
      </c>
      <c r="V307" s="5">
        <f>VLOOKUP($A307,'NonXtal_SegEnds_Prot#'!$A:$AL,15,FALSE)</f>
        <v>72</v>
      </c>
      <c r="W307" s="5">
        <f>VLOOKUP($A307,'NonXtal_SegEnds_Prot#'!$A:$AL,18,FALSE)</f>
        <v>111</v>
      </c>
      <c r="X307" s="5">
        <f>VLOOKUP($A307,'NonXtal_SegEnds_Prot#'!$A:$AL,21,FALSE)</f>
        <v>120</v>
      </c>
      <c r="Y307" s="5">
        <f>VLOOKUP($A307,'NonXtal_SegEnds_Prot#'!$A:$AL,24,FALSE)</f>
        <v>156</v>
      </c>
      <c r="Z307" s="5">
        <f>VLOOKUP($A307,'NonXtal_SegEnds_Prot#'!$A:$AL,27,FALSE)</f>
        <v>166</v>
      </c>
      <c r="AA307" s="5">
        <f>VLOOKUP($A307,'NonXtal_SegEnds_Prot#'!$A:$AL,30,FALSE)</f>
        <v>230</v>
      </c>
      <c r="AB307" s="5">
        <f>VLOOKUP($A307,'NonXtal_SegEnds_Prot#'!$A:$AL,33,FALSE)</f>
        <v>272</v>
      </c>
      <c r="AC307" s="5">
        <f>VLOOKUP($A307,'NonXtal_SegEnds_Prot#'!$A:$AL,36,FALSE)</f>
        <v>298</v>
      </c>
      <c r="AD307" s="5">
        <f>VLOOKUP($A307,'NonXtal_SegEnds_Prot#'!$A:$AL,5,FALSE)</f>
        <v>33</v>
      </c>
      <c r="AE307" s="5">
        <f>VLOOKUP($A307,'NonXtal_SegEnds_Prot#'!$A:$AL,8,FALSE)</f>
        <v>37</v>
      </c>
      <c r="AF307" s="5">
        <f>VLOOKUP($A307,'NonXtal_SegEnds_Prot#'!$A:$AL,11,FALSE)</f>
        <v>69</v>
      </c>
      <c r="AG307" s="5" t="str">
        <f>VLOOKUP($A307,'NonXtal_SegEnds_Prot#'!$A:$AL,14,FALSE)</f>
        <v>-</v>
      </c>
      <c r="AH307" s="5">
        <f>VLOOKUP($A307,'NonXtal_SegEnds_Prot#'!$A:$AL,17,FALSE)</f>
        <v>110</v>
      </c>
      <c r="AI307" s="5">
        <f>VLOOKUP($A307,'NonXtal_SegEnds_Prot#'!$A:$AL,20,FALSE)</f>
        <v>118</v>
      </c>
      <c r="AJ307" s="5">
        <f>VLOOKUP($A307,'NonXtal_SegEnds_Prot#'!$A:$AL,23,FALSE)</f>
        <v>145</v>
      </c>
      <c r="AK307" s="5">
        <f>VLOOKUP($A307,'NonXtal_SegEnds_Prot#'!$A:$AL,26,FALSE)</f>
        <v>158</v>
      </c>
      <c r="AL307" s="5">
        <f>VLOOKUP($A307,'NonXtal_SegEnds_Prot#'!$A:$AL,29,FALSE)</f>
        <v>210</v>
      </c>
      <c r="AM307" s="5">
        <f>VLOOKUP($A307,'NonXtal_SegEnds_Prot#'!$A:$AL,32,FALSE)</f>
        <v>267</v>
      </c>
      <c r="AN307" s="5">
        <f>VLOOKUP($A307,'NonXtal_SegEnds_Prot#'!$A:$AL,35,FALSE)</f>
        <v>297</v>
      </c>
      <c r="AO307" s="5">
        <f>VLOOKUP($A307,'NonXtal_SegEnds_Prot#'!$A:$AL,38,FALSE)</f>
        <v>309</v>
      </c>
      <c r="AP307" s="5">
        <f t="shared" si="113"/>
        <v>28</v>
      </c>
      <c r="AQ307" s="4">
        <f t="shared" si="114"/>
        <v>3</v>
      </c>
      <c r="AR307" s="4">
        <f t="shared" si="115"/>
        <v>31</v>
      </c>
      <c r="AS307" s="4" t="str">
        <f t="shared" si="116"/>
        <v>-</v>
      </c>
      <c r="AT307" s="4">
        <f t="shared" si="117"/>
        <v>38</v>
      </c>
      <c r="AU307" s="4">
        <f t="shared" si="118"/>
        <v>7</v>
      </c>
      <c r="AV307" s="4">
        <f t="shared" si="119"/>
        <v>25</v>
      </c>
      <c r="AW307" s="4">
        <f t="shared" si="120"/>
        <v>2</v>
      </c>
      <c r="AX307" s="4">
        <f t="shared" si="121"/>
        <v>44</v>
      </c>
      <c r="AY307" s="4">
        <f t="shared" si="122"/>
        <v>37</v>
      </c>
      <c r="AZ307" s="4">
        <f t="shared" si="123"/>
        <v>25</v>
      </c>
      <c r="BA307" s="4">
        <f t="shared" si="124"/>
        <v>11</v>
      </c>
    </row>
    <row r="308" spans="1:53" x14ac:dyDescent="0.2">
      <c r="A308" s="1" t="str">
        <f>'NonXtal_SegEnds_Prot#'!A299</f>
        <v>npy6r_human</v>
      </c>
      <c r="B308" s="1" t="str">
        <f t="shared" si="100"/>
        <v>ALLLLCIAYTVVLIVGLFGNLSLIIIIFKKNFTSILIANLSLSDTLVCVMCIHFTIIYTLMGDTMCRLTSYVQSVSISVSIFSLVFTAVERYQLIVNVTHAYWGITLIWLFSLLLSIPFFLSYKKDRLLFTTSLFLLQYFVPLGFILICYLKIVICLRRRNAKVDENEGRLNENKRINTMLISIVVTFGACWLPRISSMSSLTGI</v>
      </c>
      <c r="C308" s="72" t="str">
        <f>IF(ISERROR(MATCH(A308,'Xtal_SegEnds_Prot#'!B:B, 0)), "NoXtal", "Xtal")</f>
        <v>NoXtal</v>
      </c>
      <c r="D308" s="4" t="str">
        <f>VLOOKUP(A308,Classification!A:D,2,FALSE)</f>
        <v>A</v>
      </c>
      <c r="E308" s="5" t="str">
        <f>VLOOKUP(A308,Seqs!A:B,2,FALSE)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308" s="5" t="str">
        <f t="shared" si="101"/>
        <v>ALLLLCIAYTVVLIVGLFGNLSLIIIIFKK</v>
      </c>
      <c r="G308" s="4" t="str">
        <f t="shared" si="102"/>
        <v>RKAQ</v>
      </c>
      <c r="H308" s="4" t="str">
        <f t="shared" si="103"/>
        <v>NFTSILIANLSLSDTLVCVMCIHFTIIYTLM</v>
      </c>
      <c r="I308" s="4" t="str">
        <f t="shared" si="104"/>
        <v>HWIF</v>
      </c>
      <c r="J308" s="4" t="str">
        <f t="shared" si="105"/>
        <v>GDTMCRLTSYVQSVSISVSIFSLVFTAVERYQLIVN</v>
      </c>
      <c r="K308" s="4" t="str">
        <f t="shared" si="106"/>
        <v/>
      </c>
      <c r="L308" s="4" t="str">
        <f t="shared" si="107"/>
        <v>VTHAYWGITLIWLFSLLLSIPFFLSY</v>
      </c>
      <c r="M308" s="4" t="str">
        <f t="shared" si="108"/>
        <v/>
      </c>
      <c r="N308" s="4" t="str">
        <f t="shared" si="109"/>
        <v>KKDRLLFTTSLFLLQYFVPLGFILICYLKIVICLRRRNAKVD</v>
      </c>
      <c r="O308" s="4" t="str">
        <f t="shared" si="110"/>
        <v>ENEGRLNENKRINTMLISIVVTFGACWLPRISSMSSLTGI</v>
      </c>
      <c r="P308" s="4" t="str">
        <f t="shared" si="111"/>
        <v/>
      </c>
      <c r="Q308" s="4" t="str">
        <f t="shared" si="112"/>
        <v/>
      </c>
      <c r="R308" s="5">
        <f>VLOOKUP($A308,'NonXtal_SegEnds_Prot#'!$A:$AL,3,FALSE)</f>
        <v>34</v>
      </c>
      <c r="S308" s="5">
        <f>VLOOKUP($A308,'NonXtal_SegEnds_Prot#'!$A:$AL,6,FALSE)</f>
        <v>65</v>
      </c>
      <c r="T308" s="5">
        <f>VLOOKUP($A308,'NonXtal_SegEnds_Prot#'!$A:$AL,9,FALSE)</f>
        <v>69</v>
      </c>
      <c r="U308" s="5">
        <f>VLOOKUP($A308,'NonXtal_SegEnds_Prot#'!$A:$AL,12,FALSE)</f>
        <v>101</v>
      </c>
      <c r="V308" s="5">
        <f>VLOOKUP($A308,'NonXtal_SegEnds_Prot#'!$A:$AL,15,FALSE)</f>
        <v>105</v>
      </c>
      <c r="W308" s="5" t="str">
        <f>VLOOKUP($A308,'NonXtal_SegEnds_Prot#'!$A:$AL,18,FALSE)</f>
        <v>-</v>
      </c>
      <c r="X308" s="5">
        <f>VLOOKUP($A308,'NonXtal_SegEnds_Prot#'!$A:$AL,21,FALSE)</f>
        <v>148</v>
      </c>
      <c r="Y308" s="5" t="str">
        <f>VLOOKUP($A308,'NonXtal_SegEnds_Prot#'!$A:$AL,24,FALSE)</f>
        <v>-</v>
      </c>
      <c r="Z308" s="5">
        <f>VLOOKUP($A308,'NonXtal_SegEnds_Prot#'!$A:$AL,27,FALSE)</f>
        <v>203</v>
      </c>
      <c r="AA308" s="5">
        <f>VLOOKUP($A308,'NonXtal_SegEnds_Prot#'!$A:$AL,30,FALSE)</f>
        <v>248</v>
      </c>
      <c r="AB308" s="5" t="str">
        <f>VLOOKUP($A308,'NonXtal_SegEnds_Prot#'!$A:$AL,33,FALSE)</f>
        <v>-</v>
      </c>
      <c r="AC308" s="5" t="str">
        <f>VLOOKUP($A308,'NonXtal_SegEnds_Prot#'!$A:$AL,36,FALSE)</f>
        <v>-</v>
      </c>
      <c r="AD308" s="5">
        <f>VLOOKUP($A308,'NonXtal_SegEnds_Prot#'!$A:$AL,5,FALSE)</f>
        <v>63</v>
      </c>
      <c r="AE308" s="5">
        <f>VLOOKUP($A308,'NonXtal_SegEnds_Prot#'!$A:$AL,8,FALSE)</f>
        <v>68</v>
      </c>
      <c r="AF308" s="5">
        <f>VLOOKUP($A308,'NonXtal_SegEnds_Prot#'!$A:$AL,11,FALSE)</f>
        <v>99</v>
      </c>
      <c r="AG308" s="5">
        <f>VLOOKUP($A308,'NonXtal_SegEnds_Prot#'!$A:$AL,14,FALSE)</f>
        <v>104</v>
      </c>
      <c r="AH308" s="5">
        <f>VLOOKUP($A308,'NonXtal_SegEnds_Prot#'!$A:$AL,17,FALSE)</f>
        <v>140</v>
      </c>
      <c r="AI308" s="5" t="str">
        <f>VLOOKUP($A308,'NonXtal_SegEnds_Prot#'!$A:$AL,20,FALSE)</f>
        <v>-</v>
      </c>
      <c r="AJ308" s="5">
        <f>VLOOKUP($A308,'NonXtal_SegEnds_Prot#'!$A:$AL,23,FALSE)</f>
        <v>173</v>
      </c>
      <c r="AK308" s="5" t="str">
        <f>VLOOKUP($A308,'NonXtal_SegEnds_Prot#'!$A:$AL,26,FALSE)</f>
        <v>-</v>
      </c>
      <c r="AL308" s="5">
        <f>VLOOKUP($A308,'NonXtal_SegEnds_Prot#'!$A:$AL,29,FALSE)</f>
        <v>244</v>
      </c>
      <c r="AM308" s="5">
        <f>VLOOKUP($A308,'NonXtal_SegEnds_Prot#'!$A:$AL,32,FALSE)</f>
        <v>287</v>
      </c>
      <c r="AN308" s="5" t="str">
        <f>VLOOKUP($A308,'NonXtal_SegEnds_Prot#'!$A:$AL,35,FALSE)</f>
        <v>-</v>
      </c>
      <c r="AO308" s="5" t="str">
        <f>VLOOKUP($A308,'NonXtal_SegEnds_Prot#'!$A:$AL,38,FALSE)</f>
        <v>-</v>
      </c>
      <c r="AP308" s="5">
        <f t="shared" si="113"/>
        <v>29</v>
      </c>
      <c r="AQ308" s="4">
        <f t="shared" si="114"/>
        <v>3</v>
      </c>
      <c r="AR308" s="4">
        <f t="shared" si="115"/>
        <v>30</v>
      </c>
      <c r="AS308" s="4">
        <f t="shared" si="116"/>
        <v>3</v>
      </c>
      <c r="AT308" s="4">
        <f t="shared" si="117"/>
        <v>35</v>
      </c>
      <c r="AU308" s="4" t="str">
        <f t="shared" si="118"/>
        <v>-</v>
      </c>
      <c r="AV308" s="4">
        <f t="shared" si="119"/>
        <v>25</v>
      </c>
      <c r="AW308" s="4" t="str">
        <f t="shared" si="120"/>
        <v>-</v>
      </c>
      <c r="AX308" s="4">
        <f t="shared" si="121"/>
        <v>41</v>
      </c>
      <c r="AY308" s="4">
        <f t="shared" si="122"/>
        <v>39</v>
      </c>
      <c r="AZ308" s="4" t="str">
        <f t="shared" si="123"/>
        <v>-</v>
      </c>
      <c r="BA308" s="4" t="str">
        <f t="shared" si="124"/>
        <v>-</v>
      </c>
    </row>
    <row r="309" spans="1:53" x14ac:dyDescent="0.2">
      <c r="A309" s="1" t="str">
        <f>'NonXtal_SegEnds_Prot#'!A300</f>
        <v>t2r16_human</v>
      </c>
      <c r="B309" s="1" t="str">
        <f t="shared" si="100"/>
        <v>TVFFMIIYVLESLTIIVQSSLIVAVLGREWLLMPVDMILISLGISRFCLQWASMLNNFCSYFVLCNLTITWEFFNILTFWLNSLLTVFYCIKVSSRILRLFPWILLGSLMITCVTIIPSAILENFHQYQFQAHTVALVIPFILFLASTIFLMASLTKQIQHHPSMKARFTALRSLAVLFIVFTSYFLTILITIIGKRCWLWVWEAFVYAFILMHSTSLMLSSPTLKRILKGKC</v>
      </c>
      <c r="C309" s="72" t="str">
        <f>IF(ISERROR(MATCH(A309,'Xtal_SegEnds_Prot#'!B:B, 0)), "NoXtal", "Xtal")</f>
        <v>NoXtal</v>
      </c>
      <c r="D309" s="4" t="str">
        <f>VLOOKUP(A309,Classification!A:D,2,FALSE)</f>
        <v>T</v>
      </c>
      <c r="E309" s="5" t="str">
        <f>VLOOKUP(A309,Seqs!A:B,2,FALSE)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09" s="5" t="str">
        <f t="shared" si="101"/>
        <v>TVFFMIIYVLESLTIIVQSSLIVAVLGREWL</v>
      </c>
      <c r="G309" s="4" t="str">
        <f t="shared" si="102"/>
        <v>QVRR</v>
      </c>
      <c r="H309" s="4" t="str">
        <f t="shared" si="103"/>
        <v>LMPVDMILISLGISRFCLQWASMLNNFCSYF</v>
      </c>
      <c r="I309" s="4" t="str">
        <f t="shared" si="104"/>
        <v/>
      </c>
      <c r="J309" s="4" t="str">
        <f t="shared" si="105"/>
        <v>VLCNLTITWEFFNILTFWLNSLLTVFYCIKVSS</v>
      </c>
      <c r="K309" s="4" t="str">
        <f t="shared" si="106"/>
        <v>HHIFLWLR</v>
      </c>
      <c r="L309" s="4" t="str">
        <f t="shared" si="107"/>
        <v>RILRLFPWILLGSLMITCVTIIPSAI</v>
      </c>
      <c r="M309" s="4" t="str">
        <f t="shared" si="108"/>
        <v/>
      </c>
      <c r="N309" s="4" t="str">
        <f t="shared" si="109"/>
        <v>LENFHQYQFQAHTVALVIPFILFLASTIFLMASLTKQIQHH</v>
      </c>
      <c r="O309" s="4" t="str">
        <f t="shared" si="110"/>
        <v>PSMKARFTALRSLAVLFIVFTSYFLTILITIIG</v>
      </c>
      <c r="P309" s="4" t="str">
        <f t="shared" si="111"/>
        <v>KRCWLWVWEAFVYAFILMHSTSLMLS</v>
      </c>
      <c r="Q309" s="4" t="str">
        <f t="shared" si="112"/>
        <v>SPTLKRILKGKC</v>
      </c>
      <c r="R309" s="5">
        <f>VLOOKUP($A309,'NonXtal_SegEnds_Prot#'!$A:$AL,3,FALSE)</f>
        <v>7</v>
      </c>
      <c r="S309" s="5">
        <f>VLOOKUP($A309,'NonXtal_SegEnds_Prot#'!$A:$AL,6,FALSE)</f>
        <v>38</v>
      </c>
      <c r="T309" s="5">
        <f>VLOOKUP($A309,'NonXtal_SegEnds_Prot#'!$A:$AL,9,FALSE)</f>
        <v>42</v>
      </c>
      <c r="U309" s="5" t="str">
        <f>VLOOKUP($A309,'NonXtal_SegEnds_Prot#'!$A:$AL,12,FALSE)</f>
        <v>-</v>
      </c>
      <c r="V309" s="5">
        <f>VLOOKUP($A309,'NonXtal_SegEnds_Prot#'!$A:$AL,15,FALSE)</f>
        <v>77</v>
      </c>
      <c r="W309" s="5">
        <f>VLOOKUP($A309,'NonXtal_SegEnds_Prot#'!$A:$AL,18,FALSE)</f>
        <v>112</v>
      </c>
      <c r="X309" s="5">
        <f>VLOOKUP($A309,'NonXtal_SegEnds_Prot#'!$A:$AL,21,FALSE)</f>
        <v>121</v>
      </c>
      <c r="Y309" s="5" t="str">
        <f>VLOOKUP($A309,'NonXtal_SegEnds_Prot#'!$A:$AL,24,FALSE)</f>
        <v>-</v>
      </c>
      <c r="Z309" s="5">
        <f>VLOOKUP($A309,'NonXtal_SegEnds_Prot#'!$A:$AL,27,FALSE)</f>
        <v>170</v>
      </c>
      <c r="AA309" s="5">
        <f>VLOOKUP($A309,'NonXtal_SegEnds_Prot#'!$A:$AL,30,FALSE)</f>
        <v>217</v>
      </c>
      <c r="AB309" s="5">
        <f>VLOOKUP($A309,'NonXtal_SegEnds_Prot#'!$A:$AL,33,FALSE)</f>
        <v>254</v>
      </c>
      <c r="AC309" s="5">
        <f>VLOOKUP($A309,'NonXtal_SegEnds_Prot#'!$A:$AL,36,FALSE)</f>
        <v>280</v>
      </c>
      <c r="AD309" s="5">
        <f>VLOOKUP($A309,'NonXtal_SegEnds_Prot#'!$A:$AL,5,FALSE)</f>
        <v>37</v>
      </c>
      <c r="AE309" s="5">
        <f>VLOOKUP($A309,'NonXtal_SegEnds_Prot#'!$A:$AL,8,FALSE)</f>
        <v>41</v>
      </c>
      <c r="AF309" s="5">
        <f>VLOOKUP($A309,'NonXtal_SegEnds_Prot#'!$A:$AL,11,FALSE)</f>
        <v>72</v>
      </c>
      <c r="AG309" s="5" t="str">
        <f>VLOOKUP($A309,'NonXtal_SegEnds_Prot#'!$A:$AL,14,FALSE)</f>
        <v>-</v>
      </c>
      <c r="AH309" s="5">
        <f>VLOOKUP($A309,'NonXtal_SegEnds_Prot#'!$A:$AL,17,FALSE)</f>
        <v>109</v>
      </c>
      <c r="AI309" s="5">
        <f>VLOOKUP($A309,'NonXtal_SegEnds_Prot#'!$A:$AL,20,FALSE)</f>
        <v>119</v>
      </c>
      <c r="AJ309" s="5">
        <f>VLOOKUP($A309,'NonXtal_SegEnds_Prot#'!$A:$AL,23,FALSE)</f>
        <v>146</v>
      </c>
      <c r="AK309" s="5" t="str">
        <f>VLOOKUP($A309,'NonXtal_SegEnds_Prot#'!$A:$AL,26,FALSE)</f>
        <v>-</v>
      </c>
      <c r="AL309" s="5">
        <f>VLOOKUP($A309,'NonXtal_SegEnds_Prot#'!$A:$AL,29,FALSE)</f>
        <v>210</v>
      </c>
      <c r="AM309" s="5">
        <f>VLOOKUP($A309,'NonXtal_SegEnds_Prot#'!$A:$AL,32,FALSE)</f>
        <v>249</v>
      </c>
      <c r="AN309" s="5">
        <f>VLOOKUP($A309,'NonXtal_SegEnds_Prot#'!$A:$AL,35,FALSE)</f>
        <v>279</v>
      </c>
      <c r="AO309" s="5">
        <f>VLOOKUP($A309,'NonXtal_SegEnds_Prot#'!$A:$AL,38,FALSE)</f>
        <v>291</v>
      </c>
      <c r="AP309" s="5">
        <f t="shared" si="113"/>
        <v>30</v>
      </c>
      <c r="AQ309" s="4">
        <f t="shared" si="114"/>
        <v>3</v>
      </c>
      <c r="AR309" s="4">
        <f t="shared" si="115"/>
        <v>30</v>
      </c>
      <c r="AS309" s="4" t="str">
        <f t="shared" si="116"/>
        <v>-</v>
      </c>
      <c r="AT309" s="4">
        <f t="shared" si="117"/>
        <v>32</v>
      </c>
      <c r="AU309" s="4">
        <f t="shared" si="118"/>
        <v>7</v>
      </c>
      <c r="AV309" s="4">
        <f t="shared" si="119"/>
        <v>25</v>
      </c>
      <c r="AW309" s="4" t="str">
        <f t="shared" si="120"/>
        <v>-</v>
      </c>
      <c r="AX309" s="4">
        <f t="shared" si="121"/>
        <v>40</v>
      </c>
      <c r="AY309" s="4">
        <f t="shared" si="122"/>
        <v>32</v>
      </c>
      <c r="AZ309" s="4">
        <f t="shared" si="123"/>
        <v>25</v>
      </c>
      <c r="BA309" s="4">
        <f t="shared" si="124"/>
        <v>11</v>
      </c>
    </row>
    <row r="310" spans="1:53" x14ac:dyDescent="0.2">
      <c r="A310" s="1" t="str">
        <f>'NonXtal_SegEnds_Prot#'!A301</f>
        <v>nk3r_human</v>
      </c>
      <c r="B310" s="1" t="str">
        <f t="shared" si="100"/>
        <v>RIALWSLAYGVVVAVAVLGNLIVIWIILAHTVTNYFLVNLAFSDASMAAFNTLVNFIYALHGANYCRFQNFFPITAVFASIYSMTAIAVDRYMAIIDATATKIVIGSIWILAFLLAFPQCLYSPKQHFTYHIIVIILVYCFPLLIMGITYTIVGITLWGGEIPGDKYHEQLKAKRKVVKMMIIVVMTFAICWLPYHIYFILTAIYWKYIQQVYLASFWLAMSSTMYNPIIYCCLNKRFRAGFKRAF</v>
      </c>
      <c r="C310" s="72" t="str">
        <f>IF(ISERROR(MATCH(A310,'Xtal_SegEnds_Prot#'!B:B, 0)), "NoXtal", "Xtal")</f>
        <v>NoXtal</v>
      </c>
      <c r="D310" s="4" t="str">
        <f>VLOOKUP(A310,Classification!A:D,2,FALSE)</f>
        <v>A</v>
      </c>
      <c r="E310" s="5" t="str">
        <f>VLOOKUP(A310,Seqs!A:B,2,FALSE)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310" s="5" t="str">
        <f t="shared" si="101"/>
        <v>RIALWSLAYGVVVAVAVLGNLIVIWIILAH</v>
      </c>
      <c r="G310" s="4" t="str">
        <f t="shared" si="102"/>
        <v>KRMR</v>
      </c>
      <c r="H310" s="4" t="str">
        <f t="shared" si="103"/>
        <v>TVTNYFLVNLAFSDASMAAFNTLVNFIYALH</v>
      </c>
      <c r="I310" s="4" t="str">
        <f t="shared" si="104"/>
        <v>EWYF</v>
      </c>
      <c r="J310" s="4" t="str">
        <f t="shared" si="105"/>
        <v>GANYCRFQNFFPITAVFASIYSMTAIAVDRYMAIID</v>
      </c>
      <c r="K310" s="4" t="str">
        <f t="shared" si="106"/>
        <v>PLKPRLS</v>
      </c>
      <c r="L310" s="4" t="str">
        <f t="shared" si="107"/>
        <v>ATATKIVIGSIWILAFLLAFPQCLYS</v>
      </c>
      <c r="M310" s="4" t="str">
        <f t="shared" si="108"/>
        <v>CFV</v>
      </c>
      <c r="N310" s="4" t="str">
        <f t="shared" si="109"/>
        <v>PKQHFTYHIIVIILVYCFPLLIMGITYTIVGITLWGGEIPGD</v>
      </c>
      <c r="O310" s="4" t="str">
        <f t="shared" si="110"/>
        <v>KYHEQLKAKRKVVKMMIIVVMTFAICWLPYHIYFILTAIY</v>
      </c>
      <c r="P310" s="4" t="str">
        <f t="shared" si="111"/>
        <v>WKYIQQVYLASFWLAMSSTMYNPIIYCCL</v>
      </c>
      <c r="Q310" s="4" t="str">
        <f t="shared" si="112"/>
        <v>NKRFRAGFKRAF</v>
      </c>
      <c r="R310" s="5">
        <f>VLOOKUP($A310,'NonXtal_SegEnds_Prot#'!$A:$AL,3,FALSE)</f>
        <v>84</v>
      </c>
      <c r="S310" s="5">
        <f>VLOOKUP($A310,'NonXtal_SegEnds_Prot#'!$A:$AL,6,FALSE)</f>
        <v>114</v>
      </c>
      <c r="T310" s="5">
        <f>VLOOKUP($A310,'NonXtal_SegEnds_Prot#'!$A:$AL,9,FALSE)</f>
        <v>118</v>
      </c>
      <c r="U310" s="5">
        <f>VLOOKUP($A310,'NonXtal_SegEnds_Prot#'!$A:$AL,12,FALSE)</f>
        <v>150</v>
      </c>
      <c r="V310" s="5">
        <f>VLOOKUP($A310,'NonXtal_SegEnds_Prot#'!$A:$AL,15,FALSE)</f>
        <v>154</v>
      </c>
      <c r="W310" s="5">
        <f>VLOOKUP($A310,'NonXtal_SegEnds_Prot#'!$A:$AL,18,FALSE)</f>
        <v>190</v>
      </c>
      <c r="X310" s="5">
        <f>VLOOKUP($A310,'NonXtal_SegEnds_Prot#'!$A:$AL,21,FALSE)</f>
        <v>197</v>
      </c>
      <c r="Y310" s="5">
        <f>VLOOKUP($A310,'NonXtal_SegEnds_Prot#'!$A:$AL,24,FALSE)</f>
        <v>233</v>
      </c>
      <c r="Z310" s="5">
        <f>VLOOKUP($A310,'NonXtal_SegEnds_Prot#'!$A:$AL,27,FALSE)</f>
        <v>241</v>
      </c>
      <c r="AA310" s="5">
        <f>VLOOKUP($A310,'NonXtal_SegEnds_Prot#'!$A:$AL,30,FALSE)</f>
        <v>286</v>
      </c>
      <c r="AB310" s="5">
        <f>VLOOKUP($A310,'NonXtal_SegEnds_Prot#'!$A:$AL,33,FALSE)</f>
        <v>331</v>
      </c>
      <c r="AC310" s="5">
        <f>VLOOKUP($A310,'NonXtal_SegEnds_Prot#'!$A:$AL,36,FALSE)</f>
        <v>360</v>
      </c>
      <c r="AD310" s="5">
        <f>VLOOKUP($A310,'NonXtal_SegEnds_Prot#'!$A:$AL,5,FALSE)</f>
        <v>113</v>
      </c>
      <c r="AE310" s="5">
        <f>VLOOKUP($A310,'NonXtal_SegEnds_Prot#'!$A:$AL,8,FALSE)</f>
        <v>117</v>
      </c>
      <c r="AF310" s="5">
        <f>VLOOKUP($A310,'NonXtal_SegEnds_Prot#'!$A:$AL,11,FALSE)</f>
        <v>148</v>
      </c>
      <c r="AG310" s="5">
        <f>VLOOKUP($A310,'NonXtal_SegEnds_Prot#'!$A:$AL,14,FALSE)</f>
        <v>153</v>
      </c>
      <c r="AH310" s="5">
        <f>VLOOKUP($A310,'NonXtal_SegEnds_Prot#'!$A:$AL,17,FALSE)</f>
        <v>189</v>
      </c>
      <c r="AI310" s="5">
        <f>VLOOKUP($A310,'NonXtal_SegEnds_Prot#'!$A:$AL,20,FALSE)</f>
        <v>196</v>
      </c>
      <c r="AJ310" s="5">
        <f>VLOOKUP($A310,'NonXtal_SegEnds_Prot#'!$A:$AL,23,FALSE)</f>
        <v>222</v>
      </c>
      <c r="AK310" s="5">
        <f>VLOOKUP($A310,'NonXtal_SegEnds_Prot#'!$A:$AL,26,FALSE)</f>
        <v>235</v>
      </c>
      <c r="AL310" s="5">
        <f>VLOOKUP($A310,'NonXtal_SegEnds_Prot#'!$A:$AL,29,FALSE)</f>
        <v>282</v>
      </c>
      <c r="AM310" s="5">
        <f>VLOOKUP($A310,'NonXtal_SegEnds_Prot#'!$A:$AL,32,FALSE)</f>
        <v>325</v>
      </c>
      <c r="AN310" s="5">
        <f>VLOOKUP($A310,'NonXtal_SegEnds_Prot#'!$A:$AL,35,FALSE)</f>
        <v>359</v>
      </c>
      <c r="AO310" s="5">
        <f>VLOOKUP($A310,'NonXtal_SegEnds_Prot#'!$A:$AL,38,FALSE)</f>
        <v>371</v>
      </c>
      <c r="AP310" s="5">
        <f t="shared" si="113"/>
        <v>29</v>
      </c>
      <c r="AQ310" s="4">
        <f t="shared" si="114"/>
        <v>3</v>
      </c>
      <c r="AR310" s="4">
        <f t="shared" si="115"/>
        <v>30</v>
      </c>
      <c r="AS310" s="4">
        <f t="shared" si="116"/>
        <v>3</v>
      </c>
      <c r="AT310" s="4">
        <f t="shared" si="117"/>
        <v>35</v>
      </c>
      <c r="AU310" s="4">
        <f t="shared" si="118"/>
        <v>6</v>
      </c>
      <c r="AV310" s="4">
        <f t="shared" si="119"/>
        <v>25</v>
      </c>
      <c r="AW310" s="4">
        <f t="shared" si="120"/>
        <v>2</v>
      </c>
      <c r="AX310" s="4">
        <f t="shared" si="121"/>
        <v>41</v>
      </c>
      <c r="AY310" s="4">
        <f t="shared" si="122"/>
        <v>39</v>
      </c>
      <c r="AZ310" s="4">
        <f t="shared" si="123"/>
        <v>28</v>
      </c>
      <c r="BA310" s="4">
        <f t="shared" si="124"/>
        <v>11</v>
      </c>
    </row>
    <row r="311" spans="1:53" x14ac:dyDescent="0.2">
      <c r="A311" s="1" t="str">
        <f>'NonXtal_SegEnds_Prot#'!A302</f>
        <v>gpr83_human</v>
      </c>
      <c r="B311" s="1" t="str">
        <f t="shared" si="100"/>
        <v>VKALLIVAYSFIIVFSLFGNVLVCHVIFKNSATSLFIVNLAVADIMITLLNTPFTLVRFVNGKGMCHVSRFAQYCSLHVSALTLTAIAVDRHQVIMHITKGVIYIAVIWTMATFFSLPHAICQDLFWKYLDLATFILLYILPLLIISVAYARVAKKLWLCNMIGDQYFALRRKKKKTIKMLMLVVVLFALCWFPLNCYVLLLSSKNNALYFAFHWFAMSSTCYNPFIYCWLNENFRIELKALL</v>
      </c>
      <c r="C311" s="72" t="str">
        <f>IF(ISERROR(MATCH(A311,'Xtal_SegEnds_Prot#'!B:B, 0)), "NoXtal", "Xtal")</f>
        <v>NoXtal</v>
      </c>
      <c r="D311" s="4" t="str">
        <f>VLOOKUP(A311,Classification!A:D,2,FALSE)</f>
        <v>A</v>
      </c>
      <c r="E311" s="5" t="str">
        <f>VLOOKUP(A311,Seqs!A:B,2,FALSE)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311" s="5" t="str">
        <f t="shared" si="101"/>
        <v>VKALLIVAYSFIIVFSLFGNVLVCHVIFKN</v>
      </c>
      <c r="G311" s="4" t="str">
        <f t="shared" si="102"/>
        <v>QRMH</v>
      </c>
      <c r="H311" s="4" t="str">
        <f t="shared" si="103"/>
        <v>SATSLFIVNLAVADIMITLLNTPFTLVRFVN</v>
      </c>
      <c r="I311" s="4" t="str">
        <f t="shared" si="104"/>
        <v>TWIF</v>
      </c>
      <c r="J311" s="4" t="str">
        <f t="shared" si="105"/>
        <v>GKGMCHVSRFAQYCSLHVSALTLTAIAVDRHQVIMH</v>
      </c>
      <c r="K311" s="4" t="str">
        <f t="shared" si="106"/>
        <v>PLKPRIS</v>
      </c>
      <c r="L311" s="4" t="str">
        <f t="shared" si="107"/>
        <v>ITKGVIYIAVIWTMATFFSLPHAICQ</v>
      </c>
      <c r="M311" s="4" t="str">
        <f t="shared" si="108"/>
        <v>CLP</v>
      </c>
      <c r="N311" s="4" t="str">
        <f t="shared" si="109"/>
        <v>DLFWKYLDLATFILLYILPLLIISVAYARVAKKLWLCNMIGD</v>
      </c>
      <c r="O311" s="4" t="str">
        <f t="shared" si="110"/>
        <v>QYFALRRKKKKTIKMLMLVVVLFALCWFPLNCYVLLLSSK</v>
      </c>
      <c r="P311" s="4" t="str">
        <f t="shared" si="111"/>
        <v>NNALYFAFHWFAMSSTCYNPFIYCWL</v>
      </c>
      <c r="Q311" s="4" t="str">
        <f t="shared" si="112"/>
        <v>NENFRIELKALL</v>
      </c>
      <c r="R311" s="5">
        <f>VLOOKUP($A311,'NonXtal_SegEnds_Prot#'!$A:$AL,3,FALSE)</f>
        <v>70</v>
      </c>
      <c r="S311" s="5">
        <f>VLOOKUP($A311,'NonXtal_SegEnds_Prot#'!$A:$AL,6,FALSE)</f>
        <v>100</v>
      </c>
      <c r="T311" s="5">
        <f>VLOOKUP($A311,'NonXtal_SegEnds_Prot#'!$A:$AL,9,FALSE)</f>
        <v>104</v>
      </c>
      <c r="U311" s="5">
        <f>VLOOKUP($A311,'NonXtal_SegEnds_Prot#'!$A:$AL,12,FALSE)</f>
        <v>136</v>
      </c>
      <c r="V311" s="5">
        <f>VLOOKUP($A311,'NonXtal_SegEnds_Prot#'!$A:$AL,15,FALSE)</f>
        <v>140</v>
      </c>
      <c r="W311" s="5">
        <f>VLOOKUP($A311,'NonXtal_SegEnds_Prot#'!$A:$AL,18,FALSE)</f>
        <v>176</v>
      </c>
      <c r="X311" s="5">
        <f>VLOOKUP($A311,'NonXtal_SegEnds_Prot#'!$A:$AL,21,FALSE)</f>
        <v>183</v>
      </c>
      <c r="Y311" s="5">
        <f>VLOOKUP($A311,'NonXtal_SegEnds_Prot#'!$A:$AL,24,FALSE)</f>
        <v>224</v>
      </c>
      <c r="Z311" s="5">
        <f>VLOOKUP($A311,'NonXtal_SegEnds_Prot#'!$A:$AL,27,FALSE)</f>
        <v>233</v>
      </c>
      <c r="AA311" s="5">
        <f>VLOOKUP($A311,'NonXtal_SegEnds_Prot#'!$A:$AL,30,FALSE)</f>
        <v>279</v>
      </c>
      <c r="AB311" s="5">
        <f>VLOOKUP($A311,'NonXtal_SegEnds_Prot#'!$A:$AL,33,FALSE)</f>
        <v>323</v>
      </c>
      <c r="AC311" s="5">
        <f>VLOOKUP($A311,'NonXtal_SegEnds_Prot#'!$A:$AL,36,FALSE)</f>
        <v>349</v>
      </c>
      <c r="AD311" s="5">
        <f>VLOOKUP($A311,'NonXtal_SegEnds_Prot#'!$A:$AL,5,FALSE)</f>
        <v>99</v>
      </c>
      <c r="AE311" s="5">
        <f>VLOOKUP($A311,'NonXtal_SegEnds_Prot#'!$A:$AL,8,FALSE)</f>
        <v>103</v>
      </c>
      <c r="AF311" s="5">
        <f>VLOOKUP($A311,'NonXtal_SegEnds_Prot#'!$A:$AL,11,FALSE)</f>
        <v>134</v>
      </c>
      <c r="AG311" s="5">
        <f>VLOOKUP($A311,'NonXtal_SegEnds_Prot#'!$A:$AL,14,FALSE)</f>
        <v>139</v>
      </c>
      <c r="AH311" s="5">
        <f>VLOOKUP($A311,'NonXtal_SegEnds_Prot#'!$A:$AL,17,FALSE)</f>
        <v>175</v>
      </c>
      <c r="AI311" s="5">
        <f>VLOOKUP($A311,'NonXtal_SegEnds_Prot#'!$A:$AL,20,FALSE)</f>
        <v>182</v>
      </c>
      <c r="AJ311" s="5">
        <f>VLOOKUP($A311,'NonXtal_SegEnds_Prot#'!$A:$AL,23,FALSE)</f>
        <v>208</v>
      </c>
      <c r="AK311" s="5">
        <f>VLOOKUP($A311,'NonXtal_SegEnds_Prot#'!$A:$AL,26,FALSE)</f>
        <v>226</v>
      </c>
      <c r="AL311" s="5">
        <f>VLOOKUP($A311,'NonXtal_SegEnds_Prot#'!$A:$AL,29,FALSE)</f>
        <v>274</v>
      </c>
      <c r="AM311" s="5">
        <f>VLOOKUP($A311,'NonXtal_SegEnds_Prot#'!$A:$AL,32,FALSE)</f>
        <v>318</v>
      </c>
      <c r="AN311" s="5">
        <f>VLOOKUP($A311,'NonXtal_SegEnds_Prot#'!$A:$AL,35,FALSE)</f>
        <v>348</v>
      </c>
      <c r="AO311" s="5">
        <f>VLOOKUP($A311,'NonXtal_SegEnds_Prot#'!$A:$AL,38,FALSE)</f>
        <v>360</v>
      </c>
      <c r="AP311" s="5">
        <f t="shared" si="113"/>
        <v>29</v>
      </c>
      <c r="AQ311" s="4">
        <f t="shared" si="114"/>
        <v>3</v>
      </c>
      <c r="AR311" s="4">
        <f t="shared" si="115"/>
        <v>30</v>
      </c>
      <c r="AS311" s="4">
        <f t="shared" si="116"/>
        <v>3</v>
      </c>
      <c r="AT311" s="4">
        <f t="shared" si="117"/>
        <v>35</v>
      </c>
      <c r="AU311" s="4">
        <f t="shared" si="118"/>
        <v>6</v>
      </c>
      <c r="AV311" s="4">
        <f t="shared" si="119"/>
        <v>25</v>
      </c>
      <c r="AW311" s="4">
        <f t="shared" si="120"/>
        <v>2</v>
      </c>
      <c r="AX311" s="4">
        <f t="shared" si="121"/>
        <v>41</v>
      </c>
      <c r="AY311" s="4">
        <f t="shared" si="122"/>
        <v>39</v>
      </c>
      <c r="AZ311" s="4">
        <f t="shared" si="123"/>
        <v>25</v>
      </c>
      <c r="BA311" s="4">
        <f t="shared" si="124"/>
        <v>11</v>
      </c>
    </row>
    <row r="312" spans="1:53" x14ac:dyDescent="0.2">
      <c r="A312" s="1" t="str">
        <f>'NonXtal_SegEnds_Prot#'!A303</f>
        <v>pkr1_human</v>
      </c>
      <c r="B312" s="1" t="str">
        <f t="shared" si="100"/>
        <v>AKIVIGMALVGIMLVCGIGNFIFIAALVRYNLTNLLIANLAISDFLVAIVCCPFEMDYYVVGHVLCTSVNYLRTVSLYVSTNALLAIAIDRYLAIVHCQTATGLIALVWTVSILIAIPSAYFTQLYYKSYFLFIFGIEFVGPVVTMTLCYARISRELWFKAVPGFQIRKRLRCRRKTVLVLMCILTAYVLCWAPFYGFTIVRDFFEKHYLTAFYIVECIAMSNSMINTLCFVTVNDTVKYFKKIML</v>
      </c>
      <c r="C312" s="72" t="str">
        <f>IF(ISERROR(MATCH(A312,'Xtal_SegEnds_Prot#'!B:B, 0)), "NoXtal", "Xtal")</f>
        <v>NoXtal</v>
      </c>
      <c r="D312" s="4" t="str">
        <f>VLOOKUP(A312,Classification!A:D,2,FALSE)</f>
        <v>A</v>
      </c>
      <c r="E312" s="5" t="str">
        <f>VLOOKUP(A312,Seqs!A:B,2,FALSE)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12" s="5" t="str">
        <f t="shared" si="101"/>
        <v>AKIVIGMALVGIMLVCGIGNFIFIAALVRY</v>
      </c>
      <c r="G312" s="4" t="str">
        <f t="shared" si="102"/>
        <v>KKLR</v>
      </c>
      <c r="H312" s="4" t="str">
        <f t="shared" si="103"/>
        <v>NLTNLLIANLAISDFLVAIVCCPFEMDYYVV</v>
      </c>
      <c r="I312" s="4" t="str">
        <f t="shared" si="104"/>
        <v>SWEH</v>
      </c>
      <c r="J312" s="4" t="str">
        <f t="shared" si="105"/>
        <v>GHVLCTSVNYLRTVSLYVSTNALLAIAIDRYLAIVH</v>
      </c>
      <c r="K312" s="4" t="str">
        <f t="shared" si="106"/>
        <v>PLRPRMK</v>
      </c>
      <c r="L312" s="4" t="str">
        <f t="shared" si="107"/>
        <v>CQTATGLIALVWTVSILIAIPSAYFT</v>
      </c>
      <c r="M312" s="4" t="str">
        <f t="shared" si="108"/>
        <v>CGQ</v>
      </c>
      <c r="N312" s="4" t="str">
        <f t="shared" si="109"/>
        <v>QLYYKSYFLFIFGIEFVGPVVTMTLCYARISRELWFKAVPGF</v>
      </c>
      <c r="O312" s="4" t="str">
        <f t="shared" si="110"/>
        <v>QIRKRLRCRRKTVLVLMCILTAYVLCWAPFYGFTIVRDFF</v>
      </c>
      <c r="P312" s="4" t="str">
        <f t="shared" si="111"/>
        <v>EKHYLTAFYIVECIAMSNSMINTLCFVTV</v>
      </c>
      <c r="Q312" s="4" t="str">
        <f t="shared" si="112"/>
        <v>NDTVKYFKKIML</v>
      </c>
      <c r="R312" s="5">
        <f>VLOOKUP($A312,'NonXtal_SegEnds_Prot#'!$A:$AL,3,FALSE)</f>
        <v>61</v>
      </c>
      <c r="S312" s="5">
        <f>VLOOKUP($A312,'NonXtal_SegEnds_Prot#'!$A:$AL,6,FALSE)</f>
        <v>91</v>
      </c>
      <c r="T312" s="5">
        <f>VLOOKUP($A312,'NonXtal_SegEnds_Prot#'!$A:$AL,9,FALSE)</f>
        <v>95</v>
      </c>
      <c r="U312" s="5">
        <f>VLOOKUP($A312,'NonXtal_SegEnds_Prot#'!$A:$AL,12,FALSE)</f>
        <v>129</v>
      </c>
      <c r="V312" s="5">
        <f>VLOOKUP($A312,'NonXtal_SegEnds_Prot#'!$A:$AL,15,FALSE)</f>
        <v>133</v>
      </c>
      <c r="W312" s="5">
        <f>VLOOKUP($A312,'NonXtal_SegEnds_Prot#'!$A:$AL,18,FALSE)</f>
        <v>169</v>
      </c>
      <c r="X312" s="5">
        <f>VLOOKUP($A312,'NonXtal_SegEnds_Prot#'!$A:$AL,21,FALSE)</f>
        <v>176</v>
      </c>
      <c r="Y312" s="5">
        <f>VLOOKUP($A312,'NonXtal_SegEnds_Prot#'!$A:$AL,24,FALSE)</f>
        <v>217</v>
      </c>
      <c r="Z312" s="5">
        <f>VLOOKUP($A312,'NonXtal_SegEnds_Prot#'!$A:$AL,27,FALSE)</f>
        <v>226</v>
      </c>
      <c r="AA312" s="5">
        <f>VLOOKUP($A312,'NonXtal_SegEnds_Prot#'!$A:$AL,30,FALSE)</f>
        <v>271</v>
      </c>
      <c r="AB312" s="5">
        <f>VLOOKUP($A312,'NonXtal_SegEnds_Prot#'!$A:$AL,33,FALSE)</f>
        <v>317</v>
      </c>
      <c r="AC312" s="5">
        <f>VLOOKUP($A312,'NonXtal_SegEnds_Prot#'!$A:$AL,36,FALSE)</f>
        <v>347</v>
      </c>
      <c r="AD312" s="5">
        <f>VLOOKUP($A312,'NonXtal_SegEnds_Prot#'!$A:$AL,5,FALSE)</f>
        <v>90</v>
      </c>
      <c r="AE312" s="5">
        <f>VLOOKUP($A312,'NonXtal_SegEnds_Prot#'!$A:$AL,8,FALSE)</f>
        <v>94</v>
      </c>
      <c r="AF312" s="5">
        <f>VLOOKUP($A312,'NonXtal_SegEnds_Prot#'!$A:$AL,11,FALSE)</f>
        <v>125</v>
      </c>
      <c r="AG312" s="5">
        <f>VLOOKUP($A312,'NonXtal_SegEnds_Prot#'!$A:$AL,14,FALSE)</f>
        <v>132</v>
      </c>
      <c r="AH312" s="5">
        <f>VLOOKUP($A312,'NonXtal_SegEnds_Prot#'!$A:$AL,17,FALSE)</f>
        <v>168</v>
      </c>
      <c r="AI312" s="5">
        <f>VLOOKUP($A312,'NonXtal_SegEnds_Prot#'!$A:$AL,20,FALSE)</f>
        <v>175</v>
      </c>
      <c r="AJ312" s="5">
        <f>VLOOKUP($A312,'NonXtal_SegEnds_Prot#'!$A:$AL,23,FALSE)</f>
        <v>201</v>
      </c>
      <c r="AK312" s="5">
        <f>VLOOKUP($A312,'NonXtal_SegEnds_Prot#'!$A:$AL,26,FALSE)</f>
        <v>219</v>
      </c>
      <c r="AL312" s="5">
        <f>VLOOKUP($A312,'NonXtal_SegEnds_Prot#'!$A:$AL,29,FALSE)</f>
        <v>267</v>
      </c>
      <c r="AM312" s="5">
        <f>VLOOKUP($A312,'NonXtal_SegEnds_Prot#'!$A:$AL,32,FALSE)</f>
        <v>310</v>
      </c>
      <c r="AN312" s="5">
        <f>VLOOKUP($A312,'NonXtal_SegEnds_Prot#'!$A:$AL,35,FALSE)</f>
        <v>345</v>
      </c>
      <c r="AO312" s="5">
        <f>VLOOKUP($A312,'NonXtal_SegEnds_Prot#'!$A:$AL,38,FALSE)</f>
        <v>358</v>
      </c>
      <c r="AP312" s="5">
        <f t="shared" si="113"/>
        <v>29</v>
      </c>
      <c r="AQ312" s="4">
        <f t="shared" si="114"/>
        <v>3</v>
      </c>
      <c r="AR312" s="4">
        <f t="shared" si="115"/>
        <v>30</v>
      </c>
      <c r="AS312" s="4">
        <f t="shared" si="116"/>
        <v>3</v>
      </c>
      <c r="AT312" s="4">
        <f t="shared" si="117"/>
        <v>35</v>
      </c>
      <c r="AU312" s="4">
        <f t="shared" si="118"/>
        <v>6</v>
      </c>
      <c r="AV312" s="4">
        <f t="shared" si="119"/>
        <v>25</v>
      </c>
      <c r="AW312" s="4">
        <f t="shared" si="120"/>
        <v>2</v>
      </c>
      <c r="AX312" s="4">
        <f t="shared" si="121"/>
        <v>41</v>
      </c>
      <c r="AY312" s="4">
        <f t="shared" si="122"/>
        <v>39</v>
      </c>
      <c r="AZ312" s="4">
        <f t="shared" si="123"/>
        <v>28</v>
      </c>
      <c r="BA312" s="4">
        <f t="shared" si="124"/>
        <v>11</v>
      </c>
    </row>
    <row r="313" spans="1:53" x14ac:dyDescent="0.2">
      <c r="A313" s="1" t="str">
        <f>'NonXtal_SegEnds_Prot#'!A304</f>
        <v>prlhr_human</v>
      </c>
      <c r="B313" s="1" t="str">
        <f t="shared" si="100"/>
        <v>LKGLIVLLYSVVVVVGLVGNCLLVLVIARVNVTNFLIGNLALSDVLMCTACVPLTLAYAFEGGGLCHLVFFLQPVTVYVSVFTLTTIAVDRYVVLVHLRLSAYAVLAIWALSAVLALPAAVHTERQRQLYAWGLLLVTYLLPLLVILLSYVRVSVKLRNRVVPGCQADWDRARRRRTFCLLVVIVVVFAVCWLPLHVFNLLRDLDPYAFGLVQLLCHWLAMSSACYNPFIYAWLHDSFREELRKLL</v>
      </c>
      <c r="C313" s="72" t="str">
        <f>IF(ISERROR(MATCH(A313,'Xtal_SegEnds_Prot#'!B:B, 0)), "NoXtal", "Xtal")</f>
        <v>NoXtal</v>
      </c>
      <c r="D313" s="4" t="str">
        <f>VLOOKUP(A313,Classification!A:D,2,FALSE)</f>
        <v>A</v>
      </c>
      <c r="E313" s="5" t="str">
        <f>VLOOKUP(A313,Seqs!A:B,2,FALSE)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313" s="5" t="str">
        <f t="shared" si="101"/>
        <v>LKGLIVLLYSVVVVVGLVGNCLLVLVIARV</v>
      </c>
      <c r="G313" s="4" t="str">
        <f t="shared" si="102"/>
        <v>RRLH</v>
      </c>
      <c r="H313" s="4" t="str">
        <f t="shared" si="103"/>
        <v>NVTNFLIGNLALSDVLMCTACVPLTLAYAFE</v>
      </c>
      <c r="I313" s="4" t="str">
        <f t="shared" si="104"/>
        <v>GWVF</v>
      </c>
      <c r="J313" s="4" t="str">
        <f t="shared" si="105"/>
        <v>GGGLCHLVFFLQPVTVYVSVFTLTTIAVDRYVVLVH</v>
      </c>
      <c r="K313" s="4" t="str">
        <f t="shared" si="106"/>
        <v>PLRRRIS</v>
      </c>
      <c r="L313" s="4" t="str">
        <f t="shared" si="107"/>
        <v>LRLSAYAVLAIWALSAVLALPAAVHT</v>
      </c>
      <c r="M313" s="4" t="str">
        <f t="shared" si="108"/>
        <v>CEE</v>
      </c>
      <c r="N313" s="4" t="str">
        <f t="shared" si="109"/>
        <v>ERQRQLYAWGLLLVTYLLPLLVILLSYVRVSVKLRNRVVPGC</v>
      </c>
      <c r="O313" s="4" t="str">
        <f t="shared" si="110"/>
        <v>QADWDRARRRRTFCLLVVIVVVFAVCWLPLHVFNLLRDLD</v>
      </c>
      <c r="P313" s="4" t="str">
        <f t="shared" si="111"/>
        <v>PYAFGLVQLLCHWLAMSSACYNPFIYAWL</v>
      </c>
      <c r="Q313" s="4" t="str">
        <f t="shared" si="112"/>
        <v>HDSFREELRKLL</v>
      </c>
      <c r="R313" s="5">
        <f>VLOOKUP($A313,'NonXtal_SegEnds_Prot#'!$A:$AL,3,FALSE)</f>
        <v>59</v>
      </c>
      <c r="S313" s="5">
        <f>VLOOKUP($A313,'NonXtal_SegEnds_Prot#'!$A:$AL,6,FALSE)</f>
        <v>89</v>
      </c>
      <c r="T313" s="5">
        <f>VLOOKUP($A313,'NonXtal_SegEnds_Prot#'!$A:$AL,9,FALSE)</f>
        <v>93</v>
      </c>
      <c r="U313" s="5">
        <f>VLOOKUP($A313,'NonXtal_SegEnds_Prot#'!$A:$AL,12,FALSE)</f>
        <v>126</v>
      </c>
      <c r="V313" s="5">
        <f>VLOOKUP($A313,'NonXtal_SegEnds_Prot#'!$A:$AL,15,FALSE)</f>
        <v>130</v>
      </c>
      <c r="W313" s="5">
        <f>VLOOKUP($A313,'NonXtal_SegEnds_Prot#'!$A:$AL,18,FALSE)</f>
        <v>166</v>
      </c>
      <c r="X313" s="5">
        <f>VLOOKUP($A313,'NonXtal_SegEnds_Prot#'!$A:$AL,21,FALSE)</f>
        <v>173</v>
      </c>
      <c r="Y313" s="5">
        <f>VLOOKUP($A313,'NonXtal_SegEnds_Prot#'!$A:$AL,24,FALSE)</f>
        <v>211</v>
      </c>
      <c r="Z313" s="5">
        <f>VLOOKUP($A313,'NonXtal_SegEnds_Prot#'!$A:$AL,27,FALSE)</f>
        <v>219</v>
      </c>
      <c r="AA313" s="5">
        <f>VLOOKUP($A313,'NonXtal_SegEnds_Prot#'!$A:$AL,30,FALSE)</f>
        <v>265</v>
      </c>
      <c r="AB313" s="5">
        <f>VLOOKUP($A313,'NonXtal_SegEnds_Prot#'!$A:$AL,33,FALSE)</f>
        <v>310</v>
      </c>
      <c r="AC313" s="5">
        <f>VLOOKUP($A313,'NonXtal_SegEnds_Prot#'!$A:$AL,36,FALSE)</f>
        <v>339</v>
      </c>
      <c r="AD313" s="5">
        <f>VLOOKUP($A313,'NonXtal_SegEnds_Prot#'!$A:$AL,5,FALSE)</f>
        <v>88</v>
      </c>
      <c r="AE313" s="5">
        <f>VLOOKUP($A313,'NonXtal_SegEnds_Prot#'!$A:$AL,8,FALSE)</f>
        <v>92</v>
      </c>
      <c r="AF313" s="5">
        <f>VLOOKUP($A313,'NonXtal_SegEnds_Prot#'!$A:$AL,11,FALSE)</f>
        <v>123</v>
      </c>
      <c r="AG313" s="5">
        <f>VLOOKUP($A313,'NonXtal_SegEnds_Prot#'!$A:$AL,14,FALSE)</f>
        <v>129</v>
      </c>
      <c r="AH313" s="5">
        <f>VLOOKUP($A313,'NonXtal_SegEnds_Prot#'!$A:$AL,17,FALSE)</f>
        <v>165</v>
      </c>
      <c r="AI313" s="5">
        <f>VLOOKUP($A313,'NonXtal_SegEnds_Prot#'!$A:$AL,20,FALSE)</f>
        <v>172</v>
      </c>
      <c r="AJ313" s="5">
        <f>VLOOKUP($A313,'NonXtal_SegEnds_Prot#'!$A:$AL,23,FALSE)</f>
        <v>198</v>
      </c>
      <c r="AK313" s="5">
        <f>VLOOKUP($A313,'NonXtal_SegEnds_Prot#'!$A:$AL,26,FALSE)</f>
        <v>213</v>
      </c>
      <c r="AL313" s="5">
        <f>VLOOKUP($A313,'NonXtal_SegEnds_Prot#'!$A:$AL,29,FALSE)</f>
        <v>260</v>
      </c>
      <c r="AM313" s="5">
        <f>VLOOKUP($A313,'NonXtal_SegEnds_Prot#'!$A:$AL,32,FALSE)</f>
        <v>304</v>
      </c>
      <c r="AN313" s="5">
        <f>VLOOKUP($A313,'NonXtal_SegEnds_Prot#'!$A:$AL,35,FALSE)</f>
        <v>338</v>
      </c>
      <c r="AO313" s="5">
        <f>VLOOKUP($A313,'NonXtal_SegEnds_Prot#'!$A:$AL,38,FALSE)</f>
        <v>350</v>
      </c>
      <c r="AP313" s="5">
        <f t="shared" si="113"/>
        <v>29</v>
      </c>
      <c r="AQ313" s="4">
        <f t="shared" si="114"/>
        <v>3</v>
      </c>
      <c r="AR313" s="4">
        <f t="shared" si="115"/>
        <v>30</v>
      </c>
      <c r="AS313" s="4">
        <f t="shared" si="116"/>
        <v>3</v>
      </c>
      <c r="AT313" s="4">
        <f t="shared" si="117"/>
        <v>35</v>
      </c>
      <c r="AU313" s="4">
        <f t="shared" si="118"/>
        <v>6</v>
      </c>
      <c r="AV313" s="4">
        <f t="shared" si="119"/>
        <v>25</v>
      </c>
      <c r="AW313" s="4">
        <f t="shared" si="120"/>
        <v>2</v>
      </c>
      <c r="AX313" s="4">
        <f t="shared" si="121"/>
        <v>41</v>
      </c>
      <c r="AY313" s="4">
        <f t="shared" si="122"/>
        <v>39</v>
      </c>
      <c r="AZ313" s="4">
        <f t="shared" si="123"/>
        <v>28</v>
      </c>
      <c r="BA313" s="4">
        <f t="shared" si="124"/>
        <v>11</v>
      </c>
    </row>
    <row r="314" spans="1:53" x14ac:dyDescent="0.2">
      <c r="A314" s="1" t="str">
        <f>'NonXtal_SegEnds_Prot#'!A305</f>
        <v>gpr19_human</v>
      </c>
      <c r="B314" s="1" t="str">
        <f t="shared" si="100"/>
        <v>EVATASIFFGILWLFSIFGNSLVCLVIHRSSTTNYFVVSMACADLLISVASTPFVLLQFTTGSATCKVVRYFQYLTPGVQIYVLLSICIDRFYTIVYREKAKKMIAASWVFDAGFVTPVLFFYSWEGTAYTVIHFLVGFVIPSVLIILFYQKVIKYIWRIGTDGRTMNIVPRTKVKTIKMFLILNLLFLLSWLPFHVAQLWHPHESSLVFTAITWISFSSSASKPTLYSIYNANFRRGMKETF</v>
      </c>
      <c r="C314" s="72" t="str">
        <f>IF(ISERROR(MATCH(A314,'Xtal_SegEnds_Prot#'!B:B, 0)), "NoXtal", "Xtal")</f>
        <v>NoXtal</v>
      </c>
      <c r="D314" s="4" t="str">
        <f>VLOOKUP(A314,Classification!A:D,2,FALSE)</f>
        <v>A</v>
      </c>
      <c r="E314" s="5" t="str">
        <f>VLOOKUP(A314,Seqs!A:B,2,FALSE)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314" s="5" t="str">
        <f t="shared" si="101"/>
        <v>EVATASIFFGILWLFSIFGNSLVCLVIHRS</v>
      </c>
      <c r="G314" s="4" t="str">
        <f t="shared" si="102"/>
        <v>RRTQ</v>
      </c>
      <c r="H314" s="4" t="str">
        <f t="shared" si="103"/>
        <v>STTNYFVVSMACADLLISVASTPFVLLQFTT</v>
      </c>
      <c r="I314" s="4" t="str">
        <f t="shared" si="104"/>
        <v>RWTL</v>
      </c>
      <c r="J314" s="4" t="str">
        <f t="shared" si="105"/>
        <v>GSATCKVVRYFQYLTPGVQIYVLLSICIDRFYTIVY</v>
      </c>
      <c r="K314" s="4" t="str">
        <f t="shared" si="106"/>
        <v>PLSFKVS</v>
      </c>
      <c r="L314" s="4" t="str">
        <f t="shared" si="107"/>
        <v>REKAKKMIAASWVFDAGFVTPVLFFY</v>
      </c>
      <c r="M314" s="4" t="str">
        <f t="shared" si="108"/>
        <v>CNY</v>
      </c>
      <c r="N314" s="4" t="str">
        <f t="shared" si="109"/>
        <v>SWEGTAYTVIHFLVGFVIPSVLIILFYQKVIKYIWRIGTDGR</v>
      </c>
      <c r="O314" s="4" t="str">
        <f t="shared" si="110"/>
        <v>TMNIVPRTKVKTIKMFLILNLLFLLSWLPFHVAQLWHPHE</v>
      </c>
      <c r="P314" s="4" t="str">
        <f t="shared" si="111"/>
        <v>SSLVFTAITWISFSSSASKPTLYSIY</v>
      </c>
      <c r="Q314" s="4" t="str">
        <f t="shared" si="112"/>
        <v>NANFRRGMKETF</v>
      </c>
      <c r="R314" s="5">
        <f>VLOOKUP($A314,'NonXtal_SegEnds_Prot#'!$A:$AL,3,FALSE)</f>
        <v>64</v>
      </c>
      <c r="S314" s="5">
        <f>VLOOKUP($A314,'NonXtal_SegEnds_Prot#'!$A:$AL,6,FALSE)</f>
        <v>94</v>
      </c>
      <c r="T314" s="5">
        <f>VLOOKUP($A314,'NonXtal_SegEnds_Prot#'!$A:$AL,9,FALSE)</f>
        <v>98</v>
      </c>
      <c r="U314" s="5">
        <f>VLOOKUP($A314,'NonXtal_SegEnds_Prot#'!$A:$AL,12,FALSE)</f>
        <v>130</v>
      </c>
      <c r="V314" s="5">
        <f>VLOOKUP($A314,'NonXtal_SegEnds_Prot#'!$A:$AL,15,FALSE)</f>
        <v>134</v>
      </c>
      <c r="W314" s="5">
        <f>VLOOKUP($A314,'NonXtal_SegEnds_Prot#'!$A:$AL,18,FALSE)</f>
        <v>170</v>
      </c>
      <c r="X314" s="5">
        <f>VLOOKUP($A314,'NonXtal_SegEnds_Prot#'!$A:$AL,21,FALSE)</f>
        <v>177</v>
      </c>
      <c r="Y314" s="5">
        <f>VLOOKUP($A314,'NonXtal_SegEnds_Prot#'!$A:$AL,24,FALSE)</f>
        <v>210</v>
      </c>
      <c r="Z314" s="5">
        <f>VLOOKUP($A314,'NonXtal_SegEnds_Prot#'!$A:$AL,27,FALSE)</f>
        <v>217</v>
      </c>
      <c r="AA314" s="5">
        <f>VLOOKUP($A314,'NonXtal_SegEnds_Prot#'!$A:$AL,30,FALSE)</f>
        <v>263</v>
      </c>
      <c r="AB314" s="5">
        <f>VLOOKUP($A314,'NonXtal_SegEnds_Prot#'!$A:$AL,33,FALSE)</f>
        <v>308</v>
      </c>
      <c r="AC314" s="5">
        <f>VLOOKUP($A314,'NonXtal_SegEnds_Prot#'!$A:$AL,36,FALSE)</f>
        <v>334</v>
      </c>
      <c r="AD314" s="5">
        <f>VLOOKUP($A314,'NonXtal_SegEnds_Prot#'!$A:$AL,5,FALSE)</f>
        <v>93</v>
      </c>
      <c r="AE314" s="5">
        <f>VLOOKUP($A314,'NonXtal_SegEnds_Prot#'!$A:$AL,8,FALSE)</f>
        <v>97</v>
      </c>
      <c r="AF314" s="5">
        <f>VLOOKUP($A314,'NonXtal_SegEnds_Prot#'!$A:$AL,11,FALSE)</f>
        <v>128</v>
      </c>
      <c r="AG314" s="5">
        <f>VLOOKUP($A314,'NonXtal_SegEnds_Prot#'!$A:$AL,14,FALSE)</f>
        <v>133</v>
      </c>
      <c r="AH314" s="5">
        <f>VLOOKUP($A314,'NonXtal_SegEnds_Prot#'!$A:$AL,17,FALSE)</f>
        <v>169</v>
      </c>
      <c r="AI314" s="5">
        <f>VLOOKUP($A314,'NonXtal_SegEnds_Prot#'!$A:$AL,20,FALSE)</f>
        <v>176</v>
      </c>
      <c r="AJ314" s="5">
        <f>VLOOKUP($A314,'NonXtal_SegEnds_Prot#'!$A:$AL,23,FALSE)</f>
        <v>202</v>
      </c>
      <c r="AK314" s="5">
        <f>VLOOKUP($A314,'NonXtal_SegEnds_Prot#'!$A:$AL,26,FALSE)</f>
        <v>212</v>
      </c>
      <c r="AL314" s="5">
        <f>VLOOKUP($A314,'NonXtal_SegEnds_Prot#'!$A:$AL,29,FALSE)</f>
        <v>258</v>
      </c>
      <c r="AM314" s="5">
        <f>VLOOKUP($A314,'NonXtal_SegEnds_Prot#'!$A:$AL,32,FALSE)</f>
        <v>302</v>
      </c>
      <c r="AN314" s="5">
        <f>VLOOKUP($A314,'NonXtal_SegEnds_Prot#'!$A:$AL,35,FALSE)</f>
        <v>333</v>
      </c>
      <c r="AO314" s="5">
        <f>VLOOKUP($A314,'NonXtal_SegEnds_Prot#'!$A:$AL,38,FALSE)</f>
        <v>345</v>
      </c>
      <c r="AP314" s="5">
        <f t="shared" si="113"/>
        <v>29</v>
      </c>
      <c r="AQ314" s="4">
        <f t="shared" si="114"/>
        <v>3</v>
      </c>
      <c r="AR314" s="4">
        <f t="shared" si="115"/>
        <v>30</v>
      </c>
      <c r="AS314" s="4">
        <f t="shared" si="116"/>
        <v>3</v>
      </c>
      <c r="AT314" s="4">
        <f t="shared" si="117"/>
        <v>35</v>
      </c>
      <c r="AU314" s="4">
        <f t="shared" si="118"/>
        <v>6</v>
      </c>
      <c r="AV314" s="4">
        <f t="shared" si="119"/>
        <v>25</v>
      </c>
      <c r="AW314" s="4">
        <f t="shared" si="120"/>
        <v>2</v>
      </c>
      <c r="AX314" s="4">
        <f t="shared" si="121"/>
        <v>41</v>
      </c>
      <c r="AY314" s="4">
        <f t="shared" si="122"/>
        <v>39</v>
      </c>
      <c r="AZ314" s="4">
        <f t="shared" si="123"/>
        <v>25</v>
      </c>
      <c r="BA314" s="4">
        <f t="shared" si="124"/>
        <v>11</v>
      </c>
    </row>
    <row r="315" spans="1:53" x14ac:dyDescent="0.2">
      <c r="A315" s="1" t="str">
        <f>'NonXtal_SegEnds_Prot#'!A306</f>
        <v>ox2r_human</v>
      </c>
      <c r="B315" s="1" t="str">
        <f t="shared" si="100"/>
        <v>YEWVLIAGYIIVFVVALIGNVLVCVAVWKNTVTNYFIVNLSLADVLVTITCLPATLVVDITGQSLCKVIPYLQTVSVSVSVLTLSCIALDRWYAICHAKRARNSIVIIWIVSCIIMIPQAIVMEIYPKMYHICFFLVTYMAPLCLMVLAYLQIFRKLWCRQIPVAAEIKQIRARRKTARMLMIVLLVFAICYLPISILNVLKRVFRETVYAWFTFSHWLVYANSAANPIIYNFLSGKFREEFKAAF</v>
      </c>
      <c r="C315" s="72" t="str">
        <f>IF(ISERROR(MATCH(A315,'Xtal_SegEnds_Prot#'!B:B, 0)), "NoXtal", "Xtal")</f>
        <v>Xtal</v>
      </c>
      <c r="D315" s="4" t="str">
        <f>VLOOKUP(A315,Classification!A:D,2,FALSE)</f>
        <v>A</v>
      </c>
      <c r="E315" s="5" t="str">
        <f>VLOOKUP(A315,Seqs!A:B,2,FALSE)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315" s="5" t="str">
        <f t="shared" si="101"/>
        <v>YEWVLIAGYIIVFVVALIGNVLVCVAVWKN</v>
      </c>
      <c r="G315" s="4" t="str">
        <f t="shared" si="102"/>
        <v>HHMR</v>
      </c>
      <c r="H315" s="4" t="str">
        <f t="shared" si="103"/>
        <v>TVTNYFIVNLSLADVLVTITCLPATLVVDIT</v>
      </c>
      <c r="I315" s="4" t="str">
        <f t="shared" si="104"/>
        <v>TWFF</v>
      </c>
      <c r="J315" s="4" t="str">
        <f t="shared" si="105"/>
        <v>GQSLCKVIPYLQTVSVSVSVLTLSCIALDRWYAICH</v>
      </c>
      <c r="K315" s="4" t="str">
        <f t="shared" si="106"/>
        <v>PLMFKST</v>
      </c>
      <c r="L315" s="4" t="str">
        <f t="shared" si="107"/>
        <v>AKRARNSIVIIWIVSCIIMIPQAIVM</v>
      </c>
      <c r="M315" s="4" t="str">
        <f t="shared" si="108"/>
        <v>CDE</v>
      </c>
      <c r="N315" s="4" t="str">
        <f t="shared" si="109"/>
        <v>EIYPKMYHICFFLVTYMAPLCLMVLAYLQIFRKLWCRQIP</v>
      </c>
      <c r="O315" s="4" t="str">
        <f t="shared" si="110"/>
        <v>VAAEIKQIRARRKTARMLMIVLLVFAICYLPISILNVLKRVF</v>
      </c>
      <c r="P315" s="4" t="str">
        <f t="shared" si="111"/>
        <v>RETVYAWFTFSHWLVYANSAANPIIYNFL</v>
      </c>
      <c r="Q315" s="4" t="str">
        <f t="shared" si="112"/>
        <v>SGKFREEFKAAF</v>
      </c>
      <c r="R315" s="5">
        <f>VLOOKUP($A315,'NonXtal_SegEnds_Prot#'!$A:$AL,3,FALSE)</f>
        <v>53</v>
      </c>
      <c r="S315" s="5">
        <f>VLOOKUP($A315,'NonXtal_SegEnds_Prot#'!$A:$AL,6,FALSE)</f>
        <v>83</v>
      </c>
      <c r="T315" s="5">
        <f>VLOOKUP($A315,'NonXtal_SegEnds_Prot#'!$A:$AL,9,FALSE)</f>
        <v>87</v>
      </c>
      <c r="U315" s="5">
        <f>VLOOKUP($A315,'NonXtal_SegEnds_Prot#'!$A:$AL,12,FALSE)</f>
        <v>119</v>
      </c>
      <c r="V315" s="5">
        <f>VLOOKUP($A315,'NonXtal_SegEnds_Prot#'!$A:$AL,15,FALSE)</f>
        <v>123</v>
      </c>
      <c r="W315" s="5">
        <f>VLOOKUP($A315,'NonXtal_SegEnds_Prot#'!$A:$AL,18,FALSE)</f>
        <v>159</v>
      </c>
      <c r="X315" s="5">
        <f>VLOOKUP($A315,'NonXtal_SegEnds_Prot#'!$A:$AL,21,FALSE)</f>
        <v>166</v>
      </c>
      <c r="Y315" s="5">
        <f>VLOOKUP($A315,'NonXtal_SegEnds_Prot#'!$A:$AL,24,FALSE)</f>
        <v>210</v>
      </c>
      <c r="Z315" s="5">
        <f>VLOOKUP($A315,'NonXtal_SegEnds_Prot#'!$A:$AL,27,FALSE)</f>
        <v>217</v>
      </c>
      <c r="AA315" s="5">
        <f>VLOOKUP($A315,'NonXtal_SegEnds_Prot#'!$A:$AL,30,FALSE)</f>
        <v>289</v>
      </c>
      <c r="AB315" s="5">
        <f>VLOOKUP($A315,'NonXtal_SegEnds_Prot#'!$A:$AL,33,FALSE)</f>
        <v>339</v>
      </c>
      <c r="AC315" s="5">
        <f>VLOOKUP($A315,'NonXtal_SegEnds_Prot#'!$A:$AL,36,FALSE)</f>
        <v>368</v>
      </c>
      <c r="AD315" s="5">
        <f>VLOOKUP($A315,'NonXtal_SegEnds_Prot#'!$A:$AL,5,FALSE)</f>
        <v>82</v>
      </c>
      <c r="AE315" s="5">
        <f>VLOOKUP($A315,'NonXtal_SegEnds_Prot#'!$A:$AL,8,FALSE)</f>
        <v>86</v>
      </c>
      <c r="AF315" s="5">
        <f>VLOOKUP($A315,'NonXtal_SegEnds_Prot#'!$A:$AL,11,FALSE)</f>
        <v>117</v>
      </c>
      <c r="AG315" s="5">
        <f>VLOOKUP($A315,'NonXtal_SegEnds_Prot#'!$A:$AL,14,FALSE)</f>
        <v>122</v>
      </c>
      <c r="AH315" s="5">
        <f>VLOOKUP($A315,'NonXtal_SegEnds_Prot#'!$A:$AL,17,FALSE)</f>
        <v>158</v>
      </c>
      <c r="AI315" s="5">
        <f>VLOOKUP($A315,'NonXtal_SegEnds_Prot#'!$A:$AL,20,FALSE)</f>
        <v>165</v>
      </c>
      <c r="AJ315" s="5">
        <f>VLOOKUP($A315,'NonXtal_SegEnds_Prot#'!$A:$AL,23,FALSE)</f>
        <v>191</v>
      </c>
      <c r="AK315" s="5">
        <f>VLOOKUP($A315,'NonXtal_SegEnds_Prot#'!$A:$AL,26,FALSE)</f>
        <v>212</v>
      </c>
      <c r="AL315" s="5">
        <f>VLOOKUP($A315,'NonXtal_SegEnds_Prot#'!$A:$AL,29,FALSE)</f>
        <v>256</v>
      </c>
      <c r="AM315" s="5">
        <f>VLOOKUP($A315,'NonXtal_SegEnds_Prot#'!$A:$AL,32,FALSE)</f>
        <v>330</v>
      </c>
      <c r="AN315" s="5">
        <f>VLOOKUP($A315,'NonXtal_SegEnds_Prot#'!$A:$AL,35,FALSE)</f>
        <v>367</v>
      </c>
      <c r="AO315" s="5">
        <f>VLOOKUP($A315,'NonXtal_SegEnds_Prot#'!$A:$AL,38,FALSE)</f>
        <v>379</v>
      </c>
      <c r="AP315" s="5">
        <f t="shared" si="113"/>
        <v>29</v>
      </c>
      <c r="AQ315" s="4">
        <f t="shared" si="114"/>
        <v>3</v>
      </c>
      <c r="AR315" s="4">
        <f t="shared" si="115"/>
        <v>30</v>
      </c>
      <c r="AS315" s="4">
        <f t="shared" si="116"/>
        <v>3</v>
      </c>
      <c r="AT315" s="4">
        <f t="shared" si="117"/>
        <v>35</v>
      </c>
      <c r="AU315" s="4">
        <f t="shared" si="118"/>
        <v>6</v>
      </c>
      <c r="AV315" s="4">
        <f t="shared" si="119"/>
        <v>25</v>
      </c>
      <c r="AW315" s="4">
        <f t="shared" si="120"/>
        <v>2</v>
      </c>
      <c r="AX315" s="4">
        <f t="shared" si="121"/>
        <v>39</v>
      </c>
      <c r="AY315" s="4">
        <f t="shared" si="122"/>
        <v>41</v>
      </c>
      <c r="AZ315" s="4">
        <f t="shared" si="123"/>
        <v>28</v>
      </c>
      <c r="BA315" s="4">
        <f t="shared" si="124"/>
        <v>11</v>
      </c>
    </row>
    <row r="316" spans="1:53" x14ac:dyDescent="0.2">
      <c r="A316" s="1" t="str">
        <f>'NonXtal_SegEnds_Prot#'!A307</f>
        <v>pkr2_human</v>
      </c>
      <c r="B316" s="1" t="str">
        <f t="shared" si="100"/>
        <v>AKIVIGIALAGIMLVCGIGNFVFIAALTRYNLTNLLIANLAISDFLVAIICCPFEMDYYVVGHVLCASVNYLRTVSLYVSTNALLAIAIDRYLAIVHYQTASFLIALVWMVSILIAIPSAYFAQLYYKSYFLFIFGVEFVGPVVTMTLCYARISRELWFKAVPGFQIRKRLRCRRKTVLVLMCILTAYVLCWAPFYGFTIVRDFFEKHYLTAFYVVECIAMSNSMINTVCFVTVNNTMKYFKKMML</v>
      </c>
      <c r="C316" s="72" t="str">
        <f>IF(ISERROR(MATCH(A316,'Xtal_SegEnds_Prot#'!B:B, 0)), "NoXtal", "Xtal")</f>
        <v>NoXtal</v>
      </c>
      <c r="D316" s="4" t="str">
        <f>VLOOKUP(A316,Classification!A:D,2,FALSE)</f>
        <v>A</v>
      </c>
      <c r="E316" s="5" t="str">
        <f>VLOOKUP(A316,Seqs!A:B,2,FALSE)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316" s="5" t="str">
        <f t="shared" si="101"/>
        <v>AKIVIGIALAGIMLVCGIGNFVFIAALTRY</v>
      </c>
      <c r="G316" s="4" t="str">
        <f t="shared" si="102"/>
        <v>KKLR</v>
      </c>
      <c r="H316" s="4" t="str">
        <f t="shared" si="103"/>
        <v>NLTNLLIANLAISDFLVAIICCPFEMDYYVV</v>
      </c>
      <c r="I316" s="4" t="str">
        <f t="shared" si="104"/>
        <v>SWEH</v>
      </c>
      <c r="J316" s="4" t="str">
        <f t="shared" si="105"/>
        <v>GHVLCASVNYLRTVSLYVSTNALLAIAIDRYLAIVH</v>
      </c>
      <c r="K316" s="4" t="str">
        <f t="shared" si="106"/>
        <v>PLKPRMN</v>
      </c>
      <c r="L316" s="4" t="str">
        <f t="shared" si="107"/>
        <v>YQTASFLIALVWMVSILIAIPSAYFA</v>
      </c>
      <c r="M316" s="4" t="str">
        <f t="shared" si="108"/>
        <v>CGQ</v>
      </c>
      <c r="N316" s="4" t="str">
        <f t="shared" si="109"/>
        <v>QLYYKSYFLFIFGVEFVGPVVTMTLCYARISRELWFKAVPGF</v>
      </c>
      <c r="O316" s="4" t="str">
        <f t="shared" si="110"/>
        <v>QIRKRLRCRRKTVLVLMCILTAYVLCWAPFYGFTIVRDFF</v>
      </c>
      <c r="P316" s="4" t="str">
        <f t="shared" si="111"/>
        <v>EKHYLTAFYVVECIAMSNSMINTVCFVTV</v>
      </c>
      <c r="Q316" s="4" t="str">
        <f t="shared" si="112"/>
        <v>NNTMKYFKKMML</v>
      </c>
      <c r="R316" s="5">
        <f>VLOOKUP($A316,'NonXtal_SegEnds_Prot#'!$A:$AL,3,FALSE)</f>
        <v>52</v>
      </c>
      <c r="S316" s="5">
        <f>VLOOKUP($A316,'NonXtal_SegEnds_Prot#'!$A:$AL,6,FALSE)</f>
        <v>82</v>
      </c>
      <c r="T316" s="5">
        <f>VLOOKUP($A316,'NonXtal_SegEnds_Prot#'!$A:$AL,9,FALSE)</f>
        <v>86</v>
      </c>
      <c r="U316" s="5">
        <f>VLOOKUP($A316,'NonXtal_SegEnds_Prot#'!$A:$AL,12,FALSE)</f>
        <v>120</v>
      </c>
      <c r="V316" s="5">
        <f>VLOOKUP($A316,'NonXtal_SegEnds_Prot#'!$A:$AL,15,FALSE)</f>
        <v>124</v>
      </c>
      <c r="W316" s="5">
        <f>VLOOKUP($A316,'NonXtal_SegEnds_Prot#'!$A:$AL,18,FALSE)</f>
        <v>160</v>
      </c>
      <c r="X316" s="5">
        <f>VLOOKUP($A316,'NonXtal_SegEnds_Prot#'!$A:$AL,21,FALSE)</f>
        <v>167</v>
      </c>
      <c r="Y316" s="5">
        <f>VLOOKUP($A316,'NonXtal_SegEnds_Prot#'!$A:$AL,24,FALSE)</f>
        <v>208</v>
      </c>
      <c r="Z316" s="5">
        <f>VLOOKUP($A316,'NonXtal_SegEnds_Prot#'!$A:$AL,27,FALSE)</f>
        <v>217</v>
      </c>
      <c r="AA316" s="5">
        <f>VLOOKUP($A316,'NonXtal_SegEnds_Prot#'!$A:$AL,30,FALSE)</f>
        <v>262</v>
      </c>
      <c r="AB316" s="5">
        <f>VLOOKUP($A316,'NonXtal_SegEnds_Prot#'!$A:$AL,33,FALSE)</f>
        <v>308</v>
      </c>
      <c r="AC316" s="5">
        <f>VLOOKUP($A316,'NonXtal_SegEnds_Prot#'!$A:$AL,36,FALSE)</f>
        <v>338</v>
      </c>
      <c r="AD316" s="5">
        <f>VLOOKUP($A316,'NonXtal_SegEnds_Prot#'!$A:$AL,5,FALSE)</f>
        <v>81</v>
      </c>
      <c r="AE316" s="5">
        <f>VLOOKUP($A316,'NonXtal_SegEnds_Prot#'!$A:$AL,8,FALSE)</f>
        <v>85</v>
      </c>
      <c r="AF316" s="5">
        <f>VLOOKUP($A316,'NonXtal_SegEnds_Prot#'!$A:$AL,11,FALSE)</f>
        <v>116</v>
      </c>
      <c r="AG316" s="5">
        <f>VLOOKUP($A316,'NonXtal_SegEnds_Prot#'!$A:$AL,14,FALSE)</f>
        <v>123</v>
      </c>
      <c r="AH316" s="5">
        <f>VLOOKUP($A316,'NonXtal_SegEnds_Prot#'!$A:$AL,17,FALSE)</f>
        <v>159</v>
      </c>
      <c r="AI316" s="5">
        <f>VLOOKUP($A316,'NonXtal_SegEnds_Prot#'!$A:$AL,20,FALSE)</f>
        <v>166</v>
      </c>
      <c r="AJ316" s="5">
        <f>VLOOKUP($A316,'NonXtal_SegEnds_Prot#'!$A:$AL,23,FALSE)</f>
        <v>192</v>
      </c>
      <c r="AK316" s="5">
        <f>VLOOKUP($A316,'NonXtal_SegEnds_Prot#'!$A:$AL,26,FALSE)</f>
        <v>210</v>
      </c>
      <c r="AL316" s="5">
        <f>VLOOKUP($A316,'NonXtal_SegEnds_Prot#'!$A:$AL,29,FALSE)</f>
        <v>258</v>
      </c>
      <c r="AM316" s="5">
        <f>VLOOKUP($A316,'NonXtal_SegEnds_Prot#'!$A:$AL,32,FALSE)</f>
        <v>301</v>
      </c>
      <c r="AN316" s="5">
        <f>VLOOKUP($A316,'NonXtal_SegEnds_Prot#'!$A:$AL,35,FALSE)</f>
        <v>336</v>
      </c>
      <c r="AO316" s="5">
        <f>VLOOKUP($A316,'NonXtal_SegEnds_Prot#'!$A:$AL,38,FALSE)</f>
        <v>349</v>
      </c>
      <c r="AP316" s="5">
        <f t="shared" si="113"/>
        <v>29</v>
      </c>
      <c r="AQ316" s="4">
        <f t="shared" si="114"/>
        <v>3</v>
      </c>
      <c r="AR316" s="4">
        <f t="shared" si="115"/>
        <v>30</v>
      </c>
      <c r="AS316" s="4">
        <f t="shared" si="116"/>
        <v>3</v>
      </c>
      <c r="AT316" s="4">
        <f t="shared" si="117"/>
        <v>35</v>
      </c>
      <c r="AU316" s="4">
        <f t="shared" si="118"/>
        <v>6</v>
      </c>
      <c r="AV316" s="4">
        <f t="shared" si="119"/>
        <v>25</v>
      </c>
      <c r="AW316" s="4">
        <f t="shared" si="120"/>
        <v>2</v>
      </c>
      <c r="AX316" s="4">
        <f t="shared" si="121"/>
        <v>41</v>
      </c>
      <c r="AY316" s="4">
        <f t="shared" si="122"/>
        <v>39</v>
      </c>
      <c r="AZ316" s="4">
        <f t="shared" si="123"/>
        <v>28</v>
      </c>
      <c r="BA316" s="4">
        <f t="shared" si="124"/>
        <v>11</v>
      </c>
    </row>
    <row r="317" spans="1:53" x14ac:dyDescent="0.2">
      <c r="A317" s="1" t="str">
        <f>'NonXtal_SegEnds_Prot#'!A308</f>
        <v>gasr_human</v>
      </c>
      <c r="B317" s="1" t="str">
        <f t="shared" si="100"/>
        <v>ELAIRITLYAVIFLMSVGGNMLIIVVLGLSTVTNAFLLSLAVSDLLLAVACMPFTLLPNLMGTVICKAVSYLMGVSVSVSTLSLVAIALERYSAICRRSHAARVIVATWLLSGLLMVPYPVYTARVRQTWSVLLLLLLFFIPGVVMAVAYGLISRELYLGLRFDGDSDQAKLLAKKRVVRMLLVIVVLFFLCWLPVYSANTWRAFDRALSGAPISFIHLLSYASACVNPLVYCFMHRRFRQACLETC</v>
      </c>
      <c r="C317" s="72" t="str">
        <f>IF(ISERROR(MATCH(A317,'Xtal_SegEnds_Prot#'!B:B, 0)), "NoXtal", "Xtal")</f>
        <v>NoXtal</v>
      </c>
      <c r="D317" s="4" t="str">
        <f>VLOOKUP(A317,Classification!A:D,2,FALSE)</f>
        <v>A</v>
      </c>
      <c r="E317" s="5" t="str">
        <f>VLOOKUP(A317,Seqs!A:B,2,FALSE)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317" s="5" t="str">
        <f t="shared" si="101"/>
        <v>ELAIRITLYAVIFLMSVGGNMLIIVVLGLS</v>
      </c>
      <c r="G317" s="4" t="str">
        <f t="shared" si="102"/>
        <v>RRLR</v>
      </c>
      <c r="H317" s="4" t="str">
        <f t="shared" si="103"/>
        <v>TVTNAFLLSLAVSDLLLAVACMPFTLLPNLM</v>
      </c>
      <c r="I317" s="4" t="str">
        <f t="shared" si="104"/>
        <v>TFIF</v>
      </c>
      <c r="J317" s="4" t="str">
        <f t="shared" si="105"/>
        <v>GTVICKAVSYLMGVSVSVSTLSLVAIALERYSAICR</v>
      </c>
      <c r="K317" s="4" t="str">
        <f t="shared" si="106"/>
        <v>PLQARVWQ</v>
      </c>
      <c r="L317" s="4" t="str">
        <f t="shared" si="107"/>
        <v>RSHAARVIVATWLLSGLLMVPYPVYT</v>
      </c>
      <c r="M317" s="4" t="str">
        <f t="shared" si="108"/>
        <v>CVH</v>
      </c>
      <c r="N317" s="4" t="str">
        <f t="shared" si="109"/>
        <v>ARVRQTWSVLLLLLLFFIPGVVMAVAYGLISRELYLGLRFDGDSD</v>
      </c>
      <c r="O317" s="4" t="str">
        <f t="shared" si="110"/>
        <v>QAKLLAKKRVVRMLLVIVVLFFLCWLPVYSANTWRAFD</v>
      </c>
      <c r="P317" s="4" t="str">
        <f t="shared" si="111"/>
        <v>RALSGAPISFIHLLSYASACVNPLVYCFM</v>
      </c>
      <c r="Q317" s="4" t="str">
        <f t="shared" si="112"/>
        <v>HRRFRQACLETC</v>
      </c>
      <c r="R317" s="5">
        <f>VLOOKUP($A317,'NonXtal_SegEnds_Prot#'!$A:$AL,3,FALSE)</f>
        <v>53</v>
      </c>
      <c r="S317" s="5">
        <f>VLOOKUP($A317,'NonXtal_SegEnds_Prot#'!$A:$AL,6,FALSE)</f>
        <v>83</v>
      </c>
      <c r="T317" s="5">
        <f>VLOOKUP($A317,'NonXtal_SegEnds_Prot#'!$A:$AL,9,FALSE)</f>
        <v>87</v>
      </c>
      <c r="U317" s="5">
        <f>VLOOKUP($A317,'NonXtal_SegEnds_Prot#'!$A:$AL,12,FALSE)</f>
        <v>119</v>
      </c>
      <c r="V317" s="5">
        <f>VLOOKUP($A317,'NonXtal_SegEnds_Prot#'!$A:$AL,15,FALSE)</f>
        <v>123</v>
      </c>
      <c r="W317" s="5">
        <f>VLOOKUP($A317,'NonXtal_SegEnds_Prot#'!$A:$AL,18,FALSE)</f>
        <v>159</v>
      </c>
      <c r="X317" s="5">
        <f>VLOOKUP($A317,'NonXtal_SegEnds_Prot#'!$A:$AL,21,FALSE)</f>
        <v>168</v>
      </c>
      <c r="Y317" s="5">
        <f>VLOOKUP($A317,'NonXtal_SegEnds_Prot#'!$A:$AL,24,FALSE)</f>
        <v>205</v>
      </c>
      <c r="Z317" s="5">
        <f>VLOOKUP($A317,'NonXtal_SegEnds_Prot#'!$A:$AL,27,FALSE)</f>
        <v>212</v>
      </c>
      <c r="AA317" s="5">
        <f>VLOOKUP($A317,'NonXtal_SegEnds_Prot#'!$A:$AL,30,FALSE)</f>
        <v>322</v>
      </c>
      <c r="AB317" s="5">
        <f>VLOOKUP($A317,'NonXtal_SegEnds_Prot#'!$A:$AL,33,FALSE)</f>
        <v>365</v>
      </c>
      <c r="AC317" s="5">
        <f>VLOOKUP($A317,'NonXtal_SegEnds_Prot#'!$A:$AL,36,FALSE)</f>
        <v>394</v>
      </c>
      <c r="AD317" s="5">
        <f>VLOOKUP($A317,'NonXtal_SegEnds_Prot#'!$A:$AL,5,FALSE)</f>
        <v>82</v>
      </c>
      <c r="AE317" s="5">
        <f>VLOOKUP($A317,'NonXtal_SegEnds_Prot#'!$A:$AL,8,FALSE)</f>
        <v>86</v>
      </c>
      <c r="AF317" s="5">
        <f>VLOOKUP($A317,'NonXtal_SegEnds_Prot#'!$A:$AL,11,FALSE)</f>
        <v>117</v>
      </c>
      <c r="AG317" s="5">
        <f>VLOOKUP($A317,'NonXtal_SegEnds_Prot#'!$A:$AL,14,FALSE)</f>
        <v>122</v>
      </c>
      <c r="AH317" s="5">
        <f>VLOOKUP($A317,'NonXtal_SegEnds_Prot#'!$A:$AL,17,FALSE)</f>
        <v>158</v>
      </c>
      <c r="AI317" s="5">
        <f>VLOOKUP($A317,'NonXtal_SegEnds_Prot#'!$A:$AL,20,FALSE)</f>
        <v>166</v>
      </c>
      <c r="AJ317" s="5">
        <f>VLOOKUP($A317,'NonXtal_SegEnds_Prot#'!$A:$AL,23,FALSE)</f>
        <v>193</v>
      </c>
      <c r="AK317" s="5">
        <f>VLOOKUP($A317,'NonXtal_SegEnds_Prot#'!$A:$AL,26,FALSE)</f>
        <v>207</v>
      </c>
      <c r="AL317" s="5">
        <f>VLOOKUP($A317,'NonXtal_SegEnds_Prot#'!$A:$AL,29,FALSE)</f>
        <v>256</v>
      </c>
      <c r="AM317" s="5">
        <f>VLOOKUP($A317,'NonXtal_SegEnds_Prot#'!$A:$AL,32,FALSE)</f>
        <v>359</v>
      </c>
      <c r="AN317" s="5">
        <f>VLOOKUP($A317,'NonXtal_SegEnds_Prot#'!$A:$AL,35,FALSE)</f>
        <v>393</v>
      </c>
      <c r="AO317" s="5">
        <f>VLOOKUP($A317,'NonXtal_SegEnds_Prot#'!$A:$AL,38,FALSE)</f>
        <v>405</v>
      </c>
      <c r="AP317" s="5">
        <f t="shared" si="113"/>
        <v>29</v>
      </c>
      <c r="AQ317" s="4">
        <f t="shared" si="114"/>
        <v>3</v>
      </c>
      <c r="AR317" s="4">
        <f t="shared" si="115"/>
        <v>30</v>
      </c>
      <c r="AS317" s="4">
        <f t="shared" si="116"/>
        <v>3</v>
      </c>
      <c r="AT317" s="4">
        <f t="shared" si="117"/>
        <v>35</v>
      </c>
      <c r="AU317" s="4">
        <f t="shared" si="118"/>
        <v>7</v>
      </c>
      <c r="AV317" s="4">
        <f t="shared" si="119"/>
        <v>25</v>
      </c>
      <c r="AW317" s="4">
        <f t="shared" si="120"/>
        <v>2</v>
      </c>
      <c r="AX317" s="4">
        <f t="shared" si="121"/>
        <v>44</v>
      </c>
      <c r="AY317" s="4">
        <f t="shared" si="122"/>
        <v>37</v>
      </c>
      <c r="AZ317" s="4">
        <f t="shared" si="123"/>
        <v>28</v>
      </c>
      <c r="BA317" s="4">
        <f t="shared" si="124"/>
        <v>11</v>
      </c>
    </row>
    <row r="318" spans="1:53" x14ac:dyDescent="0.2">
      <c r="A318" s="1" t="str">
        <f>'NonXtal_SegEnds_Prot#'!A309</f>
        <v>brs3_human</v>
      </c>
      <c r="B318" s="1" t="str">
        <f t="shared" si="100"/>
        <v>ALCAIYITYAVIISVGILGNAILIKVFFKTTVPNIFITSLAFGDLLLLLTCVPVDATHYLAGRIGCKVLSFIRLTSVGVSVFTLTILSADRYKAVVKILKTCVKAGCVWIVSMIFALPEAIFSKLLQEIHSLLCFLVFYIIPLSIISVYYSLIARTLYKSTLNIPHARKQIESRKRIARTVLVLVALFALCWLPNHLLYLYHSFTSAMHFIFTIFSRVLAFSNSCVNPFALYWLSKSFQKHFKAQL</v>
      </c>
      <c r="C318" s="72" t="str">
        <f>IF(ISERROR(MATCH(A318,'Xtal_SegEnds_Prot#'!B:B, 0)), "NoXtal", "Xtal")</f>
        <v>NoXtal</v>
      </c>
      <c r="D318" s="4" t="str">
        <f>VLOOKUP(A318,Classification!A:D,2,FALSE)</f>
        <v>A</v>
      </c>
      <c r="E318" s="5" t="str">
        <f>VLOOKUP(A318,Seqs!A:B,2,FALSE)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318" s="5" t="str">
        <f t="shared" si="101"/>
        <v>ALCAIYITYAVIISVGILGNAILIKVFFKT</v>
      </c>
      <c r="G318" s="4" t="str">
        <f t="shared" si="102"/>
        <v>KSMQ</v>
      </c>
      <c r="H318" s="4" t="str">
        <f t="shared" si="103"/>
        <v>TVPNIFITSLAFGDLLLLLTCVPVDATHYLA</v>
      </c>
      <c r="I318" s="4" t="str">
        <f t="shared" si="104"/>
        <v>GWLF</v>
      </c>
      <c r="J318" s="4" t="str">
        <f t="shared" si="105"/>
        <v>GRIGCKVLSFIRLTSVGVSVFTLTILSADRYKAVVK</v>
      </c>
      <c r="K318" s="4" t="str">
        <f t="shared" si="106"/>
        <v>PLERQPSN</v>
      </c>
      <c r="L318" s="4" t="str">
        <f t="shared" si="107"/>
        <v>ILKTCVKAGCVWIVSMIFALPEAIFS</v>
      </c>
      <c r="M318" s="4" t="str">
        <f t="shared" si="108"/>
        <v>CTS</v>
      </c>
      <c r="N318" s="4" t="str">
        <f t="shared" si="109"/>
        <v>KLLQEIHSLLCFLVFYIIPLSIISVYYSLIARTLYKSTLNIP</v>
      </c>
      <c r="O318" s="4" t="str">
        <f t="shared" si="110"/>
        <v>HARKQIESRKRIARTVLVLVALFALCWLPNHLLYLYHSFT</v>
      </c>
      <c r="P318" s="4" t="str">
        <f t="shared" si="111"/>
        <v>SAMHFIFTIFSRVLAFSNSCVNPFALYWL</v>
      </c>
      <c r="Q318" s="4" t="str">
        <f t="shared" si="112"/>
        <v>SKSFQKHFKAQL</v>
      </c>
      <c r="R318" s="5">
        <f>VLOOKUP($A318,'NonXtal_SegEnds_Prot#'!$A:$AL,3,FALSE)</f>
        <v>46</v>
      </c>
      <c r="S318" s="5">
        <f>VLOOKUP($A318,'NonXtal_SegEnds_Prot#'!$A:$AL,6,FALSE)</f>
        <v>76</v>
      </c>
      <c r="T318" s="5">
        <f>VLOOKUP($A318,'NonXtal_SegEnds_Prot#'!$A:$AL,9,FALSE)</f>
        <v>80</v>
      </c>
      <c r="U318" s="5">
        <f>VLOOKUP($A318,'NonXtal_SegEnds_Prot#'!$A:$AL,12,FALSE)</f>
        <v>112</v>
      </c>
      <c r="V318" s="5">
        <f>VLOOKUP($A318,'NonXtal_SegEnds_Prot#'!$A:$AL,15,FALSE)</f>
        <v>116</v>
      </c>
      <c r="W318" s="5">
        <f>VLOOKUP($A318,'NonXtal_SegEnds_Prot#'!$A:$AL,18,FALSE)</f>
        <v>152</v>
      </c>
      <c r="X318" s="5">
        <f>VLOOKUP($A318,'NonXtal_SegEnds_Prot#'!$A:$AL,21,FALSE)</f>
        <v>161</v>
      </c>
      <c r="Y318" s="5">
        <f>VLOOKUP($A318,'NonXtal_SegEnds_Prot#'!$A:$AL,24,FALSE)</f>
        <v>203</v>
      </c>
      <c r="Z318" s="5">
        <f>VLOOKUP($A318,'NonXtal_SegEnds_Prot#'!$A:$AL,27,FALSE)</f>
        <v>211</v>
      </c>
      <c r="AA318" s="5">
        <f>VLOOKUP($A318,'NonXtal_SegEnds_Prot#'!$A:$AL,30,FALSE)</f>
        <v>258</v>
      </c>
      <c r="AB318" s="5">
        <f>VLOOKUP($A318,'NonXtal_SegEnds_Prot#'!$A:$AL,33,FALSE)</f>
        <v>305</v>
      </c>
      <c r="AC318" s="5">
        <f>VLOOKUP($A318,'NonXtal_SegEnds_Prot#'!$A:$AL,36,FALSE)</f>
        <v>334</v>
      </c>
      <c r="AD318" s="5">
        <f>VLOOKUP($A318,'NonXtal_SegEnds_Prot#'!$A:$AL,5,FALSE)</f>
        <v>75</v>
      </c>
      <c r="AE318" s="5">
        <f>VLOOKUP($A318,'NonXtal_SegEnds_Prot#'!$A:$AL,8,FALSE)</f>
        <v>79</v>
      </c>
      <c r="AF318" s="5">
        <f>VLOOKUP($A318,'NonXtal_SegEnds_Prot#'!$A:$AL,11,FALSE)</f>
        <v>110</v>
      </c>
      <c r="AG318" s="5">
        <f>VLOOKUP($A318,'NonXtal_SegEnds_Prot#'!$A:$AL,14,FALSE)</f>
        <v>115</v>
      </c>
      <c r="AH318" s="5">
        <f>VLOOKUP($A318,'NonXtal_SegEnds_Prot#'!$A:$AL,17,FALSE)</f>
        <v>151</v>
      </c>
      <c r="AI318" s="5">
        <f>VLOOKUP($A318,'NonXtal_SegEnds_Prot#'!$A:$AL,20,FALSE)</f>
        <v>159</v>
      </c>
      <c r="AJ318" s="5">
        <f>VLOOKUP($A318,'NonXtal_SegEnds_Prot#'!$A:$AL,23,FALSE)</f>
        <v>186</v>
      </c>
      <c r="AK318" s="5">
        <f>VLOOKUP($A318,'NonXtal_SegEnds_Prot#'!$A:$AL,26,FALSE)</f>
        <v>205</v>
      </c>
      <c r="AL318" s="5">
        <f>VLOOKUP($A318,'NonXtal_SegEnds_Prot#'!$A:$AL,29,FALSE)</f>
        <v>252</v>
      </c>
      <c r="AM318" s="5">
        <f>VLOOKUP($A318,'NonXtal_SegEnds_Prot#'!$A:$AL,32,FALSE)</f>
        <v>297</v>
      </c>
      <c r="AN318" s="5">
        <f>VLOOKUP($A318,'NonXtal_SegEnds_Prot#'!$A:$AL,35,FALSE)</f>
        <v>333</v>
      </c>
      <c r="AO318" s="5">
        <f>VLOOKUP($A318,'NonXtal_SegEnds_Prot#'!$A:$AL,38,FALSE)</f>
        <v>345</v>
      </c>
      <c r="AP318" s="5">
        <f t="shared" si="113"/>
        <v>29</v>
      </c>
      <c r="AQ318" s="4">
        <f t="shared" si="114"/>
        <v>3</v>
      </c>
      <c r="AR318" s="4">
        <f t="shared" si="115"/>
        <v>30</v>
      </c>
      <c r="AS318" s="4">
        <f t="shared" si="116"/>
        <v>3</v>
      </c>
      <c r="AT318" s="4">
        <f t="shared" si="117"/>
        <v>35</v>
      </c>
      <c r="AU318" s="4">
        <f t="shared" si="118"/>
        <v>7</v>
      </c>
      <c r="AV318" s="4">
        <f t="shared" si="119"/>
        <v>25</v>
      </c>
      <c r="AW318" s="4">
        <f t="shared" si="120"/>
        <v>2</v>
      </c>
      <c r="AX318" s="4">
        <f t="shared" si="121"/>
        <v>41</v>
      </c>
      <c r="AY318" s="4">
        <f t="shared" si="122"/>
        <v>39</v>
      </c>
      <c r="AZ318" s="4">
        <f t="shared" si="123"/>
        <v>28</v>
      </c>
      <c r="BA318" s="4">
        <f t="shared" si="124"/>
        <v>11</v>
      </c>
    </row>
    <row r="319" spans="1:53" x14ac:dyDescent="0.2">
      <c r="A319" s="1" t="str">
        <f>'NonXtal_SegEnds_Prot#'!A310</f>
        <v>npff1_human</v>
      </c>
      <c r="B319" s="1" t="str">
        <f t="shared" si="100"/>
        <v>VAAMFIVAYALIFLLCMVGNTLVCFIVLKNTVTNMFILNLAVSDLLVGIFCMPTTLVDNLIDNATCKMSGLVQGMSVSASVFTLVAIAVERFRCIVHLRKALVTIAVIWALALLIMCPSAVTLKGMRRVYTTVLFSHIYLAPLALIVVMYARIARKLCQAPGPAPADPRASRRRARVVHMLVMVALFFTLSWLPLWALLLLIDYGHLVTVYAFPFAHWLAFFNSSANPIIYGYFNENFRRGFQAAF</v>
      </c>
      <c r="C319" s="72" t="str">
        <f>IF(ISERROR(MATCH(A319,'Xtal_SegEnds_Prot#'!B:B, 0)), "NoXtal", "Xtal")</f>
        <v>NoXtal</v>
      </c>
      <c r="D319" s="4" t="str">
        <f>VLOOKUP(A319,Classification!A:D,2,FALSE)</f>
        <v>A</v>
      </c>
      <c r="E319" s="5" t="str">
        <f>VLOOKUP(A319,Seqs!A:B,2,FALSE)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319" s="5" t="str">
        <f t="shared" si="101"/>
        <v>VAAMFIVAYALIFLLCMVGNTLVCFIVLKN</v>
      </c>
      <c r="G319" s="4" t="str">
        <f t="shared" si="102"/>
        <v>RHMH</v>
      </c>
      <c r="H319" s="4" t="str">
        <f t="shared" si="103"/>
        <v>TVTNMFILNLAVSDLLVGIFCMPTTLVDNLI</v>
      </c>
      <c r="I319" s="4" t="str">
        <f t="shared" si="104"/>
        <v>GWPF</v>
      </c>
      <c r="J319" s="4" t="str">
        <f t="shared" si="105"/>
        <v>DNATCKMSGLVQGMSVSASVFTLVAIAVERFRCIVH</v>
      </c>
      <c r="K319" s="4" t="str">
        <f t="shared" si="106"/>
        <v>PFREKLT</v>
      </c>
      <c r="L319" s="4" t="str">
        <f t="shared" si="107"/>
        <v>LRKALVTIAVIWALALLIMCPSAVTL</v>
      </c>
      <c r="M319" s="4" t="str">
        <f t="shared" si="108"/>
        <v>CWE</v>
      </c>
      <c r="N319" s="4" t="str">
        <f t="shared" si="109"/>
        <v>KGMRRVYTTVLFSHIYLAPLALIVVMYARIARKLCQAPGPAP</v>
      </c>
      <c r="O319" s="4" t="str">
        <f t="shared" si="110"/>
        <v>ADPRASRRRARVVHMLVMVALFFTLSWLPLWALLLLIDYG</v>
      </c>
      <c r="P319" s="4" t="str">
        <f t="shared" si="111"/>
        <v>HLVTVYAFPFAHWLAFFNSSANPIIYGYF</v>
      </c>
      <c r="Q319" s="4" t="str">
        <f t="shared" si="112"/>
        <v>NENFRRGFQAAF</v>
      </c>
      <c r="R319" s="5">
        <f>VLOOKUP($A319,'NonXtal_SegEnds_Prot#'!$A:$AL,3,FALSE)</f>
        <v>42</v>
      </c>
      <c r="S319" s="5">
        <f>VLOOKUP($A319,'NonXtal_SegEnds_Prot#'!$A:$AL,6,FALSE)</f>
        <v>72</v>
      </c>
      <c r="T319" s="5">
        <f>VLOOKUP($A319,'NonXtal_SegEnds_Prot#'!$A:$AL,9,FALSE)</f>
        <v>76</v>
      </c>
      <c r="U319" s="5">
        <f>VLOOKUP($A319,'NonXtal_SegEnds_Prot#'!$A:$AL,12,FALSE)</f>
        <v>108</v>
      </c>
      <c r="V319" s="5">
        <f>VLOOKUP($A319,'NonXtal_SegEnds_Prot#'!$A:$AL,15,FALSE)</f>
        <v>112</v>
      </c>
      <c r="W319" s="5">
        <f>VLOOKUP($A319,'NonXtal_SegEnds_Prot#'!$A:$AL,18,FALSE)</f>
        <v>148</v>
      </c>
      <c r="X319" s="5">
        <f>VLOOKUP($A319,'NonXtal_SegEnds_Prot#'!$A:$AL,21,FALSE)</f>
        <v>155</v>
      </c>
      <c r="Y319" s="5">
        <f>VLOOKUP($A319,'NonXtal_SegEnds_Prot#'!$A:$AL,24,FALSE)</f>
        <v>203</v>
      </c>
      <c r="Z319" s="5">
        <f>VLOOKUP($A319,'NonXtal_SegEnds_Prot#'!$A:$AL,27,FALSE)</f>
        <v>210</v>
      </c>
      <c r="AA319" s="5">
        <f>VLOOKUP($A319,'NonXtal_SegEnds_Prot#'!$A:$AL,30,FALSE)</f>
        <v>257</v>
      </c>
      <c r="AB319" s="5">
        <f>VLOOKUP($A319,'NonXtal_SegEnds_Prot#'!$A:$AL,33,FALSE)</f>
        <v>304</v>
      </c>
      <c r="AC319" s="5">
        <f>VLOOKUP($A319,'NonXtal_SegEnds_Prot#'!$A:$AL,36,FALSE)</f>
        <v>333</v>
      </c>
      <c r="AD319" s="5">
        <f>VLOOKUP($A319,'NonXtal_SegEnds_Prot#'!$A:$AL,5,FALSE)</f>
        <v>71</v>
      </c>
      <c r="AE319" s="5">
        <f>VLOOKUP($A319,'NonXtal_SegEnds_Prot#'!$A:$AL,8,FALSE)</f>
        <v>75</v>
      </c>
      <c r="AF319" s="5">
        <f>VLOOKUP($A319,'NonXtal_SegEnds_Prot#'!$A:$AL,11,FALSE)</f>
        <v>106</v>
      </c>
      <c r="AG319" s="5">
        <f>VLOOKUP($A319,'NonXtal_SegEnds_Prot#'!$A:$AL,14,FALSE)</f>
        <v>111</v>
      </c>
      <c r="AH319" s="5">
        <f>VLOOKUP($A319,'NonXtal_SegEnds_Prot#'!$A:$AL,17,FALSE)</f>
        <v>147</v>
      </c>
      <c r="AI319" s="5">
        <f>VLOOKUP($A319,'NonXtal_SegEnds_Prot#'!$A:$AL,20,FALSE)</f>
        <v>154</v>
      </c>
      <c r="AJ319" s="5">
        <f>VLOOKUP($A319,'NonXtal_SegEnds_Prot#'!$A:$AL,23,FALSE)</f>
        <v>180</v>
      </c>
      <c r="AK319" s="5">
        <f>VLOOKUP($A319,'NonXtal_SegEnds_Prot#'!$A:$AL,26,FALSE)</f>
        <v>205</v>
      </c>
      <c r="AL319" s="5">
        <f>VLOOKUP($A319,'NonXtal_SegEnds_Prot#'!$A:$AL,29,FALSE)</f>
        <v>251</v>
      </c>
      <c r="AM319" s="5">
        <f>VLOOKUP($A319,'NonXtal_SegEnds_Prot#'!$A:$AL,32,FALSE)</f>
        <v>296</v>
      </c>
      <c r="AN319" s="5">
        <f>VLOOKUP($A319,'NonXtal_SegEnds_Prot#'!$A:$AL,35,FALSE)</f>
        <v>332</v>
      </c>
      <c r="AO319" s="5">
        <f>VLOOKUP($A319,'NonXtal_SegEnds_Prot#'!$A:$AL,38,FALSE)</f>
        <v>344</v>
      </c>
      <c r="AP319" s="5">
        <f t="shared" si="113"/>
        <v>29</v>
      </c>
      <c r="AQ319" s="4">
        <f t="shared" si="114"/>
        <v>3</v>
      </c>
      <c r="AR319" s="4">
        <f t="shared" si="115"/>
        <v>30</v>
      </c>
      <c r="AS319" s="4">
        <f t="shared" si="116"/>
        <v>3</v>
      </c>
      <c r="AT319" s="4">
        <f t="shared" si="117"/>
        <v>35</v>
      </c>
      <c r="AU319" s="4">
        <f t="shared" si="118"/>
        <v>6</v>
      </c>
      <c r="AV319" s="4">
        <f t="shared" si="119"/>
        <v>25</v>
      </c>
      <c r="AW319" s="4">
        <f t="shared" si="120"/>
        <v>2</v>
      </c>
      <c r="AX319" s="4">
        <f t="shared" si="121"/>
        <v>41</v>
      </c>
      <c r="AY319" s="4">
        <f t="shared" si="122"/>
        <v>39</v>
      </c>
      <c r="AZ319" s="4">
        <f t="shared" si="123"/>
        <v>28</v>
      </c>
      <c r="BA319" s="4">
        <f t="shared" si="124"/>
        <v>11</v>
      </c>
    </row>
    <row r="320" spans="1:53" x14ac:dyDescent="0.2">
      <c r="A320" s="1" t="str">
        <f>'NonXtal_SegEnds_Prot#'!A311</f>
        <v>npy4r_human</v>
      </c>
      <c r="B320" s="1" t="str">
        <f t="shared" si="100"/>
        <v>VMVFIVTSYSIETVVGVLGNLCLMCVTVRQNVTNLLIANLAFSDFLMCLLCQPLTAVYTIMGETLCKMSAFIQCMSVTVSILSLVLVALERHQLIINISQAYLGIVLIWVIACVLSLPFLANSAHHRTIYTTFLLLFQYCLPLGFILVCYARIYRRLQRQGRVFSLRAGHMKQVNVVLVVMVVAFAVLWLPLHVFNSLEDWHICHGNLIFLVCHLLAMASTCVNPFIYGFLNTNFKKEIKALV</v>
      </c>
      <c r="C320" s="72" t="str">
        <f>IF(ISERROR(MATCH(A320,'Xtal_SegEnds_Prot#'!B:B, 0)), "NoXtal", "Xtal")</f>
        <v>NoXtal</v>
      </c>
      <c r="D320" s="4" t="str">
        <f>VLOOKUP(A320,Classification!A:D,2,FALSE)</f>
        <v>A</v>
      </c>
      <c r="E320" s="5" t="str">
        <f>VLOOKUP(A320,Seqs!A:B,2,FALSE)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320" s="5" t="str">
        <f t="shared" si="101"/>
        <v>VMVFIVTSYSIETVVGVLGNLCLMCVTVRQ</v>
      </c>
      <c r="G320" s="4" t="str">
        <f t="shared" si="102"/>
        <v>KEKA</v>
      </c>
      <c r="H320" s="4" t="str">
        <f t="shared" si="103"/>
        <v>NVTNLLIANLAFSDFLMCLLCQPLTAVYTIM</v>
      </c>
      <c r="I320" s="4" t="str">
        <f t="shared" si="104"/>
        <v>YWIF</v>
      </c>
      <c r="J320" s="4" t="str">
        <f t="shared" si="105"/>
        <v>GETLCKMSAFIQCMSVTVSILSLVLVALERHQLIIN</v>
      </c>
      <c r="K320" s="4" t="str">
        <f t="shared" si="106"/>
        <v>PTGWKPS</v>
      </c>
      <c r="L320" s="4" t="str">
        <f t="shared" si="107"/>
        <v>ISQAYLGIVLIWVIACVLSLPFLANS</v>
      </c>
      <c r="M320" s="4" t="str">
        <f t="shared" si="108"/>
        <v>CTE</v>
      </c>
      <c r="N320" s="4" t="str">
        <f t="shared" si="109"/>
        <v>AHHRTIYTTFLLLFQYCLPLGFILVCYARIYRRLQRQGRVF</v>
      </c>
      <c r="O320" s="4" t="str">
        <f t="shared" si="110"/>
        <v>SLRAGHMKQVNVVLVVMVVAFAVLWLPLHVFNSLEDWH</v>
      </c>
      <c r="P320" s="4" t="str">
        <f t="shared" si="111"/>
        <v>ICHGNLIFLVCHLLAMASTCVNPFIYGFL</v>
      </c>
      <c r="Q320" s="4" t="str">
        <f t="shared" si="112"/>
        <v>NTNFKKEIKALV</v>
      </c>
      <c r="R320" s="5">
        <f>VLOOKUP($A320,'NonXtal_SegEnds_Prot#'!$A:$AL,3,FALSE)</f>
        <v>40</v>
      </c>
      <c r="S320" s="5">
        <f>VLOOKUP($A320,'NonXtal_SegEnds_Prot#'!$A:$AL,6,FALSE)</f>
        <v>70</v>
      </c>
      <c r="T320" s="5">
        <f>VLOOKUP($A320,'NonXtal_SegEnds_Prot#'!$A:$AL,9,FALSE)</f>
        <v>74</v>
      </c>
      <c r="U320" s="5">
        <f>VLOOKUP($A320,'NonXtal_SegEnds_Prot#'!$A:$AL,12,FALSE)</f>
        <v>106</v>
      </c>
      <c r="V320" s="5">
        <f>VLOOKUP($A320,'NonXtal_SegEnds_Prot#'!$A:$AL,15,FALSE)</f>
        <v>110</v>
      </c>
      <c r="W320" s="5">
        <f>VLOOKUP($A320,'NonXtal_SegEnds_Prot#'!$A:$AL,18,FALSE)</f>
        <v>146</v>
      </c>
      <c r="X320" s="5">
        <f>VLOOKUP($A320,'NonXtal_SegEnds_Prot#'!$A:$AL,21,FALSE)</f>
        <v>153</v>
      </c>
      <c r="Y320" s="5">
        <f>VLOOKUP($A320,'NonXtal_SegEnds_Prot#'!$A:$AL,24,FALSE)</f>
        <v>201</v>
      </c>
      <c r="Z320" s="5">
        <f>VLOOKUP($A320,'NonXtal_SegEnds_Prot#'!$A:$AL,27,FALSE)</f>
        <v>208</v>
      </c>
      <c r="AA320" s="5">
        <f>VLOOKUP($A320,'NonXtal_SegEnds_Prot#'!$A:$AL,30,FALSE)</f>
        <v>254</v>
      </c>
      <c r="AB320" s="5">
        <f>VLOOKUP($A320,'NonXtal_SegEnds_Prot#'!$A:$AL,33,FALSE)</f>
        <v>297</v>
      </c>
      <c r="AC320" s="5">
        <f>VLOOKUP($A320,'NonXtal_SegEnds_Prot#'!$A:$AL,36,FALSE)</f>
        <v>326</v>
      </c>
      <c r="AD320" s="5">
        <f>VLOOKUP($A320,'NonXtal_SegEnds_Prot#'!$A:$AL,5,FALSE)</f>
        <v>69</v>
      </c>
      <c r="AE320" s="5">
        <f>VLOOKUP($A320,'NonXtal_SegEnds_Prot#'!$A:$AL,8,FALSE)</f>
        <v>73</v>
      </c>
      <c r="AF320" s="5">
        <f>VLOOKUP($A320,'NonXtal_SegEnds_Prot#'!$A:$AL,11,FALSE)</f>
        <v>104</v>
      </c>
      <c r="AG320" s="5">
        <f>VLOOKUP($A320,'NonXtal_SegEnds_Prot#'!$A:$AL,14,FALSE)</f>
        <v>109</v>
      </c>
      <c r="AH320" s="5">
        <f>VLOOKUP($A320,'NonXtal_SegEnds_Prot#'!$A:$AL,17,FALSE)</f>
        <v>145</v>
      </c>
      <c r="AI320" s="5">
        <f>VLOOKUP($A320,'NonXtal_SegEnds_Prot#'!$A:$AL,20,FALSE)</f>
        <v>152</v>
      </c>
      <c r="AJ320" s="5">
        <f>VLOOKUP($A320,'NonXtal_SegEnds_Prot#'!$A:$AL,23,FALSE)</f>
        <v>178</v>
      </c>
      <c r="AK320" s="5">
        <f>VLOOKUP($A320,'NonXtal_SegEnds_Prot#'!$A:$AL,26,FALSE)</f>
        <v>203</v>
      </c>
      <c r="AL320" s="5">
        <f>VLOOKUP($A320,'NonXtal_SegEnds_Prot#'!$A:$AL,29,FALSE)</f>
        <v>248</v>
      </c>
      <c r="AM320" s="5">
        <f>VLOOKUP($A320,'NonXtal_SegEnds_Prot#'!$A:$AL,32,FALSE)</f>
        <v>291</v>
      </c>
      <c r="AN320" s="5">
        <f>VLOOKUP($A320,'NonXtal_SegEnds_Prot#'!$A:$AL,35,FALSE)</f>
        <v>325</v>
      </c>
      <c r="AO320" s="5">
        <f>VLOOKUP($A320,'NonXtal_SegEnds_Prot#'!$A:$AL,38,FALSE)</f>
        <v>337</v>
      </c>
      <c r="AP320" s="5">
        <f t="shared" si="113"/>
        <v>29</v>
      </c>
      <c r="AQ320" s="4">
        <f t="shared" si="114"/>
        <v>3</v>
      </c>
      <c r="AR320" s="4">
        <f t="shared" si="115"/>
        <v>30</v>
      </c>
      <c r="AS320" s="4">
        <f t="shared" si="116"/>
        <v>3</v>
      </c>
      <c r="AT320" s="4">
        <f t="shared" si="117"/>
        <v>35</v>
      </c>
      <c r="AU320" s="4">
        <f t="shared" si="118"/>
        <v>6</v>
      </c>
      <c r="AV320" s="4">
        <f t="shared" si="119"/>
        <v>25</v>
      </c>
      <c r="AW320" s="4">
        <f t="shared" si="120"/>
        <v>2</v>
      </c>
      <c r="AX320" s="4">
        <f t="shared" si="121"/>
        <v>40</v>
      </c>
      <c r="AY320" s="4">
        <f t="shared" si="122"/>
        <v>37</v>
      </c>
      <c r="AZ320" s="4">
        <f t="shared" si="123"/>
        <v>28</v>
      </c>
      <c r="BA320" s="4">
        <f t="shared" si="124"/>
        <v>11</v>
      </c>
    </row>
    <row r="321" spans="1:53" x14ac:dyDescent="0.2">
      <c r="A321" s="1" t="str">
        <f>'NonXtal_SegEnds_Prot#'!A312</f>
        <v>qrfpr_human</v>
      </c>
      <c r="B321" s="1" t="str">
        <f t="shared" si="100"/>
        <v>AKLALVLTGVLIFALALFGNALVFYVVTRSTVTNIFICSLALSDLLITFFCIPVTMLQNISGAFICKMVPFVQSTAVVTEILTMTCIAVERHQGLVHNRRAFTMLGVVWLVAVIVGSPMWHVQPVHQKIYTTFILVILFLLPLMVMLILYSKIGYELWIKKRVGDGKEMSKIARKKKRAVIMMVTVVALFAVCWAPFHVVHMMIEYSDVTIKMIFAIVQIIGFSNSICNPIVYAFMNENFKKNVLSAV</v>
      </c>
      <c r="C321" s="72" t="str">
        <f>IF(ISERROR(MATCH(A321,'Xtal_SegEnds_Prot#'!B:B, 0)), "NoXtal", "Xtal")</f>
        <v>NoXtal</v>
      </c>
      <c r="D321" s="4" t="str">
        <f>VLOOKUP(A321,Classification!A:D,2,FALSE)</f>
        <v>A</v>
      </c>
      <c r="E321" s="5" t="str">
        <f>VLOOKUP(A321,Seqs!A:B,2,FALSE)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321" s="5" t="str">
        <f t="shared" si="101"/>
        <v>AKLALVLTGVLIFALALFGNALVFYVVTRS</v>
      </c>
      <c r="G321" s="4" t="str">
        <f t="shared" si="102"/>
        <v>KAMR</v>
      </c>
      <c r="H321" s="4" t="str">
        <f t="shared" si="103"/>
        <v>TVTNIFICSLALSDLLITFFCIPVTMLQNIS</v>
      </c>
      <c r="I321" s="4" t="str">
        <f t="shared" si="104"/>
        <v>NWLG</v>
      </c>
      <c r="J321" s="4" t="str">
        <f t="shared" si="105"/>
        <v>GAFICKMVPFVQSTAVVTEILTMTCIAVERHQGLVH</v>
      </c>
      <c r="K321" s="4" t="str">
        <f t="shared" si="106"/>
        <v>PFKMKWQY</v>
      </c>
      <c r="L321" s="4" t="str">
        <f t="shared" si="107"/>
        <v>NRRAFTMLGVVWLVAVIVGSPMWHVQ</v>
      </c>
      <c r="M321" s="4" t="str">
        <f t="shared" si="108"/>
        <v>CLE</v>
      </c>
      <c r="N321" s="4" t="str">
        <f t="shared" si="109"/>
        <v>PVHQKIYTTFILVILFLLPLMVMLILYSKIGYELWIKKRVGDG</v>
      </c>
      <c r="O321" s="4" t="str">
        <f t="shared" si="110"/>
        <v>KEMSKIARKKKRAVIMMVTVVALFAVCWAPFHVVHMMIEYS</v>
      </c>
      <c r="P321" s="4" t="str">
        <f t="shared" si="111"/>
        <v>DVTIKMIFAIVQIIGFSNSICNPIVYAFM</v>
      </c>
      <c r="Q321" s="4" t="str">
        <f t="shared" si="112"/>
        <v>NENFKKNVLSAV</v>
      </c>
      <c r="R321" s="5">
        <f>VLOOKUP($A321,'NonXtal_SegEnds_Prot#'!$A:$AL,3,FALSE)</f>
        <v>44</v>
      </c>
      <c r="S321" s="5">
        <f>VLOOKUP($A321,'NonXtal_SegEnds_Prot#'!$A:$AL,6,FALSE)</f>
        <v>74</v>
      </c>
      <c r="T321" s="5">
        <f>VLOOKUP($A321,'NonXtal_SegEnds_Prot#'!$A:$AL,9,FALSE)</f>
        <v>78</v>
      </c>
      <c r="U321" s="5">
        <f>VLOOKUP($A321,'NonXtal_SegEnds_Prot#'!$A:$AL,12,FALSE)</f>
        <v>110</v>
      </c>
      <c r="V321" s="5">
        <f>VLOOKUP($A321,'NonXtal_SegEnds_Prot#'!$A:$AL,15,FALSE)</f>
        <v>114</v>
      </c>
      <c r="W321" s="5">
        <f>VLOOKUP($A321,'NonXtal_SegEnds_Prot#'!$A:$AL,18,FALSE)</f>
        <v>150</v>
      </c>
      <c r="X321" s="5">
        <f>VLOOKUP($A321,'NonXtal_SegEnds_Prot#'!$A:$AL,21,FALSE)</f>
        <v>159</v>
      </c>
      <c r="Y321" s="5">
        <f>VLOOKUP($A321,'NonXtal_SegEnds_Prot#'!$A:$AL,24,FALSE)</f>
        <v>201</v>
      </c>
      <c r="Z321" s="5">
        <f>VLOOKUP($A321,'NonXtal_SegEnds_Prot#'!$A:$AL,27,FALSE)</f>
        <v>208</v>
      </c>
      <c r="AA321" s="5">
        <f>VLOOKUP($A321,'NonXtal_SegEnds_Prot#'!$A:$AL,30,FALSE)</f>
        <v>259</v>
      </c>
      <c r="AB321" s="5">
        <f>VLOOKUP($A321,'NonXtal_SegEnds_Prot#'!$A:$AL,33,FALSE)</f>
        <v>307</v>
      </c>
      <c r="AC321" s="5">
        <f>VLOOKUP($A321,'NonXtal_SegEnds_Prot#'!$A:$AL,36,FALSE)</f>
        <v>336</v>
      </c>
      <c r="AD321" s="5">
        <f>VLOOKUP($A321,'NonXtal_SegEnds_Prot#'!$A:$AL,5,FALSE)</f>
        <v>73</v>
      </c>
      <c r="AE321" s="5">
        <f>VLOOKUP($A321,'NonXtal_SegEnds_Prot#'!$A:$AL,8,FALSE)</f>
        <v>77</v>
      </c>
      <c r="AF321" s="5">
        <f>VLOOKUP($A321,'NonXtal_SegEnds_Prot#'!$A:$AL,11,FALSE)</f>
        <v>108</v>
      </c>
      <c r="AG321" s="5">
        <f>VLOOKUP($A321,'NonXtal_SegEnds_Prot#'!$A:$AL,14,FALSE)</f>
        <v>113</v>
      </c>
      <c r="AH321" s="5">
        <f>VLOOKUP($A321,'NonXtal_SegEnds_Prot#'!$A:$AL,17,FALSE)</f>
        <v>149</v>
      </c>
      <c r="AI321" s="5">
        <f>VLOOKUP($A321,'NonXtal_SegEnds_Prot#'!$A:$AL,20,FALSE)</f>
        <v>157</v>
      </c>
      <c r="AJ321" s="5">
        <f>VLOOKUP($A321,'NonXtal_SegEnds_Prot#'!$A:$AL,23,FALSE)</f>
        <v>184</v>
      </c>
      <c r="AK321" s="5">
        <f>VLOOKUP($A321,'NonXtal_SegEnds_Prot#'!$A:$AL,26,FALSE)</f>
        <v>203</v>
      </c>
      <c r="AL321" s="5">
        <f>VLOOKUP($A321,'NonXtal_SegEnds_Prot#'!$A:$AL,29,FALSE)</f>
        <v>250</v>
      </c>
      <c r="AM321" s="5">
        <f>VLOOKUP($A321,'NonXtal_SegEnds_Prot#'!$A:$AL,32,FALSE)</f>
        <v>299</v>
      </c>
      <c r="AN321" s="5">
        <f>VLOOKUP($A321,'NonXtal_SegEnds_Prot#'!$A:$AL,35,FALSE)</f>
        <v>335</v>
      </c>
      <c r="AO321" s="5">
        <f>VLOOKUP($A321,'NonXtal_SegEnds_Prot#'!$A:$AL,38,FALSE)</f>
        <v>347</v>
      </c>
      <c r="AP321" s="5">
        <f t="shared" si="113"/>
        <v>29</v>
      </c>
      <c r="AQ321" s="4">
        <f t="shared" si="114"/>
        <v>3</v>
      </c>
      <c r="AR321" s="4">
        <f t="shared" si="115"/>
        <v>30</v>
      </c>
      <c r="AS321" s="4">
        <f t="shared" si="116"/>
        <v>3</v>
      </c>
      <c r="AT321" s="4">
        <f t="shared" si="117"/>
        <v>35</v>
      </c>
      <c r="AU321" s="4">
        <f t="shared" si="118"/>
        <v>7</v>
      </c>
      <c r="AV321" s="4">
        <f t="shared" si="119"/>
        <v>25</v>
      </c>
      <c r="AW321" s="4">
        <f t="shared" si="120"/>
        <v>2</v>
      </c>
      <c r="AX321" s="4">
        <f t="shared" si="121"/>
        <v>42</v>
      </c>
      <c r="AY321" s="4">
        <f t="shared" si="122"/>
        <v>40</v>
      </c>
      <c r="AZ321" s="4">
        <f t="shared" si="123"/>
        <v>28</v>
      </c>
      <c r="BA321" s="4">
        <f t="shared" si="124"/>
        <v>11</v>
      </c>
    </row>
    <row r="322" spans="1:53" x14ac:dyDescent="0.2">
      <c r="A322" s="1" t="str">
        <f>'NonXtal_SegEnds_Prot#'!A313</f>
        <v>npy1r_human</v>
      </c>
      <c r="B322" s="1" t="str">
        <f t="shared" ref="B322:B385" si="125">F322&amp;H322&amp;J322&amp;L322&amp;N322&amp;O322&amp;P322&amp;Q322</f>
        <v>MIFTLALAYGAVIILGVSGNLALIIIILKQNVTNILIVNLSFSDLLVAIMCLPFTFVYTLMGEAMCKLNPFVQCVSITVSIFSLVLIAVERHQLIINNRHAYVGIAVIWVLAVASSLPFLIYQDSHRLSYTTLLLVLQYFGPLCFIFICYFKIYIRLKRRNNMMDDNKYRSSETKRINIMLLSIVVAFAVCWLPLTIFNTVFDWNTCNHNLLFLLCHLTAMISTCVNPIFYGFLNKNFQRDLQFFF</v>
      </c>
      <c r="C322" s="72" t="str">
        <f>IF(ISERROR(MATCH(A322,'Xtal_SegEnds_Prot#'!B:B, 0)), "NoXtal", "Xtal")</f>
        <v>NoXtal</v>
      </c>
      <c r="D322" s="4" t="str">
        <f>VLOOKUP(A322,Classification!A:D,2,FALSE)</f>
        <v>A</v>
      </c>
      <c r="E322" s="5" t="str">
        <f>VLOOKUP(A322,Seqs!A:B,2,FALSE)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322" s="5" t="str">
        <f t="shared" ref="F322:F385" si="126">IFERROR(MID($E322,R322,(AP322+1)),"")</f>
        <v>MIFTLALAYGAVIILGVSGNLALIIIILKQ</v>
      </c>
      <c r="G322" s="4" t="str">
        <f t="shared" ref="G322:G385" si="127">IFERROR(MID($E322,S322,(AQ322+1)),"")</f>
        <v>KEMR</v>
      </c>
      <c r="H322" s="4" t="str">
        <f t="shared" ref="H322:H385" si="128">IFERROR(MID($E322,T322,(AR322+1)),"")</f>
        <v>NVTNILIVNLSFSDLLVAIMCLPFTFVYTLM</v>
      </c>
      <c r="I322" s="4" t="str">
        <f t="shared" ref="I322:I385" si="129">IFERROR(MID($E322,U322,(AS322+1)),"")</f>
        <v>HWVF</v>
      </c>
      <c r="J322" s="4" t="str">
        <f t="shared" ref="J322:J385" si="130">IFERROR(MID($E322,V322,(AT322+1)),"")</f>
        <v>GEAMCKLNPFVQCVSITVSIFSLVLIAVERHQLIIN</v>
      </c>
      <c r="K322" s="4" t="str">
        <f t="shared" ref="K322:K385" si="131">IFERROR(MID($E322,W322,(AU322+1)),"")</f>
        <v>PRGWRPN</v>
      </c>
      <c r="L322" s="4" t="str">
        <f t="shared" ref="L322:L385" si="132">IFERROR(MID($E322,X322,(AV322+1)),"")</f>
        <v>NRHAYVGIAVIWVLAVASSLPFLIYQ</v>
      </c>
      <c r="M322" s="4" t="str">
        <f t="shared" ref="M322:M385" si="133">IFERROR(MID($E322,Y322,(AW322+1)),"")</f>
        <v>CFD</v>
      </c>
      <c r="N322" s="4" t="str">
        <f t="shared" ref="N322:N385" si="134">IFERROR(MID($E322,Z322,(AX322+1)),"")</f>
        <v>DSHRLSYTTLLLVLQYFGPLCFIFICYFKIYIRLKRRNNMMD</v>
      </c>
      <c r="O322" s="4" t="str">
        <f t="shared" ref="O322:O385" si="135">IFERROR(MID($E322,AA322,(AY322+1)),"")</f>
        <v>DNKYRSSETKRINIMLLSIVVAFAVCWLPLTIFNTVFDWN</v>
      </c>
      <c r="P322" s="4" t="str">
        <f t="shared" ref="P322:P385" si="136">IFERROR(MID($E322,AB322,(AZ322+1)),"")</f>
        <v>TCNHNLLFLLCHLTAMISTCVNPIFYGFL</v>
      </c>
      <c r="Q322" s="4" t="str">
        <f t="shared" ref="Q322:Q385" si="137">IFERROR(MID($E322,AC322,(BA322+1)),"")</f>
        <v>NKNFQRDLQFFF</v>
      </c>
      <c r="R322" s="5">
        <f>VLOOKUP($A322,'NonXtal_SegEnds_Prot#'!$A:$AL,3,FALSE)</f>
        <v>39</v>
      </c>
      <c r="S322" s="5">
        <f>VLOOKUP($A322,'NonXtal_SegEnds_Prot#'!$A:$AL,6,FALSE)</f>
        <v>69</v>
      </c>
      <c r="T322" s="5">
        <f>VLOOKUP($A322,'NonXtal_SegEnds_Prot#'!$A:$AL,9,FALSE)</f>
        <v>73</v>
      </c>
      <c r="U322" s="5">
        <f>VLOOKUP($A322,'NonXtal_SegEnds_Prot#'!$A:$AL,12,FALSE)</f>
        <v>105</v>
      </c>
      <c r="V322" s="5">
        <f>VLOOKUP($A322,'NonXtal_SegEnds_Prot#'!$A:$AL,15,FALSE)</f>
        <v>109</v>
      </c>
      <c r="W322" s="5">
        <f>VLOOKUP($A322,'NonXtal_SegEnds_Prot#'!$A:$AL,18,FALSE)</f>
        <v>145</v>
      </c>
      <c r="X322" s="5">
        <f>VLOOKUP($A322,'NonXtal_SegEnds_Prot#'!$A:$AL,21,FALSE)</f>
        <v>152</v>
      </c>
      <c r="Y322" s="5">
        <f>VLOOKUP($A322,'NonXtal_SegEnds_Prot#'!$A:$AL,24,FALSE)</f>
        <v>198</v>
      </c>
      <c r="Z322" s="5">
        <f>VLOOKUP($A322,'NonXtal_SegEnds_Prot#'!$A:$AL,27,FALSE)</f>
        <v>205</v>
      </c>
      <c r="AA322" s="5">
        <f>VLOOKUP($A322,'NonXtal_SegEnds_Prot#'!$A:$AL,30,FALSE)</f>
        <v>250</v>
      </c>
      <c r="AB322" s="5">
        <f>VLOOKUP($A322,'NonXtal_SegEnds_Prot#'!$A:$AL,33,FALSE)</f>
        <v>295</v>
      </c>
      <c r="AC322" s="5">
        <f>VLOOKUP($A322,'NonXtal_SegEnds_Prot#'!$A:$AL,36,FALSE)</f>
        <v>324</v>
      </c>
      <c r="AD322" s="5">
        <f>VLOOKUP($A322,'NonXtal_SegEnds_Prot#'!$A:$AL,5,FALSE)</f>
        <v>68</v>
      </c>
      <c r="AE322" s="5">
        <f>VLOOKUP($A322,'NonXtal_SegEnds_Prot#'!$A:$AL,8,FALSE)</f>
        <v>72</v>
      </c>
      <c r="AF322" s="5">
        <f>VLOOKUP($A322,'NonXtal_SegEnds_Prot#'!$A:$AL,11,FALSE)</f>
        <v>103</v>
      </c>
      <c r="AG322" s="5">
        <f>VLOOKUP($A322,'NonXtal_SegEnds_Prot#'!$A:$AL,14,FALSE)</f>
        <v>108</v>
      </c>
      <c r="AH322" s="5">
        <f>VLOOKUP($A322,'NonXtal_SegEnds_Prot#'!$A:$AL,17,FALSE)</f>
        <v>144</v>
      </c>
      <c r="AI322" s="5">
        <f>VLOOKUP($A322,'NonXtal_SegEnds_Prot#'!$A:$AL,20,FALSE)</f>
        <v>151</v>
      </c>
      <c r="AJ322" s="5">
        <f>VLOOKUP($A322,'NonXtal_SegEnds_Prot#'!$A:$AL,23,FALSE)</f>
        <v>177</v>
      </c>
      <c r="AK322" s="5">
        <f>VLOOKUP($A322,'NonXtal_SegEnds_Prot#'!$A:$AL,26,FALSE)</f>
        <v>200</v>
      </c>
      <c r="AL322" s="5">
        <f>VLOOKUP($A322,'NonXtal_SegEnds_Prot#'!$A:$AL,29,FALSE)</f>
        <v>246</v>
      </c>
      <c r="AM322" s="5">
        <f>VLOOKUP($A322,'NonXtal_SegEnds_Prot#'!$A:$AL,32,FALSE)</f>
        <v>289</v>
      </c>
      <c r="AN322" s="5">
        <f>VLOOKUP($A322,'NonXtal_SegEnds_Prot#'!$A:$AL,35,FALSE)</f>
        <v>323</v>
      </c>
      <c r="AO322" s="5">
        <f>VLOOKUP($A322,'NonXtal_SegEnds_Prot#'!$A:$AL,38,FALSE)</f>
        <v>335</v>
      </c>
      <c r="AP322" s="5">
        <f t="shared" ref="AP322:AP385" si="138">IFERROR(AD322-R322,"-")</f>
        <v>29</v>
      </c>
      <c r="AQ322" s="4">
        <f t="shared" ref="AQ322:AQ385" si="139">IFERROR(AE322-S322,"-")</f>
        <v>3</v>
      </c>
      <c r="AR322" s="4">
        <f t="shared" ref="AR322:AR385" si="140">IFERROR(AF322-T322,"-")</f>
        <v>30</v>
      </c>
      <c r="AS322" s="4">
        <f t="shared" ref="AS322:AS385" si="141">IFERROR(AG322-U322,"-")</f>
        <v>3</v>
      </c>
      <c r="AT322" s="4">
        <f t="shared" ref="AT322:AT385" si="142">IFERROR(AH322-V322,"-")</f>
        <v>35</v>
      </c>
      <c r="AU322" s="4">
        <f t="shared" ref="AU322:AU385" si="143">IFERROR(AI322-W322,"-")</f>
        <v>6</v>
      </c>
      <c r="AV322" s="4">
        <f t="shared" ref="AV322:AV385" si="144">IFERROR(AJ322-X322,"-")</f>
        <v>25</v>
      </c>
      <c r="AW322" s="4">
        <f t="shared" ref="AW322:AW385" si="145">IFERROR(AK322-Y322,"-")</f>
        <v>2</v>
      </c>
      <c r="AX322" s="4">
        <f t="shared" ref="AX322:AX385" si="146">IFERROR(AL322-Z322,"-")</f>
        <v>41</v>
      </c>
      <c r="AY322" s="4">
        <f t="shared" ref="AY322:AY385" si="147">IFERROR(AM322-AA322,"-")</f>
        <v>39</v>
      </c>
      <c r="AZ322" s="4">
        <f t="shared" ref="AZ322:AZ385" si="148">IFERROR(AN322-AB322,"-")</f>
        <v>28</v>
      </c>
      <c r="BA322" s="4">
        <f t="shared" ref="BA322:BA385" si="149">IFERROR(AO322-AC322,"-")</f>
        <v>11</v>
      </c>
    </row>
    <row r="323" spans="1:53" x14ac:dyDescent="0.2">
      <c r="A323" s="1" t="str">
        <f>'NonXtal_SegEnds_Prot#'!A314</f>
        <v>npy5r_human</v>
      </c>
      <c r="B323" s="1" t="str">
        <f t="shared" si="125"/>
        <v>LQYFLIGLYTFVSLLGFMGNLLILMALMKKTTVNFLIGNLAFSDILVVLFCSPFTLTSVLLGKVMCHIMPFLQCVSVLVSTLILISIAIVRYHMIKHANHGYFLIATVWTLGFAICSPLPVFHDSYRIAFTISLLLVQYILPLVCLTVSHTSVCRSISCGLSNKENRLTRIKKRSRSVFYRLTILILVFAVSWMPLHLFHVVTDFNNRHFKLVYCICHLLGMMSCCLNPILYGFLNNGIKADLVSLI</v>
      </c>
      <c r="C323" s="72" t="str">
        <f>IF(ISERROR(MATCH(A323,'Xtal_SegEnds_Prot#'!B:B, 0)), "NoXtal", "Xtal")</f>
        <v>NoXtal</v>
      </c>
      <c r="D323" s="4" t="str">
        <f>VLOOKUP(A323,Classification!A:D,2,FALSE)</f>
        <v>A</v>
      </c>
      <c r="E323" s="5" t="str">
        <f>VLOOKUP(A323,Seqs!A:B,2,FALSE)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323" s="5" t="str">
        <f t="shared" si="126"/>
        <v>LQYFLIGLYTFVSLLGFMGNLLILMALMKK</v>
      </c>
      <c r="G323" s="4" t="str">
        <f t="shared" si="127"/>
        <v>RNQK</v>
      </c>
      <c r="H323" s="4" t="str">
        <f t="shared" si="128"/>
        <v>TTVNFLIGNLAFSDILVVLFCSPFTLTSVLL</v>
      </c>
      <c r="I323" s="4" t="str">
        <f t="shared" si="129"/>
        <v>QWMF</v>
      </c>
      <c r="J323" s="4" t="str">
        <f t="shared" si="130"/>
        <v>GKVMCHIMPFLQCVSVLVSTLILISIAIVRYHMIKH</v>
      </c>
      <c r="K323" s="4" t="str">
        <f t="shared" si="131"/>
        <v>PISNNLT</v>
      </c>
      <c r="L323" s="4" t="str">
        <f t="shared" si="132"/>
        <v>ANHGYFLIATVWTLGFAICSPLPVFH</v>
      </c>
      <c r="M323" s="4" t="str">
        <f t="shared" si="133"/>
        <v>CVE</v>
      </c>
      <c r="N323" s="4" t="str">
        <f t="shared" si="134"/>
        <v>DSYRIAFTISLLLVQYILPLVCLTVSHTSVCRSISCGLSNKENRL</v>
      </c>
      <c r="O323" s="4" t="str">
        <f t="shared" si="135"/>
        <v>TRIKKRSRSVFYRLTILILVFAVSWMPLHLFHVVTDFN</v>
      </c>
      <c r="P323" s="4" t="str">
        <f t="shared" si="136"/>
        <v>NRHFKLVYCICHLLGMMSCCLNPILYGFL</v>
      </c>
      <c r="Q323" s="4" t="str">
        <f t="shared" si="137"/>
        <v>NNGIKADLVSLI</v>
      </c>
      <c r="R323" s="5">
        <f>VLOOKUP($A323,'NonXtal_SegEnds_Prot#'!$A:$AL,3,FALSE)</f>
        <v>40</v>
      </c>
      <c r="S323" s="5">
        <f>VLOOKUP($A323,'NonXtal_SegEnds_Prot#'!$A:$AL,6,FALSE)</f>
        <v>70</v>
      </c>
      <c r="T323" s="5">
        <f>VLOOKUP($A323,'NonXtal_SegEnds_Prot#'!$A:$AL,9,FALSE)</f>
        <v>74</v>
      </c>
      <c r="U323" s="5">
        <f>VLOOKUP($A323,'NonXtal_SegEnds_Prot#'!$A:$AL,12,FALSE)</f>
        <v>106</v>
      </c>
      <c r="V323" s="5">
        <f>VLOOKUP($A323,'NonXtal_SegEnds_Prot#'!$A:$AL,15,FALSE)</f>
        <v>110</v>
      </c>
      <c r="W323" s="5">
        <f>VLOOKUP($A323,'NonXtal_SegEnds_Prot#'!$A:$AL,18,FALSE)</f>
        <v>146</v>
      </c>
      <c r="X323" s="5">
        <f>VLOOKUP($A323,'NonXtal_SegEnds_Prot#'!$A:$AL,21,FALSE)</f>
        <v>153</v>
      </c>
      <c r="Y323" s="5">
        <f>VLOOKUP($A323,'NonXtal_SegEnds_Prot#'!$A:$AL,24,FALSE)</f>
        <v>198</v>
      </c>
      <c r="Z323" s="5">
        <f>VLOOKUP($A323,'NonXtal_SegEnds_Prot#'!$A:$AL,27,FALSE)</f>
        <v>205</v>
      </c>
      <c r="AA323" s="5">
        <f>VLOOKUP($A323,'NonXtal_SegEnds_Prot#'!$A:$AL,30,FALSE)</f>
        <v>357</v>
      </c>
      <c r="AB323" s="5">
        <f>VLOOKUP($A323,'NonXtal_SegEnds_Prot#'!$A:$AL,33,FALSE)</f>
        <v>400</v>
      </c>
      <c r="AC323" s="5">
        <f>VLOOKUP($A323,'NonXtal_SegEnds_Prot#'!$A:$AL,36,FALSE)</f>
        <v>429</v>
      </c>
      <c r="AD323" s="5">
        <f>VLOOKUP($A323,'NonXtal_SegEnds_Prot#'!$A:$AL,5,FALSE)</f>
        <v>69</v>
      </c>
      <c r="AE323" s="5">
        <f>VLOOKUP($A323,'NonXtal_SegEnds_Prot#'!$A:$AL,8,FALSE)</f>
        <v>73</v>
      </c>
      <c r="AF323" s="5">
        <f>VLOOKUP($A323,'NonXtal_SegEnds_Prot#'!$A:$AL,11,FALSE)</f>
        <v>104</v>
      </c>
      <c r="AG323" s="5">
        <f>VLOOKUP($A323,'NonXtal_SegEnds_Prot#'!$A:$AL,14,FALSE)</f>
        <v>109</v>
      </c>
      <c r="AH323" s="5">
        <f>VLOOKUP($A323,'NonXtal_SegEnds_Prot#'!$A:$AL,17,FALSE)</f>
        <v>145</v>
      </c>
      <c r="AI323" s="5">
        <f>VLOOKUP($A323,'NonXtal_SegEnds_Prot#'!$A:$AL,20,FALSE)</f>
        <v>152</v>
      </c>
      <c r="AJ323" s="5">
        <f>VLOOKUP($A323,'NonXtal_SegEnds_Prot#'!$A:$AL,23,FALSE)</f>
        <v>178</v>
      </c>
      <c r="AK323" s="5">
        <f>VLOOKUP($A323,'NonXtal_SegEnds_Prot#'!$A:$AL,26,FALSE)</f>
        <v>200</v>
      </c>
      <c r="AL323" s="5">
        <f>VLOOKUP($A323,'NonXtal_SegEnds_Prot#'!$A:$AL,29,FALSE)</f>
        <v>249</v>
      </c>
      <c r="AM323" s="5">
        <f>VLOOKUP($A323,'NonXtal_SegEnds_Prot#'!$A:$AL,32,FALSE)</f>
        <v>394</v>
      </c>
      <c r="AN323" s="5">
        <f>VLOOKUP($A323,'NonXtal_SegEnds_Prot#'!$A:$AL,35,FALSE)</f>
        <v>428</v>
      </c>
      <c r="AO323" s="5">
        <f>VLOOKUP($A323,'NonXtal_SegEnds_Prot#'!$A:$AL,38,FALSE)</f>
        <v>440</v>
      </c>
      <c r="AP323" s="5">
        <f t="shared" si="138"/>
        <v>29</v>
      </c>
      <c r="AQ323" s="4">
        <f t="shared" si="139"/>
        <v>3</v>
      </c>
      <c r="AR323" s="4">
        <f t="shared" si="140"/>
        <v>30</v>
      </c>
      <c r="AS323" s="4">
        <f t="shared" si="141"/>
        <v>3</v>
      </c>
      <c r="AT323" s="4">
        <f t="shared" si="142"/>
        <v>35</v>
      </c>
      <c r="AU323" s="4">
        <f t="shared" si="143"/>
        <v>6</v>
      </c>
      <c r="AV323" s="4">
        <f t="shared" si="144"/>
        <v>25</v>
      </c>
      <c r="AW323" s="4">
        <f t="shared" si="145"/>
        <v>2</v>
      </c>
      <c r="AX323" s="4">
        <f t="shared" si="146"/>
        <v>44</v>
      </c>
      <c r="AY323" s="4">
        <f t="shared" si="147"/>
        <v>37</v>
      </c>
      <c r="AZ323" s="4">
        <f t="shared" si="148"/>
        <v>28</v>
      </c>
      <c r="BA323" s="4">
        <f t="shared" si="149"/>
        <v>11</v>
      </c>
    </row>
    <row r="324" spans="1:53" x14ac:dyDescent="0.2">
      <c r="A324" s="1" t="str">
        <f>'NonXtal_SegEnds_Prot#'!A315</f>
        <v>npsr1_human</v>
      </c>
      <c r="B324" s="1" t="str">
        <f t="shared" si="125"/>
        <v>FKTEQLITLWVLFVFTIVGNSVVLFSTWRRSRMTFFVTQLAITDSFTGLVNILTDINWRFTPDLVCRVVRYLQVVLLYASTYVLVSLSIDRYHAIVYEKQARVLIVIAWSLSFLFSIPTLIIFDSYWTPYMTIVAFLVYFIPLTIISIMYGIVIRTIWIKSKTYETVIGLISKAKIKAIKYSIIIILAFICCWSPYFLFDILDNFNTQERFYASVIIQNLPALNSAINPLIYCVFSSSISFPCREQR</v>
      </c>
      <c r="C324" s="72" t="str">
        <f>IF(ISERROR(MATCH(A324,'Xtal_SegEnds_Prot#'!B:B, 0)), "NoXtal", "Xtal")</f>
        <v>NoXtal</v>
      </c>
      <c r="D324" s="4" t="str">
        <f>VLOOKUP(A324,Classification!A:D,2,FALSE)</f>
        <v>A</v>
      </c>
      <c r="E324" s="5" t="str">
        <f>VLOOKUP(A324,Seqs!A:B,2,FALSE)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324" s="5" t="str">
        <f t="shared" si="126"/>
        <v>FKTEQLITLWVLFVFTIVGNSVVLFSTWRR</v>
      </c>
      <c r="G324" s="4" t="str">
        <f t="shared" si="127"/>
        <v/>
      </c>
      <c r="H324" s="4" t="str">
        <f t="shared" si="128"/>
        <v>SRMTFFVTQLAITDSFTGLVNILTDINWRFT</v>
      </c>
      <c r="I324" s="4" t="str">
        <f t="shared" si="129"/>
        <v>DFTA</v>
      </c>
      <c r="J324" s="4" t="str">
        <f t="shared" si="130"/>
        <v>PDLVCRVVRYLQVVLLYASTYVLVSLSIDRYHAIVY</v>
      </c>
      <c r="K324" s="4" t="str">
        <f t="shared" si="131"/>
        <v>PMKFLQG</v>
      </c>
      <c r="L324" s="4" t="str">
        <f t="shared" si="132"/>
        <v>EKQARVLIVIAWSLSFLFSIPTLIIF</v>
      </c>
      <c r="M324" s="4" t="str">
        <f t="shared" si="133"/>
        <v>CWA</v>
      </c>
      <c r="N324" s="4" t="str">
        <f t="shared" si="134"/>
        <v>DSYWTPYMTIVAFLVYFIPLTIISIMYGIVIRTIWIKSKTYETVI</v>
      </c>
      <c r="O324" s="4" t="str">
        <f t="shared" si="135"/>
        <v>GLISKAKIKAIKYSIIIILAFICCWSPYFLFDILDNFN</v>
      </c>
      <c r="P324" s="4" t="str">
        <f t="shared" si="136"/>
        <v>TQERFYASVIIQNLPALNSAINPLIYCVF</v>
      </c>
      <c r="Q324" s="4" t="str">
        <f t="shared" si="137"/>
        <v>SSSISFPCREQR</v>
      </c>
      <c r="R324" s="5">
        <f>VLOOKUP($A324,'NonXtal_SegEnds_Prot#'!$A:$AL,3,FALSE)</f>
        <v>48</v>
      </c>
      <c r="S324" s="5" t="str">
        <f>VLOOKUP($A324,'NonXtal_SegEnds_Prot#'!$A:$AL,6,FALSE)</f>
        <v>-</v>
      </c>
      <c r="T324" s="5">
        <f>VLOOKUP($A324,'NonXtal_SegEnds_Prot#'!$A:$AL,9,FALSE)</f>
        <v>81</v>
      </c>
      <c r="U324" s="5">
        <f>VLOOKUP($A324,'NonXtal_SegEnds_Prot#'!$A:$AL,12,FALSE)</f>
        <v>113</v>
      </c>
      <c r="V324" s="5">
        <f>VLOOKUP($A324,'NonXtal_SegEnds_Prot#'!$A:$AL,15,FALSE)</f>
        <v>117</v>
      </c>
      <c r="W324" s="5">
        <f>VLOOKUP($A324,'NonXtal_SegEnds_Prot#'!$A:$AL,18,FALSE)</f>
        <v>153</v>
      </c>
      <c r="X324" s="5">
        <f>VLOOKUP($A324,'NonXtal_SegEnds_Prot#'!$A:$AL,21,FALSE)</f>
        <v>160</v>
      </c>
      <c r="Y324" s="5">
        <f>VLOOKUP($A324,'NonXtal_SegEnds_Prot#'!$A:$AL,24,FALSE)</f>
        <v>197</v>
      </c>
      <c r="Z324" s="5">
        <f>VLOOKUP($A324,'NonXtal_SegEnds_Prot#'!$A:$AL,27,FALSE)</f>
        <v>204</v>
      </c>
      <c r="AA324" s="5">
        <f>VLOOKUP($A324,'NonXtal_SegEnds_Prot#'!$A:$AL,30,FALSE)</f>
        <v>263</v>
      </c>
      <c r="AB324" s="5">
        <f>VLOOKUP($A324,'NonXtal_SegEnds_Prot#'!$A:$AL,33,FALSE)</f>
        <v>305</v>
      </c>
      <c r="AC324" s="5">
        <f>VLOOKUP($A324,'NonXtal_SegEnds_Prot#'!$A:$AL,36,FALSE)</f>
        <v>334</v>
      </c>
      <c r="AD324" s="5">
        <f>VLOOKUP($A324,'NonXtal_SegEnds_Prot#'!$A:$AL,5,FALSE)</f>
        <v>77</v>
      </c>
      <c r="AE324" s="5" t="str">
        <f>VLOOKUP($A324,'NonXtal_SegEnds_Prot#'!$A:$AL,8,FALSE)</f>
        <v>-</v>
      </c>
      <c r="AF324" s="5">
        <f>VLOOKUP($A324,'NonXtal_SegEnds_Prot#'!$A:$AL,11,FALSE)</f>
        <v>111</v>
      </c>
      <c r="AG324" s="5">
        <f>VLOOKUP($A324,'NonXtal_SegEnds_Prot#'!$A:$AL,14,FALSE)</f>
        <v>116</v>
      </c>
      <c r="AH324" s="5">
        <f>VLOOKUP($A324,'NonXtal_SegEnds_Prot#'!$A:$AL,17,FALSE)</f>
        <v>152</v>
      </c>
      <c r="AI324" s="5">
        <f>VLOOKUP($A324,'NonXtal_SegEnds_Prot#'!$A:$AL,20,FALSE)</f>
        <v>159</v>
      </c>
      <c r="AJ324" s="5">
        <f>VLOOKUP($A324,'NonXtal_SegEnds_Prot#'!$A:$AL,23,FALSE)</f>
        <v>185</v>
      </c>
      <c r="AK324" s="5">
        <f>VLOOKUP($A324,'NonXtal_SegEnds_Prot#'!$A:$AL,26,FALSE)</f>
        <v>199</v>
      </c>
      <c r="AL324" s="5">
        <f>VLOOKUP($A324,'NonXtal_SegEnds_Prot#'!$A:$AL,29,FALSE)</f>
        <v>248</v>
      </c>
      <c r="AM324" s="5">
        <f>VLOOKUP($A324,'NonXtal_SegEnds_Prot#'!$A:$AL,32,FALSE)</f>
        <v>300</v>
      </c>
      <c r="AN324" s="5">
        <f>VLOOKUP($A324,'NonXtal_SegEnds_Prot#'!$A:$AL,35,FALSE)</f>
        <v>333</v>
      </c>
      <c r="AO324" s="5">
        <f>VLOOKUP($A324,'NonXtal_SegEnds_Prot#'!$A:$AL,38,FALSE)</f>
        <v>345</v>
      </c>
      <c r="AP324" s="5">
        <f t="shared" si="138"/>
        <v>29</v>
      </c>
      <c r="AQ324" s="4" t="str">
        <f t="shared" si="139"/>
        <v>-</v>
      </c>
      <c r="AR324" s="4">
        <f t="shared" si="140"/>
        <v>30</v>
      </c>
      <c r="AS324" s="4">
        <f t="shared" si="141"/>
        <v>3</v>
      </c>
      <c r="AT324" s="4">
        <f t="shared" si="142"/>
        <v>35</v>
      </c>
      <c r="AU324" s="4">
        <f t="shared" si="143"/>
        <v>6</v>
      </c>
      <c r="AV324" s="4">
        <f t="shared" si="144"/>
        <v>25</v>
      </c>
      <c r="AW324" s="4">
        <f t="shared" si="145"/>
        <v>2</v>
      </c>
      <c r="AX324" s="4">
        <f t="shared" si="146"/>
        <v>44</v>
      </c>
      <c r="AY324" s="4">
        <f t="shared" si="147"/>
        <v>37</v>
      </c>
      <c r="AZ324" s="4">
        <f t="shared" si="148"/>
        <v>28</v>
      </c>
      <c r="BA324" s="4">
        <f t="shared" si="149"/>
        <v>11</v>
      </c>
    </row>
    <row r="325" spans="1:53" x14ac:dyDescent="0.2">
      <c r="A325" s="1" t="str">
        <f>'NonXtal_SegEnds_Prot#'!A316</f>
        <v>cckar_human</v>
      </c>
      <c r="B325" s="1" t="str">
        <f t="shared" si="125"/>
        <v>QPAVQILLYSLIFLLSVLGNTLVITVLIRNTVTNIFLLSLAVSDLMLCLFCMPFNLIPNLLGSAVCKTTTYFMGTSVSVSTFNLVAISLERYGAICKKSHALKVIAATWCLSFTIMTPYPIYSDVMQQSWHTFLLLILFLIPGIVMMVAYGLISLELYQGIKFEASAANLMAKKRVIRMLIVIVVLFFLCWMPIFSANAWRAYDRRLSGTPISFILLLSYTSSCVNPIIYCFMNKRFRLGFMATF</v>
      </c>
      <c r="C325" s="72" t="str">
        <f>IF(ISERROR(MATCH(A325,'Xtal_SegEnds_Prot#'!B:B, 0)), "NoXtal", "Xtal")</f>
        <v>NoXtal</v>
      </c>
      <c r="D325" s="4" t="str">
        <f>VLOOKUP(A325,Classification!A:D,2,FALSE)</f>
        <v>A</v>
      </c>
      <c r="E325" s="5" t="str">
        <f>VLOOKUP(A325,Seqs!A:B,2,FALSE)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325" s="5" t="str">
        <f t="shared" si="126"/>
        <v>QPAVQILLYSLIFLLSVLGNTLVITVLIRN</v>
      </c>
      <c r="G325" s="4" t="str">
        <f t="shared" si="127"/>
        <v>KRMR</v>
      </c>
      <c r="H325" s="4" t="str">
        <f t="shared" si="128"/>
        <v>TVTNIFLLSLAVSDLMLCLFCMPFNLIPNLL</v>
      </c>
      <c r="I325" s="4" t="str">
        <f t="shared" si="129"/>
        <v>DFIF</v>
      </c>
      <c r="J325" s="4" t="str">
        <f t="shared" si="130"/>
        <v>GSAVCKTTTYFMGTSVSVSTFNLVAISLERYGAICK</v>
      </c>
      <c r="K325" s="4" t="str">
        <f t="shared" si="131"/>
        <v>PLQSRVWQ</v>
      </c>
      <c r="L325" s="4" t="str">
        <f t="shared" si="132"/>
        <v>KSHALKVIAATWCLSFTIMTPYPIYS</v>
      </c>
      <c r="M325" s="4" t="str">
        <f t="shared" si="133"/>
        <v>CRF</v>
      </c>
      <c r="N325" s="4" t="str">
        <f t="shared" si="134"/>
        <v>DVMQQSWHTFLLLILFLIPGIVMMVAYGLISLELYQGIKFEAS</v>
      </c>
      <c r="O325" s="4" t="str">
        <f t="shared" si="135"/>
        <v>AANLMAKKRVIRMLIVIVVLFFLCWMPIFSANAWRAYD</v>
      </c>
      <c r="P325" s="4" t="str">
        <f t="shared" si="136"/>
        <v>RRLSGTPISFILLLSYTSSCVNPIIYCFM</v>
      </c>
      <c r="Q325" s="4" t="str">
        <f t="shared" si="137"/>
        <v>NKRFRLGFMATF</v>
      </c>
      <c r="R325" s="5">
        <f>VLOOKUP($A325,'NonXtal_SegEnds_Prot#'!$A:$AL,3,FALSE)</f>
        <v>40</v>
      </c>
      <c r="S325" s="5">
        <f>VLOOKUP($A325,'NonXtal_SegEnds_Prot#'!$A:$AL,6,FALSE)</f>
        <v>70</v>
      </c>
      <c r="T325" s="5">
        <f>VLOOKUP($A325,'NonXtal_SegEnds_Prot#'!$A:$AL,9,FALSE)</f>
        <v>74</v>
      </c>
      <c r="U325" s="5">
        <f>VLOOKUP($A325,'NonXtal_SegEnds_Prot#'!$A:$AL,12,FALSE)</f>
        <v>106</v>
      </c>
      <c r="V325" s="5">
        <f>VLOOKUP($A325,'NonXtal_SegEnds_Prot#'!$A:$AL,15,FALSE)</f>
        <v>110</v>
      </c>
      <c r="W325" s="5">
        <f>VLOOKUP($A325,'NonXtal_SegEnds_Prot#'!$A:$AL,18,FALSE)</f>
        <v>146</v>
      </c>
      <c r="X325" s="5">
        <f>VLOOKUP($A325,'NonXtal_SegEnds_Prot#'!$A:$AL,21,FALSE)</f>
        <v>155</v>
      </c>
      <c r="Y325" s="5">
        <f>VLOOKUP($A325,'NonXtal_SegEnds_Prot#'!$A:$AL,24,FALSE)</f>
        <v>196</v>
      </c>
      <c r="Z325" s="5">
        <f>VLOOKUP($A325,'NonXtal_SegEnds_Prot#'!$A:$AL,27,FALSE)</f>
        <v>203</v>
      </c>
      <c r="AA325" s="5">
        <f>VLOOKUP($A325,'NonXtal_SegEnds_Prot#'!$A:$AL,30,FALSE)</f>
        <v>302</v>
      </c>
      <c r="AB325" s="5">
        <f>VLOOKUP($A325,'NonXtal_SegEnds_Prot#'!$A:$AL,33,FALSE)</f>
        <v>345</v>
      </c>
      <c r="AC325" s="5">
        <f>VLOOKUP($A325,'NonXtal_SegEnds_Prot#'!$A:$AL,36,FALSE)</f>
        <v>374</v>
      </c>
      <c r="AD325" s="5">
        <f>VLOOKUP($A325,'NonXtal_SegEnds_Prot#'!$A:$AL,5,FALSE)</f>
        <v>69</v>
      </c>
      <c r="AE325" s="5">
        <f>VLOOKUP($A325,'NonXtal_SegEnds_Prot#'!$A:$AL,8,FALSE)</f>
        <v>73</v>
      </c>
      <c r="AF325" s="5">
        <f>VLOOKUP($A325,'NonXtal_SegEnds_Prot#'!$A:$AL,11,FALSE)</f>
        <v>104</v>
      </c>
      <c r="AG325" s="5">
        <f>VLOOKUP($A325,'NonXtal_SegEnds_Prot#'!$A:$AL,14,FALSE)</f>
        <v>109</v>
      </c>
      <c r="AH325" s="5">
        <f>VLOOKUP($A325,'NonXtal_SegEnds_Prot#'!$A:$AL,17,FALSE)</f>
        <v>145</v>
      </c>
      <c r="AI325" s="5">
        <f>VLOOKUP($A325,'NonXtal_SegEnds_Prot#'!$A:$AL,20,FALSE)</f>
        <v>153</v>
      </c>
      <c r="AJ325" s="5">
        <f>VLOOKUP($A325,'NonXtal_SegEnds_Prot#'!$A:$AL,23,FALSE)</f>
        <v>180</v>
      </c>
      <c r="AK325" s="5">
        <f>VLOOKUP($A325,'NonXtal_SegEnds_Prot#'!$A:$AL,26,FALSE)</f>
        <v>198</v>
      </c>
      <c r="AL325" s="5">
        <f>VLOOKUP($A325,'NonXtal_SegEnds_Prot#'!$A:$AL,29,FALSE)</f>
        <v>245</v>
      </c>
      <c r="AM325" s="5">
        <f>VLOOKUP($A325,'NonXtal_SegEnds_Prot#'!$A:$AL,32,FALSE)</f>
        <v>339</v>
      </c>
      <c r="AN325" s="5">
        <f>VLOOKUP($A325,'NonXtal_SegEnds_Prot#'!$A:$AL,35,FALSE)</f>
        <v>373</v>
      </c>
      <c r="AO325" s="5">
        <f>VLOOKUP($A325,'NonXtal_SegEnds_Prot#'!$A:$AL,38,FALSE)</f>
        <v>385</v>
      </c>
      <c r="AP325" s="5">
        <f t="shared" si="138"/>
        <v>29</v>
      </c>
      <c r="AQ325" s="4">
        <f t="shared" si="139"/>
        <v>3</v>
      </c>
      <c r="AR325" s="4">
        <f t="shared" si="140"/>
        <v>30</v>
      </c>
      <c r="AS325" s="4">
        <f t="shared" si="141"/>
        <v>3</v>
      </c>
      <c r="AT325" s="4">
        <f t="shared" si="142"/>
        <v>35</v>
      </c>
      <c r="AU325" s="4">
        <f t="shared" si="143"/>
        <v>7</v>
      </c>
      <c r="AV325" s="4">
        <f t="shared" si="144"/>
        <v>25</v>
      </c>
      <c r="AW325" s="4">
        <f t="shared" si="145"/>
        <v>2</v>
      </c>
      <c r="AX325" s="4">
        <f t="shared" si="146"/>
        <v>42</v>
      </c>
      <c r="AY325" s="4">
        <f t="shared" si="147"/>
        <v>37</v>
      </c>
      <c r="AZ325" s="4">
        <f t="shared" si="148"/>
        <v>28</v>
      </c>
      <c r="BA325" s="4">
        <f t="shared" si="149"/>
        <v>11</v>
      </c>
    </row>
    <row r="326" spans="1:53" x14ac:dyDescent="0.2">
      <c r="A326" s="1" t="str">
        <f>'NonXtal_SegEnds_Prot#'!A317</f>
        <v>gpr52_human</v>
      </c>
      <c r="B326" s="1" t="str">
        <f t="shared" si="125"/>
        <v>VCIFETVVIVLLTFLIIAGNLTVIFVFHCAHYTTSYFIQTMAYADLFVGVSCLVPTLSLLHYGVHESLTCQVFGYIISVLKSVSMACLACISVDRYLAITKPCRLRICIILIWIYSCLIFLPSFFGWTSAYFTGFIVCLLYAPAAFVVCFTYFHIFKICRQHTKEINSSRETGHSPDRRYAMVLFRITSVFYMLWLPYIIYFLLESSRPTLSFLTTWLAISNSFCNCVIYSLSNSVFRLGLRRLS</v>
      </c>
      <c r="C326" s="72" t="str">
        <f>IF(ISERROR(MATCH(A326,'Xtal_SegEnds_Prot#'!B:B, 0)), "NoXtal", "Xtal")</f>
        <v>NoXtal</v>
      </c>
      <c r="D326" s="4" t="str">
        <f>VLOOKUP(A326,Classification!A:D,2,FALSE)</f>
        <v>A</v>
      </c>
      <c r="E326" s="5" t="str">
        <f>VLOOKUP(A326,Seqs!A:B,2,FALSE)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326" s="5" t="str">
        <f t="shared" si="126"/>
        <v>VCIFETVVIVLLTFLIIAGNLTVIFVFHCA</v>
      </c>
      <c r="G326" s="4" t="str">
        <f t="shared" si="127"/>
        <v>PLLH</v>
      </c>
      <c r="H326" s="4" t="str">
        <f t="shared" si="128"/>
        <v>HYTTSYFIQTMAYADLFVGVSCLVPTLSLLHY</v>
      </c>
      <c r="I326" s="4" t="str">
        <f t="shared" si="129"/>
        <v/>
      </c>
      <c r="J326" s="4" t="str">
        <f t="shared" si="130"/>
        <v>GVHESLTCQVFGYIISVLKSVSMACLACISVDRYLAITK</v>
      </c>
      <c r="K326" s="4" t="str">
        <f t="shared" si="131"/>
        <v>PLSYNQLV</v>
      </c>
      <c r="L326" s="4" t="str">
        <f t="shared" si="132"/>
        <v>PCRLRICIILIWIYSCLIFLPSFFGW</v>
      </c>
      <c r="M326" s="4" t="str">
        <f t="shared" si="133"/>
        <v>CAT</v>
      </c>
      <c r="N326" s="4" t="str">
        <f t="shared" si="134"/>
        <v>TSAYFTGFIVCLLYAPAAFVVCFTYFHIFKICRQHTKEIN</v>
      </c>
      <c r="O326" s="4" t="str">
        <f t="shared" si="135"/>
        <v>SSRETGHSPDRRYAMVLFRITSVFYMLWLPYIIYFLLESSR</v>
      </c>
      <c r="P326" s="4" t="str">
        <f t="shared" si="136"/>
        <v>PTLSFLTTWLAISNSFCNCVIYSLS</v>
      </c>
      <c r="Q326" s="4" t="str">
        <f t="shared" si="137"/>
        <v>NSVFRLGLRRLS</v>
      </c>
      <c r="R326" s="5">
        <f>VLOOKUP($A326,'NonXtal_SegEnds_Prot#'!$A:$AL,3,FALSE)</f>
        <v>39</v>
      </c>
      <c r="S326" s="5">
        <f>VLOOKUP($A326,'NonXtal_SegEnds_Prot#'!$A:$AL,6,FALSE)</f>
        <v>69</v>
      </c>
      <c r="T326" s="5">
        <f>VLOOKUP($A326,'NonXtal_SegEnds_Prot#'!$A:$AL,9,FALSE)</f>
        <v>73</v>
      </c>
      <c r="U326" s="5" t="str">
        <f>VLOOKUP($A326,'NonXtal_SegEnds_Prot#'!$A:$AL,12,FALSE)</f>
        <v>-</v>
      </c>
      <c r="V326" s="5">
        <f>VLOOKUP($A326,'NonXtal_SegEnds_Prot#'!$A:$AL,15,FALSE)</f>
        <v>107</v>
      </c>
      <c r="W326" s="5">
        <f>VLOOKUP($A326,'NonXtal_SegEnds_Prot#'!$A:$AL,18,FALSE)</f>
        <v>146</v>
      </c>
      <c r="X326" s="5">
        <f>VLOOKUP($A326,'NonXtal_SegEnds_Prot#'!$A:$AL,21,FALSE)</f>
        <v>155</v>
      </c>
      <c r="Y326" s="5">
        <f>VLOOKUP($A326,'NonXtal_SegEnds_Prot#'!$A:$AL,24,FALSE)</f>
        <v>193</v>
      </c>
      <c r="Z326" s="5">
        <f>VLOOKUP($A326,'NonXtal_SegEnds_Prot#'!$A:$AL,27,FALSE)</f>
        <v>199</v>
      </c>
      <c r="AA326" s="5">
        <f>VLOOKUP($A326,'NonXtal_SegEnds_Prot#'!$A:$AL,30,FALSE)</f>
        <v>251</v>
      </c>
      <c r="AB326" s="5">
        <f>VLOOKUP($A326,'NonXtal_SegEnds_Prot#'!$A:$AL,33,FALSE)</f>
        <v>296</v>
      </c>
      <c r="AC326" s="5">
        <f>VLOOKUP($A326,'NonXtal_SegEnds_Prot#'!$A:$AL,36,FALSE)</f>
        <v>321</v>
      </c>
      <c r="AD326" s="5">
        <f>VLOOKUP($A326,'NonXtal_SegEnds_Prot#'!$A:$AL,5,FALSE)</f>
        <v>68</v>
      </c>
      <c r="AE326" s="5">
        <f>VLOOKUP($A326,'NonXtal_SegEnds_Prot#'!$A:$AL,8,FALSE)</f>
        <v>72</v>
      </c>
      <c r="AF326" s="5">
        <f>VLOOKUP($A326,'NonXtal_SegEnds_Prot#'!$A:$AL,11,FALSE)</f>
        <v>104</v>
      </c>
      <c r="AG326" s="5" t="str">
        <f>VLOOKUP($A326,'NonXtal_SegEnds_Prot#'!$A:$AL,14,FALSE)</f>
        <v>-</v>
      </c>
      <c r="AH326" s="5">
        <f>VLOOKUP($A326,'NonXtal_SegEnds_Prot#'!$A:$AL,17,FALSE)</f>
        <v>145</v>
      </c>
      <c r="AI326" s="5">
        <f>VLOOKUP($A326,'NonXtal_SegEnds_Prot#'!$A:$AL,20,FALSE)</f>
        <v>153</v>
      </c>
      <c r="AJ326" s="5">
        <f>VLOOKUP($A326,'NonXtal_SegEnds_Prot#'!$A:$AL,23,FALSE)</f>
        <v>180</v>
      </c>
      <c r="AK326" s="5">
        <f>VLOOKUP($A326,'NonXtal_SegEnds_Prot#'!$A:$AL,26,FALSE)</f>
        <v>195</v>
      </c>
      <c r="AL326" s="5">
        <f>VLOOKUP($A326,'NonXtal_SegEnds_Prot#'!$A:$AL,29,FALSE)</f>
        <v>238</v>
      </c>
      <c r="AM326" s="5">
        <f>VLOOKUP($A326,'NonXtal_SegEnds_Prot#'!$A:$AL,32,FALSE)</f>
        <v>291</v>
      </c>
      <c r="AN326" s="5">
        <f>VLOOKUP($A326,'NonXtal_SegEnds_Prot#'!$A:$AL,35,FALSE)</f>
        <v>320</v>
      </c>
      <c r="AO326" s="5">
        <f>VLOOKUP($A326,'NonXtal_SegEnds_Prot#'!$A:$AL,38,FALSE)</f>
        <v>332</v>
      </c>
      <c r="AP326" s="5">
        <f t="shared" si="138"/>
        <v>29</v>
      </c>
      <c r="AQ326" s="4">
        <f t="shared" si="139"/>
        <v>3</v>
      </c>
      <c r="AR326" s="4">
        <f t="shared" si="140"/>
        <v>31</v>
      </c>
      <c r="AS326" s="4" t="str">
        <f t="shared" si="141"/>
        <v>-</v>
      </c>
      <c r="AT326" s="4">
        <f t="shared" si="142"/>
        <v>38</v>
      </c>
      <c r="AU326" s="4">
        <f t="shared" si="143"/>
        <v>7</v>
      </c>
      <c r="AV326" s="4">
        <f t="shared" si="144"/>
        <v>25</v>
      </c>
      <c r="AW326" s="4">
        <f t="shared" si="145"/>
        <v>2</v>
      </c>
      <c r="AX326" s="4">
        <f t="shared" si="146"/>
        <v>39</v>
      </c>
      <c r="AY326" s="4">
        <f t="shared" si="147"/>
        <v>40</v>
      </c>
      <c r="AZ326" s="4">
        <f t="shared" si="148"/>
        <v>24</v>
      </c>
      <c r="BA326" s="4">
        <f t="shared" si="149"/>
        <v>11</v>
      </c>
    </row>
    <row r="327" spans="1:53" x14ac:dyDescent="0.2">
      <c r="A327" s="1" t="str">
        <f>'NonXtal_SegEnds_Prot#'!A319</f>
        <v>gp151_human</v>
      </c>
      <c r="B327" s="1" t="str">
        <f t="shared" si="125"/>
        <v>WRTIIPALLVAVCLVGFVGNLCVIGILLHNSMIHSLILNLSLADLSLLLFSAPIRATAYSKGWFVCKSSDWFIHTCMAAKSLTIVVVAKVCFMYASDNYTIWSVLVAIWTVASLLPLPEWFFSEEFMSMFGKLYPLLAFGLPLFFASFYFWRAYDQCKKRNLRNQIRSKQVTVMLLSIAIISALLWLPEWVAWLWVWHLPAPPQGFIALSQVLMFSISSANPLIFLVMSEEFREGLKGVW</v>
      </c>
      <c r="C327" s="72" t="str">
        <f>IF(ISERROR(MATCH(A327,'Xtal_SegEnds_Prot#'!B:B, 0)), "NoXtal", "Xtal")</f>
        <v>NoXtal</v>
      </c>
      <c r="D327" s="4" t="str">
        <f>VLOOKUP(A327,Classification!A:D,2,FALSE)</f>
        <v>A</v>
      </c>
      <c r="E327" s="5" t="str">
        <f>VLOOKUP(A327,Seqs!A:B,2,FALSE)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327" s="5" t="str">
        <f t="shared" si="126"/>
        <v>WRTIIPALLVAVCLVGFVGNLCVIGILLHN</v>
      </c>
      <c r="G327" s="4" t="str">
        <f t="shared" si="127"/>
        <v/>
      </c>
      <c r="H327" s="4" t="str">
        <f t="shared" si="128"/>
        <v>SMIHSLILNLSLADLSLLLFSAPIRATAYSK</v>
      </c>
      <c r="I327" s="4" t="str">
        <f t="shared" si="129"/>
        <v>VWDL</v>
      </c>
      <c r="J327" s="4" t="str">
        <f t="shared" si="130"/>
        <v>GWFVCKSSDWFIHTCMAAKSLTIVVVAKVCFMYASD</v>
      </c>
      <c r="K327" s="4" t="str">
        <f t="shared" si="131"/>
        <v>PAKQVSIH</v>
      </c>
      <c r="L327" s="4" t="str">
        <f t="shared" si="132"/>
        <v>NYTIWSVLVAIWTVASLLPLPEWFFS</v>
      </c>
      <c r="M327" s="4" t="str">
        <f t="shared" si="133"/>
        <v>CLV</v>
      </c>
      <c r="N327" s="4" t="str">
        <f t="shared" si="134"/>
        <v>EEFMSMFGKLYPLLAFGLPLFFASFYFWRAYDQCKKR</v>
      </c>
      <c r="O327" s="4" t="str">
        <f t="shared" si="135"/>
        <v>NLRNQIRSKQVTVMLLSIAIISALLWLPEWVAWLWVWHL</v>
      </c>
      <c r="P327" s="4" t="str">
        <f t="shared" si="136"/>
        <v>PAPPQGFIALSQVLMFSISSANPLIFLVM</v>
      </c>
      <c r="Q327" s="4" t="str">
        <f t="shared" si="137"/>
        <v>SEEFREGLKGVW</v>
      </c>
      <c r="R327" s="5">
        <f>VLOOKUP($A327,'NonXtal_SegEnds_Prot#'!$A:$AL,3,FALSE)</f>
        <v>35</v>
      </c>
      <c r="S327" s="5" t="str">
        <f>VLOOKUP($A327,'NonXtal_SegEnds_Prot#'!$A:$AL,6,FALSE)</f>
        <v>-</v>
      </c>
      <c r="T327" s="5">
        <f>VLOOKUP($A327,'NonXtal_SegEnds_Prot#'!$A:$AL,9,FALSE)</f>
        <v>71</v>
      </c>
      <c r="U327" s="5">
        <f>VLOOKUP($A327,'NonXtal_SegEnds_Prot#'!$A:$AL,12,FALSE)</f>
        <v>103</v>
      </c>
      <c r="V327" s="5">
        <f>VLOOKUP($A327,'NonXtal_SegEnds_Prot#'!$A:$AL,15,FALSE)</f>
        <v>107</v>
      </c>
      <c r="W327" s="5">
        <f>VLOOKUP($A327,'NonXtal_SegEnds_Prot#'!$A:$AL,18,FALSE)</f>
        <v>143</v>
      </c>
      <c r="X327" s="5">
        <f>VLOOKUP($A327,'NonXtal_SegEnds_Prot#'!$A:$AL,21,FALSE)</f>
        <v>151</v>
      </c>
      <c r="Y327" s="5">
        <f>VLOOKUP($A327,'NonXtal_SegEnds_Prot#'!$A:$AL,24,FALSE)</f>
        <v>187</v>
      </c>
      <c r="Z327" s="5">
        <f>VLOOKUP($A327,'NonXtal_SegEnds_Prot#'!$A:$AL,27,FALSE)</f>
        <v>196</v>
      </c>
      <c r="AA327" s="5">
        <f>VLOOKUP($A327,'NonXtal_SegEnds_Prot#'!$A:$AL,30,FALSE)</f>
        <v>238</v>
      </c>
      <c r="AB327" s="5">
        <f>VLOOKUP($A327,'NonXtal_SegEnds_Prot#'!$A:$AL,33,FALSE)</f>
        <v>281</v>
      </c>
      <c r="AC327" s="5">
        <f>VLOOKUP($A327,'NonXtal_SegEnds_Prot#'!$A:$AL,36,FALSE)</f>
        <v>310</v>
      </c>
      <c r="AD327" s="5">
        <f>VLOOKUP($A327,'NonXtal_SegEnds_Prot#'!$A:$AL,5,FALSE)</f>
        <v>64</v>
      </c>
      <c r="AE327" s="5" t="str">
        <f>VLOOKUP($A327,'NonXtal_SegEnds_Prot#'!$A:$AL,8,FALSE)</f>
        <v>-</v>
      </c>
      <c r="AF327" s="5">
        <f>VLOOKUP($A327,'NonXtal_SegEnds_Prot#'!$A:$AL,11,FALSE)</f>
        <v>101</v>
      </c>
      <c r="AG327" s="5">
        <f>VLOOKUP($A327,'NonXtal_SegEnds_Prot#'!$A:$AL,14,FALSE)</f>
        <v>106</v>
      </c>
      <c r="AH327" s="5">
        <f>VLOOKUP($A327,'NonXtal_SegEnds_Prot#'!$A:$AL,17,FALSE)</f>
        <v>142</v>
      </c>
      <c r="AI327" s="5">
        <f>VLOOKUP($A327,'NonXtal_SegEnds_Prot#'!$A:$AL,20,FALSE)</f>
        <v>150</v>
      </c>
      <c r="AJ327" s="5">
        <f>VLOOKUP($A327,'NonXtal_SegEnds_Prot#'!$A:$AL,23,FALSE)</f>
        <v>176</v>
      </c>
      <c r="AK327" s="5">
        <f>VLOOKUP($A327,'NonXtal_SegEnds_Prot#'!$A:$AL,26,FALSE)</f>
        <v>189</v>
      </c>
      <c r="AL327" s="5">
        <f>VLOOKUP($A327,'NonXtal_SegEnds_Prot#'!$A:$AL,29,FALSE)</f>
        <v>232</v>
      </c>
      <c r="AM327" s="5">
        <f>VLOOKUP($A327,'NonXtal_SegEnds_Prot#'!$A:$AL,32,FALSE)</f>
        <v>276</v>
      </c>
      <c r="AN327" s="5">
        <f>VLOOKUP($A327,'NonXtal_SegEnds_Prot#'!$A:$AL,35,FALSE)</f>
        <v>309</v>
      </c>
      <c r="AO327" s="5">
        <f>VLOOKUP($A327,'NonXtal_SegEnds_Prot#'!$A:$AL,38,FALSE)</f>
        <v>321</v>
      </c>
      <c r="AP327" s="5">
        <f t="shared" si="138"/>
        <v>29</v>
      </c>
      <c r="AQ327" s="4" t="str">
        <f t="shared" si="139"/>
        <v>-</v>
      </c>
      <c r="AR327" s="4">
        <f t="shared" si="140"/>
        <v>30</v>
      </c>
      <c r="AS327" s="4">
        <f t="shared" si="141"/>
        <v>3</v>
      </c>
      <c r="AT327" s="4">
        <f t="shared" si="142"/>
        <v>35</v>
      </c>
      <c r="AU327" s="4">
        <f t="shared" si="143"/>
        <v>7</v>
      </c>
      <c r="AV327" s="4">
        <f t="shared" si="144"/>
        <v>25</v>
      </c>
      <c r="AW327" s="4">
        <f t="shared" si="145"/>
        <v>2</v>
      </c>
      <c r="AX327" s="4">
        <f t="shared" si="146"/>
        <v>36</v>
      </c>
      <c r="AY327" s="4">
        <f t="shared" si="147"/>
        <v>38</v>
      </c>
      <c r="AZ327" s="4">
        <f t="shared" si="148"/>
        <v>28</v>
      </c>
      <c r="BA327" s="4">
        <f t="shared" si="149"/>
        <v>11</v>
      </c>
    </row>
    <row r="328" spans="1:53" x14ac:dyDescent="0.2">
      <c r="A328" s="1" t="str">
        <f>'NonXtal_SegEnds_Prot#'!A320</f>
        <v>pd2r_human</v>
      </c>
      <c r="B328" s="1" t="str">
        <f t="shared" si="125"/>
        <v>EKGNSAVMGGVLFSTGLLGNLLALGLLARSSVFYMLVCGLTVTDLLGKCLLSPVVLAAYAQPALDNSLCQAFAFFMSFFGLSSTLQLLAMALECWLSLGHLRLGALVAPVVSAFSLAFCALPFMGFLSVLGYSVLYSSLMALLVLATVLCNLGAMRNLYAMHRRLQRHPRSSPQPLEELDHLLLLALMTVLFTMCSLPVIYRAYYGAFKRTSEEAEDLRALRFLSVISIVDPWIFIIFRSPVFRIFFHKI</v>
      </c>
      <c r="C328" s="72" t="str">
        <f>IF(ISERROR(MATCH(A328,'Xtal_SegEnds_Prot#'!B:B, 0)), "NoXtal", "Xtal")</f>
        <v>NoXtal</v>
      </c>
      <c r="D328" s="4" t="str">
        <f>VLOOKUP(A328,Classification!A:D,2,FALSE)</f>
        <v>A</v>
      </c>
      <c r="E328" s="5" t="str">
        <f>VLOOKUP(A328,Seqs!A:B,2,FALSE)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328" s="5" t="str">
        <f t="shared" si="126"/>
        <v>EKGNSAVMGGVLFSTGLLGNLLALGLLARS</v>
      </c>
      <c r="G328" s="4" t="str">
        <f t="shared" si="127"/>
        <v/>
      </c>
      <c r="H328" s="4" t="str">
        <f t="shared" si="128"/>
        <v>SVFYMLVCGLTVTDLLGKCLLSPVVLAAYAQ</v>
      </c>
      <c r="I328" s="4" t="str">
        <f t="shared" si="129"/>
        <v/>
      </c>
      <c r="J328" s="4" t="str">
        <f t="shared" si="130"/>
        <v>PALDNSLCQAFAFFMSFFGLSSTLQLLAMALECWLSLGH</v>
      </c>
      <c r="K328" s="4" t="str">
        <f t="shared" si="131"/>
        <v>PFFYRRHI</v>
      </c>
      <c r="L328" s="4" t="str">
        <f t="shared" si="132"/>
        <v>LRLGALVAPVVSAFSLAFCALPFMGF</v>
      </c>
      <c r="M328" s="4" t="str">
        <f t="shared" si="133"/>
        <v>CFI</v>
      </c>
      <c r="N328" s="4" t="str">
        <f t="shared" si="134"/>
        <v>LSVLGYSVLYSSLMALLVLATVLCNLGAMRNLYAMHRRLQRHPRS</v>
      </c>
      <c r="O328" s="4" t="str">
        <f t="shared" si="135"/>
        <v>SPQPLEELDHLLLLALMTVLFTMCSLPVIYRAYYGAFK</v>
      </c>
      <c r="P328" s="4" t="str">
        <f t="shared" si="136"/>
        <v>RTSEEAEDLRALRFLSVISIVDPWIFIIF</v>
      </c>
      <c r="Q328" s="4" t="str">
        <f t="shared" si="137"/>
        <v>RSPVFRIFFHKI</v>
      </c>
      <c r="R328" s="5">
        <f>VLOOKUP($A328,'NonXtal_SegEnds_Prot#'!$A:$AL,3,FALSE)</f>
        <v>15</v>
      </c>
      <c r="S328" s="5" t="str">
        <f>VLOOKUP($A328,'NonXtal_SegEnds_Prot#'!$A:$AL,6,FALSE)</f>
        <v>-</v>
      </c>
      <c r="T328" s="5">
        <f>VLOOKUP($A328,'NonXtal_SegEnds_Prot#'!$A:$AL,9,FALSE)</f>
        <v>59</v>
      </c>
      <c r="U328" s="5" t="str">
        <f>VLOOKUP($A328,'NonXtal_SegEnds_Prot#'!$A:$AL,12,FALSE)</f>
        <v>-</v>
      </c>
      <c r="V328" s="5">
        <f>VLOOKUP($A328,'NonXtal_SegEnds_Prot#'!$A:$AL,15,FALSE)</f>
        <v>98</v>
      </c>
      <c r="W328" s="5">
        <f>VLOOKUP($A328,'NonXtal_SegEnds_Prot#'!$A:$AL,18,FALSE)</f>
        <v>137</v>
      </c>
      <c r="X328" s="5">
        <f>VLOOKUP($A328,'NonXtal_SegEnds_Prot#'!$A:$AL,21,FALSE)</f>
        <v>146</v>
      </c>
      <c r="Y328" s="5">
        <f>VLOOKUP($A328,'NonXtal_SegEnds_Prot#'!$A:$AL,24,FALSE)</f>
        <v>183</v>
      </c>
      <c r="Z328" s="5">
        <f>VLOOKUP($A328,'NonXtal_SegEnds_Prot#'!$A:$AL,27,FALSE)</f>
        <v>194</v>
      </c>
      <c r="AA328" s="5">
        <f>VLOOKUP($A328,'NonXtal_SegEnds_Prot#'!$A:$AL,30,FALSE)</f>
        <v>254</v>
      </c>
      <c r="AB328" s="5">
        <f>VLOOKUP($A328,'NonXtal_SegEnds_Prot#'!$A:$AL,33,FALSE)</f>
        <v>298</v>
      </c>
      <c r="AC328" s="5">
        <f>VLOOKUP($A328,'NonXtal_SegEnds_Prot#'!$A:$AL,36,FALSE)</f>
        <v>327</v>
      </c>
      <c r="AD328" s="5">
        <f>VLOOKUP($A328,'NonXtal_SegEnds_Prot#'!$A:$AL,5,FALSE)</f>
        <v>44</v>
      </c>
      <c r="AE328" s="5" t="str">
        <f>VLOOKUP($A328,'NonXtal_SegEnds_Prot#'!$A:$AL,8,FALSE)</f>
        <v>-</v>
      </c>
      <c r="AF328" s="5">
        <f>VLOOKUP($A328,'NonXtal_SegEnds_Prot#'!$A:$AL,11,FALSE)</f>
        <v>89</v>
      </c>
      <c r="AG328" s="5" t="str">
        <f>VLOOKUP($A328,'NonXtal_SegEnds_Prot#'!$A:$AL,14,FALSE)</f>
        <v>-</v>
      </c>
      <c r="AH328" s="5">
        <f>VLOOKUP($A328,'NonXtal_SegEnds_Prot#'!$A:$AL,17,FALSE)</f>
        <v>136</v>
      </c>
      <c r="AI328" s="5">
        <f>VLOOKUP($A328,'NonXtal_SegEnds_Prot#'!$A:$AL,20,FALSE)</f>
        <v>144</v>
      </c>
      <c r="AJ328" s="5">
        <f>VLOOKUP($A328,'NonXtal_SegEnds_Prot#'!$A:$AL,23,FALSE)</f>
        <v>171</v>
      </c>
      <c r="AK328" s="5">
        <f>VLOOKUP($A328,'NonXtal_SegEnds_Prot#'!$A:$AL,26,FALSE)</f>
        <v>185</v>
      </c>
      <c r="AL328" s="5">
        <f>VLOOKUP($A328,'NonXtal_SegEnds_Prot#'!$A:$AL,29,FALSE)</f>
        <v>238</v>
      </c>
      <c r="AM328" s="5">
        <f>VLOOKUP($A328,'NonXtal_SegEnds_Prot#'!$A:$AL,32,FALSE)</f>
        <v>291</v>
      </c>
      <c r="AN328" s="5">
        <f>VLOOKUP($A328,'NonXtal_SegEnds_Prot#'!$A:$AL,35,FALSE)</f>
        <v>326</v>
      </c>
      <c r="AO328" s="5">
        <f>VLOOKUP($A328,'NonXtal_SegEnds_Prot#'!$A:$AL,38,FALSE)</f>
        <v>338</v>
      </c>
      <c r="AP328" s="5">
        <f t="shared" si="138"/>
        <v>29</v>
      </c>
      <c r="AQ328" s="4" t="str">
        <f t="shared" si="139"/>
        <v>-</v>
      </c>
      <c r="AR328" s="4">
        <f t="shared" si="140"/>
        <v>30</v>
      </c>
      <c r="AS328" s="4" t="str">
        <f t="shared" si="141"/>
        <v>-</v>
      </c>
      <c r="AT328" s="4">
        <f t="shared" si="142"/>
        <v>38</v>
      </c>
      <c r="AU328" s="4">
        <f t="shared" si="143"/>
        <v>7</v>
      </c>
      <c r="AV328" s="4">
        <f t="shared" si="144"/>
        <v>25</v>
      </c>
      <c r="AW328" s="4">
        <f t="shared" si="145"/>
        <v>2</v>
      </c>
      <c r="AX328" s="4">
        <f t="shared" si="146"/>
        <v>44</v>
      </c>
      <c r="AY328" s="4">
        <f t="shared" si="147"/>
        <v>37</v>
      </c>
      <c r="AZ328" s="4">
        <f t="shared" si="148"/>
        <v>28</v>
      </c>
      <c r="BA328" s="4">
        <f t="shared" si="149"/>
        <v>11</v>
      </c>
    </row>
    <row r="329" spans="1:53" x14ac:dyDescent="0.2">
      <c r="A329" s="1" t="str">
        <f>'NonXtal_SegEnds_Prot#'!A321</f>
        <v>gpr21_human</v>
      </c>
      <c r="B329" s="1" t="str">
        <f t="shared" si="125"/>
        <v>FCLLEVLIIVFLTVLIISGNIIVIFVFHCAHHTTSYFIQTMAYADLFVGVSCVVPSLSLLHHPVEESLTCQIFGFVVSVLKSVSMASLACISIDRYIAITKPWRLRLCIFLIWLYSTLVFLPSFFHWTDSYFTLFIVMMLYAPAALIVCFTYFNIFRICQQHTKDISETGEVQACPDKRYAMVLFRITSVFYILWLPYIIYFLLESSTRFASFLTTWLAISNSFCNCVIYSLSNSVFQRGLKRLS</v>
      </c>
      <c r="C329" s="72" t="str">
        <f>IF(ISERROR(MATCH(A329,'Xtal_SegEnds_Prot#'!B:B, 0)), "NoXtal", "Xtal")</f>
        <v>NoXtal</v>
      </c>
      <c r="D329" s="4" t="str">
        <f>VLOOKUP(A329,Classification!A:D,2,FALSE)</f>
        <v>A</v>
      </c>
      <c r="E329" s="5" t="str">
        <f>VLOOKUP(A329,Seqs!A:B,2,FALSE)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329" s="5" t="str">
        <f t="shared" si="126"/>
        <v>FCLLEVLIIVFLTVLIISGNIIVIFVFHCA</v>
      </c>
      <c r="G329" s="4" t="str">
        <f t="shared" si="127"/>
        <v>PLLN</v>
      </c>
      <c r="H329" s="4" t="str">
        <f t="shared" si="128"/>
        <v>HHTTSYFIQTMAYADLFVGVSCVVPSLSLLHH</v>
      </c>
      <c r="I329" s="4" t="str">
        <f t="shared" si="129"/>
        <v/>
      </c>
      <c r="J329" s="4" t="str">
        <f t="shared" si="130"/>
        <v>PVEESLTCQIFGFVVSVLKSVSMASLACISIDRYIAITK</v>
      </c>
      <c r="K329" s="4" t="str">
        <f t="shared" si="131"/>
        <v>PLTYNTLV</v>
      </c>
      <c r="L329" s="4" t="str">
        <f t="shared" si="132"/>
        <v>PWRLRLCIFLIWLYSTLVFLPSFFHW</v>
      </c>
      <c r="M329" s="4" t="str">
        <f t="shared" si="133"/>
        <v>CAE</v>
      </c>
      <c r="N329" s="4" t="str">
        <f t="shared" si="134"/>
        <v>TDSYFTLFIVMMLYAPAALIVCFTYFNIFRICQQHTKDIS</v>
      </c>
      <c r="O329" s="4" t="str">
        <f t="shared" si="135"/>
        <v>ETGEVQACPDKRYAMVLFRITSVFYILWLPYIIYFLLESST</v>
      </c>
      <c r="P329" s="4" t="str">
        <f t="shared" si="136"/>
        <v>RFASFLTTWLAISNSFCNCVIYSLS</v>
      </c>
      <c r="Q329" s="4" t="str">
        <f t="shared" si="137"/>
        <v>NSVFQRGLKRLS</v>
      </c>
      <c r="R329" s="5">
        <f>VLOOKUP($A329,'NonXtal_SegEnds_Prot#'!$A:$AL,3,FALSE)</f>
        <v>27</v>
      </c>
      <c r="S329" s="5">
        <f>VLOOKUP($A329,'NonXtal_SegEnds_Prot#'!$A:$AL,6,FALSE)</f>
        <v>57</v>
      </c>
      <c r="T329" s="5">
        <f>VLOOKUP($A329,'NonXtal_SegEnds_Prot#'!$A:$AL,9,FALSE)</f>
        <v>61</v>
      </c>
      <c r="U329" s="5" t="str">
        <f>VLOOKUP($A329,'NonXtal_SegEnds_Prot#'!$A:$AL,12,FALSE)</f>
        <v>-</v>
      </c>
      <c r="V329" s="5">
        <f>VLOOKUP($A329,'NonXtal_SegEnds_Prot#'!$A:$AL,15,FALSE)</f>
        <v>95</v>
      </c>
      <c r="W329" s="5">
        <f>VLOOKUP($A329,'NonXtal_SegEnds_Prot#'!$A:$AL,18,FALSE)</f>
        <v>134</v>
      </c>
      <c r="X329" s="5">
        <f>VLOOKUP($A329,'NonXtal_SegEnds_Prot#'!$A:$AL,21,FALSE)</f>
        <v>143</v>
      </c>
      <c r="Y329" s="5">
        <f>VLOOKUP($A329,'NonXtal_SegEnds_Prot#'!$A:$AL,24,FALSE)</f>
        <v>181</v>
      </c>
      <c r="Z329" s="5">
        <f>VLOOKUP($A329,'NonXtal_SegEnds_Prot#'!$A:$AL,27,FALSE)</f>
        <v>187</v>
      </c>
      <c r="AA329" s="5">
        <f>VLOOKUP($A329,'NonXtal_SegEnds_Prot#'!$A:$AL,30,FALSE)</f>
        <v>238</v>
      </c>
      <c r="AB329" s="5">
        <f>VLOOKUP($A329,'NonXtal_SegEnds_Prot#'!$A:$AL,33,FALSE)</f>
        <v>283</v>
      </c>
      <c r="AC329" s="5">
        <f>VLOOKUP($A329,'NonXtal_SegEnds_Prot#'!$A:$AL,36,FALSE)</f>
        <v>308</v>
      </c>
      <c r="AD329" s="5">
        <f>VLOOKUP($A329,'NonXtal_SegEnds_Prot#'!$A:$AL,5,FALSE)</f>
        <v>56</v>
      </c>
      <c r="AE329" s="5">
        <f>VLOOKUP($A329,'NonXtal_SegEnds_Prot#'!$A:$AL,8,FALSE)</f>
        <v>60</v>
      </c>
      <c r="AF329" s="5">
        <f>VLOOKUP($A329,'NonXtal_SegEnds_Prot#'!$A:$AL,11,FALSE)</f>
        <v>92</v>
      </c>
      <c r="AG329" s="5" t="str">
        <f>VLOOKUP($A329,'NonXtal_SegEnds_Prot#'!$A:$AL,14,FALSE)</f>
        <v>-</v>
      </c>
      <c r="AH329" s="5">
        <f>VLOOKUP($A329,'NonXtal_SegEnds_Prot#'!$A:$AL,17,FALSE)</f>
        <v>133</v>
      </c>
      <c r="AI329" s="5">
        <f>VLOOKUP($A329,'NonXtal_SegEnds_Prot#'!$A:$AL,20,FALSE)</f>
        <v>141</v>
      </c>
      <c r="AJ329" s="5">
        <f>VLOOKUP($A329,'NonXtal_SegEnds_Prot#'!$A:$AL,23,FALSE)</f>
        <v>168</v>
      </c>
      <c r="AK329" s="5">
        <f>VLOOKUP($A329,'NonXtal_SegEnds_Prot#'!$A:$AL,26,FALSE)</f>
        <v>183</v>
      </c>
      <c r="AL329" s="5">
        <f>VLOOKUP($A329,'NonXtal_SegEnds_Prot#'!$A:$AL,29,FALSE)</f>
        <v>226</v>
      </c>
      <c r="AM329" s="5">
        <f>VLOOKUP($A329,'NonXtal_SegEnds_Prot#'!$A:$AL,32,FALSE)</f>
        <v>278</v>
      </c>
      <c r="AN329" s="5">
        <f>VLOOKUP($A329,'NonXtal_SegEnds_Prot#'!$A:$AL,35,FALSE)</f>
        <v>307</v>
      </c>
      <c r="AO329" s="5">
        <f>VLOOKUP($A329,'NonXtal_SegEnds_Prot#'!$A:$AL,38,FALSE)</f>
        <v>319</v>
      </c>
      <c r="AP329" s="5">
        <f t="shared" si="138"/>
        <v>29</v>
      </c>
      <c r="AQ329" s="4">
        <f t="shared" si="139"/>
        <v>3</v>
      </c>
      <c r="AR329" s="4">
        <f t="shared" si="140"/>
        <v>31</v>
      </c>
      <c r="AS329" s="4" t="str">
        <f t="shared" si="141"/>
        <v>-</v>
      </c>
      <c r="AT329" s="4">
        <f t="shared" si="142"/>
        <v>38</v>
      </c>
      <c r="AU329" s="4">
        <f t="shared" si="143"/>
        <v>7</v>
      </c>
      <c r="AV329" s="4">
        <f t="shared" si="144"/>
        <v>25</v>
      </c>
      <c r="AW329" s="4">
        <f t="shared" si="145"/>
        <v>2</v>
      </c>
      <c r="AX329" s="4">
        <f t="shared" si="146"/>
        <v>39</v>
      </c>
      <c r="AY329" s="4">
        <f t="shared" si="147"/>
        <v>40</v>
      </c>
      <c r="AZ329" s="4">
        <f t="shared" si="148"/>
        <v>24</v>
      </c>
      <c r="BA329" s="4">
        <f t="shared" si="149"/>
        <v>11</v>
      </c>
    </row>
    <row r="330" spans="1:53" x14ac:dyDescent="0.2">
      <c r="A330" s="1" t="str">
        <f>'NonXtal_SegEnds_Prot#'!A322</f>
        <v>nk1r_human</v>
      </c>
      <c r="B330" s="1" t="str">
        <f t="shared" si="125"/>
        <v>QIVLWAAAYTVIVVTSVVGNVVVMWIILAHTVTNYFLVNLAFAEASMAAFNTVVNFTYAVHGLFYCKFHNFFPIAAVFASIYSMTAVAFDRYMAIIHATATKVVICVIWVLALLLAFPQGYYSKIYEKVYHICVTVLIYFLPLLVIGYAYTVVGITLWASEIPGDRYHEQVSAKRKVVKMMIVVVCTFAICWLPFHIFFLLPYINKKFIQQVYLAIMWLAMSSTMYNPIIYCCLNDRFRLGFKHAF</v>
      </c>
      <c r="C330" s="72" t="str">
        <f>IF(ISERROR(MATCH(A330,'Xtal_SegEnds_Prot#'!B:B, 0)), "NoXtal", "Xtal")</f>
        <v>NoXtal</v>
      </c>
      <c r="D330" s="4" t="str">
        <f>VLOOKUP(A330,Classification!A:D,2,FALSE)</f>
        <v>A</v>
      </c>
      <c r="E330" s="5" t="str">
        <f>VLOOKUP(A330,Seqs!A:B,2,FALSE)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330" s="5" t="str">
        <f t="shared" si="126"/>
        <v>QIVLWAAAYTVIVVTSVVGNVVVMWIILAH</v>
      </c>
      <c r="G330" s="4" t="str">
        <f t="shared" si="127"/>
        <v>KRMR</v>
      </c>
      <c r="H330" s="4" t="str">
        <f t="shared" si="128"/>
        <v>TVTNYFLVNLAFAEASMAAFNTVVNFTYAVH</v>
      </c>
      <c r="I330" s="4" t="str">
        <f t="shared" si="129"/>
        <v>EWYY</v>
      </c>
      <c r="J330" s="4" t="str">
        <f t="shared" si="130"/>
        <v>GLFYCKFHNFFPIAAVFASIYSMTAVAFDRYMAIIH</v>
      </c>
      <c r="K330" s="4" t="str">
        <f t="shared" si="131"/>
        <v>PLQPRLS</v>
      </c>
      <c r="L330" s="4" t="str">
        <f t="shared" si="132"/>
        <v>ATATKVVICVIWVLALLLAFPQGYYS</v>
      </c>
      <c r="M330" s="4" t="str">
        <f t="shared" si="133"/>
        <v>CMI</v>
      </c>
      <c r="N330" s="4" t="str">
        <f t="shared" si="134"/>
        <v>KIYEKVYHICVTVLIYFLPLLVIGYAYTVVGITLWASEIPGD</v>
      </c>
      <c r="O330" s="4" t="str">
        <f t="shared" si="135"/>
        <v>RYHEQVSAKRKVVKMMIVVVCTFAICWLPFHIFFLLPYIN</v>
      </c>
      <c r="P330" s="4" t="str">
        <f t="shared" si="136"/>
        <v>KKFIQQVYLAIMWLAMSSTMYNPIIYCCL</v>
      </c>
      <c r="Q330" s="4" t="str">
        <f t="shared" si="137"/>
        <v>NDRFRLGFKHAF</v>
      </c>
      <c r="R330" s="5">
        <f>VLOOKUP($A330,'NonXtal_SegEnds_Prot#'!$A:$AL,3,FALSE)</f>
        <v>31</v>
      </c>
      <c r="S330" s="5">
        <f>VLOOKUP($A330,'NonXtal_SegEnds_Prot#'!$A:$AL,6,FALSE)</f>
        <v>61</v>
      </c>
      <c r="T330" s="5">
        <f>VLOOKUP($A330,'NonXtal_SegEnds_Prot#'!$A:$AL,9,FALSE)</f>
        <v>65</v>
      </c>
      <c r="U330" s="5">
        <f>VLOOKUP($A330,'NonXtal_SegEnds_Prot#'!$A:$AL,12,FALSE)</f>
        <v>97</v>
      </c>
      <c r="V330" s="5">
        <f>VLOOKUP($A330,'NonXtal_SegEnds_Prot#'!$A:$AL,15,FALSE)</f>
        <v>101</v>
      </c>
      <c r="W330" s="5">
        <f>VLOOKUP($A330,'NonXtal_SegEnds_Prot#'!$A:$AL,18,FALSE)</f>
        <v>137</v>
      </c>
      <c r="X330" s="5">
        <f>VLOOKUP($A330,'NonXtal_SegEnds_Prot#'!$A:$AL,21,FALSE)</f>
        <v>144</v>
      </c>
      <c r="Y330" s="5">
        <f>VLOOKUP($A330,'NonXtal_SegEnds_Prot#'!$A:$AL,24,FALSE)</f>
        <v>180</v>
      </c>
      <c r="Z330" s="5">
        <f>VLOOKUP($A330,'NonXtal_SegEnds_Prot#'!$A:$AL,27,FALSE)</f>
        <v>190</v>
      </c>
      <c r="AA330" s="5">
        <f>VLOOKUP($A330,'NonXtal_SegEnds_Prot#'!$A:$AL,30,FALSE)</f>
        <v>235</v>
      </c>
      <c r="AB330" s="5">
        <f>VLOOKUP($A330,'NonXtal_SegEnds_Prot#'!$A:$AL,33,FALSE)</f>
        <v>280</v>
      </c>
      <c r="AC330" s="5">
        <f>VLOOKUP($A330,'NonXtal_SegEnds_Prot#'!$A:$AL,36,FALSE)</f>
        <v>309</v>
      </c>
      <c r="AD330" s="5">
        <f>VLOOKUP($A330,'NonXtal_SegEnds_Prot#'!$A:$AL,5,FALSE)</f>
        <v>60</v>
      </c>
      <c r="AE330" s="5">
        <f>VLOOKUP($A330,'NonXtal_SegEnds_Prot#'!$A:$AL,8,FALSE)</f>
        <v>64</v>
      </c>
      <c r="AF330" s="5">
        <f>VLOOKUP($A330,'NonXtal_SegEnds_Prot#'!$A:$AL,11,FALSE)</f>
        <v>95</v>
      </c>
      <c r="AG330" s="5">
        <f>VLOOKUP($A330,'NonXtal_SegEnds_Prot#'!$A:$AL,14,FALSE)</f>
        <v>100</v>
      </c>
      <c r="AH330" s="5">
        <f>VLOOKUP($A330,'NonXtal_SegEnds_Prot#'!$A:$AL,17,FALSE)</f>
        <v>136</v>
      </c>
      <c r="AI330" s="5">
        <f>VLOOKUP($A330,'NonXtal_SegEnds_Prot#'!$A:$AL,20,FALSE)</f>
        <v>143</v>
      </c>
      <c r="AJ330" s="5">
        <f>VLOOKUP($A330,'NonXtal_SegEnds_Prot#'!$A:$AL,23,FALSE)</f>
        <v>169</v>
      </c>
      <c r="AK330" s="5">
        <f>VLOOKUP($A330,'NonXtal_SegEnds_Prot#'!$A:$AL,26,FALSE)</f>
        <v>182</v>
      </c>
      <c r="AL330" s="5">
        <f>VLOOKUP($A330,'NonXtal_SegEnds_Prot#'!$A:$AL,29,FALSE)</f>
        <v>231</v>
      </c>
      <c r="AM330" s="5">
        <f>VLOOKUP($A330,'NonXtal_SegEnds_Prot#'!$A:$AL,32,FALSE)</f>
        <v>274</v>
      </c>
      <c r="AN330" s="5">
        <f>VLOOKUP($A330,'NonXtal_SegEnds_Prot#'!$A:$AL,35,FALSE)</f>
        <v>308</v>
      </c>
      <c r="AO330" s="5">
        <f>VLOOKUP($A330,'NonXtal_SegEnds_Prot#'!$A:$AL,38,FALSE)</f>
        <v>320</v>
      </c>
      <c r="AP330" s="5">
        <f t="shared" si="138"/>
        <v>29</v>
      </c>
      <c r="AQ330" s="4">
        <f t="shared" si="139"/>
        <v>3</v>
      </c>
      <c r="AR330" s="4">
        <f t="shared" si="140"/>
        <v>30</v>
      </c>
      <c r="AS330" s="4">
        <f t="shared" si="141"/>
        <v>3</v>
      </c>
      <c r="AT330" s="4">
        <f t="shared" si="142"/>
        <v>35</v>
      </c>
      <c r="AU330" s="4">
        <f t="shared" si="143"/>
        <v>6</v>
      </c>
      <c r="AV330" s="4">
        <f t="shared" si="144"/>
        <v>25</v>
      </c>
      <c r="AW330" s="4">
        <f t="shared" si="145"/>
        <v>2</v>
      </c>
      <c r="AX330" s="4">
        <f t="shared" si="146"/>
        <v>41</v>
      </c>
      <c r="AY330" s="4">
        <f t="shared" si="147"/>
        <v>39</v>
      </c>
      <c r="AZ330" s="4">
        <f t="shared" si="148"/>
        <v>28</v>
      </c>
      <c r="BA330" s="4">
        <f t="shared" si="149"/>
        <v>11</v>
      </c>
    </row>
    <row r="331" spans="1:53" x14ac:dyDescent="0.2">
      <c r="A331" s="1" t="str">
        <f>'NonXtal_SegEnds_Prot#'!A323</f>
        <v>mtr1l_human</v>
      </c>
      <c r="B331" s="1" t="str">
        <f t="shared" si="125"/>
        <v>LIIFMFCAMVITIVVDLIGNSMVILAVTKNNSGNIFVVSLSVADMLVAIYPYPLMLHAMSISQLQCQMVGFITGLSVVGSIFNIVAIAINRYCYICHVRNTCIYLVITWIMTVLAVLPNMYIGNPVFTVTIVCIHFVLPLLIVGFCYVRIWTKVLAARDPAPDNQLAEVRNFLTMFVIFLLFAVCWCPINVLTVLVAVSGKIPNWLYLAAYFIAYFNSCLNAVIYGLLNENFRREYWTIF</v>
      </c>
      <c r="C331" s="72" t="str">
        <f>IF(ISERROR(MATCH(A331,'Xtal_SegEnds_Prot#'!B:B, 0)), "NoXtal", "Xtal")</f>
        <v>NoXtal</v>
      </c>
      <c r="D331" s="4" t="str">
        <f>VLOOKUP(A331,Classification!A:D,2,FALSE)</f>
        <v>A</v>
      </c>
      <c r="E331" s="5" t="str">
        <f>VLOOKUP(A331,Seqs!A:B,2,FALSE)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331" s="5" t="str">
        <f t="shared" si="126"/>
        <v>LIIFMFCAMVITIVVDLIGNSMVILAVTKN</v>
      </c>
      <c r="G331" s="4" t="str">
        <f t="shared" si="127"/>
        <v>KKLR</v>
      </c>
      <c r="H331" s="4" t="str">
        <f t="shared" si="128"/>
        <v>NSGNIFVVSLSVADMLVAIYPYPLMLHAMSI</v>
      </c>
      <c r="I331" s="4" t="str">
        <f t="shared" si="129"/>
        <v>GWDL</v>
      </c>
      <c r="J331" s="4" t="str">
        <f t="shared" si="130"/>
        <v>SQLQCQMVGFITGLSVVGSIFNIVAIAINRYCYICH</v>
      </c>
      <c r="K331" s="4" t="str">
        <f t="shared" si="131"/>
        <v>SLQYERIF</v>
      </c>
      <c r="L331" s="4" t="str">
        <f t="shared" si="132"/>
        <v>VRNTCIYLVITWIMTVLAVLPNMYIG</v>
      </c>
      <c r="M331" s="4" t="str">
        <f t="shared" si="133"/>
        <v>CIF</v>
      </c>
      <c r="N331" s="4" t="str">
        <f t="shared" si="134"/>
        <v>NPVFTVTIVCIHFVLPLLIVGFCYVRIWTKVLAARDPA</v>
      </c>
      <c r="O331" s="4" t="str">
        <f t="shared" si="135"/>
        <v>PDNQLAEVRNFLTMFVIFLLFAVCWCPINVLTVLVAVS</v>
      </c>
      <c r="P331" s="4" t="str">
        <f t="shared" si="136"/>
        <v>GKIPNWLYLAAYFIAYFNSCLNAVIYGLL</v>
      </c>
      <c r="Q331" s="4" t="str">
        <f t="shared" si="137"/>
        <v>NENFRREYWTIF</v>
      </c>
      <c r="R331" s="5">
        <f>VLOOKUP($A331,'NonXtal_SegEnds_Prot#'!$A:$AL,3,FALSE)</f>
        <v>27</v>
      </c>
      <c r="S331" s="5">
        <f>VLOOKUP($A331,'NonXtal_SegEnds_Prot#'!$A:$AL,6,FALSE)</f>
        <v>57</v>
      </c>
      <c r="T331" s="5">
        <f>VLOOKUP($A331,'NonXtal_SegEnds_Prot#'!$A:$AL,9,FALSE)</f>
        <v>61</v>
      </c>
      <c r="U331" s="5">
        <f>VLOOKUP($A331,'NonXtal_SegEnds_Prot#'!$A:$AL,12,FALSE)</f>
        <v>93</v>
      </c>
      <c r="V331" s="5">
        <f>VLOOKUP($A331,'NonXtal_SegEnds_Prot#'!$A:$AL,15,FALSE)</f>
        <v>97</v>
      </c>
      <c r="W331" s="5">
        <f>VLOOKUP($A331,'NonXtal_SegEnds_Prot#'!$A:$AL,18,FALSE)</f>
        <v>133</v>
      </c>
      <c r="X331" s="5">
        <f>VLOOKUP($A331,'NonXtal_SegEnds_Prot#'!$A:$AL,21,FALSE)</f>
        <v>142</v>
      </c>
      <c r="Y331" s="5">
        <f>VLOOKUP($A331,'NonXtal_SegEnds_Prot#'!$A:$AL,24,FALSE)</f>
        <v>178</v>
      </c>
      <c r="Z331" s="5">
        <f>VLOOKUP($A331,'NonXtal_SegEnds_Prot#'!$A:$AL,27,FALSE)</f>
        <v>185</v>
      </c>
      <c r="AA331" s="5">
        <f>VLOOKUP($A331,'NonXtal_SegEnds_Prot#'!$A:$AL,30,FALSE)</f>
        <v>226</v>
      </c>
      <c r="AB331" s="5">
        <f>VLOOKUP($A331,'NonXtal_SegEnds_Prot#'!$A:$AL,33,FALSE)</f>
        <v>269</v>
      </c>
      <c r="AC331" s="5">
        <f>VLOOKUP($A331,'NonXtal_SegEnds_Prot#'!$A:$AL,36,FALSE)</f>
        <v>298</v>
      </c>
      <c r="AD331" s="5">
        <f>VLOOKUP($A331,'NonXtal_SegEnds_Prot#'!$A:$AL,5,FALSE)</f>
        <v>56</v>
      </c>
      <c r="AE331" s="5">
        <f>VLOOKUP($A331,'NonXtal_SegEnds_Prot#'!$A:$AL,8,FALSE)</f>
        <v>60</v>
      </c>
      <c r="AF331" s="5">
        <f>VLOOKUP($A331,'NonXtal_SegEnds_Prot#'!$A:$AL,11,FALSE)</f>
        <v>91</v>
      </c>
      <c r="AG331" s="5">
        <f>VLOOKUP($A331,'NonXtal_SegEnds_Prot#'!$A:$AL,14,FALSE)</f>
        <v>96</v>
      </c>
      <c r="AH331" s="5">
        <f>VLOOKUP($A331,'NonXtal_SegEnds_Prot#'!$A:$AL,17,FALSE)</f>
        <v>132</v>
      </c>
      <c r="AI331" s="5">
        <f>VLOOKUP($A331,'NonXtal_SegEnds_Prot#'!$A:$AL,20,FALSE)</f>
        <v>140</v>
      </c>
      <c r="AJ331" s="5">
        <f>VLOOKUP($A331,'NonXtal_SegEnds_Prot#'!$A:$AL,23,FALSE)</f>
        <v>167</v>
      </c>
      <c r="AK331" s="5">
        <f>VLOOKUP($A331,'NonXtal_SegEnds_Prot#'!$A:$AL,26,FALSE)</f>
        <v>180</v>
      </c>
      <c r="AL331" s="5">
        <f>VLOOKUP($A331,'NonXtal_SegEnds_Prot#'!$A:$AL,29,FALSE)</f>
        <v>222</v>
      </c>
      <c r="AM331" s="5">
        <f>VLOOKUP($A331,'NonXtal_SegEnds_Prot#'!$A:$AL,32,FALSE)</f>
        <v>263</v>
      </c>
      <c r="AN331" s="5">
        <f>VLOOKUP($A331,'NonXtal_SegEnds_Prot#'!$A:$AL,35,FALSE)</f>
        <v>297</v>
      </c>
      <c r="AO331" s="5">
        <f>VLOOKUP($A331,'NonXtal_SegEnds_Prot#'!$A:$AL,38,FALSE)</f>
        <v>309</v>
      </c>
      <c r="AP331" s="5">
        <f t="shared" si="138"/>
        <v>29</v>
      </c>
      <c r="AQ331" s="4">
        <f t="shared" si="139"/>
        <v>3</v>
      </c>
      <c r="AR331" s="4">
        <f t="shared" si="140"/>
        <v>30</v>
      </c>
      <c r="AS331" s="4">
        <f t="shared" si="141"/>
        <v>3</v>
      </c>
      <c r="AT331" s="4">
        <f t="shared" si="142"/>
        <v>35</v>
      </c>
      <c r="AU331" s="4">
        <f t="shared" si="143"/>
        <v>7</v>
      </c>
      <c r="AV331" s="4">
        <f t="shared" si="144"/>
        <v>25</v>
      </c>
      <c r="AW331" s="4">
        <f t="shared" si="145"/>
        <v>2</v>
      </c>
      <c r="AX331" s="4">
        <f t="shared" si="146"/>
        <v>37</v>
      </c>
      <c r="AY331" s="4">
        <f t="shared" si="147"/>
        <v>37</v>
      </c>
      <c r="AZ331" s="4">
        <f t="shared" si="148"/>
        <v>28</v>
      </c>
      <c r="BA331" s="4">
        <f t="shared" si="149"/>
        <v>11</v>
      </c>
    </row>
    <row r="332" spans="1:53" x14ac:dyDescent="0.2">
      <c r="A332" s="1" t="str">
        <f>'NonXtal_SegEnds_Prot#'!A325</f>
        <v>gpr26_human</v>
      </c>
      <c r="B332" s="1" t="str">
        <f t="shared" si="125"/>
        <v>WDAGLAGLLVGTMGVSLLSNALVLLCLLHSRQAPALFTLNLTCGNLLCTVVNMPLTLAGVVAQPAGDRLCRLAAFLDTFLAANSMLSMAALSIDRWVAVVFLRDAALMVAYTWLHALTFPAAALALSFAVFTGAFHALSFLLSFVVLCCTYLKVLKVARFHCKRIDVITEEQKRRRQRATKKISTFIGTFLVCFAPYVITRLVELFSGSHWGVLSKCLAYSKAASDPFVYSLLRHQYRKSCKEIL</v>
      </c>
      <c r="C332" s="72" t="str">
        <f>IF(ISERROR(MATCH(A332,'Xtal_SegEnds_Prot#'!B:B, 0)), "NoXtal", "Xtal")</f>
        <v>NoXtal</v>
      </c>
      <c r="D332" s="4" t="str">
        <f>VLOOKUP(A332,Classification!A:D,2,FALSE)</f>
        <v>A</v>
      </c>
      <c r="E332" s="5" t="str">
        <f>VLOOKUP(A332,Seqs!A:B,2,FALSE)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332" s="5" t="str">
        <f t="shared" si="126"/>
        <v>WDAGLAGLLVGTMGVSLLSNALVLLCLLHS</v>
      </c>
      <c r="G332" s="4" t="str">
        <f t="shared" si="127"/>
        <v>ADIR</v>
      </c>
      <c r="H332" s="4" t="str">
        <f t="shared" si="128"/>
        <v>RQAPALFTLNLTCGNLLCTVVNMPLTLAGVVA</v>
      </c>
      <c r="I332" s="4" t="str">
        <f t="shared" si="129"/>
        <v/>
      </c>
      <c r="J332" s="4" t="str">
        <f t="shared" si="130"/>
        <v>QPAGDRLCRLAAFLDTFLAANSMLSMAALSIDRWVAVVF</v>
      </c>
      <c r="K332" s="4" t="str">
        <f t="shared" si="131"/>
        <v>PLSYRAKM</v>
      </c>
      <c r="L332" s="4" t="str">
        <f t="shared" si="132"/>
        <v>LRDAALMVAYTWLHALTFPAAALALS</v>
      </c>
      <c r="M332" s="4" t="str">
        <f t="shared" si="133"/>
        <v>CSR</v>
      </c>
      <c r="N332" s="4" t="str">
        <f t="shared" si="134"/>
        <v>FAVFTGAFHALSFLLSFVVLCCTYLKVLKVARFHCKRIDVIT</v>
      </c>
      <c r="O332" s="4" t="str">
        <f t="shared" si="135"/>
        <v>EEQKRRRQRATKKISTFIGTFLVCFAPYVITRLVELFS</v>
      </c>
      <c r="P332" s="4" t="str">
        <f t="shared" si="136"/>
        <v>GSHWGVLSKCLAYSKAASDPFVYSLL</v>
      </c>
      <c r="Q332" s="4" t="str">
        <f t="shared" si="137"/>
        <v>RHQYRKSCKEIL</v>
      </c>
      <c r="R332" s="5">
        <f>VLOOKUP($A332,'NonXtal_SegEnds_Prot#'!$A:$AL,3,FALSE)</f>
        <v>4</v>
      </c>
      <c r="S332" s="5">
        <f>VLOOKUP($A332,'NonXtal_SegEnds_Prot#'!$A:$AL,6,FALSE)</f>
        <v>34</v>
      </c>
      <c r="T332" s="5">
        <f>VLOOKUP($A332,'NonXtal_SegEnds_Prot#'!$A:$AL,9,FALSE)</f>
        <v>38</v>
      </c>
      <c r="U332" s="5" t="str">
        <f>VLOOKUP($A332,'NonXtal_SegEnds_Prot#'!$A:$AL,12,FALSE)</f>
        <v>-</v>
      </c>
      <c r="V332" s="5">
        <f>VLOOKUP($A332,'NonXtal_SegEnds_Prot#'!$A:$AL,15,FALSE)</f>
        <v>72</v>
      </c>
      <c r="W332" s="5">
        <f>VLOOKUP($A332,'NonXtal_SegEnds_Prot#'!$A:$AL,18,FALSE)</f>
        <v>111</v>
      </c>
      <c r="X332" s="5">
        <f>VLOOKUP($A332,'NonXtal_SegEnds_Prot#'!$A:$AL,21,FALSE)</f>
        <v>120</v>
      </c>
      <c r="Y332" s="5">
        <f>VLOOKUP($A332,'NonXtal_SegEnds_Prot#'!$A:$AL,24,FALSE)</f>
        <v>159</v>
      </c>
      <c r="Z332" s="5">
        <f>VLOOKUP($A332,'NonXtal_SegEnds_Prot#'!$A:$AL,27,FALSE)</f>
        <v>169</v>
      </c>
      <c r="AA332" s="5">
        <f>VLOOKUP($A332,'NonXtal_SegEnds_Prot#'!$A:$AL,30,FALSE)</f>
        <v>230</v>
      </c>
      <c r="AB332" s="5">
        <f>VLOOKUP($A332,'NonXtal_SegEnds_Prot#'!$A:$AL,33,FALSE)</f>
        <v>272</v>
      </c>
      <c r="AC332" s="5">
        <f>VLOOKUP($A332,'NonXtal_SegEnds_Prot#'!$A:$AL,36,FALSE)</f>
        <v>298</v>
      </c>
      <c r="AD332" s="5">
        <f>VLOOKUP($A332,'NonXtal_SegEnds_Prot#'!$A:$AL,5,FALSE)</f>
        <v>33</v>
      </c>
      <c r="AE332" s="5">
        <f>VLOOKUP($A332,'NonXtal_SegEnds_Prot#'!$A:$AL,8,FALSE)</f>
        <v>37</v>
      </c>
      <c r="AF332" s="5">
        <f>VLOOKUP($A332,'NonXtal_SegEnds_Prot#'!$A:$AL,11,FALSE)</f>
        <v>69</v>
      </c>
      <c r="AG332" s="5" t="str">
        <f>VLOOKUP($A332,'NonXtal_SegEnds_Prot#'!$A:$AL,14,FALSE)</f>
        <v>-</v>
      </c>
      <c r="AH332" s="5">
        <f>VLOOKUP($A332,'NonXtal_SegEnds_Prot#'!$A:$AL,17,FALSE)</f>
        <v>110</v>
      </c>
      <c r="AI332" s="5">
        <f>VLOOKUP($A332,'NonXtal_SegEnds_Prot#'!$A:$AL,20,FALSE)</f>
        <v>118</v>
      </c>
      <c r="AJ332" s="5">
        <f>VLOOKUP($A332,'NonXtal_SegEnds_Prot#'!$A:$AL,23,FALSE)</f>
        <v>145</v>
      </c>
      <c r="AK332" s="5">
        <f>VLOOKUP($A332,'NonXtal_SegEnds_Prot#'!$A:$AL,26,FALSE)</f>
        <v>161</v>
      </c>
      <c r="AL332" s="5">
        <f>VLOOKUP($A332,'NonXtal_SegEnds_Prot#'!$A:$AL,29,FALSE)</f>
        <v>210</v>
      </c>
      <c r="AM332" s="5">
        <f>VLOOKUP($A332,'NonXtal_SegEnds_Prot#'!$A:$AL,32,FALSE)</f>
        <v>267</v>
      </c>
      <c r="AN332" s="5">
        <f>VLOOKUP($A332,'NonXtal_SegEnds_Prot#'!$A:$AL,35,FALSE)</f>
        <v>297</v>
      </c>
      <c r="AO332" s="5">
        <f>VLOOKUP($A332,'NonXtal_SegEnds_Prot#'!$A:$AL,38,FALSE)</f>
        <v>309</v>
      </c>
      <c r="AP332" s="5">
        <f t="shared" si="138"/>
        <v>29</v>
      </c>
      <c r="AQ332" s="4">
        <f t="shared" si="139"/>
        <v>3</v>
      </c>
      <c r="AR332" s="4">
        <f t="shared" si="140"/>
        <v>31</v>
      </c>
      <c r="AS332" s="4" t="str">
        <f t="shared" si="141"/>
        <v>-</v>
      </c>
      <c r="AT332" s="4">
        <f t="shared" si="142"/>
        <v>38</v>
      </c>
      <c r="AU332" s="4">
        <f t="shared" si="143"/>
        <v>7</v>
      </c>
      <c r="AV332" s="4">
        <f t="shared" si="144"/>
        <v>25</v>
      </c>
      <c r="AW332" s="4">
        <f t="shared" si="145"/>
        <v>2</v>
      </c>
      <c r="AX332" s="4">
        <f t="shared" si="146"/>
        <v>41</v>
      </c>
      <c r="AY332" s="4">
        <f t="shared" si="147"/>
        <v>37</v>
      </c>
      <c r="AZ332" s="4">
        <f t="shared" si="148"/>
        <v>25</v>
      </c>
      <c r="BA332" s="4">
        <f t="shared" si="149"/>
        <v>11</v>
      </c>
    </row>
    <row r="333" spans="1:53" x14ac:dyDescent="0.2">
      <c r="A333" s="1" t="str">
        <f>'NonXtal_SegEnds_Prot#'!A326</f>
        <v>mas_human</v>
      </c>
      <c r="B333" s="1" t="str">
        <f t="shared" si="125"/>
        <v>RQIPIVHWVIMSISPVGFVENGILLWFLCFRNPFTVYITHLSIADISLLFCIFILSIDYALDSSGHYYTIVTLSVTFLFGYNTGLYLLTAISVERCLSVLYKYQSALVCALLWALSCLVTTMEYVMCDCRAVIIFIAILSFLVFTPLMLVSSTILVVKIRKNTWSSKLYIVIMVTIIIFLIFAMPMRLLYLLYYEYGNLHHISLLFSTINSSANPFIYFFVGSSKKKRFKESLK</v>
      </c>
      <c r="C333" s="72" t="str">
        <f>IF(ISERROR(MATCH(A333,'Xtal_SegEnds_Prot#'!B:B, 0)), "NoXtal", "Xtal")</f>
        <v>NoXtal</v>
      </c>
      <c r="D333" s="4" t="str">
        <f>VLOOKUP(A333,Classification!A:D,2,FALSE)</f>
        <v>A</v>
      </c>
      <c r="E333" s="5" t="str">
        <f>VLOOKUP(A333,Seqs!A:B,2,FALSE)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333" s="5" t="str">
        <f t="shared" si="126"/>
        <v>RQIPIVHWVIMSISPVGFVENGILLWFLCFR</v>
      </c>
      <c r="G333" s="4" t="str">
        <f t="shared" si="127"/>
        <v/>
      </c>
      <c r="H333" s="4" t="str">
        <f t="shared" si="128"/>
        <v>NPFTVYITHLSIADISLLFCIFILSIDYALD</v>
      </c>
      <c r="I333" s="4" t="str">
        <f t="shared" si="129"/>
        <v/>
      </c>
      <c r="J333" s="4" t="str">
        <f t="shared" si="130"/>
        <v>SSGHYYTIVTLSVTFLFGYNTGLYLLTAISVERCLSVLY</v>
      </c>
      <c r="K333" s="4" t="str">
        <f t="shared" si="131"/>
        <v>PIWYRCHR</v>
      </c>
      <c r="L333" s="4" t="str">
        <f t="shared" si="132"/>
        <v>KYQSALVCALLWALSCLVTTMEYVMC</v>
      </c>
      <c r="M333" s="4" t="str">
        <f t="shared" si="133"/>
        <v/>
      </c>
      <c r="N333" s="4" t="str">
        <f t="shared" si="134"/>
        <v>DCRAVIIFIAILSFLVFTPLMLVSSTILVVKIRKNTW</v>
      </c>
      <c r="O333" s="4" t="str">
        <f t="shared" si="135"/>
        <v>SSKLYIVIMVTIIIFLIFAMPMRLLYLLYYEY</v>
      </c>
      <c r="P333" s="4" t="str">
        <f t="shared" si="136"/>
        <v>GNLHHISLLFSTINSSANPFIYFFV</v>
      </c>
      <c r="Q333" s="4" t="str">
        <f t="shared" si="137"/>
        <v>GSSKKKRFKESLK</v>
      </c>
      <c r="R333" s="5">
        <f>VLOOKUP($A333,'NonXtal_SegEnds_Prot#'!$A:$AL,3,FALSE)</f>
        <v>30</v>
      </c>
      <c r="S333" s="5" t="str">
        <f>VLOOKUP($A333,'NonXtal_SegEnds_Prot#'!$A:$AL,6,FALSE)</f>
        <v>-</v>
      </c>
      <c r="T333" s="5">
        <f>VLOOKUP($A333,'NonXtal_SegEnds_Prot#'!$A:$AL,9,FALSE)</f>
        <v>64</v>
      </c>
      <c r="U333" s="5" t="str">
        <f>VLOOKUP($A333,'NonXtal_SegEnds_Prot#'!$A:$AL,12,FALSE)</f>
        <v>-</v>
      </c>
      <c r="V333" s="5">
        <f>VLOOKUP($A333,'NonXtal_SegEnds_Prot#'!$A:$AL,15,FALSE)</f>
        <v>98</v>
      </c>
      <c r="W333" s="5">
        <f>VLOOKUP($A333,'NonXtal_SegEnds_Prot#'!$A:$AL,18,FALSE)</f>
        <v>137</v>
      </c>
      <c r="X333" s="5">
        <f>VLOOKUP($A333,'NonXtal_SegEnds_Prot#'!$A:$AL,21,FALSE)</f>
        <v>146</v>
      </c>
      <c r="Y333" s="5" t="str">
        <f>VLOOKUP($A333,'NonXtal_SegEnds_Prot#'!$A:$AL,24,FALSE)</f>
        <v>-</v>
      </c>
      <c r="Z333" s="5">
        <f>VLOOKUP($A333,'NonXtal_SegEnds_Prot#'!$A:$AL,27,FALSE)</f>
        <v>183</v>
      </c>
      <c r="AA333" s="5">
        <f>VLOOKUP($A333,'NonXtal_SegEnds_Prot#'!$A:$AL,30,FALSE)</f>
        <v>223</v>
      </c>
      <c r="AB333" s="5">
        <f>VLOOKUP($A333,'NonXtal_SegEnds_Prot#'!$A:$AL,33,FALSE)</f>
        <v>259</v>
      </c>
      <c r="AC333" s="5">
        <f>VLOOKUP($A333,'NonXtal_SegEnds_Prot#'!$A:$AL,36,FALSE)</f>
        <v>284</v>
      </c>
      <c r="AD333" s="5">
        <f>VLOOKUP($A333,'NonXtal_SegEnds_Prot#'!$A:$AL,5,FALSE)</f>
        <v>60</v>
      </c>
      <c r="AE333" s="5" t="str">
        <f>VLOOKUP($A333,'NonXtal_SegEnds_Prot#'!$A:$AL,8,FALSE)</f>
        <v>-</v>
      </c>
      <c r="AF333" s="5">
        <f>VLOOKUP($A333,'NonXtal_SegEnds_Prot#'!$A:$AL,11,FALSE)</f>
        <v>94</v>
      </c>
      <c r="AG333" s="5" t="str">
        <f>VLOOKUP($A333,'NonXtal_SegEnds_Prot#'!$A:$AL,14,FALSE)</f>
        <v>-</v>
      </c>
      <c r="AH333" s="5">
        <f>VLOOKUP($A333,'NonXtal_SegEnds_Prot#'!$A:$AL,17,FALSE)</f>
        <v>136</v>
      </c>
      <c r="AI333" s="5">
        <f>VLOOKUP($A333,'NonXtal_SegEnds_Prot#'!$A:$AL,20,FALSE)</f>
        <v>144</v>
      </c>
      <c r="AJ333" s="5">
        <f>VLOOKUP($A333,'NonXtal_SegEnds_Prot#'!$A:$AL,23,FALSE)</f>
        <v>171</v>
      </c>
      <c r="AK333" s="5" t="str">
        <f>VLOOKUP($A333,'NonXtal_SegEnds_Prot#'!$A:$AL,26,FALSE)</f>
        <v>-</v>
      </c>
      <c r="AL333" s="5">
        <f>VLOOKUP($A333,'NonXtal_SegEnds_Prot#'!$A:$AL,29,FALSE)</f>
        <v>219</v>
      </c>
      <c r="AM333" s="5">
        <f>VLOOKUP($A333,'NonXtal_SegEnds_Prot#'!$A:$AL,32,FALSE)</f>
        <v>254</v>
      </c>
      <c r="AN333" s="5">
        <f>VLOOKUP($A333,'NonXtal_SegEnds_Prot#'!$A:$AL,35,FALSE)</f>
        <v>283</v>
      </c>
      <c r="AO333" s="5">
        <f>VLOOKUP($A333,'NonXtal_SegEnds_Prot#'!$A:$AL,38,FALSE)</f>
        <v>296</v>
      </c>
      <c r="AP333" s="5">
        <f t="shared" si="138"/>
        <v>30</v>
      </c>
      <c r="AQ333" s="4" t="str">
        <f t="shared" si="139"/>
        <v>-</v>
      </c>
      <c r="AR333" s="4">
        <f t="shared" si="140"/>
        <v>30</v>
      </c>
      <c r="AS333" s="4" t="str">
        <f t="shared" si="141"/>
        <v>-</v>
      </c>
      <c r="AT333" s="4">
        <f t="shared" si="142"/>
        <v>38</v>
      </c>
      <c r="AU333" s="4">
        <f t="shared" si="143"/>
        <v>7</v>
      </c>
      <c r="AV333" s="4">
        <f t="shared" si="144"/>
        <v>25</v>
      </c>
      <c r="AW333" s="4" t="str">
        <f t="shared" si="145"/>
        <v>-</v>
      </c>
      <c r="AX333" s="4">
        <f t="shared" si="146"/>
        <v>36</v>
      </c>
      <c r="AY333" s="4">
        <f t="shared" si="147"/>
        <v>31</v>
      </c>
      <c r="AZ333" s="4">
        <f t="shared" si="148"/>
        <v>24</v>
      </c>
      <c r="BA333" s="4">
        <f t="shared" si="149"/>
        <v>12</v>
      </c>
    </row>
    <row r="334" spans="1:53" x14ac:dyDescent="0.2">
      <c r="A334" s="1" t="str">
        <f>'NonXtal_SegEnds_Prot#'!A327</f>
        <v>mas1l_human</v>
      </c>
      <c r="B334" s="1" t="str">
        <f t="shared" si="125"/>
        <v>LPLNIIAPKAVLVSLCGVLLNGTVFWLLCCGNPYMVYILHLVAADVIYLCCSAVGFLQVTLHGVVFFIPDFLAILSPFSFEVCLCLLVAISTERCVCVLFKYTSNVVCTLIWGLPFCINIVKSLFLKACVIFLKLSGLFHAILSLVMCVSSLTLLIRFLCCSQATRVYAVVQISAPMFLLWALPLSVAPLITDFKTSYLISLFLIINSSANPIIYFFVGSLRKKRLKESLR</v>
      </c>
      <c r="C334" s="72" t="str">
        <f>IF(ISERROR(MATCH(A334,'Xtal_SegEnds_Prot#'!B:B, 0)), "NoXtal", "Xtal")</f>
        <v>NoXtal</v>
      </c>
      <c r="D334" s="4" t="str">
        <f>VLOOKUP(A334,Classification!A:D,2,FALSE)</f>
        <v>A</v>
      </c>
      <c r="E334" s="5" t="str">
        <f>VLOOKUP(A334,Seqs!A:B,2,FALSE)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334" s="5" t="str">
        <f t="shared" si="126"/>
        <v>LPLNIIAPKAVLVSLCGVLLNGTVFWLLCCG</v>
      </c>
      <c r="G334" s="4" t="str">
        <f t="shared" si="127"/>
        <v/>
      </c>
      <c r="H334" s="4" t="str">
        <f t="shared" si="128"/>
        <v>NPYMVYILHLVAADVIYLCCSAVGFLQVTL</v>
      </c>
      <c r="I334" s="4" t="str">
        <f t="shared" si="129"/>
        <v/>
      </c>
      <c r="J334" s="4" t="str">
        <f t="shared" si="130"/>
        <v>HGVVFFIPDFLAILSPFSFEVCLCLLVAISTERCVCVLF</v>
      </c>
      <c r="K334" s="4" t="str">
        <f t="shared" si="131"/>
        <v>PIWYRCHR</v>
      </c>
      <c r="L334" s="4" t="str">
        <f t="shared" si="132"/>
        <v>KYTSNVVCTLIWGLPFCINIVKSLFL</v>
      </c>
      <c r="M334" s="4" t="str">
        <f t="shared" si="133"/>
        <v/>
      </c>
      <c r="N334" s="4" t="str">
        <f t="shared" si="134"/>
        <v>KACVIFLKLSGLFHAILSLVMCVSSLTLLIRFLCCSQ</v>
      </c>
      <c r="O334" s="4" t="str">
        <f t="shared" si="135"/>
        <v>ATRVYAVVQISAPMFLLWALPLSVAPLITDFK</v>
      </c>
      <c r="P334" s="4" t="str">
        <f t="shared" si="136"/>
        <v>TSYLISLFLIINSSANPIIYFFV</v>
      </c>
      <c r="Q334" s="4" t="str">
        <f t="shared" si="137"/>
        <v>GSLRKKRLKESLR</v>
      </c>
      <c r="R334" s="5">
        <f>VLOOKUP($A334,'NonXtal_SegEnds_Prot#'!$A:$AL,3,FALSE)</f>
        <v>73</v>
      </c>
      <c r="S334" s="5" t="str">
        <f>VLOOKUP($A334,'NonXtal_SegEnds_Prot#'!$A:$AL,6,FALSE)</f>
        <v>-</v>
      </c>
      <c r="T334" s="5">
        <f>VLOOKUP($A334,'NonXtal_SegEnds_Prot#'!$A:$AL,9,FALSE)</f>
        <v>106</v>
      </c>
      <c r="U334" s="5" t="str">
        <f>VLOOKUP($A334,'NonXtal_SegEnds_Prot#'!$A:$AL,12,FALSE)</f>
        <v>-</v>
      </c>
      <c r="V334" s="5">
        <f>VLOOKUP($A334,'NonXtal_SegEnds_Prot#'!$A:$AL,15,FALSE)</f>
        <v>139</v>
      </c>
      <c r="W334" s="5">
        <f>VLOOKUP($A334,'NonXtal_SegEnds_Prot#'!$A:$AL,18,FALSE)</f>
        <v>178</v>
      </c>
      <c r="X334" s="5">
        <f>VLOOKUP($A334,'NonXtal_SegEnds_Prot#'!$A:$AL,21,FALSE)</f>
        <v>187</v>
      </c>
      <c r="Y334" s="5" t="str">
        <f>VLOOKUP($A334,'NonXtal_SegEnds_Prot#'!$A:$AL,24,FALSE)</f>
        <v>-</v>
      </c>
      <c r="Z334" s="5">
        <f>VLOOKUP($A334,'NonXtal_SegEnds_Prot#'!$A:$AL,27,FALSE)</f>
        <v>219</v>
      </c>
      <c r="AA334" s="5">
        <f>VLOOKUP($A334,'NonXtal_SegEnds_Prot#'!$A:$AL,30,FALSE)</f>
        <v>259</v>
      </c>
      <c r="AB334" s="5">
        <f>VLOOKUP($A334,'NonXtal_SegEnds_Prot#'!$A:$AL,33,FALSE)</f>
        <v>295</v>
      </c>
      <c r="AC334" s="5">
        <f>VLOOKUP($A334,'NonXtal_SegEnds_Prot#'!$A:$AL,36,FALSE)</f>
        <v>318</v>
      </c>
      <c r="AD334" s="5">
        <f>VLOOKUP($A334,'NonXtal_SegEnds_Prot#'!$A:$AL,5,FALSE)</f>
        <v>103</v>
      </c>
      <c r="AE334" s="5" t="str">
        <f>VLOOKUP($A334,'NonXtal_SegEnds_Prot#'!$A:$AL,8,FALSE)</f>
        <v>-</v>
      </c>
      <c r="AF334" s="5">
        <f>VLOOKUP($A334,'NonXtal_SegEnds_Prot#'!$A:$AL,11,FALSE)</f>
        <v>135</v>
      </c>
      <c r="AG334" s="5" t="str">
        <f>VLOOKUP($A334,'NonXtal_SegEnds_Prot#'!$A:$AL,14,FALSE)</f>
        <v>-</v>
      </c>
      <c r="AH334" s="5">
        <f>VLOOKUP($A334,'NonXtal_SegEnds_Prot#'!$A:$AL,17,FALSE)</f>
        <v>177</v>
      </c>
      <c r="AI334" s="5">
        <f>VLOOKUP($A334,'NonXtal_SegEnds_Prot#'!$A:$AL,20,FALSE)</f>
        <v>185</v>
      </c>
      <c r="AJ334" s="5">
        <f>VLOOKUP($A334,'NonXtal_SegEnds_Prot#'!$A:$AL,23,FALSE)</f>
        <v>212</v>
      </c>
      <c r="AK334" s="5" t="str">
        <f>VLOOKUP($A334,'NonXtal_SegEnds_Prot#'!$A:$AL,26,FALSE)</f>
        <v>-</v>
      </c>
      <c r="AL334" s="5">
        <f>VLOOKUP($A334,'NonXtal_SegEnds_Prot#'!$A:$AL,29,FALSE)</f>
        <v>255</v>
      </c>
      <c r="AM334" s="5">
        <f>VLOOKUP($A334,'NonXtal_SegEnds_Prot#'!$A:$AL,32,FALSE)</f>
        <v>290</v>
      </c>
      <c r="AN334" s="5">
        <f>VLOOKUP($A334,'NonXtal_SegEnds_Prot#'!$A:$AL,35,FALSE)</f>
        <v>317</v>
      </c>
      <c r="AO334" s="5">
        <f>VLOOKUP($A334,'NonXtal_SegEnds_Prot#'!$A:$AL,38,FALSE)</f>
        <v>330</v>
      </c>
      <c r="AP334" s="5">
        <f t="shared" si="138"/>
        <v>30</v>
      </c>
      <c r="AQ334" s="4" t="str">
        <f t="shared" si="139"/>
        <v>-</v>
      </c>
      <c r="AR334" s="4">
        <f t="shared" si="140"/>
        <v>29</v>
      </c>
      <c r="AS334" s="4" t="str">
        <f t="shared" si="141"/>
        <v>-</v>
      </c>
      <c r="AT334" s="4">
        <f t="shared" si="142"/>
        <v>38</v>
      </c>
      <c r="AU334" s="4">
        <f t="shared" si="143"/>
        <v>7</v>
      </c>
      <c r="AV334" s="4">
        <f t="shared" si="144"/>
        <v>25</v>
      </c>
      <c r="AW334" s="4" t="str">
        <f t="shared" si="145"/>
        <v>-</v>
      </c>
      <c r="AX334" s="4">
        <f t="shared" si="146"/>
        <v>36</v>
      </c>
      <c r="AY334" s="4">
        <f t="shared" si="147"/>
        <v>31</v>
      </c>
      <c r="AZ334" s="4">
        <f t="shared" si="148"/>
        <v>22</v>
      </c>
      <c r="BA334" s="4">
        <f t="shared" si="149"/>
        <v>12</v>
      </c>
    </row>
    <row r="335" spans="1:53" x14ac:dyDescent="0.2">
      <c r="A335" s="1" t="str">
        <f>'NonXtal_SegEnds_Prot#'!A328</f>
        <v>mrgrd_human</v>
      </c>
      <c r="B335" s="1" t="str">
        <f t="shared" si="125"/>
        <v>TAYLVLSSLAMFTCLCGMAGNSMVIWLLGFRNPFCIYILNLAAADLLFLFSMASTLSLETQVNTTDKVHELMKRLMYFAYTVGLSLLTAISTQRCLSVLFRHLSAWVCGLLWTLCLLMNGLTSSFCRCFRVDMVQAALIMGVLTPVMTLSSLTLFVWVRRSSQPTRLFVVVLASVLVFLICSLPLSIYWFVLYWLQVLCFSLSRLSSSVSSSANPVIYFLVGSRRSHRLPTRSL</v>
      </c>
      <c r="C335" s="72" t="str">
        <f>IF(ISERROR(MATCH(A335,'Xtal_SegEnds_Prot#'!B:B, 0)), "NoXtal", "Xtal")</f>
        <v>NoXtal</v>
      </c>
      <c r="D335" s="4" t="str">
        <f>VLOOKUP(A335,Classification!A:D,2,FALSE)</f>
        <v>A</v>
      </c>
      <c r="E335" s="5" t="str">
        <f>VLOOKUP(A335,Seqs!A:B,2,FALSE)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335" s="5" t="str">
        <f t="shared" si="126"/>
        <v>TAYLVLSSLAMFTCLCGMAGNSMVIWLLGFR</v>
      </c>
      <c r="G335" s="4" t="str">
        <f t="shared" si="127"/>
        <v/>
      </c>
      <c r="H335" s="4" t="str">
        <f t="shared" si="128"/>
        <v>NPFCIYILNLAAADLLFLFSMASTLSLETQ</v>
      </c>
      <c r="I335" s="4" t="str">
        <f t="shared" si="129"/>
        <v/>
      </c>
      <c r="J335" s="4" t="str">
        <f t="shared" si="130"/>
        <v>VNTTDKVHELMKRLMYFAYTVGLSLLTAISTQRCLSVLF</v>
      </c>
      <c r="K335" s="4" t="str">
        <f t="shared" si="131"/>
        <v>PIWFKCHR</v>
      </c>
      <c r="L335" s="4" t="str">
        <f t="shared" si="132"/>
        <v>RHLSAWVCGLLWTLCLLMNGLTSSFC</v>
      </c>
      <c r="M335" s="4" t="str">
        <f t="shared" si="133"/>
        <v/>
      </c>
      <c r="N335" s="4" t="str">
        <f t="shared" si="134"/>
        <v>RCFRVDMVQAALIMGVLTPVMTLSSLTLFVWVRRSSQ</v>
      </c>
      <c r="O335" s="4" t="str">
        <f t="shared" si="135"/>
        <v>PTRLFVVVLASVLVFLICSLPLSIYWFVLYWL</v>
      </c>
      <c r="P335" s="4" t="str">
        <f t="shared" si="136"/>
        <v>QVLCFSLSRLSSSVSSSANPVIYFLV</v>
      </c>
      <c r="Q335" s="4" t="str">
        <f t="shared" si="137"/>
        <v>GSRRSHRLPTRSL</v>
      </c>
      <c r="R335" s="5">
        <f>VLOOKUP($A335,'NonXtal_SegEnds_Prot#'!$A:$AL,3,FALSE)</f>
        <v>25</v>
      </c>
      <c r="S335" s="5" t="str">
        <f>VLOOKUP($A335,'NonXtal_SegEnds_Prot#'!$A:$AL,6,FALSE)</f>
        <v>-</v>
      </c>
      <c r="T335" s="5">
        <f>VLOOKUP($A335,'NonXtal_SegEnds_Prot#'!$A:$AL,9,FALSE)</f>
        <v>59</v>
      </c>
      <c r="U335" s="5" t="str">
        <f>VLOOKUP($A335,'NonXtal_SegEnds_Prot#'!$A:$AL,12,FALSE)</f>
        <v>-</v>
      </c>
      <c r="V335" s="5">
        <f>VLOOKUP($A335,'NonXtal_SegEnds_Prot#'!$A:$AL,15,FALSE)</f>
        <v>91</v>
      </c>
      <c r="W335" s="5">
        <f>VLOOKUP($A335,'NonXtal_SegEnds_Prot#'!$A:$AL,18,FALSE)</f>
        <v>130</v>
      </c>
      <c r="X335" s="5">
        <f>VLOOKUP($A335,'NonXtal_SegEnds_Prot#'!$A:$AL,21,FALSE)</f>
        <v>139</v>
      </c>
      <c r="Y335" s="5" t="str">
        <f>VLOOKUP($A335,'NonXtal_SegEnds_Prot#'!$A:$AL,24,FALSE)</f>
        <v>-</v>
      </c>
      <c r="Z335" s="5">
        <f>VLOOKUP($A335,'NonXtal_SegEnds_Prot#'!$A:$AL,27,FALSE)</f>
        <v>174</v>
      </c>
      <c r="AA335" s="5">
        <f>VLOOKUP($A335,'NonXtal_SegEnds_Prot#'!$A:$AL,30,FALSE)</f>
        <v>216</v>
      </c>
      <c r="AB335" s="5">
        <f>VLOOKUP($A335,'NonXtal_SegEnds_Prot#'!$A:$AL,33,FALSE)</f>
        <v>254</v>
      </c>
      <c r="AC335" s="5">
        <f>VLOOKUP($A335,'NonXtal_SegEnds_Prot#'!$A:$AL,36,FALSE)</f>
        <v>280</v>
      </c>
      <c r="AD335" s="5">
        <f>VLOOKUP($A335,'NonXtal_SegEnds_Prot#'!$A:$AL,5,FALSE)</f>
        <v>55</v>
      </c>
      <c r="AE335" s="5" t="str">
        <f>VLOOKUP($A335,'NonXtal_SegEnds_Prot#'!$A:$AL,8,FALSE)</f>
        <v>-</v>
      </c>
      <c r="AF335" s="5">
        <f>VLOOKUP($A335,'NonXtal_SegEnds_Prot#'!$A:$AL,11,FALSE)</f>
        <v>88</v>
      </c>
      <c r="AG335" s="5" t="str">
        <f>VLOOKUP($A335,'NonXtal_SegEnds_Prot#'!$A:$AL,14,FALSE)</f>
        <v>-</v>
      </c>
      <c r="AH335" s="5">
        <f>VLOOKUP($A335,'NonXtal_SegEnds_Prot#'!$A:$AL,17,FALSE)</f>
        <v>129</v>
      </c>
      <c r="AI335" s="5">
        <f>VLOOKUP($A335,'NonXtal_SegEnds_Prot#'!$A:$AL,20,FALSE)</f>
        <v>137</v>
      </c>
      <c r="AJ335" s="5">
        <f>VLOOKUP($A335,'NonXtal_SegEnds_Prot#'!$A:$AL,23,FALSE)</f>
        <v>164</v>
      </c>
      <c r="AK335" s="5" t="str">
        <f>VLOOKUP($A335,'NonXtal_SegEnds_Prot#'!$A:$AL,26,FALSE)</f>
        <v>-</v>
      </c>
      <c r="AL335" s="5">
        <f>VLOOKUP($A335,'NonXtal_SegEnds_Prot#'!$A:$AL,29,FALSE)</f>
        <v>210</v>
      </c>
      <c r="AM335" s="5">
        <f>VLOOKUP($A335,'NonXtal_SegEnds_Prot#'!$A:$AL,32,FALSE)</f>
        <v>247</v>
      </c>
      <c r="AN335" s="5">
        <f>VLOOKUP($A335,'NonXtal_SegEnds_Prot#'!$A:$AL,35,FALSE)</f>
        <v>279</v>
      </c>
      <c r="AO335" s="5">
        <f>VLOOKUP($A335,'NonXtal_SegEnds_Prot#'!$A:$AL,38,FALSE)</f>
        <v>292</v>
      </c>
      <c r="AP335" s="5">
        <f t="shared" si="138"/>
        <v>30</v>
      </c>
      <c r="AQ335" s="4" t="str">
        <f t="shared" si="139"/>
        <v>-</v>
      </c>
      <c r="AR335" s="4">
        <f t="shared" si="140"/>
        <v>29</v>
      </c>
      <c r="AS335" s="4" t="str">
        <f t="shared" si="141"/>
        <v>-</v>
      </c>
      <c r="AT335" s="4">
        <f t="shared" si="142"/>
        <v>38</v>
      </c>
      <c r="AU335" s="4">
        <f t="shared" si="143"/>
        <v>7</v>
      </c>
      <c r="AV335" s="4">
        <f t="shared" si="144"/>
        <v>25</v>
      </c>
      <c r="AW335" s="4" t="str">
        <f t="shared" si="145"/>
        <v>-</v>
      </c>
      <c r="AX335" s="4">
        <f t="shared" si="146"/>
        <v>36</v>
      </c>
      <c r="AY335" s="4">
        <f t="shared" si="147"/>
        <v>31</v>
      </c>
      <c r="AZ335" s="4">
        <f t="shared" si="148"/>
        <v>25</v>
      </c>
      <c r="BA335" s="4">
        <f t="shared" si="149"/>
        <v>12</v>
      </c>
    </row>
    <row r="336" spans="1:53" x14ac:dyDescent="0.2">
      <c r="A336" s="1" t="str">
        <f>'NonXtal_SegEnds_Prot#'!A329</f>
        <v>mrgrf_human</v>
      </c>
      <c r="B336" s="1" t="str">
        <f t="shared" si="125"/>
        <v>PPPAVMNYIFLLLCLCGLVGNGLVLWFFGFSNPFSIYFLHLASADVGYLFSKAVFSILNTGGTFADYIRSVCRVLGLCMFLTGVSLLPAVSAERCASVIFKRLSAVVCALLWVLSLLVTCLHNYFCACRHMDIFLGILLFLLCCPLMVLPCLALILHVECRARSAKLNHVILAMVSVFLVSSIYLGIDWFLFWVFPFPEYVTDLCICINSSAKPIVYFLAGRDKSQRLWEPLR</v>
      </c>
      <c r="C336" s="72" t="str">
        <f>IF(ISERROR(MATCH(A336,'Xtal_SegEnds_Prot#'!B:B, 0)), "NoXtal", "Xtal")</f>
        <v>NoXtal</v>
      </c>
      <c r="D336" s="4" t="str">
        <f>VLOOKUP(A336,Classification!A:D,2,FALSE)</f>
        <v>A</v>
      </c>
      <c r="E336" s="5" t="str">
        <f>VLOOKUP(A336,Seqs!A:B,2,FALSE)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336" s="5" t="str">
        <f t="shared" si="126"/>
        <v>PPPAVMNYIFLLLCLCGLVGNGLVLWFFGFS</v>
      </c>
      <c r="G336" s="4" t="str">
        <f t="shared" si="127"/>
        <v/>
      </c>
      <c r="H336" s="4" t="str">
        <f t="shared" si="128"/>
        <v>NPFSIYFLHLASADVGYLFSKAVFSILNTG</v>
      </c>
      <c r="I336" s="4" t="str">
        <f t="shared" si="129"/>
        <v/>
      </c>
      <c r="J336" s="4" t="str">
        <f t="shared" si="130"/>
        <v>GTFADYIRSVCRVLGLCMFLTGVSLLPAVSAERCASVIF</v>
      </c>
      <c r="K336" s="4" t="str">
        <f t="shared" si="131"/>
        <v>PAWYWRRR</v>
      </c>
      <c r="L336" s="4" t="str">
        <f t="shared" si="132"/>
        <v>KRLSAVVCALLWVLSLLVTCLHNYFC</v>
      </c>
      <c r="M336" s="4" t="str">
        <f t="shared" si="133"/>
        <v/>
      </c>
      <c r="N336" s="4" t="str">
        <f t="shared" si="134"/>
        <v>ACRHMDIFLGILLFLLCCPLMVLPCLALILHVECRAR</v>
      </c>
      <c r="O336" s="4" t="str">
        <f t="shared" si="135"/>
        <v>SAKLNHVILAMVSVFLVSSIYLGIDWFLFWVF</v>
      </c>
      <c r="P336" s="4" t="str">
        <f t="shared" si="136"/>
        <v>PFPEYVTDLCICINSSAKPIVYFLA</v>
      </c>
      <c r="Q336" s="4" t="str">
        <f t="shared" si="137"/>
        <v>GRDKSQRLWEPLR</v>
      </c>
      <c r="R336" s="5">
        <f>VLOOKUP($A336,'NonXtal_SegEnds_Prot#'!$A:$AL,3,FALSE)</f>
        <v>42</v>
      </c>
      <c r="S336" s="5" t="str">
        <f>VLOOKUP($A336,'NonXtal_SegEnds_Prot#'!$A:$AL,6,FALSE)</f>
        <v>-</v>
      </c>
      <c r="T336" s="5">
        <f>VLOOKUP($A336,'NonXtal_SegEnds_Prot#'!$A:$AL,9,FALSE)</f>
        <v>76</v>
      </c>
      <c r="U336" s="5" t="str">
        <f>VLOOKUP($A336,'NonXtal_SegEnds_Prot#'!$A:$AL,12,FALSE)</f>
        <v>-</v>
      </c>
      <c r="V336" s="5">
        <f>VLOOKUP($A336,'NonXtal_SegEnds_Prot#'!$A:$AL,15,FALSE)</f>
        <v>109</v>
      </c>
      <c r="W336" s="5">
        <f>VLOOKUP($A336,'NonXtal_SegEnds_Prot#'!$A:$AL,18,FALSE)</f>
        <v>148</v>
      </c>
      <c r="X336" s="5">
        <f>VLOOKUP($A336,'NonXtal_SegEnds_Prot#'!$A:$AL,21,FALSE)</f>
        <v>157</v>
      </c>
      <c r="Y336" s="5" t="str">
        <f>VLOOKUP($A336,'NonXtal_SegEnds_Prot#'!$A:$AL,24,FALSE)</f>
        <v>-</v>
      </c>
      <c r="Z336" s="5">
        <f>VLOOKUP($A336,'NonXtal_SegEnds_Prot#'!$A:$AL,27,FALSE)</f>
        <v>193</v>
      </c>
      <c r="AA336" s="5">
        <f>VLOOKUP($A336,'NonXtal_SegEnds_Prot#'!$A:$AL,30,FALSE)</f>
        <v>234</v>
      </c>
      <c r="AB336" s="5">
        <f>VLOOKUP($A336,'NonXtal_SegEnds_Prot#'!$A:$AL,33,FALSE)</f>
        <v>270</v>
      </c>
      <c r="AC336" s="5">
        <f>VLOOKUP($A336,'NonXtal_SegEnds_Prot#'!$A:$AL,36,FALSE)</f>
        <v>295</v>
      </c>
      <c r="AD336" s="5">
        <f>VLOOKUP($A336,'NonXtal_SegEnds_Prot#'!$A:$AL,5,FALSE)</f>
        <v>72</v>
      </c>
      <c r="AE336" s="5" t="str">
        <f>VLOOKUP($A336,'NonXtal_SegEnds_Prot#'!$A:$AL,8,FALSE)</f>
        <v>-</v>
      </c>
      <c r="AF336" s="5">
        <f>VLOOKUP($A336,'NonXtal_SegEnds_Prot#'!$A:$AL,11,FALSE)</f>
        <v>105</v>
      </c>
      <c r="AG336" s="5" t="str">
        <f>VLOOKUP($A336,'NonXtal_SegEnds_Prot#'!$A:$AL,14,FALSE)</f>
        <v>-</v>
      </c>
      <c r="AH336" s="5">
        <f>VLOOKUP($A336,'NonXtal_SegEnds_Prot#'!$A:$AL,17,FALSE)</f>
        <v>147</v>
      </c>
      <c r="AI336" s="5">
        <f>VLOOKUP($A336,'NonXtal_SegEnds_Prot#'!$A:$AL,20,FALSE)</f>
        <v>155</v>
      </c>
      <c r="AJ336" s="5">
        <f>VLOOKUP($A336,'NonXtal_SegEnds_Prot#'!$A:$AL,23,FALSE)</f>
        <v>182</v>
      </c>
      <c r="AK336" s="5" t="str">
        <f>VLOOKUP($A336,'NonXtal_SegEnds_Prot#'!$A:$AL,26,FALSE)</f>
        <v>-</v>
      </c>
      <c r="AL336" s="5">
        <f>VLOOKUP($A336,'NonXtal_SegEnds_Prot#'!$A:$AL,29,FALSE)</f>
        <v>229</v>
      </c>
      <c r="AM336" s="5">
        <f>VLOOKUP($A336,'NonXtal_SegEnds_Prot#'!$A:$AL,32,FALSE)</f>
        <v>265</v>
      </c>
      <c r="AN336" s="5">
        <f>VLOOKUP($A336,'NonXtal_SegEnds_Prot#'!$A:$AL,35,FALSE)</f>
        <v>294</v>
      </c>
      <c r="AO336" s="5">
        <f>VLOOKUP($A336,'NonXtal_SegEnds_Prot#'!$A:$AL,38,FALSE)</f>
        <v>307</v>
      </c>
      <c r="AP336" s="5">
        <f t="shared" si="138"/>
        <v>30</v>
      </c>
      <c r="AQ336" s="4" t="str">
        <f t="shared" si="139"/>
        <v>-</v>
      </c>
      <c r="AR336" s="4">
        <f t="shared" si="140"/>
        <v>29</v>
      </c>
      <c r="AS336" s="4" t="str">
        <f t="shared" si="141"/>
        <v>-</v>
      </c>
      <c r="AT336" s="4">
        <f t="shared" si="142"/>
        <v>38</v>
      </c>
      <c r="AU336" s="4">
        <f t="shared" si="143"/>
        <v>7</v>
      </c>
      <c r="AV336" s="4">
        <f t="shared" si="144"/>
        <v>25</v>
      </c>
      <c r="AW336" s="4" t="str">
        <f t="shared" si="145"/>
        <v>-</v>
      </c>
      <c r="AX336" s="4">
        <f t="shared" si="146"/>
        <v>36</v>
      </c>
      <c r="AY336" s="4">
        <f t="shared" si="147"/>
        <v>31</v>
      </c>
      <c r="AZ336" s="4">
        <f t="shared" si="148"/>
        <v>24</v>
      </c>
      <c r="BA336" s="4">
        <f t="shared" si="149"/>
        <v>12</v>
      </c>
    </row>
    <row r="337" spans="1:53" x14ac:dyDescent="0.2">
      <c r="A337" s="1" t="str">
        <f>'NonXtal_SegEnds_Prot#'!A330</f>
        <v>mrgx1_human</v>
      </c>
      <c r="B337" s="1" t="str">
        <f t="shared" si="125"/>
        <v>KQTLSLTVLTCIVSLVGLTGNAVVLWLLGCRNAFSIYILNLAAADFLFLSGRLIYSLLSFIISKILYPVMMFSYFAGLSFLSAVSTERCLSVLWTHLSAVVCVLLWALSLLRSILEWMLCAWCQTSDFITVAWLIFLCVVLCGSSLVLLIRILCGSRLTRLYVTILLTVLVFLLCGLPFGIQFFLFLWIEVLFCHVHLVSIFLSALNSSANPIIYFFVGSFRQRQNRQNLK</v>
      </c>
      <c r="C337" s="72" t="str">
        <f>IF(ISERROR(MATCH(A337,'Xtal_SegEnds_Prot#'!B:B, 0)), "NoXtal", "Xtal")</f>
        <v>NoXtal</v>
      </c>
      <c r="D337" s="4" t="str">
        <f>VLOOKUP(A337,Classification!A:D,2,FALSE)</f>
        <v>A</v>
      </c>
      <c r="E337" s="5" t="str">
        <f>VLOOKUP(A337,Seqs!A:B,2,FALSE)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337" s="5" t="str">
        <f t="shared" si="126"/>
        <v>KQTLSLTVLTCIVSLVGLTGNAVVLWLLGCR</v>
      </c>
      <c r="G337" s="4" t="str">
        <f t="shared" si="127"/>
        <v/>
      </c>
      <c r="H337" s="4" t="str">
        <f t="shared" si="128"/>
        <v>NAFSIYILNLAAADFLFLSGRLIYSLLSFI</v>
      </c>
      <c r="I337" s="4" t="str">
        <f t="shared" si="129"/>
        <v/>
      </c>
      <c r="J337" s="4" t="str">
        <f t="shared" si="130"/>
        <v>ISKILYPVMMFSYFAGLSFLSAVSTERCLSVLW</v>
      </c>
      <c r="K337" s="4" t="str">
        <f t="shared" si="131"/>
        <v>PIWYRCHR</v>
      </c>
      <c r="L337" s="4" t="str">
        <f t="shared" si="132"/>
        <v>THLSAVVCVLLWALSLLRSILEWMLC</v>
      </c>
      <c r="M337" s="4" t="str">
        <f t="shared" si="133"/>
        <v/>
      </c>
      <c r="N337" s="4" t="str">
        <f t="shared" si="134"/>
        <v>AWCQTSDFITVAWLIFLCVVLCGSSLVLLIRILCGSR</v>
      </c>
      <c r="O337" s="4" t="str">
        <f t="shared" si="135"/>
        <v>LTRLYVTILLTVLVFLLCGLPFGIQFFLFLWI</v>
      </c>
      <c r="P337" s="4" t="str">
        <f t="shared" si="136"/>
        <v>EVLFCHVHLVSIFLSALNSSANPIIYFFV</v>
      </c>
      <c r="Q337" s="4" t="str">
        <f t="shared" si="137"/>
        <v>GSFRQRQNRQNLK</v>
      </c>
      <c r="R337" s="5">
        <f>VLOOKUP($A337,'NonXtal_SegEnds_Prot#'!$A:$AL,3,FALSE)</f>
        <v>25</v>
      </c>
      <c r="S337" s="5" t="str">
        <f>VLOOKUP($A337,'NonXtal_SegEnds_Prot#'!$A:$AL,6,FALSE)</f>
        <v>-</v>
      </c>
      <c r="T337" s="5">
        <f>VLOOKUP($A337,'NonXtal_SegEnds_Prot#'!$A:$AL,9,FALSE)</f>
        <v>59</v>
      </c>
      <c r="U337" s="5" t="str">
        <f>VLOOKUP($A337,'NonXtal_SegEnds_Prot#'!$A:$AL,12,FALSE)</f>
        <v>-</v>
      </c>
      <c r="V337" s="5">
        <f>VLOOKUP($A337,'NonXtal_SegEnds_Prot#'!$A:$AL,15,FALSE)</f>
        <v>94</v>
      </c>
      <c r="W337" s="5">
        <f>VLOOKUP($A337,'NonXtal_SegEnds_Prot#'!$A:$AL,18,FALSE)</f>
        <v>127</v>
      </c>
      <c r="X337" s="5">
        <f>VLOOKUP($A337,'NonXtal_SegEnds_Prot#'!$A:$AL,21,FALSE)</f>
        <v>136</v>
      </c>
      <c r="Y337" s="5" t="str">
        <f>VLOOKUP($A337,'NonXtal_SegEnds_Prot#'!$A:$AL,24,FALSE)</f>
        <v>-</v>
      </c>
      <c r="Z337" s="5">
        <f>VLOOKUP($A337,'NonXtal_SegEnds_Prot#'!$A:$AL,27,FALSE)</f>
        <v>171</v>
      </c>
      <c r="AA337" s="5">
        <f>VLOOKUP($A337,'NonXtal_SegEnds_Prot#'!$A:$AL,30,FALSE)</f>
        <v>211</v>
      </c>
      <c r="AB337" s="5">
        <f>VLOOKUP($A337,'NonXtal_SegEnds_Prot#'!$A:$AL,33,FALSE)</f>
        <v>247</v>
      </c>
      <c r="AC337" s="5">
        <f>VLOOKUP($A337,'NonXtal_SegEnds_Prot#'!$A:$AL,36,FALSE)</f>
        <v>276</v>
      </c>
      <c r="AD337" s="5">
        <f>VLOOKUP($A337,'NonXtal_SegEnds_Prot#'!$A:$AL,5,FALSE)</f>
        <v>55</v>
      </c>
      <c r="AE337" s="5" t="str">
        <f>VLOOKUP($A337,'NonXtal_SegEnds_Prot#'!$A:$AL,8,FALSE)</f>
        <v>-</v>
      </c>
      <c r="AF337" s="5">
        <f>VLOOKUP($A337,'NonXtal_SegEnds_Prot#'!$A:$AL,11,FALSE)</f>
        <v>88</v>
      </c>
      <c r="AG337" s="5" t="str">
        <f>VLOOKUP($A337,'NonXtal_SegEnds_Prot#'!$A:$AL,14,FALSE)</f>
        <v>-</v>
      </c>
      <c r="AH337" s="5">
        <f>VLOOKUP($A337,'NonXtal_SegEnds_Prot#'!$A:$AL,17,FALSE)</f>
        <v>126</v>
      </c>
      <c r="AI337" s="5">
        <f>VLOOKUP($A337,'NonXtal_SegEnds_Prot#'!$A:$AL,20,FALSE)</f>
        <v>134</v>
      </c>
      <c r="AJ337" s="5">
        <f>VLOOKUP($A337,'NonXtal_SegEnds_Prot#'!$A:$AL,23,FALSE)</f>
        <v>161</v>
      </c>
      <c r="AK337" s="5" t="str">
        <f>VLOOKUP($A337,'NonXtal_SegEnds_Prot#'!$A:$AL,26,FALSE)</f>
        <v>-</v>
      </c>
      <c r="AL337" s="5">
        <f>VLOOKUP($A337,'NonXtal_SegEnds_Prot#'!$A:$AL,29,FALSE)</f>
        <v>207</v>
      </c>
      <c r="AM337" s="5">
        <f>VLOOKUP($A337,'NonXtal_SegEnds_Prot#'!$A:$AL,32,FALSE)</f>
        <v>242</v>
      </c>
      <c r="AN337" s="5">
        <f>VLOOKUP($A337,'NonXtal_SegEnds_Prot#'!$A:$AL,35,FALSE)</f>
        <v>275</v>
      </c>
      <c r="AO337" s="5">
        <f>VLOOKUP($A337,'NonXtal_SegEnds_Prot#'!$A:$AL,38,FALSE)</f>
        <v>288</v>
      </c>
      <c r="AP337" s="5">
        <f t="shared" si="138"/>
        <v>30</v>
      </c>
      <c r="AQ337" s="4" t="str">
        <f t="shared" si="139"/>
        <v>-</v>
      </c>
      <c r="AR337" s="4">
        <f t="shared" si="140"/>
        <v>29</v>
      </c>
      <c r="AS337" s="4" t="str">
        <f t="shared" si="141"/>
        <v>-</v>
      </c>
      <c r="AT337" s="4">
        <f t="shared" si="142"/>
        <v>32</v>
      </c>
      <c r="AU337" s="4">
        <f t="shared" si="143"/>
        <v>7</v>
      </c>
      <c r="AV337" s="4">
        <f t="shared" si="144"/>
        <v>25</v>
      </c>
      <c r="AW337" s="4" t="str">
        <f t="shared" si="145"/>
        <v>-</v>
      </c>
      <c r="AX337" s="4">
        <f t="shared" si="146"/>
        <v>36</v>
      </c>
      <c r="AY337" s="4">
        <f t="shared" si="147"/>
        <v>31</v>
      </c>
      <c r="AZ337" s="4">
        <f t="shared" si="148"/>
        <v>28</v>
      </c>
      <c r="BA337" s="4">
        <f t="shared" si="149"/>
        <v>12</v>
      </c>
    </row>
    <row r="338" spans="1:53" x14ac:dyDescent="0.2">
      <c r="A338" s="1" t="str">
        <f>'NonXtal_SegEnds_Prot#'!A331</f>
        <v>t2r14_human</v>
      </c>
      <c r="B338" s="1" t="str">
        <f t="shared" si="125"/>
        <v>KSIFTFVLIVEFIIGNLGNSFIALVNCIDWVISSVDRILTALAISRISLVWLIFGSWCVSVFFLFATEKMFRMLTNIWTVINHFSVWLATGLGTFYFLKIANRVKKVVLVLLLVTSVFLFLNIALINIFTRFSSLIVLTSTVFIFIPFTLSLAMFLLLIFSMWKHRKKMDASTKAHRGVKSVITFFLLYAIFSLSFFISVWTEENLIILSQVMGMAYPSCHSCVLILGNKKLRQASLSVLLW</v>
      </c>
      <c r="C338" s="72" t="str">
        <f>IF(ISERROR(MATCH(A338,'Xtal_SegEnds_Prot#'!B:B, 0)), "NoXtal", "Xtal")</f>
        <v>NoXtal</v>
      </c>
      <c r="D338" s="4" t="str">
        <f>VLOOKUP(A338,Classification!A:D,2,FALSE)</f>
        <v>T</v>
      </c>
      <c r="E338" s="5" t="str">
        <f>VLOOKUP(A338,Seqs!A:B,2,FALSE)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38" s="5" t="str">
        <f t="shared" si="126"/>
        <v>KSIFTFVLIVEFIIGNLGNSFIALVNCIDWV</v>
      </c>
      <c r="G338" s="4" t="str">
        <f t="shared" si="127"/>
        <v>KGRK</v>
      </c>
      <c r="H338" s="4" t="str">
        <f t="shared" si="128"/>
        <v>ISSVDRILTALAISRISLVWLIFGSWCVSVFF</v>
      </c>
      <c r="I338" s="4" t="str">
        <f t="shared" si="129"/>
        <v/>
      </c>
      <c r="J338" s="4" t="str">
        <f t="shared" si="130"/>
        <v>LFATEKMFRMLTNIWTVINHFSVWLATGLGTFYFLKIAN</v>
      </c>
      <c r="K338" s="4" t="str">
        <f t="shared" si="131"/>
        <v>NSIFLYLK</v>
      </c>
      <c r="L338" s="4" t="str">
        <f t="shared" si="132"/>
        <v>RVKKVVLVLLLVTSVFLFLNIALINI</v>
      </c>
      <c r="M338" s="4" t="str">
        <f t="shared" si="133"/>
        <v/>
      </c>
      <c r="N338" s="4" t="str">
        <f t="shared" si="134"/>
        <v>FTRFSSLIVLTSTVFIFIPFTLSLAMFLLLIFSMWKHRKKM</v>
      </c>
      <c r="O338" s="4" t="str">
        <f t="shared" si="135"/>
        <v>DASTKAHRGVKSVITFFLLYAIFSLSFFISVWT</v>
      </c>
      <c r="P338" s="4" t="str">
        <f t="shared" si="136"/>
        <v>EENLIILSQVMGMAYPSCHSCVLILG</v>
      </c>
      <c r="Q338" s="4" t="str">
        <f t="shared" si="137"/>
        <v>NKKLRQASLSVLLW</v>
      </c>
      <c r="R338" s="5">
        <f>VLOOKUP($A338,'NonXtal_SegEnds_Prot#'!$A:$AL,3,FALSE)</f>
        <v>6</v>
      </c>
      <c r="S338" s="5">
        <f>VLOOKUP($A338,'NonXtal_SegEnds_Prot#'!$A:$AL,6,FALSE)</f>
        <v>37</v>
      </c>
      <c r="T338" s="5">
        <f>VLOOKUP($A338,'NonXtal_SegEnds_Prot#'!$A:$AL,9,FALSE)</f>
        <v>41</v>
      </c>
      <c r="U338" s="5" t="str">
        <f>VLOOKUP($A338,'NonXtal_SegEnds_Prot#'!$A:$AL,12,FALSE)</f>
        <v>-</v>
      </c>
      <c r="V338" s="5">
        <f>VLOOKUP($A338,'NonXtal_SegEnds_Prot#'!$A:$AL,15,FALSE)</f>
        <v>75</v>
      </c>
      <c r="W338" s="5">
        <f>VLOOKUP($A338,'NonXtal_SegEnds_Prot#'!$A:$AL,18,FALSE)</f>
        <v>116</v>
      </c>
      <c r="X338" s="5">
        <f>VLOOKUP($A338,'NonXtal_SegEnds_Prot#'!$A:$AL,21,FALSE)</f>
        <v>125</v>
      </c>
      <c r="Y338" s="5" t="str">
        <f>VLOOKUP($A338,'NonXtal_SegEnds_Prot#'!$A:$AL,24,FALSE)</f>
        <v>-</v>
      </c>
      <c r="Z338" s="5">
        <f>VLOOKUP($A338,'NonXtal_SegEnds_Prot#'!$A:$AL,27,FALSE)</f>
        <v>172</v>
      </c>
      <c r="AA338" s="5">
        <f>VLOOKUP($A338,'NonXtal_SegEnds_Prot#'!$A:$AL,30,FALSE)</f>
        <v>221</v>
      </c>
      <c r="AB338" s="5">
        <f>VLOOKUP($A338,'NonXtal_SegEnds_Prot#'!$A:$AL,33,FALSE)</f>
        <v>258</v>
      </c>
      <c r="AC338" s="5">
        <f>VLOOKUP($A338,'NonXtal_SegEnds_Prot#'!$A:$AL,36,FALSE)</f>
        <v>284</v>
      </c>
      <c r="AD338" s="5">
        <f>VLOOKUP($A338,'NonXtal_SegEnds_Prot#'!$A:$AL,5,FALSE)</f>
        <v>36</v>
      </c>
      <c r="AE338" s="5">
        <f>VLOOKUP($A338,'NonXtal_SegEnds_Prot#'!$A:$AL,8,FALSE)</f>
        <v>40</v>
      </c>
      <c r="AF338" s="5">
        <f>VLOOKUP($A338,'NonXtal_SegEnds_Prot#'!$A:$AL,11,FALSE)</f>
        <v>72</v>
      </c>
      <c r="AG338" s="5" t="str">
        <f>VLOOKUP($A338,'NonXtal_SegEnds_Prot#'!$A:$AL,14,FALSE)</f>
        <v>-</v>
      </c>
      <c r="AH338" s="5">
        <f>VLOOKUP($A338,'NonXtal_SegEnds_Prot#'!$A:$AL,17,FALSE)</f>
        <v>113</v>
      </c>
      <c r="AI338" s="5">
        <f>VLOOKUP($A338,'NonXtal_SegEnds_Prot#'!$A:$AL,20,FALSE)</f>
        <v>123</v>
      </c>
      <c r="AJ338" s="5">
        <f>VLOOKUP($A338,'NonXtal_SegEnds_Prot#'!$A:$AL,23,FALSE)</f>
        <v>150</v>
      </c>
      <c r="AK338" s="5" t="str">
        <f>VLOOKUP($A338,'NonXtal_SegEnds_Prot#'!$A:$AL,26,FALSE)</f>
        <v>-</v>
      </c>
      <c r="AL338" s="5">
        <f>VLOOKUP($A338,'NonXtal_SegEnds_Prot#'!$A:$AL,29,FALSE)</f>
        <v>212</v>
      </c>
      <c r="AM338" s="5">
        <f>VLOOKUP($A338,'NonXtal_SegEnds_Prot#'!$A:$AL,32,FALSE)</f>
        <v>253</v>
      </c>
      <c r="AN338" s="5">
        <f>VLOOKUP($A338,'NonXtal_SegEnds_Prot#'!$A:$AL,35,FALSE)</f>
        <v>283</v>
      </c>
      <c r="AO338" s="5">
        <f>VLOOKUP($A338,'NonXtal_SegEnds_Prot#'!$A:$AL,38,FALSE)</f>
        <v>297</v>
      </c>
      <c r="AP338" s="5">
        <f t="shared" si="138"/>
        <v>30</v>
      </c>
      <c r="AQ338" s="4">
        <f t="shared" si="139"/>
        <v>3</v>
      </c>
      <c r="AR338" s="4">
        <f t="shared" si="140"/>
        <v>31</v>
      </c>
      <c r="AS338" s="4" t="str">
        <f t="shared" si="141"/>
        <v>-</v>
      </c>
      <c r="AT338" s="4">
        <f t="shared" si="142"/>
        <v>38</v>
      </c>
      <c r="AU338" s="4">
        <f t="shared" si="143"/>
        <v>7</v>
      </c>
      <c r="AV338" s="4">
        <f t="shared" si="144"/>
        <v>25</v>
      </c>
      <c r="AW338" s="4" t="str">
        <f t="shared" si="145"/>
        <v>-</v>
      </c>
      <c r="AX338" s="4">
        <f t="shared" si="146"/>
        <v>40</v>
      </c>
      <c r="AY338" s="4">
        <f t="shared" si="147"/>
        <v>32</v>
      </c>
      <c r="AZ338" s="4">
        <f t="shared" si="148"/>
        <v>25</v>
      </c>
      <c r="BA338" s="4">
        <f t="shared" si="149"/>
        <v>13</v>
      </c>
    </row>
    <row r="339" spans="1:53" x14ac:dyDescent="0.2">
      <c r="A339" s="1" t="str">
        <f>'NonXtal_SegEnds_Prot#'!A332</f>
        <v>gpr17_human</v>
      </c>
      <c r="B339" s="1" t="str">
        <f t="shared" si="125"/>
        <v>LENMLFASFYLLDFILALVGNTLALWLFIRDTPANVFLMHLAVADLSCVLVLPTRLVYHFSGEIACRLTGFLFYLNMYASIYFLTCISADRFLAIVHPLYAHLACAFLWVVVAVAMAPLLVSPREKASHHALVSLAVAFTFPFITTVTCYLLIIRSLRQEKRLKTKAVRMIAIVLAIFLVCFVPYHVNRSVYVLHYRSSCATQRILALANRITSCLTSLNGALDPIMYFFVAEKFRHALCNLLC</v>
      </c>
      <c r="C339" s="72" t="str">
        <f>IF(ISERROR(MATCH(A339,'Xtal_SegEnds_Prot#'!B:B, 0)), "NoXtal", "Xtal")</f>
        <v>NoXtal</v>
      </c>
      <c r="D339" s="4" t="str">
        <f>VLOOKUP(A339,Classification!A:D,2,FALSE)</f>
        <v>A</v>
      </c>
      <c r="E339" s="5" t="str">
        <f>VLOOKUP(A339,Seqs!A:B,2,FALSE)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339" s="5" t="str">
        <f t="shared" si="126"/>
        <v>LENMLFASFYLLDFILALVGNTLALWLFIRD</v>
      </c>
      <c r="G339" s="4" t="str">
        <f t="shared" si="127"/>
        <v/>
      </c>
      <c r="H339" s="4" t="str">
        <f t="shared" si="128"/>
        <v>TPANVFLMHLAVADLSCVLVLPTRLVYHFS</v>
      </c>
      <c r="I339" s="4" t="str">
        <f t="shared" si="129"/>
        <v>HWPF</v>
      </c>
      <c r="J339" s="4" t="str">
        <f t="shared" si="130"/>
        <v>GEIACRLTGFLFYLNMYASIYFLTCISADRFLAIVH</v>
      </c>
      <c r="K339" s="4" t="str">
        <f t="shared" si="131"/>
        <v>PVKSLKLR</v>
      </c>
      <c r="L339" s="4" t="str">
        <f t="shared" si="132"/>
        <v>PLYAHLACAFLWVVVAVAMAPLLVSP</v>
      </c>
      <c r="M339" s="4" t="str">
        <f t="shared" si="133"/>
        <v>CLQ</v>
      </c>
      <c r="N339" s="4" t="str">
        <f t="shared" si="134"/>
        <v>REKASHHALVSLAVAFTFPFITTVTCYLLIIRSLRQ</v>
      </c>
      <c r="O339" s="4" t="str">
        <f t="shared" si="135"/>
        <v>EKRLKTKAVRMIAIVLAIFLVCFVPYHVNRSVYVLHYRS</v>
      </c>
      <c r="P339" s="4" t="str">
        <f t="shared" si="136"/>
        <v>SCATQRILALANRITSCLTSLNGALDPIMYFFV</v>
      </c>
      <c r="Q339" s="4" t="str">
        <f t="shared" si="137"/>
        <v>AEKFRHALCNLLC</v>
      </c>
      <c r="R339" s="5">
        <f>VLOOKUP($A339,'NonXtal_SegEnds_Prot#'!$A:$AL,3,FALSE)</f>
        <v>57</v>
      </c>
      <c r="S339" s="5" t="str">
        <f>VLOOKUP($A339,'NonXtal_SegEnds_Prot#'!$A:$AL,6,FALSE)</f>
        <v>-</v>
      </c>
      <c r="T339" s="5">
        <f>VLOOKUP($A339,'NonXtal_SegEnds_Prot#'!$A:$AL,9,FALSE)</f>
        <v>92</v>
      </c>
      <c r="U339" s="5">
        <f>VLOOKUP($A339,'NonXtal_SegEnds_Prot#'!$A:$AL,12,FALSE)</f>
        <v>124</v>
      </c>
      <c r="V339" s="5">
        <f>VLOOKUP($A339,'NonXtal_SegEnds_Prot#'!$A:$AL,15,FALSE)</f>
        <v>128</v>
      </c>
      <c r="W339" s="5">
        <f>VLOOKUP($A339,'NonXtal_SegEnds_Prot#'!$A:$AL,18,FALSE)</f>
        <v>164</v>
      </c>
      <c r="X339" s="5">
        <f>VLOOKUP($A339,'NonXtal_SegEnds_Prot#'!$A:$AL,21,FALSE)</f>
        <v>173</v>
      </c>
      <c r="Y339" s="5">
        <f>VLOOKUP($A339,'NonXtal_SegEnds_Prot#'!$A:$AL,24,FALSE)</f>
        <v>209</v>
      </c>
      <c r="Z339" s="5">
        <f>VLOOKUP($A339,'NonXtal_SegEnds_Prot#'!$A:$AL,27,FALSE)</f>
        <v>214</v>
      </c>
      <c r="AA339" s="5">
        <f>VLOOKUP($A339,'NonXtal_SegEnds_Prot#'!$A:$AL,30,FALSE)</f>
        <v>254</v>
      </c>
      <c r="AB339" s="5">
        <f>VLOOKUP($A339,'NonXtal_SegEnds_Prot#'!$A:$AL,33,FALSE)</f>
        <v>296</v>
      </c>
      <c r="AC339" s="5">
        <f>VLOOKUP($A339,'NonXtal_SegEnds_Prot#'!$A:$AL,36,FALSE)</f>
        <v>329</v>
      </c>
      <c r="AD339" s="5">
        <f>VLOOKUP($A339,'NonXtal_SegEnds_Prot#'!$A:$AL,5,FALSE)</f>
        <v>87</v>
      </c>
      <c r="AE339" s="5" t="str">
        <f>VLOOKUP($A339,'NonXtal_SegEnds_Prot#'!$A:$AL,8,FALSE)</f>
        <v>-</v>
      </c>
      <c r="AF339" s="5">
        <f>VLOOKUP($A339,'NonXtal_SegEnds_Prot#'!$A:$AL,11,FALSE)</f>
        <v>121</v>
      </c>
      <c r="AG339" s="5">
        <f>VLOOKUP($A339,'NonXtal_SegEnds_Prot#'!$A:$AL,14,FALSE)</f>
        <v>127</v>
      </c>
      <c r="AH339" s="5">
        <f>VLOOKUP($A339,'NonXtal_SegEnds_Prot#'!$A:$AL,17,FALSE)</f>
        <v>163</v>
      </c>
      <c r="AI339" s="5">
        <f>VLOOKUP($A339,'NonXtal_SegEnds_Prot#'!$A:$AL,20,FALSE)</f>
        <v>171</v>
      </c>
      <c r="AJ339" s="5">
        <f>VLOOKUP($A339,'NonXtal_SegEnds_Prot#'!$A:$AL,23,FALSE)</f>
        <v>198</v>
      </c>
      <c r="AK339" s="5">
        <f>VLOOKUP($A339,'NonXtal_SegEnds_Prot#'!$A:$AL,26,FALSE)</f>
        <v>211</v>
      </c>
      <c r="AL339" s="5">
        <f>VLOOKUP($A339,'NonXtal_SegEnds_Prot#'!$A:$AL,29,FALSE)</f>
        <v>249</v>
      </c>
      <c r="AM339" s="5">
        <f>VLOOKUP($A339,'NonXtal_SegEnds_Prot#'!$A:$AL,32,FALSE)</f>
        <v>292</v>
      </c>
      <c r="AN339" s="5">
        <f>VLOOKUP($A339,'NonXtal_SegEnds_Prot#'!$A:$AL,35,FALSE)</f>
        <v>328</v>
      </c>
      <c r="AO339" s="5">
        <f>VLOOKUP($A339,'NonXtal_SegEnds_Prot#'!$A:$AL,38,FALSE)</f>
        <v>341</v>
      </c>
      <c r="AP339" s="5">
        <f t="shared" si="138"/>
        <v>30</v>
      </c>
      <c r="AQ339" s="4" t="str">
        <f t="shared" si="139"/>
        <v>-</v>
      </c>
      <c r="AR339" s="4">
        <f t="shared" si="140"/>
        <v>29</v>
      </c>
      <c r="AS339" s="4">
        <f t="shared" si="141"/>
        <v>3</v>
      </c>
      <c r="AT339" s="4">
        <f t="shared" si="142"/>
        <v>35</v>
      </c>
      <c r="AU339" s="4">
        <f t="shared" si="143"/>
        <v>7</v>
      </c>
      <c r="AV339" s="4">
        <f t="shared" si="144"/>
        <v>25</v>
      </c>
      <c r="AW339" s="4">
        <f t="shared" si="145"/>
        <v>2</v>
      </c>
      <c r="AX339" s="4">
        <f t="shared" si="146"/>
        <v>35</v>
      </c>
      <c r="AY339" s="4">
        <f t="shared" si="147"/>
        <v>38</v>
      </c>
      <c r="AZ339" s="4">
        <f t="shared" si="148"/>
        <v>32</v>
      </c>
      <c r="BA339" s="4">
        <f t="shared" si="149"/>
        <v>12</v>
      </c>
    </row>
    <row r="340" spans="1:53" x14ac:dyDescent="0.2">
      <c r="A340" s="1" t="str">
        <f>'NonXtal_SegEnds_Prot#'!A333</f>
        <v>p2ry1_human</v>
      </c>
      <c r="B340" s="1" t="str">
        <f t="shared" si="125"/>
        <v>FQFYYLPAVYILVFIIGFLGNSVAIWMFVFHSGISVYMFNLALADFLYVLTLPALIFYYFNGDAMCKLQRFIFHVNLYGSILFLTCISAHRYSGVVYKKNAICISVLVWLIVVVAISPILFYSLRSYFIYSMCTTVAMFCVPLVLILGCYGLIVRALIYKPLRRKSIYLVIIVLTVFAVSYIPFHVMKTMNLRARLDMCAFNDRVYATYQVTRGLASLNSCVDPILYFLAGDTFRRRLSRATR</v>
      </c>
      <c r="C340" s="72" t="str">
        <f>IF(ISERROR(MATCH(A340,'Xtal_SegEnds_Prot#'!B:B, 0)), "NoXtal", "Xtal")</f>
        <v>Xtal</v>
      </c>
      <c r="D340" s="4" t="str">
        <f>VLOOKUP(A340,Classification!A:D,2,FALSE)</f>
        <v>A</v>
      </c>
      <c r="E340" s="5" t="str">
        <f>VLOOKUP(A340,Seqs!A:B,2,FALSE)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340" s="5" t="str">
        <f t="shared" si="126"/>
        <v>FQFYYLPAVYILVFIIGFLGNSVAIWMFVFH</v>
      </c>
      <c r="G340" s="4" t="str">
        <f t="shared" si="127"/>
        <v/>
      </c>
      <c r="H340" s="4" t="str">
        <f t="shared" si="128"/>
        <v>SGISVYMFNLALADFLYVLTLPALIFYYFN</v>
      </c>
      <c r="I340" s="4" t="str">
        <f t="shared" si="129"/>
        <v>DWIF</v>
      </c>
      <c r="J340" s="4" t="str">
        <f t="shared" si="130"/>
        <v>GDAMCKLQRFIFHVNLYGSILFLTCISAHRYSGVVY</v>
      </c>
      <c r="K340" s="4" t="str">
        <f t="shared" si="131"/>
        <v>PLKSLGRL</v>
      </c>
      <c r="L340" s="4" t="str">
        <f t="shared" si="132"/>
        <v>KKNAICISVLVWLIVVVAISPILFYS</v>
      </c>
      <c r="M340" s="4" t="str">
        <f t="shared" si="133"/>
        <v>CYD</v>
      </c>
      <c r="N340" s="4" t="str">
        <f t="shared" si="134"/>
        <v>LRSYFIYSMCTTVAMFCVPLVLILGCYGLIVRALIYK</v>
      </c>
      <c r="O340" s="4" t="str">
        <f t="shared" si="135"/>
        <v>PLRRKSIYLVIIVLTVFAVSYIPFHVMKTMNLRARLD</v>
      </c>
      <c r="P340" s="4" t="str">
        <f t="shared" si="136"/>
        <v>MCAFNDRVYATYQVTRGLASLNSCVDPILYFLA</v>
      </c>
      <c r="Q340" s="4" t="str">
        <f t="shared" si="137"/>
        <v>GDTFRRRLSRATR</v>
      </c>
      <c r="R340" s="5">
        <f>VLOOKUP($A340,'NonXtal_SegEnds_Prot#'!$A:$AL,3,FALSE)</f>
        <v>49</v>
      </c>
      <c r="S340" s="5" t="str">
        <f>VLOOKUP($A340,'NonXtal_SegEnds_Prot#'!$A:$AL,6,FALSE)</f>
        <v>-</v>
      </c>
      <c r="T340" s="5">
        <f>VLOOKUP($A340,'NonXtal_SegEnds_Prot#'!$A:$AL,9,FALSE)</f>
        <v>84</v>
      </c>
      <c r="U340" s="5">
        <f>VLOOKUP($A340,'NonXtal_SegEnds_Prot#'!$A:$AL,12,FALSE)</f>
        <v>116</v>
      </c>
      <c r="V340" s="5">
        <f>VLOOKUP($A340,'NonXtal_SegEnds_Prot#'!$A:$AL,15,FALSE)</f>
        <v>120</v>
      </c>
      <c r="W340" s="5">
        <f>VLOOKUP($A340,'NonXtal_SegEnds_Prot#'!$A:$AL,18,FALSE)</f>
        <v>156</v>
      </c>
      <c r="X340" s="5">
        <f>VLOOKUP($A340,'NonXtal_SegEnds_Prot#'!$A:$AL,21,FALSE)</f>
        <v>165</v>
      </c>
      <c r="Y340" s="5">
        <f>VLOOKUP($A340,'NonXtal_SegEnds_Prot#'!$A:$AL,24,FALSE)</f>
        <v>202</v>
      </c>
      <c r="Z340" s="5">
        <f>VLOOKUP($A340,'NonXtal_SegEnds_Prot#'!$A:$AL,27,FALSE)</f>
        <v>211</v>
      </c>
      <c r="AA340" s="5">
        <f>VLOOKUP($A340,'NonXtal_SegEnds_Prot#'!$A:$AL,30,FALSE)</f>
        <v>253</v>
      </c>
      <c r="AB340" s="5">
        <f>VLOOKUP($A340,'NonXtal_SegEnds_Prot#'!$A:$AL,33,FALSE)</f>
        <v>295</v>
      </c>
      <c r="AC340" s="5">
        <f>VLOOKUP($A340,'NonXtal_SegEnds_Prot#'!$A:$AL,36,FALSE)</f>
        <v>328</v>
      </c>
      <c r="AD340" s="5">
        <f>VLOOKUP($A340,'NonXtal_SegEnds_Prot#'!$A:$AL,5,FALSE)</f>
        <v>79</v>
      </c>
      <c r="AE340" s="5" t="str">
        <f>VLOOKUP($A340,'NonXtal_SegEnds_Prot#'!$A:$AL,8,FALSE)</f>
        <v>-</v>
      </c>
      <c r="AF340" s="5">
        <f>VLOOKUP($A340,'NonXtal_SegEnds_Prot#'!$A:$AL,11,FALSE)</f>
        <v>113</v>
      </c>
      <c r="AG340" s="5">
        <f>VLOOKUP($A340,'NonXtal_SegEnds_Prot#'!$A:$AL,14,FALSE)</f>
        <v>119</v>
      </c>
      <c r="AH340" s="5">
        <f>VLOOKUP($A340,'NonXtal_SegEnds_Prot#'!$A:$AL,17,FALSE)</f>
        <v>155</v>
      </c>
      <c r="AI340" s="5">
        <f>VLOOKUP($A340,'NonXtal_SegEnds_Prot#'!$A:$AL,20,FALSE)</f>
        <v>163</v>
      </c>
      <c r="AJ340" s="5">
        <f>VLOOKUP($A340,'NonXtal_SegEnds_Prot#'!$A:$AL,23,FALSE)</f>
        <v>190</v>
      </c>
      <c r="AK340" s="5">
        <f>VLOOKUP($A340,'NonXtal_SegEnds_Prot#'!$A:$AL,26,FALSE)</f>
        <v>204</v>
      </c>
      <c r="AL340" s="5">
        <f>VLOOKUP($A340,'NonXtal_SegEnds_Prot#'!$A:$AL,29,FALSE)</f>
        <v>247</v>
      </c>
      <c r="AM340" s="5">
        <f>VLOOKUP($A340,'NonXtal_SegEnds_Prot#'!$A:$AL,32,FALSE)</f>
        <v>289</v>
      </c>
      <c r="AN340" s="5">
        <f>VLOOKUP($A340,'NonXtal_SegEnds_Prot#'!$A:$AL,35,FALSE)</f>
        <v>327</v>
      </c>
      <c r="AO340" s="5">
        <f>VLOOKUP($A340,'NonXtal_SegEnds_Prot#'!$A:$AL,38,FALSE)</f>
        <v>340</v>
      </c>
      <c r="AP340" s="5">
        <f t="shared" si="138"/>
        <v>30</v>
      </c>
      <c r="AQ340" s="4" t="str">
        <f t="shared" si="139"/>
        <v>-</v>
      </c>
      <c r="AR340" s="4">
        <f t="shared" si="140"/>
        <v>29</v>
      </c>
      <c r="AS340" s="4">
        <f t="shared" si="141"/>
        <v>3</v>
      </c>
      <c r="AT340" s="4">
        <f t="shared" si="142"/>
        <v>35</v>
      </c>
      <c r="AU340" s="4">
        <f t="shared" si="143"/>
        <v>7</v>
      </c>
      <c r="AV340" s="4">
        <f t="shared" si="144"/>
        <v>25</v>
      </c>
      <c r="AW340" s="4">
        <f t="shared" si="145"/>
        <v>2</v>
      </c>
      <c r="AX340" s="4">
        <f t="shared" si="146"/>
        <v>36</v>
      </c>
      <c r="AY340" s="4">
        <f t="shared" si="147"/>
        <v>36</v>
      </c>
      <c r="AZ340" s="4">
        <f t="shared" si="148"/>
        <v>32</v>
      </c>
      <c r="BA340" s="4">
        <f t="shared" si="149"/>
        <v>12</v>
      </c>
    </row>
    <row r="341" spans="1:53" x14ac:dyDescent="0.2">
      <c r="A341" s="1" t="str">
        <f>'NonXtal_SegEnds_Prot#'!A334</f>
        <v>p2y11_human</v>
      </c>
      <c r="B341" s="1" t="str">
        <f t="shared" si="125"/>
        <v>FQGDFLWPILVVEFLVAVASNGLALYRFSIRHPAVVFSVQLAVSDLLCALTLPPLAAYLYPGEAACRLERFLFTCNLLGSVIFITCISLNRYLGIVHPKHAWAVSAAGWVLAALLAMPTLSFSLAAYRAYSLVLAGLGCGLPLLLTLAAYGALGRAVLRTVAEKLRVAALVASGVALYASSYVPYHIMRVLNVDARRRTAALELGPYVGYQVMRGLMPLAFCVHPLLYMAAVPSLGCCCRHCPG</v>
      </c>
      <c r="C341" s="72" t="str">
        <f>IF(ISERROR(MATCH(A341,'Xtal_SegEnds_Prot#'!B:B, 0)), "NoXtal", "Xtal")</f>
        <v>NoXtal</v>
      </c>
      <c r="D341" s="4" t="str">
        <f>VLOOKUP(A341,Classification!A:D,2,FALSE)</f>
        <v>A</v>
      </c>
      <c r="E341" s="5" t="str">
        <f>VLOOKUP(A341,Seqs!A:B,2,FALSE)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341" s="5" t="str">
        <f t="shared" si="126"/>
        <v>FQGDFLWPILVVEFLVAVASNGLALYRFSIR</v>
      </c>
      <c r="G341" s="4" t="str">
        <f t="shared" si="127"/>
        <v/>
      </c>
      <c r="H341" s="4" t="str">
        <f t="shared" si="128"/>
        <v>HPAVVFSVQLAVSDLLCALTLPPLAAYLYP</v>
      </c>
      <c r="I341" s="4" t="str">
        <f t="shared" si="129"/>
        <v>HWRY</v>
      </c>
      <c r="J341" s="4" t="str">
        <f t="shared" si="130"/>
        <v>GEAACRLERFLFTCNLLGSVIFITCISLNRYLGIVH</v>
      </c>
      <c r="K341" s="4" t="str">
        <f t="shared" si="131"/>
        <v>PFFARSHL</v>
      </c>
      <c r="L341" s="4" t="str">
        <f t="shared" si="132"/>
        <v>PKHAWAVSAAGWVLAALLAMPTLSFS</v>
      </c>
      <c r="M341" s="4" t="str">
        <f t="shared" si="133"/>
        <v>CLG</v>
      </c>
      <c r="N341" s="4" t="str">
        <f t="shared" si="134"/>
        <v>LAAYRAYSLVLAGLGCGLPLLLTLAAYGALGRAVLR</v>
      </c>
      <c r="O341" s="4" t="str">
        <f t="shared" si="135"/>
        <v>TVAEKLRVAALVASGVALYASSYVPYHIMRVLNVDARRR</v>
      </c>
      <c r="P341" s="4" t="str">
        <f t="shared" si="136"/>
        <v>TAALELGPYVGYQVMRGLMPLAFCVHPLLYMAA</v>
      </c>
      <c r="Q341" s="4" t="str">
        <f t="shared" si="137"/>
        <v>VPSLGCCCRHCPG</v>
      </c>
      <c r="R341" s="5">
        <f>VLOOKUP($A341,'NonXtal_SegEnds_Prot#'!$A:$AL,3,FALSE)</f>
        <v>26</v>
      </c>
      <c r="S341" s="5" t="str">
        <f>VLOOKUP($A341,'NonXtal_SegEnds_Prot#'!$A:$AL,6,FALSE)</f>
        <v>-</v>
      </c>
      <c r="T341" s="5">
        <f>VLOOKUP($A341,'NonXtal_SegEnds_Prot#'!$A:$AL,9,FALSE)</f>
        <v>62</v>
      </c>
      <c r="U341" s="5">
        <f>VLOOKUP($A341,'NonXtal_SegEnds_Prot#'!$A:$AL,12,FALSE)</f>
        <v>94</v>
      </c>
      <c r="V341" s="5">
        <f>VLOOKUP($A341,'NonXtal_SegEnds_Prot#'!$A:$AL,15,FALSE)</f>
        <v>98</v>
      </c>
      <c r="W341" s="5">
        <f>VLOOKUP($A341,'NonXtal_SegEnds_Prot#'!$A:$AL,18,FALSE)</f>
        <v>134</v>
      </c>
      <c r="X341" s="5">
        <f>VLOOKUP($A341,'NonXtal_SegEnds_Prot#'!$A:$AL,21,FALSE)</f>
        <v>143</v>
      </c>
      <c r="Y341" s="5">
        <f>VLOOKUP($A341,'NonXtal_SegEnds_Prot#'!$A:$AL,24,FALSE)</f>
        <v>191</v>
      </c>
      <c r="Z341" s="5">
        <f>VLOOKUP($A341,'NonXtal_SegEnds_Prot#'!$A:$AL,27,FALSE)</f>
        <v>199</v>
      </c>
      <c r="AA341" s="5">
        <f>VLOOKUP($A341,'NonXtal_SegEnds_Prot#'!$A:$AL,30,FALSE)</f>
        <v>239</v>
      </c>
      <c r="AB341" s="5">
        <f>VLOOKUP($A341,'NonXtal_SegEnds_Prot#'!$A:$AL,33,FALSE)</f>
        <v>292</v>
      </c>
      <c r="AC341" s="5">
        <f>VLOOKUP($A341,'NonXtal_SegEnds_Prot#'!$A:$AL,36,FALSE)</f>
        <v>325</v>
      </c>
      <c r="AD341" s="5">
        <f>VLOOKUP($A341,'NonXtal_SegEnds_Prot#'!$A:$AL,5,FALSE)</f>
        <v>56</v>
      </c>
      <c r="AE341" s="5" t="str">
        <f>VLOOKUP($A341,'NonXtal_SegEnds_Prot#'!$A:$AL,8,FALSE)</f>
        <v>-</v>
      </c>
      <c r="AF341" s="5">
        <f>VLOOKUP($A341,'NonXtal_SegEnds_Prot#'!$A:$AL,11,FALSE)</f>
        <v>91</v>
      </c>
      <c r="AG341" s="5">
        <f>VLOOKUP($A341,'NonXtal_SegEnds_Prot#'!$A:$AL,14,FALSE)</f>
        <v>97</v>
      </c>
      <c r="AH341" s="5">
        <f>VLOOKUP($A341,'NonXtal_SegEnds_Prot#'!$A:$AL,17,FALSE)</f>
        <v>133</v>
      </c>
      <c r="AI341" s="5">
        <f>VLOOKUP($A341,'NonXtal_SegEnds_Prot#'!$A:$AL,20,FALSE)</f>
        <v>141</v>
      </c>
      <c r="AJ341" s="5">
        <f>VLOOKUP($A341,'NonXtal_SegEnds_Prot#'!$A:$AL,23,FALSE)</f>
        <v>168</v>
      </c>
      <c r="AK341" s="5">
        <f>VLOOKUP($A341,'NonXtal_SegEnds_Prot#'!$A:$AL,26,FALSE)</f>
        <v>193</v>
      </c>
      <c r="AL341" s="5">
        <f>VLOOKUP($A341,'NonXtal_SegEnds_Prot#'!$A:$AL,29,FALSE)</f>
        <v>234</v>
      </c>
      <c r="AM341" s="5">
        <f>VLOOKUP($A341,'NonXtal_SegEnds_Prot#'!$A:$AL,32,FALSE)</f>
        <v>277</v>
      </c>
      <c r="AN341" s="5">
        <f>VLOOKUP($A341,'NonXtal_SegEnds_Prot#'!$A:$AL,35,FALSE)</f>
        <v>324</v>
      </c>
      <c r="AO341" s="5">
        <f>VLOOKUP($A341,'NonXtal_SegEnds_Prot#'!$A:$AL,38,FALSE)</f>
        <v>337</v>
      </c>
      <c r="AP341" s="5">
        <f t="shared" si="138"/>
        <v>30</v>
      </c>
      <c r="AQ341" s="4" t="str">
        <f t="shared" si="139"/>
        <v>-</v>
      </c>
      <c r="AR341" s="4">
        <f t="shared" si="140"/>
        <v>29</v>
      </c>
      <c r="AS341" s="4">
        <f t="shared" si="141"/>
        <v>3</v>
      </c>
      <c r="AT341" s="4">
        <f t="shared" si="142"/>
        <v>35</v>
      </c>
      <c r="AU341" s="4">
        <f t="shared" si="143"/>
        <v>7</v>
      </c>
      <c r="AV341" s="4">
        <f t="shared" si="144"/>
        <v>25</v>
      </c>
      <c r="AW341" s="4">
        <f t="shared" si="145"/>
        <v>2</v>
      </c>
      <c r="AX341" s="4">
        <f t="shared" si="146"/>
        <v>35</v>
      </c>
      <c r="AY341" s="4">
        <f t="shared" si="147"/>
        <v>38</v>
      </c>
      <c r="AZ341" s="4">
        <f t="shared" si="148"/>
        <v>32</v>
      </c>
      <c r="BA341" s="4">
        <f t="shared" si="149"/>
        <v>12</v>
      </c>
    </row>
    <row r="342" spans="1:53" x14ac:dyDescent="0.2">
      <c r="A342" s="1" t="str">
        <f>'NonXtal_SegEnds_Prot#'!A335</f>
        <v>lpar4_human</v>
      </c>
      <c r="B342" s="1" t="str">
        <f t="shared" si="125"/>
        <v>FKYNLNGAVYSVVFILGLITNSVSLFVFCFRSETAIFITNLAVSDLLFVCTLPFKIFYNFNGDTLCKISGTAFLTNIYGSMLFLTCISVDRFLAIVYRRNSAIVCAGVWILVLSGGISASLFSKTYLSKITIFIEVVGFIIPLILNVSCSSVVLRTLRKPTNKKKVLKMITVHMAVFVVCFVPYNSVLFLYALVRSQNCFLERFAKIMYPITLCLATLNCCFDPFIYYFTLESFQKSFYINAH</v>
      </c>
      <c r="C342" s="72" t="str">
        <f>IF(ISERROR(MATCH(A342,'Xtal_SegEnds_Prot#'!B:B, 0)), "NoXtal", "Xtal")</f>
        <v>NoXtal</v>
      </c>
      <c r="D342" s="4" t="str">
        <f>VLOOKUP(A342,Classification!A:D,2,FALSE)</f>
        <v>A</v>
      </c>
      <c r="E342" s="5" t="str">
        <f>VLOOKUP(A342,Seqs!A:B,2,FALSE)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342" s="5" t="str">
        <f t="shared" si="126"/>
        <v>FKYNLNGAVYSVVFILGLITNSVSLFVFCFR</v>
      </c>
      <c r="G342" s="4" t="str">
        <f t="shared" si="127"/>
        <v>MKMR</v>
      </c>
      <c r="H342" s="4" t="str">
        <f t="shared" si="128"/>
        <v>SETAIFITNLAVSDLLFVCTLPFKIFYNFN</v>
      </c>
      <c r="I342" s="4" t="str">
        <f t="shared" si="129"/>
        <v>HWPF</v>
      </c>
      <c r="J342" s="4" t="str">
        <f t="shared" si="130"/>
        <v>GDTLCKISGTAFLTNIYGSMLFLTCISVDRFLAIVY</v>
      </c>
      <c r="K342" s="4" t="str">
        <f t="shared" si="131"/>
        <v>PFRSRTIR</v>
      </c>
      <c r="L342" s="4" t="str">
        <f t="shared" si="132"/>
        <v>RRNSAIVCAGVWILVLSGGISASLFS</v>
      </c>
      <c r="M342" s="4" t="str">
        <f t="shared" si="133"/>
        <v>CFE</v>
      </c>
      <c r="N342" s="4" t="str">
        <f t="shared" si="134"/>
        <v>KTYLSKITIFIEVVGFIIPLILNVSCSSVVLRTLRKP</v>
      </c>
      <c r="O342" s="4" t="str">
        <f t="shared" si="135"/>
        <v>TNKKKVLKMITVHMAVFVVCFVPYNSVLFLYALVRSQ</v>
      </c>
      <c r="P342" s="4" t="str">
        <f t="shared" si="136"/>
        <v>NCFLERFAKIMYPITLCLATLNCCFDPFIYYFT</v>
      </c>
      <c r="Q342" s="4" t="str">
        <f t="shared" si="137"/>
        <v>LESFQKSFYINAH</v>
      </c>
      <c r="R342" s="5">
        <f>VLOOKUP($A342,'NonXtal_SegEnds_Prot#'!$A:$AL,3,FALSE)</f>
        <v>37</v>
      </c>
      <c r="S342" s="5">
        <f>VLOOKUP($A342,'NonXtal_SegEnds_Prot#'!$A:$AL,6,FALSE)</f>
        <v>68</v>
      </c>
      <c r="T342" s="5">
        <f>VLOOKUP($A342,'NonXtal_SegEnds_Prot#'!$A:$AL,9,FALSE)</f>
        <v>72</v>
      </c>
      <c r="U342" s="5">
        <f>VLOOKUP($A342,'NonXtal_SegEnds_Prot#'!$A:$AL,12,FALSE)</f>
        <v>103</v>
      </c>
      <c r="V342" s="5">
        <f>VLOOKUP($A342,'NonXtal_SegEnds_Prot#'!$A:$AL,15,FALSE)</f>
        <v>107</v>
      </c>
      <c r="W342" s="5">
        <f>VLOOKUP($A342,'NonXtal_SegEnds_Prot#'!$A:$AL,18,FALSE)</f>
        <v>143</v>
      </c>
      <c r="X342" s="5">
        <f>VLOOKUP($A342,'NonXtal_SegEnds_Prot#'!$A:$AL,21,FALSE)</f>
        <v>152</v>
      </c>
      <c r="Y342" s="5">
        <f>VLOOKUP($A342,'NonXtal_SegEnds_Prot#'!$A:$AL,24,FALSE)</f>
        <v>188</v>
      </c>
      <c r="Z342" s="5">
        <f>VLOOKUP($A342,'NonXtal_SegEnds_Prot#'!$A:$AL,27,FALSE)</f>
        <v>198</v>
      </c>
      <c r="AA342" s="5">
        <f>VLOOKUP($A342,'NonXtal_SegEnds_Prot#'!$A:$AL,30,FALSE)</f>
        <v>242</v>
      </c>
      <c r="AB342" s="5">
        <f>VLOOKUP($A342,'NonXtal_SegEnds_Prot#'!$A:$AL,33,FALSE)</f>
        <v>282</v>
      </c>
      <c r="AC342" s="5">
        <f>VLOOKUP($A342,'NonXtal_SegEnds_Prot#'!$A:$AL,36,FALSE)</f>
        <v>315</v>
      </c>
      <c r="AD342" s="5">
        <f>VLOOKUP($A342,'NonXtal_SegEnds_Prot#'!$A:$AL,5,FALSE)</f>
        <v>67</v>
      </c>
      <c r="AE342" s="5">
        <f>VLOOKUP($A342,'NonXtal_SegEnds_Prot#'!$A:$AL,8,FALSE)</f>
        <v>71</v>
      </c>
      <c r="AF342" s="5">
        <f>VLOOKUP($A342,'NonXtal_SegEnds_Prot#'!$A:$AL,11,FALSE)</f>
        <v>101</v>
      </c>
      <c r="AG342" s="5">
        <f>VLOOKUP($A342,'NonXtal_SegEnds_Prot#'!$A:$AL,14,FALSE)</f>
        <v>106</v>
      </c>
      <c r="AH342" s="5">
        <f>VLOOKUP($A342,'NonXtal_SegEnds_Prot#'!$A:$AL,17,FALSE)</f>
        <v>142</v>
      </c>
      <c r="AI342" s="5">
        <f>VLOOKUP($A342,'NonXtal_SegEnds_Prot#'!$A:$AL,20,FALSE)</f>
        <v>150</v>
      </c>
      <c r="AJ342" s="5">
        <f>VLOOKUP($A342,'NonXtal_SegEnds_Prot#'!$A:$AL,23,FALSE)</f>
        <v>177</v>
      </c>
      <c r="AK342" s="5">
        <f>VLOOKUP($A342,'NonXtal_SegEnds_Prot#'!$A:$AL,26,FALSE)</f>
        <v>190</v>
      </c>
      <c r="AL342" s="5">
        <f>VLOOKUP($A342,'NonXtal_SegEnds_Prot#'!$A:$AL,29,FALSE)</f>
        <v>234</v>
      </c>
      <c r="AM342" s="5">
        <f>VLOOKUP($A342,'NonXtal_SegEnds_Prot#'!$A:$AL,32,FALSE)</f>
        <v>278</v>
      </c>
      <c r="AN342" s="5">
        <f>VLOOKUP($A342,'NonXtal_SegEnds_Prot#'!$A:$AL,35,FALSE)</f>
        <v>314</v>
      </c>
      <c r="AO342" s="5">
        <f>VLOOKUP($A342,'NonXtal_SegEnds_Prot#'!$A:$AL,38,FALSE)</f>
        <v>327</v>
      </c>
      <c r="AP342" s="5">
        <f t="shared" si="138"/>
        <v>30</v>
      </c>
      <c r="AQ342" s="4">
        <f t="shared" si="139"/>
        <v>3</v>
      </c>
      <c r="AR342" s="4">
        <f t="shared" si="140"/>
        <v>29</v>
      </c>
      <c r="AS342" s="4">
        <f t="shared" si="141"/>
        <v>3</v>
      </c>
      <c r="AT342" s="4">
        <f t="shared" si="142"/>
        <v>35</v>
      </c>
      <c r="AU342" s="4">
        <f t="shared" si="143"/>
        <v>7</v>
      </c>
      <c r="AV342" s="4">
        <f t="shared" si="144"/>
        <v>25</v>
      </c>
      <c r="AW342" s="4">
        <f t="shared" si="145"/>
        <v>2</v>
      </c>
      <c r="AX342" s="4">
        <f t="shared" si="146"/>
        <v>36</v>
      </c>
      <c r="AY342" s="4">
        <f t="shared" si="147"/>
        <v>36</v>
      </c>
      <c r="AZ342" s="4">
        <f t="shared" si="148"/>
        <v>32</v>
      </c>
      <c r="BA342" s="4">
        <f t="shared" si="149"/>
        <v>12</v>
      </c>
    </row>
    <row r="343" spans="1:53" x14ac:dyDescent="0.2">
      <c r="A343" s="1" t="str">
        <f>'NonXtal_SegEnds_Prot#'!A336</f>
        <v>cltr2_human</v>
      </c>
      <c r="B343" s="1" t="str">
        <f t="shared" si="125"/>
        <v>FKREFFPIVYLIIFFWGVLGNGLSIYVFLQPTSVNVFMLNLAISDLLFISTLPFRADYYLRGDLACRIMSYSLYVNMYSSIYFLTVLSVVRFLAMVHIRSAWILCGIIWILIMASSIMLLDSGIAKLQTMNYIALVVGCLLPFFTLSICYLLIIRVLLKVVSHRKALTTIIITLIIFFLCFLPYHTLRTVHLTTKDRLHKALVITLALAAANACFNPLLYYFAGENFKDRLKSALR</v>
      </c>
      <c r="C343" s="72" t="str">
        <f>IF(ISERROR(MATCH(A343,'Xtal_SegEnds_Prot#'!B:B, 0)), "NoXtal", "Xtal")</f>
        <v>NoXtal</v>
      </c>
      <c r="D343" s="4" t="str">
        <f>VLOOKUP(A343,Classification!A:D,2,FALSE)</f>
        <v>A</v>
      </c>
      <c r="E343" s="5" t="str">
        <f>VLOOKUP(A343,Seqs!A:B,2,FALSE)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343" s="5" t="str">
        <f t="shared" si="126"/>
        <v>FKREFFPIVYLIIFFWGVLGNGLSIYVFLQP</v>
      </c>
      <c r="G343" s="4" t="str">
        <f t="shared" si="127"/>
        <v/>
      </c>
      <c r="H343" s="4" t="str">
        <f t="shared" si="128"/>
        <v>TSVNVFMLNLAISDLLFISTLPFRADYYLR</v>
      </c>
      <c r="I343" s="4" t="str">
        <f t="shared" si="129"/>
        <v>NWIF</v>
      </c>
      <c r="J343" s="4" t="str">
        <f t="shared" si="130"/>
        <v>GDLACRIMSYSLYVNMYSSIYFLTVLSVVRFLAMVH</v>
      </c>
      <c r="K343" s="4" t="str">
        <f t="shared" si="131"/>
        <v>PFRLLHVT</v>
      </c>
      <c r="L343" s="4" t="str">
        <f t="shared" si="132"/>
        <v>IRSAWILCGIIWILIMASSIMLLDSG</v>
      </c>
      <c r="M343" s="4" t="str">
        <f t="shared" si="133"/>
        <v>CLE</v>
      </c>
      <c r="N343" s="4" t="str">
        <f t="shared" si="134"/>
        <v>IAKLQTMNYIALVVGCLLPFFTLSICYLLIIRVLLKV</v>
      </c>
      <c r="O343" s="4" t="str">
        <f t="shared" si="135"/>
        <v>VSHRKALTTIIITLIIFFLCFLPYHTLRTVHLTT</v>
      </c>
      <c r="P343" s="4" t="str">
        <f t="shared" si="136"/>
        <v>KDRLHKALVITLALAAANACFNPLLYYFA</v>
      </c>
      <c r="Q343" s="4" t="str">
        <f t="shared" si="137"/>
        <v>GENFKDRLKSALR</v>
      </c>
      <c r="R343" s="5">
        <f>VLOOKUP($A343,'NonXtal_SegEnds_Prot#'!$A:$AL,3,FALSE)</f>
        <v>36</v>
      </c>
      <c r="S343" s="5" t="str">
        <f>VLOOKUP($A343,'NonXtal_SegEnds_Prot#'!$A:$AL,6,FALSE)</f>
        <v>-</v>
      </c>
      <c r="T343" s="5">
        <f>VLOOKUP($A343,'NonXtal_SegEnds_Prot#'!$A:$AL,9,FALSE)</f>
        <v>71</v>
      </c>
      <c r="U343" s="5">
        <f>VLOOKUP($A343,'NonXtal_SegEnds_Prot#'!$A:$AL,12,FALSE)</f>
        <v>103</v>
      </c>
      <c r="V343" s="5">
        <f>VLOOKUP($A343,'NonXtal_SegEnds_Prot#'!$A:$AL,15,FALSE)</f>
        <v>107</v>
      </c>
      <c r="W343" s="5">
        <f>VLOOKUP($A343,'NonXtal_SegEnds_Prot#'!$A:$AL,18,FALSE)</f>
        <v>143</v>
      </c>
      <c r="X343" s="5">
        <f>VLOOKUP($A343,'NonXtal_SegEnds_Prot#'!$A:$AL,21,FALSE)</f>
        <v>152</v>
      </c>
      <c r="Y343" s="5">
        <f>VLOOKUP($A343,'NonXtal_SegEnds_Prot#'!$A:$AL,24,FALSE)</f>
        <v>187</v>
      </c>
      <c r="Z343" s="5">
        <f>VLOOKUP($A343,'NonXtal_SegEnds_Prot#'!$A:$AL,27,FALSE)</f>
        <v>195</v>
      </c>
      <c r="AA343" s="5">
        <f>VLOOKUP($A343,'NonXtal_SegEnds_Prot#'!$A:$AL,30,FALSE)</f>
        <v>240</v>
      </c>
      <c r="AB343" s="5">
        <f>VLOOKUP($A343,'NonXtal_SegEnds_Prot#'!$A:$AL,33,FALSE)</f>
        <v>280</v>
      </c>
      <c r="AC343" s="5">
        <f>VLOOKUP($A343,'NonXtal_SegEnds_Prot#'!$A:$AL,36,FALSE)</f>
        <v>309</v>
      </c>
      <c r="AD343" s="5">
        <f>VLOOKUP($A343,'NonXtal_SegEnds_Prot#'!$A:$AL,5,FALSE)</f>
        <v>66</v>
      </c>
      <c r="AE343" s="5" t="str">
        <f>VLOOKUP($A343,'NonXtal_SegEnds_Prot#'!$A:$AL,8,FALSE)</f>
        <v>-</v>
      </c>
      <c r="AF343" s="5">
        <f>VLOOKUP($A343,'NonXtal_SegEnds_Prot#'!$A:$AL,11,FALSE)</f>
        <v>100</v>
      </c>
      <c r="AG343" s="5">
        <f>VLOOKUP($A343,'NonXtal_SegEnds_Prot#'!$A:$AL,14,FALSE)</f>
        <v>106</v>
      </c>
      <c r="AH343" s="5">
        <f>VLOOKUP($A343,'NonXtal_SegEnds_Prot#'!$A:$AL,17,FALSE)</f>
        <v>142</v>
      </c>
      <c r="AI343" s="5">
        <f>VLOOKUP($A343,'NonXtal_SegEnds_Prot#'!$A:$AL,20,FALSE)</f>
        <v>150</v>
      </c>
      <c r="AJ343" s="5">
        <f>VLOOKUP($A343,'NonXtal_SegEnds_Prot#'!$A:$AL,23,FALSE)</f>
        <v>177</v>
      </c>
      <c r="AK343" s="5">
        <f>VLOOKUP($A343,'NonXtal_SegEnds_Prot#'!$A:$AL,26,FALSE)</f>
        <v>189</v>
      </c>
      <c r="AL343" s="5">
        <f>VLOOKUP($A343,'NonXtal_SegEnds_Prot#'!$A:$AL,29,FALSE)</f>
        <v>231</v>
      </c>
      <c r="AM343" s="5">
        <f>VLOOKUP($A343,'NonXtal_SegEnds_Prot#'!$A:$AL,32,FALSE)</f>
        <v>273</v>
      </c>
      <c r="AN343" s="5">
        <f>VLOOKUP($A343,'NonXtal_SegEnds_Prot#'!$A:$AL,35,FALSE)</f>
        <v>308</v>
      </c>
      <c r="AO343" s="5">
        <f>VLOOKUP($A343,'NonXtal_SegEnds_Prot#'!$A:$AL,38,FALSE)</f>
        <v>321</v>
      </c>
      <c r="AP343" s="5">
        <f t="shared" si="138"/>
        <v>30</v>
      </c>
      <c r="AQ343" s="4" t="str">
        <f t="shared" si="139"/>
        <v>-</v>
      </c>
      <c r="AR343" s="4">
        <f t="shared" si="140"/>
        <v>29</v>
      </c>
      <c r="AS343" s="4">
        <f t="shared" si="141"/>
        <v>3</v>
      </c>
      <c r="AT343" s="4">
        <f t="shared" si="142"/>
        <v>35</v>
      </c>
      <c r="AU343" s="4">
        <f t="shared" si="143"/>
        <v>7</v>
      </c>
      <c r="AV343" s="4">
        <f t="shared" si="144"/>
        <v>25</v>
      </c>
      <c r="AW343" s="4">
        <f t="shared" si="145"/>
        <v>2</v>
      </c>
      <c r="AX343" s="4">
        <f t="shared" si="146"/>
        <v>36</v>
      </c>
      <c r="AY343" s="4">
        <f t="shared" si="147"/>
        <v>33</v>
      </c>
      <c r="AZ343" s="4">
        <f t="shared" si="148"/>
        <v>28</v>
      </c>
      <c r="BA343" s="4">
        <f t="shared" si="149"/>
        <v>12</v>
      </c>
    </row>
    <row r="344" spans="1:53" x14ac:dyDescent="0.2">
      <c r="A344" s="1" t="str">
        <f>'NonXtal_SegEnds_Prot#'!A337</f>
        <v>gp132_human</v>
      </c>
      <c r="B344" s="1" t="str">
        <f t="shared" si="125"/>
        <v>ESRIVLVVVYSAVCTLGVPANCLTAWLALLQNVLAVYLLCLALCELLYTGTLPLWVIYIRNGLLACKVTAYIFFCNIYVSILFLCCISCDRFVAVVYRRTAILISACIFILVGIVHYPVFQTEDSRIAGYYYARFTVGFAIPLSIIAFTNHRIFRSIKQSAAQKAKVKHSAIAVVVIFLVCFAPYHLVLLVKAAAFSYMCGLEERLYTASVVFLCLSTVNGVADPIIYVLATDHSRQEVSRIHK</v>
      </c>
      <c r="C344" s="72" t="str">
        <f>IF(ISERROR(MATCH(A344,'Xtal_SegEnds_Prot#'!B:B, 0)), "NoXtal", "Xtal")</f>
        <v>NoXtal</v>
      </c>
      <c r="D344" s="4" t="str">
        <f>VLOOKUP(A344,Classification!A:D,2,FALSE)</f>
        <v>A</v>
      </c>
      <c r="E344" s="5" t="str">
        <f>VLOOKUP(A344,Seqs!A:B,2,FALSE)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344" s="5" t="str">
        <f t="shared" si="126"/>
        <v>ESRIVLVVVYSAVCTLGVPANCLTAWLALLQ</v>
      </c>
      <c r="G344" s="4" t="str">
        <f t="shared" si="127"/>
        <v/>
      </c>
      <c r="H344" s="4" t="str">
        <f t="shared" si="128"/>
        <v>NVLAVYLLCLALCELLYTGTLPLWVIYIRN</v>
      </c>
      <c r="I344" s="4" t="str">
        <f t="shared" si="129"/>
        <v>RWTL</v>
      </c>
      <c r="J344" s="4" t="str">
        <f t="shared" si="130"/>
        <v>GLLACKVTAYIFFCNIYVSILFLCCISCDRFVAVVY</v>
      </c>
      <c r="K344" s="4" t="str">
        <f t="shared" si="131"/>
        <v/>
      </c>
      <c r="L344" s="4" t="str">
        <f t="shared" si="132"/>
        <v>RRTAILISACIFILVGIVHYPVFQTE</v>
      </c>
      <c r="M344" s="4" t="str">
        <f t="shared" si="133"/>
        <v>CFD</v>
      </c>
      <c r="N344" s="4" t="str">
        <f t="shared" si="134"/>
        <v>DSRIAGYYYARFTVGFAIPLSIIAFTNHRIFRSIKQ</v>
      </c>
      <c r="O344" s="4" t="str">
        <f t="shared" si="135"/>
        <v>SAAQKAKVKHSAIAVVVIFLVCFAPYHLVLLVKAAAFSY</v>
      </c>
      <c r="P344" s="4" t="str">
        <f t="shared" si="136"/>
        <v>MCGLEERLYTASVVFLCLSTVNGVADPIIYVLA</v>
      </c>
      <c r="Q344" s="4" t="str">
        <f t="shared" si="137"/>
        <v>TDHSRQEVSRIHK</v>
      </c>
      <c r="R344" s="5">
        <f>VLOOKUP($A344,'NonXtal_SegEnds_Prot#'!$A:$AL,3,FALSE)</f>
        <v>40</v>
      </c>
      <c r="S344" s="5" t="str">
        <f>VLOOKUP($A344,'NonXtal_SegEnds_Prot#'!$A:$AL,6,FALSE)</f>
        <v>-</v>
      </c>
      <c r="T344" s="5">
        <f>VLOOKUP($A344,'NonXtal_SegEnds_Prot#'!$A:$AL,9,FALSE)</f>
        <v>75</v>
      </c>
      <c r="U344" s="5">
        <f>VLOOKUP($A344,'NonXtal_SegEnds_Prot#'!$A:$AL,12,FALSE)</f>
        <v>107</v>
      </c>
      <c r="V344" s="5">
        <f>VLOOKUP($A344,'NonXtal_SegEnds_Prot#'!$A:$AL,15,FALSE)</f>
        <v>111</v>
      </c>
      <c r="W344" s="5" t="str">
        <f>VLOOKUP($A344,'NonXtal_SegEnds_Prot#'!$A:$AL,18,FALSE)</f>
        <v>-</v>
      </c>
      <c r="X344" s="5">
        <f>VLOOKUP($A344,'NonXtal_SegEnds_Prot#'!$A:$AL,21,FALSE)</f>
        <v>156</v>
      </c>
      <c r="Y344" s="5">
        <f>VLOOKUP($A344,'NonXtal_SegEnds_Prot#'!$A:$AL,24,FALSE)</f>
        <v>186</v>
      </c>
      <c r="Z344" s="5">
        <f>VLOOKUP($A344,'NonXtal_SegEnds_Prot#'!$A:$AL,27,FALSE)</f>
        <v>193</v>
      </c>
      <c r="AA344" s="5">
        <f>VLOOKUP($A344,'NonXtal_SegEnds_Prot#'!$A:$AL,30,FALSE)</f>
        <v>233</v>
      </c>
      <c r="AB344" s="5">
        <f>VLOOKUP($A344,'NonXtal_SegEnds_Prot#'!$A:$AL,33,FALSE)</f>
        <v>279</v>
      </c>
      <c r="AC344" s="5">
        <f>VLOOKUP($A344,'NonXtal_SegEnds_Prot#'!$A:$AL,36,FALSE)</f>
        <v>312</v>
      </c>
      <c r="AD344" s="5">
        <f>VLOOKUP($A344,'NonXtal_SegEnds_Prot#'!$A:$AL,5,FALSE)</f>
        <v>70</v>
      </c>
      <c r="AE344" s="5" t="str">
        <f>VLOOKUP($A344,'NonXtal_SegEnds_Prot#'!$A:$AL,8,FALSE)</f>
        <v>-</v>
      </c>
      <c r="AF344" s="5">
        <f>VLOOKUP($A344,'NonXtal_SegEnds_Prot#'!$A:$AL,11,FALSE)</f>
        <v>104</v>
      </c>
      <c r="AG344" s="5">
        <f>VLOOKUP($A344,'NonXtal_SegEnds_Prot#'!$A:$AL,14,FALSE)</f>
        <v>110</v>
      </c>
      <c r="AH344" s="5">
        <f>VLOOKUP($A344,'NonXtal_SegEnds_Prot#'!$A:$AL,17,FALSE)</f>
        <v>146</v>
      </c>
      <c r="AI344" s="5" t="str">
        <f>VLOOKUP($A344,'NonXtal_SegEnds_Prot#'!$A:$AL,20,FALSE)</f>
        <v>-</v>
      </c>
      <c r="AJ344" s="5">
        <f>VLOOKUP($A344,'NonXtal_SegEnds_Prot#'!$A:$AL,23,FALSE)</f>
        <v>181</v>
      </c>
      <c r="AK344" s="5">
        <f>VLOOKUP($A344,'NonXtal_SegEnds_Prot#'!$A:$AL,26,FALSE)</f>
        <v>188</v>
      </c>
      <c r="AL344" s="5">
        <f>VLOOKUP($A344,'NonXtal_SegEnds_Prot#'!$A:$AL,29,FALSE)</f>
        <v>228</v>
      </c>
      <c r="AM344" s="5">
        <f>VLOOKUP($A344,'NonXtal_SegEnds_Prot#'!$A:$AL,32,FALSE)</f>
        <v>271</v>
      </c>
      <c r="AN344" s="5">
        <f>VLOOKUP($A344,'NonXtal_SegEnds_Prot#'!$A:$AL,35,FALSE)</f>
        <v>311</v>
      </c>
      <c r="AO344" s="5">
        <f>VLOOKUP($A344,'NonXtal_SegEnds_Prot#'!$A:$AL,38,FALSE)</f>
        <v>324</v>
      </c>
      <c r="AP344" s="5">
        <f t="shared" si="138"/>
        <v>30</v>
      </c>
      <c r="AQ344" s="4" t="str">
        <f t="shared" si="139"/>
        <v>-</v>
      </c>
      <c r="AR344" s="4">
        <f t="shared" si="140"/>
        <v>29</v>
      </c>
      <c r="AS344" s="4">
        <f t="shared" si="141"/>
        <v>3</v>
      </c>
      <c r="AT344" s="4">
        <f t="shared" si="142"/>
        <v>35</v>
      </c>
      <c r="AU344" s="4" t="str">
        <f t="shared" si="143"/>
        <v>-</v>
      </c>
      <c r="AV344" s="4">
        <f t="shared" si="144"/>
        <v>25</v>
      </c>
      <c r="AW344" s="4">
        <f t="shared" si="145"/>
        <v>2</v>
      </c>
      <c r="AX344" s="4">
        <f t="shared" si="146"/>
        <v>35</v>
      </c>
      <c r="AY344" s="4">
        <f t="shared" si="147"/>
        <v>38</v>
      </c>
      <c r="AZ344" s="4">
        <f t="shared" si="148"/>
        <v>32</v>
      </c>
      <c r="BA344" s="4">
        <f t="shared" si="149"/>
        <v>12</v>
      </c>
    </row>
    <row r="345" spans="1:53" x14ac:dyDescent="0.2">
      <c r="A345" s="1" t="str">
        <f>'NonXtal_SegEnds_Prot#'!A338</f>
        <v>p2ry4_human</v>
      </c>
      <c r="B345" s="1" t="str">
        <f t="shared" si="125"/>
        <v>FKFILLPVSYAVVFVLGLGLNAPTLWLFIFRDATATYMFHLALSDTLYVLSLPTLIYYYAAGTEICKFVRFLFYWNLYCSVLFLTCISVHRYLGICHPRLAGLLCLAVWLVVAGCLVPNLFFVFDHYVHFSSAVMGLLFGVPCLVTLVCYGLMARRLYQPSSRLRSLRTIAVVLTVFAVCFVPFHITRTIYYLADCRVLNIVNVVYKVTRPLASANSCLDPVLYLLTGDKYRRQLRQLCG</v>
      </c>
      <c r="C345" s="72" t="str">
        <f>IF(ISERROR(MATCH(A345,'Xtal_SegEnds_Prot#'!B:B, 0)), "NoXtal", "Xtal")</f>
        <v>NoXtal</v>
      </c>
      <c r="D345" s="4" t="str">
        <f>VLOOKUP(A345,Classification!A:D,2,FALSE)</f>
        <v>A</v>
      </c>
      <c r="E345" s="5" t="str">
        <f>VLOOKUP(A345,Seqs!A:B,2,FALSE)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345" s="5" t="str">
        <f t="shared" si="126"/>
        <v>FKFILLPVSYAVVFVLGLGLNAPTLWLFIFR</v>
      </c>
      <c r="G345" s="4" t="str">
        <f t="shared" si="127"/>
        <v/>
      </c>
      <c r="H345" s="4" t="str">
        <f t="shared" si="128"/>
        <v>DATATYMFHLALSDTLYVLSLPTLIYYYAA</v>
      </c>
      <c r="I345" s="4" t="str">
        <f t="shared" si="129"/>
        <v>HWPF</v>
      </c>
      <c r="J345" s="4" t="str">
        <f t="shared" si="130"/>
        <v>GTEICKFVRFLFYWNLYCSVLFLTCISVHRYLGICH</v>
      </c>
      <c r="K345" s="4" t="str">
        <f t="shared" si="131"/>
        <v>PLRALRWG</v>
      </c>
      <c r="L345" s="4" t="str">
        <f t="shared" si="132"/>
        <v>PRLAGLLCLAVWLVVAGCLVPNLFFV</v>
      </c>
      <c r="M345" s="4" t="str">
        <f t="shared" si="133"/>
        <v>CHD</v>
      </c>
      <c r="N345" s="4" t="str">
        <f t="shared" si="134"/>
        <v>FDHYVHFSSAVMGLLFGVPCLVTLVCYGLMARRLYQP</v>
      </c>
      <c r="O345" s="4" t="str">
        <f t="shared" si="135"/>
        <v>SSRLRSLRTIAVVLTVFAVCFVPFHITRTIYYLA</v>
      </c>
      <c r="P345" s="4" t="str">
        <f t="shared" si="136"/>
        <v>DCRVLNIVNVVYKVTRPLASANSCLDPVLYLLT</v>
      </c>
      <c r="Q345" s="4" t="str">
        <f t="shared" si="137"/>
        <v>GDKYRRQLRQLCG</v>
      </c>
      <c r="R345" s="5">
        <f>VLOOKUP($A345,'NonXtal_SegEnds_Prot#'!$A:$AL,3,FALSE)</f>
        <v>33</v>
      </c>
      <c r="S345" s="5" t="str">
        <f>VLOOKUP($A345,'NonXtal_SegEnds_Prot#'!$A:$AL,6,FALSE)</f>
        <v>-</v>
      </c>
      <c r="T345" s="5">
        <f>VLOOKUP($A345,'NonXtal_SegEnds_Prot#'!$A:$AL,9,FALSE)</f>
        <v>68</v>
      </c>
      <c r="U345" s="5">
        <f>VLOOKUP($A345,'NonXtal_SegEnds_Prot#'!$A:$AL,12,FALSE)</f>
        <v>100</v>
      </c>
      <c r="V345" s="5">
        <f>VLOOKUP($A345,'NonXtal_SegEnds_Prot#'!$A:$AL,15,FALSE)</f>
        <v>104</v>
      </c>
      <c r="W345" s="5">
        <f>VLOOKUP($A345,'NonXtal_SegEnds_Prot#'!$A:$AL,18,FALSE)</f>
        <v>140</v>
      </c>
      <c r="X345" s="5">
        <f>VLOOKUP($A345,'NonXtal_SegEnds_Prot#'!$A:$AL,21,FALSE)</f>
        <v>149</v>
      </c>
      <c r="Y345" s="5">
        <f>VLOOKUP($A345,'NonXtal_SegEnds_Prot#'!$A:$AL,24,FALSE)</f>
        <v>185</v>
      </c>
      <c r="Z345" s="5">
        <f>VLOOKUP($A345,'NonXtal_SegEnds_Prot#'!$A:$AL,27,FALSE)</f>
        <v>194</v>
      </c>
      <c r="AA345" s="5">
        <f>VLOOKUP($A345,'NonXtal_SegEnds_Prot#'!$A:$AL,30,FALSE)</f>
        <v>238</v>
      </c>
      <c r="AB345" s="5">
        <f>VLOOKUP($A345,'NonXtal_SegEnds_Prot#'!$A:$AL,33,FALSE)</f>
        <v>277</v>
      </c>
      <c r="AC345" s="5">
        <f>VLOOKUP($A345,'NonXtal_SegEnds_Prot#'!$A:$AL,36,FALSE)</f>
        <v>310</v>
      </c>
      <c r="AD345" s="5">
        <f>VLOOKUP($A345,'NonXtal_SegEnds_Prot#'!$A:$AL,5,FALSE)</f>
        <v>63</v>
      </c>
      <c r="AE345" s="5" t="str">
        <f>VLOOKUP($A345,'NonXtal_SegEnds_Prot#'!$A:$AL,8,FALSE)</f>
        <v>-</v>
      </c>
      <c r="AF345" s="5">
        <f>VLOOKUP($A345,'NonXtal_SegEnds_Prot#'!$A:$AL,11,FALSE)</f>
        <v>97</v>
      </c>
      <c r="AG345" s="5">
        <f>VLOOKUP($A345,'NonXtal_SegEnds_Prot#'!$A:$AL,14,FALSE)</f>
        <v>103</v>
      </c>
      <c r="AH345" s="5">
        <f>VLOOKUP($A345,'NonXtal_SegEnds_Prot#'!$A:$AL,17,FALSE)</f>
        <v>139</v>
      </c>
      <c r="AI345" s="5">
        <f>VLOOKUP($A345,'NonXtal_SegEnds_Prot#'!$A:$AL,20,FALSE)</f>
        <v>147</v>
      </c>
      <c r="AJ345" s="5">
        <f>VLOOKUP($A345,'NonXtal_SegEnds_Prot#'!$A:$AL,23,FALSE)</f>
        <v>174</v>
      </c>
      <c r="AK345" s="5">
        <f>VLOOKUP($A345,'NonXtal_SegEnds_Prot#'!$A:$AL,26,FALSE)</f>
        <v>187</v>
      </c>
      <c r="AL345" s="5">
        <f>VLOOKUP($A345,'NonXtal_SegEnds_Prot#'!$A:$AL,29,FALSE)</f>
        <v>230</v>
      </c>
      <c r="AM345" s="5">
        <f>VLOOKUP($A345,'NonXtal_SegEnds_Prot#'!$A:$AL,32,FALSE)</f>
        <v>271</v>
      </c>
      <c r="AN345" s="5">
        <f>VLOOKUP($A345,'NonXtal_SegEnds_Prot#'!$A:$AL,35,FALSE)</f>
        <v>309</v>
      </c>
      <c r="AO345" s="5">
        <f>VLOOKUP($A345,'NonXtal_SegEnds_Prot#'!$A:$AL,38,FALSE)</f>
        <v>322</v>
      </c>
      <c r="AP345" s="5">
        <f t="shared" si="138"/>
        <v>30</v>
      </c>
      <c r="AQ345" s="4" t="str">
        <f t="shared" si="139"/>
        <v>-</v>
      </c>
      <c r="AR345" s="4">
        <f t="shared" si="140"/>
        <v>29</v>
      </c>
      <c r="AS345" s="4">
        <f t="shared" si="141"/>
        <v>3</v>
      </c>
      <c r="AT345" s="4">
        <f t="shared" si="142"/>
        <v>35</v>
      </c>
      <c r="AU345" s="4">
        <f t="shared" si="143"/>
        <v>7</v>
      </c>
      <c r="AV345" s="4">
        <f t="shared" si="144"/>
        <v>25</v>
      </c>
      <c r="AW345" s="4">
        <f t="shared" si="145"/>
        <v>2</v>
      </c>
      <c r="AX345" s="4">
        <f t="shared" si="146"/>
        <v>36</v>
      </c>
      <c r="AY345" s="4">
        <f t="shared" si="147"/>
        <v>33</v>
      </c>
      <c r="AZ345" s="4">
        <f t="shared" si="148"/>
        <v>32</v>
      </c>
      <c r="BA345" s="4">
        <f t="shared" si="149"/>
        <v>12</v>
      </c>
    </row>
    <row r="346" spans="1:53" x14ac:dyDescent="0.2">
      <c r="A346" s="1" t="str">
        <f>'NonXtal_SegEnds_Prot#'!A339</f>
        <v>oxgr1_human</v>
      </c>
      <c r="B346" s="1" t="str">
        <f t="shared" si="125"/>
        <v>LKMHYLPVIYGIIFLVGFPGNAVVISTYIFKKSSTIIMLNLACTDLLYLTSLPFLIHYYASGDFMCKFIRFSFHFNLYSSILFLTCFSIFRYCVIIHTRCAVVACAVVWIISLVAVIPMTFLILNTIKWYNLILTATTFCLPLVIVTLCYTTIIHTLTHDSCLKQKARRLTILLLLAFYVCFLPFHILRVIRIESSCSIENQIHEAYIVSRPLAALNTFGNLLLYVVVSDNFQQAVCSTVR</v>
      </c>
      <c r="C346" s="72" t="str">
        <f>IF(ISERROR(MATCH(A346,'Xtal_SegEnds_Prot#'!B:B, 0)), "NoXtal", "Xtal")</f>
        <v>NoXtal</v>
      </c>
      <c r="D346" s="4" t="str">
        <f>VLOOKUP(A346,Classification!A:D,2,FALSE)</f>
        <v>A</v>
      </c>
      <c r="E346" s="5" t="str">
        <f>VLOOKUP(A346,Seqs!A:B,2,FALSE)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346" s="5" t="str">
        <f t="shared" si="126"/>
        <v>LKMHYLPVIYGIIFLVGFPGNAVVISTYIFK</v>
      </c>
      <c r="G346" s="4" t="str">
        <f t="shared" si="127"/>
        <v/>
      </c>
      <c r="H346" s="4" t="str">
        <f t="shared" si="128"/>
        <v>KSSTIIMLNLACTDLLYLTSLPFLIHYYAS</v>
      </c>
      <c r="I346" s="4" t="str">
        <f t="shared" si="129"/>
        <v>NWIF</v>
      </c>
      <c r="J346" s="4" t="str">
        <f t="shared" si="130"/>
        <v>GDFMCKFIRFSFHFNLYSSILFLTCFSIFRYCVIIH</v>
      </c>
      <c r="K346" s="4" t="str">
        <f t="shared" si="131"/>
        <v>PMSCFSIH</v>
      </c>
      <c r="L346" s="4" t="str">
        <f t="shared" si="132"/>
        <v>TRCAVVACAVVWIISLVAVIPMTFLI</v>
      </c>
      <c r="M346" s="4" t="str">
        <f t="shared" si="133"/>
        <v>CLD</v>
      </c>
      <c r="N346" s="4" t="str">
        <f t="shared" si="134"/>
        <v>LNTIKWYNLILTATTFCLPLVIVTLCYTTIIHTLTH</v>
      </c>
      <c r="O346" s="4" t="str">
        <f t="shared" si="135"/>
        <v>DSCLKQKARRLTILLLLAFYVCFLPFHILRVIRIES</v>
      </c>
      <c r="P346" s="4" t="str">
        <f t="shared" si="136"/>
        <v>SCSIENQIHEAYIVSRPLAALNTFGNLLLYVVV</v>
      </c>
      <c r="Q346" s="4" t="str">
        <f t="shared" si="137"/>
        <v>SDNFQQAVCSTVR</v>
      </c>
      <c r="R346" s="5">
        <f>VLOOKUP($A346,'NonXtal_SegEnds_Prot#'!$A:$AL,3,FALSE)</f>
        <v>31</v>
      </c>
      <c r="S346" s="5" t="str">
        <f>VLOOKUP($A346,'NonXtal_SegEnds_Prot#'!$A:$AL,6,FALSE)</f>
        <v>-</v>
      </c>
      <c r="T346" s="5">
        <f>VLOOKUP($A346,'NonXtal_SegEnds_Prot#'!$A:$AL,9,FALSE)</f>
        <v>66</v>
      </c>
      <c r="U346" s="5">
        <f>VLOOKUP($A346,'NonXtal_SegEnds_Prot#'!$A:$AL,12,FALSE)</f>
        <v>98</v>
      </c>
      <c r="V346" s="5">
        <f>VLOOKUP($A346,'NonXtal_SegEnds_Prot#'!$A:$AL,15,FALSE)</f>
        <v>102</v>
      </c>
      <c r="W346" s="5">
        <f>VLOOKUP($A346,'NonXtal_SegEnds_Prot#'!$A:$AL,18,FALSE)</f>
        <v>138</v>
      </c>
      <c r="X346" s="5">
        <f>VLOOKUP($A346,'NonXtal_SegEnds_Prot#'!$A:$AL,21,FALSE)</f>
        <v>147</v>
      </c>
      <c r="Y346" s="5">
        <f>VLOOKUP($A346,'NonXtal_SegEnds_Prot#'!$A:$AL,24,FALSE)</f>
        <v>183</v>
      </c>
      <c r="Z346" s="5">
        <f>VLOOKUP($A346,'NonXtal_SegEnds_Prot#'!$A:$AL,27,FALSE)</f>
        <v>192</v>
      </c>
      <c r="AA346" s="5">
        <f>VLOOKUP($A346,'NonXtal_SegEnds_Prot#'!$A:$AL,30,FALSE)</f>
        <v>232</v>
      </c>
      <c r="AB346" s="5">
        <f>VLOOKUP($A346,'NonXtal_SegEnds_Prot#'!$A:$AL,33,FALSE)</f>
        <v>273</v>
      </c>
      <c r="AC346" s="5">
        <f>VLOOKUP($A346,'NonXtal_SegEnds_Prot#'!$A:$AL,36,FALSE)</f>
        <v>306</v>
      </c>
      <c r="AD346" s="5">
        <f>VLOOKUP($A346,'NonXtal_SegEnds_Prot#'!$A:$AL,5,FALSE)</f>
        <v>61</v>
      </c>
      <c r="AE346" s="5" t="str">
        <f>VLOOKUP($A346,'NonXtal_SegEnds_Prot#'!$A:$AL,8,FALSE)</f>
        <v>-</v>
      </c>
      <c r="AF346" s="5">
        <f>VLOOKUP($A346,'NonXtal_SegEnds_Prot#'!$A:$AL,11,FALSE)</f>
        <v>95</v>
      </c>
      <c r="AG346" s="5">
        <f>VLOOKUP($A346,'NonXtal_SegEnds_Prot#'!$A:$AL,14,FALSE)</f>
        <v>101</v>
      </c>
      <c r="AH346" s="5">
        <f>VLOOKUP($A346,'NonXtal_SegEnds_Prot#'!$A:$AL,17,FALSE)</f>
        <v>137</v>
      </c>
      <c r="AI346" s="5">
        <f>VLOOKUP($A346,'NonXtal_SegEnds_Prot#'!$A:$AL,20,FALSE)</f>
        <v>145</v>
      </c>
      <c r="AJ346" s="5">
        <f>VLOOKUP($A346,'NonXtal_SegEnds_Prot#'!$A:$AL,23,FALSE)</f>
        <v>172</v>
      </c>
      <c r="AK346" s="5">
        <f>VLOOKUP($A346,'NonXtal_SegEnds_Prot#'!$A:$AL,26,FALSE)</f>
        <v>185</v>
      </c>
      <c r="AL346" s="5">
        <f>VLOOKUP($A346,'NonXtal_SegEnds_Prot#'!$A:$AL,29,FALSE)</f>
        <v>227</v>
      </c>
      <c r="AM346" s="5">
        <f>VLOOKUP($A346,'NonXtal_SegEnds_Prot#'!$A:$AL,32,FALSE)</f>
        <v>267</v>
      </c>
      <c r="AN346" s="5">
        <f>VLOOKUP($A346,'NonXtal_SegEnds_Prot#'!$A:$AL,35,FALSE)</f>
        <v>305</v>
      </c>
      <c r="AO346" s="5">
        <f>VLOOKUP($A346,'NonXtal_SegEnds_Prot#'!$A:$AL,38,FALSE)</f>
        <v>318</v>
      </c>
      <c r="AP346" s="5">
        <f t="shared" si="138"/>
        <v>30</v>
      </c>
      <c r="AQ346" s="4" t="str">
        <f t="shared" si="139"/>
        <v>-</v>
      </c>
      <c r="AR346" s="4">
        <f t="shared" si="140"/>
        <v>29</v>
      </c>
      <c r="AS346" s="4">
        <f t="shared" si="141"/>
        <v>3</v>
      </c>
      <c r="AT346" s="4">
        <f t="shared" si="142"/>
        <v>35</v>
      </c>
      <c r="AU346" s="4">
        <f t="shared" si="143"/>
        <v>7</v>
      </c>
      <c r="AV346" s="4">
        <f t="shared" si="144"/>
        <v>25</v>
      </c>
      <c r="AW346" s="4">
        <f t="shared" si="145"/>
        <v>2</v>
      </c>
      <c r="AX346" s="4">
        <f t="shared" si="146"/>
        <v>35</v>
      </c>
      <c r="AY346" s="4">
        <f t="shared" si="147"/>
        <v>35</v>
      </c>
      <c r="AZ346" s="4">
        <f t="shared" si="148"/>
        <v>32</v>
      </c>
      <c r="BA346" s="4">
        <f t="shared" si="149"/>
        <v>12</v>
      </c>
    </row>
    <row r="347" spans="1:53" x14ac:dyDescent="0.2">
      <c r="A347" s="1" t="str">
        <f>'NonXtal_SegEnds_Prot#'!A340</f>
        <v>p2ry2_human</v>
      </c>
      <c r="B347" s="1" t="str">
        <f t="shared" si="125"/>
        <v>FKYVLLPVSYGVVCVPGLCLNAVALYIFLCRNASTTYMFHLAVSDALYAASLPLLVYYYARSTVLCKLVRFLFYTNLYCSILFLTCISVHRCLGVLRARYARRVAGAVWVLVLACQAPVLYFVFSRFVAYSSVMLGLLFAVPFAVILVCYVLMARRLLKPAYGTAKRKSVRTIAVVLAVFALCFLPFHVTRTLYYSFSCHTLNAINMAYKVTRPLASANSCLDPVLYFLAGQRLVRFARDAKP</v>
      </c>
      <c r="C347" s="72" t="str">
        <f>IF(ISERROR(MATCH(A347,'Xtal_SegEnds_Prot#'!B:B, 0)), "NoXtal", "Xtal")</f>
        <v>NoXtal</v>
      </c>
      <c r="D347" s="4" t="str">
        <f>VLOOKUP(A347,Classification!A:D,2,FALSE)</f>
        <v>A</v>
      </c>
      <c r="E347" s="5" t="str">
        <f>VLOOKUP(A347,Seqs!A:B,2,FALSE)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347" s="5" t="str">
        <f t="shared" si="126"/>
        <v>FKYVLLPVSYGVVCVPGLCLNAVALYIFLCR</v>
      </c>
      <c r="G347" s="4" t="str">
        <f t="shared" si="127"/>
        <v/>
      </c>
      <c r="H347" s="4" t="str">
        <f t="shared" si="128"/>
        <v>NASTTYMFHLAVSDALYAASLPLLVYYYAR</v>
      </c>
      <c r="I347" s="4" t="str">
        <f t="shared" si="129"/>
        <v>HWPF</v>
      </c>
      <c r="J347" s="4" t="str">
        <f t="shared" si="130"/>
        <v>STVLCKLVRFLFYTNLYCSILFLTCISVHRCLGVLR</v>
      </c>
      <c r="K347" s="4" t="str">
        <f t="shared" si="131"/>
        <v>PLRSLRWG</v>
      </c>
      <c r="L347" s="4" t="str">
        <f t="shared" si="132"/>
        <v>ARYARRVAGAVWVLVLACQAPVLYFV</v>
      </c>
      <c r="M347" s="4" t="str">
        <f t="shared" si="133"/>
        <v>CHD</v>
      </c>
      <c r="N347" s="4" t="str">
        <f t="shared" si="134"/>
        <v>FSRFVAYSSVMLGLLFAVPFAVILVCYVLMARRLLKPAYGT</v>
      </c>
      <c r="O347" s="4" t="str">
        <f t="shared" si="135"/>
        <v>AKRKSVRTIAVVLAVFALCFLPFHVTRTLYYSF</v>
      </c>
      <c r="P347" s="4" t="str">
        <f t="shared" si="136"/>
        <v>SCHTLNAINMAYKVTRPLASANSCLDPVLYFLA</v>
      </c>
      <c r="Q347" s="4" t="str">
        <f t="shared" si="137"/>
        <v>GQRLVRFARDAKP</v>
      </c>
      <c r="R347" s="5">
        <f>VLOOKUP($A347,'NonXtal_SegEnds_Prot#'!$A:$AL,3,FALSE)</f>
        <v>31</v>
      </c>
      <c r="S347" s="5" t="str">
        <f>VLOOKUP($A347,'NonXtal_SegEnds_Prot#'!$A:$AL,6,FALSE)</f>
        <v>-</v>
      </c>
      <c r="T347" s="5">
        <f>VLOOKUP($A347,'NonXtal_SegEnds_Prot#'!$A:$AL,9,FALSE)</f>
        <v>66</v>
      </c>
      <c r="U347" s="5">
        <f>VLOOKUP($A347,'NonXtal_SegEnds_Prot#'!$A:$AL,12,FALSE)</f>
        <v>98</v>
      </c>
      <c r="V347" s="5">
        <f>VLOOKUP($A347,'NonXtal_SegEnds_Prot#'!$A:$AL,15,FALSE)</f>
        <v>102</v>
      </c>
      <c r="W347" s="5">
        <f>VLOOKUP($A347,'NonXtal_SegEnds_Prot#'!$A:$AL,18,FALSE)</f>
        <v>138</v>
      </c>
      <c r="X347" s="5">
        <f>VLOOKUP($A347,'NonXtal_SegEnds_Prot#'!$A:$AL,21,FALSE)</f>
        <v>147</v>
      </c>
      <c r="Y347" s="5">
        <f>VLOOKUP($A347,'NonXtal_SegEnds_Prot#'!$A:$AL,24,FALSE)</f>
        <v>183</v>
      </c>
      <c r="Z347" s="5">
        <f>VLOOKUP($A347,'NonXtal_SegEnds_Prot#'!$A:$AL,27,FALSE)</f>
        <v>192</v>
      </c>
      <c r="AA347" s="5">
        <f>VLOOKUP($A347,'NonXtal_SegEnds_Prot#'!$A:$AL,30,FALSE)</f>
        <v>239</v>
      </c>
      <c r="AB347" s="5">
        <f>VLOOKUP($A347,'NonXtal_SegEnds_Prot#'!$A:$AL,33,FALSE)</f>
        <v>277</v>
      </c>
      <c r="AC347" s="5">
        <f>VLOOKUP($A347,'NonXtal_SegEnds_Prot#'!$A:$AL,36,FALSE)</f>
        <v>310</v>
      </c>
      <c r="AD347" s="5">
        <f>VLOOKUP($A347,'NonXtal_SegEnds_Prot#'!$A:$AL,5,FALSE)</f>
        <v>61</v>
      </c>
      <c r="AE347" s="5" t="str">
        <f>VLOOKUP($A347,'NonXtal_SegEnds_Prot#'!$A:$AL,8,FALSE)</f>
        <v>-</v>
      </c>
      <c r="AF347" s="5">
        <f>VLOOKUP($A347,'NonXtal_SegEnds_Prot#'!$A:$AL,11,FALSE)</f>
        <v>95</v>
      </c>
      <c r="AG347" s="5">
        <f>VLOOKUP($A347,'NonXtal_SegEnds_Prot#'!$A:$AL,14,FALSE)</f>
        <v>101</v>
      </c>
      <c r="AH347" s="5">
        <f>VLOOKUP($A347,'NonXtal_SegEnds_Prot#'!$A:$AL,17,FALSE)</f>
        <v>137</v>
      </c>
      <c r="AI347" s="5">
        <f>VLOOKUP($A347,'NonXtal_SegEnds_Prot#'!$A:$AL,20,FALSE)</f>
        <v>145</v>
      </c>
      <c r="AJ347" s="5">
        <f>VLOOKUP($A347,'NonXtal_SegEnds_Prot#'!$A:$AL,23,FALSE)</f>
        <v>172</v>
      </c>
      <c r="AK347" s="5">
        <f>VLOOKUP($A347,'NonXtal_SegEnds_Prot#'!$A:$AL,26,FALSE)</f>
        <v>185</v>
      </c>
      <c r="AL347" s="5">
        <f>VLOOKUP($A347,'NonXtal_SegEnds_Prot#'!$A:$AL,29,FALSE)</f>
        <v>232</v>
      </c>
      <c r="AM347" s="5">
        <f>VLOOKUP($A347,'NonXtal_SegEnds_Prot#'!$A:$AL,32,FALSE)</f>
        <v>271</v>
      </c>
      <c r="AN347" s="5">
        <f>VLOOKUP($A347,'NonXtal_SegEnds_Prot#'!$A:$AL,35,FALSE)</f>
        <v>309</v>
      </c>
      <c r="AO347" s="5">
        <f>VLOOKUP($A347,'NonXtal_SegEnds_Prot#'!$A:$AL,38,FALSE)</f>
        <v>322</v>
      </c>
      <c r="AP347" s="5">
        <f t="shared" si="138"/>
        <v>30</v>
      </c>
      <c r="AQ347" s="4" t="str">
        <f t="shared" si="139"/>
        <v>-</v>
      </c>
      <c r="AR347" s="4">
        <f t="shared" si="140"/>
        <v>29</v>
      </c>
      <c r="AS347" s="4">
        <f t="shared" si="141"/>
        <v>3</v>
      </c>
      <c r="AT347" s="4">
        <f t="shared" si="142"/>
        <v>35</v>
      </c>
      <c r="AU347" s="4">
        <f t="shared" si="143"/>
        <v>7</v>
      </c>
      <c r="AV347" s="4">
        <f t="shared" si="144"/>
        <v>25</v>
      </c>
      <c r="AW347" s="4">
        <f t="shared" si="145"/>
        <v>2</v>
      </c>
      <c r="AX347" s="4">
        <f t="shared" si="146"/>
        <v>40</v>
      </c>
      <c r="AY347" s="4">
        <f t="shared" si="147"/>
        <v>32</v>
      </c>
      <c r="AZ347" s="4">
        <f t="shared" si="148"/>
        <v>32</v>
      </c>
      <c r="BA347" s="4">
        <f t="shared" si="149"/>
        <v>12</v>
      </c>
    </row>
    <row r="348" spans="1:53" x14ac:dyDescent="0.2">
      <c r="A348" s="1" t="str">
        <f>'NonXtal_SegEnds_Prot#'!A341</f>
        <v>p2y10_human</v>
      </c>
      <c r="B348" s="1" t="str">
        <f t="shared" si="125"/>
        <v>FQYSLYATTYILIFIPGLLANSAALWVLCRFNKAIIFMINLSVADLAHVLSLPLRIYYYISQRALCLLCFYLKYLNMYASICFLTCISLQRCFFLLKRRYDVGISAAIWIVVGTACLPFPILRAVALVGMITVAELAGFVIPVIIIAWCTWKTTISLRQPSERQKALRMVFMCAAVFFICFTPYHINFIFYTMVKETSCPVVRIALYFHPFCLCLASLCCLLDPILYYFMASEFRDQLSRHGS</v>
      </c>
      <c r="C348" s="72" t="str">
        <f>IF(ISERROR(MATCH(A348,'Xtal_SegEnds_Prot#'!B:B, 0)), "NoXtal", "Xtal")</f>
        <v>NoXtal</v>
      </c>
      <c r="D348" s="4" t="str">
        <f>VLOOKUP(A348,Classification!A:D,2,FALSE)</f>
        <v>A</v>
      </c>
      <c r="E348" s="5" t="str">
        <f>VLOOKUP(A348,Seqs!A:B,2,FALSE)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348" s="5" t="str">
        <f t="shared" si="126"/>
        <v>FQYSLYATTYILIFIPGLLANSAALWVLCRF</v>
      </c>
      <c r="G348" s="4" t="str">
        <f t="shared" si="127"/>
        <v/>
      </c>
      <c r="H348" s="4" t="str">
        <f t="shared" si="128"/>
        <v>NKAIIFMINLSVADLAHVLSLPLRIYYYIS</v>
      </c>
      <c r="I348" s="4" t="str">
        <f t="shared" si="129"/>
        <v>HWPF</v>
      </c>
      <c r="J348" s="4" t="str">
        <f t="shared" si="130"/>
        <v>QRALCLLCFYLKYLNMYASICFLTCISLQRCFFLLK</v>
      </c>
      <c r="K348" s="4" t="str">
        <f t="shared" si="131"/>
        <v>PFRARDWK</v>
      </c>
      <c r="L348" s="4" t="str">
        <f t="shared" si="132"/>
        <v>RRYDVGISAAIWIVVGTACLPFPILR</v>
      </c>
      <c r="M348" s="4" t="str">
        <f t="shared" si="133"/>
        <v>CFA</v>
      </c>
      <c r="N348" s="4" t="str">
        <f t="shared" si="134"/>
        <v>AVALVGMITVAELAGFVIPVIIIAWCTWKTTISLRQP</v>
      </c>
      <c r="O348" s="4" t="str">
        <f t="shared" si="135"/>
        <v>SERQKALRMVFMCAAVFFICFTPYHINFIFYTMVKET</v>
      </c>
      <c r="P348" s="4" t="str">
        <f t="shared" si="136"/>
        <v>SCPVVRIALYFHPFCLCLASLCCLLDPILYYFM</v>
      </c>
      <c r="Q348" s="4" t="str">
        <f t="shared" si="137"/>
        <v>ASEFRDQLSRHGS</v>
      </c>
      <c r="R348" s="5">
        <f>VLOOKUP($A348,'NonXtal_SegEnds_Prot#'!$A:$AL,3,FALSE)</f>
        <v>32</v>
      </c>
      <c r="S348" s="5" t="str">
        <f>VLOOKUP($A348,'NonXtal_SegEnds_Prot#'!$A:$AL,6,FALSE)</f>
        <v>-</v>
      </c>
      <c r="T348" s="5">
        <f>VLOOKUP($A348,'NonXtal_SegEnds_Prot#'!$A:$AL,9,FALSE)</f>
        <v>67</v>
      </c>
      <c r="U348" s="5">
        <f>VLOOKUP($A348,'NonXtal_SegEnds_Prot#'!$A:$AL,12,FALSE)</f>
        <v>98</v>
      </c>
      <c r="V348" s="5">
        <f>VLOOKUP($A348,'NonXtal_SegEnds_Prot#'!$A:$AL,15,FALSE)</f>
        <v>102</v>
      </c>
      <c r="W348" s="5">
        <f>VLOOKUP($A348,'NonXtal_SegEnds_Prot#'!$A:$AL,18,FALSE)</f>
        <v>138</v>
      </c>
      <c r="X348" s="5">
        <f>VLOOKUP($A348,'NonXtal_SegEnds_Prot#'!$A:$AL,21,FALSE)</f>
        <v>146</v>
      </c>
      <c r="Y348" s="5">
        <f>VLOOKUP($A348,'NonXtal_SegEnds_Prot#'!$A:$AL,24,FALSE)</f>
        <v>181</v>
      </c>
      <c r="Z348" s="5">
        <f>VLOOKUP($A348,'NonXtal_SegEnds_Prot#'!$A:$AL,27,FALSE)</f>
        <v>192</v>
      </c>
      <c r="AA348" s="5">
        <f>VLOOKUP($A348,'NonXtal_SegEnds_Prot#'!$A:$AL,30,FALSE)</f>
        <v>236</v>
      </c>
      <c r="AB348" s="5">
        <f>VLOOKUP($A348,'NonXtal_SegEnds_Prot#'!$A:$AL,33,FALSE)</f>
        <v>276</v>
      </c>
      <c r="AC348" s="5">
        <f>VLOOKUP($A348,'NonXtal_SegEnds_Prot#'!$A:$AL,36,FALSE)</f>
        <v>309</v>
      </c>
      <c r="AD348" s="5">
        <f>VLOOKUP($A348,'NonXtal_SegEnds_Prot#'!$A:$AL,5,FALSE)</f>
        <v>62</v>
      </c>
      <c r="AE348" s="5" t="str">
        <f>VLOOKUP($A348,'NonXtal_SegEnds_Prot#'!$A:$AL,8,FALSE)</f>
        <v>-</v>
      </c>
      <c r="AF348" s="5">
        <f>VLOOKUP($A348,'NonXtal_SegEnds_Prot#'!$A:$AL,11,FALSE)</f>
        <v>96</v>
      </c>
      <c r="AG348" s="5">
        <f>VLOOKUP($A348,'NonXtal_SegEnds_Prot#'!$A:$AL,14,FALSE)</f>
        <v>101</v>
      </c>
      <c r="AH348" s="5">
        <f>VLOOKUP($A348,'NonXtal_SegEnds_Prot#'!$A:$AL,17,FALSE)</f>
        <v>137</v>
      </c>
      <c r="AI348" s="5">
        <f>VLOOKUP($A348,'NonXtal_SegEnds_Prot#'!$A:$AL,20,FALSE)</f>
        <v>145</v>
      </c>
      <c r="AJ348" s="5">
        <f>VLOOKUP($A348,'NonXtal_SegEnds_Prot#'!$A:$AL,23,FALSE)</f>
        <v>171</v>
      </c>
      <c r="AK348" s="5">
        <f>VLOOKUP($A348,'NonXtal_SegEnds_Prot#'!$A:$AL,26,FALSE)</f>
        <v>183</v>
      </c>
      <c r="AL348" s="5">
        <f>VLOOKUP($A348,'NonXtal_SegEnds_Prot#'!$A:$AL,29,FALSE)</f>
        <v>228</v>
      </c>
      <c r="AM348" s="5">
        <f>VLOOKUP($A348,'NonXtal_SegEnds_Prot#'!$A:$AL,32,FALSE)</f>
        <v>272</v>
      </c>
      <c r="AN348" s="5">
        <f>VLOOKUP($A348,'NonXtal_SegEnds_Prot#'!$A:$AL,35,FALSE)</f>
        <v>308</v>
      </c>
      <c r="AO348" s="5">
        <f>VLOOKUP($A348,'NonXtal_SegEnds_Prot#'!$A:$AL,38,FALSE)</f>
        <v>321</v>
      </c>
      <c r="AP348" s="5">
        <f t="shared" si="138"/>
        <v>30</v>
      </c>
      <c r="AQ348" s="4" t="str">
        <f t="shared" si="139"/>
        <v>-</v>
      </c>
      <c r="AR348" s="4">
        <f t="shared" si="140"/>
        <v>29</v>
      </c>
      <c r="AS348" s="4">
        <f t="shared" si="141"/>
        <v>3</v>
      </c>
      <c r="AT348" s="4">
        <f t="shared" si="142"/>
        <v>35</v>
      </c>
      <c r="AU348" s="4">
        <f t="shared" si="143"/>
        <v>7</v>
      </c>
      <c r="AV348" s="4">
        <f t="shared" si="144"/>
        <v>25</v>
      </c>
      <c r="AW348" s="4">
        <f t="shared" si="145"/>
        <v>2</v>
      </c>
      <c r="AX348" s="4">
        <f t="shared" si="146"/>
        <v>36</v>
      </c>
      <c r="AY348" s="4">
        <f t="shared" si="147"/>
        <v>36</v>
      </c>
      <c r="AZ348" s="4">
        <f t="shared" si="148"/>
        <v>32</v>
      </c>
      <c r="BA348" s="4">
        <f t="shared" si="149"/>
        <v>12</v>
      </c>
    </row>
    <row r="349" spans="1:53" x14ac:dyDescent="0.2">
      <c r="A349" s="1" t="str">
        <f>'NonXtal_SegEnds_Prot#'!A342</f>
        <v>hcar2_human</v>
      </c>
      <c r="B349" s="1" t="str">
        <f t="shared" si="125"/>
        <v>FIVKVLPPVLGLEFIFGLLGNGLALWIFCFHKSSRIFLFNLAVADFLLIICLPFLMDNYVRGDIPCRLMLFMLAMNRQGSIIFLTVVAVDRYFRVVHNRTAAIISCLLWGITIGLTVHLLKKKICHTFQWHEAMFLLEFFLPLGIILFCSARIIWSLRQRHAKIKRAITFIMVVAIVFVICFLPSVVVRIRIFWLLHTNCEVYRSVDLAFFITLSFTYMNSMLDPVVYYFSSPSFPNFFSTLIN</v>
      </c>
      <c r="C349" s="72" t="str">
        <f>IF(ISERROR(MATCH(A349,'Xtal_SegEnds_Prot#'!B:B, 0)), "NoXtal", "Xtal")</f>
        <v>NoXtal</v>
      </c>
      <c r="D349" s="4" t="str">
        <f>VLOOKUP(A349,Classification!A:D,2,FALSE)</f>
        <v>A</v>
      </c>
      <c r="E349" s="5" t="str">
        <f>VLOOKUP(A349,Seqs!A:B,2,FALSE)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349" s="5" t="str">
        <f t="shared" si="126"/>
        <v>FIVKVLPPVLGLEFIFGLLGNGLALWIFCFH</v>
      </c>
      <c r="G349" s="4" t="str">
        <f t="shared" si="127"/>
        <v/>
      </c>
      <c r="H349" s="4" t="str">
        <f t="shared" si="128"/>
        <v>KSSRIFLFNLAVADFLLIICLPFLMDNYVR</v>
      </c>
      <c r="I349" s="4" t="str">
        <f t="shared" si="129"/>
        <v>DWKF</v>
      </c>
      <c r="J349" s="4" t="str">
        <f t="shared" si="130"/>
        <v>GDIPCRLMLFMLAMNRQGSIIFLTVVAVDRYFRVVH</v>
      </c>
      <c r="K349" s="4" t="str">
        <f t="shared" si="131"/>
        <v>PHHALNKI</v>
      </c>
      <c r="L349" s="4" t="str">
        <f t="shared" si="132"/>
        <v>NRTAAIISCLLWGITIGLTVHLLKKK</v>
      </c>
      <c r="M349" s="4" t="str">
        <f t="shared" si="133"/>
        <v>CSS</v>
      </c>
      <c r="N349" s="4" t="str">
        <f t="shared" si="134"/>
        <v>ICHTFQWHEAMFLLEFFLPLGIILFCSARIIWSLRQ</v>
      </c>
      <c r="O349" s="4" t="str">
        <f t="shared" si="135"/>
        <v>RHAKIKRAITFIMVVAIVFVICFLPSVVVRIRIFWLLHT</v>
      </c>
      <c r="P349" s="4" t="str">
        <f t="shared" si="136"/>
        <v>NCEVYRSVDLAFFITLSFTYMNSMLDPVVYYFS</v>
      </c>
      <c r="Q349" s="4" t="str">
        <f t="shared" si="137"/>
        <v>SPSFPNFFSTLIN</v>
      </c>
      <c r="R349" s="5">
        <f>VLOOKUP($A349,'NonXtal_SegEnds_Prot#'!$A:$AL,3,FALSE)</f>
        <v>25</v>
      </c>
      <c r="S349" s="5" t="str">
        <f>VLOOKUP($A349,'NonXtal_SegEnds_Prot#'!$A:$AL,6,FALSE)</f>
        <v>-</v>
      </c>
      <c r="T349" s="5">
        <f>VLOOKUP($A349,'NonXtal_SegEnds_Prot#'!$A:$AL,9,FALSE)</f>
        <v>60</v>
      </c>
      <c r="U349" s="5">
        <f>VLOOKUP($A349,'NonXtal_SegEnds_Prot#'!$A:$AL,12,FALSE)</f>
        <v>92</v>
      </c>
      <c r="V349" s="5">
        <f>VLOOKUP($A349,'NonXtal_SegEnds_Prot#'!$A:$AL,15,FALSE)</f>
        <v>96</v>
      </c>
      <c r="W349" s="5">
        <f>VLOOKUP($A349,'NonXtal_SegEnds_Prot#'!$A:$AL,18,FALSE)</f>
        <v>132</v>
      </c>
      <c r="X349" s="5">
        <f>VLOOKUP($A349,'NonXtal_SegEnds_Prot#'!$A:$AL,21,FALSE)</f>
        <v>141</v>
      </c>
      <c r="Y349" s="5">
        <f>VLOOKUP($A349,'NonXtal_SegEnds_Prot#'!$A:$AL,24,FALSE)</f>
        <v>177</v>
      </c>
      <c r="Z349" s="5">
        <f>VLOOKUP($A349,'NonXtal_SegEnds_Prot#'!$A:$AL,27,FALSE)</f>
        <v>182</v>
      </c>
      <c r="AA349" s="5">
        <f>VLOOKUP($A349,'NonXtal_SegEnds_Prot#'!$A:$AL,30,FALSE)</f>
        <v>222</v>
      </c>
      <c r="AB349" s="5">
        <f>VLOOKUP($A349,'NonXtal_SegEnds_Prot#'!$A:$AL,33,FALSE)</f>
        <v>265</v>
      </c>
      <c r="AC349" s="5">
        <f>VLOOKUP($A349,'NonXtal_SegEnds_Prot#'!$A:$AL,36,FALSE)</f>
        <v>298</v>
      </c>
      <c r="AD349" s="5">
        <f>VLOOKUP($A349,'NonXtal_SegEnds_Prot#'!$A:$AL,5,FALSE)</f>
        <v>55</v>
      </c>
      <c r="AE349" s="5" t="str">
        <f>VLOOKUP($A349,'NonXtal_SegEnds_Prot#'!$A:$AL,8,FALSE)</f>
        <v>-</v>
      </c>
      <c r="AF349" s="5">
        <f>VLOOKUP($A349,'NonXtal_SegEnds_Prot#'!$A:$AL,11,FALSE)</f>
        <v>89</v>
      </c>
      <c r="AG349" s="5">
        <f>VLOOKUP($A349,'NonXtal_SegEnds_Prot#'!$A:$AL,14,FALSE)</f>
        <v>95</v>
      </c>
      <c r="AH349" s="5">
        <f>VLOOKUP($A349,'NonXtal_SegEnds_Prot#'!$A:$AL,17,FALSE)</f>
        <v>131</v>
      </c>
      <c r="AI349" s="5">
        <f>VLOOKUP($A349,'NonXtal_SegEnds_Prot#'!$A:$AL,20,FALSE)</f>
        <v>139</v>
      </c>
      <c r="AJ349" s="5">
        <f>VLOOKUP($A349,'NonXtal_SegEnds_Prot#'!$A:$AL,23,FALSE)</f>
        <v>166</v>
      </c>
      <c r="AK349" s="5">
        <f>VLOOKUP($A349,'NonXtal_SegEnds_Prot#'!$A:$AL,26,FALSE)</f>
        <v>179</v>
      </c>
      <c r="AL349" s="5">
        <f>VLOOKUP($A349,'NonXtal_SegEnds_Prot#'!$A:$AL,29,FALSE)</f>
        <v>217</v>
      </c>
      <c r="AM349" s="5">
        <f>VLOOKUP($A349,'NonXtal_SegEnds_Prot#'!$A:$AL,32,FALSE)</f>
        <v>260</v>
      </c>
      <c r="AN349" s="5">
        <f>VLOOKUP($A349,'NonXtal_SegEnds_Prot#'!$A:$AL,35,FALSE)</f>
        <v>297</v>
      </c>
      <c r="AO349" s="5">
        <f>VLOOKUP($A349,'NonXtal_SegEnds_Prot#'!$A:$AL,38,FALSE)</f>
        <v>310</v>
      </c>
      <c r="AP349" s="5">
        <f t="shared" si="138"/>
        <v>30</v>
      </c>
      <c r="AQ349" s="4" t="str">
        <f t="shared" si="139"/>
        <v>-</v>
      </c>
      <c r="AR349" s="4">
        <f t="shared" si="140"/>
        <v>29</v>
      </c>
      <c r="AS349" s="4">
        <f t="shared" si="141"/>
        <v>3</v>
      </c>
      <c r="AT349" s="4">
        <f t="shared" si="142"/>
        <v>35</v>
      </c>
      <c r="AU349" s="4">
        <f t="shared" si="143"/>
        <v>7</v>
      </c>
      <c r="AV349" s="4">
        <f t="shared" si="144"/>
        <v>25</v>
      </c>
      <c r="AW349" s="4">
        <f t="shared" si="145"/>
        <v>2</v>
      </c>
      <c r="AX349" s="4">
        <f t="shared" si="146"/>
        <v>35</v>
      </c>
      <c r="AY349" s="4">
        <f t="shared" si="147"/>
        <v>38</v>
      </c>
      <c r="AZ349" s="4">
        <f t="shared" si="148"/>
        <v>32</v>
      </c>
      <c r="BA349" s="4">
        <f t="shared" si="149"/>
        <v>12</v>
      </c>
    </row>
    <row r="350" spans="1:53" x14ac:dyDescent="0.2">
      <c r="A350" s="1" t="str">
        <f>'NonXtal_SegEnds_Prot#'!A343</f>
        <v>hcar3_human</v>
      </c>
      <c r="B350" s="1" t="str">
        <f t="shared" si="125"/>
        <v>FIAKVLPPVLGLEFIFGLLGNGLALWIFCFHKSSRIFLFNLAVADFLLIICLPFVMDYYVRGDIPCRLVLFMFAMNRQGSIIFLTVVAVDRYFRVVHNWTAAIISCLLWGITVGLTVHLLKKKICHTFRWHEAMFLLEFFLPLGIILFCSARIIWSLRQRHAKIKRAITFIMVVAIVFVICFLPSVVVRIHIFWLLHTNCEVYRSVDLAFFITLSFTYMNSMLDPVVYYFSSPSFPNFFSTLIN</v>
      </c>
      <c r="C350" s="72" t="str">
        <f>IF(ISERROR(MATCH(A350,'Xtal_SegEnds_Prot#'!B:B, 0)), "NoXtal", "Xtal")</f>
        <v>NoXtal</v>
      </c>
      <c r="D350" s="4" t="str">
        <f>VLOOKUP(A350,Classification!A:D,2,FALSE)</f>
        <v>A</v>
      </c>
      <c r="E350" s="5" t="str">
        <f>VLOOKUP(A350,Seqs!A:B,2,FALSE)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350" s="5" t="str">
        <f t="shared" si="126"/>
        <v>FIAKVLPPVLGLEFIFGLLGNGLALWIFCFH</v>
      </c>
      <c r="G350" s="4" t="str">
        <f t="shared" si="127"/>
        <v/>
      </c>
      <c r="H350" s="4" t="str">
        <f t="shared" si="128"/>
        <v>KSSRIFLFNLAVADFLLIICLPFVMDYYVR</v>
      </c>
      <c r="I350" s="4" t="str">
        <f t="shared" si="129"/>
        <v>DWKF</v>
      </c>
      <c r="J350" s="4" t="str">
        <f t="shared" si="130"/>
        <v>GDIPCRLVLFMFAMNRQGSIIFLTVVAVDRYFRVVH</v>
      </c>
      <c r="K350" s="4" t="str">
        <f t="shared" si="131"/>
        <v>PHHALNKI</v>
      </c>
      <c r="L350" s="4" t="str">
        <f t="shared" si="132"/>
        <v>NWTAAIISCLLWGITVGLTVHLLKKK</v>
      </c>
      <c r="M350" s="4" t="str">
        <f t="shared" si="133"/>
        <v>CIS</v>
      </c>
      <c r="N350" s="4" t="str">
        <f t="shared" si="134"/>
        <v>ICHTFRWHEAMFLLEFFLPLGIILFCSARIIWSLRQ</v>
      </c>
      <c r="O350" s="4" t="str">
        <f t="shared" si="135"/>
        <v>RHAKIKRAITFIMVVAIVFVICFLPSVVVRIHIFWLLHT</v>
      </c>
      <c r="P350" s="4" t="str">
        <f t="shared" si="136"/>
        <v>NCEVYRSVDLAFFITLSFTYMNSMLDPVVYYFS</v>
      </c>
      <c r="Q350" s="4" t="str">
        <f t="shared" si="137"/>
        <v>SPSFPNFFSTLIN</v>
      </c>
      <c r="R350" s="5">
        <f>VLOOKUP($A350,'NonXtal_SegEnds_Prot#'!$A:$AL,3,FALSE)</f>
        <v>25</v>
      </c>
      <c r="S350" s="5" t="str">
        <f>VLOOKUP($A350,'NonXtal_SegEnds_Prot#'!$A:$AL,6,FALSE)</f>
        <v>-</v>
      </c>
      <c r="T350" s="5">
        <f>VLOOKUP($A350,'NonXtal_SegEnds_Prot#'!$A:$AL,9,FALSE)</f>
        <v>60</v>
      </c>
      <c r="U350" s="5">
        <f>VLOOKUP($A350,'NonXtal_SegEnds_Prot#'!$A:$AL,12,FALSE)</f>
        <v>92</v>
      </c>
      <c r="V350" s="5">
        <f>VLOOKUP($A350,'NonXtal_SegEnds_Prot#'!$A:$AL,15,FALSE)</f>
        <v>96</v>
      </c>
      <c r="W350" s="5">
        <f>VLOOKUP($A350,'NonXtal_SegEnds_Prot#'!$A:$AL,18,FALSE)</f>
        <v>132</v>
      </c>
      <c r="X350" s="5">
        <f>VLOOKUP($A350,'NonXtal_SegEnds_Prot#'!$A:$AL,21,FALSE)</f>
        <v>141</v>
      </c>
      <c r="Y350" s="5">
        <f>VLOOKUP($A350,'NonXtal_SegEnds_Prot#'!$A:$AL,24,FALSE)</f>
        <v>177</v>
      </c>
      <c r="Z350" s="5">
        <f>VLOOKUP($A350,'NonXtal_SegEnds_Prot#'!$A:$AL,27,FALSE)</f>
        <v>182</v>
      </c>
      <c r="AA350" s="5">
        <f>VLOOKUP($A350,'NonXtal_SegEnds_Prot#'!$A:$AL,30,FALSE)</f>
        <v>222</v>
      </c>
      <c r="AB350" s="5">
        <f>VLOOKUP($A350,'NonXtal_SegEnds_Prot#'!$A:$AL,33,FALSE)</f>
        <v>265</v>
      </c>
      <c r="AC350" s="5">
        <f>VLOOKUP($A350,'NonXtal_SegEnds_Prot#'!$A:$AL,36,FALSE)</f>
        <v>298</v>
      </c>
      <c r="AD350" s="5">
        <f>VLOOKUP($A350,'NonXtal_SegEnds_Prot#'!$A:$AL,5,FALSE)</f>
        <v>55</v>
      </c>
      <c r="AE350" s="5" t="str">
        <f>VLOOKUP($A350,'NonXtal_SegEnds_Prot#'!$A:$AL,8,FALSE)</f>
        <v>-</v>
      </c>
      <c r="AF350" s="5">
        <f>VLOOKUP($A350,'NonXtal_SegEnds_Prot#'!$A:$AL,11,FALSE)</f>
        <v>89</v>
      </c>
      <c r="AG350" s="5">
        <f>VLOOKUP($A350,'NonXtal_SegEnds_Prot#'!$A:$AL,14,FALSE)</f>
        <v>95</v>
      </c>
      <c r="AH350" s="5">
        <f>VLOOKUP($A350,'NonXtal_SegEnds_Prot#'!$A:$AL,17,FALSE)</f>
        <v>131</v>
      </c>
      <c r="AI350" s="5">
        <f>VLOOKUP($A350,'NonXtal_SegEnds_Prot#'!$A:$AL,20,FALSE)</f>
        <v>139</v>
      </c>
      <c r="AJ350" s="5">
        <f>VLOOKUP($A350,'NonXtal_SegEnds_Prot#'!$A:$AL,23,FALSE)</f>
        <v>166</v>
      </c>
      <c r="AK350" s="5">
        <f>VLOOKUP($A350,'NonXtal_SegEnds_Prot#'!$A:$AL,26,FALSE)</f>
        <v>179</v>
      </c>
      <c r="AL350" s="5">
        <f>VLOOKUP($A350,'NonXtal_SegEnds_Prot#'!$A:$AL,29,FALSE)</f>
        <v>217</v>
      </c>
      <c r="AM350" s="5">
        <f>VLOOKUP($A350,'NonXtal_SegEnds_Prot#'!$A:$AL,32,FALSE)</f>
        <v>260</v>
      </c>
      <c r="AN350" s="5">
        <f>VLOOKUP($A350,'NonXtal_SegEnds_Prot#'!$A:$AL,35,FALSE)</f>
        <v>297</v>
      </c>
      <c r="AO350" s="5">
        <f>VLOOKUP($A350,'NonXtal_SegEnds_Prot#'!$A:$AL,38,FALSE)</f>
        <v>310</v>
      </c>
      <c r="AP350" s="5">
        <f t="shared" si="138"/>
        <v>30</v>
      </c>
      <c r="AQ350" s="4" t="str">
        <f t="shared" si="139"/>
        <v>-</v>
      </c>
      <c r="AR350" s="4">
        <f t="shared" si="140"/>
        <v>29</v>
      </c>
      <c r="AS350" s="4">
        <f t="shared" si="141"/>
        <v>3</v>
      </c>
      <c r="AT350" s="4">
        <f t="shared" si="142"/>
        <v>35</v>
      </c>
      <c r="AU350" s="4">
        <f t="shared" si="143"/>
        <v>7</v>
      </c>
      <c r="AV350" s="4">
        <f t="shared" si="144"/>
        <v>25</v>
      </c>
      <c r="AW350" s="4">
        <f t="shared" si="145"/>
        <v>2</v>
      </c>
      <c r="AX350" s="4">
        <f t="shared" si="146"/>
        <v>35</v>
      </c>
      <c r="AY350" s="4">
        <f t="shared" si="147"/>
        <v>38</v>
      </c>
      <c r="AZ350" s="4">
        <f t="shared" si="148"/>
        <v>32</v>
      </c>
      <c r="BA350" s="4">
        <f t="shared" si="149"/>
        <v>12</v>
      </c>
    </row>
    <row r="351" spans="1:53" x14ac:dyDescent="0.2">
      <c r="A351" s="1" t="str">
        <f>'NonXtal_SegEnds_Prot#'!A345</f>
        <v>lpar5_human</v>
      </c>
      <c r="B351" s="1" t="str">
        <f t="shared" si="125"/>
        <v>PTHRLHLVVYSLVLAAGLPLNALALWVFLRASVVSVYMCNLAASDLLFTLSLPVRLSYYALPDLLCQTTGAIFQMNMYGSCIFLMLINVDRYAAIVHPRVARLLCLGVWALILVFAVPAARVHKGRLLPLVLLAEALGFLLPLAAVVYSSGRVFWTLARQSQRRRKTVRLLLANLVIFLLCFVPYNSTLAVYGLLRSKSVPARDRVRGVLMVMVLLAGANCVLDPLVYYFSAEGFRNTLRGLGT</v>
      </c>
      <c r="C351" s="72" t="str">
        <f>IF(ISERROR(MATCH(A351,'Xtal_SegEnds_Prot#'!B:B, 0)), "NoXtal", "Xtal")</f>
        <v>NoXtal</v>
      </c>
      <c r="D351" s="4" t="str">
        <f>VLOOKUP(A351,Classification!A:D,2,FALSE)</f>
        <v>A</v>
      </c>
      <c r="E351" s="5" t="str">
        <f>VLOOKUP(A351,Seqs!A:B,2,FALSE)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351" s="5" t="str">
        <f t="shared" si="126"/>
        <v>PTHRLHLVVYSLVLAAGLPLNALALWVFLRA</v>
      </c>
      <c r="G351" s="4" t="str">
        <f t="shared" si="127"/>
        <v>LRVH</v>
      </c>
      <c r="H351" s="4" t="str">
        <f t="shared" si="128"/>
        <v>SVVSVYMCNLAASDLLFTLSLPVRLSYYAL</v>
      </c>
      <c r="I351" s="4" t="str">
        <f t="shared" si="129"/>
        <v>HWPF</v>
      </c>
      <c r="J351" s="4" t="str">
        <f t="shared" si="130"/>
        <v>PDLLCQTTGAIFQMNMYGSCIFLMLINVDRYAAIVH</v>
      </c>
      <c r="K351" s="4" t="str">
        <f t="shared" si="131"/>
        <v>PLRLRHLR</v>
      </c>
      <c r="L351" s="4" t="str">
        <f t="shared" si="132"/>
        <v>PRVARLLCLGVWALILVFAVPAARVH</v>
      </c>
      <c r="M351" s="4" t="str">
        <f t="shared" si="133"/>
        <v>CFE</v>
      </c>
      <c r="N351" s="4" t="str">
        <f t="shared" si="134"/>
        <v>KGRLLPLVLLAEALGFLLPLAAVVYSSGRVFWTLAR</v>
      </c>
      <c r="O351" s="4" t="str">
        <f t="shared" si="135"/>
        <v>QSQRRRKTVRLLLANLVIFLLCFVPYNSTLAVYGLLRSK</v>
      </c>
      <c r="P351" s="4" t="str">
        <f t="shared" si="136"/>
        <v>SVPARDRVRGVLMVMVLLAGANCVLDPLVYYFS</v>
      </c>
      <c r="Q351" s="4" t="str">
        <f t="shared" si="137"/>
        <v>AEGFRNTLRGLGT</v>
      </c>
      <c r="R351" s="5">
        <f>VLOOKUP($A351,'NonXtal_SegEnds_Prot#'!$A:$AL,3,FALSE)</f>
        <v>20</v>
      </c>
      <c r="S351" s="5">
        <f>VLOOKUP($A351,'NonXtal_SegEnds_Prot#'!$A:$AL,6,FALSE)</f>
        <v>51</v>
      </c>
      <c r="T351" s="5">
        <f>VLOOKUP($A351,'NonXtal_SegEnds_Prot#'!$A:$AL,9,FALSE)</f>
        <v>55</v>
      </c>
      <c r="U351" s="5">
        <f>VLOOKUP($A351,'NonXtal_SegEnds_Prot#'!$A:$AL,12,FALSE)</f>
        <v>86</v>
      </c>
      <c r="V351" s="5">
        <f>VLOOKUP($A351,'NonXtal_SegEnds_Prot#'!$A:$AL,15,FALSE)</f>
        <v>90</v>
      </c>
      <c r="W351" s="5">
        <f>VLOOKUP($A351,'NonXtal_SegEnds_Prot#'!$A:$AL,18,FALSE)</f>
        <v>126</v>
      </c>
      <c r="X351" s="5">
        <f>VLOOKUP($A351,'NonXtal_SegEnds_Prot#'!$A:$AL,21,FALSE)</f>
        <v>135</v>
      </c>
      <c r="Y351" s="5">
        <f>VLOOKUP($A351,'NonXtal_SegEnds_Prot#'!$A:$AL,24,FALSE)</f>
        <v>175</v>
      </c>
      <c r="Z351" s="5">
        <f>VLOOKUP($A351,'NonXtal_SegEnds_Prot#'!$A:$AL,27,FALSE)</f>
        <v>185</v>
      </c>
      <c r="AA351" s="5">
        <f>VLOOKUP($A351,'NonXtal_SegEnds_Prot#'!$A:$AL,30,FALSE)</f>
        <v>225</v>
      </c>
      <c r="AB351" s="5">
        <f>VLOOKUP($A351,'NonXtal_SegEnds_Prot#'!$A:$AL,33,FALSE)</f>
        <v>268</v>
      </c>
      <c r="AC351" s="5">
        <f>VLOOKUP($A351,'NonXtal_SegEnds_Prot#'!$A:$AL,36,FALSE)</f>
        <v>301</v>
      </c>
      <c r="AD351" s="5">
        <f>VLOOKUP($A351,'NonXtal_SegEnds_Prot#'!$A:$AL,5,FALSE)</f>
        <v>50</v>
      </c>
      <c r="AE351" s="5">
        <f>VLOOKUP($A351,'NonXtal_SegEnds_Prot#'!$A:$AL,8,FALSE)</f>
        <v>54</v>
      </c>
      <c r="AF351" s="5">
        <f>VLOOKUP($A351,'NonXtal_SegEnds_Prot#'!$A:$AL,11,FALSE)</f>
        <v>84</v>
      </c>
      <c r="AG351" s="5">
        <f>VLOOKUP($A351,'NonXtal_SegEnds_Prot#'!$A:$AL,14,FALSE)</f>
        <v>89</v>
      </c>
      <c r="AH351" s="5">
        <f>VLOOKUP($A351,'NonXtal_SegEnds_Prot#'!$A:$AL,17,FALSE)</f>
        <v>125</v>
      </c>
      <c r="AI351" s="5">
        <f>VLOOKUP($A351,'NonXtal_SegEnds_Prot#'!$A:$AL,20,FALSE)</f>
        <v>133</v>
      </c>
      <c r="AJ351" s="5">
        <f>VLOOKUP($A351,'NonXtal_SegEnds_Prot#'!$A:$AL,23,FALSE)</f>
        <v>160</v>
      </c>
      <c r="AK351" s="5">
        <f>VLOOKUP($A351,'NonXtal_SegEnds_Prot#'!$A:$AL,26,FALSE)</f>
        <v>177</v>
      </c>
      <c r="AL351" s="5">
        <f>VLOOKUP($A351,'NonXtal_SegEnds_Prot#'!$A:$AL,29,FALSE)</f>
        <v>220</v>
      </c>
      <c r="AM351" s="5">
        <f>VLOOKUP($A351,'NonXtal_SegEnds_Prot#'!$A:$AL,32,FALSE)</f>
        <v>263</v>
      </c>
      <c r="AN351" s="5">
        <f>VLOOKUP($A351,'NonXtal_SegEnds_Prot#'!$A:$AL,35,FALSE)</f>
        <v>300</v>
      </c>
      <c r="AO351" s="5">
        <f>VLOOKUP($A351,'NonXtal_SegEnds_Prot#'!$A:$AL,38,FALSE)</f>
        <v>313</v>
      </c>
      <c r="AP351" s="5">
        <f t="shared" si="138"/>
        <v>30</v>
      </c>
      <c r="AQ351" s="4">
        <f t="shared" si="139"/>
        <v>3</v>
      </c>
      <c r="AR351" s="4">
        <f t="shared" si="140"/>
        <v>29</v>
      </c>
      <c r="AS351" s="4">
        <f t="shared" si="141"/>
        <v>3</v>
      </c>
      <c r="AT351" s="4">
        <f t="shared" si="142"/>
        <v>35</v>
      </c>
      <c r="AU351" s="4">
        <f t="shared" si="143"/>
        <v>7</v>
      </c>
      <c r="AV351" s="4">
        <f t="shared" si="144"/>
        <v>25</v>
      </c>
      <c r="AW351" s="4">
        <f t="shared" si="145"/>
        <v>2</v>
      </c>
      <c r="AX351" s="4">
        <f t="shared" si="146"/>
        <v>35</v>
      </c>
      <c r="AY351" s="4">
        <f t="shared" si="147"/>
        <v>38</v>
      </c>
      <c r="AZ351" s="4">
        <f t="shared" si="148"/>
        <v>32</v>
      </c>
      <c r="BA351" s="4">
        <f t="shared" si="149"/>
        <v>12</v>
      </c>
    </row>
    <row r="352" spans="1:53" x14ac:dyDescent="0.2">
      <c r="A352" s="1" t="str">
        <f>'NonXtal_SegEnds_Prot#'!A346</f>
        <v>cltr1_human</v>
      </c>
      <c r="B352" s="1" t="str">
        <f t="shared" si="125"/>
        <v>FRNQVYSTLYSMISVVGFFGNGFVLYVLIKTSAFQVYMINLAVADLLCVCTLPLRVVYYVHGDFLCRLSTYALYVNLYCSIFFMTAMSFFRCIAIVFQKKARFVCVGIWIFVILTSSPFLMAKKNHVLVLHYVSLFVGFIIPFVIIIVCYTMIILTLLKNLSSHKKAIGMIMVVTAAFLVSFMPYHIQRTIHLHFLHNPCDSVLRMQKSVVITLSLAASNCCFDPLLYFFSGGNFRKRLSTFRK</v>
      </c>
      <c r="C352" s="72" t="str">
        <f>IF(ISERROR(MATCH(A352,'Xtal_SegEnds_Prot#'!B:B, 0)), "NoXtal", "Xtal")</f>
        <v>NoXtal</v>
      </c>
      <c r="D352" s="4" t="str">
        <f>VLOOKUP(A352,Classification!A:D,2,FALSE)</f>
        <v>A</v>
      </c>
      <c r="E352" s="5" t="str">
        <f>VLOOKUP(A352,Seqs!A:B,2,FALSE)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352" s="5" t="str">
        <f t="shared" si="126"/>
        <v>FRNQVYSTLYSMISVVGFFGNGFVLYVLIKT</v>
      </c>
      <c r="G352" s="4" t="str">
        <f t="shared" si="127"/>
        <v/>
      </c>
      <c r="H352" s="4" t="str">
        <f t="shared" si="128"/>
        <v>SAFQVYMINLAVADLLCVCTLPLRVVYYVH</v>
      </c>
      <c r="I352" s="4" t="str">
        <f t="shared" si="129"/>
        <v>IWLF</v>
      </c>
      <c r="J352" s="4" t="str">
        <f t="shared" si="130"/>
        <v>GDFLCRLSTYALYVNLYCSIFFMTAMSFFRCIAIVF</v>
      </c>
      <c r="K352" s="4" t="str">
        <f t="shared" si="131"/>
        <v>PVQNINLV</v>
      </c>
      <c r="L352" s="4" t="str">
        <f t="shared" si="132"/>
        <v>QKKARFVCVGIWIFVILTSSPFLMAK</v>
      </c>
      <c r="M352" s="4" t="str">
        <f t="shared" si="133"/>
        <v>CFE</v>
      </c>
      <c r="N352" s="4" t="str">
        <f t="shared" si="134"/>
        <v>KNHVLVLHYVSLFVGFIIPFVIIIVCYTMIILTLLK</v>
      </c>
      <c r="O352" s="4" t="str">
        <f t="shared" si="135"/>
        <v>NLSSHKKAIGMIMVVTAAFLVSFMPYHIQRTIHLHFLHN</v>
      </c>
      <c r="P352" s="4" t="str">
        <f t="shared" si="136"/>
        <v>PCDSVLRMQKSVVITLSLAASNCCFDPLLYFFS</v>
      </c>
      <c r="Q352" s="4" t="str">
        <f t="shared" si="137"/>
        <v>GGNFRKRLSTFRK</v>
      </c>
      <c r="R352" s="5">
        <f>VLOOKUP($A352,'NonXtal_SegEnds_Prot#'!$A:$AL,3,FALSE)</f>
        <v>21</v>
      </c>
      <c r="S352" s="5" t="str">
        <f>VLOOKUP($A352,'NonXtal_SegEnds_Prot#'!$A:$AL,6,FALSE)</f>
        <v>-</v>
      </c>
      <c r="T352" s="5">
        <f>VLOOKUP($A352,'NonXtal_SegEnds_Prot#'!$A:$AL,9,FALSE)</f>
        <v>56</v>
      </c>
      <c r="U352" s="5">
        <f>VLOOKUP($A352,'NonXtal_SegEnds_Prot#'!$A:$AL,12,FALSE)</f>
        <v>88</v>
      </c>
      <c r="V352" s="5">
        <f>VLOOKUP($A352,'NonXtal_SegEnds_Prot#'!$A:$AL,15,FALSE)</f>
        <v>92</v>
      </c>
      <c r="W352" s="5">
        <f>VLOOKUP($A352,'NonXtal_SegEnds_Prot#'!$A:$AL,18,FALSE)</f>
        <v>128</v>
      </c>
      <c r="X352" s="5">
        <f>VLOOKUP($A352,'NonXtal_SegEnds_Prot#'!$A:$AL,21,FALSE)</f>
        <v>137</v>
      </c>
      <c r="Y352" s="5">
        <f>VLOOKUP($A352,'NonXtal_SegEnds_Prot#'!$A:$AL,24,FALSE)</f>
        <v>173</v>
      </c>
      <c r="Z352" s="5">
        <f>VLOOKUP($A352,'NonXtal_SegEnds_Prot#'!$A:$AL,27,FALSE)</f>
        <v>183</v>
      </c>
      <c r="AA352" s="5">
        <f>VLOOKUP($A352,'NonXtal_SegEnds_Prot#'!$A:$AL,30,FALSE)</f>
        <v>224</v>
      </c>
      <c r="AB352" s="5">
        <f>VLOOKUP($A352,'NonXtal_SegEnds_Prot#'!$A:$AL,33,FALSE)</f>
        <v>266</v>
      </c>
      <c r="AC352" s="5">
        <f>VLOOKUP($A352,'NonXtal_SegEnds_Prot#'!$A:$AL,36,FALSE)</f>
        <v>299</v>
      </c>
      <c r="AD352" s="5">
        <f>VLOOKUP($A352,'NonXtal_SegEnds_Prot#'!$A:$AL,5,FALSE)</f>
        <v>51</v>
      </c>
      <c r="AE352" s="5" t="str">
        <f>VLOOKUP($A352,'NonXtal_SegEnds_Prot#'!$A:$AL,8,FALSE)</f>
        <v>-</v>
      </c>
      <c r="AF352" s="5">
        <f>VLOOKUP($A352,'NonXtal_SegEnds_Prot#'!$A:$AL,11,FALSE)</f>
        <v>85</v>
      </c>
      <c r="AG352" s="5">
        <f>VLOOKUP($A352,'NonXtal_SegEnds_Prot#'!$A:$AL,14,FALSE)</f>
        <v>91</v>
      </c>
      <c r="AH352" s="5">
        <f>VLOOKUP($A352,'NonXtal_SegEnds_Prot#'!$A:$AL,17,FALSE)</f>
        <v>127</v>
      </c>
      <c r="AI352" s="5">
        <f>VLOOKUP($A352,'NonXtal_SegEnds_Prot#'!$A:$AL,20,FALSE)</f>
        <v>135</v>
      </c>
      <c r="AJ352" s="5">
        <f>VLOOKUP($A352,'NonXtal_SegEnds_Prot#'!$A:$AL,23,FALSE)</f>
        <v>162</v>
      </c>
      <c r="AK352" s="5">
        <f>VLOOKUP($A352,'NonXtal_SegEnds_Prot#'!$A:$AL,26,FALSE)</f>
        <v>175</v>
      </c>
      <c r="AL352" s="5">
        <f>VLOOKUP($A352,'NonXtal_SegEnds_Prot#'!$A:$AL,29,FALSE)</f>
        <v>218</v>
      </c>
      <c r="AM352" s="5">
        <f>VLOOKUP($A352,'NonXtal_SegEnds_Prot#'!$A:$AL,32,FALSE)</f>
        <v>262</v>
      </c>
      <c r="AN352" s="5">
        <f>VLOOKUP($A352,'NonXtal_SegEnds_Prot#'!$A:$AL,35,FALSE)</f>
        <v>298</v>
      </c>
      <c r="AO352" s="5">
        <f>VLOOKUP($A352,'NonXtal_SegEnds_Prot#'!$A:$AL,38,FALSE)</f>
        <v>311</v>
      </c>
      <c r="AP352" s="5">
        <f t="shared" si="138"/>
        <v>30</v>
      </c>
      <c r="AQ352" s="4" t="str">
        <f t="shared" si="139"/>
        <v>-</v>
      </c>
      <c r="AR352" s="4">
        <f t="shared" si="140"/>
        <v>29</v>
      </c>
      <c r="AS352" s="4">
        <f t="shared" si="141"/>
        <v>3</v>
      </c>
      <c r="AT352" s="4">
        <f t="shared" si="142"/>
        <v>35</v>
      </c>
      <c r="AU352" s="4">
        <f t="shared" si="143"/>
        <v>7</v>
      </c>
      <c r="AV352" s="4">
        <f t="shared" si="144"/>
        <v>25</v>
      </c>
      <c r="AW352" s="4">
        <f t="shared" si="145"/>
        <v>2</v>
      </c>
      <c r="AX352" s="4">
        <f t="shared" si="146"/>
        <v>35</v>
      </c>
      <c r="AY352" s="4">
        <f t="shared" si="147"/>
        <v>38</v>
      </c>
      <c r="AZ352" s="4">
        <f t="shared" si="148"/>
        <v>32</v>
      </c>
      <c r="BA352" s="4">
        <f t="shared" si="149"/>
        <v>12</v>
      </c>
    </row>
    <row r="353" spans="1:53" x14ac:dyDescent="0.2">
      <c r="A353" s="1" t="str">
        <f>'NonXtal_SegEnds_Prot#'!A347</f>
        <v>gpr18_human</v>
      </c>
      <c r="B353" s="1" t="str">
        <f t="shared" si="125"/>
        <v>EYKIAALVFYSCIFIIGLFVNITALWVFSCTTTVTIYMMNVALVDLIFIMTLPFRMFYYAKGEYFCQILGALTVFYPSIALWLLAFISADRYMAIVQTCKAVLACVGVWIMTLTTTTPLLLLYLKAVNVLNLTRLTFFFLIPLFIMIGCYLVIIHNLLHGKVKEKSIRIIITLLVQVLVCFMPFHICFAFLMLGYNPWGAFTTFLMNLSTCLDVILYYIVSKQFQARVISVML</v>
      </c>
      <c r="C353" s="72" t="str">
        <f>IF(ISERROR(MATCH(A353,'Xtal_SegEnds_Prot#'!B:B, 0)), "NoXtal", "Xtal")</f>
        <v>NoXtal</v>
      </c>
      <c r="D353" s="4" t="str">
        <f>VLOOKUP(A353,Classification!A:D,2,FALSE)</f>
        <v>A</v>
      </c>
      <c r="E353" s="5" t="str">
        <f>VLOOKUP(A353,Seqs!A:B,2,FALSE)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353" s="5" t="str">
        <f t="shared" si="126"/>
        <v>EYKIAALVFYSCIFIIGLFVNITALWVFSCT</v>
      </c>
      <c r="G353" s="4" t="str">
        <f t="shared" si="127"/>
        <v/>
      </c>
      <c r="H353" s="4" t="str">
        <f t="shared" si="128"/>
        <v>TTVTIYMMNVALVDLIFIMTLPFRMFYYAK</v>
      </c>
      <c r="I353" s="4" t="str">
        <f t="shared" si="129"/>
        <v>EWPF</v>
      </c>
      <c r="J353" s="4" t="str">
        <f t="shared" si="130"/>
        <v>GEYFCQILGALTVFYPSIALWLLAFISADRYMAIVQ</v>
      </c>
      <c r="K353" s="4" t="str">
        <f t="shared" si="131"/>
        <v>PKYAKELK</v>
      </c>
      <c r="L353" s="4" t="str">
        <f t="shared" si="132"/>
        <v>TCKAVLACVGVWIMTLTTTTPLLLLY</v>
      </c>
      <c r="M353" s="4" t="str">
        <f t="shared" si="133"/>
        <v>CLK</v>
      </c>
      <c r="N353" s="4" t="str">
        <f t="shared" si="134"/>
        <v>LKAVNVLNLTRLTFFFLIPLFIMIGCYLVIIHNLLHG</v>
      </c>
      <c r="O353" s="4" t="str">
        <f t="shared" si="135"/>
        <v>KVKEKSIRIIITLLVQVLVCFMPFHICFAFLMLG</v>
      </c>
      <c r="P353" s="4" t="str">
        <f t="shared" si="136"/>
        <v>YNPWGAFTTFLMNLSTCLDVILYYIV</v>
      </c>
      <c r="Q353" s="4" t="str">
        <f t="shared" si="137"/>
        <v>SKQFQARVISVML</v>
      </c>
      <c r="R353" s="5">
        <f>VLOOKUP($A353,'NonXtal_SegEnds_Prot#'!$A:$AL,3,FALSE)</f>
        <v>20</v>
      </c>
      <c r="S353" s="5" t="str">
        <f>VLOOKUP($A353,'NonXtal_SegEnds_Prot#'!$A:$AL,6,FALSE)</f>
        <v>-</v>
      </c>
      <c r="T353" s="5">
        <f>VLOOKUP($A353,'NonXtal_SegEnds_Prot#'!$A:$AL,9,FALSE)</f>
        <v>55</v>
      </c>
      <c r="U353" s="5">
        <f>VLOOKUP($A353,'NonXtal_SegEnds_Prot#'!$A:$AL,12,FALSE)</f>
        <v>86</v>
      </c>
      <c r="V353" s="5">
        <f>VLOOKUP($A353,'NonXtal_SegEnds_Prot#'!$A:$AL,15,FALSE)</f>
        <v>90</v>
      </c>
      <c r="W353" s="5">
        <f>VLOOKUP($A353,'NonXtal_SegEnds_Prot#'!$A:$AL,18,FALSE)</f>
        <v>126</v>
      </c>
      <c r="X353" s="5">
        <f>VLOOKUP($A353,'NonXtal_SegEnds_Prot#'!$A:$AL,21,FALSE)</f>
        <v>135</v>
      </c>
      <c r="Y353" s="5">
        <f>VLOOKUP($A353,'NonXtal_SegEnds_Prot#'!$A:$AL,24,FALSE)</f>
        <v>172</v>
      </c>
      <c r="Z353" s="5">
        <f>VLOOKUP($A353,'NonXtal_SegEnds_Prot#'!$A:$AL,27,FALSE)</f>
        <v>181</v>
      </c>
      <c r="AA353" s="5">
        <f>VLOOKUP($A353,'NonXtal_SegEnds_Prot#'!$A:$AL,30,FALSE)</f>
        <v>225</v>
      </c>
      <c r="AB353" s="5">
        <f>VLOOKUP($A353,'NonXtal_SegEnds_Prot#'!$A:$AL,33,FALSE)</f>
        <v>264</v>
      </c>
      <c r="AC353" s="5">
        <f>VLOOKUP($A353,'NonXtal_SegEnds_Prot#'!$A:$AL,36,FALSE)</f>
        <v>290</v>
      </c>
      <c r="AD353" s="5">
        <f>VLOOKUP($A353,'NonXtal_SegEnds_Prot#'!$A:$AL,5,FALSE)</f>
        <v>50</v>
      </c>
      <c r="AE353" s="5" t="str">
        <f>VLOOKUP($A353,'NonXtal_SegEnds_Prot#'!$A:$AL,8,FALSE)</f>
        <v>-</v>
      </c>
      <c r="AF353" s="5">
        <f>VLOOKUP($A353,'NonXtal_SegEnds_Prot#'!$A:$AL,11,FALSE)</f>
        <v>84</v>
      </c>
      <c r="AG353" s="5">
        <f>VLOOKUP($A353,'NonXtal_SegEnds_Prot#'!$A:$AL,14,FALSE)</f>
        <v>89</v>
      </c>
      <c r="AH353" s="5">
        <f>VLOOKUP($A353,'NonXtal_SegEnds_Prot#'!$A:$AL,17,FALSE)</f>
        <v>125</v>
      </c>
      <c r="AI353" s="5">
        <f>VLOOKUP($A353,'NonXtal_SegEnds_Prot#'!$A:$AL,20,FALSE)</f>
        <v>133</v>
      </c>
      <c r="AJ353" s="5">
        <f>VLOOKUP($A353,'NonXtal_SegEnds_Prot#'!$A:$AL,23,FALSE)</f>
        <v>160</v>
      </c>
      <c r="AK353" s="5">
        <f>VLOOKUP($A353,'NonXtal_SegEnds_Prot#'!$A:$AL,26,FALSE)</f>
        <v>174</v>
      </c>
      <c r="AL353" s="5">
        <f>VLOOKUP($A353,'NonXtal_SegEnds_Prot#'!$A:$AL,29,FALSE)</f>
        <v>217</v>
      </c>
      <c r="AM353" s="5">
        <f>VLOOKUP($A353,'NonXtal_SegEnds_Prot#'!$A:$AL,32,FALSE)</f>
        <v>258</v>
      </c>
      <c r="AN353" s="5">
        <f>VLOOKUP($A353,'NonXtal_SegEnds_Prot#'!$A:$AL,35,FALSE)</f>
        <v>289</v>
      </c>
      <c r="AO353" s="5">
        <f>VLOOKUP($A353,'NonXtal_SegEnds_Prot#'!$A:$AL,38,FALSE)</f>
        <v>302</v>
      </c>
      <c r="AP353" s="5">
        <f t="shared" si="138"/>
        <v>30</v>
      </c>
      <c r="AQ353" s="4" t="str">
        <f t="shared" si="139"/>
        <v>-</v>
      </c>
      <c r="AR353" s="4">
        <f t="shared" si="140"/>
        <v>29</v>
      </c>
      <c r="AS353" s="4">
        <f t="shared" si="141"/>
        <v>3</v>
      </c>
      <c r="AT353" s="4">
        <f t="shared" si="142"/>
        <v>35</v>
      </c>
      <c r="AU353" s="4">
        <f t="shared" si="143"/>
        <v>7</v>
      </c>
      <c r="AV353" s="4">
        <f t="shared" si="144"/>
        <v>25</v>
      </c>
      <c r="AW353" s="4">
        <f t="shared" si="145"/>
        <v>2</v>
      </c>
      <c r="AX353" s="4">
        <f t="shared" si="146"/>
        <v>36</v>
      </c>
      <c r="AY353" s="4">
        <f t="shared" si="147"/>
        <v>33</v>
      </c>
      <c r="AZ353" s="4">
        <f t="shared" si="148"/>
        <v>25</v>
      </c>
      <c r="BA353" s="4">
        <f t="shared" si="149"/>
        <v>12</v>
      </c>
    </row>
    <row r="354" spans="1:53" x14ac:dyDescent="0.2">
      <c r="A354" s="1" t="str">
        <f>'NonXtal_SegEnds_Prot#'!A348</f>
        <v>sucr1_human</v>
      </c>
      <c r="B354" s="1" t="str">
        <f t="shared" si="125"/>
        <v>LEKYYLSIFYGIEFVVGVLGNTIVVYGYIFSNSSNIYLFNLSVSDLAFLCTLPMLIRSYANGDVLCISNRYVLHANLYTSILFLTFISIDRYLIIKYKEFAILISLAIWVLVTLELLPILPLIPNYNLIYSMCLTLLGFLIPLFVMCFFYYKIALFLKQRLPLEKPLNLVIMAVVIFSVLFTPYHVMRNVRIASRLGYQCTQVVINSFYIVTRPLAFLNSVINPVFYFLLGDHFRDMLMNQLR</v>
      </c>
      <c r="C354" s="72" t="str">
        <f>IF(ISERROR(MATCH(A354,'Xtal_SegEnds_Prot#'!B:B, 0)), "NoXtal", "Xtal")</f>
        <v>NoXtal</v>
      </c>
      <c r="D354" s="4" t="str">
        <f>VLOOKUP(A354,Classification!A:D,2,FALSE)</f>
        <v>A</v>
      </c>
      <c r="E354" s="5" t="str">
        <f>VLOOKUP(A354,Seqs!A:B,2,FALSE)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354" s="5" t="str">
        <f t="shared" si="126"/>
        <v>LEKYYLSIFYGIEFVVGVLGNTIVVYGYIFS</v>
      </c>
      <c r="G354" s="4" t="str">
        <f t="shared" si="127"/>
        <v/>
      </c>
      <c r="H354" s="4" t="str">
        <f t="shared" si="128"/>
        <v>NSSNIYLFNLSVSDLAFLCTLPMLIRSYAN</v>
      </c>
      <c r="I354" s="4" t="str">
        <f t="shared" si="129"/>
        <v>NWIY</v>
      </c>
      <c r="J354" s="4" t="str">
        <f t="shared" si="130"/>
        <v>GDVLCISNRYVLHANLYTSILFLTFISIDRYLIIKY</v>
      </c>
      <c r="K354" s="4" t="str">
        <f t="shared" si="131"/>
        <v>PFREHLLQ</v>
      </c>
      <c r="L354" s="4" t="str">
        <f t="shared" si="132"/>
        <v>KEFAILISLAIWVLVTLELLPILPLI</v>
      </c>
      <c r="M354" s="4" t="str">
        <f t="shared" si="133"/>
        <v>CND</v>
      </c>
      <c r="N354" s="4" t="str">
        <f t="shared" si="134"/>
        <v>PNYNLIYSMCLTLLGFLIPLFVMCFFYYKIALFLKQR</v>
      </c>
      <c r="O354" s="4" t="str">
        <f t="shared" si="135"/>
        <v>LPLEKPLNLVIMAVVIFSVLFTPYHVMRNVRIASRLG</v>
      </c>
      <c r="P354" s="4" t="str">
        <f t="shared" si="136"/>
        <v>YQCTQVVINSFYIVTRPLAFLNSVINPVFYFLL</v>
      </c>
      <c r="Q354" s="4" t="str">
        <f t="shared" si="137"/>
        <v>GDHFRDMLMNQLR</v>
      </c>
      <c r="R354" s="5">
        <f>VLOOKUP($A354,'NonXtal_SegEnds_Prot#'!$A:$AL,3,FALSE)</f>
        <v>21</v>
      </c>
      <c r="S354" s="5" t="str">
        <f>VLOOKUP($A354,'NonXtal_SegEnds_Prot#'!$A:$AL,6,FALSE)</f>
        <v>-</v>
      </c>
      <c r="T354" s="5">
        <f>VLOOKUP($A354,'NonXtal_SegEnds_Prot#'!$A:$AL,9,FALSE)</f>
        <v>56</v>
      </c>
      <c r="U354" s="5">
        <f>VLOOKUP($A354,'NonXtal_SegEnds_Prot#'!$A:$AL,12,FALSE)</f>
        <v>87</v>
      </c>
      <c r="V354" s="5">
        <f>VLOOKUP($A354,'NonXtal_SegEnds_Prot#'!$A:$AL,15,FALSE)</f>
        <v>91</v>
      </c>
      <c r="W354" s="5">
        <f>VLOOKUP($A354,'NonXtal_SegEnds_Prot#'!$A:$AL,18,FALSE)</f>
        <v>127</v>
      </c>
      <c r="X354" s="5">
        <f>VLOOKUP($A354,'NonXtal_SegEnds_Prot#'!$A:$AL,21,FALSE)</f>
        <v>136</v>
      </c>
      <c r="Y354" s="5">
        <f>VLOOKUP($A354,'NonXtal_SegEnds_Prot#'!$A:$AL,24,FALSE)</f>
        <v>172</v>
      </c>
      <c r="Z354" s="5">
        <f>VLOOKUP($A354,'NonXtal_SegEnds_Prot#'!$A:$AL,27,FALSE)</f>
        <v>181</v>
      </c>
      <c r="AA354" s="5">
        <f>VLOOKUP($A354,'NonXtal_SegEnds_Prot#'!$A:$AL,30,FALSE)</f>
        <v>225</v>
      </c>
      <c r="AB354" s="5">
        <f>VLOOKUP($A354,'NonXtal_SegEnds_Prot#'!$A:$AL,33,FALSE)</f>
        <v>266</v>
      </c>
      <c r="AC354" s="5">
        <f>VLOOKUP($A354,'NonXtal_SegEnds_Prot#'!$A:$AL,36,FALSE)</f>
        <v>299</v>
      </c>
      <c r="AD354" s="5">
        <f>VLOOKUP($A354,'NonXtal_SegEnds_Prot#'!$A:$AL,5,FALSE)</f>
        <v>51</v>
      </c>
      <c r="AE354" s="5" t="str">
        <f>VLOOKUP($A354,'NonXtal_SegEnds_Prot#'!$A:$AL,8,FALSE)</f>
        <v>-</v>
      </c>
      <c r="AF354" s="5">
        <f>VLOOKUP($A354,'NonXtal_SegEnds_Prot#'!$A:$AL,11,FALSE)</f>
        <v>85</v>
      </c>
      <c r="AG354" s="5">
        <f>VLOOKUP($A354,'NonXtal_SegEnds_Prot#'!$A:$AL,14,FALSE)</f>
        <v>90</v>
      </c>
      <c r="AH354" s="5">
        <f>VLOOKUP($A354,'NonXtal_SegEnds_Prot#'!$A:$AL,17,FALSE)</f>
        <v>126</v>
      </c>
      <c r="AI354" s="5">
        <f>VLOOKUP($A354,'NonXtal_SegEnds_Prot#'!$A:$AL,20,FALSE)</f>
        <v>134</v>
      </c>
      <c r="AJ354" s="5">
        <f>VLOOKUP($A354,'NonXtal_SegEnds_Prot#'!$A:$AL,23,FALSE)</f>
        <v>161</v>
      </c>
      <c r="AK354" s="5">
        <f>VLOOKUP($A354,'NonXtal_SegEnds_Prot#'!$A:$AL,26,FALSE)</f>
        <v>174</v>
      </c>
      <c r="AL354" s="5">
        <f>VLOOKUP($A354,'NonXtal_SegEnds_Prot#'!$A:$AL,29,FALSE)</f>
        <v>217</v>
      </c>
      <c r="AM354" s="5">
        <f>VLOOKUP($A354,'NonXtal_SegEnds_Prot#'!$A:$AL,32,FALSE)</f>
        <v>261</v>
      </c>
      <c r="AN354" s="5">
        <f>VLOOKUP($A354,'NonXtal_SegEnds_Prot#'!$A:$AL,35,FALSE)</f>
        <v>298</v>
      </c>
      <c r="AO354" s="5">
        <f>VLOOKUP($A354,'NonXtal_SegEnds_Prot#'!$A:$AL,38,FALSE)</f>
        <v>311</v>
      </c>
      <c r="AP354" s="5">
        <f t="shared" si="138"/>
        <v>30</v>
      </c>
      <c r="AQ354" s="4" t="str">
        <f t="shared" si="139"/>
        <v>-</v>
      </c>
      <c r="AR354" s="4">
        <f t="shared" si="140"/>
        <v>29</v>
      </c>
      <c r="AS354" s="4">
        <f t="shared" si="141"/>
        <v>3</v>
      </c>
      <c r="AT354" s="4">
        <f t="shared" si="142"/>
        <v>35</v>
      </c>
      <c r="AU354" s="4">
        <f t="shared" si="143"/>
        <v>7</v>
      </c>
      <c r="AV354" s="4">
        <f t="shared" si="144"/>
        <v>25</v>
      </c>
      <c r="AW354" s="4">
        <f t="shared" si="145"/>
        <v>2</v>
      </c>
      <c r="AX354" s="4">
        <f t="shared" si="146"/>
        <v>36</v>
      </c>
      <c r="AY354" s="4">
        <f t="shared" si="147"/>
        <v>36</v>
      </c>
      <c r="AZ354" s="4">
        <f t="shared" si="148"/>
        <v>32</v>
      </c>
      <c r="BA354" s="4">
        <f t="shared" si="149"/>
        <v>12</v>
      </c>
    </row>
    <row r="355" spans="1:53" x14ac:dyDescent="0.2">
      <c r="A355" s="1" t="str">
        <f>'NonXtal_SegEnds_Prot#'!A349</f>
        <v>psyr_human</v>
      </c>
      <c r="B355" s="1" t="str">
        <f t="shared" si="125"/>
        <v>LDHYLFPIVYIFVIIVSIPANIGSLCVSFLQSELGIYLFSLSLSDLLYALTLPLWIDYTWNSPALCKGSAFLMYMNFYSSTAFLTCIAVDRYLAVVYRRFALMVSLSIWILETIFNAVMLWEDEKWQINLNLFRTCTGYAIPLVTILICNRKVYQAVRHENKEKKRIIKLLVSITVTFVLCFTPFHVMLLIRCILEHAHSNSGKRTYTMYRITVALTSLNCVADPILYCFVTETGRYDMWNILK</v>
      </c>
      <c r="C355" s="72" t="str">
        <f>IF(ISERROR(MATCH(A355,'Xtal_SegEnds_Prot#'!B:B, 0)), "NoXtal", "Xtal")</f>
        <v>NoXtal</v>
      </c>
      <c r="D355" s="4" t="str">
        <f>VLOOKUP(A355,Classification!A:D,2,FALSE)</f>
        <v>A</v>
      </c>
      <c r="E355" s="5" t="str">
        <f>VLOOKUP(A355,Seqs!A:B,2,FALSE)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355" s="5" t="str">
        <f t="shared" si="126"/>
        <v>LDHYLFPIVYIFVIIVSIPANIGSLCVSFLQ</v>
      </c>
      <c r="G355" s="4" t="str">
        <f t="shared" si="127"/>
        <v/>
      </c>
      <c r="H355" s="4" t="str">
        <f t="shared" si="128"/>
        <v>SELGIYLFSLSLSDLLYALTLPLWIDYTWN</v>
      </c>
      <c r="I355" s="4" t="str">
        <f t="shared" si="129"/>
        <v>NWTF</v>
      </c>
      <c r="J355" s="4" t="str">
        <f t="shared" si="130"/>
        <v>SPALCKGSAFLMYMNFYSSTAFLTCIAVDRYLAVVY</v>
      </c>
      <c r="K355" s="4" t="str">
        <f t="shared" si="131"/>
        <v>PLKFFFLR</v>
      </c>
      <c r="L355" s="4" t="str">
        <f t="shared" si="132"/>
        <v>RRFALMVSLSIWILETIFNAVMLWED</v>
      </c>
      <c r="M355" s="4" t="str">
        <f t="shared" si="133"/>
        <v>CYD</v>
      </c>
      <c r="N355" s="4" t="str">
        <f t="shared" si="134"/>
        <v>EKWQINLNLFRTCTGYAIPLVTILICNRKVYQAVRH</v>
      </c>
      <c r="O355" s="4" t="str">
        <f t="shared" si="135"/>
        <v>ENKEKKRIIKLLVSITVTFVLCFTPFHVMLLIRCILEHA</v>
      </c>
      <c r="P355" s="4" t="str">
        <f t="shared" si="136"/>
        <v>HSNSGKRTYTMYRITVALTSLNCVADPILYCFV</v>
      </c>
      <c r="Q355" s="4" t="str">
        <f t="shared" si="137"/>
        <v>TETGRYDMWNILK</v>
      </c>
      <c r="R355" s="5">
        <f>VLOOKUP($A355,'NonXtal_SegEnds_Prot#'!$A:$AL,3,FALSE)</f>
        <v>12</v>
      </c>
      <c r="S355" s="5" t="str">
        <f>VLOOKUP($A355,'NonXtal_SegEnds_Prot#'!$A:$AL,6,FALSE)</f>
        <v>-</v>
      </c>
      <c r="T355" s="5">
        <f>VLOOKUP($A355,'NonXtal_SegEnds_Prot#'!$A:$AL,9,FALSE)</f>
        <v>47</v>
      </c>
      <c r="U355" s="5">
        <f>VLOOKUP($A355,'NonXtal_SegEnds_Prot#'!$A:$AL,12,FALSE)</f>
        <v>79</v>
      </c>
      <c r="V355" s="5">
        <f>VLOOKUP($A355,'NonXtal_SegEnds_Prot#'!$A:$AL,15,FALSE)</f>
        <v>83</v>
      </c>
      <c r="W355" s="5">
        <f>VLOOKUP($A355,'NonXtal_SegEnds_Prot#'!$A:$AL,18,FALSE)</f>
        <v>119</v>
      </c>
      <c r="X355" s="5">
        <f>VLOOKUP($A355,'NonXtal_SegEnds_Prot#'!$A:$AL,21,FALSE)</f>
        <v>128</v>
      </c>
      <c r="Y355" s="5">
        <f>VLOOKUP($A355,'NonXtal_SegEnds_Prot#'!$A:$AL,24,FALSE)</f>
        <v>170</v>
      </c>
      <c r="Z355" s="5">
        <f>VLOOKUP($A355,'NonXtal_SegEnds_Prot#'!$A:$AL,27,FALSE)</f>
        <v>177</v>
      </c>
      <c r="AA355" s="5">
        <f>VLOOKUP($A355,'NonXtal_SegEnds_Prot#'!$A:$AL,30,FALSE)</f>
        <v>217</v>
      </c>
      <c r="AB355" s="5">
        <f>VLOOKUP($A355,'NonXtal_SegEnds_Prot#'!$A:$AL,33,FALSE)</f>
        <v>261</v>
      </c>
      <c r="AC355" s="5">
        <f>VLOOKUP($A355,'NonXtal_SegEnds_Prot#'!$A:$AL,36,FALSE)</f>
        <v>294</v>
      </c>
      <c r="AD355" s="5">
        <f>VLOOKUP($A355,'NonXtal_SegEnds_Prot#'!$A:$AL,5,FALSE)</f>
        <v>42</v>
      </c>
      <c r="AE355" s="5" t="str">
        <f>VLOOKUP($A355,'NonXtal_SegEnds_Prot#'!$A:$AL,8,FALSE)</f>
        <v>-</v>
      </c>
      <c r="AF355" s="5">
        <f>VLOOKUP($A355,'NonXtal_SegEnds_Prot#'!$A:$AL,11,FALSE)</f>
        <v>76</v>
      </c>
      <c r="AG355" s="5">
        <f>VLOOKUP($A355,'NonXtal_SegEnds_Prot#'!$A:$AL,14,FALSE)</f>
        <v>82</v>
      </c>
      <c r="AH355" s="5">
        <f>VLOOKUP($A355,'NonXtal_SegEnds_Prot#'!$A:$AL,17,FALSE)</f>
        <v>118</v>
      </c>
      <c r="AI355" s="5">
        <f>VLOOKUP($A355,'NonXtal_SegEnds_Prot#'!$A:$AL,20,FALSE)</f>
        <v>126</v>
      </c>
      <c r="AJ355" s="5">
        <f>VLOOKUP($A355,'NonXtal_SegEnds_Prot#'!$A:$AL,23,FALSE)</f>
        <v>153</v>
      </c>
      <c r="AK355" s="5">
        <f>VLOOKUP($A355,'NonXtal_SegEnds_Prot#'!$A:$AL,26,FALSE)</f>
        <v>172</v>
      </c>
      <c r="AL355" s="5">
        <f>VLOOKUP($A355,'NonXtal_SegEnds_Prot#'!$A:$AL,29,FALSE)</f>
        <v>212</v>
      </c>
      <c r="AM355" s="5">
        <f>VLOOKUP($A355,'NonXtal_SegEnds_Prot#'!$A:$AL,32,FALSE)</f>
        <v>255</v>
      </c>
      <c r="AN355" s="5">
        <f>VLOOKUP($A355,'NonXtal_SegEnds_Prot#'!$A:$AL,35,FALSE)</f>
        <v>293</v>
      </c>
      <c r="AO355" s="5">
        <f>VLOOKUP($A355,'NonXtal_SegEnds_Prot#'!$A:$AL,38,FALSE)</f>
        <v>306</v>
      </c>
      <c r="AP355" s="5">
        <f t="shared" si="138"/>
        <v>30</v>
      </c>
      <c r="AQ355" s="4" t="str">
        <f t="shared" si="139"/>
        <v>-</v>
      </c>
      <c r="AR355" s="4">
        <f t="shared" si="140"/>
        <v>29</v>
      </c>
      <c r="AS355" s="4">
        <f t="shared" si="141"/>
        <v>3</v>
      </c>
      <c r="AT355" s="4">
        <f t="shared" si="142"/>
        <v>35</v>
      </c>
      <c r="AU355" s="4">
        <f t="shared" si="143"/>
        <v>7</v>
      </c>
      <c r="AV355" s="4">
        <f t="shared" si="144"/>
        <v>25</v>
      </c>
      <c r="AW355" s="4">
        <f t="shared" si="145"/>
        <v>2</v>
      </c>
      <c r="AX355" s="4">
        <f t="shared" si="146"/>
        <v>35</v>
      </c>
      <c r="AY355" s="4">
        <f t="shared" si="147"/>
        <v>38</v>
      </c>
      <c r="AZ355" s="4">
        <f t="shared" si="148"/>
        <v>32</v>
      </c>
      <c r="BA355" s="4">
        <f t="shared" si="149"/>
        <v>12</v>
      </c>
    </row>
    <row r="356" spans="1:53" x14ac:dyDescent="0.2">
      <c r="A356" s="1" t="str">
        <f>'NonXtal_SegEnds_Prot#'!A350</f>
        <v>gp174_human</v>
      </c>
      <c r="B356" s="1" t="str">
        <f t="shared" si="125"/>
        <v>FRYFIYAVTYTVILVPGLIGNILALWVFYGYKRAVIFMINLAIADLLQVLSLPLRIFYYLNGPGLCMFCFYLKYVNMYASIYFLVCISVRRFWFLMYQKYDLYISIAGWLIICLACVLFPLLRLAQSVVMMTIGELIGFVTPLLIVLYCTWKTVLSLQDKGEKQKALKMILTCAGVFLICFAPYHFSFPLDFLVKSNSCLARRVILIFHSVALCLASLNSCLDPVIYYFSTNEFRRRLSRQDL</v>
      </c>
      <c r="C356" s="72" t="str">
        <f>IF(ISERROR(MATCH(A356,'Xtal_SegEnds_Prot#'!B:B, 0)), "NoXtal", "Xtal")</f>
        <v>NoXtal</v>
      </c>
      <c r="D356" s="4" t="str">
        <f>VLOOKUP(A356,Classification!A:D,2,FALSE)</f>
        <v>A</v>
      </c>
      <c r="E356" s="5" t="str">
        <f>VLOOKUP(A356,Seqs!A:B,2,FALSE)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356" s="5" t="str">
        <f t="shared" si="126"/>
        <v>FRYFIYAVTYTVILVPGLIGNILALWVFYGY</v>
      </c>
      <c r="G356" s="4" t="str">
        <f t="shared" si="127"/>
        <v/>
      </c>
      <c r="H356" s="4" t="str">
        <f t="shared" si="128"/>
        <v>KRAVIFMINLAIADLLQVLSLPLRIFYYLN</v>
      </c>
      <c r="I356" s="4" t="str">
        <f t="shared" si="129"/>
        <v>DWPF</v>
      </c>
      <c r="J356" s="4" t="str">
        <f t="shared" si="130"/>
        <v>GPGLCMFCFYLKYVNMYASIYFLVCISVRRFWFLMY</v>
      </c>
      <c r="K356" s="4" t="str">
        <f t="shared" si="131"/>
        <v>PFRFHDCK</v>
      </c>
      <c r="L356" s="4" t="str">
        <f t="shared" si="132"/>
        <v>QKYDLYISIAGWLIICLACVLFPLLR</v>
      </c>
      <c r="M356" s="4" t="str">
        <f t="shared" si="133"/>
        <v>CFV</v>
      </c>
      <c r="N356" s="4" t="str">
        <f t="shared" si="134"/>
        <v>LAQSVVMMTIGELIGFVTPLLIVLYCTWKTVLSLQDK</v>
      </c>
      <c r="O356" s="4" t="str">
        <f t="shared" si="135"/>
        <v>GEKQKALKMILTCAGVFLICFAPYHFSFPLDFLVKSN</v>
      </c>
      <c r="P356" s="4" t="str">
        <f t="shared" si="136"/>
        <v>SCLARRVILIFHSVALCLASLNSCLDPVIYYFS</v>
      </c>
      <c r="Q356" s="4" t="str">
        <f t="shared" si="137"/>
        <v>TNEFRRRLSRQDL</v>
      </c>
      <c r="R356" s="5">
        <f>VLOOKUP($A356,'NonXtal_SegEnds_Prot#'!$A:$AL,3,FALSE)</f>
        <v>17</v>
      </c>
      <c r="S356" s="5" t="str">
        <f>VLOOKUP($A356,'NonXtal_SegEnds_Prot#'!$A:$AL,6,FALSE)</f>
        <v>-</v>
      </c>
      <c r="T356" s="5">
        <f>VLOOKUP($A356,'NonXtal_SegEnds_Prot#'!$A:$AL,9,FALSE)</f>
        <v>52</v>
      </c>
      <c r="U356" s="5">
        <f>VLOOKUP($A356,'NonXtal_SegEnds_Prot#'!$A:$AL,12,FALSE)</f>
        <v>83</v>
      </c>
      <c r="V356" s="5">
        <f>VLOOKUP($A356,'NonXtal_SegEnds_Prot#'!$A:$AL,15,FALSE)</f>
        <v>87</v>
      </c>
      <c r="W356" s="5">
        <f>VLOOKUP($A356,'NonXtal_SegEnds_Prot#'!$A:$AL,18,FALSE)</f>
        <v>123</v>
      </c>
      <c r="X356" s="5">
        <f>VLOOKUP($A356,'NonXtal_SegEnds_Prot#'!$A:$AL,21,FALSE)</f>
        <v>131</v>
      </c>
      <c r="Y356" s="5">
        <f>VLOOKUP($A356,'NonXtal_SegEnds_Prot#'!$A:$AL,24,FALSE)</f>
        <v>168</v>
      </c>
      <c r="Z356" s="5">
        <f>VLOOKUP($A356,'NonXtal_SegEnds_Prot#'!$A:$AL,27,FALSE)</f>
        <v>179</v>
      </c>
      <c r="AA356" s="5">
        <f>VLOOKUP($A356,'NonXtal_SegEnds_Prot#'!$A:$AL,30,FALSE)</f>
        <v>223</v>
      </c>
      <c r="AB356" s="5">
        <f>VLOOKUP($A356,'NonXtal_SegEnds_Prot#'!$A:$AL,33,FALSE)</f>
        <v>263</v>
      </c>
      <c r="AC356" s="5">
        <f>VLOOKUP($A356,'NonXtal_SegEnds_Prot#'!$A:$AL,36,FALSE)</f>
        <v>296</v>
      </c>
      <c r="AD356" s="5">
        <f>VLOOKUP($A356,'NonXtal_SegEnds_Prot#'!$A:$AL,5,FALSE)</f>
        <v>47</v>
      </c>
      <c r="AE356" s="5" t="str">
        <f>VLOOKUP($A356,'NonXtal_SegEnds_Prot#'!$A:$AL,8,FALSE)</f>
        <v>-</v>
      </c>
      <c r="AF356" s="5">
        <f>VLOOKUP($A356,'NonXtal_SegEnds_Prot#'!$A:$AL,11,FALSE)</f>
        <v>81</v>
      </c>
      <c r="AG356" s="5">
        <f>VLOOKUP($A356,'NonXtal_SegEnds_Prot#'!$A:$AL,14,FALSE)</f>
        <v>86</v>
      </c>
      <c r="AH356" s="5">
        <f>VLOOKUP($A356,'NonXtal_SegEnds_Prot#'!$A:$AL,17,FALSE)</f>
        <v>122</v>
      </c>
      <c r="AI356" s="5">
        <f>VLOOKUP($A356,'NonXtal_SegEnds_Prot#'!$A:$AL,20,FALSE)</f>
        <v>130</v>
      </c>
      <c r="AJ356" s="5">
        <f>VLOOKUP($A356,'NonXtal_SegEnds_Prot#'!$A:$AL,23,FALSE)</f>
        <v>156</v>
      </c>
      <c r="AK356" s="5">
        <f>VLOOKUP($A356,'NonXtal_SegEnds_Prot#'!$A:$AL,26,FALSE)</f>
        <v>170</v>
      </c>
      <c r="AL356" s="5">
        <f>VLOOKUP($A356,'NonXtal_SegEnds_Prot#'!$A:$AL,29,FALSE)</f>
        <v>215</v>
      </c>
      <c r="AM356" s="5">
        <f>VLOOKUP($A356,'NonXtal_SegEnds_Prot#'!$A:$AL,32,FALSE)</f>
        <v>259</v>
      </c>
      <c r="AN356" s="5">
        <f>VLOOKUP($A356,'NonXtal_SegEnds_Prot#'!$A:$AL,35,FALSE)</f>
        <v>295</v>
      </c>
      <c r="AO356" s="5">
        <f>VLOOKUP($A356,'NonXtal_SegEnds_Prot#'!$A:$AL,38,FALSE)</f>
        <v>308</v>
      </c>
      <c r="AP356" s="5">
        <f t="shared" si="138"/>
        <v>30</v>
      </c>
      <c r="AQ356" s="4" t="str">
        <f t="shared" si="139"/>
        <v>-</v>
      </c>
      <c r="AR356" s="4">
        <f t="shared" si="140"/>
        <v>29</v>
      </c>
      <c r="AS356" s="4">
        <f t="shared" si="141"/>
        <v>3</v>
      </c>
      <c r="AT356" s="4">
        <f t="shared" si="142"/>
        <v>35</v>
      </c>
      <c r="AU356" s="4">
        <f t="shared" si="143"/>
        <v>7</v>
      </c>
      <c r="AV356" s="4">
        <f t="shared" si="144"/>
        <v>25</v>
      </c>
      <c r="AW356" s="4">
        <f t="shared" si="145"/>
        <v>2</v>
      </c>
      <c r="AX356" s="4">
        <f t="shared" si="146"/>
        <v>36</v>
      </c>
      <c r="AY356" s="4">
        <f t="shared" si="147"/>
        <v>36</v>
      </c>
      <c r="AZ356" s="4">
        <f t="shared" si="148"/>
        <v>32</v>
      </c>
      <c r="BA356" s="4">
        <f t="shared" si="149"/>
        <v>12</v>
      </c>
    </row>
    <row r="357" spans="1:53" x14ac:dyDescent="0.2">
      <c r="A357" s="1" t="str">
        <f>'NonXtal_SegEnds_Prot#'!A351</f>
        <v>gpr4_human</v>
      </c>
      <c r="B357" s="1" t="str">
        <f t="shared" si="125"/>
        <v>VDHLFPPSLYIFVIGVGLPTNCLALWAAYRQNELGVYLMNLSIADLLYICTLPLWVDYFLHGPGSCKLFGFIFYTNIYISIAFLCCISVDRYLAVAHVKTAVAVSSVVWATELGANSAPLFHDEGWVAWMNLYRVFVGFLFPWALMLLSYRGILRAVRGERQEKAKIKRLALSLIAIVLVCFAPYHVLLLSRSAIYLGDCGFEERVFSAYHSSLAFTSLNCVADPILYCLVNEGARSDVAKALH</v>
      </c>
      <c r="C357" s="72" t="str">
        <f>IF(ISERROR(MATCH(A357,'Xtal_SegEnds_Prot#'!B:B, 0)), "NoXtal", "Xtal")</f>
        <v>NoXtal</v>
      </c>
      <c r="D357" s="4" t="str">
        <f>VLOOKUP(A357,Classification!A:D,2,FALSE)</f>
        <v>A</v>
      </c>
      <c r="E357" s="5" t="str">
        <f>VLOOKUP(A357,Seqs!A:B,2,FALSE)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357" s="5" t="str">
        <f t="shared" si="126"/>
        <v>VDHLFPPSLYIFVIGVGLPTNCLALWAAYRQ</v>
      </c>
      <c r="G357" s="4" t="str">
        <f t="shared" si="127"/>
        <v/>
      </c>
      <c r="H357" s="4" t="str">
        <f t="shared" si="128"/>
        <v>NELGVYLMNLSIADLLYICTLPLWVDYFLH</v>
      </c>
      <c r="I357" s="4" t="str">
        <f t="shared" si="129"/>
        <v>NWIH</v>
      </c>
      <c r="J357" s="4" t="str">
        <f t="shared" si="130"/>
        <v>GPGSCKLFGFIFYTNIYISIAFLCCISVDRYLAVAH</v>
      </c>
      <c r="K357" s="4" t="str">
        <f t="shared" si="131"/>
        <v>PLRFARLR</v>
      </c>
      <c r="L357" s="4" t="str">
        <f t="shared" si="132"/>
        <v>VKTAVAVSSVVWATELGANSAPLFHD</v>
      </c>
      <c r="M357" s="4" t="str">
        <f t="shared" si="133"/>
        <v>CFE</v>
      </c>
      <c r="N357" s="4" t="str">
        <f t="shared" si="134"/>
        <v>EGWVAWMNLYRVFVGFLFPWALMLLSYRGILRAVRG</v>
      </c>
      <c r="O357" s="4" t="str">
        <f t="shared" si="135"/>
        <v>ERQEKAKIKRLALSLIAIVLVCFAPYHVLLLSRSAIYLG</v>
      </c>
      <c r="P357" s="4" t="str">
        <f t="shared" si="136"/>
        <v>DCGFEERVFSAYHSSLAFTSLNCVADPILYCLV</v>
      </c>
      <c r="Q357" s="4" t="str">
        <f t="shared" si="137"/>
        <v>NEGARSDVAKALH</v>
      </c>
      <c r="R357" s="5">
        <f>VLOOKUP($A357,'NonXtal_SegEnds_Prot#'!$A:$AL,3,FALSE)</f>
        <v>15</v>
      </c>
      <c r="S357" s="5" t="str">
        <f>VLOOKUP($A357,'NonXtal_SegEnds_Prot#'!$A:$AL,6,FALSE)</f>
        <v>-</v>
      </c>
      <c r="T357" s="5">
        <f>VLOOKUP($A357,'NonXtal_SegEnds_Prot#'!$A:$AL,9,FALSE)</f>
        <v>50</v>
      </c>
      <c r="U357" s="5">
        <f>VLOOKUP($A357,'NonXtal_SegEnds_Prot#'!$A:$AL,12,FALSE)</f>
        <v>82</v>
      </c>
      <c r="V357" s="5">
        <f>VLOOKUP($A357,'NonXtal_SegEnds_Prot#'!$A:$AL,15,FALSE)</f>
        <v>86</v>
      </c>
      <c r="W357" s="5">
        <f>VLOOKUP($A357,'NonXtal_SegEnds_Prot#'!$A:$AL,18,FALSE)</f>
        <v>122</v>
      </c>
      <c r="X357" s="5">
        <f>VLOOKUP($A357,'NonXtal_SegEnds_Prot#'!$A:$AL,21,FALSE)</f>
        <v>131</v>
      </c>
      <c r="Y357" s="5">
        <f>VLOOKUP($A357,'NonXtal_SegEnds_Prot#'!$A:$AL,24,FALSE)</f>
        <v>168</v>
      </c>
      <c r="Z357" s="5">
        <f>VLOOKUP($A357,'NonXtal_SegEnds_Prot#'!$A:$AL,27,FALSE)</f>
        <v>175</v>
      </c>
      <c r="AA357" s="5">
        <f>VLOOKUP($A357,'NonXtal_SegEnds_Prot#'!$A:$AL,30,FALSE)</f>
        <v>215</v>
      </c>
      <c r="AB357" s="5">
        <f>VLOOKUP($A357,'NonXtal_SegEnds_Prot#'!$A:$AL,33,FALSE)</f>
        <v>257</v>
      </c>
      <c r="AC357" s="5">
        <f>VLOOKUP($A357,'NonXtal_SegEnds_Prot#'!$A:$AL,36,FALSE)</f>
        <v>290</v>
      </c>
      <c r="AD357" s="5">
        <f>VLOOKUP($A357,'NonXtal_SegEnds_Prot#'!$A:$AL,5,FALSE)</f>
        <v>45</v>
      </c>
      <c r="AE357" s="5" t="str">
        <f>VLOOKUP($A357,'NonXtal_SegEnds_Prot#'!$A:$AL,8,FALSE)</f>
        <v>-</v>
      </c>
      <c r="AF357" s="5">
        <f>VLOOKUP($A357,'NonXtal_SegEnds_Prot#'!$A:$AL,11,FALSE)</f>
        <v>79</v>
      </c>
      <c r="AG357" s="5">
        <f>VLOOKUP($A357,'NonXtal_SegEnds_Prot#'!$A:$AL,14,FALSE)</f>
        <v>85</v>
      </c>
      <c r="AH357" s="5">
        <f>VLOOKUP($A357,'NonXtal_SegEnds_Prot#'!$A:$AL,17,FALSE)</f>
        <v>121</v>
      </c>
      <c r="AI357" s="5">
        <f>VLOOKUP($A357,'NonXtal_SegEnds_Prot#'!$A:$AL,20,FALSE)</f>
        <v>129</v>
      </c>
      <c r="AJ357" s="5">
        <f>VLOOKUP($A357,'NonXtal_SegEnds_Prot#'!$A:$AL,23,FALSE)</f>
        <v>156</v>
      </c>
      <c r="AK357" s="5">
        <f>VLOOKUP($A357,'NonXtal_SegEnds_Prot#'!$A:$AL,26,FALSE)</f>
        <v>170</v>
      </c>
      <c r="AL357" s="5">
        <f>VLOOKUP($A357,'NonXtal_SegEnds_Prot#'!$A:$AL,29,FALSE)</f>
        <v>210</v>
      </c>
      <c r="AM357" s="5">
        <f>VLOOKUP($A357,'NonXtal_SegEnds_Prot#'!$A:$AL,32,FALSE)</f>
        <v>253</v>
      </c>
      <c r="AN357" s="5">
        <f>VLOOKUP($A357,'NonXtal_SegEnds_Prot#'!$A:$AL,35,FALSE)</f>
        <v>289</v>
      </c>
      <c r="AO357" s="5">
        <f>VLOOKUP($A357,'NonXtal_SegEnds_Prot#'!$A:$AL,38,FALSE)</f>
        <v>302</v>
      </c>
      <c r="AP357" s="5">
        <f t="shared" si="138"/>
        <v>30</v>
      </c>
      <c r="AQ357" s="4" t="str">
        <f t="shared" si="139"/>
        <v>-</v>
      </c>
      <c r="AR357" s="4">
        <f t="shared" si="140"/>
        <v>29</v>
      </c>
      <c r="AS357" s="4">
        <f t="shared" si="141"/>
        <v>3</v>
      </c>
      <c r="AT357" s="4">
        <f t="shared" si="142"/>
        <v>35</v>
      </c>
      <c r="AU357" s="4">
        <f t="shared" si="143"/>
        <v>7</v>
      </c>
      <c r="AV357" s="4">
        <f t="shared" si="144"/>
        <v>25</v>
      </c>
      <c r="AW357" s="4">
        <f t="shared" si="145"/>
        <v>2</v>
      </c>
      <c r="AX357" s="4">
        <f t="shared" si="146"/>
        <v>35</v>
      </c>
      <c r="AY357" s="4">
        <f t="shared" si="147"/>
        <v>38</v>
      </c>
      <c r="AZ357" s="4">
        <f t="shared" si="148"/>
        <v>32</v>
      </c>
      <c r="BA357" s="4">
        <f t="shared" si="149"/>
        <v>12</v>
      </c>
    </row>
    <row r="358" spans="1:53" x14ac:dyDescent="0.2">
      <c r="A358" s="1" t="str">
        <f>'NonXtal_SegEnds_Prot#'!A352</f>
        <v>lpar6_human</v>
      </c>
      <c r="B358" s="1" t="str">
        <f t="shared" si="125"/>
        <v>FKYTLYGCMFSMVFVLGLISNCVAIYIFICVNETTTYMINLAMSDLLFVFTLPFRIFYFTTGDLLCKISVMLFYTNMYGSILFLTCISVDRFLAIVYKRNAKIVCTGVWLTVIGGSAPAVFVQKTYLSRIVIFIEIVGFFIPLILNVTCSSMVLKTLTKPINKTKVLKMIFVHLIIFCFCFVPYNINLILYSLVRTQNCSVVAAVRTMYPITLCIAVSNCCFDPIVYYFTSDTIQNSIKMKNW</v>
      </c>
      <c r="C358" s="72" t="str">
        <f>IF(ISERROR(MATCH(A358,'Xtal_SegEnds_Prot#'!B:B, 0)), "NoXtal", "Xtal")</f>
        <v>NoXtal</v>
      </c>
      <c r="D358" s="4" t="str">
        <f>VLOOKUP(A358,Classification!A:D,2,FALSE)</f>
        <v>A</v>
      </c>
      <c r="E358" s="5" t="str">
        <f>VLOOKUP(A358,Seqs!A:B,2,FALSE)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358" s="5" t="str">
        <f t="shared" si="126"/>
        <v>FKYTLYGCMFSMVFVLGLISNCVAIYIFICV</v>
      </c>
      <c r="G358" s="4" t="str">
        <f t="shared" si="127"/>
        <v>LKVR</v>
      </c>
      <c r="H358" s="4" t="str">
        <f t="shared" si="128"/>
        <v>NETTTYMINLAMSDLLFVFTLPFRIFYFTT</v>
      </c>
      <c r="I358" s="4" t="str">
        <f t="shared" si="129"/>
        <v>NWPF</v>
      </c>
      <c r="J358" s="4" t="str">
        <f t="shared" si="130"/>
        <v>GDLLCKISVMLFYTNMYGSILFLTCISVDRFLAIVY</v>
      </c>
      <c r="K358" s="4" t="str">
        <f t="shared" si="131"/>
        <v>PFKSKTLR</v>
      </c>
      <c r="L358" s="4" t="str">
        <f t="shared" si="132"/>
        <v>KRNAKIVCTGVWLTVIGGSAPAVFVQ</v>
      </c>
      <c r="M358" s="4" t="str">
        <f t="shared" si="133"/>
        <v>CFE</v>
      </c>
      <c r="N358" s="4" t="str">
        <f t="shared" si="134"/>
        <v>KTYLSRIVIFIEIVGFFIPLILNVTCSSMVLKTLTKP</v>
      </c>
      <c r="O358" s="4" t="str">
        <f t="shared" si="135"/>
        <v>INKTKVLKMIFVHLIIFCFCFVPYNINLILYSLVRTQ</v>
      </c>
      <c r="P358" s="4" t="str">
        <f t="shared" si="136"/>
        <v>NCSVVAAVRTMYPITLCIAVSNCCFDPIVYYFT</v>
      </c>
      <c r="Q358" s="4" t="str">
        <f t="shared" si="137"/>
        <v>SDTIQNSIKMKNW</v>
      </c>
      <c r="R358" s="5">
        <f>VLOOKUP($A358,'NonXtal_SegEnds_Prot#'!$A:$AL,3,FALSE)</f>
        <v>15</v>
      </c>
      <c r="S358" s="5">
        <f>VLOOKUP($A358,'NonXtal_SegEnds_Prot#'!$A:$AL,6,FALSE)</f>
        <v>46</v>
      </c>
      <c r="T358" s="5">
        <f>VLOOKUP($A358,'NonXtal_SegEnds_Prot#'!$A:$AL,9,FALSE)</f>
        <v>50</v>
      </c>
      <c r="U358" s="5">
        <f>VLOOKUP($A358,'NonXtal_SegEnds_Prot#'!$A:$AL,12,FALSE)</f>
        <v>81</v>
      </c>
      <c r="V358" s="5">
        <f>VLOOKUP($A358,'NonXtal_SegEnds_Prot#'!$A:$AL,15,FALSE)</f>
        <v>85</v>
      </c>
      <c r="W358" s="5">
        <f>VLOOKUP($A358,'NonXtal_SegEnds_Prot#'!$A:$AL,18,FALSE)</f>
        <v>121</v>
      </c>
      <c r="X358" s="5">
        <f>VLOOKUP($A358,'NonXtal_SegEnds_Prot#'!$A:$AL,21,FALSE)</f>
        <v>130</v>
      </c>
      <c r="Y358" s="5">
        <f>VLOOKUP($A358,'NonXtal_SegEnds_Prot#'!$A:$AL,24,FALSE)</f>
        <v>168</v>
      </c>
      <c r="Z358" s="5">
        <f>VLOOKUP($A358,'NonXtal_SegEnds_Prot#'!$A:$AL,27,FALSE)</f>
        <v>178</v>
      </c>
      <c r="AA358" s="5">
        <f>VLOOKUP($A358,'NonXtal_SegEnds_Prot#'!$A:$AL,30,FALSE)</f>
        <v>222</v>
      </c>
      <c r="AB358" s="5">
        <f>VLOOKUP($A358,'NonXtal_SegEnds_Prot#'!$A:$AL,33,FALSE)</f>
        <v>262</v>
      </c>
      <c r="AC358" s="5">
        <f>VLOOKUP($A358,'NonXtal_SegEnds_Prot#'!$A:$AL,36,FALSE)</f>
        <v>295</v>
      </c>
      <c r="AD358" s="5">
        <f>VLOOKUP($A358,'NonXtal_SegEnds_Prot#'!$A:$AL,5,FALSE)</f>
        <v>45</v>
      </c>
      <c r="AE358" s="5">
        <f>VLOOKUP($A358,'NonXtal_SegEnds_Prot#'!$A:$AL,8,FALSE)</f>
        <v>49</v>
      </c>
      <c r="AF358" s="5">
        <f>VLOOKUP($A358,'NonXtal_SegEnds_Prot#'!$A:$AL,11,FALSE)</f>
        <v>79</v>
      </c>
      <c r="AG358" s="5">
        <f>VLOOKUP($A358,'NonXtal_SegEnds_Prot#'!$A:$AL,14,FALSE)</f>
        <v>84</v>
      </c>
      <c r="AH358" s="5">
        <f>VLOOKUP($A358,'NonXtal_SegEnds_Prot#'!$A:$AL,17,FALSE)</f>
        <v>120</v>
      </c>
      <c r="AI358" s="5">
        <f>VLOOKUP($A358,'NonXtal_SegEnds_Prot#'!$A:$AL,20,FALSE)</f>
        <v>128</v>
      </c>
      <c r="AJ358" s="5">
        <f>VLOOKUP($A358,'NonXtal_SegEnds_Prot#'!$A:$AL,23,FALSE)</f>
        <v>155</v>
      </c>
      <c r="AK358" s="5">
        <f>VLOOKUP($A358,'NonXtal_SegEnds_Prot#'!$A:$AL,26,FALSE)</f>
        <v>170</v>
      </c>
      <c r="AL358" s="5">
        <f>VLOOKUP($A358,'NonXtal_SegEnds_Prot#'!$A:$AL,29,FALSE)</f>
        <v>214</v>
      </c>
      <c r="AM358" s="5">
        <f>VLOOKUP($A358,'NonXtal_SegEnds_Prot#'!$A:$AL,32,FALSE)</f>
        <v>258</v>
      </c>
      <c r="AN358" s="5">
        <f>VLOOKUP($A358,'NonXtal_SegEnds_Prot#'!$A:$AL,35,FALSE)</f>
        <v>294</v>
      </c>
      <c r="AO358" s="5">
        <f>VLOOKUP($A358,'NonXtal_SegEnds_Prot#'!$A:$AL,38,FALSE)</f>
        <v>307</v>
      </c>
      <c r="AP358" s="5">
        <f t="shared" si="138"/>
        <v>30</v>
      </c>
      <c r="AQ358" s="4">
        <f t="shared" si="139"/>
        <v>3</v>
      </c>
      <c r="AR358" s="4">
        <f t="shared" si="140"/>
        <v>29</v>
      </c>
      <c r="AS358" s="4">
        <f t="shared" si="141"/>
        <v>3</v>
      </c>
      <c r="AT358" s="4">
        <f t="shared" si="142"/>
        <v>35</v>
      </c>
      <c r="AU358" s="4">
        <f t="shared" si="143"/>
        <v>7</v>
      </c>
      <c r="AV358" s="4">
        <f t="shared" si="144"/>
        <v>25</v>
      </c>
      <c r="AW358" s="4">
        <f t="shared" si="145"/>
        <v>2</v>
      </c>
      <c r="AX358" s="4">
        <f t="shared" si="146"/>
        <v>36</v>
      </c>
      <c r="AY358" s="4">
        <f t="shared" si="147"/>
        <v>36</v>
      </c>
      <c r="AZ358" s="4">
        <f t="shared" si="148"/>
        <v>32</v>
      </c>
      <c r="BA358" s="4">
        <f t="shared" si="149"/>
        <v>12</v>
      </c>
    </row>
    <row r="359" spans="1:53" x14ac:dyDescent="0.2">
      <c r="A359" s="1" t="str">
        <f>'NonXtal_SegEnds_Prot#'!A353</f>
        <v>hcar1_human</v>
      </c>
      <c r="B359" s="1" t="str">
        <f t="shared" si="125"/>
        <v>TISQVMPPLLIVAFVLGALGNGVALCGFCFHKPSTVYLFNLAVADFLLMICLPFRTDYYLRGDIPCRVGLFTLAMNRAGSIVFLTVVAADRYFKVVHTRVAAGIVCTLWALVILGTVYLLLENMESANGWHDIMFQLEFFMPLGIILFCSFKIVWSLRRRQARMKKATRFIMVVAIVFITCYLPSVSARLYFLWTDPSVHGALHITLSFTYMNSMLDPLVYYFSSPSFPKFYNKLKI</v>
      </c>
      <c r="C359" s="72" t="str">
        <f>IF(ISERROR(MATCH(A359,'Xtal_SegEnds_Prot#'!B:B, 0)), "NoXtal", "Xtal")</f>
        <v>NoXtal</v>
      </c>
      <c r="D359" s="4" t="str">
        <f>VLOOKUP(A359,Classification!A:D,2,FALSE)</f>
        <v>A</v>
      </c>
      <c r="E359" s="5" t="str">
        <f>VLOOKUP(A359,Seqs!A:B,2,FALSE)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359" s="5" t="str">
        <f t="shared" si="126"/>
        <v>TISQVMPPLLIVAFVLGALGNGVALCGFCFH</v>
      </c>
      <c r="G359" s="4" t="str">
        <f t="shared" si="127"/>
        <v/>
      </c>
      <c r="H359" s="4" t="str">
        <f t="shared" si="128"/>
        <v>KPSTVYLFNLAVADFLLMICLPFRTDYYLR</v>
      </c>
      <c r="I359" s="4" t="str">
        <f t="shared" si="129"/>
        <v>HWAF</v>
      </c>
      <c r="J359" s="4" t="str">
        <f t="shared" si="130"/>
        <v>GDIPCRVGLFTLAMNRAGSIVFLTVVAADRYFKVVH</v>
      </c>
      <c r="K359" s="4" t="str">
        <f t="shared" si="131"/>
        <v>PHHAVNTI</v>
      </c>
      <c r="L359" s="4" t="str">
        <f t="shared" si="132"/>
        <v>TRVAAGIVCTLWALVILGTVYLLLEN</v>
      </c>
      <c r="M359" s="4" t="str">
        <f t="shared" si="133"/>
        <v>CES</v>
      </c>
      <c r="N359" s="4" t="str">
        <f t="shared" si="134"/>
        <v>MESANGWHDIMFQLEFFMPLGIILFCSFKIVWSLRR</v>
      </c>
      <c r="O359" s="4" t="str">
        <f t="shared" si="135"/>
        <v>RQARMKKATRFIMVVAIVFITCYLPSVSARLYFLWT</v>
      </c>
      <c r="P359" s="4" t="str">
        <f t="shared" si="136"/>
        <v>DPSVHGALHITLSFTYMNSMLDPLVYYFS</v>
      </c>
      <c r="Q359" s="4" t="str">
        <f t="shared" si="137"/>
        <v>SPSFPKFYNKLKI</v>
      </c>
      <c r="R359" s="5">
        <f>VLOOKUP($A359,'NonXtal_SegEnds_Prot#'!$A:$AL,3,FALSE)</f>
        <v>13</v>
      </c>
      <c r="S359" s="5" t="str">
        <f>VLOOKUP($A359,'NonXtal_SegEnds_Prot#'!$A:$AL,6,FALSE)</f>
        <v>-</v>
      </c>
      <c r="T359" s="5">
        <f>VLOOKUP($A359,'NonXtal_SegEnds_Prot#'!$A:$AL,9,FALSE)</f>
        <v>48</v>
      </c>
      <c r="U359" s="5">
        <f>VLOOKUP($A359,'NonXtal_SegEnds_Prot#'!$A:$AL,12,FALSE)</f>
        <v>80</v>
      </c>
      <c r="V359" s="5">
        <f>VLOOKUP($A359,'NonXtal_SegEnds_Prot#'!$A:$AL,15,FALSE)</f>
        <v>84</v>
      </c>
      <c r="W359" s="5">
        <f>VLOOKUP($A359,'NonXtal_SegEnds_Prot#'!$A:$AL,18,FALSE)</f>
        <v>120</v>
      </c>
      <c r="X359" s="5">
        <f>VLOOKUP($A359,'NonXtal_SegEnds_Prot#'!$A:$AL,21,FALSE)</f>
        <v>129</v>
      </c>
      <c r="Y359" s="5">
        <f>VLOOKUP($A359,'NonXtal_SegEnds_Prot#'!$A:$AL,24,FALSE)</f>
        <v>165</v>
      </c>
      <c r="Z359" s="5">
        <f>VLOOKUP($A359,'NonXtal_SegEnds_Prot#'!$A:$AL,27,FALSE)</f>
        <v>170</v>
      </c>
      <c r="AA359" s="5">
        <f>VLOOKUP($A359,'NonXtal_SegEnds_Prot#'!$A:$AL,30,FALSE)</f>
        <v>211</v>
      </c>
      <c r="AB359" s="5">
        <f>VLOOKUP($A359,'NonXtal_SegEnds_Prot#'!$A:$AL,33,FALSE)</f>
        <v>253</v>
      </c>
      <c r="AC359" s="5">
        <f>VLOOKUP($A359,'NonXtal_SegEnds_Prot#'!$A:$AL,36,FALSE)</f>
        <v>282</v>
      </c>
      <c r="AD359" s="5">
        <f>VLOOKUP($A359,'NonXtal_SegEnds_Prot#'!$A:$AL,5,FALSE)</f>
        <v>43</v>
      </c>
      <c r="AE359" s="5" t="str">
        <f>VLOOKUP($A359,'NonXtal_SegEnds_Prot#'!$A:$AL,8,FALSE)</f>
        <v>-</v>
      </c>
      <c r="AF359" s="5">
        <f>VLOOKUP($A359,'NonXtal_SegEnds_Prot#'!$A:$AL,11,FALSE)</f>
        <v>77</v>
      </c>
      <c r="AG359" s="5">
        <f>VLOOKUP($A359,'NonXtal_SegEnds_Prot#'!$A:$AL,14,FALSE)</f>
        <v>83</v>
      </c>
      <c r="AH359" s="5">
        <f>VLOOKUP($A359,'NonXtal_SegEnds_Prot#'!$A:$AL,17,FALSE)</f>
        <v>119</v>
      </c>
      <c r="AI359" s="5">
        <f>VLOOKUP($A359,'NonXtal_SegEnds_Prot#'!$A:$AL,20,FALSE)</f>
        <v>127</v>
      </c>
      <c r="AJ359" s="5">
        <f>VLOOKUP($A359,'NonXtal_SegEnds_Prot#'!$A:$AL,23,FALSE)</f>
        <v>154</v>
      </c>
      <c r="AK359" s="5">
        <f>VLOOKUP($A359,'NonXtal_SegEnds_Prot#'!$A:$AL,26,FALSE)</f>
        <v>167</v>
      </c>
      <c r="AL359" s="5">
        <f>VLOOKUP($A359,'NonXtal_SegEnds_Prot#'!$A:$AL,29,FALSE)</f>
        <v>205</v>
      </c>
      <c r="AM359" s="5">
        <f>VLOOKUP($A359,'NonXtal_SegEnds_Prot#'!$A:$AL,32,FALSE)</f>
        <v>246</v>
      </c>
      <c r="AN359" s="5">
        <f>VLOOKUP($A359,'NonXtal_SegEnds_Prot#'!$A:$AL,35,FALSE)</f>
        <v>281</v>
      </c>
      <c r="AO359" s="5">
        <f>VLOOKUP($A359,'NonXtal_SegEnds_Prot#'!$A:$AL,38,FALSE)</f>
        <v>294</v>
      </c>
      <c r="AP359" s="5">
        <f t="shared" si="138"/>
        <v>30</v>
      </c>
      <c r="AQ359" s="4" t="str">
        <f t="shared" si="139"/>
        <v>-</v>
      </c>
      <c r="AR359" s="4">
        <f t="shared" si="140"/>
        <v>29</v>
      </c>
      <c r="AS359" s="4">
        <f t="shared" si="141"/>
        <v>3</v>
      </c>
      <c r="AT359" s="4">
        <f t="shared" si="142"/>
        <v>35</v>
      </c>
      <c r="AU359" s="4">
        <f t="shared" si="143"/>
        <v>7</v>
      </c>
      <c r="AV359" s="4">
        <f t="shared" si="144"/>
        <v>25</v>
      </c>
      <c r="AW359" s="4">
        <f t="shared" si="145"/>
        <v>2</v>
      </c>
      <c r="AX359" s="4">
        <f t="shared" si="146"/>
        <v>35</v>
      </c>
      <c r="AY359" s="4">
        <f t="shared" si="147"/>
        <v>35</v>
      </c>
      <c r="AZ359" s="4">
        <f t="shared" si="148"/>
        <v>28</v>
      </c>
      <c r="BA359" s="4">
        <f t="shared" si="149"/>
        <v>12</v>
      </c>
    </row>
    <row r="360" spans="1:53" x14ac:dyDescent="0.2">
      <c r="A360" s="1" t="str">
        <f>'NonXtal_SegEnds_Prot#'!A354</f>
        <v>gpr31_human</v>
      </c>
      <c r="B360" s="1" t="str">
        <f t="shared" si="125"/>
        <v>VVATAVGVLLGLECGLGLLGNAVALWTFLFRKPYAVYLLNLALADLLLAACLPFLAAFYLSGRVGCWALHFLLDLSRSVGMAFLAAVALDRYLRVVHPQAALGVSGLVWLLMVALTCPGLLISGSFSIIWQEALSCLQFVLPFGLIVFCNAGIIRALQKRPKLQRAQALVTLVVVLFALCFLPCFLARVLMHIFLCAVAHTSDVTGSLTYLHSVLNPVVYCFSSPTFRSSYRRVFH</v>
      </c>
      <c r="C360" s="72" t="str">
        <f>IF(ISERROR(MATCH(A360,'Xtal_SegEnds_Prot#'!B:B, 0)), "NoXtal", "Xtal")</f>
        <v>NoXtal</v>
      </c>
      <c r="D360" s="4" t="str">
        <f>VLOOKUP(A360,Classification!A:D,2,FALSE)</f>
        <v>A</v>
      </c>
      <c r="E360" s="5" t="str">
        <f>VLOOKUP(A360,Seqs!A:B,2,FALSE)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360" s="5" t="str">
        <f t="shared" si="126"/>
        <v>VVATAVGVLLGLECGLGLLGNAVALWTFLFR</v>
      </c>
      <c r="G360" s="4" t="str">
        <f t="shared" si="127"/>
        <v>VRVW</v>
      </c>
      <c r="H360" s="4" t="str">
        <f t="shared" si="128"/>
        <v>KPYAVYLLNLALADLLLAACLPFLAAFYLS</v>
      </c>
      <c r="I360" s="4" t="str">
        <f t="shared" si="129"/>
        <v>AWHL</v>
      </c>
      <c r="J360" s="4" t="str">
        <f t="shared" si="130"/>
        <v>GRVGCWALHFLLDLSRSVGMAFLAAVALDRYLRVVH</v>
      </c>
      <c r="K360" s="4" t="str">
        <f t="shared" si="131"/>
        <v>PRLKVNLL</v>
      </c>
      <c r="L360" s="4" t="str">
        <f t="shared" si="132"/>
        <v>PQAALGVSGLVWLLMVALTCPGLLIS</v>
      </c>
      <c r="M360" s="4" t="str">
        <f t="shared" si="133"/>
        <v>CHS</v>
      </c>
      <c r="N360" s="4" t="str">
        <f t="shared" si="134"/>
        <v>GSFSIIWQEALSCLQFVLPFGLIVFCNAGIIRALQKR</v>
      </c>
      <c r="O360" s="4" t="str">
        <f t="shared" si="135"/>
        <v>PKLQRAQALVTLVVVLFALCFLPCFLARVLMHIF</v>
      </c>
      <c r="P360" s="4" t="str">
        <f t="shared" si="136"/>
        <v>LCAVAHTSDVTGSLTYLHSVLNPVVYCFS</v>
      </c>
      <c r="Q360" s="4" t="str">
        <f t="shared" si="137"/>
        <v>SPTFRSSYRRVFH</v>
      </c>
      <c r="R360" s="5">
        <f>VLOOKUP($A360,'NonXtal_SegEnds_Prot#'!$A:$AL,3,FALSE)</f>
        <v>12</v>
      </c>
      <c r="S360" s="5">
        <f>VLOOKUP($A360,'NonXtal_SegEnds_Prot#'!$A:$AL,6,FALSE)</f>
        <v>43</v>
      </c>
      <c r="T360" s="5">
        <f>VLOOKUP($A360,'NonXtal_SegEnds_Prot#'!$A:$AL,9,FALSE)</f>
        <v>47</v>
      </c>
      <c r="U360" s="5">
        <f>VLOOKUP($A360,'NonXtal_SegEnds_Prot#'!$A:$AL,12,FALSE)</f>
        <v>79</v>
      </c>
      <c r="V360" s="5">
        <f>VLOOKUP($A360,'NonXtal_SegEnds_Prot#'!$A:$AL,15,FALSE)</f>
        <v>83</v>
      </c>
      <c r="W360" s="5">
        <f>VLOOKUP($A360,'NonXtal_SegEnds_Prot#'!$A:$AL,18,FALSE)</f>
        <v>119</v>
      </c>
      <c r="X360" s="5">
        <f>VLOOKUP($A360,'NonXtal_SegEnds_Prot#'!$A:$AL,21,FALSE)</f>
        <v>128</v>
      </c>
      <c r="Y360" s="5">
        <f>VLOOKUP($A360,'NonXtal_SegEnds_Prot#'!$A:$AL,24,FALSE)</f>
        <v>162</v>
      </c>
      <c r="Z360" s="5">
        <f>VLOOKUP($A360,'NonXtal_SegEnds_Prot#'!$A:$AL,27,FALSE)</f>
        <v>171</v>
      </c>
      <c r="AA360" s="5">
        <f>VLOOKUP($A360,'NonXtal_SegEnds_Prot#'!$A:$AL,30,FALSE)</f>
        <v>215</v>
      </c>
      <c r="AB360" s="5">
        <f>VLOOKUP($A360,'NonXtal_SegEnds_Prot#'!$A:$AL,33,FALSE)</f>
        <v>257</v>
      </c>
      <c r="AC360" s="5">
        <f>VLOOKUP($A360,'NonXtal_SegEnds_Prot#'!$A:$AL,36,FALSE)</f>
        <v>286</v>
      </c>
      <c r="AD360" s="5">
        <f>VLOOKUP($A360,'NonXtal_SegEnds_Prot#'!$A:$AL,5,FALSE)</f>
        <v>42</v>
      </c>
      <c r="AE360" s="5">
        <f>VLOOKUP($A360,'NonXtal_SegEnds_Prot#'!$A:$AL,8,FALSE)</f>
        <v>46</v>
      </c>
      <c r="AF360" s="5">
        <f>VLOOKUP($A360,'NonXtal_SegEnds_Prot#'!$A:$AL,11,FALSE)</f>
        <v>76</v>
      </c>
      <c r="AG360" s="5">
        <f>VLOOKUP($A360,'NonXtal_SegEnds_Prot#'!$A:$AL,14,FALSE)</f>
        <v>82</v>
      </c>
      <c r="AH360" s="5">
        <f>VLOOKUP($A360,'NonXtal_SegEnds_Prot#'!$A:$AL,17,FALSE)</f>
        <v>118</v>
      </c>
      <c r="AI360" s="5">
        <f>VLOOKUP($A360,'NonXtal_SegEnds_Prot#'!$A:$AL,20,FALSE)</f>
        <v>126</v>
      </c>
      <c r="AJ360" s="5">
        <f>VLOOKUP($A360,'NonXtal_SegEnds_Prot#'!$A:$AL,23,FALSE)</f>
        <v>153</v>
      </c>
      <c r="AK360" s="5">
        <f>VLOOKUP($A360,'NonXtal_SegEnds_Prot#'!$A:$AL,26,FALSE)</f>
        <v>164</v>
      </c>
      <c r="AL360" s="5">
        <f>VLOOKUP($A360,'NonXtal_SegEnds_Prot#'!$A:$AL,29,FALSE)</f>
        <v>207</v>
      </c>
      <c r="AM360" s="5">
        <f>VLOOKUP($A360,'NonXtal_SegEnds_Prot#'!$A:$AL,32,FALSE)</f>
        <v>248</v>
      </c>
      <c r="AN360" s="5">
        <f>VLOOKUP($A360,'NonXtal_SegEnds_Prot#'!$A:$AL,35,FALSE)</f>
        <v>285</v>
      </c>
      <c r="AO360" s="5">
        <f>VLOOKUP($A360,'NonXtal_SegEnds_Prot#'!$A:$AL,38,FALSE)</f>
        <v>298</v>
      </c>
      <c r="AP360" s="5">
        <f t="shared" si="138"/>
        <v>30</v>
      </c>
      <c r="AQ360" s="4">
        <f t="shared" si="139"/>
        <v>3</v>
      </c>
      <c r="AR360" s="4">
        <f t="shared" si="140"/>
        <v>29</v>
      </c>
      <c r="AS360" s="4">
        <f t="shared" si="141"/>
        <v>3</v>
      </c>
      <c r="AT360" s="4">
        <f t="shared" si="142"/>
        <v>35</v>
      </c>
      <c r="AU360" s="4">
        <f t="shared" si="143"/>
        <v>7</v>
      </c>
      <c r="AV360" s="4">
        <f t="shared" si="144"/>
        <v>25</v>
      </c>
      <c r="AW360" s="4">
        <f t="shared" si="145"/>
        <v>2</v>
      </c>
      <c r="AX360" s="4">
        <f t="shared" si="146"/>
        <v>36</v>
      </c>
      <c r="AY360" s="4">
        <f t="shared" si="147"/>
        <v>33</v>
      </c>
      <c r="AZ360" s="4">
        <f t="shared" si="148"/>
        <v>28</v>
      </c>
      <c r="BA360" s="4">
        <f t="shared" si="149"/>
        <v>12</v>
      </c>
    </row>
    <row r="361" spans="1:53" x14ac:dyDescent="0.2">
      <c r="A361" s="1" t="str">
        <f>'NonXtal_SegEnds_Prot#'!A356</f>
        <v>pe2r4_human</v>
      </c>
      <c r="B361" s="1" t="str">
        <f t="shared" si="125"/>
        <v>SPDRLNSPVTIPAVMFIFGVVGNLVAIVVLCKSTTFYTLVCGLAVTDLLGTLLVSPVTIATYMWPGGQPLCEYSTFILLFFSLSGLSIICAMSVERYLAINHKRLAGLTLFAVYASNVLFCALPNMGLNVTAHAAYSYMYAGFSSFLILATVLCNVLVCGALLRMHRQFMRRTSLRRIAGAEIQMVILLIATSLVVLICSIPLVVRVFVNQLYREVSKNPDLQAIRIASVNPILDPWIYILLRKTVLSKAIEK</v>
      </c>
      <c r="C361" s="72" t="str">
        <f>IF(ISERROR(MATCH(A361,'Xtal_SegEnds_Prot#'!B:B, 0)), "NoXtal", "Xtal")</f>
        <v>NoXtal</v>
      </c>
      <c r="D361" s="4" t="str">
        <f>VLOOKUP(A361,Classification!A:D,2,FALSE)</f>
        <v>A</v>
      </c>
      <c r="E361" s="5" t="str">
        <f>VLOOKUP(A361,Seqs!A:B,2,FALSE)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361" s="5" t="str">
        <f t="shared" si="126"/>
        <v>SPDRLNSPVTIPAVMFIFGVVGNLVAIVVLCKS</v>
      </c>
      <c r="G361" s="4" t="str">
        <f t="shared" si="127"/>
        <v/>
      </c>
      <c r="H361" s="4" t="str">
        <f t="shared" si="128"/>
        <v>TTFYTLVCGLAVTDLLGTLLVSPVTIATYM</v>
      </c>
      <c r="I361" s="4" t="str">
        <f t="shared" si="129"/>
        <v/>
      </c>
      <c r="J361" s="4" t="str">
        <f t="shared" si="130"/>
        <v>WPGGQPLCEYSTFILLFFSLSGLSIICAMSVERYLAINH</v>
      </c>
      <c r="K361" s="4" t="str">
        <f t="shared" si="131"/>
        <v>AYFYSHYV</v>
      </c>
      <c r="L361" s="4" t="str">
        <f t="shared" si="132"/>
        <v>KRLAGLTLFAVYASNVLFCALPNMGL</v>
      </c>
      <c r="M361" s="4" t="str">
        <f t="shared" si="133"/>
        <v/>
      </c>
      <c r="N361" s="4" t="str">
        <f t="shared" si="134"/>
        <v>NVTAHAAYSYMYAGFSSFLILATVLCNVLVCGALLRMHRQFMRRTSL</v>
      </c>
      <c r="O361" s="4" t="str">
        <f t="shared" si="135"/>
        <v>RRIAGAEIQMVILLIATSLVVLICSIPLVVRVFVNQLY</v>
      </c>
      <c r="P361" s="4" t="str">
        <f t="shared" si="136"/>
        <v>REVSKNPDLQAIRIASVNPILDPWIYILL</v>
      </c>
      <c r="Q361" s="4" t="str">
        <f t="shared" si="137"/>
        <v>RKTVLSKAIEK</v>
      </c>
      <c r="R361" s="5">
        <f>VLOOKUP($A361,'NonXtal_SegEnds_Prot#'!$A:$AL,3,FALSE)</f>
        <v>13</v>
      </c>
      <c r="S361" s="5" t="str">
        <f>VLOOKUP($A361,'NonXtal_SegEnds_Prot#'!$A:$AL,6,FALSE)</f>
        <v>-</v>
      </c>
      <c r="T361" s="5">
        <f>VLOOKUP($A361,'NonXtal_SegEnds_Prot#'!$A:$AL,9,FALSE)</f>
        <v>52</v>
      </c>
      <c r="U361" s="5" t="str">
        <f>VLOOKUP($A361,'NonXtal_SegEnds_Prot#'!$A:$AL,12,FALSE)</f>
        <v>-</v>
      </c>
      <c r="V361" s="5">
        <f>VLOOKUP($A361,'NonXtal_SegEnds_Prot#'!$A:$AL,15,FALSE)</f>
        <v>85</v>
      </c>
      <c r="W361" s="5">
        <f>VLOOKUP($A361,'NonXtal_SegEnds_Prot#'!$A:$AL,18,FALSE)</f>
        <v>124</v>
      </c>
      <c r="X361" s="5">
        <f>VLOOKUP($A361,'NonXtal_SegEnds_Prot#'!$A:$AL,21,FALSE)</f>
        <v>133</v>
      </c>
      <c r="Y361" s="5" t="str">
        <f>VLOOKUP($A361,'NonXtal_SegEnds_Prot#'!$A:$AL,24,FALSE)</f>
        <v>-</v>
      </c>
      <c r="Z361" s="5">
        <f>VLOOKUP($A361,'NonXtal_SegEnds_Prot#'!$A:$AL,27,FALSE)</f>
        <v>177</v>
      </c>
      <c r="AA361" s="5">
        <f>VLOOKUP($A361,'NonXtal_SegEnds_Prot#'!$A:$AL,30,FALSE)</f>
        <v>261</v>
      </c>
      <c r="AB361" s="5">
        <f>VLOOKUP($A361,'NonXtal_SegEnds_Prot#'!$A:$AL,33,FALSE)</f>
        <v>304</v>
      </c>
      <c r="AC361" s="5">
        <f>VLOOKUP($A361,'NonXtal_SegEnds_Prot#'!$A:$AL,36,FALSE)</f>
        <v>333</v>
      </c>
      <c r="AD361" s="5">
        <f>VLOOKUP($A361,'NonXtal_SegEnds_Prot#'!$A:$AL,5,FALSE)</f>
        <v>45</v>
      </c>
      <c r="AE361" s="5" t="str">
        <f>VLOOKUP($A361,'NonXtal_SegEnds_Prot#'!$A:$AL,8,FALSE)</f>
        <v>-</v>
      </c>
      <c r="AF361" s="5">
        <f>VLOOKUP($A361,'NonXtal_SegEnds_Prot#'!$A:$AL,11,FALSE)</f>
        <v>81</v>
      </c>
      <c r="AG361" s="5" t="str">
        <f>VLOOKUP($A361,'NonXtal_SegEnds_Prot#'!$A:$AL,14,FALSE)</f>
        <v>-</v>
      </c>
      <c r="AH361" s="5">
        <f>VLOOKUP($A361,'NonXtal_SegEnds_Prot#'!$A:$AL,17,FALSE)</f>
        <v>123</v>
      </c>
      <c r="AI361" s="5">
        <f>VLOOKUP($A361,'NonXtal_SegEnds_Prot#'!$A:$AL,20,FALSE)</f>
        <v>131</v>
      </c>
      <c r="AJ361" s="5">
        <f>VLOOKUP($A361,'NonXtal_SegEnds_Prot#'!$A:$AL,23,FALSE)</f>
        <v>158</v>
      </c>
      <c r="AK361" s="5" t="str">
        <f>VLOOKUP($A361,'NonXtal_SegEnds_Prot#'!$A:$AL,26,FALSE)</f>
        <v>-</v>
      </c>
      <c r="AL361" s="5">
        <f>VLOOKUP($A361,'NonXtal_SegEnds_Prot#'!$A:$AL,29,FALSE)</f>
        <v>223</v>
      </c>
      <c r="AM361" s="5">
        <f>VLOOKUP($A361,'NonXtal_SegEnds_Prot#'!$A:$AL,32,FALSE)</f>
        <v>298</v>
      </c>
      <c r="AN361" s="5">
        <f>VLOOKUP($A361,'NonXtal_SegEnds_Prot#'!$A:$AL,35,FALSE)</f>
        <v>332</v>
      </c>
      <c r="AO361" s="5">
        <f>VLOOKUP($A361,'NonXtal_SegEnds_Prot#'!$A:$AL,38,FALSE)</f>
        <v>343</v>
      </c>
      <c r="AP361" s="5">
        <f t="shared" si="138"/>
        <v>32</v>
      </c>
      <c r="AQ361" s="4" t="str">
        <f t="shared" si="139"/>
        <v>-</v>
      </c>
      <c r="AR361" s="4">
        <f t="shared" si="140"/>
        <v>29</v>
      </c>
      <c r="AS361" s="4" t="str">
        <f t="shared" si="141"/>
        <v>-</v>
      </c>
      <c r="AT361" s="4">
        <f t="shared" si="142"/>
        <v>38</v>
      </c>
      <c r="AU361" s="4">
        <f t="shared" si="143"/>
        <v>7</v>
      </c>
      <c r="AV361" s="4">
        <f t="shared" si="144"/>
        <v>25</v>
      </c>
      <c r="AW361" s="4" t="str">
        <f t="shared" si="145"/>
        <v>-</v>
      </c>
      <c r="AX361" s="4">
        <f t="shared" si="146"/>
        <v>46</v>
      </c>
      <c r="AY361" s="4">
        <f t="shared" si="147"/>
        <v>37</v>
      </c>
      <c r="AZ361" s="4">
        <f t="shared" si="148"/>
        <v>28</v>
      </c>
      <c r="BA361" s="4">
        <f t="shared" si="149"/>
        <v>10</v>
      </c>
    </row>
    <row r="362" spans="1:53" x14ac:dyDescent="0.2">
      <c r="A362" s="1" t="str">
        <f>'NonXtal_SegEnds_Prot#'!A357</f>
        <v>gp107_human</v>
      </c>
      <c r="B362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62" s="72" t="str">
        <f>IF(ISERROR(MATCH(A362,'Xtal_SegEnds_Prot#'!B:B, 0)), "NoXtal", "Xtal")</f>
        <v>NoXtal</v>
      </c>
      <c r="D362" s="4" t="str">
        <f>VLOOKUP(A362,Classification!A:D,2,FALSE)</f>
        <v>O</v>
      </c>
      <c r="E362" s="5" t="str">
        <f>VLOOKUP(A362,Seqs!A:B,2,FALSE)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62" s="5" t="str">
        <f t="shared" si="126"/>
        <v>GAVSFQFFFNISTDDQEGLYSLYFHKCLGKELPSDKFTFS</v>
      </c>
      <c r="G362" s="4" t="str">
        <f t="shared" si="127"/>
        <v/>
      </c>
      <c r="H362" s="4" t="str">
        <f t="shared" si="128"/>
        <v>MAFFFFLSGTIWIHILRKRRNDVFK</v>
      </c>
      <c r="I362" s="4" t="str">
        <f t="shared" si="129"/>
        <v/>
      </c>
      <c r="J362" s="4" t="str">
        <f t="shared" si="130"/>
        <v>EGWAVVYYITHLLKGALLFITIALIGTGWAFIKH</v>
      </c>
      <c r="K362" s="4" t="str">
        <f t="shared" si="131"/>
        <v/>
      </c>
      <c r="L362" s="4" t="str">
        <f t="shared" si="132"/>
        <v>NVAYIIIESTEEGTTEYGLWKDSLF</v>
      </c>
      <c r="M362" s="4" t="str">
        <f t="shared" si="133"/>
        <v/>
      </c>
      <c r="N362" s="4" t="str">
        <f t="shared" si="134"/>
        <v>QADLELLASSCPPASVSQRAGIT</v>
      </c>
      <c r="O362" s="4" t="str">
        <f t="shared" si="135"/>
        <v>LAKLKLFRHYYVLIVCYIYFTRIIA</v>
      </c>
      <c r="P362" s="4" t="str">
        <f t="shared" si="136"/>
        <v>FFVLTGYKFRPASDNPYLQLSQ</v>
      </c>
      <c r="Q362" s="4" t="str">
        <f t="shared" si="137"/>
        <v>EEDLEMESVVT</v>
      </c>
      <c r="R362" s="5">
        <f>VLOOKUP($A362,'NonXtal_SegEnds_Prot#'!$A:$AL,3,FALSE)</f>
        <v>202</v>
      </c>
      <c r="S362" s="5" t="str">
        <f>VLOOKUP($A362,'NonXtal_SegEnds_Prot#'!$A:$AL,6,FALSE)</f>
        <v>-</v>
      </c>
      <c r="T362" s="5">
        <f>VLOOKUP($A362,'NonXtal_SegEnds_Prot#'!$A:$AL,9,FALSE)</f>
        <v>269</v>
      </c>
      <c r="U362" s="5" t="str">
        <f>VLOOKUP($A362,'NonXtal_SegEnds_Prot#'!$A:$AL,12,FALSE)</f>
        <v>-</v>
      </c>
      <c r="V362" s="5">
        <f>VLOOKUP($A362,'NonXtal_SegEnds_Prot#'!$A:$AL,15,FALSE)</f>
        <v>327</v>
      </c>
      <c r="W362" s="5" t="str">
        <f>VLOOKUP($A362,'NonXtal_SegEnds_Prot#'!$A:$AL,18,FALSE)</f>
        <v>-</v>
      </c>
      <c r="X362" s="5">
        <f>VLOOKUP($A362,'NonXtal_SegEnds_Prot#'!$A:$AL,21,FALSE)</f>
        <v>381</v>
      </c>
      <c r="Y362" s="5" t="str">
        <f>VLOOKUP($A362,'NonXtal_SegEnds_Prot#'!$A:$AL,24,FALSE)</f>
        <v>-</v>
      </c>
      <c r="Z362" s="5">
        <f>VLOOKUP($A362,'NonXtal_SegEnds_Prot#'!$A:$AL,27,FALSE)</f>
        <v>461</v>
      </c>
      <c r="AA362" s="5">
        <f>VLOOKUP($A362,'NonXtal_SegEnds_Prot#'!$A:$AL,30,FALSE)</f>
        <v>488</v>
      </c>
      <c r="AB362" s="5">
        <f>VLOOKUP($A362,'NonXtal_SegEnds_Prot#'!$A:$AL,33,FALSE)</f>
        <v>538</v>
      </c>
      <c r="AC362" s="5">
        <f>VLOOKUP($A362,'NonXtal_SegEnds_Prot#'!$A:$AL,36,FALSE)</f>
        <v>561</v>
      </c>
      <c r="AD362" s="5">
        <f>VLOOKUP($A362,'NonXtal_SegEnds_Prot#'!$A:$AL,5,FALSE)</f>
        <v>241</v>
      </c>
      <c r="AE362" s="5" t="str">
        <f>VLOOKUP($A362,'NonXtal_SegEnds_Prot#'!$A:$AL,8,FALSE)</f>
        <v>-</v>
      </c>
      <c r="AF362" s="5">
        <f>VLOOKUP($A362,'NonXtal_SegEnds_Prot#'!$A:$AL,11,FALSE)</f>
        <v>293</v>
      </c>
      <c r="AG362" s="5" t="str">
        <f>VLOOKUP($A362,'NonXtal_SegEnds_Prot#'!$A:$AL,14,FALSE)</f>
        <v>-</v>
      </c>
      <c r="AH362" s="5">
        <f>VLOOKUP($A362,'NonXtal_SegEnds_Prot#'!$A:$AL,17,FALSE)</f>
        <v>360</v>
      </c>
      <c r="AI362" s="5" t="str">
        <f>VLOOKUP($A362,'NonXtal_SegEnds_Prot#'!$A:$AL,20,FALSE)</f>
        <v>-</v>
      </c>
      <c r="AJ362" s="5">
        <f>VLOOKUP($A362,'NonXtal_SegEnds_Prot#'!$A:$AL,23,FALSE)</f>
        <v>405</v>
      </c>
      <c r="AK362" s="5" t="str">
        <f>VLOOKUP($A362,'NonXtal_SegEnds_Prot#'!$A:$AL,26,FALSE)</f>
        <v>-</v>
      </c>
      <c r="AL362" s="5">
        <f>VLOOKUP($A362,'NonXtal_SegEnds_Prot#'!$A:$AL,29,FALSE)</f>
        <v>483</v>
      </c>
      <c r="AM362" s="5">
        <f>VLOOKUP($A362,'NonXtal_SegEnds_Prot#'!$A:$AL,32,FALSE)</f>
        <v>512</v>
      </c>
      <c r="AN362" s="5">
        <f>VLOOKUP($A362,'NonXtal_SegEnds_Prot#'!$A:$AL,35,FALSE)</f>
        <v>559</v>
      </c>
      <c r="AO362" s="5">
        <f>VLOOKUP($A362,'NonXtal_SegEnds_Prot#'!$A:$AL,38,FALSE)</f>
        <v>571</v>
      </c>
      <c r="AP362" s="5">
        <f t="shared" si="138"/>
        <v>39</v>
      </c>
      <c r="AQ362" s="4" t="str">
        <f t="shared" si="139"/>
        <v>-</v>
      </c>
      <c r="AR362" s="4">
        <f t="shared" si="140"/>
        <v>24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24</v>
      </c>
      <c r="AW362" s="4" t="str">
        <f t="shared" si="145"/>
        <v>-</v>
      </c>
      <c r="AX362" s="4">
        <f t="shared" si="146"/>
        <v>22</v>
      </c>
      <c r="AY362" s="4">
        <f t="shared" si="147"/>
        <v>24</v>
      </c>
      <c r="AZ362" s="4">
        <f t="shared" si="148"/>
        <v>21</v>
      </c>
      <c r="BA362" s="4">
        <f t="shared" si="149"/>
        <v>10</v>
      </c>
    </row>
    <row r="363" spans="1:53" x14ac:dyDescent="0.2">
      <c r="A363" s="1" t="str">
        <f>'NonXtal_SegEnds_Prot#'!A358</f>
        <v>gpr34_human</v>
      </c>
      <c r="B363" s="1" t="str">
        <f t="shared" si="125"/>
        <v>EKLLSTVLTTSYSVIFIVGLVGNIIALYVFLGINSIQIYLLNVAIADLLLIFCLPFRIMYHINGVILCKVVGTLFYMNMYISIILLGFISLDRYIKINRTKQSIYVCCIVWMLALGGFLTMIILTKHNAKGEAIFNFILVVMFWLIFLLIILSYIKIGKNLLRIKFPNSGKYATTARNSFIVLIIFTICFVPYHAFRFIYISSSCYWKEIVHKTNEIMLVLSSFNSCLDPVMYFLMSSNIRKIMCQL</v>
      </c>
      <c r="C363" s="72" t="str">
        <f>IF(ISERROR(MATCH(A363,'Xtal_SegEnds_Prot#'!B:B, 0)), "NoXtal", "Xtal")</f>
        <v>NoXtal</v>
      </c>
      <c r="D363" s="4" t="str">
        <f>VLOOKUP(A363,Classification!A:D,2,FALSE)</f>
        <v>A</v>
      </c>
      <c r="E363" s="5" t="str">
        <f>VLOOKUP(A363,Seqs!A:B,2,FALSE)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363" s="5" t="str">
        <f t="shared" si="126"/>
        <v>EKLLSTVLTTSYSVIFIVGLVGNIIALYVFLGI</v>
      </c>
      <c r="G363" s="4" t="str">
        <f t="shared" si="127"/>
        <v/>
      </c>
      <c r="H363" s="4" t="str">
        <f t="shared" si="128"/>
        <v>NSIQIYLLNVAIADLLLIFCLPFRIMYHIN</v>
      </c>
      <c r="I363" s="4" t="str">
        <f t="shared" si="129"/>
        <v>KWTL</v>
      </c>
      <c r="J363" s="4" t="str">
        <f t="shared" si="130"/>
        <v>GVILCKVVGTLFYMNMYISIILLGFISLDRYIKINR</v>
      </c>
      <c r="K363" s="4" t="str">
        <f t="shared" si="131"/>
        <v>SIQQRKAI</v>
      </c>
      <c r="L363" s="4" t="str">
        <f t="shared" si="132"/>
        <v>TKQSIYVCCIVWMLALGGFLTMIILT</v>
      </c>
      <c r="M363" s="4" t="str">
        <f t="shared" si="133"/>
        <v>CFH</v>
      </c>
      <c r="N363" s="4" t="str">
        <f t="shared" si="134"/>
        <v>KHNAKGEAIFNFILVVMFWLIFLLIILSYIKIGKNLLRI</v>
      </c>
      <c r="O363" s="4" t="str">
        <f t="shared" si="135"/>
        <v>KFPNSGKYATTARNSFIVLIIFTICFVPYHAFRFIYISS</v>
      </c>
      <c r="P363" s="4" t="str">
        <f t="shared" si="136"/>
        <v>SCYWKEIVHKTNEIMLVLSSFNSCLDPVMYFLM</v>
      </c>
      <c r="Q363" s="4" t="str">
        <f t="shared" si="137"/>
        <v>SSNIRKIMCQL</v>
      </c>
      <c r="R363" s="5">
        <f>VLOOKUP($A363,'NonXtal_SegEnds_Prot#'!$A:$AL,3,FALSE)</f>
        <v>50</v>
      </c>
      <c r="S363" s="5" t="str">
        <f>VLOOKUP($A363,'NonXtal_SegEnds_Prot#'!$A:$AL,6,FALSE)</f>
        <v>-</v>
      </c>
      <c r="T363" s="5">
        <f>VLOOKUP($A363,'NonXtal_SegEnds_Prot#'!$A:$AL,9,FALSE)</f>
        <v>87</v>
      </c>
      <c r="U363" s="5">
        <f>VLOOKUP($A363,'NonXtal_SegEnds_Prot#'!$A:$AL,12,FALSE)</f>
        <v>119</v>
      </c>
      <c r="V363" s="5">
        <f>VLOOKUP($A363,'NonXtal_SegEnds_Prot#'!$A:$AL,15,FALSE)</f>
        <v>123</v>
      </c>
      <c r="W363" s="5">
        <f>VLOOKUP($A363,'NonXtal_SegEnds_Prot#'!$A:$AL,18,FALSE)</f>
        <v>159</v>
      </c>
      <c r="X363" s="5">
        <f>VLOOKUP($A363,'NonXtal_SegEnds_Prot#'!$A:$AL,21,FALSE)</f>
        <v>168</v>
      </c>
      <c r="Y363" s="5">
        <f>VLOOKUP($A363,'NonXtal_SegEnds_Prot#'!$A:$AL,24,FALSE)</f>
        <v>204</v>
      </c>
      <c r="Z363" s="5">
        <f>VLOOKUP($A363,'NonXtal_SegEnds_Prot#'!$A:$AL,27,FALSE)</f>
        <v>210</v>
      </c>
      <c r="AA363" s="5">
        <f>VLOOKUP($A363,'NonXtal_SegEnds_Prot#'!$A:$AL,30,FALSE)</f>
        <v>254</v>
      </c>
      <c r="AB363" s="5">
        <f>VLOOKUP($A363,'NonXtal_SegEnds_Prot#'!$A:$AL,33,FALSE)</f>
        <v>298</v>
      </c>
      <c r="AC363" s="5">
        <f>VLOOKUP($A363,'NonXtal_SegEnds_Prot#'!$A:$AL,36,FALSE)</f>
        <v>331</v>
      </c>
      <c r="AD363" s="5">
        <f>VLOOKUP($A363,'NonXtal_SegEnds_Prot#'!$A:$AL,5,FALSE)</f>
        <v>82</v>
      </c>
      <c r="AE363" s="5" t="str">
        <f>VLOOKUP($A363,'NonXtal_SegEnds_Prot#'!$A:$AL,8,FALSE)</f>
        <v>-</v>
      </c>
      <c r="AF363" s="5">
        <f>VLOOKUP($A363,'NonXtal_SegEnds_Prot#'!$A:$AL,11,FALSE)</f>
        <v>116</v>
      </c>
      <c r="AG363" s="5">
        <f>VLOOKUP($A363,'NonXtal_SegEnds_Prot#'!$A:$AL,14,FALSE)</f>
        <v>122</v>
      </c>
      <c r="AH363" s="5">
        <f>VLOOKUP($A363,'NonXtal_SegEnds_Prot#'!$A:$AL,17,FALSE)</f>
        <v>158</v>
      </c>
      <c r="AI363" s="5">
        <f>VLOOKUP($A363,'NonXtal_SegEnds_Prot#'!$A:$AL,20,FALSE)</f>
        <v>166</v>
      </c>
      <c r="AJ363" s="5">
        <f>VLOOKUP($A363,'NonXtal_SegEnds_Prot#'!$A:$AL,23,FALSE)</f>
        <v>193</v>
      </c>
      <c r="AK363" s="5">
        <f>VLOOKUP($A363,'NonXtal_SegEnds_Prot#'!$A:$AL,26,FALSE)</f>
        <v>206</v>
      </c>
      <c r="AL363" s="5">
        <f>VLOOKUP($A363,'NonXtal_SegEnds_Prot#'!$A:$AL,29,FALSE)</f>
        <v>248</v>
      </c>
      <c r="AM363" s="5">
        <f>VLOOKUP($A363,'NonXtal_SegEnds_Prot#'!$A:$AL,32,FALSE)</f>
        <v>292</v>
      </c>
      <c r="AN363" s="5">
        <f>VLOOKUP($A363,'NonXtal_SegEnds_Prot#'!$A:$AL,35,FALSE)</f>
        <v>330</v>
      </c>
      <c r="AO363" s="5">
        <f>VLOOKUP($A363,'NonXtal_SegEnds_Prot#'!$A:$AL,38,FALSE)</f>
        <v>341</v>
      </c>
      <c r="AP363" s="5">
        <f t="shared" si="138"/>
        <v>32</v>
      </c>
      <c r="AQ363" s="4" t="str">
        <f t="shared" si="139"/>
        <v>-</v>
      </c>
      <c r="AR363" s="4">
        <f t="shared" si="140"/>
        <v>29</v>
      </c>
      <c r="AS363" s="4">
        <f t="shared" si="141"/>
        <v>3</v>
      </c>
      <c r="AT363" s="4">
        <f t="shared" si="142"/>
        <v>35</v>
      </c>
      <c r="AU363" s="4">
        <f t="shared" si="143"/>
        <v>7</v>
      </c>
      <c r="AV363" s="4">
        <f t="shared" si="144"/>
        <v>25</v>
      </c>
      <c r="AW363" s="4">
        <f t="shared" si="145"/>
        <v>2</v>
      </c>
      <c r="AX363" s="4">
        <f t="shared" si="146"/>
        <v>38</v>
      </c>
      <c r="AY363" s="4">
        <f t="shared" si="147"/>
        <v>38</v>
      </c>
      <c r="AZ363" s="4">
        <f t="shared" si="148"/>
        <v>32</v>
      </c>
      <c r="BA363" s="4">
        <f t="shared" si="149"/>
        <v>10</v>
      </c>
    </row>
    <row r="364" spans="1:53" x14ac:dyDescent="0.2">
      <c r="A364" s="1" t="str">
        <f>'NonXtal_SegEnds_Prot#'!A359</f>
        <v>p2y13_human</v>
      </c>
      <c r="B364" s="1" t="str">
        <f t="shared" si="125"/>
        <v>TRIVQLVFPALYTVVFLTGILLNTLALWVFVHISTFIIYLKNTLVADLIMTLMLPFKILSDSHWQLRAFVCRFSSVIFYETMYVGIVLLGLIAFDRFLKIIRPVFAKTVSIFIWFFLFFISLPNTILSPLGLKWHQMVNNICQFIFWTVFILMLVFYVVIAKKVYDSYRKSNNKKLEGKVFVVVAVFFVCFAPFHFARVPYTHSQTNDCRLQNQLFIAKETTLFLAATNICMDPLIYIFLCKKFTEKLPCM</v>
      </c>
      <c r="C364" s="72" t="str">
        <f>IF(ISERROR(MATCH(A364,'Xtal_SegEnds_Prot#'!B:B, 0)), "NoXtal", "Xtal")</f>
        <v>NoXtal</v>
      </c>
      <c r="D364" s="4" t="str">
        <f>VLOOKUP(A364,Classification!A:D,2,FALSE)</f>
        <v>A</v>
      </c>
      <c r="E364" s="5" t="str">
        <f>VLOOKUP(A364,Seqs!A:B,2,FALSE)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364" s="5" t="str">
        <f t="shared" si="126"/>
        <v>TRIVQLVFPALYTVVFLTGILLNTLALWVFVHI</v>
      </c>
      <c r="G364" s="4" t="str">
        <f t="shared" si="127"/>
        <v/>
      </c>
      <c r="H364" s="4" t="str">
        <f t="shared" si="128"/>
        <v>STFIIYLKNTLVADLIMTLMLPFKILSDSH</v>
      </c>
      <c r="I364" s="4" t="str">
        <f t="shared" si="129"/>
        <v/>
      </c>
      <c r="J364" s="4" t="str">
        <f t="shared" si="130"/>
        <v>WQLRAFVCRFSSVIFYETMYVGIVLLGLIAFDRFLKIIR</v>
      </c>
      <c r="K364" s="4" t="str">
        <f t="shared" si="131"/>
        <v>PLRNIFLK</v>
      </c>
      <c r="L364" s="4" t="str">
        <f t="shared" si="132"/>
        <v>PVFAKTVSIFIWFFLFFISLPNTILS</v>
      </c>
      <c r="M364" s="4" t="str">
        <f t="shared" si="133"/>
        <v>CAS</v>
      </c>
      <c r="N364" s="4" t="str">
        <f t="shared" si="134"/>
        <v>PLGLKWHQMVNNICQFIFWTVFILMLVFYVVIAKKVYDSYRKS</v>
      </c>
      <c r="O364" s="4" t="str">
        <f t="shared" si="135"/>
        <v>NNKKLEGKVFVVVAVFFVCFAPFHFARVPYTHSQTN</v>
      </c>
      <c r="P364" s="4" t="str">
        <f t="shared" si="136"/>
        <v>DCRLQNQLFIAKETTLFLAATNICMDPLIYIFL</v>
      </c>
      <c r="Q364" s="4" t="str">
        <f t="shared" si="137"/>
        <v>CKKFTEKLPCM</v>
      </c>
      <c r="R364" s="5">
        <f>VLOOKUP($A364,'NonXtal_SegEnds_Prot#'!$A:$AL,3,FALSE)</f>
        <v>40</v>
      </c>
      <c r="S364" s="5" t="str">
        <f>VLOOKUP($A364,'NonXtal_SegEnds_Prot#'!$A:$AL,6,FALSE)</f>
        <v>-</v>
      </c>
      <c r="T364" s="5">
        <f>VLOOKUP($A364,'NonXtal_SegEnds_Prot#'!$A:$AL,9,FALSE)</f>
        <v>76</v>
      </c>
      <c r="U364" s="5" t="str">
        <f>VLOOKUP($A364,'NonXtal_SegEnds_Prot#'!$A:$AL,12,FALSE)</f>
        <v>-</v>
      </c>
      <c r="V364" s="5">
        <f>VLOOKUP($A364,'NonXtal_SegEnds_Prot#'!$A:$AL,15,FALSE)</f>
        <v>109</v>
      </c>
      <c r="W364" s="5">
        <f>VLOOKUP($A364,'NonXtal_SegEnds_Prot#'!$A:$AL,18,FALSE)</f>
        <v>148</v>
      </c>
      <c r="X364" s="5">
        <f>VLOOKUP($A364,'NonXtal_SegEnds_Prot#'!$A:$AL,21,FALSE)</f>
        <v>157</v>
      </c>
      <c r="Y364" s="5">
        <f>VLOOKUP($A364,'NonXtal_SegEnds_Prot#'!$A:$AL,24,FALSE)</f>
        <v>194</v>
      </c>
      <c r="Z364" s="5">
        <f>VLOOKUP($A364,'NonXtal_SegEnds_Prot#'!$A:$AL,27,FALSE)</f>
        <v>200</v>
      </c>
      <c r="AA364" s="5">
        <f>VLOOKUP($A364,'NonXtal_SegEnds_Prot#'!$A:$AL,30,FALSE)</f>
        <v>249</v>
      </c>
      <c r="AB364" s="5">
        <f>VLOOKUP($A364,'NonXtal_SegEnds_Prot#'!$A:$AL,33,FALSE)</f>
        <v>288</v>
      </c>
      <c r="AC364" s="5">
        <f>VLOOKUP($A364,'NonXtal_SegEnds_Prot#'!$A:$AL,36,FALSE)</f>
        <v>321</v>
      </c>
      <c r="AD364" s="5">
        <f>VLOOKUP($A364,'NonXtal_SegEnds_Prot#'!$A:$AL,5,FALSE)</f>
        <v>72</v>
      </c>
      <c r="AE364" s="5" t="str">
        <f>VLOOKUP($A364,'NonXtal_SegEnds_Prot#'!$A:$AL,8,FALSE)</f>
        <v>-</v>
      </c>
      <c r="AF364" s="5">
        <f>VLOOKUP($A364,'NonXtal_SegEnds_Prot#'!$A:$AL,11,FALSE)</f>
        <v>105</v>
      </c>
      <c r="AG364" s="5" t="str">
        <f>VLOOKUP($A364,'NonXtal_SegEnds_Prot#'!$A:$AL,14,FALSE)</f>
        <v>-</v>
      </c>
      <c r="AH364" s="5">
        <f>VLOOKUP($A364,'NonXtal_SegEnds_Prot#'!$A:$AL,17,FALSE)</f>
        <v>147</v>
      </c>
      <c r="AI364" s="5">
        <f>VLOOKUP($A364,'NonXtal_SegEnds_Prot#'!$A:$AL,20,FALSE)</f>
        <v>155</v>
      </c>
      <c r="AJ364" s="5">
        <f>VLOOKUP($A364,'NonXtal_SegEnds_Prot#'!$A:$AL,23,FALSE)</f>
        <v>182</v>
      </c>
      <c r="AK364" s="5">
        <f>VLOOKUP($A364,'NonXtal_SegEnds_Prot#'!$A:$AL,26,FALSE)</f>
        <v>196</v>
      </c>
      <c r="AL364" s="5">
        <f>VLOOKUP($A364,'NonXtal_SegEnds_Prot#'!$A:$AL,29,FALSE)</f>
        <v>242</v>
      </c>
      <c r="AM364" s="5">
        <f>VLOOKUP($A364,'NonXtal_SegEnds_Prot#'!$A:$AL,32,FALSE)</f>
        <v>284</v>
      </c>
      <c r="AN364" s="5">
        <f>VLOOKUP($A364,'NonXtal_SegEnds_Prot#'!$A:$AL,35,FALSE)</f>
        <v>320</v>
      </c>
      <c r="AO364" s="5">
        <f>VLOOKUP($A364,'NonXtal_SegEnds_Prot#'!$A:$AL,38,FALSE)</f>
        <v>331</v>
      </c>
      <c r="AP364" s="5">
        <f t="shared" si="138"/>
        <v>32</v>
      </c>
      <c r="AQ364" s="4" t="str">
        <f t="shared" si="139"/>
        <v>-</v>
      </c>
      <c r="AR364" s="4">
        <f t="shared" si="140"/>
        <v>29</v>
      </c>
      <c r="AS364" s="4" t="str">
        <f t="shared" si="141"/>
        <v>-</v>
      </c>
      <c r="AT364" s="4">
        <f t="shared" si="142"/>
        <v>38</v>
      </c>
      <c r="AU364" s="4">
        <f t="shared" si="143"/>
        <v>7</v>
      </c>
      <c r="AV364" s="4">
        <f t="shared" si="144"/>
        <v>25</v>
      </c>
      <c r="AW364" s="4">
        <f t="shared" si="145"/>
        <v>2</v>
      </c>
      <c r="AX364" s="4">
        <f t="shared" si="146"/>
        <v>42</v>
      </c>
      <c r="AY364" s="4">
        <f t="shared" si="147"/>
        <v>35</v>
      </c>
      <c r="AZ364" s="4">
        <f t="shared" si="148"/>
        <v>32</v>
      </c>
      <c r="BA364" s="4">
        <f t="shared" si="149"/>
        <v>10</v>
      </c>
    </row>
    <row r="365" spans="1:53" x14ac:dyDescent="0.2">
      <c r="A365" s="1" t="str">
        <f>'NonXtal_SegEnds_Prot#'!A360</f>
        <v>gpr87_human</v>
      </c>
      <c r="B365" s="1" t="str">
        <f t="shared" si="125"/>
        <v>NEFDTIVLPVLYLIIFVASILLNGLAVWIFFHITSFIFYLKNIVVADLIMTLTFPFRIVHDAGKFILCRYTSVLFYANMYTSIVFLGLISIDRYLKVVKITFTKVLSVCVWVIMAVLSLPNIILTPLGVKWHTAVTYVNSCLFVAVLVILIGCYIAISRYIHKSSRKRKHNQSIRVVVAVFFTCFLPYHLCRIPFTFSHLDDESAQKILYYCKEITLFLSACNVCLDPIIYFFMCRSFSRRLFKK</v>
      </c>
      <c r="C365" s="72" t="str">
        <f>IF(ISERROR(MATCH(A365,'Xtal_SegEnds_Prot#'!B:B, 0)), "NoXtal", "Xtal")</f>
        <v>NoXtal</v>
      </c>
      <c r="D365" s="4" t="str">
        <f>VLOOKUP(A365,Classification!A:D,2,FALSE)</f>
        <v>A</v>
      </c>
      <c r="E365" s="5" t="str">
        <f>VLOOKUP(A365,Seqs!A:B,2,FALSE)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365" s="5" t="str">
        <f t="shared" si="126"/>
        <v>NEFDTIVLPVLYLIIFVASILLNGLAVWIFFHI</v>
      </c>
      <c r="G365" s="4" t="str">
        <f t="shared" si="127"/>
        <v/>
      </c>
      <c r="H365" s="4" t="str">
        <f t="shared" si="128"/>
        <v>TSFIFYLKNIVVADLIMTLTFPFRIVHDAG</v>
      </c>
      <c r="I365" s="4" t="str">
        <f t="shared" si="129"/>
        <v>PWYF</v>
      </c>
      <c r="J365" s="4" t="str">
        <f t="shared" si="130"/>
        <v>KFILCRYTSVLFYANMYTSIVFLGLISIDRYLKVVK</v>
      </c>
      <c r="K365" s="4" t="str">
        <f t="shared" si="131"/>
        <v>PFGDSRMY</v>
      </c>
      <c r="L365" s="4" t="str">
        <f t="shared" si="132"/>
        <v>ITFTKVLSVCVWVIMAVLSLPNIILT</v>
      </c>
      <c r="M365" s="4" t="str">
        <f t="shared" si="133"/>
        <v>CSK</v>
      </c>
      <c r="N365" s="4" t="str">
        <f t="shared" si="134"/>
        <v>PLGVKWHTAVTYVNSCLFVAVLVILIGCYIAISRYIHKS</v>
      </c>
      <c r="O365" s="4" t="str">
        <f t="shared" si="135"/>
        <v>SRKRKHNQSIRVVVAVFFTCFLPYHLCRIPFTFSHLD</v>
      </c>
      <c r="P365" s="4" t="str">
        <f t="shared" si="136"/>
        <v>DESAQKILYYCKEITLFLSACNVCLDPIIYFFM</v>
      </c>
      <c r="Q365" s="4" t="str">
        <f t="shared" si="137"/>
        <v>CRSFSRRLFKK</v>
      </c>
      <c r="R365" s="5">
        <f>VLOOKUP($A365,'NonXtal_SegEnds_Prot#'!$A:$AL,3,FALSE)</f>
        <v>38</v>
      </c>
      <c r="S365" s="5" t="str">
        <f>VLOOKUP($A365,'NonXtal_SegEnds_Prot#'!$A:$AL,6,FALSE)</f>
        <v>-</v>
      </c>
      <c r="T365" s="5">
        <f>VLOOKUP($A365,'NonXtal_SegEnds_Prot#'!$A:$AL,9,FALSE)</f>
        <v>74</v>
      </c>
      <c r="U365" s="5">
        <f>VLOOKUP($A365,'NonXtal_SegEnds_Prot#'!$A:$AL,12,FALSE)</f>
        <v>106</v>
      </c>
      <c r="V365" s="5">
        <f>VLOOKUP($A365,'NonXtal_SegEnds_Prot#'!$A:$AL,15,FALSE)</f>
        <v>110</v>
      </c>
      <c r="W365" s="5">
        <f>VLOOKUP($A365,'NonXtal_SegEnds_Prot#'!$A:$AL,18,FALSE)</f>
        <v>146</v>
      </c>
      <c r="X365" s="5">
        <f>VLOOKUP($A365,'NonXtal_SegEnds_Prot#'!$A:$AL,21,FALSE)</f>
        <v>155</v>
      </c>
      <c r="Y365" s="5">
        <f>VLOOKUP($A365,'NonXtal_SegEnds_Prot#'!$A:$AL,24,FALSE)</f>
        <v>192</v>
      </c>
      <c r="Z365" s="5">
        <f>VLOOKUP($A365,'NonXtal_SegEnds_Prot#'!$A:$AL,27,FALSE)</f>
        <v>198</v>
      </c>
      <c r="AA365" s="5">
        <f>VLOOKUP($A365,'NonXtal_SegEnds_Prot#'!$A:$AL,30,FALSE)</f>
        <v>245</v>
      </c>
      <c r="AB365" s="5">
        <f>VLOOKUP($A365,'NonXtal_SegEnds_Prot#'!$A:$AL,33,FALSE)</f>
        <v>285</v>
      </c>
      <c r="AC365" s="5">
        <f>VLOOKUP($A365,'NonXtal_SegEnds_Prot#'!$A:$AL,36,FALSE)</f>
        <v>318</v>
      </c>
      <c r="AD365" s="5">
        <f>VLOOKUP($A365,'NonXtal_SegEnds_Prot#'!$A:$AL,5,FALSE)</f>
        <v>70</v>
      </c>
      <c r="AE365" s="5" t="str">
        <f>VLOOKUP($A365,'NonXtal_SegEnds_Prot#'!$A:$AL,8,FALSE)</f>
        <v>-</v>
      </c>
      <c r="AF365" s="5">
        <f>VLOOKUP($A365,'NonXtal_SegEnds_Prot#'!$A:$AL,11,FALSE)</f>
        <v>103</v>
      </c>
      <c r="AG365" s="5">
        <f>VLOOKUP($A365,'NonXtal_SegEnds_Prot#'!$A:$AL,14,FALSE)</f>
        <v>109</v>
      </c>
      <c r="AH365" s="5">
        <f>VLOOKUP($A365,'NonXtal_SegEnds_Prot#'!$A:$AL,17,FALSE)</f>
        <v>145</v>
      </c>
      <c r="AI365" s="5">
        <f>VLOOKUP($A365,'NonXtal_SegEnds_Prot#'!$A:$AL,20,FALSE)</f>
        <v>153</v>
      </c>
      <c r="AJ365" s="5">
        <f>VLOOKUP($A365,'NonXtal_SegEnds_Prot#'!$A:$AL,23,FALSE)</f>
        <v>180</v>
      </c>
      <c r="AK365" s="5">
        <f>VLOOKUP($A365,'NonXtal_SegEnds_Prot#'!$A:$AL,26,FALSE)</f>
        <v>194</v>
      </c>
      <c r="AL365" s="5">
        <f>VLOOKUP($A365,'NonXtal_SegEnds_Prot#'!$A:$AL,29,FALSE)</f>
        <v>236</v>
      </c>
      <c r="AM365" s="5">
        <f>VLOOKUP($A365,'NonXtal_SegEnds_Prot#'!$A:$AL,32,FALSE)</f>
        <v>281</v>
      </c>
      <c r="AN365" s="5">
        <f>VLOOKUP($A365,'NonXtal_SegEnds_Prot#'!$A:$AL,35,FALSE)</f>
        <v>317</v>
      </c>
      <c r="AO365" s="5">
        <f>VLOOKUP($A365,'NonXtal_SegEnds_Prot#'!$A:$AL,38,FALSE)</f>
        <v>328</v>
      </c>
      <c r="AP365" s="5">
        <f t="shared" si="138"/>
        <v>32</v>
      </c>
      <c r="AQ365" s="4" t="str">
        <f t="shared" si="139"/>
        <v>-</v>
      </c>
      <c r="AR365" s="4">
        <f t="shared" si="140"/>
        <v>29</v>
      </c>
      <c r="AS365" s="4">
        <f t="shared" si="141"/>
        <v>3</v>
      </c>
      <c r="AT365" s="4">
        <f t="shared" si="142"/>
        <v>35</v>
      </c>
      <c r="AU365" s="4">
        <f t="shared" si="143"/>
        <v>7</v>
      </c>
      <c r="AV365" s="4">
        <f t="shared" si="144"/>
        <v>25</v>
      </c>
      <c r="AW365" s="4">
        <f t="shared" si="145"/>
        <v>2</v>
      </c>
      <c r="AX365" s="4">
        <f t="shared" si="146"/>
        <v>38</v>
      </c>
      <c r="AY365" s="4">
        <f t="shared" si="147"/>
        <v>36</v>
      </c>
      <c r="AZ365" s="4">
        <f t="shared" si="148"/>
        <v>32</v>
      </c>
      <c r="BA365" s="4">
        <f t="shared" si="149"/>
        <v>10</v>
      </c>
    </row>
    <row r="366" spans="1:53" x14ac:dyDescent="0.2">
      <c r="A366" s="1" t="str">
        <f>'NonXtal_SegEnds_Prot#'!A361</f>
        <v>pf2r_human</v>
      </c>
      <c r="B366" s="1" t="str">
        <f t="shared" si="125"/>
        <v>CQTENRLSVFFSVIFMTVGILSNSLAIAILMKAQKSKASFLLLASGLVITDFFGHLINGAIAVFVYAFDQSNVLCSIFGICMVFSGLCPLLLGSVMAIERCIGVTKSKHVKMMLSGVCLFAVFIALLPILGHRFYLLLFSFLGLLALGVSLLCNAITGITLLRVKFKSQQHHLEMVIQLLAIMCVSCICWSPFLVTMANIGINTCETTLFALRMATWNQILDPWVYILLRKAVLKNLYKL</v>
      </c>
      <c r="C366" s="72" t="str">
        <f>IF(ISERROR(MATCH(A366,'Xtal_SegEnds_Prot#'!B:B, 0)), "NoXtal", "Xtal")</f>
        <v>NoXtal</v>
      </c>
      <c r="D366" s="4" t="str">
        <f>VLOOKUP(A366,Classification!A:D,2,FALSE)</f>
        <v>A</v>
      </c>
      <c r="E366" s="5" t="str">
        <f>VLOOKUP(A366,Seqs!A:B,2,FALSE)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366" s="5" t="str">
        <f t="shared" si="126"/>
        <v>CQTENRLSVFFSVIFMTVGILSNSLAIAILMKA</v>
      </c>
      <c r="G366" s="4" t="str">
        <f t="shared" si="127"/>
        <v>QRFR</v>
      </c>
      <c r="H366" s="4" t="str">
        <f t="shared" si="128"/>
        <v>QKSKASFLLLASGLVITDFFGHLINGAIAVFVYA</v>
      </c>
      <c r="I366" s="4" t="str">
        <f t="shared" si="129"/>
        <v>EWIR</v>
      </c>
      <c r="J366" s="4" t="str">
        <f t="shared" si="130"/>
        <v>FDQSNVLCSIFGICMVFSGLCPLLLGSVMAIERCIGVTK</v>
      </c>
      <c r="K366" s="4" t="str">
        <f t="shared" si="131"/>
        <v>PIFHSTKI</v>
      </c>
      <c r="L366" s="4" t="str">
        <f t="shared" si="132"/>
        <v>SKHVKMMLSGVCLFAVFIALLPILGH</v>
      </c>
      <c r="M366" s="4" t="str">
        <f t="shared" si="133"/>
        <v>CFY</v>
      </c>
      <c r="N366" s="4" t="str">
        <f t="shared" si="134"/>
        <v>RFYLLLFSFLGLLALGVSLLCNAITGITLLRVKFKSQQ</v>
      </c>
      <c r="O366" s="4" t="str">
        <f t="shared" si="135"/>
        <v>HHLEMVIQLLAIMCVSCICWSPFLVTMANIGIN</v>
      </c>
      <c r="P366" s="4" t="str">
        <f t="shared" si="136"/>
        <v>TCETTLFALRMATWNQILDPWVYILL</v>
      </c>
      <c r="Q366" s="4" t="str">
        <f t="shared" si="137"/>
        <v>RKAVLKNLYKL</v>
      </c>
      <c r="R366" s="5">
        <f>VLOOKUP($A366,'NonXtal_SegEnds_Prot#'!$A:$AL,3,FALSE)</f>
        <v>22</v>
      </c>
      <c r="S366" s="5">
        <f>VLOOKUP($A366,'NonXtal_SegEnds_Prot#'!$A:$AL,6,FALSE)</f>
        <v>56</v>
      </c>
      <c r="T366" s="5">
        <f>VLOOKUP($A366,'NonXtal_SegEnds_Prot#'!$A:$AL,9,FALSE)</f>
        <v>60</v>
      </c>
      <c r="U366" s="5">
        <f>VLOOKUP($A366,'NonXtal_SegEnds_Prot#'!$A:$AL,12,FALSE)</f>
        <v>97</v>
      </c>
      <c r="V366" s="5">
        <f>VLOOKUP($A366,'NonXtal_SegEnds_Prot#'!$A:$AL,15,FALSE)</f>
        <v>101</v>
      </c>
      <c r="W366" s="5">
        <f>VLOOKUP($A366,'NonXtal_SegEnds_Prot#'!$A:$AL,18,FALSE)</f>
        <v>140</v>
      </c>
      <c r="X366" s="5">
        <f>VLOOKUP($A366,'NonXtal_SegEnds_Prot#'!$A:$AL,21,FALSE)</f>
        <v>149</v>
      </c>
      <c r="Y366" s="5">
        <f>VLOOKUP($A366,'NonXtal_SegEnds_Prot#'!$A:$AL,24,FALSE)</f>
        <v>186</v>
      </c>
      <c r="Z366" s="5">
        <f>VLOOKUP($A366,'NonXtal_SegEnds_Prot#'!$A:$AL,27,FALSE)</f>
        <v>199</v>
      </c>
      <c r="AA366" s="5">
        <f>VLOOKUP($A366,'NonXtal_SegEnds_Prot#'!$A:$AL,30,FALSE)</f>
        <v>243</v>
      </c>
      <c r="AB366" s="5">
        <f>VLOOKUP($A366,'NonXtal_SegEnds_Prot#'!$A:$AL,33,FALSE)</f>
        <v>282</v>
      </c>
      <c r="AC366" s="5">
        <f>VLOOKUP($A366,'NonXtal_SegEnds_Prot#'!$A:$AL,36,FALSE)</f>
        <v>308</v>
      </c>
      <c r="AD366" s="5">
        <f>VLOOKUP($A366,'NonXtal_SegEnds_Prot#'!$A:$AL,5,FALSE)</f>
        <v>54</v>
      </c>
      <c r="AE366" s="5">
        <f>VLOOKUP($A366,'NonXtal_SegEnds_Prot#'!$A:$AL,8,FALSE)</f>
        <v>59</v>
      </c>
      <c r="AF366" s="5">
        <f>VLOOKUP($A366,'NonXtal_SegEnds_Prot#'!$A:$AL,11,FALSE)</f>
        <v>93</v>
      </c>
      <c r="AG366" s="5">
        <f>VLOOKUP($A366,'NonXtal_SegEnds_Prot#'!$A:$AL,14,FALSE)</f>
        <v>100</v>
      </c>
      <c r="AH366" s="5">
        <f>VLOOKUP($A366,'NonXtal_SegEnds_Prot#'!$A:$AL,17,FALSE)</f>
        <v>139</v>
      </c>
      <c r="AI366" s="5">
        <f>VLOOKUP($A366,'NonXtal_SegEnds_Prot#'!$A:$AL,20,FALSE)</f>
        <v>147</v>
      </c>
      <c r="AJ366" s="5">
        <f>VLOOKUP($A366,'NonXtal_SegEnds_Prot#'!$A:$AL,23,FALSE)</f>
        <v>174</v>
      </c>
      <c r="AK366" s="5">
        <f>VLOOKUP($A366,'NonXtal_SegEnds_Prot#'!$A:$AL,26,FALSE)</f>
        <v>188</v>
      </c>
      <c r="AL366" s="5">
        <f>VLOOKUP($A366,'NonXtal_SegEnds_Prot#'!$A:$AL,29,FALSE)</f>
        <v>236</v>
      </c>
      <c r="AM366" s="5">
        <f>VLOOKUP($A366,'NonXtal_SegEnds_Prot#'!$A:$AL,32,FALSE)</f>
        <v>275</v>
      </c>
      <c r="AN366" s="5">
        <f>VLOOKUP($A366,'NonXtal_SegEnds_Prot#'!$A:$AL,35,FALSE)</f>
        <v>307</v>
      </c>
      <c r="AO366" s="5">
        <f>VLOOKUP($A366,'NonXtal_SegEnds_Prot#'!$A:$AL,38,FALSE)</f>
        <v>318</v>
      </c>
      <c r="AP366" s="5">
        <f t="shared" si="138"/>
        <v>32</v>
      </c>
      <c r="AQ366" s="4">
        <f t="shared" si="139"/>
        <v>3</v>
      </c>
      <c r="AR366" s="4">
        <f t="shared" si="140"/>
        <v>33</v>
      </c>
      <c r="AS366" s="4">
        <f t="shared" si="141"/>
        <v>3</v>
      </c>
      <c r="AT366" s="4">
        <f t="shared" si="142"/>
        <v>38</v>
      </c>
      <c r="AU366" s="4">
        <f t="shared" si="143"/>
        <v>7</v>
      </c>
      <c r="AV366" s="4">
        <f t="shared" si="144"/>
        <v>25</v>
      </c>
      <c r="AW366" s="4">
        <f t="shared" si="145"/>
        <v>2</v>
      </c>
      <c r="AX366" s="4">
        <f t="shared" si="146"/>
        <v>37</v>
      </c>
      <c r="AY366" s="4">
        <f t="shared" si="147"/>
        <v>32</v>
      </c>
      <c r="AZ366" s="4">
        <f t="shared" si="148"/>
        <v>25</v>
      </c>
      <c r="BA366" s="4">
        <f t="shared" si="149"/>
        <v>10</v>
      </c>
    </row>
    <row r="367" spans="1:53" x14ac:dyDescent="0.2">
      <c r="A367" s="1" t="str">
        <f>'NonXtal_SegEnds_Prot#'!A362</f>
        <v>gp183_human</v>
      </c>
      <c r="B367" s="1" t="str">
        <f t="shared" si="125"/>
        <v>HSTARIVMPLHYSLVFIIGLVGNLLALVVIVQNNSTTLYSTNLVISDILFTTALPTRIAYYAMGDALCRITALVFYINTYAGVNFMTCLSIDRFIAVVHIEHAKGVCIFVWILVFAQTLPLLINPEETKSLPWILLGACFIGYVLPLIIILICYSQICCKLFRTLTEKSGVNKKALNTIILIIVVFVLCFTPYHVAIIQHMIKKLRECSQRHSFQISLHFTVCLMNFNCCMDPFIYFFACKGYKRKVMRM</v>
      </c>
      <c r="C367" s="72" t="str">
        <f>IF(ISERROR(MATCH(A367,'Xtal_SegEnds_Prot#'!B:B, 0)), "NoXtal", "Xtal")</f>
        <v>NoXtal</v>
      </c>
      <c r="D367" s="4" t="str">
        <f>VLOOKUP(A367,Classification!A:D,2,FALSE)</f>
        <v>A</v>
      </c>
      <c r="E367" s="5" t="str">
        <f>VLOOKUP(A367,Seqs!A:B,2,FALSE)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367" s="5" t="str">
        <f t="shared" si="126"/>
        <v>HSTARIVMPLHYSLVFIIGLVGNLLALVVIVQN</v>
      </c>
      <c r="G367" s="4" t="str">
        <f t="shared" si="127"/>
        <v>RKKI</v>
      </c>
      <c r="H367" s="4" t="str">
        <f t="shared" si="128"/>
        <v>NSTTLYSTNLVISDILFTTALPTRIAYYAM</v>
      </c>
      <c r="I367" s="4" t="str">
        <f t="shared" si="129"/>
        <v>DWRI</v>
      </c>
      <c r="J367" s="4" t="str">
        <f t="shared" si="130"/>
        <v>GDALCRITALVFYINTYAGVNFMTCLSIDRFIAVVH</v>
      </c>
      <c r="K367" s="4" t="str">
        <f t="shared" si="131"/>
        <v>PLRYNKIK</v>
      </c>
      <c r="L367" s="4" t="str">
        <f t="shared" si="132"/>
        <v>IEHAKGVCIFVWILVFAQTLPLLINP</v>
      </c>
      <c r="M367" s="4" t="str">
        <f t="shared" si="133"/>
        <v>CME</v>
      </c>
      <c r="N367" s="4" t="str">
        <f t="shared" si="134"/>
        <v>EETKSLPWILLGACFIGYVLPLIIILICYSQICCKLFRT</v>
      </c>
      <c r="O367" s="4" t="str">
        <f t="shared" si="135"/>
        <v>LTEKSGVNKKALNTIILIIVVFVLCFTPYHVAIIQHMIKKLR</v>
      </c>
      <c r="P367" s="4" t="str">
        <f t="shared" si="136"/>
        <v>ECSQRHSFQISLHFTVCLMNFNCCMDPFIYFFA</v>
      </c>
      <c r="Q367" s="4" t="str">
        <f t="shared" si="137"/>
        <v>CKGYKRKVMRM</v>
      </c>
      <c r="R367" s="5">
        <f>VLOOKUP($A367,'NonXtal_SegEnds_Prot#'!$A:$AL,3,FALSE)</f>
        <v>27</v>
      </c>
      <c r="S367" s="5">
        <f>VLOOKUP($A367,'NonXtal_SegEnds_Prot#'!$A:$AL,6,FALSE)</f>
        <v>60</v>
      </c>
      <c r="T367" s="5">
        <f>VLOOKUP($A367,'NonXtal_SegEnds_Prot#'!$A:$AL,9,FALSE)</f>
        <v>64</v>
      </c>
      <c r="U367" s="5">
        <f>VLOOKUP($A367,'NonXtal_SegEnds_Prot#'!$A:$AL,12,FALSE)</f>
        <v>96</v>
      </c>
      <c r="V367" s="5">
        <f>VLOOKUP($A367,'NonXtal_SegEnds_Prot#'!$A:$AL,15,FALSE)</f>
        <v>100</v>
      </c>
      <c r="W367" s="5">
        <f>VLOOKUP($A367,'NonXtal_SegEnds_Prot#'!$A:$AL,18,FALSE)</f>
        <v>136</v>
      </c>
      <c r="X367" s="5">
        <f>VLOOKUP($A367,'NonXtal_SegEnds_Prot#'!$A:$AL,21,FALSE)</f>
        <v>145</v>
      </c>
      <c r="Y367" s="5">
        <f>VLOOKUP($A367,'NonXtal_SegEnds_Prot#'!$A:$AL,24,FALSE)</f>
        <v>181</v>
      </c>
      <c r="Z367" s="5">
        <f>VLOOKUP($A367,'NonXtal_SegEnds_Prot#'!$A:$AL,27,FALSE)</f>
        <v>188</v>
      </c>
      <c r="AA367" s="5">
        <f>VLOOKUP($A367,'NonXtal_SegEnds_Prot#'!$A:$AL,30,FALSE)</f>
        <v>232</v>
      </c>
      <c r="AB367" s="5">
        <f>VLOOKUP($A367,'NonXtal_SegEnds_Prot#'!$A:$AL,33,FALSE)</f>
        <v>279</v>
      </c>
      <c r="AC367" s="5">
        <f>VLOOKUP($A367,'NonXtal_SegEnds_Prot#'!$A:$AL,36,FALSE)</f>
        <v>312</v>
      </c>
      <c r="AD367" s="5">
        <f>VLOOKUP($A367,'NonXtal_SegEnds_Prot#'!$A:$AL,5,FALSE)</f>
        <v>59</v>
      </c>
      <c r="AE367" s="5">
        <f>VLOOKUP($A367,'NonXtal_SegEnds_Prot#'!$A:$AL,8,FALSE)</f>
        <v>63</v>
      </c>
      <c r="AF367" s="5">
        <f>VLOOKUP($A367,'NonXtal_SegEnds_Prot#'!$A:$AL,11,FALSE)</f>
        <v>93</v>
      </c>
      <c r="AG367" s="5">
        <f>VLOOKUP($A367,'NonXtal_SegEnds_Prot#'!$A:$AL,14,FALSE)</f>
        <v>99</v>
      </c>
      <c r="AH367" s="5">
        <f>VLOOKUP($A367,'NonXtal_SegEnds_Prot#'!$A:$AL,17,FALSE)</f>
        <v>135</v>
      </c>
      <c r="AI367" s="5">
        <f>VLOOKUP($A367,'NonXtal_SegEnds_Prot#'!$A:$AL,20,FALSE)</f>
        <v>143</v>
      </c>
      <c r="AJ367" s="5">
        <f>VLOOKUP($A367,'NonXtal_SegEnds_Prot#'!$A:$AL,23,FALSE)</f>
        <v>170</v>
      </c>
      <c r="AK367" s="5">
        <f>VLOOKUP($A367,'NonXtal_SegEnds_Prot#'!$A:$AL,26,FALSE)</f>
        <v>183</v>
      </c>
      <c r="AL367" s="5">
        <f>VLOOKUP($A367,'NonXtal_SegEnds_Prot#'!$A:$AL,29,FALSE)</f>
        <v>226</v>
      </c>
      <c r="AM367" s="5">
        <f>VLOOKUP($A367,'NonXtal_SegEnds_Prot#'!$A:$AL,32,FALSE)</f>
        <v>273</v>
      </c>
      <c r="AN367" s="5">
        <f>VLOOKUP($A367,'NonXtal_SegEnds_Prot#'!$A:$AL,35,FALSE)</f>
        <v>311</v>
      </c>
      <c r="AO367" s="5">
        <f>VLOOKUP($A367,'NonXtal_SegEnds_Prot#'!$A:$AL,38,FALSE)</f>
        <v>322</v>
      </c>
      <c r="AP367" s="5">
        <f t="shared" si="138"/>
        <v>32</v>
      </c>
      <c r="AQ367" s="4">
        <f t="shared" si="139"/>
        <v>3</v>
      </c>
      <c r="AR367" s="4">
        <f t="shared" si="140"/>
        <v>29</v>
      </c>
      <c r="AS367" s="4">
        <f t="shared" si="141"/>
        <v>3</v>
      </c>
      <c r="AT367" s="4">
        <f t="shared" si="142"/>
        <v>35</v>
      </c>
      <c r="AU367" s="4">
        <f t="shared" si="143"/>
        <v>7</v>
      </c>
      <c r="AV367" s="4">
        <f t="shared" si="144"/>
        <v>25</v>
      </c>
      <c r="AW367" s="4">
        <f t="shared" si="145"/>
        <v>2</v>
      </c>
      <c r="AX367" s="4">
        <f t="shared" si="146"/>
        <v>38</v>
      </c>
      <c r="AY367" s="4">
        <f t="shared" si="147"/>
        <v>41</v>
      </c>
      <c r="AZ367" s="4">
        <f t="shared" si="148"/>
        <v>32</v>
      </c>
      <c r="BA367" s="4">
        <f t="shared" si="149"/>
        <v>10</v>
      </c>
    </row>
    <row r="368" spans="1:53" x14ac:dyDescent="0.2">
      <c r="A368" s="1" t="str">
        <f>'NonXtal_SegEnds_Prot#'!A364</f>
        <v>ptafr_human</v>
      </c>
      <c r="B368" s="1" t="str">
        <f t="shared" si="125"/>
        <v>SEFRYTLFPIVYSIIFVLGVIANGYVLWVFARLNEIKIFMVNLTMADMLFLITLPLWIVYYQNPKFLCNVAGCLFFINTYCSVAFLGVITYNRFQAVTRRKRGISLSLVIWVAIVGAASYFLILDEKGSVPVLIIHIFIVFSFFLVFLIILFCNLVIIRTLLMQEVKRRALWMVCTVLAVFIICFVPHHVVQLPWTLADSKFHQAINDAHQVTLCLLSTNCVLDPVIYCFLTKKFRKHLTEK</v>
      </c>
      <c r="C368" s="72" t="str">
        <f>IF(ISERROR(MATCH(A368,'Xtal_SegEnds_Prot#'!B:B, 0)), "NoXtal", "Xtal")</f>
        <v>NoXtal</v>
      </c>
      <c r="D368" s="4" t="str">
        <f>VLOOKUP(A368,Classification!A:D,2,FALSE)</f>
        <v>A</v>
      </c>
      <c r="E368" s="5" t="str">
        <f>VLOOKUP(A368,Seqs!A:B,2,FALSE)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368" s="5" t="str">
        <f t="shared" si="126"/>
        <v>SEFRYTLFPIVYSIIFVLGVIANGYVLWVFARL</v>
      </c>
      <c r="G368" s="4" t="str">
        <f t="shared" si="127"/>
        <v/>
      </c>
      <c r="H368" s="4" t="str">
        <f t="shared" si="128"/>
        <v>NEIKIFMVNLTMADMLFLITLPLWIVYYQN</v>
      </c>
      <c r="I368" s="4" t="str">
        <f t="shared" si="129"/>
        <v>NWIL</v>
      </c>
      <c r="J368" s="4" t="str">
        <f t="shared" si="130"/>
        <v>PKFLCNVAGCLFFINTYCSVAFLGVITYNRFQAVTR</v>
      </c>
      <c r="K368" s="4" t="str">
        <f t="shared" si="131"/>
        <v>PIKTAQAN</v>
      </c>
      <c r="L368" s="4" t="str">
        <f t="shared" si="132"/>
        <v>RKRGISLSLVIWVAIVGAASYFLILD</v>
      </c>
      <c r="M368" s="4" t="str">
        <f t="shared" si="133"/>
        <v>CFE</v>
      </c>
      <c r="N368" s="4" t="str">
        <f t="shared" si="134"/>
        <v>EKGSVPVLIIHIFIVFSFFLVFLIILFCNLVIIRTLLMQ</v>
      </c>
      <c r="O368" s="4" t="str">
        <f t="shared" si="135"/>
        <v>EVKRRALWMVCTVLAVFIICFVPHHVVQLPWTLA</v>
      </c>
      <c r="P368" s="4" t="str">
        <f t="shared" si="136"/>
        <v>DSKFHQAINDAHQVTLCLLSTNCVLDPVIYCFL</v>
      </c>
      <c r="Q368" s="4" t="str">
        <f t="shared" si="137"/>
        <v>TKKFRKHLTEK</v>
      </c>
      <c r="R368" s="5">
        <f>VLOOKUP($A368,'NonXtal_SegEnds_Prot#'!$A:$AL,3,FALSE)</f>
        <v>11</v>
      </c>
      <c r="S368" s="5" t="str">
        <f>VLOOKUP($A368,'NonXtal_SegEnds_Prot#'!$A:$AL,6,FALSE)</f>
        <v>-</v>
      </c>
      <c r="T368" s="5">
        <f>VLOOKUP($A368,'NonXtal_SegEnds_Prot#'!$A:$AL,9,FALSE)</f>
        <v>50</v>
      </c>
      <c r="U368" s="5">
        <f>VLOOKUP($A368,'NonXtal_SegEnds_Prot#'!$A:$AL,12,FALSE)</f>
        <v>82</v>
      </c>
      <c r="V368" s="5">
        <f>VLOOKUP($A368,'NonXtal_SegEnds_Prot#'!$A:$AL,15,FALSE)</f>
        <v>86</v>
      </c>
      <c r="W368" s="5">
        <f>VLOOKUP($A368,'NonXtal_SegEnds_Prot#'!$A:$AL,18,FALSE)</f>
        <v>122</v>
      </c>
      <c r="X368" s="5">
        <f>VLOOKUP($A368,'NonXtal_SegEnds_Prot#'!$A:$AL,21,FALSE)</f>
        <v>131</v>
      </c>
      <c r="Y368" s="5">
        <f>VLOOKUP($A368,'NonXtal_SegEnds_Prot#'!$A:$AL,24,FALSE)</f>
        <v>173</v>
      </c>
      <c r="Z368" s="5">
        <f>VLOOKUP($A368,'NonXtal_SegEnds_Prot#'!$A:$AL,27,FALSE)</f>
        <v>178</v>
      </c>
      <c r="AA368" s="5">
        <f>VLOOKUP($A368,'NonXtal_SegEnds_Prot#'!$A:$AL,30,FALSE)</f>
        <v>225</v>
      </c>
      <c r="AB368" s="5">
        <f>VLOOKUP($A368,'NonXtal_SegEnds_Prot#'!$A:$AL,33,FALSE)</f>
        <v>264</v>
      </c>
      <c r="AC368" s="5">
        <f>VLOOKUP($A368,'NonXtal_SegEnds_Prot#'!$A:$AL,36,FALSE)</f>
        <v>297</v>
      </c>
      <c r="AD368" s="5">
        <f>VLOOKUP($A368,'NonXtal_SegEnds_Prot#'!$A:$AL,5,FALSE)</f>
        <v>43</v>
      </c>
      <c r="AE368" s="5" t="str">
        <f>VLOOKUP($A368,'NonXtal_SegEnds_Prot#'!$A:$AL,8,FALSE)</f>
        <v>-</v>
      </c>
      <c r="AF368" s="5">
        <f>VLOOKUP($A368,'NonXtal_SegEnds_Prot#'!$A:$AL,11,FALSE)</f>
        <v>79</v>
      </c>
      <c r="AG368" s="5">
        <f>VLOOKUP($A368,'NonXtal_SegEnds_Prot#'!$A:$AL,14,FALSE)</f>
        <v>85</v>
      </c>
      <c r="AH368" s="5">
        <f>VLOOKUP($A368,'NonXtal_SegEnds_Prot#'!$A:$AL,17,FALSE)</f>
        <v>121</v>
      </c>
      <c r="AI368" s="5">
        <f>VLOOKUP($A368,'NonXtal_SegEnds_Prot#'!$A:$AL,20,FALSE)</f>
        <v>129</v>
      </c>
      <c r="AJ368" s="5">
        <f>VLOOKUP($A368,'NonXtal_SegEnds_Prot#'!$A:$AL,23,FALSE)</f>
        <v>156</v>
      </c>
      <c r="AK368" s="5">
        <f>VLOOKUP($A368,'NonXtal_SegEnds_Prot#'!$A:$AL,26,FALSE)</f>
        <v>175</v>
      </c>
      <c r="AL368" s="5">
        <f>VLOOKUP($A368,'NonXtal_SegEnds_Prot#'!$A:$AL,29,FALSE)</f>
        <v>216</v>
      </c>
      <c r="AM368" s="5">
        <f>VLOOKUP($A368,'NonXtal_SegEnds_Prot#'!$A:$AL,32,FALSE)</f>
        <v>258</v>
      </c>
      <c r="AN368" s="5">
        <f>VLOOKUP($A368,'NonXtal_SegEnds_Prot#'!$A:$AL,35,FALSE)</f>
        <v>296</v>
      </c>
      <c r="AO368" s="5">
        <f>VLOOKUP($A368,'NonXtal_SegEnds_Prot#'!$A:$AL,38,FALSE)</f>
        <v>307</v>
      </c>
      <c r="AP368" s="5">
        <f t="shared" si="138"/>
        <v>32</v>
      </c>
      <c r="AQ368" s="4" t="str">
        <f t="shared" si="139"/>
        <v>-</v>
      </c>
      <c r="AR368" s="4">
        <f t="shared" si="140"/>
        <v>29</v>
      </c>
      <c r="AS368" s="4">
        <f t="shared" si="141"/>
        <v>3</v>
      </c>
      <c r="AT368" s="4">
        <f t="shared" si="142"/>
        <v>35</v>
      </c>
      <c r="AU368" s="4">
        <f t="shared" si="143"/>
        <v>7</v>
      </c>
      <c r="AV368" s="4">
        <f t="shared" si="144"/>
        <v>25</v>
      </c>
      <c r="AW368" s="4">
        <f t="shared" si="145"/>
        <v>2</v>
      </c>
      <c r="AX368" s="4">
        <f t="shared" si="146"/>
        <v>38</v>
      </c>
      <c r="AY368" s="4">
        <f t="shared" si="147"/>
        <v>33</v>
      </c>
      <c r="AZ368" s="4">
        <f t="shared" si="148"/>
        <v>32</v>
      </c>
      <c r="BA368" s="4">
        <f t="shared" si="149"/>
        <v>10</v>
      </c>
    </row>
    <row r="369" spans="1:53" x14ac:dyDescent="0.2">
      <c r="A369" s="1" t="str">
        <f>'NonXtal_SegEnds_Prot#'!A365</f>
        <v>p2y14_human</v>
      </c>
      <c r="B369" s="1" t="str">
        <f t="shared" si="125"/>
        <v>LLITQQIIPVLYCMVFIAGILLNGVSGWIFFYVKSFIIYLKNIVIADFVMSLTFPFKILGDSGWQLNVFVCRVSAVLFYVNMYVSIVFFGLISFDRYYKIVKVSYSKLLSVIVWMLMLLLAVPNIILTELGRKWHKASNYIFVAIFWIVFLLLIVFYTAITKKIFKSHLKSVKKKSSRNIFSIVFVFFVCFVPYHIARIPYTKSQTESCQSKEILRYMKEFTLLLSAANVCLDPIIYFFLCQPFREILCKK</v>
      </c>
      <c r="C369" s="72" t="str">
        <f>IF(ISERROR(MATCH(A369,'Xtal_SegEnds_Prot#'!B:B, 0)), "NoXtal", "Xtal")</f>
        <v>NoXtal</v>
      </c>
      <c r="D369" s="4" t="str">
        <f>VLOOKUP(A369,Classification!A:D,2,FALSE)</f>
        <v>A</v>
      </c>
      <c r="E369" s="5" t="str">
        <f>VLOOKUP(A369,Seqs!A:B,2,FALSE)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369" s="5" t="str">
        <f t="shared" si="126"/>
        <v>LLITQQIIPVLYCMVFIAGILLNGVSGWIFFYV</v>
      </c>
      <c r="G369" s="4" t="str">
        <f t="shared" si="127"/>
        <v/>
      </c>
      <c r="H369" s="4" t="str">
        <f t="shared" si="128"/>
        <v>KSFIIYLKNIVIADFVMSLTFPFKILGDSG</v>
      </c>
      <c r="I369" s="4" t="str">
        <f t="shared" si="129"/>
        <v/>
      </c>
      <c r="J369" s="4" t="str">
        <f t="shared" si="130"/>
        <v>WQLNVFVCRVSAVLFYVNMYVSIVFFGLISFDRYYKIVK</v>
      </c>
      <c r="K369" s="4" t="str">
        <f t="shared" si="131"/>
        <v>PLWTSFIQ</v>
      </c>
      <c r="L369" s="4" t="str">
        <f t="shared" si="132"/>
        <v>VSYSKLLSVIVWMLMLLLAVPNIILT</v>
      </c>
      <c r="M369" s="4" t="str">
        <f t="shared" si="133"/>
        <v>CIE</v>
      </c>
      <c r="N369" s="4" t="str">
        <f t="shared" si="134"/>
        <v>ELGRKWHKASNYIFVAIFWIVFLLLIVFYTAITKKIFKSHLKS</v>
      </c>
      <c r="O369" s="4" t="str">
        <f t="shared" si="135"/>
        <v>VKKKSSRNIFSIVFVFFVCFVPYHIARIPYTKSQTE</v>
      </c>
      <c r="P369" s="4" t="str">
        <f t="shared" si="136"/>
        <v>SCQSKEILRYMKEFTLLLSAANVCLDPIIYFFL</v>
      </c>
      <c r="Q369" s="4" t="str">
        <f t="shared" si="137"/>
        <v>CQPFREILCKK</v>
      </c>
      <c r="R369" s="5">
        <f>VLOOKUP($A369,'NonXtal_SegEnds_Prot#'!$A:$AL,3,FALSE)</f>
        <v>18</v>
      </c>
      <c r="S369" s="5" t="str">
        <f>VLOOKUP($A369,'NonXtal_SegEnds_Prot#'!$A:$AL,6,FALSE)</f>
        <v>-</v>
      </c>
      <c r="T369" s="5">
        <f>VLOOKUP($A369,'NonXtal_SegEnds_Prot#'!$A:$AL,9,FALSE)</f>
        <v>54</v>
      </c>
      <c r="U369" s="5" t="str">
        <f>VLOOKUP($A369,'NonXtal_SegEnds_Prot#'!$A:$AL,12,FALSE)</f>
        <v>-</v>
      </c>
      <c r="V369" s="5">
        <f>VLOOKUP($A369,'NonXtal_SegEnds_Prot#'!$A:$AL,15,FALSE)</f>
        <v>87</v>
      </c>
      <c r="W369" s="5">
        <f>VLOOKUP($A369,'NonXtal_SegEnds_Prot#'!$A:$AL,18,FALSE)</f>
        <v>126</v>
      </c>
      <c r="X369" s="5">
        <f>VLOOKUP($A369,'NonXtal_SegEnds_Prot#'!$A:$AL,21,FALSE)</f>
        <v>135</v>
      </c>
      <c r="Y369" s="5">
        <f>VLOOKUP($A369,'NonXtal_SegEnds_Prot#'!$A:$AL,24,FALSE)</f>
        <v>172</v>
      </c>
      <c r="Z369" s="5">
        <f>VLOOKUP($A369,'NonXtal_SegEnds_Prot#'!$A:$AL,27,FALSE)</f>
        <v>178</v>
      </c>
      <c r="AA369" s="5">
        <f>VLOOKUP($A369,'NonXtal_SegEnds_Prot#'!$A:$AL,30,FALSE)</f>
        <v>227</v>
      </c>
      <c r="AB369" s="5">
        <f>VLOOKUP($A369,'NonXtal_SegEnds_Prot#'!$A:$AL,33,FALSE)</f>
        <v>266</v>
      </c>
      <c r="AC369" s="5">
        <f>VLOOKUP($A369,'NonXtal_SegEnds_Prot#'!$A:$AL,36,FALSE)</f>
        <v>299</v>
      </c>
      <c r="AD369" s="5">
        <f>VLOOKUP($A369,'NonXtal_SegEnds_Prot#'!$A:$AL,5,FALSE)</f>
        <v>50</v>
      </c>
      <c r="AE369" s="5" t="str">
        <f>VLOOKUP($A369,'NonXtal_SegEnds_Prot#'!$A:$AL,8,FALSE)</f>
        <v>-</v>
      </c>
      <c r="AF369" s="5">
        <f>VLOOKUP($A369,'NonXtal_SegEnds_Prot#'!$A:$AL,11,FALSE)</f>
        <v>83</v>
      </c>
      <c r="AG369" s="5" t="str">
        <f>VLOOKUP($A369,'NonXtal_SegEnds_Prot#'!$A:$AL,14,FALSE)</f>
        <v>-</v>
      </c>
      <c r="AH369" s="5">
        <f>VLOOKUP($A369,'NonXtal_SegEnds_Prot#'!$A:$AL,17,FALSE)</f>
        <v>125</v>
      </c>
      <c r="AI369" s="5">
        <f>VLOOKUP($A369,'NonXtal_SegEnds_Prot#'!$A:$AL,20,FALSE)</f>
        <v>133</v>
      </c>
      <c r="AJ369" s="5">
        <f>VLOOKUP($A369,'NonXtal_SegEnds_Prot#'!$A:$AL,23,FALSE)</f>
        <v>160</v>
      </c>
      <c r="AK369" s="5">
        <f>VLOOKUP($A369,'NonXtal_SegEnds_Prot#'!$A:$AL,26,FALSE)</f>
        <v>174</v>
      </c>
      <c r="AL369" s="5">
        <f>VLOOKUP($A369,'NonXtal_SegEnds_Prot#'!$A:$AL,29,FALSE)</f>
        <v>220</v>
      </c>
      <c r="AM369" s="5">
        <f>VLOOKUP($A369,'NonXtal_SegEnds_Prot#'!$A:$AL,32,FALSE)</f>
        <v>262</v>
      </c>
      <c r="AN369" s="5">
        <f>VLOOKUP($A369,'NonXtal_SegEnds_Prot#'!$A:$AL,35,FALSE)</f>
        <v>298</v>
      </c>
      <c r="AO369" s="5">
        <f>VLOOKUP($A369,'NonXtal_SegEnds_Prot#'!$A:$AL,38,FALSE)</f>
        <v>309</v>
      </c>
      <c r="AP369" s="5">
        <f t="shared" si="138"/>
        <v>32</v>
      </c>
      <c r="AQ369" s="4" t="str">
        <f t="shared" si="139"/>
        <v>-</v>
      </c>
      <c r="AR369" s="4">
        <f t="shared" si="140"/>
        <v>29</v>
      </c>
      <c r="AS369" s="4" t="str">
        <f t="shared" si="141"/>
        <v>-</v>
      </c>
      <c r="AT369" s="4">
        <f t="shared" si="142"/>
        <v>38</v>
      </c>
      <c r="AU369" s="4">
        <f t="shared" si="143"/>
        <v>7</v>
      </c>
      <c r="AV369" s="4">
        <f t="shared" si="144"/>
        <v>25</v>
      </c>
      <c r="AW369" s="4">
        <f t="shared" si="145"/>
        <v>2</v>
      </c>
      <c r="AX369" s="4">
        <f t="shared" si="146"/>
        <v>42</v>
      </c>
      <c r="AY369" s="4">
        <f t="shared" si="147"/>
        <v>35</v>
      </c>
      <c r="AZ369" s="4">
        <f t="shared" si="148"/>
        <v>32</v>
      </c>
      <c r="BA369" s="4">
        <f t="shared" si="149"/>
        <v>10</v>
      </c>
    </row>
    <row r="370" spans="1:53" x14ac:dyDescent="0.2">
      <c r="A370" s="1" t="str">
        <f>'NonXtal_SegEnds_Prot#'!A366</f>
        <v>gp171_human</v>
      </c>
      <c r="B370" s="1" t="str">
        <f t="shared" si="125"/>
        <v>VYKDLEPFTYFFYLVFLVGIIGSCFATWAFIQKRCVSIYLINLLTADFLLTLALPVKIVVDLGWKLKIFHCQVTACLIYINMYLSIIFLAFVSIDRCLQLTHPGFAKMISTVVWLMVLLIMVPNMMIPEFGRNWHLLTNFICVAIFLNFSAIILISNCLVIRQLYRNYPNVKKALINILLVTTGYIICFVPYHIVRIPYTLSQTEDCSTRISLFKAKEATLLLAVSNLCFDPILYYHLSKAFRSKVTET</v>
      </c>
      <c r="C370" s="72" t="str">
        <f>IF(ISERROR(MATCH(A370,'Xtal_SegEnds_Prot#'!B:B, 0)), "NoXtal", "Xtal")</f>
        <v>NoXtal</v>
      </c>
      <c r="D370" s="4" t="str">
        <f>VLOOKUP(A370,Classification!A:D,2,FALSE)</f>
        <v>A</v>
      </c>
      <c r="E370" s="5" t="str">
        <f>VLOOKUP(A370,Seqs!A:B,2,FALSE)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370" s="5" t="str">
        <f t="shared" si="126"/>
        <v>VYKDLEPFTYFFYLVFLVGIIGSCFATWAFIQK</v>
      </c>
      <c r="G370" s="4" t="str">
        <f t="shared" si="127"/>
        <v/>
      </c>
      <c r="H370" s="4" t="str">
        <f t="shared" si="128"/>
        <v>RCVSIYLINLLTADFLLTLALPVKIVVDLG</v>
      </c>
      <c r="I370" s="4" t="str">
        <f t="shared" si="129"/>
        <v/>
      </c>
      <c r="J370" s="4" t="str">
        <f t="shared" si="130"/>
        <v>WKLKIFHCQVTACLIYINMYLSIIFLAFVSIDRCLQLTH</v>
      </c>
      <c r="K370" s="4" t="str">
        <f t="shared" si="131"/>
        <v>SCKIYRIQ</v>
      </c>
      <c r="L370" s="4" t="str">
        <f t="shared" si="132"/>
        <v>PGFAKMISTVVWLMVLLIMVPNMMIP</v>
      </c>
      <c r="M370" s="4" t="str">
        <f t="shared" si="133"/>
        <v>CME</v>
      </c>
      <c r="N370" s="4" t="str">
        <f t="shared" si="134"/>
        <v>EFGRNWHLLTNFICVAIFLNFSAIILISNCLVIRQLYR</v>
      </c>
      <c r="O370" s="4" t="str">
        <f t="shared" si="135"/>
        <v>NYPNVKKALINILLVTTGYIICFVPYHIVRIPYTLSQTE</v>
      </c>
      <c r="P370" s="4" t="str">
        <f t="shared" si="136"/>
        <v>DCSTRISLFKAKEATLLLAVSNLCFDPILYYHL</v>
      </c>
      <c r="Q370" s="4" t="str">
        <f t="shared" si="137"/>
        <v>SKAFRSKVTET</v>
      </c>
      <c r="R370" s="5">
        <f>VLOOKUP($A370,'NonXtal_SegEnds_Prot#'!$A:$AL,3,FALSE)</f>
        <v>10</v>
      </c>
      <c r="S370" s="5" t="str">
        <f>VLOOKUP($A370,'NonXtal_SegEnds_Prot#'!$A:$AL,6,FALSE)</f>
        <v>-</v>
      </c>
      <c r="T370" s="5">
        <f>VLOOKUP($A370,'NonXtal_SegEnds_Prot#'!$A:$AL,9,FALSE)</f>
        <v>47</v>
      </c>
      <c r="U370" s="5" t="str">
        <f>VLOOKUP($A370,'NonXtal_SegEnds_Prot#'!$A:$AL,12,FALSE)</f>
        <v>-</v>
      </c>
      <c r="V370" s="5">
        <f>VLOOKUP($A370,'NonXtal_SegEnds_Prot#'!$A:$AL,15,FALSE)</f>
        <v>80</v>
      </c>
      <c r="W370" s="5">
        <f>VLOOKUP($A370,'NonXtal_SegEnds_Prot#'!$A:$AL,18,FALSE)</f>
        <v>119</v>
      </c>
      <c r="X370" s="5">
        <f>VLOOKUP($A370,'NonXtal_SegEnds_Prot#'!$A:$AL,21,FALSE)</f>
        <v>128</v>
      </c>
      <c r="Y370" s="5">
        <f>VLOOKUP($A370,'NonXtal_SegEnds_Prot#'!$A:$AL,24,FALSE)</f>
        <v>165</v>
      </c>
      <c r="Z370" s="5">
        <f>VLOOKUP($A370,'NonXtal_SegEnds_Prot#'!$A:$AL,27,FALSE)</f>
        <v>171</v>
      </c>
      <c r="AA370" s="5">
        <f>VLOOKUP($A370,'NonXtal_SegEnds_Prot#'!$A:$AL,30,FALSE)</f>
        <v>214</v>
      </c>
      <c r="AB370" s="5">
        <f>VLOOKUP($A370,'NonXtal_SegEnds_Prot#'!$A:$AL,33,FALSE)</f>
        <v>256</v>
      </c>
      <c r="AC370" s="5">
        <f>VLOOKUP($A370,'NonXtal_SegEnds_Prot#'!$A:$AL,36,FALSE)</f>
        <v>289</v>
      </c>
      <c r="AD370" s="5">
        <f>VLOOKUP($A370,'NonXtal_SegEnds_Prot#'!$A:$AL,5,FALSE)</f>
        <v>42</v>
      </c>
      <c r="AE370" s="5" t="str">
        <f>VLOOKUP($A370,'NonXtal_SegEnds_Prot#'!$A:$AL,8,FALSE)</f>
        <v>-</v>
      </c>
      <c r="AF370" s="5">
        <f>VLOOKUP($A370,'NonXtal_SegEnds_Prot#'!$A:$AL,11,FALSE)</f>
        <v>76</v>
      </c>
      <c r="AG370" s="5" t="str">
        <f>VLOOKUP($A370,'NonXtal_SegEnds_Prot#'!$A:$AL,14,FALSE)</f>
        <v>-</v>
      </c>
      <c r="AH370" s="5">
        <f>VLOOKUP($A370,'NonXtal_SegEnds_Prot#'!$A:$AL,17,FALSE)</f>
        <v>118</v>
      </c>
      <c r="AI370" s="5">
        <f>VLOOKUP($A370,'NonXtal_SegEnds_Prot#'!$A:$AL,20,FALSE)</f>
        <v>126</v>
      </c>
      <c r="AJ370" s="5">
        <f>VLOOKUP($A370,'NonXtal_SegEnds_Prot#'!$A:$AL,23,FALSE)</f>
        <v>153</v>
      </c>
      <c r="AK370" s="5">
        <f>VLOOKUP($A370,'NonXtal_SegEnds_Prot#'!$A:$AL,26,FALSE)</f>
        <v>167</v>
      </c>
      <c r="AL370" s="5">
        <f>VLOOKUP($A370,'NonXtal_SegEnds_Prot#'!$A:$AL,29,FALSE)</f>
        <v>208</v>
      </c>
      <c r="AM370" s="5">
        <f>VLOOKUP($A370,'NonXtal_SegEnds_Prot#'!$A:$AL,32,FALSE)</f>
        <v>252</v>
      </c>
      <c r="AN370" s="5">
        <f>VLOOKUP($A370,'NonXtal_SegEnds_Prot#'!$A:$AL,35,FALSE)</f>
        <v>288</v>
      </c>
      <c r="AO370" s="5">
        <f>VLOOKUP($A370,'NonXtal_SegEnds_Prot#'!$A:$AL,38,FALSE)</f>
        <v>299</v>
      </c>
      <c r="AP370" s="5">
        <f t="shared" si="138"/>
        <v>32</v>
      </c>
      <c r="AQ370" s="4" t="str">
        <f t="shared" si="139"/>
        <v>-</v>
      </c>
      <c r="AR370" s="4">
        <f t="shared" si="140"/>
        <v>29</v>
      </c>
      <c r="AS370" s="4" t="str">
        <f t="shared" si="141"/>
        <v>-</v>
      </c>
      <c r="AT370" s="4">
        <f t="shared" si="142"/>
        <v>38</v>
      </c>
      <c r="AU370" s="4">
        <f t="shared" si="143"/>
        <v>7</v>
      </c>
      <c r="AV370" s="4">
        <f t="shared" si="144"/>
        <v>25</v>
      </c>
      <c r="AW370" s="4">
        <f t="shared" si="145"/>
        <v>2</v>
      </c>
      <c r="AX370" s="4">
        <f t="shared" si="146"/>
        <v>37</v>
      </c>
      <c r="AY370" s="4">
        <f t="shared" si="147"/>
        <v>38</v>
      </c>
      <c r="AZ370" s="4">
        <f t="shared" si="148"/>
        <v>32</v>
      </c>
      <c r="BA370" s="4">
        <f t="shared" si="149"/>
        <v>10</v>
      </c>
    </row>
    <row r="371" spans="1:53" x14ac:dyDescent="0.2">
      <c r="A371" s="1" t="str">
        <f>'NonXtal_SegEnds_Prot#'!A368</f>
        <v>mrgre_human</v>
      </c>
      <c r="B371" s="1" t="str">
        <f t="shared" si="125"/>
        <v>VAFNLIILSLTEGLGLGGLLGNGAVLWLLSSNNPFAIYLLDVACADLIFLGCHMVAIVPDLLLDFPGFVQTSLATLRFFCYIVGLSLLAAVSVEQCLAALFRHLTTCVCALTWALCLLLHLLLSGAHLCRTLWLVAAVLLALLCCTMCGASLMLLLRVERGPQPRGFPGLILLTVLLFLFCGLPFGIYWLSRNLLHYFYHFSFLMAAVHCAAKPVVYFCLGSAQGRRLPLRLVLQ</v>
      </c>
      <c r="C371" s="72" t="str">
        <f>IF(ISERROR(MATCH(A371,'Xtal_SegEnds_Prot#'!B:B, 0)), "NoXtal", "Xtal")</f>
        <v>NoXtal</v>
      </c>
      <c r="D371" s="4" t="str">
        <f>VLOOKUP(A371,Classification!A:D,2,FALSE)</f>
        <v>A</v>
      </c>
      <c r="E371" s="5" t="str">
        <f>VLOOKUP(A371,Seqs!A:B,2,FALSE)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371" s="5" t="str">
        <f t="shared" si="126"/>
        <v>VAFNLIILSLTEGLGLGGLLGNGAVLWLLSSN</v>
      </c>
      <c r="G371" s="4" t="str">
        <f t="shared" si="127"/>
        <v/>
      </c>
      <c r="H371" s="4" t="str">
        <f t="shared" si="128"/>
        <v>NPFAIYLLDVACADLIFLGCHMVAIVPDLL</v>
      </c>
      <c r="I371" s="4" t="str">
        <f t="shared" si="129"/>
        <v/>
      </c>
      <c r="J371" s="4" t="str">
        <f t="shared" si="130"/>
        <v>LDFPGFVQTSLATLRFFCYIVGLSLLAAVSVEQCLAALF</v>
      </c>
      <c r="K371" s="4" t="str">
        <f t="shared" si="131"/>
        <v>PAWYSCRR</v>
      </c>
      <c r="L371" s="4" t="str">
        <f t="shared" si="132"/>
        <v>RHLTTCVCALTWALCLLLHLLLSGA</v>
      </c>
      <c r="M371" s="4" t="str">
        <f t="shared" si="133"/>
        <v/>
      </c>
      <c r="N371" s="4" t="str">
        <f t="shared" si="134"/>
        <v>HLCRTLWLVAAVLLALLCCTMCGASLMLLLRVERGPQ</v>
      </c>
      <c r="O371" s="4" t="str">
        <f t="shared" si="135"/>
        <v>PRGFPGLILLTVLLFLFCGLPFGIYWLSRNLL</v>
      </c>
      <c r="P371" s="4" t="str">
        <f t="shared" si="136"/>
        <v>HYFYHFSFLMAAVHCAAKPVVYFCL</v>
      </c>
      <c r="Q371" s="4" t="str">
        <f t="shared" si="137"/>
        <v>GSAQGRRLPLRLVLQ</v>
      </c>
      <c r="R371" s="5">
        <f>VLOOKUP($A371,'NonXtal_SegEnds_Prot#'!$A:$AL,3,FALSE)</f>
        <v>21</v>
      </c>
      <c r="S371" s="5" t="str">
        <f>VLOOKUP($A371,'NonXtal_SegEnds_Prot#'!$A:$AL,6,FALSE)</f>
        <v>-</v>
      </c>
      <c r="T371" s="5">
        <f>VLOOKUP($A371,'NonXtal_SegEnds_Prot#'!$A:$AL,9,FALSE)</f>
        <v>56</v>
      </c>
      <c r="U371" s="5" t="str">
        <f>VLOOKUP($A371,'NonXtal_SegEnds_Prot#'!$A:$AL,12,FALSE)</f>
        <v>-</v>
      </c>
      <c r="V371" s="5">
        <f>VLOOKUP($A371,'NonXtal_SegEnds_Prot#'!$A:$AL,15,FALSE)</f>
        <v>89</v>
      </c>
      <c r="W371" s="5">
        <f>VLOOKUP($A371,'NonXtal_SegEnds_Prot#'!$A:$AL,18,FALSE)</f>
        <v>128</v>
      </c>
      <c r="X371" s="5">
        <f>VLOOKUP($A371,'NonXtal_SegEnds_Prot#'!$A:$AL,21,FALSE)</f>
        <v>137</v>
      </c>
      <c r="Y371" s="5" t="str">
        <f>VLOOKUP($A371,'NonXtal_SegEnds_Prot#'!$A:$AL,24,FALSE)</f>
        <v>-</v>
      </c>
      <c r="Z371" s="5">
        <f>VLOOKUP($A371,'NonXtal_SegEnds_Prot#'!$A:$AL,27,FALSE)</f>
        <v>172</v>
      </c>
      <c r="AA371" s="5">
        <f>VLOOKUP($A371,'NonXtal_SegEnds_Prot#'!$A:$AL,30,FALSE)</f>
        <v>212</v>
      </c>
      <c r="AB371" s="5">
        <f>VLOOKUP($A371,'NonXtal_SegEnds_Prot#'!$A:$AL,33,FALSE)</f>
        <v>248</v>
      </c>
      <c r="AC371" s="5">
        <f>VLOOKUP($A371,'NonXtal_SegEnds_Prot#'!$A:$AL,36,FALSE)</f>
        <v>273</v>
      </c>
      <c r="AD371" s="5">
        <f>VLOOKUP($A371,'NonXtal_SegEnds_Prot#'!$A:$AL,5,FALSE)</f>
        <v>52</v>
      </c>
      <c r="AE371" s="5" t="str">
        <f>VLOOKUP($A371,'NonXtal_SegEnds_Prot#'!$A:$AL,8,FALSE)</f>
        <v>-</v>
      </c>
      <c r="AF371" s="5">
        <f>VLOOKUP($A371,'NonXtal_SegEnds_Prot#'!$A:$AL,11,FALSE)</f>
        <v>85</v>
      </c>
      <c r="AG371" s="5" t="str">
        <f>VLOOKUP($A371,'NonXtal_SegEnds_Prot#'!$A:$AL,14,FALSE)</f>
        <v>-</v>
      </c>
      <c r="AH371" s="5">
        <f>VLOOKUP($A371,'NonXtal_SegEnds_Prot#'!$A:$AL,17,FALSE)</f>
        <v>127</v>
      </c>
      <c r="AI371" s="5">
        <f>VLOOKUP($A371,'NonXtal_SegEnds_Prot#'!$A:$AL,20,FALSE)</f>
        <v>135</v>
      </c>
      <c r="AJ371" s="5">
        <f>VLOOKUP($A371,'NonXtal_SegEnds_Prot#'!$A:$AL,23,FALSE)</f>
        <v>161</v>
      </c>
      <c r="AK371" s="5" t="str">
        <f>VLOOKUP($A371,'NonXtal_SegEnds_Prot#'!$A:$AL,26,FALSE)</f>
        <v>-</v>
      </c>
      <c r="AL371" s="5">
        <f>VLOOKUP($A371,'NonXtal_SegEnds_Prot#'!$A:$AL,29,FALSE)</f>
        <v>208</v>
      </c>
      <c r="AM371" s="5">
        <f>VLOOKUP($A371,'NonXtal_SegEnds_Prot#'!$A:$AL,32,FALSE)</f>
        <v>243</v>
      </c>
      <c r="AN371" s="5">
        <f>VLOOKUP($A371,'NonXtal_SegEnds_Prot#'!$A:$AL,35,FALSE)</f>
        <v>272</v>
      </c>
      <c r="AO371" s="5">
        <f>VLOOKUP($A371,'NonXtal_SegEnds_Prot#'!$A:$AL,38,FALSE)</f>
        <v>287</v>
      </c>
      <c r="AP371" s="5">
        <f t="shared" si="138"/>
        <v>31</v>
      </c>
      <c r="AQ371" s="4" t="str">
        <f t="shared" si="139"/>
        <v>-</v>
      </c>
      <c r="AR371" s="4">
        <f t="shared" si="140"/>
        <v>29</v>
      </c>
      <c r="AS371" s="4" t="str">
        <f t="shared" si="141"/>
        <v>-</v>
      </c>
      <c r="AT371" s="4">
        <f t="shared" si="142"/>
        <v>38</v>
      </c>
      <c r="AU371" s="4">
        <f t="shared" si="143"/>
        <v>7</v>
      </c>
      <c r="AV371" s="4">
        <f t="shared" si="144"/>
        <v>24</v>
      </c>
      <c r="AW371" s="4" t="str">
        <f t="shared" si="145"/>
        <v>-</v>
      </c>
      <c r="AX371" s="4">
        <f t="shared" si="146"/>
        <v>36</v>
      </c>
      <c r="AY371" s="4">
        <f t="shared" si="147"/>
        <v>31</v>
      </c>
      <c r="AZ371" s="4">
        <f t="shared" si="148"/>
        <v>24</v>
      </c>
      <c r="BA371" s="4">
        <f t="shared" si="149"/>
        <v>14</v>
      </c>
    </row>
    <row r="372" spans="1:53" x14ac:dyDescent="0.2">
      <c r="A372" s="1" t="str">
        <f>'NonXtal_SegEnds_Prot#'!A369</f>
        <v>par1_human</v>
      </c>
      <c r="B372" s="1" t="str">
        <f t="shared" si="125"/>
        <v>SWLTLFVPSVYTGVFVVSLPLNIMAIVVFILKKPAVVYMLHLATADVLFVSVLPFKISYYFSGSELCRFVTAAFYCNMYASILLMTVISIDRFLAVVYLGRASFTCLAIWALAIAGVVPLLLKEGYYAYYFSAFSAVFFFVPLIISTVCYVSIIRCLSSNRSKKSRALFLSAAVFCIFIICFGPTNVLLIAHYSFLTEAAYFAYLLCVCVSSISCCIDPLIYYYASSECQRYVYSILCCK</v>
      </c>
      <c r="C372" s="72" t="str">
        <f>IF(ISERROR(MATCH(A372,'Xtal_SegEnds_Prot#'!B:B, 0)), "NoXtal", "Xtal")</f>
        <v>Xtal</v>
      </c>
      <c r="D372" s="4" t="str">
        <f>VLOOKUP(A372,Classification!A:D,2,FALSE)</f>
        <v>A</v>
      </c>
      <c r="E372" s="5" t="str">
        <f>VLOOKUP(A372,Seqs!A:B,2,FALSE)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372" s="5" t="str">
        <f t="shared" si="126"/>
        <v>SWLTLFVPSVYTGVFVVSLPLNIMAIVVFILK</v>
      </c>
      <c r="G372" s="4" t="str">
        <f t="shared" si="127"/>
        <v>MKVK</v>
      </c>
      <c r="H372" s="4" t="str">
        <f t="shared" si="128"/>
        <v>KPAVVYMLHLATADVLFVSVLPFKISYYFS</v>
      </c>
      <c r="I372" s="4" t="str">
        <f t="shared" si="129"/>
        <v>DWQF</v>
      </c>
      <c r="J372" s="4" t="str">
        <f t="shared" si="130"/>
        <v>GSELCRFVTAAFYCNMYASILLMTVISIDRFLAVVY</v>
      </c>
      <c r="K372" s="4" t="str">
        <f t="shared" si="131"/>
        <v>PMQSLSWR</v>
      </c>
      <c r="L372" s="4" t="str">
        <f t="shared" si="132"/>
        <v>LGRASFTCLAIWALAIAGVVPLLLK</v>
      </c>
      <c r="M372" s="4" t="str">
        <f t="shared" si="133"/>
        <v>CHD</v>
      </c>
      <c r="N372" s="4" t="str">
        <f t="shared" si="134"/>
        <v>EGYYAYYFSAFSAVFFFVPLIISTVCYVSIIRCLSS</v>
      </c>
      <c r="O372" s="4" t="str">
        <f t="shared" si="135"/>
        <v>NRSKKSRALFLSAAVFCIFIICFGPTNVLLIAHYSFL</v>
      </c>
      <c r="P372" s="4" t="str">
        <f t="shared" si="136"/>
        <v>TEAAYFAYLLCVCVSSISCCIDPLIYYYA</v>
      </c>
      <c r="Q372" s="4" t="str">
        <f t="shared" si="137"/>
        <v>SSECQRYVYSILCCK</v>
      </c>
      <c r="R372" s="5">
        <f>VLOOKUP($A372,'NonXtal_SegEnds_Prot#'!$A:$AL,3,FALSE)</f>
        <v>99</v>
      </c>
      <c r="S372" s="5">
        <f>VLOOKUP($A372,'NonXtal_SegEnds_Prot#'!$A:$AL,6,FALSE)</f>
        <v>131</v>
      </c>
      <c r="T372" s="5">
        <f>VLOOKUP($A372,'NonXtal_SegEnds_Prot#'!$A:$AL,9,FALSE)</f>
        <v>135</v>
      </c>
      <c r="U372" s="5">
        <f>VLOOKUP($A372,'NonXtal_SegEnds_Prot#'!$A:$AL,12,FALSE)</f>
        <v>167</v>
      </c>
      <c r="V372" s="5">
        <f>VLOOKUP($A372,'NonXtal_SegEnds_Prot#'!$A:$AL,15,FALSE)</f>
        <v>171</v>
      </c>
      <c r="W372" s="5">
        <f>VLOOKUP($A372,'NonXtal_SegEnds_Prot#'!$A:$AL,18,FALSE)</f>
        <v>207</v>
      </c>
      <c r="X372" s="5">
        <f>VLOOKUP($A372,'NonXtal_SegEnds_Prot#'!$A:$AL,21,FALSE)</f>
        <v>216</v>
      </c>
      <c r="Y372" s="5">
        <f>VLOOKUP($A372,'NonXtal_SegEnds_Prot#'!$A:$AL,24,FALSE)</f>
        <v>254</v>
      </c>
      <c r="Z372" s="5">
        <f>VLOOKUP($A372,'NonXtal_SegEnds_Prot#'!$A:$AL,27,FALSE)</f>
        <v>264</v>
      </c>
      <c r="AA372" s="5">
        <f>VLOOKUP($A372,'NonXtal_SegEnds_Prot#'!$A:$AL,30,FALSE)</f>
        <v>304</v>
      </c>
      <c r="AB372" s="5">
        <f>VLOOKUP($A372,'NonXtal_SegEnds_Prot#'!$A:$AL,33,FALSE)</f>
        <v>346</v>
      </c>
      <c r="AC372" s="5">
        <f>VLOOKUP($A372,'NonXtal_SegEnds_Prot#'!$A:$AL,36,FALSE)</f>
        <v>375</v>
      </c>
      <c r="AD372" s="5">
        <f>VLOOKUP($A372,'NonXtal_SegEnds_Prot#'!$A:$AL,5,FALSE)</f>
        <v>130</v>
      </c>
      <c r="AE372" s="5">
        <f>VLOOKUP($A372,'NonXtal_SegEnds_Prot#'!$A:$AL,8,FALSE)</f>
        <v>134</v>
      </c>
      <c r="AF372" s="5">
        <f>VLOOKUP($A372,'NonXtal_SegEnds_Prot#'!$A:$AL,11,FALSE)</f>
        <v>164</v>
      </c>
      <c r="AG372" s="5">
        <f>VLOOKUP($A372,'NonXtal_SegEnds_Prot#'!$A:$AL,14,FALSE)</f>
        <v>170</v>
      </c>
      <c r="AH372" s="5">
        <f>VLOOKUP($A372,'NonXtal_SegEnds_Prot#'!$A:$AL,17,FALSE)</f>
        <v>206</v>
      </c>
      <c r="AI372" s="5">
        <f>VLOOKUP($A372,'NonXtal_SegEnds_Prot#'!$A:$AL,20,FALSE)</f>
        <v>214</v>
      </c>
      <c r="AJ372" s="5">
        <f>VLOOKUP($A372,'NonXtal_SegEnds_Prot#'!$A:$AL,23,FALSE)</f>
        <v>240</v>
      </c>
      <c r="AK372" s="5">
        <f>VLOOKUP($A372,'NonXtal_SegEnds_Prot#'!$A:$AL,26,FALSE)</f>
        <v>256</v>
      </c>
      <c r="AL372" s="5">
        <f>VLOOKUP($A372,'NonXtal_SegEnds_Prot#'!$A:$AL,29,FALSE)</f>
        <v>299</v>
      </c>
      <c r="AM372" s="5">
        <f>VLOOKUP($A372,'NonXtal_SegEnds_Prot#'!$A:$AL,32,FALSE)</f>
        <v>340</v>
      </c>
      <c r="AN372" s="5">
        <f>VLOOKUP($A372,'NonXtal_SegEnds_Prot#'!$A:$AL,35,FALSE)</f>
        <v>374</v>
      </c>
      <c r="AO372" s="5">
        <f>VLOOKUP($A372,'NonXtal_SegEnds_Prot#'!$A:$AL,38,FALSE)</f>
        <v>389</v>
      </c>
      <c r="AP372" s="5">
        <f t="shared" si="138"/>
        <v>31</v>
      </c>
      <c r="AQ372" s="4">
        <f t="shared" si="139"/>
        <v>3</v>
      </c>
      <c r="AR372" s="4">
        <f t="shared" si="140"/>
        <v>29</v>
      </c>
      <c r="AS372" s="4">
        <f t="shared" si="141"/>
        <v>3</v>
      </c>
      <c r="AT372" s="4">
        <f t="shared" si="142"/>
        <v>35</v>
      </c>
      <c r="AU372" s="4">
        <f t="shared" si="143"/>
        <v>7</v>
      </c>
      <c r="AV372" s="4">
        <f t="shared" si="144"/>
        <v>24</v>
      </c>
      <c r="AW372" s="4">
        <f t="shared" si="145"/>
        <v>2</v>
      </c>
      <c r="AX372" s="4">
        <f t="shared" si="146"/>
        <v>35</v>
      </c>
      <c r="AY372" s="4">
        <f t="shared" si="147"/>
        <v>36</v>
      </c>
      <c r="AZ372" s="4">
        <f t="shared" si="148"/>
        <v>28</v>
      </c>
      <c r="BA372" s="4">
        <f t="shared" si="149"/>
        <v>14</v>
      </c>
    </row>
    <row r="373" spans="1:53" x14ac:dyDescent="0.2">
      <c r="A373" s="1" t="str">
        <f>'NonXtal_SegEnds_Prot#'!A370</f>
        <v>par3_human</v>
      </c>
      <c r="B373" s="1" t="str">
        <f t="shared" si="125"/>
        <v>SLSTKLIPAIYLLVFVVGVPANAVTLWMLFFRICTTVFYTNLAIADFLFCVTLPFKIAYHLNGEVLCRATTVIFYGNMYCSILLLACISINRYLAIVHHTYALVTCGLVWATVFLYMLPFFILQLYYFISLAFFGFLIPFVLIIYCYAAIIRTLNAYWLWYVKASLLILVIFTICFAPSNIILIIHHANYTDGLYFIYLIALCLGSLNSCLDPFLYFLM</v>
      </c>
      <c r="C373" s="72" t="str">
        <f>IF(ISERROR(MATCH(A373,'Xtal_SegEnds_Prot#'!B:B, 0)), "NoXtal", "Xtal")</f>
        <v>NoXtal</v>
      </c>
      <c r="D373" s="4" t="str">
        <f>VLOOKUP(A373,Classification!A:D,2,FALSE)</f>
        <v>A</v>
      </c>
      <c r="E373" s="5" t="str">
        <f>VLOOKUP(A373,Seqs!A:B,2,FALSE)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373" s="5" t="str">
        <f t="shared" si="126"/>
        <v>SLSTKLIPAIYLLVFVVGVPANAVTLWMLFFR</v>
      </c>
      <c r="G373" s="4" t="str">
        <f t="shared" si="127"/>
        <v/>
      </c>
      <c r="H373" s="4" t="str">
        <f t="shared" si="128"/>
        <v>ICTTVFYTNLAIADFLFCVTLPFKIAYHLN</v>
      </c>
      <c r="I373" s="4" t="str">
        <f t="shared" si="129"/>
        <v>NWVF</v>
      </c>
      <c r="J373" s="4" t="str">
        <f t="shared" si="130"/>
        <v>GEVLCRATTVIFYGNMYCSILLLACISINRYLAIVH</v>
      </c>
      <c r="K373" s="4" t="str">
        <f t="shared" si="131"/>
        <v>PFTYRGLP</v>
      </c>
      <c r="L373" s="4" t="str">
        <f t="shared" si="132"/>
        <v>HTYALVTCGLVWATVFLYMLPFFIL</v>
      </c>
      <c r="M373" s="4" t="str">
        <f t="shared" si="133"/>
        <v>CES</v>
      </c>
      <c r="N373" s="4" t="str">
        <f t="shared" si="134"/>
        <v>QLYYFISLAFFGFLIPFVLIIYCYAAIIRTLNAY</v>
      </c>
      <c r="O373" s="4" t="str">
        <f t="shared" si="135"/>
        <v>WLWYVKASLLILVIFTICFAPSNIILIIHHANY</v>
      </c>
      <c r="P373" s="4" t="str">
        <f t="shared" si="136"/>
        <v>TDGLYFIYLIALCLGSLNSCLDPFLYFLM</v>
      </c>
      <c r="Q373" s="4" t="str">
        <f t="shared" si="137"/>
        <v/>
      </c>
      <c r="R373" s="5">
        <f>VLOOKUP($A373,'NonXtal_SegEnds_Prot#'!$A:$AL,3,FALSE)</f>
        <v>91</v>
      </c>
      <c r="S373" s="5" t="str">
        <f>VLOOKUP($A373,'NonXtal_SegEnds_Prot#'!$A:$AL,6,FALSE)</f>
        <v>-</v>
      </c>
      <c r="T373" s="5">
        <f>VLOOKUP($A373,'NonXtal_SegEnds_Prot#'!$A:$AL,9,FALSE)</f>
        <v>126</v>
      </c>
      <c r="U373" s="5">
        <f>VLOOKUP($A373,'NonXtal_SegEnds_Prot#'!$A:$AL,12,FALSE)</f>
        <v>158</v>
      </c>
      <c r="V373" s="5">
        <f>VLOOKUP($A373,'NonXtal_SegEnds_Prot#'!$A:$AL,15,FALSE)</f>
        <v>162</v>
      </c>
      <c r="W373" s="5">
        <f>VLOOKUP($A373,'NonXtal_SegEnds_Prot#'!$A:$AL,18,FALSE)</f>
        <v>198</v>
      </c>
      <c r="X373" s="5">
        <f>VLOOKUP($A373,'NonXtal_SegEnds_Prot#'!$A:$AL,21,FALSE)</f>
        <v>207</v>
      </c>
      <c r="Y373" s="5">
        <f>VLOOKUP($A373,'NonXtal_SegEnds_Prot#'!$A:$AL,24,FALSE)</f>
        <v>252</v>
      </c>
      <c r="Z373" s="5">
        <f>VLOOKUP($A373,'NonXtal_SegEnds_Prot#'!$A:$AL,27,FALSE)</f>
        <v>259</v>
      </c>
      <c r="AA373" s="5">
        <f>VLOOKUP($A373,'NonXtal_SegEnds_Prot#'!$A:$AL,30,FALSE)</f>
        <v>296</v>
      </c>
      <c r="AB373" s="5">
        <f>VLOOKUP($A373,'NonXtal_SegEnds_Prot#'!$A:$AL,33,FALSE)</f>
        <v>333</v>
      </c>
      <c r="AC373" s="5" t="str">
        <f>VLOOKUP($A373,'NonXtal_SegEnds_Prot#'!$A:$AL,36,FALSE)</f>
        <v>-</v>
      </c>
      <c r="AD373" s="5">
        <f>VLOOKUP($A373,'NonXtal_SegEnds_Prot#'!$A:$AL,5,FALSE)</f>
        <v>122</v>
      </c>
      <c r="AE373" s="5" t="str">
        <f>VLOOKUP($A373,'NonXtal_SegEnds_Prot#'!$A:$AL,8,FALSE)</f>
        <v>-</v>
      </c>
      <c r="AF373" s="5">
        <f>VLOOKUP($A373,'NonXtal_SegEnds_Prot#'!$A:$AL,11,FALSE)</f>
        <v>155</v>
      </c>
      <c r="AG373" s="5">
        <f>VLOOKUP($A373,'NonXtal_SegEnds_Prot#'!$A:$AL,14,FALSE)</f>
        <v>161</v>
      </c>
      <c r="AH373" s="5">
        <f>VLOOKUP($A373,'NonXtal_SegEnds_Prot#'!$A:$AL,17,FALSE)</f>
        <v>197</v>
      </c>
      <c r="AI373" s="5">
        <f>VLOOKUP($A373,'NonXtal_SegEnds_Prot#'!$A:$AL,20,FALSE)</f>
        <v>205</v>
      </c>
      <c r="AJ373" s="5">
        <f>VLOOKUP($A373,'NonXtal_SegEnds_Prot#'!$A:$AL,23,FALSE)</f>
        <v>231</v>
      </c>
      <c r="AK373" s="5">
        <f>VLOOKUP($A373,'NonXtal_SegEnds_Prot#'!$A:$AL,26,FALSE)</f>
        <v>254</v>
      </c>
      <c r="AL373" s="5">
        <f>VLOOKUP($A373,'NonXtal_SegEnds_Prot#'!$A:$AL,29,FALSE)</f>
        <v>292</v>
      </c>
      <c r="AM373" s="5">
        <f>VLOOKUP($A373,'NonXtal_SegEnds_Prot#'!$A:$AL,32,FALSE)</f>
        <v>328</v>
      </c>
      <c r="AN373" s="5">
        <f>VLOOKUP($A373,'NonXtal_SegEnds_Prot#'!$A:$AL,35,FALSE)</f>
        <v>361</v>
      </c>
      <c r="AO373" s="5" t="str">
        <f>VLOOKUP($A373,'NonXtal_SegEnds_Prot#'!$A:$AL,38,FALSE)</f>
        <v>-</v>
      </c>
      <c r="AP373" s="5">
        <f t="shared" si="138"/>
        <v>31</v>
      </c>
      <c r="AQ373" s="4" t="str">
        <f t="shared" si="139"/>
        <v>-</v>
      </c>
      <c r="AR373" s="4">
        <f t="shared" si="140"/>
        <v>29</v>
      </c>
      <c r="AS373" s="4">
        <f t="shared" si="141"/>
        <v>3</v>
      </c>
      <c r="AT373" s="4">
        <f t="shared" si="142"/>
        <v>35</v>
      </c>
      <c r="AU373" s="4">
        <f t="shared" si="143"/>
        <v>7</v>
      </c>
      <c r="AV373" s="4">
        <f t="shared" si="144"/>
        <v>24</v>
      </c>
      <c r="AW373" s="4">
        <f t="shared" si="145"/>
        <v>2</v>
      </c>
      <c r="AX373" s="4">
        <f t="shared" si="146"/>
        <v>33</v>
      </c>
      <c r="AY373" s="4">
        <f t="shared" si="147"/>
        <v>32</v>
      </c>
      <c r="AZ373" s="4">
        <f t="shared" si="148"/>
        <v>28</v>
      </c>
      <c r="BA373" s="4" t="str">
        <f t="shared" si="149"/>
        <v>-</v>
      </c>
    </row>
    <row r="374" spans="1:53" x14ac:dyDescent="0.2">
      <c r="A374" s="1" t="str">
        <f>'NonXtal_SegEnds_Prot#'!A371</f>
        <v>par4_human</v>
      </c>
      <c r="B374" s="1" t="str">
        <f t="shared" si="125"/>
        <v>WVPTRLVPALYGLVLVVGLPANGLALWVLATQLPSTMLLMNLAAADLLLALALPPRIAYHLRGEAACRLATAALYGHMYGSVLLLAAVSLDRYLALVHRRLALGLCMAAWLMAAALALPLTLQASHWQPAFTCLALLGCFLPLLAMLLCYGATLHTLAASYGHALRLTAVVLASAVAFFVPSNLLLLLHYSDPWGNLYGAYVPSLALSTLNSCVDPFIYYYVSAEFRDKVRAGLFQR</v>
      </c>
      <c r="C374" s="72" t="str">
        <f>IF(ISERROR(MATCH(A374,'Xtal_SegEnds_Prot#'!B:B, 0)), "NoXtal", "Xtal")</f>
        <v>NoXtal</v>
      </c>
      <c r="D374" s="4" t="str">
        <f>VLOOKUP(A374,Classification!A:D,2,FALSE)</f>
        <v>A</v>
      </c>
      <c r="E374" s="5" t="str">
        <f>VLOOKUP(A374,Seqs!A:B,2,FALSE)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374" s="5" t="str">
        <f t="shared" si="126"/>
        <v>WVPTRLVPALYGLVLVVGLPANGLALWVLATQ</v>
      </c>
      <c r="G374" s="4" t="str">
        <f t="shared" si="127"/>
        <v/>
      </c>
      <c r="H374" s="4" t="str">
        <f t="shared" si="128"/>
        <v>LPSTMLLMNLAAADLLLALALPPRIAYHLR</v>
      </c>
      <c r="I374" s="4" t="str">
        <f t="shared" si="129"/>
        <v>RWPF</v>
      </c>
      <c r="J374" s="4" t="str">
        <f t="shared" si="130"/>
        <v>GEAACRLATAALYGHMYGSVLLLAAVSLDRYLALVH</v>
      </c>
      <c r="K374" s="4" t="str">
        <f t="shared" si="131"/>
        <v>PLRARALR</v>
      </c>
      <c r="L374" s="4" t="str">
        <f t="shared" si="132"/>
        <v>RRLALGLCMAAWLMAAALALPLTLQ</v>
      </c>
      <c r="M374" s="4" t="str">
        <f t="shared" si="133"/>
        <v>CHD</v>
      </c>
      <c r="N374" s="4" t="str">
        <f t="shared" si="134"/>
        <v>ASHWQPAFTCLALLGCFLPLLAMLLCYGATLHTLAAS</v>
      </c>
      <c r="O374" s="4" t="str">
        <f t="shared" si="135"/>
        <v>YGHALRLTAVVLASAVAFFVPSNLLLLLHYSDP</v>
      </c>
      <c r="P374" s="4" t="str">
        <f t="shared" si="136"/>
        <v>WGNLYGAYVPSLALSTLNSCVDPFIYYYV</v>
      </c>
      <c r="Q374" s="4" t="str">
        <f t="shared" si="137"/>
        <v>SAEFRDKVRAGLFQR</v>
      </c>
      <c r="R374" s="5">
        <f>VLOOKUP($A374,'NonXtal_SegEnds_Prot#'!$A:$AL,3,FALSE)</f>
        <v>74</v>
      </c>
      <c r="S374" s="5" t="str">
        <f>VLOOKUP($A374,'NonXtal_SegEnds_Prot#'!$A:$AL,6,FALSE)</f>
        <v>-</v>
      </c>
      <c r="T374" s="5">
        <f>VLOOKUP($A374,'NonXtal_SegEnds_Prot#'!$A:$AL,9,FALSE)</f>
        <v>109</v>
      </c>
      <c r="U374" s="5">
        <f>VLOOKUP($A374,'NonXtal_SegEnds_Prot#'!$A:$AL,12,FALSE)</f>
        <v>141</v>
      </c>
      <c r="V374" s="5">
        <f>VLOOKUP($A374,'NonXtal_SegEnds_Prot#'!$A:$AL,15,FALSE)</f>
        <v>145</v>
      </c>
      <c r="W374" s="5">
        <f>VLOOKUP($A374,'NonXtal_SegEnds_Prot#'!$A:$AL,18,FALSE)</f>
        <v>181</v>
      </c>
      <c r="X374" s="5">
        <f>VLOOKUP($A374,'NonXtal_SegEnds_Prot#'!$A:$AL,21,FALSE)</f>
        <v>190</v>
      </c>
      <c r="Y374" s="5">
        <f>VLOOKUP($A374,'NonXtal_SegEnds_Prot#'!$A:$AL,24,FALSE)</f>
        <v>228</v>
      </c>
      <c r="Z374" s="5">
        <f>VLOOKUP($A374,'NonXtal_SegEnds_Prot#'!$A:$AL,27,FALSE)</f>
        <v>238</v>
      </c>
      <c r="AA374" s="5">
        <f>VLOOKUP($A374,'NonXtal_SegEnds_Prot#'!$A:$AL,30,FALSE)</f>
        <v>278</v>
      </c>
      <c r="AB374" s="5">
        <f>VLOOKUP($A374,'NonXtal_SegEnds_Prot#'!$A:$AL,33,FALSE)</f>
        <v>315</v>
      </c>
      <c r="AC374" s="5">
        <f>VLOOKUP($A374,'NonXtal_SegEnds_Prot#'!$A:$AL,36,FALSE)</f>
        <v>344</v>
      </c>
      <c r="AD374" s="5">
        <f>VLOOKUP($A374,'NonXtal_SegEnds_Prot#'!$A:$AL,5,FALSE)</f>
        <v>105</v>
      </c>
      <c r="AE374" s="5" t="str">
        <f>VLOOKUP($A374,'NonXtal_SegEnds_Prot#'!$A:$AL,8,FALSE)</f>
        <v>-</v>
      </c>
      <c r="AF374" s="5">
        <f>VLOOKUP($A374,'NonXtal_SegEnds_Prot#'!$A:$AL,11,FALSE)</f>
        <v>138</v>
      </c>
      <c r="AG374" s="5">
        <f>VLOOKUP($A374,'NonXtal_SegEnds_Prot#'!$A:$AL,14,FALSE)</f>
        <v>144</v>
      </c>
      <c r="AH374" s="5">
        <f>VLOOKUP($A374,'NonXtal_SegEnds_Prot#'!$A:$AL,17,FALSE)</f>
        <v>180</v>
      </c>
      <c r="AI374" s="5">
        <f>VLOOKUP($A374,'NonXtal_SegEnds_Prot#'!$A:$AL,20,FALSE)</f>
        <v>188</v>
      </c>
      <c r="AJ374" s="5">
        <f>VLOOKUP($A374,'NonXtal_SegEnds_Prot#'!$A:$AL,23,FALSE)</f>
        <v>214</v>
      </c>
      <c r="AK374" s="5">
        <f>VLOOKUP($A374,'NonXtal_SegEnds_Prot#'!$A:$AL,26,FALSE)</f>
        <v>230</v>
      </c>
      <c r="AL374" s="5">
        <f>VLOOKUP($A374,'NonXtal_SegEnds_Prot#'!$A:$AL,29,FALSE)</f>
        <v>274</v>
      </c>
      <c r="AM374" s="5">
        <f>VLOOKUP($A374,'NonXtal_SegEnds_Prot#'!$A:$AL,32,FALSE)</f>
        <v>310</v>
      </c>
      <c r="AN374" s="5">
        <f>VLOOKUP($A374,'NonXtal_SegEnds_Prot#'!$A:$AL,35,FALSE)</f>
        <v>343</v>
      </c>
      <c r="AO374" s="5">
        <f>VLOOKUP($A374,'NonXtal_SegEnds_Prot#'!$A:$AL,38,FALSE)</f>
        <v>358</v>
      </c>
      <c r="AP374" s="5">
        <f t="shared" si="138"/>
        <v>31</v>
      </c>
      <c r="AQ374" s="4" t="str">
        <f t="shared" si="139"/>
        <v>-</v>
      </c>
      <c r="AR374" s="4">
        <f t="shared" si="140"/>
        <v>29</v>
      </c>
      <c r="AS374" s="4">
        <f t="shared" si="141"/>
        <v>3</v>
      </c>
      <c r="AT374" s="4">
        <f t="shared" si="142"/>
        <v>35</v>
      </c>
      <c r="AU374" s="4">
        <f t="shared" si="143"/>
        <v>7</v>
      </c>
      <c r="AV374" s="4">
        <f t="shared" si="144"/>
        <v>24</v>
      </c>
      <c r="AW374" s="4">
        <f t="shared" si="145"/>
        <v>2</v>
      </c>
      <c r="AX374" s="4">
        <f t="shared" si="146"/>
        <v>36</v>
      </c>
      <c r="AY374" s="4">
        <f t="shared" si="147"/>
        <v>32</v>
      </c>
      <c r="AZ374" s="4">
        <f t="shared" si="148"/>
        <v>28</v>
      </c>
      <c r="BA374" s="4">
        <f t="shared" si="149"/>
        <v>14</v>
      </c>
    </row>
    <row r="375" spans="1:53" x14ac:dyDescent="0.2">
      <c r="A375" s="1" t="str">
        <f>'NonXtal_SegEnds_Prot#'!A372</f>
        <v>par2_human</v>
      </c>
      <c r="B375" s="1" t="str">
        <f t="shared" si="125"/>
        <v>KLTTVFLPIVYTIVFVVGLPSNGMALWVFLFRHPAVIYMANLALADLLSVIWFPLKIAYHIHGEALCNVLIGFFYGNMYCSILFMTCLSVQRYWVIVNANIAIGISLAIWLLILLVTIPLYVVVGDMFNYFLSLAIGVFLFPAFLTASAYVLMIRMLRSSKKRKRAIKLIVTVLAMYLICFTPSNLLLVVHYFLIQSHVYALYIVALCLSTLNSCIDPFVYYFVSHDFRDHAKNALLCR</v>
      </c>
      <c r="C375" s="72" t="str">
        <f>IF(ISERROR(MATCH(A375,'Xtal_SegEnds_Prot#'!B:B, 0)), "NoXtal", "Xtal")</f>
        <v>NoXtal</v>
      </c>
      <c r="D375" s="4" t="str">
        <f>VLOOKUP(A375,Classification!A:D,2,FALSE)</f>
        <v>A</v>
      </c>
      <c r="E375" s="5" t="str">
        <f>VLOOKUP(A375,Seqs!A:B,2,FALSE)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375" s="5" t="str">
        <f t="shared" si="126"/>
        <v>KLTTVFLPIVYTIVFVVGLPSNGMALWVFLFR</v>
      </c>
      <c r="G375" s="4" t="str">
        <f t="shared" si="127"/>
        <v>TKKK</v>
      </c>
      <c r="H375" s="4" t="str">
        <f t="shared" si="128"/>
        <v>HPAVIYMANLALADLLSVIWFPLKIAYHIH</v>
      </c>
      <c r="I375" s="4" t="str">
        <f t="shared" si="129"/>
        <v>NWIY</v>
      </c>
      <c r="J375" s="4" t="str">
        <f t="shared" si="130"/>
        <v>GEALCNVLIGFFYGNMYCSILFMTCLSVQRYWVIVN</v>
      </c>
      <c r="K375" s="4" t="str">
        <f t="shared" si="131"/>
        <v>PMGHSRKK</v>
      </c>
      <c r="L375" s="4" t="str">
        <f t="shared" si="132"/>
        <v>ANIAIGISLAIWLLILLVTIPLYVV</v>
      </c>
      <c r="M375" s="4" t="str">
        <f t="shared" si="133"/>
        <v>CHD</v>
      </c>
      <c r="N375" s="4" t="str">
        <f t="shared" si="134"/>
        <v>VGDMFNYFLSLAIGVFLFPAFLTASAYVLMIRMLRSS</v>
      </c>
      <c r="O375" s="4" t="str">
        <f t="shared" si="135"/>
        <v>KKRKRAIKLIVTVLAMYLICFTPSNLLLVVHYFLI</v>
      </c>
      <c r="P375" s="4" t="str">
        <f t="shared" si="136"/>
        <v>QSHVYALYIVALCLSTLNSCIDPFVYYFV</v>
      </c>
      <c r="Q375" s="4" t="str">
        <f t="shared" si="137"/>
        <v>SHDFRDHAKNALLCR</v>
      </c>
      <c r="R375" s="5">
        <f>VLOOKUP($A375,'NonXtal_SegEnds_Prot#'!$A:$AL,3,FALSE)</f>
        <v>72</v>
      </c>
      <c r="S375" s="5">
        <f>VLOOKUP($A375,'NonXtal_SegEnds_Prot#'!$A:$AL,6,FALSE)</f>
        <v>104</v>
      </c>
      <c r="T375" s="5">
        <f>VLOOKUP($A375,'NonXtal_SegEnds_Prot#'!$A:$AL,9,FALSE)</f>
        <v>108</v>
      </c>
      <c r="U375" s="5">
        <f>VLOOKUP($A375,'NonXtal_SegEnds_Prot#'!$A:$AL,12,FALSE)</f>
        <v>140</v>
      </c>
      <c r="V375" s="5">
        <f>VLOOKUP($A375,'NonXtal_SegEnds_Prot#'!$A:$AL,15,FALSE)</f>
        <v>144</v>
      </c>
      <c r="W375" s="5">
        <f>VLOOKUP($A375,'NonXtal_SegEnds_Prot#'!$A:$AL,18,FALSE)</f>
        <v>180</v>
      </c>
      <c r="X375" s="5">
        <f>VLOOKUP($A375,'NonXtal_SegEnds_Prot#'!$A:$AL,21,FALSE)</f>
        <v>188</v>
      </c>
      <c r="Y375" s="5">
        <f>VLOOKUP($A375,'NonXtal_SegEnds_Prot#'!$A:$AL,24,FALSE)</f>
        <v>226</v>
      </c>
      <c r="Z375" s="5">
        <f>VLOOKUP($A375,'NonXtal_SegEnds_Prot#'!$A:$AL,27,FALSE)</f>
        <v>236</v>
      </c>
      <c r="AA375" s="5">
        <f>VLOOKUP($A375,'NonXtal_SegEnds_Prot#'!$A:$AL,30,FALSE)</f>
        <v>280</v>
      </c>
      <c r="AB375" s="5">
        <f>VLOOKUP($A375,'NonXtal_SegEnds_Prot#'!$A:$AL,33,FALSE)</f>
        <v>319</v>
      </c>
      <c r="AC375" s="5">
        <f>VLOOKUP($A375,'NonXtal_SegEnds_Prot#'!$A:$AL,36,FALSE)</f>
        <v>348</v>
      </c>
      <c r="AD375" s="5">
        <f>VLOOKUP($A375,'NonXtal_SegEnds_Prot#'!$A:$AL,5,FALSE)</f>
        <v>103</v>
      </c>
      <c r="AE375" s="5">
        <f>VLOOKUP($A375,'NonXtal_SegEnds_Prot#'!$A:$AL,8,FALSE)</f>
        <v>107</v>
      </c>
      <c r="AF375" s="5">
        <f>VLOOKUP($A375,'NonXtal_SegEnds_Prot#'!$A:$AL,11,FALSE)</f>
        <v>137</v>
      </c>
      <c r="AG375" s="5">
        <f>VLOOKUP($A375,'NonXtal_SegEnds_Prot#'!$A:$AL,14,FALSE)</f>
        <v>143</v>
      </c>
      <c r="AH375" s="5">
        <f>VLOOKUP($A375,'NonXtal_SegEnds_Prot#'!$A:$AL,17,FALSE)</f>
        <v>179</v>
      </c>
      <c r="AI375" s="5">
        <f>VLOOKUP($A375,'NonXtal_SegEnds_Prot#'!$A:$AL,20,FALSE)</f>
        <v>187</v>
      </c>
      <c r="AJ375" s="5">
        <f>VLOOKUP($A375,'NonXtal_SegEnds_Prot#'!$A:$AL,23,FALSE)</f>
        <v>212</v>
      </c>
      <c r="AK375" s="5">
        <f>VLOOKUP($A375,'NonXtal_SegEnds_Prot#'!$A:$AL,26,FALSE)</f>
        <v>228</v>
      </c>
      <c r="AL375" s="5">
        <f>VLOOKUP($A375,'NonXtal_SegEnds_Prot#'!$A:$AL,29,FALSE)</f>
        <v>272</v>
      </c>
      <c r="AM375" s="5">
        <f>VLOOKUP($A375,'NonXtal_SegEnds_Prot#'!$A:$AL,32,FALSE)</f>
        <v>314</v>
      </c>
      <c r="AN375" s="5">
        <f>VLOOKUP($A375,'NonXtal_SegEnds_Prot#'!$A:$AL,35,FALSE)</f>
        <v>347</v>
      </c>
      <c r="AO375" s="5">
        <f>VLOOKUP($A375,'NonXtal_SegEnds_Prot#'!$A:$AL,38,FALSE)</f>
        <v>362</v>
      </c>
      <c r="AP375" s="5">
        <f t="shared" si="138"/>
        <v>31</v>
      </c>
      <c r="AQ375" s="4">
        <f t="shared" si="139"/>
        <v>3</v>
      </c>
      <c r="AR375" s="4">
        <f t="shared" si="140"/>
        <v>29</v>
      </c>
      <c r="AS375" s="4">
        <f t="shared" si="141"/>
        <v>3</v>
      </c>
      <c r="AT375" s="4">
        <f t="shared" si="142"/>
        <v>35</v>
      </c>
      <c r="AU375" s="4">
        <f t="shared" si="143"/>
        <v>7</v>
      </c>
      <c r="AV375" s="4">
        <f t="shared" si="144"/>
        <v>24</v>
      </c>
      <c r="AW375" s="4">
        <f t="shared" si="145"/>
        <v>2</v>
      </c>
      <c r="AX375" s="4">
        <f t="shared" si="146"/>
        <v>36</v>
      </c>
      <c r="AY375" s="4">
        <f t="shared" si="147"/>
        <v>34</v>
      </c>
      <c r="AZ375" s="4">
        <f t="shared" si="148"/>
        <v>28</v>
      </c>
      <c r="BA375" s="4">
        <f t="shared" si="149"/>
        <v>14</v>
      </c>
    </row>
    <row r="376" spans="1:53" x14ac:dyDescent="0.2">
      <c r="A376" s="1" t="str">
        <f>'NonXtal_SegEnds_Prot#'!A373</f>
        <v>p2ry8_human</v>
      </c>
      <c r="B376" s="1" t="str">
        <f t="shared" si="125"/>
        <v>PAIAVALPVVYSLVAAVSIPGNLFSLWVLCRRSPSVIFMINLSVTDLMLASVLPFQIYYHCNGVLLCNVVTVAFYANMYSSILTMTCISVERFLGVLYRRYAVAACAGTWLLLLTALSPLARTVAMWAVFLFTIFILLFLIPFVITVACYTATILKLLRGREQRRRAVGLAAVVLLAFVTCFAPNNFVLLAHIVSGKSYYHVYKLTLCLSCLNNCLDPFVYYFASREFQLRLREYLGCR</v>
      </c>
      <c r="C376" s="72" t="str">
        <f>IF(ISERROR(MATCH(A376,'Xtal_SegEnds_Prot#'!B:B, 0)), "NoXtal", "Xtal")</f>
        <v>NoXtal</v>
      </c>
      <c r="D376" s="4" t="str">
        <f>VLOOKUP(A376,Classification!A:D,2,FALSE)</f>
        <v>A</v>
      </c>
      <c r="E376" s="5" t="str">
        <f>VLOOKUP(A376,Seqs!A:B,2,FALSE)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376" s="5" t="str">
        <f t="shared" si="126"/>
        <v>PAIAVALPVVYSLVAAVSIPGNLFSLWVLCRR</v>
      </c>
      <c r="G376" s="4" t="str">
        <f t="shared" si="127"/>
        <v/>
      </c>
      <c r="H376" s="4" t="str">
        <f t="shared" si="128"/>
        <v>SPSVIFMINLSVTDLMLASVLPFQIYYHCN</v>
      </c>
      <c r="I376" s="4" t="str">
        <f t="shared" si="129"/>
        <v>HWVF</v>
      </c>
      <c r="J376" s="4" t="str">
        <f t="shared" si="130"/>
        <v>GVLLCNVVTVAFYANMYSSILTMTCISVERFLGVLY</v>
      </c>
      <c r="K376" s="4" t="str">
        <f t="shared" si="131"/>
        <v>PLSSKRWR</v>
      </c>
      <c r="L376" s="4" t="str">
        <f t="shared" si="132"/>
        <v>RRYAVAACAGTWLLLLTALSPLART</v>
      </c>
      <c r="M376" s="4" t="str">
        <f t="shared" si="133"/>
        <v>CFD</v>
      </c>
      <c r="N376" s="4" t="str">
        <f t="shared" si="134"/>
        <v>VAMWAVFLFTIFILLFLIPFVITVACYTATILKLLR</v>
      </c>
      <c r="O376" s="4" t="str">
        <f t="shared" si="135"/>
        <v>GREQRRRAVGLAAVVLLAFVTCFAPNNFVLLAHIVS</v>
      </c>
      <c r="P376" s="4" t="str">
        <f t="shared" si="136"/>
        <v>GKSYYHVYKLTLCLSCLNNCLDPFVYYFA</v>
      </c>
      <c r="Q376" s="4" t="str">
        <f t="shared" si="137"/>
        <v>SREFQLRLREYLGCR</v>
      </c>
      <c r="R376" s="5">
        <f>VLOOKUP($A376,'NonXtal_SegEnds_Prot#'!$A:$AL,3,FALSE)</f>
        <v>20</v>
      </c>
      <c r="S376" s="5" t="str">
        <f>VLOOKUP($A376,'NonXtal_SegEnds_Prot#'!$A:$AL,6,FALSE)</f>
        <v>-</v>
      </c>
      <c r="T376" s="5">
        <f>VLOOKUP($A376,'NonXtal_SegEnds_Prot#'!$A:$AL,9,FALSE)</f>
        <v>56</v>
      </c>
      <c r="U376" s="5">
        <f>VLOOKUP($A376,'NonXtal_SegEnds_Prot#'!$A:$AL,12,FALSE)</f>
        <v>88</v>
      </c>
      <c r="V376" s="5">
        <f>VLOOKUP($A376,'NonXtal_SegEnds_Prot#'!$A:$AL,15,FALSE)</f>
        <v>92</v>
      </c>
      <c r="W376" s="5">
        <f>VLOOKUP($A376,'NonXtal_SegEnds_Prot#'!$A:$AL,18,FALSE)</f>
        <v>128</v>
      </c>
      <c r="X376" s="5">
        <f>VLOOKUP($A376,'NonXtal_SegEnds_Prot#'!$A:$AL,21,FALSE)</f>
        <v>137</v>
      </c>
      <c r="Y376" s="5">
        <f>VLOOKUP($A376,'NonXtal_SegEnds_Prot#'!$A:$AL,24,FALSE)</f>
        <v>175</v>
      </c>
      <c r="Z376" s="5">
        <f>VLOOKUP($A376,'NonXtal_SegEnds_Prot#'!$A:$AL,27,FALSE)</f>
        <v>187</v>
      </c>
      <c r="AA376" s="5">
        <f>VLOOKUP($A376,'NonXtal_SegEnds_Prot#'!$A:$AL,30,FALSE)</f>
        <v>228</v>
      </c>
      <c r="AB376" s="5">
        <f>VLOOKUP($A376,'NonXtal_SegEnds_Prot#'!$A:$AL,33,FALSE)</f>
        <v>268</v>
      </c>
      <c r="AC376" s="5">
        <f>VLOOKUP($A376,'NonXtal_SegEnds_Prot#'!$A:$AL,36,FALSE)</f>
        <v>297</v>
      </c>
      <c r="AD376" s="5">
        <f>VLOOKUP($A376,'NonXtal_SegEnds_Prot#'!$A:$AL,5,FALSE)</f>
        <v>51</v>
      </c>
      <c r="AE376" s="5" t="str">
        <f>VLOOKUP($A376,'NonXtal_SegEnds_Prot#'!$A:$AL,8,FALSE)</f>
        <v>-</v>
      </c>
      <c r="AF376" s="5">
        <f>VLOOKUP($A376,'NonXtal_SegEnds_Prot#'!$A:$AL,11,FALSE)</f>
        <v>85</v>
      </c>
      <c r="AG376" s="5">
        <f>VLOOKUP($A376,'NonXtal_SegEnds_Prot#'!$A:$AL,14,FALSE)</f>
        <v>91</v>
      </c>
      <c r="AH376" s="5">
        <f>VLOOKUP($A376,'NonXtal_SegEnds_Prot#'!$A:$AL,17,FALSE)</f>
        <v>127</v>
      </c>
      <c r="AI376" s="5">
        <f>VLOOKUP($A376,'NonXtal_SegEnds_Prot#'!$A:$AL,20,FALSE)</f>
        <v>135</v>
      </c>
      <c r="AJ376" s="5">
        <f>VLOOKUP($A376,'NonXtal_SegEnds_Prot#'!$A:$AL,23,FALSE)</f>
        <v>161</v>
      </c>
      <c r="AK376" s="5">
        <f>VLOOKUP($A376,'NonXtal_SegEnds_Prot#'!$A:$AL,26,FALSE)</f>
        <v>177</v>
      </c>
      <c r="AL376" s="5">
        <f>VLOOKUP($A376,'NonXtal_SegEnds_Prot#'!$A:$AL,29,FALSE)</f>
        <v>222</v>
      </c>
      <c r="AM376" s="5">
        <f>VLOOKUP($A376,'NonXtal_SegEnds_Prot#'!$A:$AL,32,FALSE)</f>
        <v>263</v>
      </c>
      <c r="AN376" s="5">
        <f>VLOOKUP($A376,'NonXtal_SegEnds_Prot#'!$A:$AL,35,FALSE)</f>
        <v>296</v>
      </c>
      <c r="AO376" s="5">
        <f>VLOOKUP($A376,'NonXtal_SegEnds_Prot#'!$A:$AL,38,FALSE)</f>
        <v>311</v>
      </c>
      <c r="AP376" s="5">
        <f t="shared" si="138"/>
        <v>31</v>
      </c>
      <c r="AQ376" s="4" t="str">
        <f t="shared" si="139"/>
        <v>-</v>
      </c>
      <c r="AR376" s="4">
        <f t="shared" si="140"/>
        <v>29</v>
      </c>
      <c r="AS376" s="4">
        <f t="shared" si="141"/>
        <v>3</v>
      </c>
      <c r="AT376" s="4">
        <f t="shared" si="142"/>
        <v>35</v>
      </c>
      <c r="AU376" s="4">
        <f t="shared" si="143"/>
        <v>7</v>
      </c>
      <c r="AV376" s="4">
        <f t="shared" si="144"/>
        <v>24</v>
      </c>
      <c r="AW376" s="4">
        <f t="shared" si="145"/>
        <v>2</v>
      </c>
      <c r="AX376" s="4">
        <f t="shared" si="146"/>
        <v>35</v>
      </c>
      <c r="AY376" s="4">
        <f t="shared" si="147"/>
        <v>35</v>
      </c>
      <c r="AZ376" s="4">
        <f t="shared" si="148"/>
        <v>28</v>
      </c>
      <c r="BA376" s="4">
        <f t="shared" si="149"/>
        <v>14</v>
      </c>
    </row>
    <row r="377" spans="1:53" x14ac:dyDescent="0.2">
      <c r="A377" s="1" t="str">
        <f>'NonXtal_SegEnds_Prot#'!A374</f>
        <v>ffar3_human</v>
      </c>
      <c r="B377" s="1" t="str">
        <f t="shared" si="125"/>
        <v>SGNHWFVFSVYLLTFLVGLPLNLLALVVFVGKVAVDVLLLNLTASDLLLLLFLPFRMVEAANPFILCPLSGFIFFTTIYLTALFLAAVSIERFLSVAHLGQAGLVSVACWLLASAHCSVVYVILAILLPVRLEMAVVLFVVPLIITSYCYSRLVWILGRGQRRVAGLLAATLLNFLVCFGPYNVSHVVGYICAWRIYVTLLSTLNSCVDPFVYYFSSSGFQADFHELLRRL</v>
      </c>
      <c r="C377" s="72" t="str">
        <f>IF(ISERROR(MATCH(A377,'Xtal_SegEnds_Prot#'!B:B, 0)), "NoXtal", "Xtal")</f>
        <v>NoXtal</v>
      </c>
      <c r="D377" s="4" t="str">
        <f>VLOOKUP(A377,Classification!A:D,2,FALSE)</f>
        <v>A</v>
      </c>
      <c r="E377" s="5" t="str">
        <f>VLOOKUP(A377,Seqs!A:B,2,FALSE)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377" s="5" t="str">
        <f t="shared" si="126"/>
        <v>SGNHWFVFSVYLLTFLVGLPLNLLALVVFVGK</v>
      </c>
      <c r="G377" s="4" t="str">
        <f t="shared" si="127"/>
        <v/>
      </c>
      <c r="H377" s="4" t="str">
        <f t="shared" si="128"/>
        <v>VAVDVLLLNLTASDLLLLLFLPFRMVEAAN</v>
      </c>
      <c r="I377" s="4" t="str">
        <f t="shared" si="129"/>
        <v>HWPL</v>
      </c>
      <c r="J377" s="4" t="str">
        <f t="shared" si="130"/>
        <v>PFILCPLSGFIFFTTIYLTALFLAAVSIERFLSVAH</v>
      </c>
      <c r="K377" s="4" t="str">
        <f t="shared" si="131"/>
        <v>PLWYKTRP</v>
      </c>
      <c r="L377" s="4" t="str">
        <f t="shared" si="132"/>
        <v>LGQAGLVSVACWLLASAHCSVVYVI</v>
      </c>
      <c r="M377" s="4" t="str">
        <f t="shared" si="133"/>
        <v>CYL</v>
      </c>
      <c r="N377" s="4" t="str">
        <f t="shared" si="134"/>
        <v>LAILLPVRLEMAVVLFVVPLIITSYCYSRLVWILGRG</v>
      </c>
      <c r="O377" s="4" t="str">
        <f t="shared" si="135"/>
        <v>QRRVAGLLAATLLNFLVCFGPYNVSHVVGYIC</v>
      </c>
      <c r="P377" s="4" t="str">
        <f t="shared" si="136"/>
        <v>AWRIYVTLLSTLNSCVDPFVYYFS</v>
      </c>
      <c r="Q377" s="4" t="str">
        <f t="shared" si="137"/>
        <v>SSGFQADFHELLRRL</v>
      </c>
      <c r="R377" s="5">
        <f>VLOOKUP($A377,'NonXtal_SegEnds_Prot#'!$A:$AL,3,FALSE)</f>
        <v>11</v>
      </c>
      <c r="S377" s="5" t="str">
        <f>VLOOKUP($A377,'NonXtal_SegEnds_Prot#'!$A:$AL,6,FALSE)</f>
        <v>-</v>
      </c>
      <c r="T377" s="5">
        <f>VLOOKUP($A377,'NonXtal_SegEnds_Prot#'!$A:$AL,9,FALSE)</f>
        <v>48</v>
      </c>
      <c r="U377" s="5">
        <f>VLOOKUP($A377,'NonXtal_SegEnds_Prot#'!$A:$AL,12,FALSE)</f>
        <v>80</v>
      </c>
      <c r="V377" s="5">
        <f>VLOOKUP($A377,'NonXtal_SegEnds_Prot#'!$A:$AL,15,FALSE)</f>
        <v>84</v>
      </c>
      <c r="W377" s="5">
        <f>VLOOKUP($A377,'NonXtal_SegEnds_Prot#'!$A:$AL,18,FALSE)</f>
        <v>120</v>
      </c>
      <c r="X377" s="5">
        <f>VLOOKUP($A377,'NonXtal_SegEnds_Prot#'!$A:$AL,21,FALSE)</f>
        <v>129</v>
      </c>
      <c r="Y377" s="5">
        <f>VLOOKUP($A377,'NonXtal_SegEnds_Prot#'!$A:$AL,24,FALSE)</f>
        <v>169</v>
      </c>
      <c r="Z377" s="5">
        <f>VLOOKUP($A377,'NonXtal_SegEnds_Prot#'!$A:$AL,27,FALSE)</f>
        <v>178</v>
      </c>
      <c r="AA377" s="5">
        <f>VLOOKUP($A377,'NonXtal_SegEnds_Prot#'!$A:$AL,30,FALSE)</f>
        <v>220</v>
      </c>
      <c r="AB377" s="5">
        <f>VLOOKUP($A377,'NonXtal_SegEnds_Prot#'!$A:$AL,33,FALSE)</f>
        <v>256</v>
      </c>
      <c r="AC377" s="5">
        <f>VLOOKUP($A377,'NonXtal_SegEnds_Prot#'!$A:$AL,36,FALSE)</f>
        <v>280</v>
      </c>
      <c r="AD377" s="5">
        <f>VLOOKUP($A377,'NonXtal_SegEnds_Prot#'!$A:$AL,5,FALSE)</f>
        <v>42</v>
      </c>
      <c r="AE377" s="5" t="str">
        <f>VLOOKUP($A377,'NonXtal_SegEnds_Prot#'!$A:$AL,8,FALSE)</f>
        <v>-</v>
      </c>
      <c r="AF377" s="5">
        <f>VLOOKUP($A377,'NonXtal_SegEnds_Prot#'!$A:$AL,11,FALSE)</f>
        <v>77</v>
      </c>
      <c r="AG377" s="5">
        <f>VLOOKUP($A377,'NonXtal_SegEnds_Prot#'!$A:$AL,14,FALSE)</f>
        <v>83</v>
      </c>
      <c r="AH377" s="5">
        <f>VLOOKUP($A377,'NonXtal_SegEnds_Prot#'!$A:$AL,17,FALSE)</f>
        <v>119</v>
      </c>
      <c r="AI377" s="5">
        <f>VLOOKUP($A377,'NonXtal_SegEnds_Prot#'!$A:$AL,20,FALSE)</f>
        <v>127</v>
      </c>
      <c r="AJ377" s="5">
        <f>VLOOKUP($A377,'NonXtal_SegEnds_Prot#'!$A:$AL,23,FALSE)</f>
        <v>153</v>
      </c>
      <c r="AK377" s="5">
        <f>VLOOKUP($A377,'NonXtal_SegEnds_Prot#'!$A:$AL,26,FALSE)</f>
        <v>171</v>
      </c>
      <c r="AL377" s="5">
        <f>VLOOKUP($A377,'NonXtal_SegEnds_Prot#'!$A:$AL,29,FALSE)</f>
        <v>214</v>
      </c>
      <c r="AM377" s="5">
        <f>VLOOKUP($A377,'NonXtal_SegEnds_Prot#'!$A:$AL,32,FALSE)</f>
        <v>251</v>
      </c>
      <c r="AN377" s="5">
        <f>VLOOKUP($A377,'NonXtal_SegEnds_Prot#'!$A:$AL,35,FALSE)</f>
        <v>279</v>
      </c>
      <c r="AO377" s="5">
        <f>VLOOKUP($A377,'NonXtal_SegEnds_Prot#'!$A:$AL,38,FALSE)</f>
        <v>294</v>
      </c>
      <c r="AP377" s="5">
        <f t="shared" si="138"/>
        <v>31</v>
      </c>
      <c r="AQ377" s="4" t="str">
        <f t="shared" si="139"/>
        <v>-</v>
      </c>
      <c r="AR377" s="4">
        <f t="shared" si="140"/>
        <v>29</v>
      </c>
      <c r="AS377" s="4">
        <f t="shared" si="141"/>
        <v>3</v>
      </c>
      <c r="AT377" s="4">
        <f t="shared" si="142"/>
        <v>35</v>
      </c>
      <c r="AU377" s="4">
        <f t="shared" si="143"/>
        <v>7</v>
      </c>
      <c r="AV377" s="4">
        <f t="shared" si="144"/>
        <v>24</v>
      </c>
      <c r="AW377" s="4">
        <f t="shared" si="145"/>
        <v>2</v>
      </c>
      <c r="AX377" s="4">
        <f t="shared" si="146"/>
        <v>36</v>
      </c>
      <c r="AY377" s="4">
        <f t="shared" si="147"/>
        <v>31</v>
      </c>
      <c r="AZ377" s="4">
        <f t="shared" si="148"/>
        <v>23</v>
      </c>
      <c r="BA377" s="4">
        <f t="shared" si="149"/>
        <v>14</v>
      </c>
    </row>
    <row r="378" spans="1:53" x14ac:dyDescent="0.2">
      <c r="A378" s="1" t="str">
        <f>'NonXtal_SegEnds_Prot#'!A375</f>
        <v>gpr42_human</v>
      </c>
      <c r="B378" s="1" t="str">
        <f t="shared" si="125"/>
        <v>SGNHWFVFSVYLLTFLVGLPLNLLALVVFVGKVAVDVLLLNLTASDLLLLLFLPFRMVEAANPFILCPLSGFIFFTTIYLTALFLAAVSIERFLSVAHLGQAGLVSVACWLLASAHCSVVYVILAILLPVRLEMAVVLFVVPLIITSYCYSRLVWILGRGQRRVAGLVAATLLNFLVCFGPYNVSHVVGYICVWRIYVTLLSTLNSCVDPFVYYFSSSGFQADFHELLRRL</v>
      </c>
      <c r="C378" s="72" t="str">
        <f>IF(ISERROR(MATCH(A378,'Xtal_SegEnds_Prot#'!B:B, 0)), "NoXtal", "Xtal")</f>
        <v>NoXtal</v>
      </c>
      <c r="D378" s="4" t="str">
        <f>VLOOKUP(A378,Classification!A:D,2,FALSE)</f>
        <v>A</v>
      </c>
      <c r="E378" s="5" t="str">
        <f>VLOOKUP(A378,Seqs!A:B,2,FALSE)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378" s="5" t="str">
        <f t="shared" si="126"/>
        <v>SGNHWFVFSVYLLTFLVGLPLNLLALVVFVGK</v>
      </c>
      <c r="G378" s="4" t="str">
        <f t="shared" si="127"/>
        <v/>
      </c>
      <c r="H378" s="4" t="str">
        <f t="shared" si="128"/>
        <v>VAVDVLLLNLTASDLLLLLFLPFRMVEAAN</v>
      </c>
      <c r="I378" s="4" t="str">
        <f t="shared" si="129"/>
        <v>HWPL</v>
      </c>
      <c r="J378" s="4" t="str">
        <f t="shared" si="130"/>
        <v>PFILCPLSGFIFFTTIYLTALFLAAVSIERFLSVAH</v>
      </c>
      <c r="K378" s="4" t="str">
        <f t="shared" si="131"/>
        <v>PLWYKTRP</v>
      </c>
      <c r="L378" s="4" t="str">
        <f t="shared" si="132"/>
        <v>LGQAGLVSVACWLLASAHCSVVYVI</v>
      </c>
      <c r="M378" s="4" t="str">
        <f t="shared" si="133"/>
        <v>CYL</v>
      </c>
      <c r="N378" s="4" t="str">
        <f t="shared" si="134"/>
        <v>LAILLPVRLEMAVVLFVVPLIITSYCYSRLVWILGRG</v>
      </c>
      <c r="O378" s="4" t="str">
        <f t="shared" si="135"/>
        <v>QRRVAGLVAATLLNFLVCFGPYNVSHVVGYIC</v>
      </c>
      <c r="P378" s="4" t="str">
        <f t="shared" si="136"/>
        <v>VWRIYVTLLSTLNSCVDPFVYYFS</v>
      </c>
      <c r="Q378" s="4" t="str">
        <f t="shared" si="137"/>
        <v>SSGFQADFHELLRRL</v>
      </c>
      <c r="R378" s="5">
        <f>VLOOKUP($A378,'NonXtal_SegEnds_Prot#'!$A:$AL,3,FALSE)</f>
        <v>11</v>
      </c>
      <c r="S378" s="5" t="str">
        <f>VLOOKUP($A378,'NonXtal_SegEnds_Prot#'!$A:$AL,6,FALSE)</f>
        <v>-</v>
      </c>
      <c r="T378" s="5">
        <f>VLOOKUP($A378,'NonXtal_SegEnds_Prot#'!$A:$AL,9,FALSE)</f>
        <v>48</v>
      </c>
      <c r="U378" s="5">
        <f>VLOOKUP($A378,'NonXtal_SegEnds_Prot#'!$A:$AL,12,FALSE)</f>
        <v>80</v>
      </c>
      <c r="V378" s="5">
        <f>VLOOKUP($A378,'NonXtal_SegEnds_Prot#'!$A:$AL,15,FALSE)</f>
        <v>84</v>
      </c>
      <c r="W378" s="5">
        <f>VLOOKUP($A378,'NonXtal_SegEnds_Prot#'!$A:$AL,18,FALSE)</f>
        <v>120</v>
      </c>
      <c r="X378" s="5">
        <f>VLOOKUP($A378,'NonXtal_SegEnds_Prot#'!$A:$AL,21,FALSE)</f>
        <v>129</v>
      </c>
      <c r="Y378" s="5">
        <f>VLOOKUP($A378,'NonXtal_SegEnds_Prot#'!$A:$AL,24,FALSE)</f>
        <v>169</v>
      </c>
      <c r="Z378" s="5">
        <f>VLOOKUP($A378,'NonXtal_SegEnds_Prot#'!$A:$AL,27,FALSE)</f>
        <v>178</v>
      </c>
      <c r="AA378" s="5">
        <f>VLOOKUP($A378,'NonXtal_SegEnds_Prot#'!$A:$AL,30,FALSE)</f>
        <v>220</v>
      </c>
      <c r="AB378" s="5">
        <f>VLOOKUP($A378,'NonXtal_SegEnds_Prot#'!$A:$AL,33,FALSE)</f>
        <v>256</v>
      </c>
      <c r="AC378" s="5">
        <f>VLOOKUP($A378,'NonXtal_SegEnds_Prot#'!$A:$AL,36,FALSE)</f>
        <v>280</v>
      </c>
      <c r="AD378" s="5">
        <f>VLOOKUP($A378,'NonXtal_SegEnds_Prot#'!$A:$AL,5,FALSE)</f>
        <v>42</v>
      </c>
      <c r="AE378" s="5" t="str">
        <f>VLOOKUP($A378,'NonXtal_SegEnds_Prot#'!$A:$AL,8,FALSE)</f>
        <v>-</v>
      </c>
      <c r="AF378" s="5">
        <f>VLOOKUP($A378,'NonXtal_SegEnds_Prot#'!$A:$AL,11,FALSE)</f>
        <v>77</v>
      </c>
      <c r="AG378" s="5">
        <f>VLOOKUP($A378,'NonXtal_SegEnds_Prot#'!$A:$AL,14,FALSE)</f>
        <v>83</v>
      </c>
      <c r="AH378" s="5">
        <f>VLOOKUP($A378,'NonXtal_SegEnds_Prot#'!$A:$AL,17,FALSE)</f>
        <v>119</v>
      </c>
      <c r="AI378" s="5">
        <f>VLOOKUP($A378,'NonXtal_SegEnds_Prot#'!$A:$AL,20,FALSE)</f>
        <v>127</v>
      </c>
      <c r="AJ378" s="5">
        <f>VLOOKUP($A378,'NonXtal_SegEnds_Prot#'!$A:$AL,23,FALSE)</f>
        <v>153</v>
      </c>
      <c r="AK378" s="5">
        <f>VLOOKUP($A378,'NonXtal_SegEnds_Prot#'!$A:$AL,26,FALSE)</f>
        <v>171</v>
      </c>
      <c r="AL378" s="5">
        <f>VLOOKUP($A378,'NonXtal_SegEnds_Prot#'!$A:$AL,29,FALSE)</f>
        <v>214</v>
      </c>
      <c r="AM378" s="5">
        <f>VLOOKUP($A378,'NonXtal_SegEnds_Prot#'!$A:$AL,32,FALSE)</f>
        <v>251</v>
      </c>
      <c r="AN378" s="5">
        <f>VLOOKUP($A378,'NonXtal_SegEnds_Prot#'!$A:$AL,35,FALSE)</f>
        <v>279</v>
      </c>
      <c r="AO378" s="5">
        <f>VLOOKUP($A378,'NonXtal_SegEnds_Prot#'!$A:$AL,38,FALSE)</f>
        <v>294</v>
      </c>
      <c r="AP378" s="5">
        <f t="shared" si="138"/>
        <v>31</v>
      </c>
      <c r="AQ378" s="4" t="str">
        <f t="shared" si="139"/>
        <v>-</v>
      </c>
      <c r="AR378" s="4">
        <f t="shared" si="140"/>
        <v>29</v>
      </c>
      <c r="AS378" s="4">
        <f t="shared" si="141"/>
        <v>3</v>
      </c>
      <c r="AT378" s="4">
        <f t="shared" si="142"/>
        <v>35</v>
      </c>
      <c r="AU378" s="4">
        <f t="shared" si="143"/>
        <v>7</v>
      </c>
      <c r="AV378" s="4">
        <f t="shared" si="144"/>
        <v>24</v>
      </c>
      <c r="AW378" s="4">
        <f t="shared" si="145"/>
        <v>2</v>
      </c>
      <c r="AX378" s="4">
        <f t="shared" si="146"/>
        <v>36</v>
      </c>
      <c r="AY378" s="4">
        <f t="shared" si="147"/>
        <v>31</v>
      </c>
      <c r="AZ378" s="4">
        <f t="shared" si="148"/>
        <v>23</v>
      </c>
      <c r="BA378" s="4">
        <f t="shared" si="149"/>
        <v>14</v>
      </c>
    </row>
    <row r="379" spans="1:53" x14ac:dyDescent="0.2">
      <c r="A379" s="1" t="str">
        <f>'NonXtal_SegEnds_Prot#'!A376</f>
        <v>gpr55_human</v>
      </c>
      <c r="B379" s="1" t="str">
        <f t="shared" si="125"/>
        <v>ELMKTLQFAVHIPTFVLGLLLNLLAIHGFSTFAATSIYMINLAVFDLLLVLSLPFKMVLSQVLCTLVECLYFVSMYGSVFTICFISMDRFLAIRYPRKIFGICCTIWVLVWTGSIPIYSFDTWSAKVFFPLEVFGFLLPMGIMGFCCSRSIHILLGRVQQKACIYSIAASLAVFVVSFLPVHLGFFLQFLVRNSECRAKQSISFFLQLSMCFSNVNCCLDVFCYYFVIKEFRMNIRAHRPSR</v>
      </c>
      <c r="C379" s="72" t="str">
        <f>IF(ISERROR(MATCH(A379,'Xtal_SegEnds_Prot#'!B:B, 0)), "NoXtal", "Xtal")</f>
        <v>NoXtal</v>
      </c>
      <c r="D379" s="4" t="str">
        <f>VLOOKUP(A379,Classification!A:D,2,FALSE)</f>
        <v>A</v>
      </c>
      <c r="E379" s="5" t="str">
        <f>VLOOKUP(A379,Seqs!A:B,2,FALSE)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379" s="5" t="str">
        <f t="shared" si="126"/>
        <v>ELMKTLQFAVHIPTFVLGLLLNLLAIHGFSTF</v>
      </c>
      <c r="G379" s="4" t="str">
        <f t="shared" si="127"/>
        <v/>
      </c>
      <c r="H379" s="4" t="str">
        <f t="shared" si="128"/>
        <v>AATSIYMINLAVFDLLLVLSLPFKMVLSQV</v>
      </c>
      <c r="I379" s="4" t="str">
        <f t="shared" si="129"/>
        <v/>
      </c>
      <c r="J379" s="4" t="str">
        <f t="shared" si="130"/>
        <v>LCTLVECLYFVSMYGSVFTICFISMDRFLAIRY</v>
      </c>
      <c r="K379" s="4" t="str">
        <f t="shared" si="131"/>
        <v>PLLVSHLR</v>
      </c>
      <c r="L379" s="4" t="str">
        <f t="shared" si="132"/>
        <v>PRKIFGICCTIWVLVWTGSIPIYSF</v>
      </c>
      <c r="M379" s="4" t="str">
        <f t="shared" si="133"/>
        <v>CFH</v>
      </c>
      <c r="N379" s="4" t="str">
        <f t="shared" si="134"/>
        <v>DTWSAKVFFPLEVFGFLLPMGIMGFCCSRSIHILLGR</v>
      </c>
      <c r="O379" s="4" t="str">
        <f t="shared" si="135"/>
        <v>VQQKACIYSIAASLAVFVVSFLPVHLGFFLQFLVRNS</v>
      </c>
      <c r="P379" s="4" t="str">
        <f t="shared" si="136"/>
        <v>ECRAKQSISFFLQLSMCFSNVNCCLDVFCYYFV</v>
      </c>
      <c r="Q379" s="4" t="str">
        <f t="shared" si="137"/>
        <v>IKEFRMNIRAHRPSR</v>
      </c>
      <c r="R379" s="5">
        <f>VLOOKUP($A379,'NonXtal_SegEnds_Prot#'!$A:$AL,3,FALSE)</f>
        <v>17</v>
      </c>
      <c r="S379" s="5" t="str">
        <f>VLOOKUP($A379,'NonXtal_SegEnds_Prot#'!$A:$AL,6,FALSE)</f>
        <v>-</v>
      </c>
      <c r="T379" s="5">
        <f>VLOOKUP($A379,'NonXtal_SegEnds_Prot#'!$A:$AL,9,FALSE)</f>
        <v>57</v>
      </c>
      <c r="U379" s="5" t="str">
        <f>VLOOKUP($A379,'NonXtal_SegEnds_Prot#'!$A:$AL,12,FALSE)</f>
        <v>-</v>
      </c>
      <c r="V379" s="5">
        <f>VLOOKUP($A379,'NonXtal_SegEnds_Prot#'!$A:$AL,15,FALSE)</f>
        <v>93</v>
      </c>
      <c r="W379" s="5">
        <f>VLOOKUP($A379,'NonXtal_SegEnds_Prot#'!$A:$AL,18,FALSE)</f>
        <v>126</v>
      </c>
      <c r="X379" s="5">
        <f>VLOOKUP($A379,'NonXtal_SegEnds_Prot#'!$A:$AL,21,FALSE)</f>
        <v>135</v>
      </c>
      <c r="Y379" s="5">
        <f>VLOOKUP($A379,'NonXtal_SegEnds_Prot#'!$A:$AL,24,FALSE)</f>
        <v>168</v>
      </c>
      <c r="Z379" s="5">
        <f>VLOOKUP($A379,'NonXtal_SegEnds_Prot#'!$A:$AL,27,FALSE)</f>
        <v>175</v>
      </c>
      <c r="AA379" s="5">
        <f>VLOOKUP($A379,'NonXtal_SegEnds_Prot#'!$A:$AL,30,FALSE)</f>
        <v>219</v>
      </c>
      <c r="AB379" s="5">
        <f>VLOOKUP($A379,'NonXtal_SegEnds_Prot#'!$A:$AL,33,FALSE)</f>
        <v>259</v>
      </c>
      <c r="AC379" s="5">
        <f>VLOOKUP($A379,'NonXtal_SegEnds_Prot#'!$A:$AL,36,FALSE)</f>
        <v>292</v>
      </c>
      <c r="AD379" s="5">
        <f>VLOOKUP($A379,'NonXtal_SegEnds_Prot#'!$A:$AL,5,FALSE)</f>
        <v>48</v>
      </c>
      <c r="AE379" s="5" t="str">
        <f>VLOOKUP($A379,'NonXtal_SegEnds_Prot#'!$A:$AL,8,FALSE)</f>
        <v>-</v>
      </c>
      <c r="AF379" s="5">
        <f>VLOOKUP($A379,'NonXtal_SegEnds_Prot#'!$A:$AL,11,FALSE)</f>
        <v>86</v>
      </c>
      <c r="AG379" s="5" t="str">
        <f>VLOOKUP($A379,'NonXtal_SegEnds_Prot#'!$A:$AL,14,FALSE)</f>
        <v>-</v>
      </c>
      <c r="AH379" s="5">
        <f>VLOOKUP($A379,'NonXtal_SegEnds_Prot#'!$A:$AL,17,FALSE)</f>
        <v>125</v>
      </c>
      <c r="AI379" s="5">
        <f>VLOOKUP($A379,'NonXtal_SegEnds_Prot#'!$A:$AL,20,FALSE)</f>
        <v>133</v>
      </c>
      <c r="AJ379" s="5">
        <f>VLOOKUP($A379,'NonXtal_SegEnds_Prot#'!$A:$AL,23,FALSE)</f>
        <v>159</v>
      </c>
      <c r="AK379" s="5">
        <f>VLOOKUP($A379,'NonXtal_SegEnds_Prot#'!$A:$AL,26,FALSE)</f>
        <v>170</v>
      </c>
      <c r="AL379" s="5">
        <f>VLOOKUP($A379,'NonXtal_SegEnds_Prot#'!$A:$AL,29,FALSE)</f>
        <v>211</v>
      </c>
      <c r="AM379" s="5">
        <f>VLOOKUP($A379,'NonXtal_SegEnds_Prot#'!$A:$AL,32,FALSE)</f>
        <v>255</v>
      </c>
      <c r="AN379" s="5">
        <f>VLOOKUP($A379,'NonXtal_SegEnds_Prot#'!$A:$AL,35,FALSE)</f>
        <v>291</v>
      </c>
      <c r="AO379" s="5">
        <f>VLOOKUP($A379,'NonXtal_SegEnds_Prot#'!$A:$AL,38,FALSE)</f>
        <v>306</v>
      </c>
      <c r="AP379" s="5">
        <f t="shared" si="138"/>
        <v>31</v>
      </c>
      <c r="AQ379" s="4" t="str">
        <f t="shared" si="139"/>
        <v>-</v>
      </c>
      <c r="AR379" s="4">
        <f t="shared" si="140"/>
        <v>29</v>
      </c>
      <c r="AS379" s="4" t="str">
        <f t="shared" si="141"/>
        <v>-</v>
      </c>
      <c r="AT379" s="4">
        <f t="shared" si="142"/>
        <v>32</v>
      </c>
      <c r="AU379" s="4">
        <f t="shared" si="143"/>
        <v>7</v>
      </c>
      <c r="AV379" s="4">
        <f t="shared" si="144"/>
        <v>24</v>
      </c>
      <c r="AW379" s="4">
        <f t="shared" si="145"/>
        <v>2</v>
      </c>
      <c r="AX379" s="4">
        <f t="shared" si="146"/>
        <v>36</v>
      </c>
      <c r="AY379" s="4">
        <f t="shared" si="147"/>
        <v>36</v>
      </c>
      <c r="AZ379" s="4">
        <f t="shared" si="148"/>
        <v>32</v>
      </c>
      <c r="BA379" s="4">
        <f t="shared" si="149"/>
        <v>14</v>
      </c>
    </row>
    <row r="380" spans="1:53" x14ac:dyDescent="0.2">
      <c r="A380" s="1" t="str">
        <f>'NonXtal_SegEnds_Prot#'!A378</f>
        <v>acthr_human</v>
      </c>
      <c r="B380" s="1" t="str">
        <f t="shared" si="125"/>
        <v>CPRVVLPEEIFFTISIVGVLENLIVLLAVFKNAPMYFFICSLAISDMLGSLYKILENILIILRGSFETTADDIIDSLFVLSLLGSIFSLSVIAADRYITIFHMRRTVVVLTVIWTFCTGTGITMVIFHVPTVITFTSLFPLMLVFILCLYVHMFLLARSHRANMKGAITLTILLGVFIFCWAPFVLHVLLMTFCCACYMSLFQVNGMLIMCNAVIDPFIYAFRSPELRDAFKKMIF</v>
      </c>
      <c r="C380" s="72" t="str">
        <f>IF(ISERROR(MATCH(A380,'Xtal_SegEnds_Prot#'!B:B, 0)), "NoXtal", "Xtal")</f>
        <v>NoXtal</v>
      </c>
      <c r="D380" s="4" t="str">
        <f>VLOOKUP(A380,Classification!A:D,2,FALSE)</f>
        <v>A</v>
      </c>
      <c r="E380" s="5" t="str">
        <f>VLOOKUP(A380,Seqs!A:B,2,FALSE)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380" s="5" t="str">
        <f t="shared" si="126"/>
        <v>CPRVVLPEEIFFTISIVGVLENLIVLLAVFKN</v>
      </c>
      <c r="G380" s="4" t="str">
        <f t="shared" si="127"/>
        <v>KNLQ</v>
      </c>
      <c r="H380" s="4" t="str">
        <f t="shared" si="128"/>
        <v>APMYFFICSLAISDMLGSLYKILENILIILR</v>
      </c>
      <c r="I380" s="4" t="str">
        <f t="shared" si="129"/>
        <v/>
      </c>
      <c r="J380" s="4" t="str">
        <f t="shared" si="130"/>
        <v>GSFETTADDIIDSLFVLSLLGSIFSLSVIAADRYITIFH</v>
      </c>
      <c r="K380" s="4" t="str">
        <f t="shared" si="131"/>
        <v>ALRYHSIV</v>
      </c>
      <c r="L380" s="4" t="str">
        <f t="shared" si="132"/>
        <v>MRRTVVVLTVIWTFCTGTGITMVIF</v>
      </c>
      <c r="M380" s="4" t="str">
        <f t="shared" si="133"/>
        <v/>
      </c>
      <c r="N380" s="4" t="str">
        <f t="shared" si="134"/>
        <v>HVPTVITFTSLFPLMLVFILCLYVHMFLLARSH</v>
      </c>
      <c r="O380" s="4" t="str">
        <f t="shared" si="135"/>
        <v>RANMKGAITLTILLGVFIFCWAPFVLHVLLMTFC</v>
      </c>
      <c r="P380" s="4" t="str">
        <f t="shared" si="136"/>
        <v>CACYMSLFQVNGMLIMCNAVIDPFIYAFR</v>
      </c>
      <c r="Q380" s="4" t="str">
        <f t="shared" si="137"/>
        <v>SPELRDAFKKMIF</v>
      </c>
      <c r="R380" s="5">
        <f>VLOOKUP($A380,'NonXtal_SegEnds_Prot#'!$A:$AL,3,FALSE)</f>
        <v>21</v>
      </c>
      <c r="S380" s="5">
        <f>VLOOKUP($A380,'NonXtal_SegEnds_Prot#'!$A:$AL,6,FALSE)</f>
        <v>53</v>
      </c>
      <c r="T380" s="5">
        <f>VLOOKUP($A380,'NonXtal_SegEnds_Prot#'!$A:$AL,9,FALSE)</f>
        <v>57</v>
      </c>
      <c r="U380" s="5" t="str">
        <f>VLOOKUP($A380,'NonXtal_SegEnds_Prot#'!$A:$AL,12,FALSE)</f>
        <v>-</v>
      </c>
      <c r="V380" s="5">
        <f>VLOOKUP($A380,'NonXtal_SegEnds_Prot#'!$A:$AL,15,FALSE)</f>
        <v>96</v>
      </c>
      <c r="W380" s="5">
        <f>VLOOKUP($A380,'NonXtal_SegEnds_Prot#'!$A:$AL,18,FALSE)</f>
        <v>135</v>
      </c>
      <c r="X380" s="5">
        <f>VLOOKUP($A380,'NonXtal_SegEnds_Prot#'!$A:$AL,21,FALSE)</f>
        <v>144</v>
      </c>
      <c r="Y380" s="5" t="str">
        <f>VLOOKUP($A380,'NonXtal_SegEnds_Prot#'!$A:$AL,24,FALSE)</f>
        <v>-</v>
      </c>
      <c r="Z380" s="5">
        <f>VLOOKUP($A380,'NonXtal_SegEnds_Prot#'!$A:$AL,27,FALSE)</f>
        <v>171</v>
      </c>
      <c r="AA380" s="5">
        <f>VLOOKUP($A380,'NonXtal_SegEnds_Prot#'!$A:$AL,30,FALSE)</f>
        <v>212</v>
      </c>
      <c r="AB380" s="5">
        <f>VLOOKUP($A380,'NonXtal_SegEnds_Prot#'!$A:$AL,33,FALSE)</f>
        <v>251</v>
      </c>
      <c r="AC380" s="5">
        <f>VLOOKUP($A380,'NonXtal_SegEnds_Prot#'!$A:$AL,36,FALSE)</f>
        <v>280</v>
      </c>
      <c r="AD380" s="5">
        <f>VLOOKUP($A380,'NonXtal_SegEnds_Prot#'!$A:$AL,5,FALSE)</f>
        <v>52</v>
      </c>
      <c r="AE380" s="5">
        <f>VLOOKUP($A380,'NonXtal_SegEnds_Prot#'!$A:$AL,8,FALSE)</f>
        <v>56</v>
      </c>
      <c r="AF380" s="5">
        <f>VLOOKUP($A380,'NonXtal_SegEnds_Prot#'!$A:$AL,11,FALSE)</f>
        <v>87</v>
      </c>
      <c r="AG380" s="5" t="str">
        <f>VLOOKUP($A380,'NonXtal_SegEnds_Prot#'!$A:$AL,14,FALSE)</f>
        <v>-</v>
      </c>
      <c r="AH380" s="5">
        <f>VLOOKUP($A380,'NonXtal_SegEnds_Prot#'!$A:$AL,17,FALSE)</f>
        <v>134</v>
      </c>
      <c r="AI380" s="5">
        <f>VLOOKUP($A380,'NonXtal_SegEnds_Prot#'!$A:$AL,20,FALSE)</f>
        <v>142</v>
      </c>
      <c r="AJ380" s="5">
        <f>VLOOKUP($A380,'NonXtal_SegEnds_Prot#'!$A:$AL,23,FALSE)</f>
        <v>168</v>
      </c>
      <c r="AK380" s="5" t="str">
        <f>VLOOKUP($A380,'NonXtal_SegEnds_Prot#'!$A:$AL,26,FALSE)</f>
        <v>-</v>
      </c>
      <c r="AL380" s="5">
        <f>VLOOKUP($A380,'NonXtal_SegEnds_Prot#'!$A:$AL,29,FALSE)</f>
        <v>203</v>
      </c>
      <c r="AM380" s="5">
        <f>VLOOKUP($A380,'NonXtal_SegEnds_Prot#'!$A:$AL,32,FALSE)</f>
        <v>245</v>
      </c>
      <c r="AN380" s="5">
        <f>VLOOKUP($A380,'NonXtal_SegEnds_Prot#'!$A:$AL,35,FALSE)</f>
        <v>279</v>
      </c>
      <c r="AO380" s="5">
        <f>VLOOKUP($A380,'NonXtal_SegEnds_Prot#'!$A:$AL,38,FALSE)</f>
        <v>292</v>
      </c>
      <c r="AP380" s="5">
        <f t="shared" si="138"/>
        <v>31</v>
      </c>
      <c r="AQ380" s="4">
        <f t="shared" si="139"/>
        <v>3</v>
      </c>
      <c r="AR380" s="4">
        <f t="shared" si="140"/>
        <v>30</v>
      </c>
      <c r="AS380" s="4" t="str">
        <f t="shared" si="141"/>
        <v>-</v>
      </c>
      <c r="AT380" s="4">
        <f t="shared" si="142"/>
        <v>38</v>
      </c>
      <c r="AU380" s="4">
        <f t="shared" si="143"/>
        <v>7</v>
      </c>
      <c r="AV380" s="4">
        <f t="shared" si="144"/>
        <v>24</v>
      </c>
      <c r="AW380" s="4" t="str">
        <f t="shared" si="145"/>
        <v>-</v>
      </c>
      <c r="AX380" s="4">
        <f t="shared" si="146"/>
        <v>32</v>
      </c>
      <c r="AY380" s="4">
        <f t="shared" si="147"/>
        <v>33</v>
      </c>
      <c r="AZ380" s="4">
        <f t="shared" si="148"/>
        <v>28</v>
      </c>
      <c r="BA380" s="4">
        <f t="shared" si="149"/>
        <v>12</v>
      </c>
    </row>
    <row r="381" spans="1:53" x14ac:dyDescent="0.2">
      <c r="A381" s="1" t="str">
        <f>'NonXtal_SegEnds_Prot#'!A377</f>
        <v>gpr35_human</v>
      </c>
      <c r="B381" s="1" t="str">
        <f t="shared" si="125"/>
        <v>PAIKLGFYAYLGVLLVLGLLLNSLALWVFCCRTETRIYMTNLAVADLCLLCTLPFVLHSLRDLCQLSQGIYLTNRYMSISLVTAIAVDRYVAVRHPRQAAAVCAVLWVLVIGSLVARWLLHNFNSMAFPLLGFYLPLAVVVFCSLKVVTALAQREATRKAARMVWANLLVFVVCFLPLHVGLTVRLAVLETIRRALYITSKLSDANCCLDAICYYYMAKEFQEASALAVAPS</v>
      </c>
      <c r="C381" s="72" t="str">
        <f>IF(ISERROR(MATCH(A381,'Xtal_SegEnds_Prot#'!B:B, 0)), "NoXtal", "Xtal")</f>
        <v>NoXtal</v>
      </c>
      <c r="D381" s="4" t="str">
        <f>VLOOKUP(A381,Classification!A:D,2,FALSE)</f>
        <v>A</v>
      </c>
      <c r="E381" s="5" t="str">
        <f>VLOOKUP(A381,Seqs!A:B,2,FALSE)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381" s="5" t="str">
        <f t="shared" si="126"/>
        <v>PAIKLGFYAYLGVLLVLGLLLNSLALWVFCCR</v>
      </c>
      <c r="G381" s="4" t="str">
        <f t="shared" si="127"/>
        <v>MQQW</v>
      </c>
      <c r="H381" s="4" t="str">
        <f t="shared" si="128"/>
        <v>TETRIYMTNLAVADLCLLCTLPFVLHSLRD</v>
      </c>
      <c r="I381" s="4" t="str">
        <f t="shared" si="129"/>
        <v/>
      </c>
      <c r="J381" s="4" t="str">
        <f t="shared" si="130"/>
        <v>LCQLSQGIYLTNRYMSISLVTAIAVDRYVAVRH</v>
      </c>
      <c r="K381" s="4" t="str">
        <f t="shared" si="131"/>
        <v>PLRARGLR</v>
      </c>
      <c r="L381" s="4" t="str">
        <f t="shared" si="132"/>
        <v>PRQAAAVCAVLWVLVIGSLVARWLL</v>
      </c>
      <c r="M381" s="4" t="str">
        <f t="shared" si="133"/>
        <v>CFR</v>
      </c>
      <c r="N381" s="4" t="str">
        <f t="shared" si="134"/>
        <v>HNFNSMAFPLLGFYLPLAVVVFCSLKVVTALAQR</v>
      </c>
      <c r="O381" s="4" t="str">
        <f t="shared" si="135"/>
        <v>EATRKAARMVWANLLVFVVCFLPLHVGLTVRLAV</v>
      </c>
      <c r="P381" s="4" t="str">
        <f t="shared" si="136"/>
        <v>LETIRRALYITSKLSDANCCLDAICYYYM</v>
      </c>
      <c r="Q381" s="4" t="str">
        <f t="shared" si="137"/>
        <v>AKEFQEASALAVAPS</v>
      </c>
      <c r="R381" s="5">
        <f>VLOOKUP($A381,'NonXtal_SegEnds_Prot#'!$A:$AL,3,FALSE)</f>
        <v>17</v>
      </c>
      <c r="S381" s="5">
        <f>VLOOKUP($A381,'NonXtal_SegEnds_Prot#'!$A:$AL,6,FALSE)</f>
        <v>49</v>
      </c>
      <c r="T381" s="5">
        <f>VLOOKUP($A381,'NonXtal_SegEnds_Prot#'!$A:$AL,9,FALSE)</f>
        <v>53</v>
      </c>
      <c r="U381" s="5" t="str">
        <f>VLOOKUP($A381,'NonXtal_SegEnds_Prot#'!$A:$AL,12,FALSE)</f>
        <v>-</v>
      </c>
      <c r="V381" s="5">
        <f>VLOOKUP($A381,'NonXtal_SegEnds_Prot#'!$A:$AL,15,FALSE)</f>
        <v>88</v>
      </c>
      <c r="W381" s="5">
        <f>VLOOKUP($A381,'NonXtal_SegEnds_Prot#'!$A:$AL,18,FALSE)</f>
        <v>121</v>
      </c>
      <c r="X381" s="5">
        <f>VLOOKUP($A381,'NonXtal_SegEnds_Prot#'!$A:$AL,21,FALSE)</f>
        <v>130</v>
      </c>
      <c r="Y381" s="5">
        <f>VLOOKUP($A381,'NonXtal_SegEnds_Prot#'!$A:$AL,24,FALSE)</f>
        <v>162</v>
      </c>
      <c r="Z381" s="5">
        <f>VLOOKUP($A381,'NonXtal_SegEnds_Prot#'!$A:$AL,27,FALSE)</f>
        <v>168</v>
      </c>
      <c r="AA381" s="5">
        <f>VLOOKUP($A381,'NonXtal_SegEnds_Prot#'!$A:$AL,30,FALSE)</f>
        <v>210</v>
      </c>
      <c r="AB381" s="5">
        <f>VLOOKUP($A381,'NonXtal_SegEnds_Prot#'!$A:$AL,33,FALSE)</f>
        <v>251</v>
      </c>
      <c r="AC381" s="5">
        <f>VLOOKUP($A381,'NonXtal_SegEnds_Prot#'!$A:$AL,36,FALSE)</f>
        <v>280</v>
      </c>
      <c r="AD381" s="5">
        <f>VLOOKUP($A381,'NonXtal_SegEnds_Prot#'!$A:$AL,5,FALSE)</f>
        <v>48</v>
      </c>
      <c r="AE381" s="5">
        <f>VLOOKUP($A381,'NonXtal_SegEnds_Prot#'!$A:$AL,8,FALSE)</f>
        <v>52</v>
      </c>
      <c r="AF381" s="5">
        <f>VLOOKUP($A381,'NonXtal_SegEnds_Prot#'!$A:$AL,11,FALSE)</f>
        <v>82</v>
      </c>
      <c r="AG381" s="5" t="str">
        <f>VLOOKUP($A381,'NonXtal_SegEnds_Prot#'!$A:$AL,14,FALSE)</f>
        <v>-</v>
      </c>
      <c r="AH381" s="5">
        <f>VLOOKUP($A381,'NonXtal_SegEnds_Prot#'!$A:$AL,17,FALSE)</f>
        <v>120</v>
      </c>
      <c r="AI381" s="5">
        <f>VLOOKUP($A381,'NonXtal_SegEnds_Prot#'!$A:$AL,20,FALSE)</f>
        <v>128</v>
      </c>
      <c r="AJ381" s="5">
        <f>VLOOKUP($A381,'NonXtal_SegEnds_Prot#'!$A:$AL,23,FALSE)</f>
        <v>154</v>
      </c>
      <c r="AK381" s="5">
        <f>VLOOKUP($A381,'NonXtal_SegEnds_Prot#'!$A:$AL,26,FALSE)</f>
        <v>164</v>
      </c>
      <c r="AL381" s="5">
        <f>VLOOKUP($A381,'NonXtal_SegEnds_Prot#'!$A:$AL,29,FALSE)</f>
        <v>201</v>
      </c>
      <c r="AM381" s="5">
        <f>VLOOKUP($A381,'NonXtal_SegEnds_Prot#'!$A:$AL,32,FALSE)</f>
        <v>243</v>
      </c>
      <c r="AN381" s="5">
        <f>VLOOKUP($A381,'NonXtal_SegEnds_Prot#'!$A:$AL,35,FALSE)</f>
        <v>279</v>
      </c>
      <c r="AO381" s="5">
        <f>VLOOKUP($A381,'NonXtal_SegEnds_Prot#'!$A:$AL,38,FALSE)</f>
        <v>294</v>
      </c>
      <c r="AP381" s="5">
        <f t="shared" si="138"/>
        <v>31</v>
      </c>
      <c r="AQ381" s="4">
        <f t="shared" si="139"/>
        <v>3</v>
      </c>
      <c r="AR381" s="4">
        <f t="shared" si="140"/>
        <v>29</v>
      </c>
      <c r="AS381" s="4" t="str">
        <f t="shared" si="141"/>
        <v>-</v>
      </c>
      <c r="AT381" s="4">
        <f t="shared" si="142"/>
        <v>32</v>
      </c>
      <c r="AU381" s="4">
        <f t="shared" si="143"/>
        <v>7</v>
      </c>
      <c r="AV381" s="4">
        <f t="shared" si="144"/>
        <v>24</v>
      </c>
      <c r="AW381" s="4">
        <f t="shared" si="145"/>
        <v>2</v>
      </c>
      <c r="AX381" s="4">
        <f t="shared" si="146"/>
        <v>33</v>
      </c>
      <c r="AY381" s="4">
        <f t="shared" si="147"/>
        <v>33</v>
      </c>
      <c r="AZ381" s="4">
        <f t="shared" si="148"/>
        <v>28</v>
      </c>
      <c r="BA381" s="4">
        <f t="shared" si="149"/>
        <v>14</v>
      </c>
    </row>
    <row r="382" spans="1:53" x14ac:dyDescent="0.2">
      <c r="A382" s="1" t="str">
        <f>'NonXtal_SegEnds_Prot#'!A380</f>
        <v>gpr12_human</v>
      </c>
      <c r="B382" s="1" t="str">
        <f t="shared" si="125"/>
        <v>ELVVNPWDIVLCTSGTLISCENAIVVLIIFHNAPMFLLIGSLALADLLAGIGLITNFVQSEATKLVTIGLIVASFSASVCSLLAITVDRYLSLYYVTFTYVMLVMLWGTSICLGLLPVMGTKNNAAILSVSFLFMFALMLQLYIQICKIVMRHAHQIALATSHYVTTRKGVSTLAIILGTFAACWMPFTLYSLIADYTYTYATLLPATYNSIINPVIYAFRNQEIQKALCLICC</v>
      </c>
      <c r="C382" s="72" t="str">
        <f>IF(ISERROR(MATCH(A382,'Xtal_SegEnds_Prot#'!B:B, 0)), "NoXtal", "Xtal")</f>
        <v>NoXtal</v>
      </c>
      <c r="D382" s="4" t="str">
        <f>VLOOKUP(A382,Classification!A:D,2,FALSE)</f>
        <v>A</v>
      </c>
      <c r="E382" s="5" t="str">
        <f>VLOOKUP(A382,Seqs!A:B,2,FALSE)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382" s="5" t="str">
        <f t="shared" si="126"/>
        <v>ELVVNPWDIVLCTSGTLISCENAIVVLIIFHN</v>
      </c>
      <c r="G382" s="4" t="str">
        <f t="shared" si="127"/>
        <v/>
      </c>
      <c r="H382" s="4" t="str">
        <f t="shared" si="128"/>
        <v>APMFLLIGSLALADLLAGIGLITNFV</v>
      </c>
      <c r="I382" s="4" t="str">
        <f t="shared" si="129"/>
        <v>AYLL</v>
      </c>
      <c r="J382" s="4" t="str">
        <f t="shared" si="130"/>
        <v>QSEATKLVTIGLIVASFSASVCSLLAITVDRYLSLYY</v>
      </c>
      <c r="K382" s="4" t="str">
        <f t="shared" si="131"/>
        <v>ALTYHSER</v>
      </c>
      <c r="L382" s="4" t="str">
        <f t="shared" si="132"/>
        <v>VTFTYVMLVMLWGTSICLGLLPVMG</v>
      </c>
      <c r="M382" s="4" t="str">
        <f t="shared" si="133"/>
        <v/>
      </c>
      <c r="N382" s="4" t="str">
        <f t="shared" si="134"/>
        <v>TKNNAAILSVSFLFMFALMLQLYIQICKIVMRHAHQIA</v>
      </c>
      <c r="O382" s="4" t="str">
        <f t="shared" si="135"/>
        <v>LATSHYVTTRKGVSTLAIILGTFAACWMPFTLYSLIADYT</v>
      </c>
      <c r="P382" s="4" t="str">
        <f t="shared" si="136"/>
        <v>YTYATLLPATYNSIINPVIYAFR</v>
      </c>
      <c r="Q382" s="4" t="str">
        <f t="shared" si="137"/>
        <v>NQEIQKALCLICC</v>
      </c>
      <c r="R382" s="5">
        <f>VLOOKUP($A382,'NonXtal_SegEnds_Prot#'!$A:$AL,3,FALSE)</f>
        <v>41</v>
      </c>
      <c r="S382" s="5" t="str">
        <f>VLOOKUP($A382,'NonXtal_SegEnds_Prot#'!$A:$AL,6,FALSE)</f>
        <v>-</v>
      </c>
      <c r="T382" s="5">
        <f>VLOOKUP($A382,'NonXtal_SegEnds_Prot#'!$A:$AL,9,FALSE)</f>
        <v>77</v>
      </c>
      <c r="U382" s="5">
        <f>VLOOKUP($A382,'NonXtal_SegEnds_Prot#'!$A:$AL,12,FALSE)</f>
        <v>104</v>
      </c>
      <c r="V382" s="5">
        <f>VLOOKUP($A382,'NonXtal_SegEnds_Prot#'!$A:$AL,15,FALSE)</f>
        <v>108</v>
      </c>
      <c r="W382" s="5">
        <f>VLOOKUP($A382,'NonXtal_SegEnds_Prot#'!$A:$AL,18,FALSE)</f>
        <v>145</v>
      </c>
      <c r="X382" s="5">
        <f>VLOOKUP($A382,'NonXtal_SegEnds_Prot#'!$A:$AL,21,FALSE)</f>
        <v>154</v>
      </c>
      <c r="Y382" s="5" t="str">
        <f>VLOOKUP($A382,'NonXtal_SegEnds_Prot#'!$A:$AL,24,FALSE)</f>
        <v>-</v>
      </c>
      <c r="Z382" s="5">
        <f>VLOOKUP($A382,'NonXtal_SegEnds_Prot#'!$A:$AL,27,FALSE)</f>
        <v>195</v>
      </c>
      <c r="AA382" s="5">
        <f>VLOOKUP($A382,'NonXtal_SegEnds_Prot#'!$A:$AL,30,FALSE)</f>
        <v>238</v>
      </c>
      <c r="AB382" s="5">
        <f>VLOOKUP($A382,'NonXtal_SegEnds_Prot#'!$A:$AL,33,FALSE)</f>
        <v>282</v>
      </c>
      <c r="AC382" s="5">
        <f>VLOOKUP($A382,'NonXtal_SegEnds_Prot#'!$A:$AL,36,FALSE)</f>
        <v>305</v>
      </c>
      <c r="AD382" s="5">
        <f>VLOOKUP($A382,'NonXtal_SegEnds_Prot#'!$A:$AL,5,FALSE)</f>
        <v>72</v>
      </c>
      <c r="AE382" s="5" t="str">
        <f>VLOOKUP($A382,'NonXtal_SegEnds_Prot#'!$A:$AL,8,FALSE)</f>
        <v>-</v>
      </c>
      <c r="AF382" s="5">
        <f>VLOOKUP($A382,'NonXtal_SegEnds_Prot#'!$A:$AL,11,FALSE)</f>
        <v>102</v>
      </c>
      <c r="AG382" s="5">
        <f>VLOOKUP($A382,'NonXtal_SegEnds_Prot#'!$A:$AL,14,FALSE)</f>
        <v>107</v>
      </c>
      <c r="AH382" s="5">
        <f>VLOOKUP($A382,'NonXtal_SegEnds_Prot#'!$A:$AL,17,FALSE)</f>
        <v>144</v>
      </c>
      <c r="AI382" s="5">
        <f>VLOOKUP($A382,'NonXtal_SegEnds_Prot#'!$A:$AL,20,FALSE)</f>
        <v>152</v>
      </c>
      <c r="AJ382" s="5">
        <f>VLOOKUP($A382,'NonXtal_SegEnds_Prot#'!$A:$AL,23,FALSE)</f>
        <v>178</v>
      </c>
      <c r="AK382" s="5" t="str">
        <f>VLOOKUP($A382,'NonXtal_SegEnds_Prot#'!$A:$AL,26,FALSE)</f>
        <v>-</v>
      </c>
      <c r="AL382" s="5">
        <f>VLOOKUP($A382,'NonXtal_SegEnds_Prot#'!$A:$AL,29,FALSE)</f>
        <v>232</v>
      </c>
      <c r="AM382" s="5">
        <f>VLOOKUP($A382,'NonXtal_SegEnds_Prot#'!$A:$AL,32,FALSE)</f>
        <v>277</v>
      </c>
      <c r="AN382" s="5">
        <f>VLOOKUP($A382,'NonXtal_SegEnds_Prot#'!$A:$AL,35,FALSE)</f>
        <v>304</v>
      </c>
      <c r="AO382" s="5">
        <f>VLOOKUP($A382,'NonXtal_SegEnds_Prot#'!$A:$AL,38,FALSE)</f>
        <v>317</v>
      </c>
      <c r="AP382" s="5">
        <f t="shared" si="138"/>
        <v>31</v>
      </c>
      <c r="AQ382" s="4" t="str">
        <f t="shared" si="139"/>
        <v>-</v>
      </c>
      <c r="AR382" s="4">
        <f t="shared" si="140"/>
        <v>25</v>
      </c>
      <c r="AS382" s="4">
        <f t="shared" si="141"/>
        <v>3</v>
      </c>
      <c r="AT382" s="4">
        <f t="shared" si="142"/>
        <v>36</v>
      </c>
      <c r="AU382" s="4">
        <f t="shared" si="143"/>
        <v>7</v>
      </c>
      <c r="AV382" s="4">
        <f t="shared" si="144"/>
        <v>24</v>
      </c>
      <c r="AW382" s="4" t="str">
        <f t="shared" si="145"/>
        <v>-</v>
      </c>
      <c r="AX382" s="4">
        <f t="shared" si="146"/>
        <v>37</v>
      </c>
      <c r="AY382" s="4">
        <f t="shared" si="147"/>
        <v>39</v>
      </c>
      <c r="AZ382" s="4">
        <f t="shared" si="148"/>
        <v>22</v>
      </c>
      <c r="BA382" s="4">
        <f t="shared" si="149"/>
        <v>12</v>
      </c>
    </row>
    <row r="383" spans="1:53" x14ac:dyDescent="0.2">
      <c r="A383" s="1" t="str">
        <f>'NonXtal_SegEnds_Prot#'!A381</f>
        <v>gpr6_human</v>
      </c>
      <c r="B383" s="1" t="str">
        <f t="shared" si="125"/>
        <v>LPAVNPWDVLLCVSGTVIAGENALVVALIASTTPMFVLVGSLATADLLAGCGLILHFVPSETVSLLTVGFLVASFAASVSSLLAITVDRYLSLYNLLGVHLLLAATWTVSLGLGLLPVLGARSHVALLSAAFFMVFGIMLHLYVRICQVVWRHAHQIALAPPHLAATRKGVGTLAVVLGTFGASWLPFAIYCVVGSHEYTYATLLPATYNSMINPIIYAFRNQEIQRALWLLLC</v>
      </c>
      <c r="C383" s="72" t="str">
        <f>IF(ISERROR(MATCH(A383,'Xtal_SegEnds_Prot#'!B:B, 0)), "NoXtal", "Xtal")</f>
        <v>NoXtal</v>
      </c>
      <c r="D383" s="4" t="str">
        <f>VLOOKUP(A383,Classification!A:D,2,FALSE)</f>
        <v>A</v>
      </c>
      <c r="E383" s="5" t="str">
        <f>VLOOKUP(A383,Seqs!A:B,2,FALSE)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383" s="5" t="str">
        <f t="shared" si="126"/>
        <v>LPAVNPWDVLLCVSGTVIAGENALVVALIAST</v>
      </c>
      <c r="G383" s="4" t="str">
        <f t="shared" si="127"/>
        <v>PALR</v>
      </c>
      <c r="H383" s="4" t="str">
        <f t="shared" si="128"/>
        <v>TPMFVLVGSLATADLLAGCGLILHFV</v>
      </c>
      <c r="I383" s="4" t="str">
        <f t="shared" si="129"/>
        <v>QYLV</v>
      </c>
      <c r="J383" s="4" t="str">
        <f t="shared" si="130"/>
        <v>PSETVSLLTVGFLVASFAASVSSLLAITVDRYLSLYN</v>
      </c>
      <c r="K383" s="4" t="str">
        <f t="shared" si="131"/>
        <v>ALTYYSRR</v>
      </c>
      <c r="L383" s="4" t="str">
        <f t="shared" si="132"/>
        <v>LLGVHLLLAATWTVSLGLGLLPVLG</v>
      </c>
      <c r="M383" s="4" t="str">
        <f t="shared" si="133"/>
        <v/>
      </c>
      <c r="N383" s="4" t="str">
        <f t="shared" si="134"/>
        <v>ARSHVALLSAAFFMVFGIMLHLYVRICQVVWRHAHQIA</v>
      </c>
      <c r="O383" s="4" t="str">
        <f t="shared" si="135"/>
        <v>LAPPHLAATRKGVGTLAVVLGTFGASWLPFAIYCVVGSHE</v>
      </c>
      <c r="P383" s="4" t="str">
        <f t="shared" si="136"/>
        <v>YTYATLLPATYNSMINPIIYAFR</v>
      </c>
      <c r="Q383" s="4" t="str">
        <f t="shared" si="137"/>
        <v>NQEIQRALWLLLC</v>
      </c>
      <c r="R383" s="5">
        <f>VLOOKUP($A383,'NonXtal_SegEnds_Prot#'!$A:$AL,3,FALSE)</f>
        <v>69</v>
      </c>
      <c r="S383" s="5">
        <f>VLOOKUP($A383,'NonXtal_SegEnds_Prot#'!$A:$AL,6,FALSE)</f>
        <v>101</v>
      </c>
      <c r="T383" s="5">
        <f>VLOOKUP($A383,'NonXtal_SegEnds_Prot#'!$A:$AL,9,FALSE)</f>
        <v>105</v>
      </c>
      <c r="U383" s="5">
        <f>VLOOKUP($A383,'NonXtal_SegEnds_Prot#'!$A:$AL,12,FALSE)</f>
        <v>132</v>
      </c>
      <c r="V383" s="5">
        <f>VLOOKUP($A383,'NonXtal_SegEnds_Prot#'!$A:$AL,15,FALSE)</f>
        <v>136</v>
      </c>
      <c r="W383" s="5">
        <f>VLOOKUP($A383,'NonXtal_SegEnds_Prot#'!$A:$AL,18,FALSE)</f>
        <v>173</v>
      </c>
      <c r="X383" s="5">
        <f>VLOOKUP($A383,'NonXtal_SegEnds_Prot#'!$A:$AL,21,FALSE)</f>
        <v>182</v>
      </c>
      <c r="Y383" s="5" t="str">
        <f>VLOOKUP($A383,'NonXtal_SegEnds_Prot#'!$A:$AL,24,FALSE)</f>
        <v>-</v>
      </c>
      <c r="Z383" s="5">
        <f>VLOOKUP($A383,'NonXtal_SegEnds_Prot#'!$A:$AL,27,FALSE)</f>
        <v>223</v>
      </c>
      <c r="AA383" s="5">
        <f>VLOOKUP($A383,'NonXtal_SegEnds_Prot#'!$A:$AL,30,FALSE)</f>
        <v>266</v>
      </c>
      <c r="AB383" s="5">
        <f>VLOOKUP($A383,'NonXtal_SegEnds_Prot#'!$A:$AL,33,FALSE)</f>
        <v>310</v>
      </c>
      <c r="AC383" s="5">
        <f>VLOOKUP($A383,'NonXtal_SegEnds_Prot#'!$A:$AL,36,FALSE)</f>
        <v>333</v>
      </c>
      <c r="AD383" s="5">
        <f>VLOOKUP($A383,'NonXtal_SegEnds_Prot#'!$A:$AL,5,FALSE)</f>
        <v>100</v>
      </c>
      <c r="AE383" s="5">
        <f>VLOOKUP($A383,'NonXtal_SegEnds_Prot#'!$A:$AL,8,FALSE)</f>
        <v>104</v>
      </c>
      <c r="AF383" s="5">
        <f>VLOOKUP($A383,'NonXtal_SegEnds_Prot#'!$A:$AL,11,FALSE)</f>
        <v>130</v>
      </c>
      <c r="AG383" s="5">
        <f>VLOOKUP($A383,'NonXtal_SegEnds_Prot#'!$A:$AL,14,FALSE)</f>
        <v>135</v>
      </c>
      <c r="AH383" s="5">
        <f>VLOOKUP($A383,'NonXtal_SegEnds_Prot#'!$A:$AL,17,FALSE)</f>
        <v>172</v>
      </c>
      <c r="AI383" s="5">
        <f>VLOOKUP($A383,'NonXtal_SegEnds_Prot#'!$A:$AL,20,FALSE)</f>
        <v>180</v>
      </c>
      <c r="AJ383" s="5">
        <f>VLOOKUP($A383,'NonXtal_SegEnds_Prot#'!$A:$AL,23,FALSE)</f>
        <v>206</v>
      </c>
      <c r="AK383" s="5" t="str">
        <f>VLOOKUP($A383,'NonXtal_SegEnds_Prot#'!$A:$AL,26,FALSE)</f>
        <v>-</v>
      </c>
      <c r="AL383" s="5">
        <f>VLOOKUP($A383,'NonXtal_SegEnds_Prot#'!$A:$AL,29,FALSE)</f>
        <v>260</v>
      </c>
      <c r="AM383" s="5">
        <f>VLOOKUP($A383,'NonXtal_SegEnds_Prot#'!$A:$AL,32,FALSE)</f>
        <v>305</v>
      </c>
      <c r="AN383" s="5">
        <f>VLOOKUP($A383,'NonXtal_SegEnds_Prot#'!$A:$AL,35,FALSE)</f>
        <v>332</v>
      </c>
      <c r="AO383" s="5">
        <f>VLOOKUP($A383,'NonXtal_SegEnds_Prot#'!$A:$AL,38,FALSE)</f>
        <v>345</v>
      </c>
      <c r="AP383" s="5">
        <f t="shared" si="138"/>
        <v>31</v>
      </c>
      <c r="AQ383" s="4">
        <f t="shared" si="139"/>
        <v>3</v>
      </c>
      <c r="AR383" s="4">
        <f t="shared" si="140"/>
        <v>25</v>
      </c>
      <c r="AS383" s="4">
        <f t="shared" si="141"/>
        <v>3</v>
      </c>
      <c r="AT383" s="4">
        <f t="shared" si="142"/>
        <v>36</v>
      </c>
      <c r="AU383" s="4">
        <f t="shared" si="143"/>
        <v>7</v>
      </c>
      <c r="AV383" s="4">
        <f t="shared" si="144"/>
        <v>24</v>
      </c>
      <c r="AW383" s="4" t="str">
        <f t="shared" si="145"/>
        <v>-</v>
      </c>
      <c r="AX383" s="4">
        <f t="shared" si="146"/>
        <v>37</v>
      </c>
      <c r="AY383" s="4">
        <f t="shared" si="147"/>
        <v>39</v>
      </c>
      <c r="AZ383" s="4">
        <f t="shared" si="148"/>
        <v>22</v>
      </c>
      <c r="BA383" s="4">
        <f t="shared" si="149"/>
        <v>12</v>
      </c>
    </row>
    <row r="384" spans="1:53" x14ac:dyDescent="0.2">
      <c r="A384" s="1" t="str">
        <f>'NonXtal_SegEnds_Prot#'!A379</f>
        <v>gp119_human</v>
      </c>
      <c r="B384" s="1" t="str">
        <f t="shared" si="125"/>
        <v>MESSFSFGVILAVLASLIIATNTLVAVAVLLLGVSLCFTLNLAVADTLIGVAISGLLTDRPTQKTLCSLRMAFVTSSAAASVLTVMLITFDRYLAIKQGFVAGACIAGLWLVSYLIGFLPLGIFHPHFVLTLSCVGFFPAMLLFVFFYCDMLKIASMHSQQIRGYRSPRTPSDFKALRTVSVLIGSFALSWTPFLITGIVQVACYLVLERYLWLLGVGNSLLNPLIYAYWQKEVRLQLYHMAL</v>
      </c>
      <c r="C384" s="72" t="str">
        <f>IF(ISERROR(MATCH(A384,'Xtal_SegEnds_Prot#'!B:B, 0)), "NoXtal", "Xtal")</f>
        <v>NoXtal</v>
      </c>
      <c r="D384" s="4" t="str">
        <f>VLOOKUP(A384,Classification!A:D,2,FALSE)</f>
        <v>A</v>
      </c>
      <c r="E384" s="5" t="str">
        <f>VLOOKUP(A384,Seqs!A:B,2,FALSE)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384" s="5" t="str">
        <f t="shared" si="126"/>
        <v>MESSFSFGVILAVLASLIIATNTLVAVAVLLL</v>
      </c>
      <c r="G384" s="4" t="str">
        <f t="shared" si="127"/>
        <v/>
      </c>
      <c r="H384" s="4" t="str">
        <f t="shared" si="128"/>
        <v>GVSLCFTLNLAVADTLIGVAISGLLTD</v>
      </c>
      <c r="I384" s="4" t="str">
        <f t="shared" si="129"/>
        <v/>
      </c>
      <c r="J384" s="4" t="str">
        <f t="shared" si="130"/>
        <v>RPTQKTLCSLRMAFVTSSAAASVLTVMLITFDRYLAIKQ</v>
      </c>
      <c r="K384" s="4" t="str">
        <f t="shared" si="131"/>
        <v>PFRYLKIM</v>
      </c>
      <c r="L384" s="4" t="str">
        <f t="shared" si="132"/>
        <v>GFVAGACIAGLWLVSYLIGFLPLGI</v>
      </c>
      <c r="M384" s="4" t="str">
        <f t="shared" si="133"/>
        <v>CSF</v>
      </c>
      <c r="N384" s="4" t="str">
        <f t="shared" si="134"/>
        <v>FHPHFVLTLSCVGFFPAMLLFVFFYCDMLKIASMHSQQIR</v>
      </c>
      <c r="O384" s="4" t="str">
        <f t="shared" si="135"/>
        <v>GYRSPRTPSDFKALRTVSVLIGSFALSWTPFLITGIVQVAC</v>
      </c>
      <c r="P384" s="4" t="str">
        <f t="shared" si="136"/>
        <v>YLVLERYLWLLGVGNSLLNPLIYAYW</v>
      </c>
      <c r="Q384" s="4" t="str">
        <f t="shared" si="137"/>
        <v>QKEVRLQLYHMAL</v>
      </c>
      <c r="R384" s="5">
        <f>VLOOKUP($A384,'NonXtal_SegEnds_Prot#'!$A:$AL,3,FALSE)</f>
        <v>1</v>
      </c>
      <c r="S384" s="5" t="str">
        <f>VLOOKUP($A384,'NonXtal_SegEnds_Prot#'!$A:$AL,6,FALSE)</f>
        <v>-</v>
      </c>
      <c r="T384" s="5">
        <f>VLOOKUP($A384,'NonXtal_SegEnds_Prot#'!$A:$AL,9,FALSE)</f>
        <v>38</v>
      </c>
      <c r="U384" s="5" t="str">
        <f>VLOOKUP($A384,'NonXtal_SegEnds_Prot#'!$A:$AL,12,FALSE)</f>
        <v>-</v>
      </c>
      <c r="V384" s="5">
        <f>VLOOKUP($A384,'NonXtal_SegEnds_Prot#'!$A:$AL,15,FALSE)</f>
        <v>71</v>
      </c>
      <c r="W384" s="5">
        <f>VLOOKUP($A384,'NonXtal_SegEnds_Prot#'!$A:$AL,18,FALSE)</f>
        <v>110</v>
      </c>
      <c r="X384" s="5">
        <f>VLOOKUP($A384,'NonXtal_SegEnds_Prot#'!$A:$AL,21,FALSE)</f>
        <v>119</v>
      </c>
      <c r="Y384" s="5">
        <f>VLOOKUP($A384,'NonXtal_SegEnds_Prot#'!$A:$AL,24,FALSE)</f>
        <v>155</v>
      </c>
      <c r="Z384" s="5">
        <f>VLOOKUP($A384,'NonXtal_SegEnds_Prot#'!$A:$AL,27,FALSE)</f>
        <v>161</v>
      </c>
      <c r="AA384" s="5">
        <f>VLOOKUP($A384,'NonXtal_SegEnds_Prot#'!$A:$AL,30,FALSE)</f>
        <v>211</v>
      </c>
      <c r="AB384" s="5">
        <f>VLOOKUP($A384,'NonXtal_SegEnds_Prot#'!$A:$AL,33,FALSE)</f>
        <v>257</v>
      </c>
      <c r="AC384" s="5">
        <f>VLOOKUP($A384,'NonXtal_SegEnds_Prot#'!$A:$AL,36,FALSE)</f>
        <v>283</v>
      </c>
      <c r="AD384" s="5">
        <f>VLOOKUP($A384,'NonXtal_SegEnds_Prot#'!$A:$AL,5,FALSE)</f>
        <v>32</v>
      </c>
      <c r="AE384" s="5" t="str">
        <f>VLOOKUP($A384,'NonXtal_SegEnds_Prot#'!$A:$AL,8,FALSE)</f>
        <v>-</v>
      </c>
      <c r="AF384" s="5">
        <f>VLOOKUP($A384,'NonXtal_SegEnds_Prot#'!$A:$AL,11,FALSE)</f>
        <v>64</v>
      </c>
      <c r="AG384" s="5" t="str">
        <f>VLOOKUP($A384,'NonXtal_SegEnds_Prot#'!$A:$AL,14,FALSE)</f>
        <v>-</v>
      </c>
      <c r="AH384" s="5">
        <f>VLOOKUP($A384,'NonXtal_SegEnds_Prot#'!$A:$AL,17,FALSE)</f>
        <v>109</v>
      </c>
      <c r="AI384" s="5">
        <f>VLOOKUP($A384,'NonXtal_SegEnds_Prot#'!$A:$AL,20,FALSE)</f>
        <v>117</v>
      </c>
      <c r="AJ384" s="5">
        <f>VLOOKUP($A384,'NonXtal_SegEnds_Prot#'!$A:$AL,23,FALSE)</f>
        <v>143</v>
      </c>
      <c r="AK384" s="5">
        <f>VLOOKUP($A384,'NonXtal_SegEnds_Prot#'!$A:$AL,26,FALSE)</f>
        <v>157</v>
      </c>
      <c r="AL384" s="5">
        <f>VLOOKUP($A384,'NonXtal_SegEnds_Prot#'!$A:$AL,29,FALSE)</f>
        <v>200</v>
      </c>
      <c r="AM384" s="5">
        <f>VLOOKUP($A384,'NonXtal_SegEnds_Prot#'!$A:$AL,32,FALSE)</f>
        <v>251</v>
      </c>
      <c r="AN384" s="5">
        <f>VLOOKUP($A384,'NonXtal_SegEnds_Prot#'!$A:$AL,35,FALSE)</f>
        <v>282</v>
      </c>
      <c r="AO384" s="5">
        <f>VLOOKUP($A384,'NonXtal_SegEnds_Prot#'!$A:$AL,38,FALSE)</f>
        <v>295</v>
      </c>
      <c r="AP384" s="5">
        <f t="shared" si="138"/>
        <v>31</v>
      </c>
      <c r="AQ384" s="4" t="str">
        <f t="shared" si="139"/>
        <v>-</v>
      </c>
      <c r="AR384" s="4">
        <f t="shared" si="140"/>
        <v>26</v>
      </c>
      <c r="AS384" s="4" t="str">
        <f t="shared" si="141"/>
        <v>-</v>
      </c>
      <c r="AT384" s="4">
        <f t="shared" si="142"/>
        <v>38</v>
      </c>
      <c r="AU384" s="4">
        <f t="shared" si="143"/>
        <v>7</v>
      </c>
      <c r="AV384" s="4">
        <f t="shared" si="144"/>
        <v>24</v>
      </c>
      <c r="AW384" s="4">
        <f t="shared" si="145"/>
        <v>2</v>
      </c>
      <c r="AX384" s="4">
        <f t="shared" si="146"/>
        <v>39</v>
      </c>
      <c r="AY384" s="4">
        <f t="shared" si="147"/>
        <v>40</v>
      </c>
      <c r="AZ384" s="4">
        <f t="shared" si="148"/>
        <v>25</v>
      </c>
      <c r="BA384" s="4">
        <f t="shared" si="149"/>
        <v>12</v>
      </c>
    </row>
    <row r="385" spans="1:53" x14ac:dyDescent="0.2">
      <c r="A385" s="1" t="str">
        <f>'NonXtal_SegEnds_Prot#'!A382</f>
        <v>mc3r_human</v>
      </c>
      <c r="B385" s="1" t="str">
        <f t="shared" si="125"/>
        <v>CEQVFIKPEVFLSLGIVSLLENILVILAVVRNSPMYFFLCSLAVADMLVSVSNALETIMIAIVDQFIQHMDNIFDSMICISLVASICNLLAIAVDRYVTIFYVRKALTLIVAIWVCCGVCGVVFIVYSKMVIVCLITMFFAMMLLMGTLYVHMFLFARLHVKRIAAPQQHSCMKGAVTITILLGVFIFCWAPFFLHLVLIITCCICYTAHFNTYLVLIMCNSVIDPLIYAFRSLELRNTFREILC</v>
      </c>
      <c r="C385" s="72" t="str">
        <f>IF(ISERROR(MATCH(A385,'Xtal_SegEnds_Prot#'!B:B, 0)), "NoXtal", "Xtal")</f>
        <v>NoXtal</v>
      </c>
      <c r="D385" s="4" t="str">
        <f>VLOOKUP(A385,Classification!A:D,2,FALSE)</f>
        <v>A</v>
      </c>
      <c r="E385" s="5" t="str">
        <f>VLOOKUP(A385,Seqs!A:B,2,FALSE)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385" s="5" t="str">
        <f t="shared" si="126"/>
        <v>CEQVFIKPEVFLSLGIVSLLENILVILAVVRN</v>
      </c>
      <c r="G385" s="4" t="str">
        <f t="shared" si="127"/>
        <v>GNLH</v>
      </c>
      <c r="H385" s="4" t="str">
        <f t="shared" si="128"/>
        <v>SPMYFFLCSLAVADMLVSVSNALETIMIAIV</v>
      </c>
      <c r="I385" s="4" t="str">
        <f t="shared" si="129"/>
        <v/>
      </c>
      <c r="J385" s="4" t="str">
        <f t="shared" si="130"/>
        <v>DQFIQHMDNIFDSMICISLVASICNLLAIAVDRYVTIFY</v>
      </c>
      <c r="K385" s="4" t="str">
        <f t="shared" si="131"/>
        <v>ALRYHSIM</v>
      </c>
      <c r="L385" s="4" t="str">
        <f t="shared" si="132"/>
        <v>VRKALTLIVAIWVCCGVCGVVFIVY</v>
      </c>
      <c r="M385" s="4" t="str">
        <f t="shared" si="133"/>
        <v/>
      </c>
      <c r="N385" s="4" t="str">
        <f t="shared" si="134"/>
        <v>SKMVIVCLITMFFAMMLLMGTLYVHMFLFARLHVKRIA</v>
      </c>
      <c r="O385" s="4" t="str">
        <f t="shared" si="135"/>
        <v>APQQHSCMKGAVTITILLGVFIFCWAPFFLHLVLIITC</v>
      </c>
      <c r="P385" s="4" t="str">
        <f t="shared" si="136"/>
        <v>CICYTAHFNTYLVLIMCNSVIDPLIYAFR</v>
      </c>
      <c r="Q385" s="4" t="str">
        <f t="shared" si="137"/>
        <v>SLELRNTFREILC</v>
      </c>
      <c r="R385" s="5">
        <f>VLOOKUP($A385,'NonXtal_SegEnds_Prot#'!$A:$AL,3,FALSE)</f>
        <v>35</v>
      </c>
      <c r="S385" s="5">
        <f>VLOOKUP($A385,'NonXtal_SegEnds_Prot#'!$A:$AL,6,FALSE)</f>
        <v>67</v>
      </c>
      <c r="T385" s="5">
        <f>VLOOKUP($A385,'NonXtal_SegEnds_Prot#'!$A:$AL,9,FALSE)</f>
        <v>71</v>
      </c>
      <c r="U385" s="5" t="str">
        <f>VLOOKUP($A385,'NonXtal_SegEnds_Prot#'!$A:$AL,12,FALSE)</f>
        <v>-</v>
      </c>
      <c r="V385" s="5">
        <f>VLOOKUP($A385,'NonXtal_SegEnds_Prot#'!$A:$AL,15,FALSE)</f>
        <v>110</v>
      </c>
      <c r="W385" s="5">
        <f>VLOOKUP($A385,'NonXtal_SegEnds_Prot#'!$A:$AL,18,FALSE)</f>
        <v>149</v>
      </c>
      <c r="X385" s="5">
        <f>VLOOKUP($A385,'NonXtal_SegEnds_Prot#'!$A:$AL,21,FALSE)</f>
        <v>158</v>
      </c>
      <c r="Y385" s="5" t="str">
        <f>VLOOKUP($A385,'NonXtal_SegEnds_Prot#'!$A:$AL,24,FALSE)</f>
        <v>-</v>
      </c>
      <c r="Z385" s="5">
        <f>VLOOKUP($A385,'NonXtal_SegEnds_Prot#'!$A:$AL,27,FALSE)</f>
        <v>185</v>
      </c>
      <c r="AA385" s="5">
        <f>VLOOKUP($A385,'NonXtal_SegEnds_Prot#'!$A:$AL,30,FALSE)</f>
        <v>231</v>
      </c>
      <c r="AB385" s="5">
        <f>VLOOKUP($A385,'NonXtal_SegEnds_Prot#'!$A:$AL,33,FALSE)</f>
        <v>274</v>
      </c>
      <c r="AC385" s="5">
        <f>VLOOKUP($A385,'NonXtal_SegEnds_Prot#'!$A:$AL,36,FALSE)</f>
        <v>303</v>
      </c>
      <c r="AD385" s="5">
        <f>VLOOKUP($A385,'NonXtal_SegEnds_Prot#'!$A:$AL,5,FALSE)</f>
        <v>66</v>
      </c>
      <c r="AE385" s="5">
        <f>VLOOKUP($A385,'NonXtal_SegEnds_Prot#'!$A:$AL,8,FALSE)</f>
        <v>70</v>
      </c>
      <c r="AF385" s="5">
        <f>VLOOKUP($A385,'NonXtal_SegEnds_Prot#'!$A:$AL,11,FALSE)</f>
        <v>101</v>
      </c>
      <c r="AG385" s="5" t="str">
        <f>VLOOKUP($A385,'NonXtal_SegEnds_Prot#'!$A:$AL,14,FALSE)</f>
        <v>-</v>
      </c>
      <c r="AH385" s="5">
        <f>VLOOKUP($A385,'NonXtal_SegEnds_Prot#'!$A:$AL,17,FALSE)</f>
        <v>148</v>
      </c>
      <c r="AI385" s="5">
        <f>VLOOKUP($A385,'NonXtal_SegEnds_Prot#'!$A:$AL,20,FALSE)</f>
        <v>156</v>
      </c>
      <c r="AJ385" s="5">
        <f>VLOOKUP($A385,'NonXtal_SegEnds_Prot#'!$A:$AL,23,FALSE)</f>
        <v>182</v>
      </c>
      <c r="AK385" s="5" t="str">
        <f>VLOOKUP($A385,'NonXtal_SegEnds_Prot#'!$A:$AL,26,FALSE)</f>
        <v>-</v>
      </c>
      <c r="AL385" s="5">
        <f>VLOOKUP($A385,'NonXtal_SegEnds_Prot#'!$A:$AL,29,FALSE)</f>
        <v>222</v>
      </c>
      <c r="AM385" s="5">
        <f>VLOOKUP($A385,'NonXtal_SegEnds_Prot#'!$A:$AL,32,FALSE)</f>
        <v>268</v>
      </c>
      <c r="AN385" s="5">
        <f>VLOOKUP($A385,'NonXtal_SegEnds_Prot#'!$A:$AL,35,FALSE)</f>
        <v>302</v>
      </c>
      <c r="AO385" s="5">
        <f>VLOOKUP($A385,'NonXtal_SegEnds_Prot#'!$A:$AL,38,FALSE)</f>
        <v>315</v>
      </c>
      <c r="AP385" s="5">
        <f t="shared" si="138"/>
        <v>31</v>
      </c>
      <c r="AQ385" s="4">
        <f t="shared" si="139"/>
        <v>3</v>
      </c>
      <c r="AR385" s="4">
        <f t="shared" si="140"/>
        <v>30</v>
      </c>
      <c r="AS385" s="4" t="str">
        <f t="shared" si="141"/>
        <v>-</v>
      </c>
      <c r="AT385" s="4">
        <f t="shared" si="142"/>
        <v>38</v>
      </c>
      <c r="AU385" s="4">
        <f t="shared" si="143"/>
        <v>7</v>
      </c>
      <c r="AV385" s="4">
        <f t="shared" si="144"/>
        <v>24</v>
      </c>
      <c r="AW385" s="4" t="str">
        <f t="shared" si="145"/>
        <v>-</v>
      </c>
      <c r="AX385" s="4">
        <f t="shared" si="146"/>
        <v>37</v>
      </c>
      <c r="AY385" s="4">
        <f t="shared" si="147"/>
        <v>37</v>
      </c>
      <c r="AZ385" s="4">
        <f t="shared" si="148"/>
        <v>28</v>
      </c>
      <c r="BA385" s="4">
        <f t="shared" si="149"/>
        <v>12</v>
      </c>
    </row>
    <row r="386" spans="1:53" x14ac:dyDescent="0.2">
      <c r="A386" s="1" t="str">
        <f>'NonXtal_SegEnds_Prot#'!A384</f>
        <v>mshr_human</v>
      </c>
      <c r="B386" s="1" t="str">
        <f t="shared" ref="B386:B406" si="150">F386&amp;H386&amp;J386&amp;L386&amp;N386&amp;O386&amp;P386&amp;Q386</f>
        <v>CLEVSISDGLFLSLGLVSLVENALVVATIAKNSPMYCFICCLALSDLLVSGSNVLETAVILLLAAVLQQLDNVIDVITCSSMLSSLCFLGAIAVDRYISIFYLPRARRAVAAIWVASVVFSTLFIAYHVAVLLCLVVFFLAMLVLMAVLYVHMLARACQHAQGIAQRPVHQGFGLKGAVTLTILLGIFFLCWGPFFLHLTLIVLCCGCIFKNFNLFLALIICNAIIDPLIYAFHSQELRRTLKEVLT</v>
      </c>
      <c r="C386" s="72" t="str">
        <f>IF(ISERROR(MATCH(A386,'Xtal_SegEnds_Prot#'!B:B, 0)), "NoXtal", "Xtal")</f>
        <v>NoXtal</v>
      </c>
      <c r="D386" s="4" t="str">
        <f>VLOOKUP(A386,Classification!A:D,2,FALSE)</f>
        <v>A</v>
      </c>
      <c r="E386" s="5" t="str">
        <f>VLOOKUP(A386,Seqs!A:B,2,FALSE)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386" s="5" t="str">
        <f t="shared" ref="F386:F406" si="151">IFERROR(MID($E386,R386,(AP386+1)),"")</f>
        <v>CLEVSISDGLFLSLGLVSLVENALVVATIAKN</v>
      </c>
      <c r="G386" s="4" t="str">
        <f t="shared" ref="G386:G406" si="152">IFERROR(MID($E386,S386,(AQ386+1)),"")</f>
        <v>RNLH</v>
      </c>
      <c r="H386" s="4" t="str">
        <f t="shared" ref="H386:H406" si="153">IFERROR(MID($E386,T386,(AR386+1)),"")</f>
        <v>SPMYCFICCLALSDLLVSGSNVLETAVILLL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AAVLQQLDNVIDVITCSSMLSSLCFLGAIAVDRYISIFY</v>
      </c>
      <c r="K386" s="4" t="str">
        <f t="shared" ref="K386:K406" si="156">IFERROR(MID($E386,W386,(AU386+1)),"")</f>
        <v>ALRYHSIV</v>
      </c>
      <c r="L386" s="4" t="str">
        <f t="shared" ref="L386:L406" si="157">IFERROR(MID($E386,X386,(AV386+1)),"")</f>
        <v>LPRARRAVAAIWVASVVFSTLFIAY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HVAVLLCLVVFFLAMLVLMAVLYVHMLARACQHAQGIA</v>
      </c>
      <c r="O386" s="4" t="str">
        <f t="shared" ref="O386:O406" si="160">IFERROR(MID($E386,AA386,(AY386+1)),"")</f>
        <v>QRPVHQGFGLKGAVTLTILLGIFFLCWGPFFLHLTLIVLC</v>
      </c>
      <c r="P386" s="4" t="str">
        <f t="shared" ref="P386:P406" si="161">IFERROR(MID($E386,AB386,(AZ386+1)),"")</f>
        <v>CGCIFKNFNLFLALIICNAIIDPLIYAFH</v>
      </c>
      <c r="Q386" s="4" t="str">
        <f t="shared" ref="Q386:Q406" si="162">IFERROR(MID($E386,AC386,(BA386+1)),"")</f>
        <v>SQELRRTLKEVLT</v>
      </c>
      <c r="R386" s="5">
        <f>VLOOKUP($A386,'NonXtal_SegEnds_Prot#'!$A:$AL,3,FALSE)</f>
        <v>35</v>
      </c>
      <c r="S386" s="5">
        <f>VLOOKUP($A386,'NonXtal_SegEnds_Prot#'!$A:$AL,6,FALSE)</f>
        <v>67</v>
      </c>
      <c r="T386" s="5">
        <f>VLOOKUP($A386,'NonXtal_SegEnds_Prot#'!$A:$AL,9,FALSE)</f>
        <v>71</v>
      </c>
      <c r="U386" s="5" t="str">
        <f>VLOOKUP($A386,'NonXtal_SegEnds_Prot#'!$A:$AL,12,FALSE)</f>
        <v>-</v>
      </c>
      <c r="V386" s="5">
        <f>VLOOKUP($A386,'NonXtal_SegEnds_Prot#'!$A:$AL,15,FALSE)</f>
        <v>110</v>
      </c>
      <c r="W386" s="5">
        <f>VLOOKUP($A386,'NonXtal_SegEnds_Prot#'!$A:$AL,18,FALSE)</f>
        <v>149</v>
      </c>
      <c r="X386" s="5">
        <f>VLOOKUP($A386,'NonXtal_SegEnds_Prot#'!$A:$AL,21,FALSE)</f>
        <v>158</v>
      </c>
      <c r="Y386" s="5" t="str">
        <f>VLOOKUP($A386,'NonXtal_SegEnds_Prot#'!$A:$AL,24,FALSE)</f>
        <v>-</v>
      </c>
      <c r="Z386" s="5">
        <f>VLOOKUP($A386,'NonXtal_SegEnds_Prot#'!$A:$AL,27,FALSE)</f>
        <v>185</v>
      </c>
      <c r="AA386" s="5">
        <f>VLOOKUP($A386,'NonXtal_SegEnds_Prot#'!$A:$AL,30,FALSE)</f>
        <v>228</v>
      </c>
      <c r="AB386" s="5">
        <f>VLOOKUP($A386,'NonXtal_SegEnds_Prot#'!$A:$AL,33,FALSE)</f>
        <v>273</v>
      </c>
      <c r="AC386" s="5">
        <f>VLOOKUP($A386,'NonXtal_SegEnds_Prot#'!$A:$AL,36,FALSE)</f>
        <v>302</v>
      </c>
      <c r="AD386" s="5">
        <f>VLOOKUP($A386,'NonXtal_SegEnds_Prot#'!$A:$AL,5,FALSE)</f>
        <v>66</v>
      </c>
      <c r="AE386" s="5">
        <f>VLOOKUP($A386,'NonXtal_SegEnds_Prot#'!$A:$AL,8,FALSE)</f>
        <v>70</v>
      </c>
      <c r="AF386" s="5">
        <f>VLOOKUP($A386,'NonXtal_SegEnds_Prot#'!$A:$AL,11,FALSE)</f>
        <v>101</v>
      </c>
      <c r="AG386" s="5" t="str">
        <f>VLOOKUP($A386,'NonXtal_SegEnds_Prot#'!$A:$AL,14,FALSE)</f>
        <v>-</v>
      </c>
      <c r="AH386" s="5">
        <f>VLOOKUP($A386,'NonXtal_SegEnds_Prot#'!$A:$AL,17,FALSE)</f>
        <v>148</v>
      </c>
      <c r="AI386" s="5">
        <f>VLOOKUP($A386,'NonXtal_SegEnds_Prot#'!$A:$AL,20,FALSE)</f>
        <v>156</v>
      </c>
      <c r="AJ386" s="5">
        <f>VLOOKUP($A386,'NonXtal_SegEnds_Prot#'!$A:$AL,23,FALSE)</f>
        <v>182</v>
      </c>
      <c r="AK386" s="5" t="str">
        <f>VLOOKUP($A386,'NonXtal_SegEnds_Prot#'!$A:$AL,26,FALSE)</f>
        <v>-</v>
      </c>
      <c r="AL386" s="5">
        <f>VLOOKUP($A386,'NonXtal_SegEnds_Prot#'!$A:$AL,29,FALSE)</f>
        <v>222</v>
      </c>
      <c r="AM386" s="5">
        <f>VLOOKUP($A386,'NonXtal_SegEnds_Prot#'!$A:$AL,32,FALSE)</f>
        <v>267</v>
      </c>
      <c r="AN386" s="5">
        <f>VLOOKUP($A386,'NonXtal_SegEnds_Prot#'!$A:$AL,35,FALSE)</f>
        <v>301</v>
      </c>
      <c r="AO386" s="5">
        <f>VLOOKUP($A386,'NonXtal_SegEnds_Prot#'!$A:$AL,38,FALSE)</f>
        <v>314</v>
      </c>
      <c r="AP386" s="5">
        <f t="shared" ref="AP386:AP406" si="163">IFERROR(AD386-R386,"-")</f>
        <v>31</v>
      </c>
      <c r="AQ386" s="4">
        <f t="shared" ref="AQ386:AQ406" si="164">IFERROR(AE386-S386,"-")</f>
        <v>3</v>
      </c>
      <c r="AR386" s="4">
        <f t="shared" ref="AR386:AR406" si="165">IFERROR(AF386-T386,"-")</f>
        <v>30</v>
      </c>
      <c r="AS386" s="4" t="str">
        <f t="shared" ref="AS386:AS406" si="166">IFERROR(AG386-U386,"-")</f>
        <v>-</v>
      </c>
      <c r="AT386" s="4">
        <f t="shared" ref="AT386:AT406" si="167">IFERROR(AH386-V386,"-")</f>
        <v>38</v>
      </c>
      <c r="AU386" s="4">
        <f t="shared" ref="AU386:AU406" si="168">IFERROR(AI386-W386,"-")</f>
        <v>7</v>
      </c>
      <c r="AV386" s="4">
        <f t="shared" ref="AV386:AV406" si="169">IFERROR(AJ386-X386,"-")</f>
        <v>24</v>
      </c>
      <c r="AW386" s="4" t="str">
        <f t="shared" ref="AW386:AW406" si="170">IFERROR(AK386-Y386,"-")</f>
        <v>-</v>
      </c>
      <c r="AX386" s="4">
        <f t="shared" ref="AX386:AX406" si="171">IFERROR(AL386-Z386,"-")</f>
        <v>37</v>
      </c>
      <c r="AY386" s="4">
        <f t="shared" ref="AY386:AY406" si="172">IFERROR(AM386-AA386,"-")</f>
        <v>39</v>
      </c>
      <c r="AZ386" s="4">
        <f t="shared" ref="AZ386:AZ406" si="173">IFERROR(AN386-AB386,"-")</f>
        <v>28</v>
      </c>
      <c r="BA386" s="4">
        <f t="shared" ref="BA386:BA406" si="174">IFERROR(AO386-AC386,"-")</f>
        <v>12</v>
      </c>
    </row>
    <row r="387" spans="1:53" x14ac:dyDescent="0.2">
      <c r="A387" s="1" t="str">
        <f>'NonXtal_SegEnds_Prot#'!A385</f>
        <v>pe2r3_human</v>
      </c>
      <c r="B387" s="1" t="str">
        <f t="shared" si="150"/>
        <v>EDCGSVSVAFPITMLLTGFVGNALAMLLVSRSKSFLLCIGWLALTDLVGQLLTTPVVIVIDPSGRLCTFFGLTMTVFGLSSLFIASAMAVERALAIRATRATRAVLLGVWLAVLAFALLPVLGFFASAFAFLGLLALTVTFSCNLATIKALVSRCRAKATAQWGRITTETAIQLMGIMCVLSVCWSPLLIMMLKMIFNQTSTHTEKQKECNFFLIAVRLASLNQILDPWVYLLLRKILLRKFCQIRY</v>
      </c>
      <c r="C387" s="72" t="str">
        <f>IF(ISERROR(MATCH(A387,'Xtal_SegEnds_Prot#'!B:B, 0)), "NoXtal", "Xtal")</f>
        <v>NoXtal</v>
      </c>
      <c r="D387" s="4" t="str">
        <f>VLOOKUP(A387,Classification!A:D,2,FALSE)</f>
        <v>A</v>
      </c>
      <c r="E387" s="5" t="str">
        <f>VLOOKUP(A387,Seqs!A:B,2,FALSE)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387" s="5" t="str">
        <f t="shared" si="151"/>
        <v>EDCGSVSVAFPITMLLTGFVGNALAMLLVSRS</v>
      </c>
      <c r="G387" s="4" t="str">
        <f t="shared" si="152"/>
        <v/>
      </c>
      <c r="H387" s="4" t="str">
        <f t="shared" si="153"/>
        <v>KSFLLCIGWLALTDLVGQLLTTPVVIV</v>
      </c>
      <c r="I387" s="4" t="str">
        <f t="shared" si="154"/>
        <v>RWEH</v>
      </c>
      <c r="J387" s="4" t="str">
        <f t="shared" si="155"/>
        <v>IDPSGRLCTFFGLTMTVFGLSSLFIASAMAVERALAIRA</v>
      </c>
      <c r="K387" s="4" t="str">
        <f t="shared" si="156"/>
        <v>PHWYASHM</v>
      </c>
      <c r="L387" s="4" t="str">
        <f t="shared" si="157"/>
        <v>TRATRAVLLGVWLAVLAFALLPVLG</v>
      </c>
      <c r="M387" s="4" t="str">
        <f t="shared" si="158"/>
        <v>CFI</v>
      </c>
      <c r="N387" s="4" t="str">
        <f t="shared" si="159"/>
        <v>FFASAFAFLGLLALTVTFSCNLATIKALVSRCRAKAT</v>
      </c>
      <c r="O387" s="4" t="str">
        <f t="shared" si="160"/>
        <v>AQWGRITTETAIQLMGIMCVLSVCWSPLLIMMLKMIFNQTS</v>
      </c>
      <c r="P387" s="4" t="str">
        <f t="shared" si="161"/>
        <v>THTEKQKECNFFLIAVRLASLNQILDPWVYLLL</v>
      </c>
      <c r="Q387" s="4" t="str">
        <f t="shared" si="162"/>
        <v>RKILLRKFCQIRY</v>
      </c>
      <c r="R387" s="5">
        <f>VLOOKUP($A387,'NonXtal_SegEnds_Prot#'!$A:$AL,3,FALSE)</f>
        <v>45</v>
      </c>
      <c r="S387" s="5" t="str">
        <f>VLOOKUP($A387,'NonXtal_SegEnds_Prot#'!$A:$AL,6,FALSE)</f>
        <v>-</v>
      </c>
      <c r="T387" s="5">
        <f>VLOOKUP($A387,'NonXtal_SegEnds_Prot#'!$A:$AL,9,FALSE)</f>
        <v>86</v>
      </c>
      <c r="U387" s="5">
        <f>VLOOKUP($A387,'NonXtal_SegEnds_Prot#'!$A:$AL,12,FALSE)</f>
        <v>119</v>
      </c>
      <c r="V387" s="5">
        <f>VLOOKUP($A387,'NonXtal_SegEnds_Prot#'!$A:$AL,15,FALSE)</f>
        <v>123</v>
      </c>
      <c r="W387" s="5">
        <f>VLOOKUP($A387,'NonXtal_SegEnds_Prot#'!$A:$AL,18,FALSE)</f>
        <v>162</v>
      </c>
      <c r="X387" s="5">
        <f>VLOOKUP($A387,'NonXtal_SegEnds_Prot#'!$A:$AL,21,FALSE)</f>
        <v>171</v>
      </c>
      <c r="Y387" s="5">
        <f>VLOOKUP($A387,'NonXtal_SegEnds_Prot#'!$A:$AL,24,FALSE)</f>
        <v>208</v>
      </c>
      <c r="Z387" s="5">
        <f>VLOOKUP($A387,'NonXtal_SegEnds_Prot#'!$A:$AL,27,FALSE)</f>
        <v>229</v>
      </c>
      <c r="AA387" s="5">
        <f>VLOOKUP($A387,'NonXtal_SegEnds_Prot#'!$A:$AL,30,FALSE)</f>
        <v>271</v>
      </c>
      <c r="AB387" s="5">
        <f>VLOOKUP($A387,'NonXtal_SegEnds_Prot#'!$A:$AL,33,FALSE)</f>
        <v>317</v>
      </c>
      <c r="AC387" s="5">
        <f>VLOOKUP($A387,'NonXtal_SegEnds_Prot#'!$A:$AL,36,FALSE)</f>
        <v>350</v>
      </c>
      <c r="AD387" s="5">
        <f>VLOOKUP($A387,'NonXtal_SegEnds_Prot#'!$A:$AL,5,FALSE)</f>
        <v>76</v>
      </c>
      <c r="AE387" s="5" t="str">
        <f>VLOOKUP($A387,'NonXtal_SegEnds_Prot#'!$A:$AL,8,FALSE)</f>
        <v>-</v>
      </c>
      <c r="AF387" s="5">
        <f>VLOOKUP($A387,'NonXtal_SegEnds_Prot#'!$A:$AL,11,FALSE)</f>
        <v>112</v>
      </c>
      <c r="AG387" s="5">
        <f>VLOOKUP($A387,'NonXtal_SegEnds_Prot#'!$A:$AL,14,FALSE)</f>
        <v>122</v>
      </c>
      <c r="AH387" s="5">
        <f>VLOOKUP($A387,'NonXtal_SegEnds_Prot#'!$A:$AL,17,FALSE)</f>
        <v>161</v>
      </c>
      <c r="AI387" s="5">
        <f>VLOOKUP($A387,'NonXtal_SegEnds_Prot#'!$A:$AL,20,FALSE)</f>
        <v>169</v>
      </c>
      <c r="AJ387" s="5">
        <f>VLOOKUP($A387,'NonXtal_SegEnds_Prot#'!$A:$AL,23,FALSE)</f>
        <v>195</v>
      </c>
      <c r="AK387" s="5">
        <f>VLOOKUP($A387,'NonXtal_SegEnds_Prot#'!$A:$AL,26,FALSE)</f>
        <v>210</v>
      </c>
      <c r="AL387" s="5">
        <f>VLOOKUP($A387,'NonXtal_SegEnds_Prot#'!$A:$AL,29,FALSE)</f>
        <v>265</v>
      </c>
      <c r="AM387" s="5">
        <f>VLOOKUP($A387,'NonXtal_SegEnds_Prot#'!$A:$AL,32,FALSE)</f>
        <v>311</v>
      </c>
      <c r="AN387" s="5">
        <f>VLOOKUP($A387,'NonXtal_SegEnds_Prot#'!$A:$AL,35,FALSE)</f>
        <v>349</v>
      </c>
      <c r="AO387" s="5">
        <f>VLOOKUP($A387,'NonXtal_SegEnds_Prot#'!$A:$AL,38,FALSE)</f>
        <v>362</v>
      </c>
      <c r="AP387" s="5">
        <f t="shared" si="163"/>
        <v>31</v>
      </c>
      <c r="AQ387" s="4" t="str">
        <f t="shared" si="164"/>
        <v>-</v>
      </c>
      <c r="AR387" s="4">
        <f t="shared" si="165"/>
        <v>26</v>
      </c>
      <c r="AS387" s="4">
        <f t="shared" si="166"/>
        <v>3</v>
      </c>
      <c r="AT387" s="4">
        <f t="shared" si="167"/>
        <v>38</v>
      </c>
      <c r="AU387" s="4">
        <f t="shared" si="168"/>
        <v>7</v>
      </c>
      <c r="AV387" s="4">
        <f t="shared" si="169"/>
        <v>24</v>
      </c>
      <c r="AW387" s="4">
        <f t="shared" si="170"/>
        <v>2</v>
      </c>
      <c r="AX387" s="4">
        <f t="shared" si="171"/>
        <v>36</v>
      </c>
      <c r="AY387" s="4">
        <f t="shared" si="172"/>
        <v>40</v>
      </c>
      <c r="AZ387" s="4">
        <f t="shared" si="173"/>
        <v>32</v>
      </c>
      <c r="BA387" s="4">
        <f t="shared" si="174"/>
        <v>12</v>
      </c>
    </row>
    <row r="388" spans="1:53" x14ac:dyDescent="0.2">
      <c r="A388" s="1" t="str">
        <f>'NonXtal_SegEnds_Prot#'!A386</f>
        <v>s1pr1_human</v>
      </c>
      <c r="B388" s="1" t="str">
        <f t="shared" si="150"/>
        <v>ENSIKLTSVVFILICCFIILENIFVLLTIWKTRPMYYFIGNLALSDLLAGVAYTANLLLTPAQWFLREGSMFVALSASVFSLLAIAIERYITMLKNFRLFLLISACWVISLILGGLPIMGHKHYILFCTTVFTLLLLSIVILYCRIYSLVRTRSRRLTSRSSEKSLALLKTVIIVLSVFIACWAPLFILLLLDVGCDILFRAEYFLVLAVLNSGTNPIIYTLTNKEMRRAFIRIMS</v>
      </c>
      <c r="C388" s="72" t="str">
        <f>IF(ISERROR(MATCH(A388,'Xtal_SegEnds_Prot#'!B:B, 0)), "NoXtal", "Xtal")</f>
        <v>Xtal</v>
      </c>
      <c r="D388" s="4" t="str">
        <f>VLOOKUP(A388,Classification!A:D,2,FALSE)</f>
        <v>A</v>
      </c>
      <c r="E388" s="5" t="str">
        <f>VLOOKUP(A388,Seqs!A:B,2,FALSE)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388" s="5" t="str">
        <f t="shared" si="151"/>
        <v>ENSIKLTSVVFILICCFIILENIFVLLTIWKT</v>
      </c>
      <c r="G388" s="4" t="str">
        <f t="shared" si="152"/>
        <v>KKFH</v>
      </c>
      <c r="H388" s="4" t="str">
        <f t="shared" si="153"/>
        <v>RPMYYFIGNLALSDLLAGVAYTANLLL</v>
      </c>
      <c r="I388" s="4" t="str">
        <f t="shared" si="154"/>
        <v>GATTYKL</v>
      </c>
      <c r="J388" s="4" t="str">
        <f t="shared" si="155"/>
        <v>TPAQWFLREGSMFVALSASVFSLLAIAIERYITMLK</v>
      </c>
      <c r="K388" s="4" t="str">
        <f t="shared" si="156"/>
        <v>MKLHNGSN</v>
      </c>
      <c r="L388" s="4" t="str">
        <f t="shared" si="157"/>
        <v>NFRLFLLISACWVISLILGGLPIMG</v>
      </c>
      <c r="M388" s="4" t="str">
        <f t="shared" si="158"/>
        <v/>
      </c>
      <c r="N388" s="4" t="str">
        <f t="shared" si="159"/>
        <v>HKHYILFCTTVFTLLLLSIVILYCRIYSLVRTRSRRLT</v>
      </c>
      <c r="O388" s="4" t="str">
        <f t="shared" si="160"/>
        <v>SRSSEKSLALLKTVIIVLSVFIACWAPLFILLLLDVGC</v>
      </c>
      <c r="P388" s="4" t="str">
        <f t="shared" si="161"/>
        <v>DILFRAEYFLVLAVLNSGTNPIIYTLT</v>
      </c>
      <c r="Q388" s="4" t="str">
        <f t="shared" si="162"/>
        <v>NKEMRRAFIRIMS</v>
      </c>
      <c r="R388" s="5">
        <f>VLOOKUP($A388,'NonXtal_SegEnds_Prot#'!$A:$AL,3,FALSE)</f>
        <v>42</v>
      </c>
      <c r="S388" s="5">
        <f>VLOOKUP($A388,'NonXtal_SegEnds_Prot#'!$A:$AL,6,FALSE)</f>
        <v>74</v>
      </c>
      <c r="T388" s="5">
        <f>VLOOKUP($A388,'NonXtal_SegEnds_Prot#'!$A:$AL,9,FALSE)</f>
        <v>78</v>
      </c>
      <c r="U388" s="5">
        <f>VLOOKUP($A388,'NonXtal_SegEnds_Prot#'!$A:$AL,12,FALSE)</f>
        <v>106</v>
      </c>
      <c r="V388" s="5">
        <f>VLOOKUP($A388,'NonXtal_SegEnds_Prot#'!$A:$AL,15,FALSE)</f>
        <v>113</v>
      </c>
      <c r="W388" s="5">
        <f>VLOOKUP($A388,'NonXtal_SegEnds_Prot#'!$A:$AL,18,FALSE)</f>
        <v>149</v>
      </c>
      <c r="X388" s="5">
        <f>VLOOKUP($A388,'NonXtal_SegEnds_Prot#'!$A:$AL,21,FALSE)</f>
        <v>157</v>
      </c>
      <c r="Y388" s="5" t="str">
        <f>VLOOKUP($A388,'NonXtal_SegEnds_Prot#'!$A:$AL,24,FALSE)</f>
        <v>-</v>
      </c>
      <c r="Z388" s="5">
        <f>VLOOKUP($A388,'NonXtal_SegEnds_Prot#'!$A:$AL,27,FALSE)</f>
        <v>199</v>
      </c>
      <c r="AA388" s="5">
        <f>VLOOKUP($A388,'NonXtal_SegEnds_Prot#'!$A:$AL,30,FALSE)</f>
        <v>245</v>
      </c>
      <c r="AB388" s="5">
        <f>VLOOKUP($A388,'NonXtal_SegEnds_Prot#'!$A:$AL,33,FALSE)</f>
        <v>288</v>
      </c>
      <c r="AC388" s="5">
        <f>VLOOKUP($A388,'NonXtal_SegEnds_Prot#'!$A:$AL,36,FALSE)</f>
        <v>315</v>
      </c>
      <c r="AD388" s="5">
        <f>VLOOKUP($A388,'NonXtal_SegEnds_Prot#'!$A:$AL,5,FALSE)</f>
        <v>73</v>
      </c>
      <c r="AE388" s="5">
        <f>VLOOKUP($A388,'NonXtal_SegEnds_Prot#'!$A:$AL,8,FALSE)</f>
        <v>77</v>
      </c>
      <c r="AF388" s="5">
        <f>VLOOKUP($A388,'NonXtal_SegEnds_Prot#'!$A:$AL,11,FALSE)</f>
        <v>104</v>
      </c>
      <c r="AG388" s="5">
        <f>VLOOKUP($A388,'NonXtal_SegEnds_Prot#'!$A:$AL,14,FALSE)</f>
        <v>112</v>
      </c>
      <c r="AH388" s="5">
        <f>VLOOKUP($A388,'NonXtal_SegEnds_Prot#'!$A:$AL,17,FALSE)</f>
        <v>148</v>
      </c>
      <c r="AI388" s="5">
        <f>VLOOKUP($A388,'NonXtal_SegEnds_Prot#'!$A:$AL,20,FALSE)</f>
        <v>156</v>
      </c>
      <c r="AJ388" s="5">
        <f>VLOOKUP($A388,'NonXtal_SegEnds_Prot#'!$A:$AL,23,FALSE)</f>
        <v>181</v>
      </c>
      <c r="AK388" s="5" t="str">
        <f>VLOOKUP($A388,'NonXtal_SegEnds_Prot#'!$A:$AL,26,FALSE)</f>
        <v>-</v>
      </c>
      <c r="AL388" s="5">
        <f>VLOOKUP($A388,'NonXtal_SegEnds_Prot#'!$A:$AL,29,FALSE)</f>
        <v>236</v>
      </c>
      <c r="AM388" s="5">
        <f>VLOOKUP($A388,'NonXtal_SegEnds_Prot#'!$A:$AL,32,FALSE)</f>
        <v>282</v>
      </c>
      <c r="AN388" s="5">
        <f>VLOOKUP($A388,'NonXtal_SegEnds_Prot#'!$A:$AL,35,FALSE)</f>
        <v>314</v>
      </c>
      <c r="AO388" s="5">
        <f>VLOOKUP($A388,'NonXtal_SegEnds_Prot#'!$A:$AL,38,FALSE)</f>
        <v>327</v>
      </c>
      <c r="AP388" s="5">
        <f t="shared" si="163"/>
        <v>31</v>
      </c>
      <c r="AQ388" s="4">
        <f t="shared" si="164"/>
        <v>3</v>
      </c>
      <c r="AR388" s="4">
        <f t="shared" si="165"/>
        <v>26</v>
      </c>
      <c r="AS388" s="4">
        <f t="shared" si="166"/>
        <v>6</v>
      </c>
      <c r="AT388" s="4">
        <f t="shared" si="167"/>
        <v>35</v>
      </c>
      <c r="AU388" s="4">
        <f t="shared" si="168"/>
        <v>7</v>
      </c>
      <c r="AV388" s="4">
        <f t="shared" si="169"/>
        <v>24</v>
      </c>
      <c r="AW388" s="4" t="str">
        <f t="shared" si="170"/>
        <v>-</v>
      </c>
      <c r="AX388" s="4">
        <f t="shared" si="171"/>
        <v>37</v>
      </c>
      <c r="AY388" s="4">
        <f t="shared" si="172"/>
        <v>37</v>
      </c>
      <c r="AZ388" s="4">
        <f t="shared" si="173"/>
        <v>26</v>
      </c>
      <c r="BA388" s="4">
        <f t="shared" si="174"/>
        <v>12</v>
      </c>
    </row>
    <row r="389" spans="1:53" x14ac:dyDescent="0.2">
      <c r="A389" s="1" t="str">
        <f>'NonXtal_SegEnds_Prot#'!A387</f>
        <v>s1pr2_human</v>
      </c>
      <c r="B389" s="1" t="str">
        <f t="shared" si="150"/>
        <v>TTSRQVASAFIVILCCAIVVENLLVLIAVARNSAMYLFLGNLAASDLLAGVAFVANTLLTPVQWFAREGSAFITLSASVFSLLAIAIERHVAIAKSCRMLLLIGASWLISLVLGGLPILGAKHYVLCVVTIFSIILLAIVALYVRIYCVVRSAAPQTLALLKTVTIVLGVFIVCWLPAFSILLLDYACPILYKAHYFFAVSTLNSLLNPVIYTWRSRDLRREVLRPLQ</v>
      </c>
      <c r="C389" s="72" t="str">
        <f>IF(ISERROR(MATCH(A389,'Xtal_SegEnds_Prot#'!B:B, 0)), "NoXtal", "Xtal")</f>
        <v>NoXtal</v>
      </c>
      <c r="D389" s="4" t="str">
        <f>VLOOKUP(A389,Classification!A:D,2,FALSE)</f>
        <v>A</v>
      </c>
      <c r="E389" s="5" t="str">
        <f>VLOOKUP(A389,Seqs!A:B,2,FALSE)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389" s="5" t="str">
        <f t="shared" si="151"/>
        <v>TTSRQVASAFIVILCCAIVVENLLVLIAVARN</v>
      </c>
      <c r="G389" s="4" t="str">
        <f t="shared" si="152"/>
        <v>SKFH</v>
      </c>
      <c r="H389" s="4" t="str">
        <f t="shared" si="153"/>
        <v>SAMYLFLGNLAASDLLAGVAFVANTLL</v>
      </c>
      <c r="I389" s="4" t="str">
        <f t="shared" si="154"/>
        <v>GSVTLRL</v>
      </c>
      <c r="J389" s="4" t="str">
        <f t="shared" si="155"/>
        <v>TPVQWFAREGSAFITLSASVFSLLAIAIERHVAIAK</v>
      </c>
      <c r="K389" s="4" t="str">
        <f t="shared" si="156"/>
        <v>VKLYGSDK</v>
      </c>
      <c r="L389" s="4" t="str">
        <f t="shared" si="157"/>
        <v>SCRMLLLIGASWLISLVLGGLPILG</v>
      </c>
      <c r="M389" s="4" t="str">
        <f t="shared" si="158"/>
        <v/>
      </c>
      <c r="N389" s="4" t="str">
        <f t="shared" si="159"/>
        <v>AKHYVLCVVTIFSIILLAIVALYVRIYCVVRS</v>
      </c>
      <c r="O389" s="4" t="str">
        <f t="shared" si="160"/>
        <v>AAPQTLALLKTVTIVLGVFIVCWLPAFSILLLDYAC</v>
      </c>
      <c r="P389" s="4" t="str">
        <f t="shared" si="161"/>
        <v>PILYKAHYFFAVSTLNSLLNPVIYTWR</v>
      </c>
      <c r="Q389" s="4" t="str">
        <f t="shared" si="162"/>
        <v>SRDLRREVLRPLQ</v>
      </c>
      <c r="R389" s="5">
        <f>VLOOKUP($A389,'NonXtal_SegEnds_Prot#'!$A:$AL,3,FALSE)</f>
        <v>30</v>
      </c>
      <c r="S389" s="5">
        <f>VLOOKUP($A389,'NonXtal_SegEnds_Prot#'!$A:$AL,6,FALSE)</f>
        <v>62</v>
      </c>
      <c r="T389" s="5">
        <f>VLOOKUP($A389,'NonXtal_SegEnds_Prot#'!$A:$AL,9,FALSE)</f>
        <v>66</v>
      </c>
      <c r="U389" s="5">
        <f>VLOOKUP($A389,'NonXtal_SegEnds_Prot#'!$A:$AL,12,FALSE)</f>
        <v>94</v>
      </c>
      <c r="V389" s="5">
        <f>VLOOKUP($A389,'NonXtal_SegEnds_Prot#'!$A:$AL,15,FALSE)</f>
        <v>101</v>
      </c>
      <c r="W389" s="5">
        <f>VLOOKUP($A389,'NonXtal_SegEnds_Prot#'!$A:$AL,18,FALSE)</f>
        <v>137</v>
      </c>
      <c r="X389" s="5">
        <f>VLOOKUP($A389,'NonXtal_SegEnds_Prot#'!$A:$AL,21,FALSE)</f>
        <v>145</v>
      </c>
      <c r="Y389" s="5" t="str">
        <f>VLOOKUP($A389,'NonXtal_SegEnds_Prot#'!$A:$AL,24,FALSE)</f>
        <v>-</v>
      </c>
      <c r="Z389" s="5">
        <f>VLOOKUP($A389,'NonXtal_SegEnds_Prot#'!$A:$AL,27,FALSE)</f>
        <v>187</v>
      </c>
      <c r="AA389" s="5">
        <f>VLOOKUP($A389,'NonXtal_SegEnds_Prot#'!$A:$AL,30,FALSE)</f>
        <v>224</v>
      </c>
      <c r="AB389" s="5">
        <f>VLOOKUP($A389,'NonXtal_SegEnds_Prot#'!$A:$AL,33,FALSE)</f>
        <v>265</v>
      </c>
      <c r="AC389" s="5">
        <f>VLOOKUP($A389,'NonXtal_SegEnds_Prot#'!$A:$AL,36,FALSE)</f>
        <v>292</v>
      </c>
      <c r="AD389" s="5">
        <f>VLOOKUP($A389,'NonXtal_SegEnds_Prot#'!$A:$AL,5,FALSE)</f>
        <v>61</v>
      </c>
      <c r="AE389" s="5">
        <f>VLOOKUP($A389,'NonXtal_SegEnds_Prot#'!$A:$AL,8,FALSE)</f>
        <v>65</v>
      </c>
      <c r="AF389" s="5">
        <f>VLOOKUP($A389,'NonXtal_SegEnds_Prot#'!$A:$AL,11,FALSE)</f>
        <v>92</v>
      </c>
      <c r="AG389" s="5">
        <f>VLOOKUP($A389,'NonXtal_SegEnds_Prot#'!$A:$AL,14,FALSE)</f>
        <v>100</v>
      </c>
      <c r="AH389" s="5">
        <f>VLOOKUP($A389,'NonXtal_SegEnds_Prot#'!$A:$AL,17,FALSE)</f>
        <v>136</v>
      </c>
      <c r="AI389" s="5">
        <f>VLOOKUP($A389,'NonXtal_SegEnds_Prot#'!$A:$AL,20,FALSE)</f>
        <v>144</v>
      </c>
      <c r="AJ389" s="5">
        <f>VLOOKUP($A389,'NonXtal_SegEnds_Prot#'!$A:$AL,23,FALSE)</f>
        <v>169</v>
      </c>
      <c r="AK389" s="5" t="str">
        <f>VLOOKUP($A389,'NonXtal_SegEnds_Prot#'!$A:$AL,26,FALSE)</f>
        <v>-</v>
      </c>
      <c r="AL389" s="5">
        <f>VLOOKUP($A389,'NonXtal_SegEnds_Prot#'!$A:$AL,29,FALSE)</f>
        <v>218</v>
      </c>
      <c r="AM389" s="5">
        <f>VLOOKUP($A389,'NonXtal_SegEnds_Prot#'!$A:$AL,32,FALSE)</f>
        <v>259</v>
      </c>
      <c r="AN389" s="5">
        <f>VLOOKUP($A389,'NonXtal_SegEnds_Prot#'!$A:$AL,35,FALSE)</f>
        <v>291</v>
      </c>
      <c r="AO389" s="5">
        <f>VLOOKUP($A389,'NonXtal_SegEnds_Prot#'!$A:$AL,38,FALSE)</f>
        <v>304</v>
      </c>
      <c r="AP389" s="5">
        <f t="shared" si="163"/>
        <v>31</v>
      </c>
      <c r="AQ389" s="4">
        <f t="shared" si="164"/>
        <v>3</v>
      </c>
      <c r="AR389" s="4">
        <f t="shared" si="165"/>
        <v>26</v>
      </c>
      <c r="AS389" s="4">
        <f t="shared" si="166"/>
        <v>6</v>
      </c>
      <c r="AT389" s="4">
        <f t="shared" si="167"/>
        <v>35</v>
      </c>
      <c r="AU389" s="4">
        <f t="shared" si="168"/>
        <v>7</v>
      </c>
      <c r="AV389" s="4">
        <f t="shared" si="169"/>
        <v>24</v>
      </c>
      <c r="AW389" s="4" t="str">
        <f t="shared" si="170"/>
        <v>-</v>
      </c>
      <c r="AX389" s="4">
        <f t="shared" si="171"/>
        <v>31</v>
      </c>
      <c r="AY389" s="4">
        <f t="shared" si="172"/>
        <v>35</v>
      </c>
      <c r="AZ389" s="4">
        <f t="shared" si="173"/>
        <v>26</v>
      </c>
      <c r="BA389" s="4">
        <f t="shared" si="174"/>
        <v>12</v>
      </c>
    </row>
    <row r="390" spans="1:53" x14ac:dyDescent="0.2">
      <c r="A390" s="1" t="str">
        <f>'NonXtal_SegEnds_Prot#'!A388</f>
        <v>s1pr3_human</v>
      </c>
      <c r="B390" s="1" t="str">
        <f t="shared" si="150"/>
        <v>SEGSTLTTVLFLVICSFIVLENLMVLIAIWKNNRMYFFIGNLALCDLLAGIAYKVNILMSPTVWFLREGSMFVALGASTCSLLAIAIERHLTMIKRHRVFLLIGMCWLIAFTLGALPILGSKKYIAFCISIFTAILVTIVILYARIYFLVKSSNHNNSERSMALLRTVVIVVSVFIACWSPLFILFLIDVACPILFKAQWFIVLAVLNSAMNPVIYTLASKEMRRAFFRLVC</v>
      </c>
      <c r="C390" s="72" t="str">
        <f>IF(ISERROR(MATCH(A390,'Xtal_SegEnds_Prot#'!B:B, 0)), "NoXtal", "Xtal")</f>
        <v>NoXtal</v>
      </c>
      <c r="D390" s="4" t="str">
        <f>VLOOKUP(A390,Classification!A:D,2,FALSE)</f>
        <v>A</v>
      </c>
      <c r="E390" s="5" t="str">
        <f>VLOOKUP(A390,Seqs!A:B,2,FALSE)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390" s="5" t="str">
        <f t="shared" si="151"/>
        <v>SEGSTLTTVLFLVICSFIVLENLMVLIAIWKN</v>
      </c>
      <c r="G390" s="4" t="str">
        <f t="shared" si="152"/>
        <v>NKFH</v>
      </c>
      <c r="H390" s="4" t="str">
        <f t="shared" si="153"/>
        <v>NRMYFFIGNLALCDLLAGIAYKVNILM</v>
      </c>
      <c r="I390" s="4" t="str">
        <f t="shared" si="154"/>
        <v>GKKTFSL</v>
      </c>
      <c r="J390" s="4" t="str">
        <f t="shared" si="155"/>
        <v>SPTVWFLREGSMFVALGASTCSLLAIAIERHLTMIK</v>
      </c>
      <c r="K390" s="4" t="str">
        <f t="shared" si="156"/>
        <v>MRPYDANK</v>
      </c>
      <c r="L390" s="4" t="str">
        <f t="shared" si="157"/>
        <v>RHRVFLLIGMCWLIAFTLGALPILG</v>
      </c>
      <c r="M390" s="4" t="str">
        <f t="shared" si="158"/>
        <v/>
      </c>
      <c r="N390" s="4" t="str">
        <f t="shared" si="159"/>
        <v>SKKYIAFCISIFTAILVTIVILYARIYFLVKSS</v>
      </c>
      <c r="O390" s="4" t="str">
        <f t="shared" si="160"/>
        <v>NHNNSERSMALLRTVVIVVSVFIACWSPLFILFLIDVAC</v>
      </c>
      <c r="P390" s="4" t="str">
        <f t="shared" si="161"/>
        <v>PILFKAQWFIVLAVLNSAMNPVIYTLA</v>
      </c>
      <c r="Q390" s="4" t="str">
        <f t="shared" si="162"/>
        <v>SKEMRRAFFRLVC</v>
      </c>
      <c r="R390" s="5">
        <f>VLOOKUP($A390,'NonXtal_SegEnds_Prot#'!$A:$AL,3,FALSE)</f>
        <v>36</v>
      </c>
      <c r="S390" s="5">
        <f>VLOOKUP($A390,'NonXtal_SegEnds_Prot#'!$A:$AL,6,FALSE)</f>
        <v>68</v>
      </c>
      <c r="T390" s="5">
        <f>VLOOKUP($A390,'NonXtal_SegEnds_Prot#'!$A:$AL,9,FALSE)</f>
        <v>72</v>
      </c>
      <c r="U390" s="5">
        <f>VLOOKUP($A390,'NonXtal_SegEnds_Prot#'!$A:$AL,12,FALSE)</f>
        <v>100</v>
      </c>
      <c r="V390" s="5">
        <f>VLOOKUP($A390,'NonXtal_SegEnds_Prot#'!$A:$AL,15,FALSE)</f>
        <v>107</v>
      </c>
      <c r="W390" s="5">
        <f>VLOOKUP($A390,'NonXtal_SegEnds_Prot#'!$A:$AL,18,FALSE)</f>
        <v>143</v>
      </c>
      <c r="X390" s="5">
        <f>VLOOKUP($A390,'NonXtal_SegEnds_Prot#'!$A:$AL,21,FALSE)</f>
        <v>151</v>
      </c>
      <c r="Y390" s="5" t="str">
        <f>VLOOKUP($A390,'NonXtal_SegEnds_Prot#'!$A:$AL,24,FALSE)</f>
        <v>-</v>
      </c>
      <c r="Z390" s="5">
        <f>VLOOKUP($A390,'NonXtal_SegEnds_Prot#'!$A:$AL,27,FALSE)</f>
        <v>193</v>
      </c>
      <c r="AA390" s="5">
        <f>VLOOKUP($A390,'NonXtal_SegEnds_Prot#'!$A:$AL,30,FALSE)</f>
        <v>231</v>
      </c>
      <c r="AB390" s="5">
        <f>VLOOKUP($A390,'NonXtal_SegEnds_Prot#'!$A:$AL,33,FALSE)</f>
        <v>275</v>
      </c>
      <c r="AC390" s="5">
        <f>VLOOKUP($A390,'NonXtal_SegEnds_Prot#'!$A:$AL,36,FALSE)</f>
        <v>302</v>
      </c>
      <c r="AD390" s="5">
        <f>VLOOKUP($A390,'NonXtal_SegEnds_Prot#'!$A:$AL,5,FALSE)</f>
        <v>67</v>
      </c>
      <c r="AE390" s="5">
        <f>VLOOKUP($A390,'NonXtal_SegEnds_Prot#'!$A:$AL,8,FALSE)</f>
        <v>71</v>
      </c>
      <c r="AF390" s="5">
        <f>VLOOKUP($A390,'NonXtal_SegEnds_Prot#'!$A:$AL,11,FALSE)</f>
        <v>98</v>
      </c>
      <c r="AG390" s="5">
        <f>VLOOKUP($A390,'NonXtal_SegEnds_Prot#'!$A:$AL,14,FALSE)</f>
        <v>106</v>
      </c>
      <c r="AH390" s="5">
        <f>VLOOKUP($A390,'NonXtal_SegEnds_Prot#'!$A:$AL,17,FALSE)</f>
        <v>142</v>
      </c>
      <c r="AI390" s="5">
        <f>VLOOKUP($A390,'NonXtal_SegEnds_Prot#'!$A:$AL,20,FALSE)</f>
        <v>150</v>
      </c>
      <c r="AJ390" s="5">
        <f>VLOOKUP($A390,'NonXtal_SegEnds_Prot#'!$A:$AL,23,FALSE)</f>
        <v>175</v>
      </c>
      <c r="AK390" s="5" t="str">
        <f>VLOOKUP($A390,'NonXtal_SegEnds_Prot#'!$A:$AL,26,FALSE)</f>
        <v>-</v>
      </c>
      <c r="AL390" s="5">
        <f>VLOOKUP($A390,'NonXtal_SegEnds_Prot#'!$A:$AL,29,FALSE)</f>
        <v>225</v>
      </c>
      <c r="AM390" s="5">
        <f>VLOOKUP($A390,'NonXtal_SegEnds_Prot#'!$A:$AL,32,FALSE)</f>
        <v>269</v>
      </c>
      <c r="AN390" s="5">
        <f>VLOOKUP($A390,'NonXtal_SegEnds_Prot#'!$A:$AL,35,FALSE)</f>
        <v>301</v>
      </c>
      <c r="AO390" s="5">
        <f>VLOOKUP($A390,'NonXtal_SegEnds_Prot#'!$A:$AL,38,FALSE)</f>
        <v>314</v>
      </c>
      <c r="AP390" s="5">
        <f t="shared" si="163"/>
        <v>31</v>
      </c>
      <c r="AQ390" s="4">
        <f t="shared" si="164"/>
        <v>3</v>
      </c>
      <c r="AR390" s="4">
        <f t="shared" si="165"/>
        <v>26</v>
      </c>
      <c r="AS390" s="4">
        <f t="shared" si="166"/>
        <v>6</v>
      </c>
      <c r="AT390" s="4">
        <f t="shared" si="167"/>
        <v>35</v>
      </c>
      <c r="AU390" s="4">
        <f t="shared" si="168"/>
        <v>7</v>
      </c>
      <c r="AV390" s="4">
        <f t="shared" si="169"/>
        <v>24</v>
      </c>
      <c r="AW390" s="4" t="str">
        <f t="shared" si="170"/>
        <v>-</v>
      </c>
      <c r="AX390" s="4">
        <f t="shared" si="171"/>
        <v>32</v>
      </c>
      <c r="AY390" s="4">
        <f t="shared" si="172"/>
        <v>38</v>
      </c>
      <c r="AZ390" s="4">
        <f t="shared" si="173"/>
        <v>26</v>
      </c>
      <c r="BA390" s="4">
        <f t="shared" si="174"/>
        <v>12</v>
      </c>
    </row>
    <row r="391" spans="1:53" x14ac:dyDescent="0.2">
      <c r="A391" s="1" t="str">
        <f>'NonXtal_SegEnds_Prot#'!A389</f>
        <v>s1pr4_human</v>
      </c>
      <c r="B391" s="1" t="str">
        <f t="shared" si="150"/>
        <v>DGGLGALRGLSVAASCLVVLENLLVLAAITSHRWVYYCLVNITLSDLLTGAAYLANVLLAPAQWFLREGLLFTALAASTFSLLFTAGERFATMVRTSRVYGFIGLCWLLAALLGMLPLLGSKRYILFCLVIFAGVLATIMGLYGAIFRLVQASRPAARRKARRLLKTVLMILLAFLVCWGPLFGLLLADVFGEYLRGMDWILALAVLNSAVNPIIYSFRSREVCRAVLSFLC</v>
      </c>
      <c r="C391" s="72" t="str">
        <f>IF(ISERROR(MATCH(A391,'Xtal_SegEnds_Prot#'!B:B, 0)), "NoXtal", "Xtal")</f>
        <v>NoXtal</v>
      </c>
      <c r="D391" s="4" t="str">
        <f>VLOOKUP(A391,Classification!A:D,2,FALSE)</f>
        <v>A</v>
      </c>
      <c r="E391" s="5" t="str">
        <f>VLOOKUP(A391,Seqs!A:B,2,FALSE)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391" s="5" t="str">
        <f t="shared" si="151"/>
        <v>DGGLGALRGLSVAASCLVVLENLLVLAAITSH</v>
      </c>
      <c r="G391" s="4" t="str">
        <f t="shared" si="152"/>
        <v>MRSR</v>
      </c>
      <c r="H391" s="4" t="str">
        <f t="shared" si="153"/>
        <v>RWVYYCLVNITLSDLLTGAAYLANVLL</v>
      </c>
      <c r="I391" s="4" t="str">
        <f t="shared" si="154"/>
        <v>GARTFRL</v>
      </c>
      <c r="J391" s="4" t="str">
        <f t="shared" si="155"/>
        <v>APAQWFLREGLLFTALAASTFSLLFTAGERFATMVR</v>
      </c>
      <c r="K391" s="4" t="str">
        <f t="shared" si="156"/>
        <v>PVAESGAT</v>
      </c>
      <c r="L391" s="4" t="str">
        <f t="shared" si="157"/>
        <v>TSRVYGFIGLCWLLAALLGMLPLLG</v>
      </c>
      <c r="M391" s="4" t="str">
        <f t="shared" si="158"/>
        <v/>
      </c>
      <c r="N391" s="4" t="str">
        <f t="shared" si="159"/>
        <v>SKRYILFCLVIFAGVLATIMGLYGAIFRLVQAS</v>
      </c>
      <c r="O391" s="4" t="str">
        <f t="shared" si="160"/>
        <v>RPAARRKARRLLKTVLMILLAFLVCWGPLFGLLLADVFG</v>
      </c>
      <c r="P391" s="4" t="str">
        <f t="shared" si="161"/>
        <v>EYLRGMDWILALAVLNSAVNPIIYSFR</v>
      </c>
      <c r="Q391" s="4" t="str">
        <f t="shared" si="162"/>
        <v>SREVCRAVLSFLC</v>
      </c>
      <c r="R391" s="5">
        <f>VLOOKUP($A391,'NonXtal_SegEnds_Prot#'!$A:$AL,3,FALSE)</f>
        <v>43</v>
      </c>
      <c r="S391" s="5">
        <f>VLOOKUP($A391,'NonXtal_SegEnds_Prot#'!$A:$AL,6,FALSE)</f>
        <v>75</v>
      </c>
      <c r="T391" s="5">
        <f>VLOOKUP($A391,'NonXtal_SegEnds_Prot#'!$A:$AL,9,FALSE)</f>
        <v>79</v>
      </c>
      <c r="U391" s="5">
        <f>VLOOKUP($A391,'NonXtal_SegEnds_Prot#'!$A:$AL,12,FALSE)</f>
        <v>107</v>
      </c>
      <c r="V391" s="5">
        <f>VLOOKUP($A391,'NonXtal_SegEnds_Prot#'!$A:$AL,15,FALSE)</f>
        <v>114</v>
      </c>
      <c r="W391" s="5">
        <f>VLOOKUP($A391,'NonXtal_SegEnds_Prot#'!$A:$AL,18,FALSE)</f>
        <v>150</v>
      </c>
      <c r="X391" s="5">
        <f>VLOOKUP($A391,'NonXtal_SegEnds_Prot#'!$A:$AL,21,FALSE)</f>
        <v>159</v>
      </c>
      <c r="Y391" s="5" t="str">
        <f>VLOOKUP($A391,'NonXtal_SegEnds_Prot#'!$A:$AL,24,FALSE)</f>
        <v>-</v>
      </c>
      <c r="Z391" s="5">
        <f>VLOOKUP($A391,'NonXtal_SegEnds_Prot#'!$A:$AL,27,FALSE)</f>
        <v>201</v>
      </c>
      <c r="AA391" s="5">
        <f>VLOOKUP($A391,'NonXtal_SegEnds_Prot#'!$A:$AL,30,FALSE)</f>
        <v>239</v>
      </c>
      <c r="AB391" s="5">
        <f>VLOOKUP($A391,'NonXtal_SegEnds_Prot#'!$A:$AL,33,FALSE)</f>
        <v>284</v>
      </c>
      <c r="AC391" s="5">
        <f>VLOOKUP($A391,'NonXtal_SegEnds_Prot#'!$A:$AL,36,FALSE)</f>
        <v>311</v>
      </c>
      <c r="AD391" s="5">
        <f>VLOOKUP($A391,'NonXtal_SegEnds_Prot#'!$A:$AL,5,FALSE)</f>
        <v>74</v>
      </c>
      <c r="AE391" s="5">
        <f>VLOOKUP($A391,'NonXtal_SegEnds_Prot#'!$A:$AL,8,FALSE)</f>
        <v>78</v>
      </c>
      <c r="AF391" s="5">
        <f>VLOOKUP($A391,'NonXtal_SegEnds_Prot#'!$A:$AL,11,FALSE)</f>
        <v>105</v>
      </c>
      <c r="AG391" s="5">
        <f>VLOOKUP($A391,'NonXtal_SegEnds_Prot#'!$A:$AL,14,FALSE)</f>
        <v>113</v>
      </c>
      <c r="AH391" s="5">
        <f>VLOOKUP($A391,'NonXtal_SegEnds_Prot#'!$A:$AL,17,FALSE)</f>
        <v>149</v>
      </c>
      <c r="AI391" s="5">
        <f>VLOOKUP($A391,'NonXtal_SegEnds_Prot#'!$A:$AL,20,FALSE)</f>
        <v>157</v>
      </c>
      <c r="AJ391" s="5">
        <f>VLOOKUP($A391,'NonXtal_SegEnds_Prot#'!$A:$AL,23,FALSE)</f>
        <v>183</v>
      </c>
      <c r="AK391" s="5" t="str">
        <f>VLOOKUP($A391,'NonXtal_SegEnds_Prot#'!$A:$AL,26,FALSE)</f>
        <v>-</v>
      </c>
      <c r="AL391" s="5">
        <f>VLOOKUP($A391,'NonXtal_SegEnds_Prot#'!$A:$AL,29,FALSE)</f>
        <v>233</v>
      </c>
      <c r="AM391" s="5">
        <f>VLOOKUP($A391,'NonXtal_SegEnds_Prot#'!$A:$AL,32,FALSE)</f>
        <v>277</v>
      </c>
      <c r="AN391" s="5">
        <f>VLOOKUP($A391,'NonXtal_SegEnds_Prot#'!$A:$AL,35,FALSE)</f>
        <v>310</v>
      </c>
      <c r="AO391" s="5">
        <f>VLOOKUP($A391,'NonXtal_SegEnds_Prot#'!$A:$AL,38,FALSE)</f>
        <v>323</v>
      </c>
      <c r="AP391" s="5">
        <f t="shared" si="163"/>
        <v>31</v>
      </c>
      <c r="AQ391" s="4">
        <f t="shared" si="164"/>
        <v>3</v>
      </c>
      <c r="AR391" s="4">
        <f t="shared" si="165"/>
        <v>26</v>
      </c>
      <c r="AS391" s="4">
        <f t="shared" si="166"/>
        <v>6</v>
      </c>
      <c r="AT391" s="4">
        <f t="shared" si="167"/>
        <v>35</v>
      </c>
      <c r="AU391" s="4">
        <f t="shared" si="168"/>
        <v>7</v>
      </c>
      <c r="AV391" s="4">
        <f t="shared" si="169"/>
        <v>24</v>
      </c>
      <c r="AW391" s="4" t="str">
        <f t="shared" si="170"/>
        <v>-</v>
      </c>
      <c r="AX391" s="4">
        <f t="shared" si="171"/>
        <v>32</v>
      </c>
      <c r="AY391" s="4">
        <f t="shared" si="172"/>
        <v>38</v>
      </c>
      <c r="AZ391" s="4">
        <f t="shared" si="173"/>
        <v>26</v>
      </c>
      <c r="BA391" s="4">
        <f t="shared" si="174"/>
        <v>12</v>
      </c>
    </row>
    <row r="392" spans="1:53" x14ac:dyDescent="0.2">
      <c r="A392" s="1" t="str">
        <f>'NonXtal_SegEnds_Prot#'!A390</f>
        <v>s1pr5_human</v>
      </c>
      <c r="B392" s="1" t="str">
        <f t="shared" si="150"/>
        <v>GAGLRADAVVCLAVCAFIVLENLAVLLVLGRHAPMFLLLGSLTLSDLLAGAAYAANILLSPALWFAREGGVFVALTASVLSLLAIALERSLTMARRGRTLAMAAAAWGVSLLLGLLPALGAKAYVLFCVLAFVGILAAICALYARIYCQVRANARRLPASTRARRKPRSLALLRTLSVVLLAFVACWGPLFLLLLLDVACPVLLQADPFLGLAMANSLLNPIIYTLTNRDLRHALLRLVC</v>
      </c>
      <c r="C392" s="72" t="str">
        <f>IF(ISERROR(MATCH(A392,'Xtal_SegEnds_Prot#'!B:B, 0)), "NoXtal", "Xtal")</f>
        <v>NoXtal</v>
      </c>
      <c r="D392" s="4" t="str">
        <f>VLOOKUP(A392,Classification!A:D,2,FALSE)</f>
        <v>A</v>
      </c>
      <c r="E392" s="5" t="str">
        <f>VLOOKUP(A392,Seqs!A:B,2,FALSE)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392" s="5" t="str">
        <f t="shared" si="151"/>
        <v>GAGLRADAVVCLAVCAFIVLENLAVLLVLGRH</v>
      </c>
      <c r="G392" s="4" t="str">
        <f t="shared" si="152"/>
        <v>PRFH</v>
      </c>
      <c r="H392" s="4" t="str">
        <f t="shared" si="153"/>
        <v>APMFLLLGSLTLSDLLAGAAYAANILL</v>
      </c>
      <c r="I392" s="4" t="str">
        <f t="shared" si="154"/>
        <v>GPLTLKL</v>
      </c>
      <c r="J392" s="4" t="str">
        <f t="shared" si="155"/>
        <v>SPALWFAREGGVFVALTASVLSLLAIALERSLTMAR</v>
      </c>
      <c r="K392" s="4" t="str">
        <f t="shared" si="156"/>
        <v>PAPVSS</v>
      </c>
      <c r="L392" s="4" t="str">
        <f t="shared" si="157"/>
        <v>RGRTLAMAAAAWGVSLLLGLLPALG</v>
      </c>
      <c r="M392" s="4" t="str">
        <f t="shared" si="158"/>
        <v/>
      </c>
      <c r="N392" s="4" t="str">
        <f t="shared" si="159"/>
        <v>AKAYVLFCVLAFVGILAAICALYARIYCQVRANARRLPA</v>
      </c>
      <c r="O392" s="4" t="str">
        <f t="shared" si="160"/>
        <v>STRARRKPRSLALLRTLSVVLLAFVACWGPLFLLLLLDVAC</v>
      </c>
      <c r="P392" s="4" t="str">
        <f t="shared" si="161"/>
        <v>PVLLQADPFLGLAMANSLLNPIIYTLT</v>
      </c>
      <c r="Q392" s="4" t="str">
        <f t="shared" si="162"/>
        <v>NRDLRHALLRLVC</v>
      </c>
      <c r="R392" s="5">
        <f>VLOOKUP($A392,'NonXtal_SegEnds_Prot#'!$A:$AL,3,FALSE)</f>
        <v>33</v>
      </c>
      <c r="S392" s="5">
        <f>VLOOKUP($A392,'NonXtal_SegEnds_Prot#'!$A:$AL,6,FALSE)</f>
        <v>65</v>
      </c>
      <c r="T392" s="5">
        <f>VLOOKUP($A392,'NonXtal_SegEnds_Prot#'!$A:$AL,9,FALSE)</f>
        <v>69</v>
      </c>
      <c r="U392" s="5">
        <f>VLOOKUP($A392,'NonXtal_SegEnds_Prot#'!$A:$AL,12,FALSE)</f>
        <v>97</v>
      </c>
      <c r="V392" s="5">
        <f>VLOOKUP($A392,'NonXtal_SegEnds_Prot#'!$A:$AL,15,FALSE)</f>
        <v>104</v>
      </c>
      <c r="W392" s="5">
        <f>VLOOKUP($A392,'NonXtal_SegEnds_Prot#'!$A:$AL,18,FALSE)</f>
        <v>142</v>
      </c>
      <c r="X392" s="5">
        <f>VLOOKUP($A392,'NonXtal_SegEnds_Prot#'!$A:$AL,21,FALSE)</f>
        <v>148</v>
      </c>
      <c r="Y392" s="5" t="str">
        <f>VLOOKUP($A392,'NonXtal_SegEnds_Prot#'!$A:$AL,24,FALSE)</f>
        <v>-</v>
      </c>
      <c r="Z392" s="5">
        <f>VLOOKUP($A392,'NonXtal_SegEnds_Prot#'!$A:$AL,27,FALSE)</f>
        <v>190</v>
      </c>
      <c r="AA392" s="5">
        <f>VLOOKUP($A392,'NonXtal_SegEnds_Prot#'!$A:$AL,30,FALSE)</f>
        <v>237</v>
      </c>
      <c r="AB392" s="5">
        <f>VLOOKUP($A392,'NonXtal_SegEnds_Prot#'!$A:$AL,33,FALSE)</f>
        <v>283</v>
      </c>
      <c r="AC392" s="5">
        <f>VLOOKUP($A392,'NonXtal_SegEnds_Prot#'!$A:$AL,36,FALSE)</f>
        <v>310</v>
      </c>
      <c r="AD392" s="5">
        <f>VLOOKUP($A392,'NonXtal_SegEnds_Prot#'!$A:$AL,5,FALSE)</f>
        <v>64</v>
      </c>
      <c r="AE392" s="5">
        <f>VLOOKUP($A392,'NonXtal_SegEnds_Prot#'!$A:$AL,8,FALSE)</f>
        <v>68</v>
      </c>
      <c r="AF392" s="5">
        <f>VLOOKUP($A392,'NonXtal_SegEnds_Prot#'!$A:$AL,11,FALSE)</f>
        <v>95</v>
      </c>
      <c r="AG392" s="5">
        <f>VLOOKUP($A392,'NonXtal_SegEnds_Prot#'!$A:$AL,14,FALSE)</f>
        <v>103</v>
      </c>
      <c r="AH392" s="5">
        <f>VLOOKUP($A392,'NonXtal_SegEnds_Prot#'!$A:$AL,17,FALSE)</f>
        <v>139</v>
      </c>
      <c r="AI392" s="5">
        <f>VLOOKUP($A392,'NonXtal_SegEnds_Prot#'!$A:$AL,20,FALSE)</f>
        <v>147</v>
      </c>
      <c r="AJ392" s="5">
        <f>VLOOKUP($A392,'NonXtal_SegEnds_Prot#'!$A:$AL,23,FALSE)</f>
        <v>172</v>
      </c>
      <c r="AK392" s="5" t="str">
        <f>VLOOKUP($A392,'NonXtal_SegEnds_Prot#'!$A:$AL,26,FALSE)</f>
        <v>-</v>
      </c>
      <c r="AL392" s="5">
        <f>VLOOKUP($A392,'NonXtal_SegEnds_Prot#'!$A:$AL,29,FALSE)</f>
        <v>228</v>
      </c>
      <c r="AM392" s="5">
        <f>VLOOKUP($A392,'NonXtal_SegEnds_Prot#'!$A:$AL,32,FALSE)</f>
        <v>277</v>
      </c>
      <c r="AN392" s="5">
        <f>VLOOKUP($A392,'NonXtal_SegEnds_Prot#'!$A:$AL,35,FALSE)</f>
        <v>309</v>
      </c>
      <c r="AO392" s="5">
        <f>VLOOKUP($A392,'NonXtal_SegEnds_Prot#'!$A:$AL,38,FALSE)</f>
        <v>322</v>
      </c>
      <c r="AP392" s="5">
        <f t="shared" si="163"/>
        <v>31</v>
      </c>
      <c r="AQ392" s="4">
        <f t="shared" si="164"/>
        <v>3</v>
      </c>
      <c r="AR392" s="4">
        <f t="shared" si="165"/>
        <v>26</v>
      </c>
      <c r="AS392" s="4">
        <f t="shared" si="166"/>
        <v>6</v>
      </c>
      <c r="AT392" s="4">
        <f t="shared" si="167"/>
        <v>35</v>
      </c>
      <c r="AU392" s="4">
        <f t="shared" si="168"/>
        <v>5</v>
      </c>
      <c r="AV392" s="4">
        <f t="shared" si="169"/>
        <v>24</v>
      </c>
      <c r="AW392" s="4" t="str">
        <f t="shared" si="170"/>
        <v>-</v>
      </c>
      <c r="AX392" s="4">
        <f t="shared" si="171"/>
        <v>38</v>
      </c>
      <c r="AY392" s="4">
        <f t="shared" si="172"/>
        <v>40</v>
      </c>
      <c r="AZ392" s="4">
        <f t="shared" si="173"/>
        <v>26</v>
      </c>
      <c r="BA392" s="4">
        <f t="shared" si="174"/>
        <v>12</v>
      </c>
    </row>
    <row r="393" spans="1:53" x14ac:dyDescent="0.2">
      <c r="A393" s="1" t="str">
        <f>'NonXtal_SegEnds_Prot#'!A391</f>
        <v>ta2r_human</v>
      </c>
      <c r="B393" s="1" t="str">
        <f t="shared" si="150"/>
        <v>ERRLIASPWFAASFCVVGLASNLLALSVLAGASSFLTFLCGLVLTDFLGLLVTGTIVVSQHAAVDPGCRLCRFMGVVMIFFGLSPLLLGAAMASERYLGITRQRRAWATVGLVWAAALALGLLPLLGGGLSVGLSFLLNTVSVATLCHVYHGQEAAQQRPEVEMMAQLLGIMVVASVCWLPLLVFIAQTVLRNPPAGQLSRTTEKELLIYLRVATWNQILDPWVYILFRRAVLRRLQPRLS</v>
      </c>
      <c r="C393" s="72" t="str">
        <f>IF(ISERROR(MATCH(A393,'Xtal_SegEnds_Prot#'!B:B, 0)), "NoXtal", "Xtal")</f>
        <v>NoXtal</v>
      </c>
      <c r="D393" s="4" t="str">
        <f>VLOOKUP(A393,Classification!A:D,2,FALSE)</f>
        <v>A</v>
      </c>
      <c r="E393" s="5" t="str">
        <f>VLOOKUP(A393,Seqs!A:B,2,FALSE)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393" s="5" t="str">
        <f t="shared" si="151"/>
        <v>ERRLIASPWFAASFCVVGLASNLLALSVLAGA</v>
      </c>
      <c r="G393" s="4" t="str">
        <f t="shared" si="152"/>
        <v/>
      </c>
      <c r="H393" s="4" t="str">
        <f t="shared" si="153"/>
        <v>SSFLTFLCGLVLTDFLGLLVTGTIVVSQHAA</v>
      </c>
      <c r="I393" s="4" t="str">
        <f t="shared" si="154"/>
        <v>EWHA</v>
      </c>
      <c r="J393" s="4" t="str">
        <f t="shared" si="155"/>
        <v>VDPGCRLCRFMGVVMIFFGLSPLLLGAAMASERYLGITR</v>
      </c>
      <c r="K393" s="4" t="str">
        <f t="shared" si="156"/>
        <v>PFSRPAVA</v>
      </c>
      <c r="L393" s="4" t="str">
        <f t="shared" si="157"/>
        <v>QRRAWATVGLVWAAALALGLLPLLG</v>
      </c>
      <c r="M393" s="4" t="str">
        <f t="shared" si="158"/>
        <v>CFL</v>
      </c>
      <c r="N393" s="4" t="str">
        <f t="shared" si="159"/>
        <v>GGLSVGLSFLLNTVSVATLCHVYHGQEAAQQRP</v>
      </c>
      <c r="O393" s="4" t="str">
        <f t="shared" si="160"/>
        <v>EVEMMAQLLGIMVVASVCWLPLLVFIAQTVLRNPP</v>
      </c>
      <c r="P393" s="4" t="str">
        <f t="shared" si="161"/>
        <v>AGQLSRTTEKELLIYLRVATWNQILDPWVYILF</v>
      </c>
      <c r="Q393" s="4" t="str">
        <f t="shared" si="162"/>
        <v>RRAVLRRLQPRLS</v>
      </c>
      <c r="R393" s="5">
        <f>VLOOKUP($A393,'NonXtal_SegEnds_Prot#'!$A:$AL,3,FALSE)</f>
        <v>21</v>
      </c>
      <c r="S393" s="5" t="str">
        <f>VLOOKUP($A393,'NonXtal_SegEnds_Prot#'!$A:$AL,6,FALSE)</f>
        <v>-</v>
      </c>
      <c r="T393" s="5">
        <f>VLOOKUP($A393,'NonXtal_SegEnds_Prot#'!$A:$AL,9,FALSE)</f>
        <v>61</v>
      </c>
      <c r="U393" s="5">
        <f>VLOOKUP($A393,'NonXtal_SegEnds_Prot#'!$A:$AL,12,FALSE)</f>
        <v>94</v>
      </c>
      <c r="V393" s="5">
        <f>VLOOKUP($A393,'NonXtal_SegEnds_Prot#'!$A:$AL,15,FALSE)</f>
        <v>98</v>
      </c>
      <c r="W393" s="5">
        <f>VLOOKUP($A393,'NonXtal_SegEnds_Prot#'!$A:$AL,18,FALSE)</f>
        <v>137</v>
      </c>
      <c r="X393" s="5">
        <f>VLOOKUP($A393,'NonXtal_SegEnds_Prot#'!$A:$AL,21,FALSE)</f>
        <v>146</v>
      </c>
      <c r="Y393" s="5">
        <f>VLOOKUP($A393,'NonXtal_SegEnds_Prot#'!$A:$AL,24,FALSE)</f>
        <v>183</v>
      </c>
      <c r="Z393" s="5">
        <f>VLOOKUP($A393,'NonXtal_SegEnds_Prot#'!$A:$AL,27,FALSE)</f>
        <v>204</v>
      </c>
      <c r="AA393" s="5">
        <f>VLOOKUP($A393,'NonXtal_SegEnds_Prot#'!$A:$AL,30,FALSE)</f>
        <v>240</v>
      </c>
      <c r="AB393" s="5">
        <f>VLOOKUP($A393,'NonXtal_SegEnds_Prot#'!$A:$AL,33,FALSE)</f>
        <v>279</v>
      </c>
      <c r="AC393" s="5">
        <f>VLOOKUP($A393,'NonXtal_SegEnds_Prot#'!$A:$AL,36,FALSE)</f>
        <v>312</v>
      </c>
      <c r="AD393" s="5">
        <f>VLOOKUP($A393,'NonXtal_SegEnds_Prot#'!$A:$AL,5,FALSE)</f>
        <v>52</v>
      </c>
      <c r="AE393" s="5" t="str">
        <f>VLOOKUP($A393,'NonXtal_SegEnds_Prot#'!$A:$AL,8,FALSE)</f>
        <v>-</v>
      </c>
      <c r="AF393" s="5">
        <f>VLOOKUP($A393,'NonXtal_SegEnds_Prot#'!$A:$AL,11,FALSE)</f>
        <v>91</v>
      </c>
      <c r="AG393" s="5">
        <f>VLOOKUP($A393,'NonXtal_SegEnds_Prot#'!$A:$AL,14,FALSE)</f>
        <v>97</v>
      </c>
      <c r="AH393" s="5">
        <f>VLOOKUP($A393,'NonXtal_SegEnds_Prot#'!$A:$AL,17,FALSE)</f>
        <v>136</v>
      </c>
      <c r="AI393" s="5">
        <f>VLOOKUP($A393,'NonXtal_SegEnds_Prot#'!$A:$AL,20,FALSE)</f>
        <v>144</v>
      </c>
      <c r="AJ393" s="5">
        <f>VLOOKUP($A393,'NonXtal_SegEnds_Prot#'!$A:$AL,23,FALSE)</f>
        <v>170</v>
      </c>
      <c r="AK393" s="5">
        <f>VLOOKUP($A393,'NonXtal_SegEnds_Prot#'!$A:$AL,26,FALSE)</f>
        <v>185</v>
      </c>
      <c r="AL393" s="5">
        <f>VLOOKUP($A393,'NonXtal_SegEnds_Prot#'!$A:$AL,29,FALSE)</f>
        <v>236</v>
      </c>
      <c r="AM393" s="5">
        <f>VLOOKUP($A393,'NonXtal_SegEnds_Prot#'!$A:$AL,32,FALSE)</f>
        <v>274</v>
      </c>
      <c r="AN393" s="5">
        <f>VLOOKUP($A393,'NonXtal_SegEnds_Prot#'!$A:$AL,35,FALSE)</f>
        <v>311</v>
      </c>
      <c r="AO393" s="5">
        <f>VLOOKUP($A393,'NonXtal_SegEnds_Prot#'!$A:$AL,38,FALSE)</f>
        <v>324</v>
      </c>
      <c r="AP393" s="5">
        <f t="shared" si="163"/>
        <v>31</v>
      </c>
      <c r="AQ393" s="4" t="str">
        <f t="shared" si="164"/>
        <v>-</v>
      </c>
      <c r="AR393" s="4">
        <f t="shared" si="165"/>
        <v>30</v>
      </c>
      <c r="AS393" s="4">
        <f t="shared" si="166"/>
        <v>3</v>
      </c>
      <c r="AT393" s="4">
        <f t="shared" si="167"/>
        <v>38</v>
      </c>
      <c r="AU393" s="4">
        <f t="shared" si="168"/>
        <v>7</v>
      </c>
      <c r="AV393" s="4">
        <f t="shared" si="169"/>
        <v>24</v>
      </c>
      <c r="AW393" s="4">
        <f t="shared" si="170"/>
        <v>2</v>
      </c>
      <c r="AX393" s="4">
        <f t="shared" si="171"/>
        <v>32</v>
      </c>
      <c r="AY393" s="4">
        <f t="shared" si="172"/>
        <v>34</v>
      </c>
      <c r="AZ393" s="4">
        <f t="shared" si="173"/>
        <v>32</v>
      </c>
      <c r="BA393" s="4">
        <f t="shared" si="174"/>
        <v>12</v>
      </c>
    </row>
    <row r="394" spans="1:53" x14ac:dyDescent="0.2">
      <c r="A394" s="1" t="str">
        <f>'NonXtal_SegEnds_Prot#'!A393</f>
        <v>fzd1_human</v>
      </c>
      <c r="B394" s="1" t="str">
        <f t="shared" si="150"/>
        <v>PEELRFSRTWIGIWSVLCCASTLFTVLTYLVDYPERPIIFLSGCYTAVAVAYIAGFEGCTILFMMLYFFSMASSIWWVILSLTWFLAAGMKWGIEANSQYFHLAAWAVPAIKTITILALVDALRGFVLAPLFVYLFIGTSFLLAGFVSLFRIRTIMEKLEKLMVRIGVFSVLYTVPATIVIACYFYEQAFRDQWERSWVAQSCKSYAFTVFMIKYLMTLIVGITSGFWIWSGKTLNSWRKFYTRLT</v>
      </c>
      <c r="C394" s="72" t="str">
        <f>IF(ISERROR(MATCH(A394,'Xtal_SegEnds_Prot#'!B:B, 0)), "NoXtal", "Xtal")</f>
        <v>NoXtal</v>
      </c>
      <c r="D394" s="4" t="str">
        <f>VLOOKUP(A394,Classification!A:D,2,FALSE)</f>
        <v>F</v>
      </c>
      <c r="E394" s="5" t="str">
        <f>VLOOKUP(A394,Seqs!A:B,2,FALSE)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94" s="5" t="str">
        <f t="shared" si="151"/>
        <v>PEELRFSRTWIGIWSVLCCASTLFTVLTYLVD</v>
      </c>
      <c r="G394" s="4" t="str">
        <f t="shared" si="152"/>
        <v>MRRFS</v>
      </c>
      <c r="H394" s="4" t="str">
        <f t="shared" si="153"/>
        <v>YPERPIIFLSGCYTAVAVAYIAGF</v>
      </c>
      <c r="I394" s="4" t="str">
        <f t="shared" si="154"/>
        <v/>
      </c>
      <c r="J394" s="4" t="str">
        <f t="shared" si="155"/>
        <v>EGCTILFMMLYFFSMASSIWWVILSLTWFLAAGMKWG</v>
      </c>
      <c r="K394" s="4" t="str">
        <f t="shared" si="156"/>
        <v/>
      </c>
      <c r="L394" s="4" t="str">
        <f t="shared" si="157"/>
        <v>IEANSQYFHLAAWAVPAIKTITILAL</v>
      </c>
      <c r="M394" s="4" t="str">
        <f t="shared" si="158"/>
        <v>CFV</v>
      </c>
      <c r="N394" s="4" t="str">
        <f t="shared" si="159"/>
        <v>VDALRGFVLAPLFVYLFIGTSFLLAGFVSLFRIRTIM</v>
      </c>
      <c r="O394" s="4" t="str">
        <f t="shared" si="160"/>
        <v>EKLEKLMVRIGVFSVLYTVPATIVIACYFYEQAFRDQWERSWVAQSCKSYA</v>
      </c>
      <c r="P394" s="4" t="str">
        <f t="shared" si="161"/>
        <v>FTVFMIKYLMTLIVGITSGFWIW</v>
      </c>
      <c r="Q394" s="4" t="str">
        <f t="shared" si="162"/>
        <v>SGKTLNSWRKFYTRLT</v>
      </c>
      <c r="R394" s="5">
        <f>VLOOKUP($A394,'NonXtal_SegEnds_Prot#'!$A:$AL,3,FALSE)</f>
        <v>313</v>
      </c>
      <c r="S394" s="5">
        <f>VLOOKUP($A394,'NonXtal_SegEnds_Prot#'!$A:$AL,6,FALSE)</f>
        <v>345</v>
      </c>
      <c r="T394" s="5">
        <f>VLOOKUP($A394,'NonXtal_SegEnds_Prot#'!$A:$AL,9,FALSE)</f>
        <v>350</v>
      </c>
      <c r="U394" s="5" t="str">
        <f>VLOOKUP($A394,'NonXtal_SegEnds_Prot#'!$A:$AL,12,FALSE)</f>
        <v>-</v>
      </c>
      <c r="V394" s="5">
        <f>VLOOKUP($A394,'NonXtal_SegEnds_Prot#'!$A:$AL,15,FALSE)</f>
        <v>400</v>
      </c>
      <c r="W394" s="5" t="str">
        <f>VLOOKUP($A394,'NonXtal_SegEnds_Prot#'!$A:$AL,18,FALSE)</f>
        <v>-</v>
      </c>
      <c r="X394" s="5">
        <f>VLOOKUP($A394,'NonXtal_SegEnds_Prot#'!$A:$AL,21,FALSE)</f>
        <v>440</v>
      </c>
      <c r="Y394" s="5">
        <f>VLOOKUP($A394,'NonXtal_SegEnds_Prot#'!$A:$AL,24,FALSE)</f>
        <v>477</v>
      </c>
      <c r="Z394" s="5">
        <f>VLOOKUP($A394,'NonXtal_SegEnds_Prot#'!$A:$AL,27,FALSE)</f>
        <v>484</v>
      </c>
      <c r="AA394" s="5">
        <f>VLOOKUP($A394,'NonXtal_SegEnds_Prot#'!$A:$AL,30,FALSE)</f>
        <v>528</v>
      </c>
      <c r="AB394" s="5">
        <f>VLOOKUP($A394,'NonXtal_SegEnds_Prot#'!$A:$AL,33,FALSE)</f>
        <v>600</v>
      </c>
      <c r="AC394" s="5">
        <f>VLOOKUP($A394,'NonXtal_SegEnds_Prot#'!$A:$AL,36,FALSE)</f>
        <v>623</v>
      </c>
      <c r="AD394" s="5">
        <f>VLOOKUP($A394,'NonXtal_SegEnds_Prot#'!$A:$AL,5,FALSE)</f>
        <v>344</v>
      </c>
      <c r="AE394" s="5">
        <f>VLOOKUP($A394,'NonXtal_SegEnds_Prot#'!$A:$AL,8,FALSE)</f>
        <v>349</v>
      </c>
      <c r="AF394" s="5">
        <f>VLOOKUP($A394,'NonXtal_SegEnds_Prot#'!$A:$AL,11,FALSE)</f>
        <v>373</v>
      </c>
      <c r="AG394" s="5" t="str">
        <f>VLOOKUP($A394,'NonXtal_SegEnds_Prot#'!$A:$AL,14,FALSE)</f>
        <v>-</v>
      </c>
      <c r="AH394" s="5">
        <f>VLOOKUP($A394,'NonXtal_SegEnds_Prot#'!$A:$AL,17,FALSE)</f>
        <v>436</v>
      </c>
      <c r="AI394" s="5" t="str">
        <f>VLOOKUP($A394,'NonXtal_SegEnds_Prot#'!$A:$AL,20,FALSE)</f>
        <v>-</v>
      </c>
      <c r="AJ394" s="5">
        <f>VLOOKUP($A394,'NonXtal_SegEnds_Prot#'!$A:$AL,23,FALSE)</f>
        <v>465</v>
      </c>
      <c r="AK394" s="5">
        <f>VLOOKUP($A394,'NonXtal_SegEnds_Prot#'!$A:$AL,26,FALSE)</f>
        <v>479</v>
      </c>
      <c r="AL394" s="5">
        <f>VLOOKUP($A394,'NonXtal_SegEnds_Prot#'!$A:$AL,29,FALSE)</f>
        <v>520</v>
      </c>
      <c r="AM394" s="5">
        <f>VLOOKUP($A394,'NonXtal_SegEnds_Prot#'!$A:$AL,32,FALSE)</f>
        <v>578</v>
      </c>
      <c r="AN394" s="5">
        <f>VLOOKUP($A394,'NonXtal_SegEnds_Prot#'!$A:$AL,35,FALSE)</f>
        <v>622</v>
      </c>
      <c r="AO394" s="5">
        <f>VLOOKUP($A394,'NonXtal_SegEnds_Prot#'!$A:$AL,38,FALSE)</f>
        <v>638</v>
      </c>
      <c r="AP394" s="5">
        <f t="shared" si="163"/>
        <v>31</v>
      </c>
      <c r="AQ394" s="4">
        <f t="shared" si="164"/>
        <v>4</v>
      </c>
      <c r="AR394" s="4">
        <f t="shared" si="165"/>
        <v>23</v>
      </c>
      <c r="AS394" s="4" t="str">
        <f t="shared" si="166"/>
        <v>-</v>
      </c>
      <c r="AT394" s="4">
        <f t="shared" si="167"/>
        <v>36</v>
      </c>
      <c r="AU394" s="4" t="str">
        <f t="shared" si="168"/>
        <v>-</v>
      </c>
      <c r="AV394" s="4">
        <f t="shared" si="169"/>
        <v>25</v>
      </c>
      <c r="AW394" s="4">
        <f t="shared" si="170"/>
        <v>2</v>
      </c>
      <c r="AX394" s="4">
        <f t="shared" si="171"/>
        <v>36</v>
      </c>
      <c r="AY394" s="4">
        <f t="shared" si="172"/>
        <v>50</v>
      </c>
      <c r="AZ394" s="4">
        <f t="shared" si="173"/>
        <v>22</v>
      </c>
      <c r="BA394" s="4">
        <f t="shared" si="174"/>
        <v>15</v>
      </c>
    </row>
    <row r="395" spans="1:53" x14ac:dyDescent="0.2">
      <c r="A395" s="1" t="str">
        <f>'NonXtal_SegEnds_Prot#'!A394</f>
        <v>fzd8_human</v>
      </c>
      <c r="B395" s="1" t="str">
        <f t="shared" si="150"/>
        <v>QDERAFTVFWIGLWSVLCFVSTFATVSTFLIDYPERPIIFLSACYLFVSVGYLVRLALCTVVFLLVYFFGMASSIWWVILSLTWFLAAGMKWGIAGYSQYFHLAAWLVPSVKSIAVLALLDNLRGFVLAPLVIYLFIGTMFLLAGFVSLFRIRSVIHKLEKLMIRLGLFTVLYTVPAAVVVACLFYEQHNRPRWEATHNCPCLRDLQYAVFMLKYFMCLVVGITSGVWVWSGKTLESWRSLCTRCC</v>
      </c>
      <c r="C395" s="72" t="str">
        <f>IF(ISERROR(MATCH(A395,'Xtal_SegEnds_Prot#'!B:B, 0)), "NoXtal", "Xtal")</f>
        <v>NoXtal</v>
      </c>
      <c r="D395" s="4" t="str">
        <f>VLOOKUP(A395,Classification!A:D,2,FALSE)</f>
        <v>F</v>
      </c>
      <c r="E395" s="5" t="str">
        <f>VLOOKUP(A395,Seqs!A:B,2,FALSE)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95" s="5" t="str">
        <f t="shared" si="151"/>
        <v>QDERAFTVFWIGLWSVLCFVSTFATVSTFLID</v>
      </c>
      <c r="G395" s="4" t="str">
        <f t="shared" si="152"/>
        <v>MERFK</v>
      </c>
      <c r="H395" s="4" t="str">
        <f t="shared" si="153"/>
        <v>YPERPIIFLSACYLFVSVGYLVRL</v>
      </c>
      <c r="I395" s="4" t="str">
        <f t="shared" si="154"/>
        <v/>
      </c>
      <c r="J395" s="4" t="str">
        <f t="shared" si="155"/>
        <v>ALCTVVFLLVYFFGMASSIWWVILSLTWFLAAGMKWG</v>
      </c>
      <c r="K395" s="4" t="str">
        <f t="shared" si="156"/>
        <v/>
      </c>
      <c r="L395" s="4" t="str">
        <f t="shared" si="157"/>
        <v>IAGYSQYFHLAAWLVPSVKSIAVLAL</v>
      </c>
      <c r="M395" s="4" t="str">
        <f t="shared" si="158"/>
        <v>CYV</v>
      </c>
      <c r="N395" s="4" t="str">
        <f t="shared" si="159"/>
        <v>LDNLRGFVLAPLVIYLFIGTMFLLAGFVSLFRIRSVI</v>
      </c>
      <c r="O395" s="4" t="str">
        <f t="shared" si="160"/>
        <v>HKLEKLMIRLGLFTVLYTVPAAVVVACLFYEQHNRPRWEATHNCPCLRDLQ</v>
      </c>
      <c r="P395" s="4" t="str">
        <f t="shared" si="161"/>
        <v>YAVFMLKYFMCLVVGITSGVWVW</v>
      </c>
      <c r="Q395" s="4" t="str">
        <f t="shared" si="162"/>
        <v>SGKTLESWRSLCTRCC</v>
      </c>
      <c r="R395" s="5">
        <f>VLOOKUP($A395,'NonXtal_SegEnds_Prot#'!$A:$AL,3,FALSE)</f>
        <v>271</v>
      </c>
      <c r="S395" s="5">
        <f>VLOOKUP($A395,'NonXtal_SegEnds_Prot#'!$A:$AL,6,FALSE)</f>
        <v>303</v>
      </c>
      <c r="T395" s="5">
        <f>VLOOKUP($A395,'NonXtal_SegEnds_Prot#'!$A:$AL,9,FALSE)</f>
        <v>308</v>
      </c>
      <c r="U395" s="5" t="str">
        <f>VLOOKUP($A395,'NonXtal_SegEnds_Prot#'!$A:$AL,12,FALSE)</f>
        <v>-</v>
      </c>
      <c r="V395" s="5">
        <f>VLOOKUP($A395,'NonXtal_SegEnds_Prot#'!$A:$AL,15,FALSE)</f>
        <v>394</v>
      </c>
      <c r="W395" s="5" t="str">
        <f>VLOOKUP($A395,'NonXtal_SegEnds_Prot#'!$A:$AL,18,FALSE)</f>
        <v>-</v>
      </c>
      <c r="X395" s="5">
        <f>VLOOKUP($A395,'NonXtal_SegEnds_Prot#'!$A:$AL,21,FALSE)</f>
        <v>434</v>
      </c>
      <c r="Y395" s="5">
        <f>VLOOKUP($A395,'NonXtal_SegEnds_Prot#'!$A:$AL,24,FALSE)</f>
        <v>471</v>
      </c>
      <c r="Z395" s="5">
        <f>VLOOKUP($A395,'NonXtal_SegEnds_Prot#'!$A:$AL,27,FALSE)</f>
        <v>478</v>
      </c>
      <c r="AA395" s="5">
        <f>VLOOKUP($A395,'NonXtal_SegEnds_Prot#'!$A:$AL,30,FALSE)</f>
        <v>524</v>
      </c>
      <c r="AB395" s="5">
        <f>VLOOKUP($A395,'NonXtal_SegEnds_Prot#'!$A:$AL,33,FALSE)</f>
        <v>583</v>
      </c>
      <c r="AC395" s="5">
        <f>VLOOKUP($A395,'NonXtal_SegEnds_Prot#'!$A:$AL,36,FALSE)</f>
        <v>606</v>
      </c>
      <c r="AD395" s="5">
        <f>VLOOKUP($A395,'NonXtal_SegEnds_Prot#'!$A:$AL,5,FALSE)</f>
        <v>302</v>
      </c>
      <c r="AE395" s="5">
        <f>VLOOKUP($A395,'NonXtal_SegEnds_Prot#'!$A:$AL,8,FALSE)</f>
        <v>307</v>
      </c>
      <c r="AF395" s="5">
        <f>VLOOKUP($A395,'NonXtal_SegEnds_Prot#'!$A:$AL,11,FALSE)</f>
        <v>331</v>
      </c>
      <c r="AG395" s="5" t="str">
        <f>VLOOKUP($A395,'NonXtal_SegEnds_Prot#'!$A:$AL,14,FALSE)</f>
        <v>-</v>
      </c>
      <c r="AH395" s="5">
        <f>VLOOKUP($A395,'NonXtal_SegEnds_Prot#'!$A:$AL,17,FALSE)</f>
        <v>430</v>
      </c>
      <c r="AI395" s="5" t="str">
        <f>VLOOKUP($A395,'NonXtal_SegEnds_Prot#'!$A:$AL,20,FALSE)</f>
        <v>-</v>
      </c>
      <c r="AJ395" s="5">
        <f>VLOOKUP($A395,'NonXtal_SegEnds_Prot#'!$A:$AL,23,FALSE)</f>
        <v>459</v>
      </c>
      <c r="AK395" s="5">
        <f>VLOOKUP($A395,'NonXtal_SegEnds_Prot#'!$A:$AL,26,FALSE)</f>
        <v>473</v>
      </c>
      <c r="AL395" s="5">
        <f>VLOOKUP($A395,'NonXtal_SegEnds_Prot#'!$A:$AL,29,FALSE)</f>
        <v>514</v>
      </c>
      <c r="AM395" s="5">
        <f>VLOOKUP($A395,'NonXtal_SegEnds_Prot#'!$A:$AL,32,FALSE)</f>
        <v>574</v>
      </c>
      <c r="AN395" s="5">
        <f>VLOOKUP($A395,'NonXtal_SegEnds_Prot#'!$A:$AL,35,FALSE)</f>
        <v>605</v>
      </c>
      <c r="AO395" s="5">
        <f>VLOOKUP($A395,'NonXtal_SegEnds_Prot#'!$A:$AL,38,FALSE)</f>
        <v>621</v>
      </c>
      <c r="AP395" s="5">
        <f t="shared" si="163"/>
        <v>31</v>
      </c>
      <c r="AQ395" s="4">
        <f t="shared" si="164"/>
        <v>4</v>
      </c>
      <c r="AR395" s="4">
        <f t="shared" si="165"/>
        <v>23</v>
      </c>
      <c r="AS395" s="4" t="str">
        <f t="shared" si="166"/>
        <v>-</v>
      </c>
      <c r="AT395" s="4">
        <f t="shared" si="167"/>
        <v>36</v>
      </c>
      <c r="AU395" s="4" t="str">
        <f t="shared" si="168"/>
        <v>-</v>
      </c>
      <c r="AV395" s="4">
        <f t="shared" si="169"/>
        <v>25</v>
      </c>
      <c r="AW395" s="4">
        <f t="shared" si="170"/>
        <v>2</v>
      </c>
      <c r="AX395" s="4">
        <f t="shared" si="171"/>
        <v>36</v>
      </c>
      <c r="AY395" s="4">
        <f t="shared" si="172"/>
        <v>50</v>
      </c>
      <c r="AZ395" s="4">
        <f t="shared" si="173"/>
        <v>22</v>
      </c>
      <c r="BA395" s="4">
        <f t="shared" si="174"/>
        <v>15</v>
      </c>
    </row>
    <row r="396" spans="1:53" x14ac:dyDescent="0.2">
      <c r="A396" s="1" t="str">
        <f>'NonXtal_SegEnds_Prot#'!A395</f>
        <v>fzd7_human</v>
      </c>
      <c r="B396" s="1" t="str">
        <f t="shared" si="150"/>
        <v>EEERRFARLWVGVWSVLCCASTLFTVLTYLVDYPERPIIFLSGCYFMVAVAHVAGFEGCTILFMVLYFFGMASSIWWVILSLTWFLAAGMKWGIEANSQYFHLAAWAVPAVKTITILAMVDALRGFVLAPLFVYLFIGTSFLLAGFVSLFRIRTIMEKLEKLMVRIGVFSVLYTVPATIVLACYFYEQAFREHWERTWLLQTCKSYAFTVFMIKYLMTMIVGITTGFWIWSGKTLQSWRRFYHRLS</v>
      </c>
      <c r="C396" s="72" t="str">
        <f>IF(ISERROR(MATCH(A396,'Xtal_SegEnds_Prot#'!B:B, 0)), "NoXtal", "Xtal")</f>
        <v>NoXtal</v>
      </c>
      <c r="D396" s="4" t="str">
        <f>VLOOKUP(A396,Classification!A:D,2,FALSE)</f>
        <v>F</v>
      </c>
      <c r="E396" s="5" t="str">
        <f>VLOOKUP(A396,Seqs!A:B,2,FALSE)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96" s="5" t="str">
        <f t="shared" si="151"/>
        <v>EEERRFARLWVGVWSVLCCASTLFTVLTYLVD</v>
      </c>
      <c r="G396" s="4" t="str">
        <f t="shared" si="152"/>
        <v>MRRFS</v>
      </c>
      <c r="H396" s="4" t="str">
        <f t="shared" si="153"/>
        <v>YPERPIIFLSGCYFMVAVAHVAGF</v>
      </c>
      <c r="I396" s="4" t="str">
        <f t="shared" si="154"/>
        <v/>
      </c>
      <c r="J396" s="4" t="str">
        <f t="shared" si="155"/>
        <v>EGCTILFMVLYFFGMASSIWWVILSLTWFLAAGMKWG</v>
      </c>
      <c r="K396" s="4" t="str">
        <f t="shared" si="156"/>
        <v/>
      </c>
      <c r="L396" s="4" t="str">
        <f t="shared" si="157"/>
        <v>IEANSQYFHLAAWAVPAVKTITILAM</v>
      </c>
      <c r="M396" s="4" t="str">
        <f t="shared" si="158"/>
        <v>CYV</v>
      </c>
      <c r="N396" s="4" t="str">
        <f t="shared" si="159"/>
        <v>VDALRGFVLAPLFVYLFIGTSFLLAGFVSLFRIRTIM</v>
      </c>
      <c r="O396" s="4" t="str">
        <f t="shared" si="160"/>
        <v>EKLEKLMVRIGVFSVLYTVPATIVLACYFYEQAFREHWERTWLLQTCKSYA</v>
      </c>
      <c r="P396" s="4" t="str">
        <f t="shared" si="161"/>
        <v>FTVFMIKYLMTMIVGITTGFWIW</v>
      </c>
      <c r="Q396" s="4" t="str">
        <f t="shared" si="162"/>
        <v>SGKTLQSWRRFYHRLS</v>
      </c>
      <c r="R396" s="5">
        <f>VLOOKUP($A396,'NonXtal_SegEnds_Prot#'!$A:$AL,3,FALSE)</f>
        <v>247</v>
      </c>
      <c r="S396" s="5">
        <f>VLOOKUP($A396,'NonXtal_SegEnds_Prot#'!$A:$AL,6,FALSE)</f>
        <v>279</v>
      </c>
      <c r="T396" s="5">
        <f>VLOOKUP($A396,'NonXtal_SegEnds_Prot#'!$A:$AL,9,FALSE)</f>
        <v>284</v>
      </c>
      <c r="U396" s="5" t="str">
        <f>VLOOKUP($A396,'NonXtal_SegEnds_Prot#'!$A:$AL,12,FALSE)</f>
        <v>-</v>
      </c>
      <c r="V396" s="5">
        <f>VLOOKUP($A396,'NonXtal_SegEnds_Prot#'!$A:$AL,15,FALSE)</f>
        <v>334</v>
      </c>
      <c r="W396" s="5" t="str">
        <f>VLOOKUP($A396,'NonXtal_SegEnds_Prot#'!$A:$AL,18,FALSE)</f>
        <v>-</v>
      </c>
      <c r="X396" s="5">
        <f>VLOOKUP($A396,'NonXtal_SegEnds_Prot#'!$A:$AL,21,FALSE)</f>
        <v>374</v>
      </c>
      <c r="Y396" s="5">
        <f>VLOOKUP($A396,'NonXtal_SegEnds_Prot#'!$A:$AL,24,FALSE)</f>
        <v>411</v>
      </c>
      <c r="Z396" s="5">
        <f>VLOOKUP($A396,'NonXtal_SegEnds_Prot#'!$A:$AL,27,FALSE)</f>
        <v>418</v>
      </c>
      <c r="AA396" s="5">
        <f>VLOOKUP($A396,'NonXtal_SegEnds_Prot#'!$A:$AL,30,FALSE)</f>
        <v>462</v>
      </c>
      <c r="AB396" s="5">
        <f>VLOOKUP($A396,'NonXtal_SegEnds_Prot#'!$A:$AL,33,FALSE)</f>
        <v>527</v>
      </c>
      <c r="AC396" s="5">
        <f>VLOOKUP($A396,'NonXtal_SegEnds_Prot#'!$A:$AL,36,FALSE)</f>
        <v>550</v>
      </c>
      <c r="AD396" s="5">
        <f>VLOOKUP($A396,'NonXtal_SegEnds_Prot#'!$A:$AL,5,FALSE)</f>
        <v>278</v>
      </c>
      <c r="AE396" s="5">
        <f>VLOOKUP($A396,'NonXtal_SegEnds_Prot#'!$A:$AL,8,FALSE)</f>
        <v>283</v>
      </c>
      <c r="AF396" s="5">
        <f>VLOOKUP($A396,'NonXtal_SegEnds_Prot#'!$A:$AL,11,FALSE)</f>
        <v>307</v>
      </c>
      <c r="AG396" s="5" t="str">
        <f>VLOOKUP($A396,'NonXtal_SegEnds_Prot#'!$A:$AL,14,FALSE)</f>
        <v>-</v>
      </c>
      <c r="AH396" s="5">
        <f>VLOOKUP($A396,'NonXtal_SegEnds_Prot#'!$A:$AL,17,FALSE)</f>
        <v>370</v>
      </c>
      <c r="AI396" s="5" t="str">
        <f>VLOOKUP($A396,'NonXtal_SegEnds_Prot#'!$A:$AL,20,FALSE)</f>
        <v>-</v>
      </c>
      <c r="AJ396" s="5">
        <f>VLOOKUP($A396,'NonXtal_SegEnds_Prot#'!$A:$AL,23,FALSE)</f>
        <v>399</v>
      </c>
      <c r="AK396" s="5">
        <f>VLOOKUP($A396,'NonXtal_SegEnds_Prot#'!$A:$AL,26,FALSE)</f>
        <v>413</v>
      </c>
      <c r="AL396" s="5">
        <f>VLOOKUP($A396,'NonXtal_SegEnds_Prot#'!$A:$AL,29,FALSE)</f>
        <v>454</v>
      </c>
      <c r="AM396" s="5">
        <f>VLOOKUP($A396,'NonXtal_SegEnds_Prot#'!$A:$AL,32,FALSE)</f>
        <v>512</v>
      </c>
      <c r="AN396" s="5">
        <f>VLOOKUP($A396,'NonXtal_SegEnds_Prot#'!$A:$AL,35,FALSE)</f>
        <v>549</v>
      </c>
      <c r="AO396" s="5">
        <f>VLOOKUP($A396,'NonXtal_SegEnds_Prot#'!$A:$AL,38,FALSE)</f>
        <v>565</v>
      </c>
      <c r="AP396" s="5">
        <f t="shared" si="163"/>
        <v>31</v>
      </c>
      <c r="AQ396" s="4">
        <f t="shared" si="164"/>
        <v>4</v>
      </c>
      <c r="AR396" s="4">
        <f t="shared" si="165"/>
        <v>23</v>
      </c>
      <c r="AS396" s="4" t="str">
        <f t="shared" si="166"/>
        <v>-</v>
      </c>
      <c r="AT396" s="4">
        <f t="shared" si="167"/>
        <v>36</v>
      </c>
      <c r="AU396" s="4" t="str">
        <f t="shared" si="168"/>
        <v>-</v>
      </c>
      <c r="AV396" s="4">
        <f t="shared" si="169"/>
        <v>25</v>
      </c>
      <c r="AW396" s="4">
        <f t="shared" si="170"/>
        <v>2</v>
      </c>
      <c r="AX396" s="4">
        <f t="shared" si="171"/>
        <v>36</v>
      </c>
      <c r="AY396" s="4">
        <f t="shared" si="172"/>
        <v>50</v>
      </c>
      <c r="AZ396" s="4">
        <f t="shared" si="173"/>
        <v>22</v>
      </c>
      <c r="BA396" s="4">
        <f t="shared" si="174"/>
        <v>15</v>
      </c>
    </row>
    <row r="397" spans="1:53" x14ac:dyDescent="0.2">
      <c r="A397" s="1" t="str">
        <f>'NonXtal_SegEnds_Prot#'!A396</f>
        <v>fzd2_human</v>
      </c>
      <c r="B397" s="1" t="str">
        <f t="shared" si="150"/>
        <v>QEETRFARLWILTWSVLCCASTFFTVTTYLVDYPERPIIFLSGCYTMVSVAYIAGFEGCTILFMMLYFFSMASSIWWVILSLTWFLAAGMKWGIEANSQYFHLAAWAVPAVKTITILAMLDPLRGFVLAPLFVYLFIGTSFLLAGFVSLFRIRTIMEKLERLMVRIGVFSVLYTVPATIVIACYFYEQAFREHWERSWVSQHCKSLAFTVYMIKYLMTLIVGITSGFWIWSGKTLHSWRKFYTRLT</v>
      </c>
      <c r="C397" s="72" t="str">
        <f>IF(ISERROR(MATCH(A397,'Xtal_SegEnds_Prot#'!B:B, 0)), "NoXtal", "Xtal")</f>
        <v>NoXtal</v>
      </c>
      <c r="D397" s="4" t="str">
        <f>VLOOKUP(A397,Classification!A:D,2,FALSE)</f>
        <v>F</v>
      </c>
      <c r="E397" s="5" t="str">
        <f>VLOOKUP(A397,Seqs!A:B,2,FALSE)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97" s="5" t="str">
        <f t="shared" si="151"/>
        <v>QEETRFARLWILTWSVLCCASTFFTVTTYLVD</v>
      </c>
      <c r="G397" s="4" t="str">
        <f t="shared" si="152"/>
        <v>MQRFR</v>
      </c>
      <c r="H397" s="4" t="str">
        <f t="shared" si="153"/>
        <v>YPERPIIFLSGCYTMVSVAYIAGF</v>
      </c>
      <c r="I397" s="4" t="str">
        <f t="shared" si="154"/>
        <v/>
      </c>
      <c r="J397" s="4" t="str">
        <f t="shared" si="155"/>
        <v>EGCTILFMMLYFFSMASSIWWVILSLTWFLAAGMKWG</v>
      </c>
      <c r="K397" s="4" t="str">
        <f t="shared" si="156"/>
        <v/>
      </c>
      <c r="L397" s="4" t="str">
        <f t="shared" si="157"/>
        <v>IEANSQYFHLAAWAVPAVKTITILAM</v>
      </c>
      <c r="M397" s="4" t="str">
        <f t="shared" si="158"/>
        <v>CFV</v>
      </c>
      <c r="N397" s="4" t="str">
        <f t="shared" si="159"/>
        <v>LDPLRGFVLAPLFVYLFIGTSFLLAGFVSLFRIRTIM</v>
      </c>
      <c r="O397" s="4" t="str">
        <f t="shared" si="160"/>
        <v>EKLERLMVRIGVFSVLYTVPATIVIACYFYEQAFREHWERSWVSQHCKSLA</v>
      </c>
      <c r="P397" s="4" t="str">
        <f t="shared" si="161"/>
        <v>FTVYMIKYLMTLIVGITSGFWIW</v>
      </c>
      <c r="Q397" s="4" t="str">
        <f t="shared" si="162"/>
        <v>SGKTLHSWRKFYTRLT</v>
      </c>
      <c r="R397" s="5">
        <f>VLOOKUP($A397,'NonXtal_SegEnds_Prot#'!$A:$AL,3,FALSE)</f>
        <v>238</v>
      </c>
      <c r="S397" s="5">
        <f>VLOOKUP($A397,'NonXtal_SegEnds_Prot#'!$A:$AL,6,FALSE)</f>
        <v>270</v>
      </c>
      <c r="T397" s="5">
        <f>VLOOKUP($A397,'NonXtal_SegEnds_Prot#'!$A:$AL,9,FALSE)</f>
        <v>275</v>
      </c>
      <c r="U397" s="5" t="str">
        <f>VLOOKUP($A397,'NonXtal_SegEnds_Prot#'!$A:$AL,12,FALSE)</f>
        <v>-</v>
      </c>
      <c r="V397" s="5">
        <f>VLOOKUP($A397,'NonXtal_SegEnds_Prot#'!$A:$AL,15,FALSE)</f>
        <v>325</v>
      </c>
      <c r="W397" s="5" t="str">
        <f>VLOOKUP($A397,'NonXtal_SegEnds_Prot#'!$A:$AL,18,FALSE)</f>
        <v>-</v>
      </c>
      <c r="X397" s="5">
        <f>VLOOKUP($A397,'NonXtal_SegEnds_Prot#'!$A:$AL,21,FALSE)</f>
        <v>365</v>
      </c>
      <c r="Y397" s="5">
        <f>VLOOKUP($A397,'NonXtal_SegEnds_Prot#'!$A:$AL,24,FALSE)</f>
        <v>402</v>
      </c>
      <c r="Z397" s="5">
        <f>VLOOKUP($A397,'NonXtal_SegEnds_Prot#'!$A:$AL,27,FALSE)</f>
        <v>409</v>
      </c>
      <c r="AA397" s="5">
        <f>VLOOKUP($A397,'NonXtal_SegEnds_Prot#'!$A:$AL,30,FALSE)</f>
        <v>453</v>
      </c>
      <c r="AB397" s="5">
        <f>VLOOKUP($A397,'NonXtal_SegEnds_Prot#'!$A:$AL,33,FALSE)</f>
        <v>518</v>
      </c>
      <c r="AC397" s="5">
        <f>VLOOKUP($A397,'NonXtal_SegEnds_Prot#'!$A:$AL,36,FALSE)</f>
        <v>541</v>
      </c>
      <c r="AD397" s="5">
        <f>VLOOKUP($A397,'NonXtal_SegEnds_Prot#'!$A:$AL,5,FALSE)</f>
        <v>269</v>
      </c>
      <c r="AE397" s="5">
        <f>VLOOKUP($A397,'NonXtal_SegEnds_Prot#'!$A:$AL,8,FALSE)</f>
        <v>274</v>
      </c>
      <c r="AF397" s="5">
        <f>VLOOKUP($A397,'NonXtal_SegEnds_Prot#'!$A:$AL,11,FALSE)</f>
        <v>298</v>
      </c>
      <c r="AG397" s="5" t="str">
        <f>VLOOKUP($A397,'NonXtal_SegEnds_Prot#'!$A:$AL,14,FALSE)</f>
        <v>-</v>
      </c>
      <c r="AH397" s="5">
        <f>VLOOKUP($A397,'NonXtal_SegEnds_Prot#'!$A:$AL,17,FALSE)</f>
        <v>361</v>
      </c>
      <c r="AI397" s="5" t="str">
        <f>VLOOKUP($A397,'NonXtal_SegEnds_Prot#'!$A:$AL,20,FALSE)</f>
        <v>-</v>
      </c>
      <c r="AJ397" s="5">
        <f>VLOOKUP($A397,'NonXtal_SegEnds_Prot#'!$A:$AL,23,FALSE)</f>
        <v>390</v>
      </c>
      <c r="AK397" s="5">
        <f>VLOOKUP($A397,'NonXtal_SegEnds_Prot#'!$A:$AL,26,FALSE)</f>
        <v>404</v>
      </c>
      <c r="AL397" s="5">
        <f>VLOOKUP($A397,'NonXtal_SegEnds_Prot#'!$A:$AL,29,FALSE)</f>
        <v>445</v>
      </c>
      <c r="AM397" s="5">
        <f>VLOOKUP($A397,'NonXtal_SegEnds_Prot#'!$A:$AL,32,FALSE)</f>
        <v>503</v>
      </c>
      <c r="AN397" s="5">
        <f>VLOOKUP($A397,'NonXtal_SegEnds_Prot#'!$A:$AL,35,FALSE)</f>
        <v>540</v>
      </c>
      <c r="AO397" s="5">
        <f>VLOOKUP($A397,'NonXtal_SegEnds_Prot#'!$A:$AL,38,FALSE)</f>
        <v>556</v>
      </c>
      <c r="AP397" s="5">
        <f t="shared" si="163"/>
        <v>31</v>
      </c>
      <c r="AQ397" s="4">
        <f t="shared" si="164"/>
        <v>4</v>
      </c>
      <c r="AR397" s="4">
        <f t="shared" si="165"/>
        <v>23</v>
      </c>
      <c r="AS397" s="4" t="str">
        <f t="shared" si="166"/>
        <v>-</v>
      </c>
      <c r="AT397" s="4">
        <f t="shared" si="167"/>
        <v>36</v>
      </c>
      <c r="AU397" s="4" t="str">
        <f t="shared" si="168"/>
        <v>-</v>
      </c>
      <c r="AV397" s="4">
        <f t="shared" si="169"/>
        <v>25</v>
      </c>
      <c r="AW397" s="4">
        <f t="shared" si="170"/>
        <v>2</v>
      </c>
      <c r="AX397" s="4">
        <f t="shared" si="171"/>
        <v>36</v>
      </c>
      <c r="AY397" s="4">
        <f t="shared" si="172"/>
        <v>50</v>
      </c>
      <c r="AZ397" s="4">
        <f t="shared" si="173"/>
        <v>22</v>
      </c>
      <c r="BA397" s="4">
        <f t="shared" si="174"/>
        <v>15</v>
      </c>
    </row>
    <row r="398" spans="1:53" x14ac:dyDescent="0.2">
      <c r="A398" s="1" t="str">
        <f>'NonXtal_SegEnds_Prot#'!A397</f>
        <v>fzd5_human</v>
      </c>
      <c r="B398" s="1" t="str">
        <f t="shared" si="150"/>
        <v>ADERTFATFWIGLWSVLCFISTSTTVATFLIDYPERPIIFLSACYLCVSLGFLVRLALCTIVFLLVYFFGMASSIWWVILSLTWFLAAGMKWGIAGYAQYFHLAAWLIPSVKSITALALLNSLRGFVLGPLVLYLLVGTLFLLAGFVSLFRIRSVIDKLEKLMIRIGIFTLLYTVPASIVVACYLYEQHYRESWEAALTCACPGHDTYWVLMLKYFMCLVVGITSGVWIWSGKTVESWRRFTSRCC</v>
      </c>
      <c r="C398" s="72" t="str">
        <f>IF(ISERROR(MATCH(A398,'Xtal_SegEnds_Prot#'!B:B, 0)), "NoXtal", "Xtal")</f>
        <v>NoXtal</v>
      </c>
      <c r="D398" s="4" t="str">
        <f>VLOOKUP(A398,Classification!A:D,2,FALSE)</f>
        <v>F</v>
      </c>
      <c r="E398" s="5" t="str">
        <f>VLOOKUP(A398,Seqs!A:B,2,FALSE)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98" s="5" t="str">
        <f t="shared" si="151"/>
        <v>ADERTFATFWIGLWSVLCFISTSTTVATFLID</v>
      </c>
      <c r="G398" s="4" t="str">
        <f t="shared" si="152"/>
        <v>MERFR</v>
      </c>
      <c r="H398" s="4" t="str">
        <f t="shared" si="153"/>
        <v>YPERPIIFLSACYLCVSLGFLVRL</v>
      </c>
      <c r="I398" s="4" t="str">
        <f t="shared" si="154"/>
        <v/>
      </c>
      <c r="J398" s="4" t="str">
        <f t="shared" si="155"/>
        <v>ALCTIVFLLVYFFGMASSIWWVILSLTWFLAAGMKWG</v>
      </c>
      <c r="K398" s="4" t="str">
        <f t="shared" si="156"/>
        <v/>
      </c>
      <c r="L398" s="4" t="str">
        <f t="shared" si="157"/>
        <v>IAGYAQYFHLAAWLIPSVKSITALAL</v>
      </c>
      <c r="M398" s="4" t="str">
        <f t="shared" si="158"/>
        <v>CYV</v>
      </c>
      <c r="N398" s="4" t="str">
        <f t="shared" si="159"/>
        <v>LNSLRGFVLGPLVLYLLVGTLFLLAGFVSLFRIRSVI</v>
      </c>
      <c r="O398" s="4" t="str">
        <f t="shared" si="160"/>
        <v>DKLEKLMIRIGIFTLLYTVPASIVVACYLYEQHYRESWEAALTCACPGHDT</v>
      </c>
      <c r="P398" s="4" t="str">
        <f t="shared" si="161"/>
        <v>YWVLMLKYFMCLVVGITSGVWIW</v>
      </c>
      <c r="Q398" s="4" t="str">
        <f t="shared" si="162"/>
        <v>SGKTVESWRRFTSRCC</v>
      </c>
      <c r="R398" s="5">
        <f>VLOOKUP($A398,'NonXtal_SegEnds_Prot#'!$A:$AL,3,FALSE)</f>
        <v>229</v>
      </c>
      <c r="S398" s="5">
        <f>VLOOKUP($A398,'NonXtal_SegEnds_Prot#'!$A:$AL,6,FALSE)</f>
        <v>261</v>
      </c>
      <c r="T398" s="5">
        <f>VLOOKUP($A398,'NonXtal_SegEnds_Prot#'!$A:$AL,9,FALSE)</f>
        <v>266</v>
      </c>
      <c r="U398" s="5" t="str">
        <f>VLOOKUP($A398,'NonXtal_SegEnds_Prot#'!$A:$AL,12,FALSE)</f>
        <v>-</v>
      </c>
      <c r="V398" s="5">
        <f>VLOOKUP($A398,'NonXtal_SegEnds_Prot#'!$A:$AL,15,FALSE)</f>
        <v>313</v>
      </c>
      <c r="W398" s="5" t="str">
        <f>VLOOKUP($A398,'NonXtal_SegEnds_Prot#'!$A:$AL,18,FALSE)</f>
        <v>-</v>
      </c>
      <c r="X398" s="5">
        <f>VLOOKUP($A398,'NonXtal_SegEnds_Prot#'!$A:$AL,21,FALSE)</f>
        <v>353</v>
      </c>
      <c r="Y398" s="5">
        <f>VLOOKUP($A398,'NonXtal_SegEnds_Prot#'!$A:$AL,24,FALSE)</f>
        <v>390</v>
      </c>
      <c r="Z398" s="5">
        <f>VLOOKUP($A398,'NonXtal_SegEnds_Prot#'!$A:$AL,27,FALSE)</f>
        <v>397</v>
      </c>
      <c r="AA398" s="5">
        <f>VLOOKUP($A398,'NonXtal_SegEnds_Prot#'!$A:$AL,30,FALSE)</f>
        <v>441</v>
      </c>
      <c r="AB398" s="5">
        <f>VLOOKUP($A398,'NonXtal_SegEnds_Prot#'!$A:$AL,33,FALSE)</f>
        <v>500</v>
      </c>
      <c r="AC398" s="5">
        <f>VLOOKUP($A398,'NonXtal_SegEnds_Prot#'!$A:$AL,36,FALSE)</f>
        <v>523</v>
      </c>
      <c r="AD398" s="5">
        <f>VLOOKUP($A398,'NonXtal_SegEnds_Prot#'!$A:$AL,5,FALSE)</f>
        <v>260</v>
      </c>
      <c r="AE398" s="5">
        <f>VLOOKUP($A398,'NonXtal_SegEnds_Prot#'!$A:$AL,8,FALSE)</f>
        <v>265</v>
      </c>
      <c r="AF398" s="5">
        <f>VLOOKUP($A398,'NonXtal_SegEnds_Prot#'!$A:$AL,11,FALSE)</f>
        <v>289</v>
      </c>
      <c r="AG398" s="5" t="str">
        <f>VLOOKUP($A398,'NonXtal_SegEnds_Prot#'!$A:$AL,14,FALSE)</f>
        <v>-</v>
      </c>
      <c r="AH398" s="5">
        <f>VLOOKUP($A398,'NonXtal_SegEnds_Prot#'!$A:$AL,17,FALSE)</f>
        <v>349</v>
      </c>
      <c r="AI398" s="5" t="str">
        <f>VLOOKUP($A398,'NonXtal_SegEnds_Prot#'!$A:$AL,20,FALSE)</f>
        <v>-</v>
      </c>
      <c r="AJ398" s="5">
        <f>VLOOKUP($A398,'NonXtal_SegEnds_Prot#'!$A:$AL,23,FALSE)</f>
        <v>378</v>
      </c>
      <c r="AK398" s="5">
        <f>VLOOKUP($A398,'NonXtal_SegEnds_Prot#'!$A:$AL,26,FALSE)</f>
        <v>392</v>
      </c>
      <c r="AL398" s="5">
        <f>VLOOKUP($A398,'NonXtal_SegEnds_Prot#'!$A:$AL,29,FALSE)</f>
        <v>433</v>
      </c>
      <c r="AM398" s="5">
        <f>VLOOKUP($A398,'NonXtal_SegEnds_Prot#'!$A:$AL,32,FALSE)</f>
        <v>491</v>
      </c>
      <c r="AN398" s="5">
        <f>VLOOKUP($A398,'NonXtal_SegEnds_Prot#'!$A:$AL,35,FALSE)</f>
        <v>522</v>
      </c>
      <c r="AO398" s="5">
        <f>VLOOKUP($A398,'NonXtal_SegEnds_Prot#'!$A:$AL,38,FALSE)</f>
        <v>538</v>
      </c>
      <c r="AP398" s="5">
        <f t="shared" si="163"/>
        <v>31</v>
      </c>
      <c r="AQ398" s="4">
        <f t="shared" si="164"/>
        <v>4</v>
      </c>
      <c r="AR398" s="4">
        <f t="shared" si="165"/>
        <v>23</v>
      </c>
      <c r="AS398" s="4" t="str">
        <f t="shared" si="166"/>
        <v>-</v>
      </c>
      <c r="AT398" s="4">
        <f t="shared" si="167"/>
        <v>36</v>
      </c>
      <c r="AU398" s="4" t="str">
        <f t="shared" si="168"/>
        <v>-</v>
      </c>
      <c r="AV398" s="4">
        <f t="shared" si="169"/>
        <v>25</v>
      </c>
      <c r="AW398" s="4">
        <f t="shared" si="170"/>
        <v>2</v>
      </c>
      <c r="AX398" s="4">
        <f t="shared" si="171"/>
        <v>36</v>
      </c>
      <c r="AY398" s="4">
        <f t="shared" si="172"/>
        <v>50</v>
      </c>
      <c r="AZ398" s="4">
        <f t="shared" si="173"/>
        <v>22</v>
      </c>
      <c r="BA398" s="4">
        <f t="shared" si="174"/>
        <v>15</v>
      </c>
    </row>
    <row r="399" spans="1:53" x14ac:dyDescent="0.2">
      <c r="A399" s="1" t="str">
        <f>'NonXtal_SegEnds_Prot#'!A399</f>
        <v>fzd9_human</v>
      </c>
      <c r="B399" s="1" t="str">
        <f t="shared" si="150"/>
        <v>RRDKDFALVWMAVWSALCFFSTAFTVLTFLLEYPERPIIFLSMCYNVYSLAFLIRATGCTLVFLLLYYFGMASSLWWVVLTLTWFLAAGKKWGIEAHGSYFHMAAWGLPALKTIVILTLAAALTGFVLVPLSGYLVLGSSFLLTGFVALFHIRKIMEKLEKLMVKIGVFSILYTVPATCVIVCYVYERLNMDFWRLRATEQPCAAAAVAVFMLKIFMSLVVGITSGVWVWSSKTFQTWQSLCYRKI</v>
      </c>
      <c r="C399" s="72" t="str">
        <f>IF(ISERROR(MATCH(A399,'Xtal_SegEnds_Prot#'!B:B, 0)), "NoXtal", "Xtal")</f>
        <v>NoXtal</v>
      </c>
      <c r="D399" s="4" t="str">
        <f>VLOOKUP(A399,Classification!A:D,2,FALSE)</f>
        <v>F</v>
      </c>
      <c r="E399" s="5" t="str">
        <f>VLOOKUP(A399,Seqs!A:B,2,FALSE)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99" s="5" t="str">
        <f t="shared" si="151"/>
        <v>RRDKDFALVWMAVWSALCFFSTAFTVLTFLLE</v>
      </c>
      <c r="G399" s="4" t="str">
        <f t="shared" si="152"/>
        <v>PHRFQ</v>
      </c>
      <c r="H399" s="4" t="str">
        <f t="shared" si="153"/>
        <v>YPERPIIFLSMCYNVYSLAFLIRA</v>
      </c>
      <c r="I399" s="4" t="str">
        <f t="shared" si="154"/>
        <v/>
      </c>
      <c r="J399" s="4" t="str">
        <f t="shared" si="155"/>
        <v>TGCTLVFLLLYYFGMASSLWWVVLTLTWFLAAGKKWG</v>
      </c>
      <c r="K399" s="4" t="str">
        <f t="shared" si="156"/>
        <v/>
      </c>
      <c r="L399" s="4" t="str">
        <f t="shared" si="157"/>
        <v>IEAHGSYFHMAAWGLPALKTIVILTL</v>
      </c>
      <c r="M399" s="4" t="str">
        <f t="shared" si="158"/>
        <v>CYV</v>
      </c>
      <c r="N399" s="4" t="str">
        <f t="shared" si="159"/>
        <v>AAALTGFVLVPLSGYLVLGSSFLLTGFVALFHIRKIM</v>
      </c>
      <c r="O399" s="4" t="str">
        <f t="shared" si="160"/>
        <v>EKLEKLMVKIGVFSILYTVPATCVIVCYVYERLNMDFWRLRATEQPCAAAA</v>
      </c>
      <c r="P399" s="4" t="str">
        <f t="shared" si="161"/>
        <v>VAVFMLKIFMSLVVGITSGVWVW</v>
      </c>
      <c r="Q399" s="4" t="str">
        <f t="shared" si="162"/>
        <v>SSKTFQTWQSLCYRKI</v>
      </c>
      <c r="R399" s="5">
        <f>VLOOKUP($A399,'NonXtal_SegEnds_Prot#'!$A:$AL,3,FALSE)</f>
        <v>225</v>
      </c>
      <c r="S399" s="5">
        <f>VLOOKUP($A399,'NonXtal_SegEnds_Prot#'!$A:$AL,6,FALSE)</f>
        <v>257</v>
      </c>
      <c r="T399" s="5">
        <f>VLOOKUP($A399,'NonXtal_SegEnds_Prot#'!$A:$AL,9,FALSE)</f>
        <v>262</v>
      </c>
      <c r="U399" s="5" t="str">
        <f>VLOOKUP($A399,'NonXtal_SegEnds_Prot#'!$A:$AL,12,FALSE)</f>
        <v>-</v>
      </c>
      <c r="V399" s="5">
        <f>VLOOKUP($A399,'NonXtal_SegEnds_Prot#'!$A:$AL,15,FALSE)</f>
        <v>311</v>
      </c>
      <c r="W399" s="5" t="str">
        <f>VLOOKUP($A399,'NonXtal_SegEnds_Prot#'!$A:$AL,18,FALSE)</f>
        <v>-</v>
      </c>
      <c r="X399" s="5">
        <f>VLOOKUP($A399,'NonXtal_SegEnds_Prot#'!$A:$AL,21,FALSE)</f>
        <v>351</v>
      </c>
      <c r="Y399" s="5">
        <f>VLOOKUP($A399,'NonXtal_SegEnds_Prot#'!$A:$AL,24,FALSE)</f>
        <v>388</v>
      </c>
      <c r="Z399" s="5">
        <f>VLOOKUP($A399,'NonXtal_SegEnds_Prot#'!$A:$AL,27,FALSE)</f>
        <v>395</v>
      </c>
      <c r="AA399" s="5">
        <f>VLOOKUP($A399,'NonXtal_SegEnds_Prot#'!$A:$AL,30,FALSE)</f>
        <v>439</v>
      </c>
      <c r="AB399" s="5">
        <f>VLOOKUP($A399,'NonXtal_SegEnds_Prot#'!$A:$AL,33,FALSE)</f>
        <v>507</v>
      </c>
      <c r="AC399" s="5">
        <f>VLOOKUP($A399,'NonXtal_SegEnds_Prot#'!$A:$AL,36,FALSE)</f>
        <v>530</v>
      </c>
      <c r="AD399" s="5">
        <f>VLOOKUP($A399,'NonXtal_SegEnds_Prot#'!$A:$AL,5,FALSE)</f>
        <v>256</v>
      </c>
      <c r="AE399" s="5">
        <f>VLOOKUP($A399,'NonXtal_SegEnds_Prot#'!$A:$AL,8,FALSE)</f>
        <v>261</v>
      </c>
      <c r="AF399" s="5">
        <f>VLOOKUP($A399,'NonXtal_SegEnds_Prot#'!$A:$AL,11,FALSE)</f>
        <v>285</v>
      </c>
      <c r="AG399" s="5" t="str">
        <f>VLOOKUP($A399,'NonXtal_SegEnds_Prot#'!$A:$AL,14,FALSE)</f>
        <v>-</v>
      </c>
      <c r="AH399" s="5">
        <f>VLOOKUP($A399,'NonXtal_SegEnds_Prot#'!$A:$AL,17,FALSE)</f>
        <v>347</v>
      </c>
      <c r="AI399" s="5" t="str">
        <f>VLOOKUP($A399,'NonXtal_SegEnds_Prot#'!$A:$AL,20,FALSE)</f>
        <v>-</v>
      </c>
      <c r="AJ399" s="5">
        <f>VLOOKUP($A399,'NonXtal_SegEnds_Prot#'!$A:$AL,23,FALSE)</f>
        <v>376</v>
      </c>
      <c r="AK399" s="5">
        <f>VLOOKUP($A399,'NonXtal_SegEnds_Prot#'!$A:$AL,26,FALSE)</f>
        <v>390</v>
      </c>
      <c r="AL399" s="5">
        <f>VLOOKUP($A399,'NonXtal_SegEnds_Prot#'!$A:$AL,29,FALSE)</f>
        <v>431</v>
      </c>
      <c r="AM399" s="5">
        <f>VLOOKUP($A399,'NonXtal_SegEnds_Prot#'!$A:$AL,32,FALSE)</f>
        <v>489</v>
      </c>
      <c r="AN399" s="5">
        <f>VLOOKUP($A399,'NonXtal_SegEnds_Prot#'!$A:$AL,35,FALSE)</f>
        <v>529</v>
      </c>
      <c r="AO399" s="5">
        <f>VLOOKUP($A399,'NonXtal_SegEnds_Prot#'!$A:$AL,38,FALSE)</f>
        <v>545</v>
      </c>
      <c r="AP399" s="5">
        <f t="shared" si="163"/>
        <v>31</v>
      </c>
      <c r="AQ399" s="4">
        <f t="shared" si="164"/>
        <v>4</v>
      </c>
      <c r="AR399" s="4">
        <f t="shared" si="165"/>
        <v>23</v>
      </c>
      <c r="AS399" s="4" t="str">
        <f t="shared" si="166"/>
        <v>-</v>
      </c>
      <c r="AT399" s="4">
        <f t="shared" si="167"/>
        <v>36</v>
      </c>
      <c r="AU399" s="4" t="str">
        <f t="shared" si="168"/>
        <v>-</v>
      </c>
      <c r="AV399" s="4">
        <f t="shared" si="169"/>
        <v>25</v>
      </c>
      <c r="AW399" s="4">
        <f t="shared" si="170"/>
        <v>2</v>
      </c>
      <c r="AX399" s="4">
        <f t="shared" si="171"/>
        <v>36</v>
      </c>
      <c r="AY399" s="4">
        <f t="shared" si="172"/>
        <v>50</v>
      </c>
      <c r="AZ399" s="4">
        <f t="shared" si="173"/>
        <v>22</v>
      </c>
      <c r="BA399" s="4">
        <f t="shared" si="174"/>
        <v>15</v>
      </c>
    </row>
    <row r="400" spans="1:53" x14ac:dyDescent="0.2">
      <c r="A400" s="1" t="str">
        <f>'NonXtal_SegEnds_Prot#'!A400</f>
        <v>fzd10_human</v>
      </c>
      <c r="B400" s="1" t="str">
        <f t="shared" si="150"/>
        <v>REDKRFAVVWLAIWAVLCFFSSAFTVLTFLIDYPERPIIFLSMCYCVYSVGYLIRLTGCTLVFLVLYYFGMASSLWWVVLTLTWFLAAGKKWGIEANSSYFHLAAWAIPAVKTILILVMVNALTGFVLIPLACYLVIGTSFILSGFVALFHIRRVMDKLEKLMVRIGLFSVLYTVPATCVIACYFYERLNMDYWKILAAQHKCKMNNVEIFMVKIFMLLVVGITSGMWIWTSKTLQSWQQVCSRRL</v>
      </c>
      <c r="C400" s="72" t="str">
        <f>IF(ISERROR(MATCH(A400,'Xtal_SegEnds_Prot#'!B:B, 0)), "NoXtal", "Xtal")</f>
        <v>NoXtal</v>
      </c>
      <c r="D400" s="4" t="str">
        <f>VLOOKUP(A400,Classification!A:D,2,FALSE)</f>
        <v>F</v>
      </c>
      <c r="E400" s="5" t="str">
        <f>VLOOKUP(A400,Seqs!A:B,2,FALSE)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400" s="5" t="str">
        <f t="shared" si="151"/>
        <v>REDKRFAVVWLAIWAVLCFFSSAFTVLTFLID</v>
      </c>
      <c r="G400" s="4" t="str">
        <f t="shared" si="152"/>
        <v>PARFR</v>
      </c>
      <c r="H400" s="4" t="str">
        <f t="shared" si="153"/>
        <v>YPERPIIFLSMCYCVYSVGYLIRL</v>
      </c>
      <c r="I400" s="4" t="str">
        <f t="shared" si="154"/>
        <v/>
      </c>
      <c r="J400" s="4" t="str">
        <f t="shared" si="155"/>
        <v>TGCTLVFLVLYYFGMASSLWWVVLTLTWFLAAGKKWG</v>
      </c>
      <c r="K400" s="4" t="str">
        <f t="shared" si="156"/>
        <v/>
      </c>
      <c r="L400" s="4" t="str">
        <f t="shared" si="157"/>
        <v>IEANSSYFHLAAWAIPAVKTILILVM</v>
      </c>
      <c r="M400" s="4" t="str">
        <f t="shared" si="158"/>
        <v>CYV</v>
      </c>
      <c r="N400" s="4" t="str">
        <f t="shared" si="159"/>
        <v>VNALTGFVLIPLACYLVIGTSFILSGFVALFHIRRVM</v>
      </c>
      <c r="O400" s="4" t="str">
        <f t="shared" si="160"/>
        <v>DKLEKLMVRIGLFSVLYTVPATCVIACYFYERLNMDYWKILAAQHKCKMNN</v>
      </c>
      <c r="P400" s="4" t="str">
        <f t="shared" si="161"/>
        <v>VEIFMVKIFMLLVVGITSGMWIW</v>
      </c>
      <c r="Q400" s="4" t="str">
        <f t="shared" si="162"/>
        <v>TSKTLQSWQQVCSRRL</v>
      </c>
      <c r="R400" s="5">
        <f>VLOOKUP($A400,'NonXtal_SegEnds_Prot#'!$A:$AL,3,FALSE)</f>
        <v>221</v>
      </c>
      <c r="S400" s="5">
        <f>VLOOKUP($A400,'NonXtal_SegEnds_Prot#'!$A:$AL,6,FALSE)</f>
        <v>253</v>
      </c>
      <c r="T400" s="5">
        <f>VLOOKUP($A400,'NonXtal_SegEnds_Prot#'!$A:$AL,9,FALSE)</f>
        <v>258</v>
      </c>
      <c r="U400" s="5" t="str">
        <f>VLOOKUP($A400,'NonXtal_SegEnds_Prot#'!$A:$AL,12,FALSE)</f>
        <v>-</v>
      </c>
      <c r="V400" s="5">
        <f>VLOOKUP($A400,'NonXtal_SegEnds_Prot#'!$A:$AL,15,FALSE)</f>
        <v>307</v>
      </c>
      <c r="W400" s="5" t="str">
        <f>VLOOKUP($A400,'NonXtal_SegEnds_Prot#'!$A:$AL,18,FALSE)</f>
        <v>-</v>
      </c>
      <c r="X400" s="5">
        <f>VLOOKUP($A400,'NonXtal_SegEnds_Prot#'!$A:$AL,21,FALSE)</f>
        <v>347</v>
      </c>
      <c r="Y400" s="5">
        <f>VLOOKUP($A400,'NonXtal_SegEnds_Prot#'!$A:$AL,24,FALSE)</f>
        <v>384</v>
      </c>
      <c r="Z400" s="5">
        <f>VLOOKUP($A400,'NonXtal_SegEnds_Prot#'!$A:$AL,27,FALSE)</f>
        <v>391</v>
      </c>
      <c r="AA400" s="5">
        <f>VLOOKUP($A400,'NonXtal_SegEnds_Prot#'!$A:$AL,30,FALSE)</f>
        <v>435</v>
      </c>
      <c r="AB400" s="5">
        <f>VLOOKUP($A400,'NonXtal_SegEnds_Prot#'!$A:$AL,33,FALSE)</f>
        <v>501</v>
      </c>
      <c r="AC400" s="5">
        <f>VLOOKUP($A400,'NonXtal_SegEnds_Prot#'!$A:$AL,36,FALSE)</f>
        <v>524</v>
      </c>
      <c r="AD400" s="5">
        <f>VLOOKUP($A400,'NonXtal_SegEnds_Prot#'!$A:$AL,5,FALSE)</f>
        <v>252</v>
      </c>
      <c r="AE400" s="5">
        <f>VLOOKUP($A400,'NonXtal_SegEnds_Prot#'!$A:$AL,8,FALSE)</f>
        <v>257</v>
      </c>
      <c r="AF400" s="5">
        <f>VLOOKUP($A400,'NonXtal_SegEnds_Prot#'!$A:$AL,11,FALSE)</f>
        <v>281</v>
      </c>
      <c r="AG400" s="5" t="str">
        <f>VLOOKUP($A400,'NonXtal_SegEnds_Prot#'!$A:$AL,14,FALSE)</f>
        <v>-</v>
      </c>
      <c r="AH400" s="5">
        <f>VLOOKUP($A400,'NonXtal_SegEnds_Prot#'!$A:$AL,17,FALSE)</f>
        <v>343</v>
      </c>
      <c r="AI400" s="5" t="str">
        <f>VLOOKUP($A400,'NonXtal_SegEnds_Prot#'!$A:$AL,20,FALSE)</f>
        <v>-</v>
      </c>
      <c r="AJ400" s="5">
        <f>VLOOKUP($A400,'NonXtal_SegEnds_Prot#'!$A:$AL,23,FALSE)</f>
        <v>372</v>
      </c>
      <c r="AK400" s="5">
        <f>VLOOKUP($A400,'NonXtal_SegEnds_Prot#'!$A:$AL,26,FALSE)</f>
        <v>386</v>
      </c>
      <c r="AL400" s="5">
        <f>VLOOKUP($A400,'NonXtal_SegEnds_Prot#'!$A:$AL,29,FALSE)</f>
        <v>427</v>
      </c>
      <c r="AM400" s="5">
        <f>VLOOKUP($A400,'NonXtal_SegEnds_Prot#'!$A:$AL,32,FALSE)</f>
        <v>485</v>
      </c>
      <c r="AN400" s="5">
        <f>VLOOKUP($A400,'NonXtal_SegEnds_Prot#'!$A:$AL,35,FALSE)</f>
        <v>523</v>
      </c>
      <c r="AO400" s="5">
        <f>VLOOKUP($A400,'NonXtal_SegEnds_Prot#'!$A:$AL,38,FALSE)</f>
        <v>539</v>
      </c>
      <c r="AP400" s="5">
        <f t="shared" si="163"/>
        <v>31</v>
      </c>
      <c r="AQ400" s="4">
        <f t="shared" si="164"/>
        <v>4</v>
      </c>
      <c r="AR400" s="4">
        <f t="shared" si="165"/>
        <v>23</v>
      </c>
      <c r="AS400" s="4" t="str">
        <f t="shared" si="166"/>
        <v>-</v>
      </c>
      <c r="AT400" s="4">
        <f t="shared" si="167"/>
        <v>36</v>
      </c>
      <c r="AU400" s="4" t="str">
        <f t="shared" si="168"/>
        <v>-</v>
      </c>
      <c r="AV400" s="4">
        <f t="shared" si="169"/>
        <v>25</v>
      </c>
      <c r="AW400" s="4">
        <f t="shared" si="170"/>
        <v>2</v>
      </c>
      <c r="AX400" s="4">
        <f t="shared" si="171"/>
        <v>36</v>
      </c>
      <c r="AY400" s="4">
        <f t="shared" si="172"/>
        <v>50</v>
      </c>
      <c r="AZ400" s="4">
        <f t="shared" si="173"/>
        <v>22</v>
      </c>
      <c r="BA400" s="4">
        <f t="shared" si="174"/>
        <v>15</v>
      </c>
    </row>
    <row r="401" spans="1:53" x14ac:dyDescent="0.2">
      <c r="A401" s="1" t="str">
        <f>'NonXtal_SegEnds_Prot#'!A401</f>
        <v>fzd4_human</v>
      </c>
      <c r="B401" s="1" t="str">
        <f t="shared" si="150"/>
        <v>RSAKEFTDIWMAVWASLCFISTAFTVLTFLIDYPERPIIFLSMCYNIYSIAYIVRLTGCAIIFLLMYFFGMASSIWWVILTLTWFLAAGLKWGIEMHSSYFHIAAWAIPAVKTIVILIMLDALTGFVVAPLFTYLVIGTLFIAAGLVALFKIRSNLDKLERLMVKIGVFSVLYTVPATCVIACYFYEISNWALFRYSAMAVEMLKIFMSLLVGITSGMWIWSAKTLHTWQKCSNRLV</v>
      </c>
      <c r="C401" s="72" t="str">
        <f>IF(ISERROR(MATCH(A401,'Xtal_SegEnds_Prot#'!B:B, 0)), "NoXtal", "Xtal")</f>
        <v>NoXtal</v>
      </c>
      <c r="D401" s="4" t="str">
        <f>VLOOKUP(A401,Classification!A:D,2,FALSE)</f>
        <v>F</v>
      </c>
      <c r="E401" s="5" t="str">
        <f>VLOOKUP(A401,Seqs!A:B,2,FALSE)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401" s="5" t="str">
        <f t="shared" si="151"/>
        <v>RSAKEFTDIWMAVWASLCFISTAFTVLTFLID</v>
      </c>
      <c r="G401" s="4" t="str">
        <f t="shared" si="152"/>
        <v>SSRFS</v>
      </c>
      <c r="H401" s="4" t="str">
        <f t="shared" si="153"/>
        <v>YPERPIIFLSMCYNIYSIAYIVRL</v>
      </c>
      <c r="I401" s="4" t="str">
        <f t="shared" si="154"/>
        <v/>
      </c>
      <c r="J401" s="4" t="str">
        <f t="shared" si="155"/>
        <v>TGCAIIFLLMYFFGMASSIWWVILTLTWFLAAGLKWG</v>
      </c>
      <c r="K401" s="4" t="str">
        <f t="shared" si="156"/>
        <v/>
      </c>
      <c r="L401" s="4" t="str">
        <f t="shared" si="157"/>
        <v>IEMHSSYFHIAAWAIPAVKTIVILIM</v>
      </c>
      <c r="M401" s="4" t="str">
        <f t="shared" si="158"/>
        <v>CYV</v>
      </c>
      <c r="N401" s="4" t="str">
        <f t="shared" si="159"/>
        <v>LDALTGFVVAPLFTYLVIGTLFIAAGLVALFKIRSNL</v>
      </c>
      <c r="O401" s="4" t="str">
        <f t="shared" si="160"/>
        <v>DKLERLMVKIGVFSVLYTVPATCVIACYFYEISNWALFRYSA</v>
      </c>
      <c r="P401" s="4" t="str">
        <f t="shared" si="161"/>
        <v>MAVEMLKIFMSLLVGITSGMWIW</v>
      </c>
      <c r="Q401" s="4" t="str">
        <f t="shared" si="162"/>
        <v>SAKTLHTWQKCSNRLV</v>
      </c>
      <c r="R401" s="5">
        <f>VLOOKUP($A401,'NonXtal_SegEnds_Prot#'!$A:$AL,3,FALSE)</f>
        <v>213</v>
      </c>
      <c r="S401" s="5">
        <f>VLOOKUP($A401,'NonXtal_SegEnds_Prot#'!$A:$AL,6,FALSE)</f>
        <v>245</v>
      </c>
      <c r="T401" s="5">
        <f>VLOOKUP($A401,'NonXtal_SegEnds_Prot#'!$A:$AL,9,FALSE)</f>
        <v>250</v>
      </c>
      <c r="U401" s="5" t="str">
        <f>VLOOKUP($A401,'NonXtal_SegEnds_Prot#'!$A:$AL,12,FALSE)</f>
        <v>-</v>
      </c>
      <c r="V401" s="5">
        <f>VLOOKUP($A401,'NonXtal_SegEnds_Prot#'!$A:$AL,15,FALSE)</f>
        <v>300</v>
      </c>
      <c r="W401" s="5" t="str">
        <f>VLOOKUP($A401,'NonXtal_SegEnds_Prot#'!$A:$AL,18,FALSE)</f>
        <v>-</v>
      </c>
      <c r="X401" s="5">
        <f>VLOOKUP($A401,'NonXtal_SegEnds_Prot#'!$A:$AL,21,FALSE)</f>
        <v>340</v>
      </c>
      <c r="Y401" s="5">
        <f>VLOOKUP($A401,'NonXtal_SegEnds_Prot#'!$A:$AL,24,FALSE)</f>
        <v>377</v>
      </c>
      <c r="Z401" s="5">
        <f>VLOOKUP($A401,'NonXtal_SegEnds_Prot#'!$A:$AL,27,FALSE)</f>
        <v>384</v>
      </c>
      <c r="AA401" s="5">
        <f>VLOOKUP($A401,'NonXtal_SegEnds_Prot#'!$A:$AL,30,FALSE)</f>
        <v>428</v>
      </c>
      <c r="AB401" s="5">
        <f>VLOOKUP($A401,'NonXtal_SegEnds_Prot#'!$A:$AL,33,FALSE)</f>
        <v>474</v>
      </c>
      <c r="AC401" s="5">
        <f>VLOOKUP($A401,'NonXtal_SegEnds_Prot#'!$A:$AL,36,FALSE)</f>
        <v>497</v>
      </c>
      <c r="AD401" s="5">
        <f>VLOOKUP($A401,'NonXtal_SegEnds_Prot#'!$A:$AL,5,FALSE)</f>
        <v>244</v>
      </c>
      <c r="AE401" s="5">
        <f>VLOOKUP($A401,'NonXtal_SegEnds_Prot#'!$A:$AL,8,FALSE)</f>
        <v>249</v>
      </c>
      <c r="AF401" s="5">
        <f>VLOOKUP($A401,'NonXtal_SegEnds_Prot#'!$A:$AL,11,FALSE)</f>
        <v>273</v>
      </c>
      <c r="AG401" s="5" t="str">
        <f>VLOOKUP($A401,'NonXtal_SegEnds_Prot#'!$A:$AL,14,FALSE)</f>
        <v>-</v>
      </c>
      <c r="AH401" s="5">
        <f>VLOOKUP($A401,'NonXtal_SegEnds_Prot#'!$A:$AL,17,FALSE)</f>
        <v>336</v>
      </c>
      <c r="AI401" s="5" t="str">
        <f>VLOOKUP($A401,'NonXtal_SegEnds_Prot#'!$A:$AL,20,FALSE)</f>
        <v>-</v>
      </c>
      <c r="AJ401" s="5">
        <f>VLOOKUP($A401,'NonXtal_SegEnds_Prot#'!$A:$AL,23,FALSE)</f>
        <v>365</v>
      </c>
      <c r="AK401" s="5">
        <f>VLOOKUP($A401,'NonXtal_SegEnds_Prot#'!$A:$AL,26,FALSE)</f>
        <v>379</v>
      </c>
      <c r="AL401" s="5">
        <f>VLOOKUP($A401,'NonXtal_SegEnds_Prot#'!$A:$AL,29,FALSE)</f>
        <v>420</v>
      </c>
      <c r="AM401" s="5">
        <f>VLOOKUP($A401,'NonXtal_SegEnds_Prot#'!$A:$AL,32,FALSE)</f>
        <v>469</v>
      </c>
      <c r="AN401" s="5">
        <f>VLOOKUP($A401,'NonXtal_SegEnds_Prot#'!$A:$AL,35,FALSE)</f>
        <v>496</v>
      </c>
      <c r="AO401" s="5">
        <f>VLOOKUP($A401,'NonXtal_SegEnds_Prot#'!$A:$AL,38,FALSE)</f>
        <v>512</v>
      </c>
      <c r="AP401" s="5">
        <f t="shared" si="163"/>
        <v>31</v>
      </c>
      <c r="AQ401" s="4">
        <f t="shared" si="164"/>
        <v>4</v>
      </c>
      <c r="AR401" s="4">
        <f t="shared" si="165"/>
        <v>23</v>
      </c>
      <c r="AS401" s="4" t="str">
        <f t="shared" si="166"/>
        <v>-</v>
      </c>
      <c r="AT401" s="4">
        <f t="shared" si="167"/>
        <v>36</v>
      </c>
      <c r="AU401" s="4" t="str">
        <f t="shared" si="168"/>
        <v>-</v>
      </c>
      <c r="AV401" s="4">
        <f t="shared" si="169"/>
        <v>25</v>
      </c>
      <c r="AW401" s="4">
        <f t="shared" si="170"/>
        <v>2</v>
      </c>
      <c r="AX401" s="4">
        <f t="shared" si="171"/>
        <v>36</v>
      </c>
      <c r="AY401" s="4">
        <f t="shared" si="172"/>
        <v>41</v>
      </c>
      <c r="AZ401" s="4">
        <f t="shared" si="173"/>
        <v>22</v>
      </c>
      <c r="BA401" s="4">
        <f t="shared" si="174"/>
        <v>15</v>
      </c>
    </row>
    <row r="402" spans="1:53" x14ac:dyDescent="0.2">
      <c r="A402" s="1" t="str">
        <f>'NonXtal_SegEnds_Prot#'!A402</f>
        <v>fzd3_human</v>
      </c>
      <c r="B402" s="1" t="str">
        <f t="shared" si="150"/>
        <v>REELSFARYFIGLISIICLSATLFTFLTFLIDYPERPIIFYAVCYMMVSLIFFIGFKACTMLFMILYFFTMAGSVWWVILTITWFLAAVPKWGIEKKALLFHASAWGIPGTLTIILLAMVDALRYFVLAPLCLYVVVGVSLLLAGIISLNRVRIEIDKLVKFMIRIGVFSILYLVPLLVVIGCYFYEQAYRGIWETTWIQERCREYHLILFLMKYLMALIVGIPSVFWVGSKKTCFEWASFFHGRR</v>
      </c>
      <c r="C402" s="72" t="str">
        <f>IF(ISERROR(MATCH(A402,'Xtal_SegEnds_Prot#'!B:B, 0)), "NoXtal", "Xtal")</f>
        <v>NoXtal</v>
      </c>
      <c r="D402" s="4" t="str">
        <f>VLOOKUP(A402,Classification!A:D,2,FALSE)</f>
        <v>F</v>
      </c>
      <c r="E402" s="5" t="str">
        <f>VLOOKUP(A402,Seqs!A:B,2,FALSE)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402" s="5" t="str">
        <f t="shared" si="151"/>
        <v>REELSFARYFIGLISIICLSATLFTFLTFLID</v>
      </c>
      <c r="G402" s="4" t="str">
        <f t="shared" si="152"/>
        <v>VTRFR</v>
      </c>
      <c r="H402" s="4" t="str">
        <f t="shared" si="153"/>
        <v>YPERPIIFYAVCYMMVSLIFFIGF</v>
      </c>
      <c r="I402" s="4" t="str">
        <f t="shared" si="154"/>
        <v/>
      </c>
      <c r="J402" s="4" t="str">
        <f t="shared" si="155"/>
        <v>KACTMLFMILYFFTMAGSVWWVILTITWFLAAVPKWG</v>
      </c>
      <c r="K402" s="4" t="str">
        <f t="shared" si="156"/>
        <v/>
      </c>
      <c r="L402" s="4" t="str">
        <f t="shared" si="157"/>
        <v>IEKKALLFHASAWGIPGTLTIILLAM</v>
      </c>
      <c r="M402" s="4" t="str">
        <f t="shared" si="158"/>
        <v>CFV</v>
      </c>
      <c r="N402" s="4" t="str">
        <f t="shared" si="159"/>
        <v>VDALRYFVLAPLCLYVVVGVSLLLAGIISLNRVRIEI</v>
      </c>
      <c r="O402" s="4" t="str">
        <f t="shared" si="160"/>
        <v>DKLVKFMIRIGVFSILYLVPLLVVIGCYFYEQAYRGIWETTWIQERCREYH</v>
      </c>
      <c r="P402" s="4" t="str">
        <f t="shared" si="161"/>
        <v>LILFLMKYLMALIVGIPSVFWVG</v>
      </c>
      <c r="Q402" s="4" t="str">
        <f t="shared" si="162"/>
        <v>SKKTCFEWASFFHGRR</v>
      </c>
      <c r="R402" s="5">
        <f>VLOOKUP($A402,'NonXtal_SegEnds_Prot#'!$A:$AL,3,FALSE)</f>
        <v>196</v>
      </c>
      <c r="S402" s="5">
        <f>VLOOKUP($A402,'NonXtal_SegEnds_Prot#'!$A:$AL,6,FALSE)</f>
        <v>228</v>
      </c>
      <c r="T402" s="5">
        <f>VLOOKUP($A402,'NonXtal_SegEnds_Prot#'!$A:$AL,9,FALSE)</f>
        <v>233</v>
      </c>
      <c r="U402" s="5" t="str">
        <f>VLOOKUP($A402,'NonXtal_SegEnds_Prot#'!$A:$AL,12,FALSE)</f>
        <v>-</v>
      </c>
      <c r="V402" s="5">
        <f>VLOOKUP($A402,'NonXtal_SegEnds_Prot#'!$A:$AL,15,FALSE)</f>
        <v>284</v>
      </c>
      <c r="W402" s="5" t="str">
        <f>VLOOKUP($A402,'NonXtal_SegEnds_Prot#'!$A:$AL,18,FALSE)</f>
        <v>-</v>
      </c>
      <c r="X402" s="5">
        <f>VLOOKUP($A402,'NonXtal_SegEnds_Prot#'!$A:$AL,21,FALSE)</f>
        <v>324</v>
      </c>
      <c r="Y402" s="5">
        <f>VLOOKUP($A402,'NonXtal_SegEnds_Prot#'!$A:$AL,24,FALSE)</f>
        <v>361</v>
      </c>
      <c r="Z402" s="5">
        <f>VLOOKUP($A402,'NonXtal_SegEnds_Prot#'!$A:$AL,27,FALSE)</f>
        <v>368</v>
      </c>
      <c r="AA402" s="5">
        <f>VLOOKUP($A402,'NonXtal_SegEnds_Prot#'!$A:$AL,30,FALSE)</f>
        <v>412</v>
      </c>
      <c r="AB402" s="5">
        <f>VLOOKUP($A402,'NonXtal_SegEnds_Prot#'!$A:$AL,33,FALSE)</f>
        <v>477</v>
      </c>
      <c r="AC402" s="5">
        <f>VLOOKUP($A402,'NonXtal_SegEnds_Prot#'!$A:$AL,36,FALSE)</f>
        <v>500</v>
      </c>
      <c r="AD402" s="5">
        <f>VLOOKUP($A402,'NonXtal_SegEnds_Prot#'!$A:$AL,5,FALSE)</f>
        <v>227</v>
      </c>
      <c r="AE402" s="5">
        <f>VLOOKUP($A402,'NonXtal_SegEnds_Prot#'!$A:$AL,8,FALSE)</f>
        <v>232</v>
      </c>
      <c r="AF402" s="5">
        <f>VLOOKUP($A402,'NonXtal_SegEnds_Prot#'!$A:$AL,11,FALSE)</f>
        <v>256</v>
      </c>
      <c r="AG402" s="5" t="str">
        <f>VLOOKUP($A402,'NonXtal_SegEnds_Prot#'!$A:$AL,14,FALSE)</f>
        <v>-</v>
      </c>
      <c r="AH402" s="5">
        <f>VLOOKUP($A402,'NonXtal_SegEnds_Prot#'!$A:$AL,17,FALSE)</f>
        <v>320</v>
      </c>
      <c r="AI402" s="5" t="str">
        <f>VLOOKUP($A402,'NonXtal_SegEnds_Prot#'!$A:$AL,20,FALSE)</f>
        <v>-</v>
      </c>
      <c r="AJ402" s="5">
        <f>VLOOKUP($A402,'NonXtal_SegEnds_Prot#'!$A:$AL,23,FALSE)</f>
        <v>349</v>
      </c>
      <c r="AK402" s="5">
        <f>VLOOKUP($A402,'NonXtal_SegEnds_Prot#'!$A:$AL,26,FALSE)</f>
        <v>363</v>
      </c>
      <c r="AL402" s="5">
        <f>VLOOKUP($A402,'NonXtal_SegEnds_Prot#'!$A:$AL,29,FALSE)</f>
        <v>404</v>
      </c>
      <c r="AM402" s="5">
        <f>VLOOKUP($A402,'NonXtal_SegEnds_Prot#'!$A:$AL,32,FALSE)</f>
        <v>462</v>
      </c>
      <c r="AN402" s="5">
        <f>VLOOKUP($A402,'NonXtal_SegEnds_Prot#'!$A:$AL,35,FALSE)</f>
        <v>499</v>
      </c>
      <c r="AO402" s="5">
        <f>VLOOKUP($A402,'NonXtal_SegEnds_Prot#'!$A:$AL,38,FALSE)</f>
        <v>515</v>
      </c>
      <c r="AP402" s="5">
        <f t="shared" si="163"/>
        <v>31</v>
      </c>
      <c r="AQ402" s="4">
        <f t="shared" si="164"/>
        <v>4</v>
      </c>
      <c r="AR402" s="4">
        <f t="shared" si="165"/>
        <v>23</v>
      </c>
      <c r="AS402" s="4" t="str">
        <f t="shared" si="166"/>
        <v>-</v>
      </c>
      <c r="AT402" s="4">
        <f t="shared" si="167"/>
        <v>36</v>
      </c>
      <c r="AU402" s="4" t="str">
        <f t="shared" si="168"/>
        <v>-</v>
      </c>
      <c r="AV402" s="4">
        <f t="shared" si="169"/>
        <v>25</v>
      </c>
      <c r="AW402" s="4">
        <f t="shared" si="170"/>
        <v>2</v>
      </c>
      <c r="AX402" s="4">
        <f t="shared" si="171"/>
        <v>36</v>
      </c>
      <c r="AY402" s="4">
        <f t="shared" si="172"/>
        <v>50</v>
      </c>
      <c r="AZ402" s="4">
        <f t="shared" si="173"/>
        <v>22</v>
      </c>
      <c r="BA402" s="4">
        <f t="shared" si="174"/>
        <v>15</v>
      </c>
    </row>
    <row r="403" spans="1:53" x14ac:dyDescent="0.2">
      <c r="A403" s="1" t="str">
        <f>'NonXtal_SegEnds_Prot#'!A403</f>
        <v>fzd6_human</v>
      </c>
      <c r="B403" s="1" t="str">
        <f t="shared" si="150"/>
        <v>SDELEFAKSFIGTVSIFCLCATLFTFLTFLIDYPERPIIYYSVCYSIVSLMYFIGFKACTVLFMLLYFFTMAGTVWWVILTITWFLAAGRKWSIEQKAVWFHAVAWGTPGFLTVMLLAMLDASRYFVLLPLCLCVFVGLSLLLAGIISLNHVRQVIEKLKKFMIRIGVFSGLYLVPLVTLLGCYVYEQVNRITWEITWVSDHCRQYHLALFMIKYLMTLIVGISAVFWVGSKKTCTEWAGFFKRNR</v>
      </c>
      <c r="C403" s="72" t="str">
        <f>IF(ISERROR(MATCH(A403,'Xtal_SegEnds_Prot#'!B:B, 0)), "NoXtal", "Xtal")</f>
        <v>NoXtal</v>
      </c>
      <c r="D403" s="4" t="str">
        <f>VLOOKUP(A403,Classification!A:D,2,FALSE)</f>
        <v>F</v>
      </c>
      <c r="E403" s="5" t="str">
        <f>VLOOKUP(A403,Seqs!A:B,2,FALSE)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403" s="5" t="str">
        <f t="shared" si="151"/>
        <v>SDELEFAKSFIGTVSIFCLCATLFTFLTFLID</v>
      </c>
      <c r="G403" s="4" t="str">
        <f t="shared" si="152"/>
        <v>VRRFR</v>
      </c>
      <c r="H403" s="4" t="str">
        <f t="shared" si="153"/>
        <v>YPERPIIYYSVCYSIVSLMYFIGF</v>
      </c>
      <c r="I403" s="4" t="str">
        <f t="shared" si="154"/>
        <v/>
      </c>
      <c r="J403" s="4" t="str">
        <f t="shared" si="155"/>
        <v>KACTVLFMLLYFFTMAGTVWWVILTITWFLAAGRKWS</v>
      </c>
      <c r="K403" s="4" t="str">
        <f t="shared" si="156"/>
        <v/>
      </c>
      <c r="L403" s="4" t="str">
        <f t="shared" si="157"/>
        <v>IEQKAVWFHAVAWGTPGFLTVMLLAM</v>
      </c>
      <c r="M403" s="4" t="str">
        <f t="shared" si="158"/>
        <v>CFV</v>
      </c>
      <c r="N403" s="4" t="str">
        <f t="shared" si="159"/>
        <v>LDASRYFVLLPLCLCVFVGLSLLLAGIISLNHVRQVI</v>
      </c>
      <c r="O403" s="4" t="str">
        <f t="shared" si="160"/>
        <v>EKLKKFMIRIGVFSGLYLVPLVTLLGCYVYEQVNRITWEITWVSDHCRQYH</v>
      </c>
      <c r="P403" s="4" t="str">
        <f t="shared" si="161"/>
        <v>LALFMIKYLMTLIVGISAVFWVG</v>
      </c>
      <c r="Q403" s="4" t="str">
        <f t="shared" si="162"/>
        <v>SKKTCTEWAGFFKRNR</v>
      </c>
      <c r="R403" s="5">
        <f>VLOOKUP($A403,'NonXtal_SegEnds_Prot#'!$A:$AL,3,FALSE)</f>
        <v>192</v>
      </c>
      <c r="S403" s="5">
        <f>VLOOKUP($A403,'NonXtal_SegEnds_Prot#'!$A:$AL,6,FALSE)</f>
        <v>224</v>
      </c>
      <c r="T403" s="5">
        <f>VLOOKUP($A403,'NonXtal_SegEnds_Prot#'!$A:$AL,9,FALSE)</f>
        <v>229</v>
      </c>
      <c r="U403" s="5" t="str">
        <f>VLOOKUP($A403,'NonXtal_SegEnds_Prot#'!$A:$AL,12,FALSE)</f>
        <v>-</v>
      </c>
      <c r="V403" s="5">
        <f>VLOOKUP($A403,'NonXtal_SegEnds_Prot#'!$A:$AL,15,FALSE)</f>
        <v>280</v>
      </c>
      <c r="W403" s="5" t="str">
        <f>VLOOKUP($A403,'NonXtal_SegEnds_Prot#'!$A:$AL,18,FALSE)</f>
        <v>-</v>
      </c>
      <c r="X403" s="5">
        <f>VLOOKUP($A403,'NonXtal_SegEnds_Prot#'!$A:$AL,21,FALSE)</f>
        <v>320</v>
      </c>
      <c r="Y403" s="5">
        <f>VLOOKUP($A403,'NonXtal_SegEnds_Prot#'!$A:$AL,24,FALSE)</f>
        <v>357</v>
      </c>
      <c r="Z403" s="5">
        <f>VLOOKUP($A403,'NonXtal_SegEnds_Prot#'!$A:$AL,27,FALSE)</f>
        <v>364</v>
      </c>
      <c r="AA403" s="5">
        <f>VLOOKUP($A403,'NonXtal_SegEnds_Prot#'!$A:$AL,30,FALSE)</f>
        <v>408</v>
      </c>
      <c r="AB403" s="5">
        <f>VLOOKUP($A403,'NonXtal_SegEnds_Prot#'!$A:$AL,33,FALSE)</f>
        <v>473</v>
      </c>
      <c r="AC403" s="5">
        <f>VLOOKUP($A403,'NonXtal_SegEnds_Prot#'!$A:$AL,36,FALSE)</f>
        <v>496</v>
      </c>
      <c r="AD403" s="5">
        <f>VLOOKUP($A403,'NonXtal_SegEnds_Prot#'!$A:$AL,5,FALSE)</f>
        <v>223</v>
      </c>
      <c r="AE403" s="5">
        <f>VLOOKUP($A403,'NonXtal_SegEnds_Prot#'!$A:$AL,8,FALSE)</f>
        <v>228</v>
      </c>
      <c r="AF403" s="5">
        <f>VLOOKUP($A403,'NonXtal_SegEnds_Prot#'!$A:$AL,11,FALSE)</f>
        <v>252</v>
      </c>
      <c r="AG403" s="5" t="str">
        <f>VLOOKUP($A403,'NonXtal_SegEnds_Prot#'!$A:$AL,14,FALSE)</f>
        <v>-</v>
      </c>
      <c r="AH403" s="5">
        <f>VLOOKUP($A403,'NonXtal_SegEnds_Prot#'!$A:$AL,17,FALSE)</f>
        <v>316</v>
      </c>
      <c r="AI403" s="5" t="str">
        <f>VLOOKUP($A403,'NonXtal_SegEnds_Prot#'!$A:$AL,20,FALSE)</f>
        <v>-</v>
      </c>
      <c r="AJ403" s="5">
        <f>VLOOKUP($A403,'NonXtal_SegEnds_Prot#'!$A:$AL,23,FALSE)</f>
        <v>345</v>
      </c>
      <c r="AK403" s="5">
        <f>VLOOKUP($A403,'NonXtal_SegEnds_Prot#'!$A:$AL,26,FALSE)</f>
        <v>359</v>
      </c>
      <c r="AL403" s="5">
        <f>VLOOKUP($A403,'NonXtal_SegEnds_Prot#'!$A:$AL,29,FALSE)</f>
        <v>400</v>
      </c>
      <c r="AM403" s="5">
        <f>VLOOKUP($A403,'NonXtal_SegEnds_Prot#'!$A:$AL,32,FALSE)</f>
        <v>458</v>
      </c>
      <c r="AN403" s="5">
        <f>VLOOKUP($A403,'NonXtal_SegEnds_Prot#'!$A:$AL,35,FALSE)</f>
        <v>495</v>
      </c>
      <c r="AO403" s="5">
        <f>VLOOKUP($A403,'NonXtal_SegEnds_Prot#'!$A:$AL,38,FALSE)</f>
        <v>511</v>
      </c>
      <c r="AP403" s="5">
        <f t="shared" si="163"/>
        <v>31</v>
      </c>
      <c r="AQ403" s="4">
        <f t="shared" si="164"/>
        <v>4</v>
      </c>
      <c r="AR403" s="4">
        <f t="shared" si="165"/>
        <v>23</v>
      </c>
      <c r="AS403" s="4" t="str">
        <f t="shared" si="166"/>
        <v>-</v>
      </c>
      <c r="AT403" s="4">
        <f t="shared" si="167"/>
        <v>36</v>
      </c>
      <c r="AU403" s="4" t="str">
        <f t="shared" si="168"/>
        <v>-</v>
      </c>
      <c r="AV403" s="4">
        <f t="shared" si="169"/>
        <v>25</v>
      </c>
      <c r="AW403" s="4">
        <f t="shared" si="170"/>
        <v>2</v>
      </c>
      <c r="AX403" s="4">
        <f t="shared" si="171"/>
        <v>36</v>
      </c>
      <c r="AY403" s="4">
        <f t="shared" si="172"/>
        <v>50</v>
      </c>
      <c r="AZ403" s="4">
        <f t="shared" si="173"/>
        <v>22</v>
      </c>
      <c r="BA403" s="4">
        <f t="shared" si="174"/>
        <v>15</v>
      </c>
    </row>
    <row r="404" spans="1:53" x14ac:dyDescent="0.2">
      <c r="A404" s="1" t="str">
        <f>'NonXtal_SegEnds_Prot#'!A404</f>
        <v>gp149_human</v>
      </c>
      <c r="B404" s="1" t="str">
        <f t="shared" si="150"/>
        <v>LSTNDSSLWKENHNSTDLLNPPGTLNIYLFCLTCLMVGSIYSLISLLKMQNRTVVSMLVASWSVDDLLQWPNEVPGYFQFLCTTSALMYLCQGLSSNLKATLLVSYNFYTMHRGSGQVLGVVLTVWAASLLLSALPLCGFLSIVYALAFGLLVGLSVPLTHRLLCSEEPPRLHSNYQEISRGASTRSFTVSVAQKRFALILALTKVVLWLPMMMHMVVQNVVLPLETFSFLLTLLATTVTPVFVLSKRWTHLPCGCIINCRQN</v>
      </c>
      <c r="C404" s="72" t="str">
        <f>IF(ISERROR(MATCH(A404,'Xtal_SegEnds_Prot#'!B:B, 0)), "NoXtal", "Xtal")</f>
        <v>NoXtal</v>
      </c>
      <c r="D404" s="4" t="str">
        <f>VLOOKUP(A404,Classification!A:D,2,FALSE)</f>
        <v>A</v>
      </c>
      <c r="E404" s="5" t="str">
        <f>VLOOKUP(A404,Seqs!A:B,2,FALSE)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404" s="5" t="str">
        <f t="shared" si="151"/>
        <v>LSTNDSSLWKENHNSTDLLNPPGTLNIYLFCLTCLM</v>
      </c>
      <c r="G404" s="4" t="str">
        <f t="shared" si="152"/>
        <v/>
      </c>
      <c r="H404" s="4" t="str">
        <f t="shared" si="153"/>
        <v>VGSIYSLISLLKMQNRTVVSMLVASWSVDDL</v>
      </c>
      <c r="I404" s="4" t="str">
        <f t="shared" si="154"/>
        <v>IFMF</v>
      </c>
      <c r="J404" s="4" t="str">
        <f t="shared" si="155"/>
        <v>LQWPNEVPGYFQFLCTTSALMYLCQGLSSNLKATLLVSYNFYTMHRG</v>
      </c>
      <c r="K404" s="4" t="str">
        <f t="shared" si="156"/>
        <v/>
      </c>
      <c r="L404" s="4" t="str">
        <f t="shared" si="157"/>
        <v>SGQVLGVVLTVWAASLLLSALPLCG</v>
      </c>
      <c r="M404" s="4" t="str">
        <f t="shared" si="158"/>
        <v/>
      </c>
      <c r="N404" s="4" t="str">
        <f t="shared" si="159"/>
        <v>FLSIVYALAFGLLVGLSVPLTHRLLCSEEPPRLHSNYQEISRGAS</v>
      </c>
      <c r="O404" s="4" t="str">
        <f t="shared" si="160"/>
        <v>TRSFTVSVAQKRFALILALTKVVLWLPMMMHMVVQNVV</v>
      </c>
      <c r="P404" s="4" t="str">
        <f t="shared" si="161"/>
        <v>LPLETFSFLLTLLATTVTPVFVLSK</v>
      </c>
      <c r="Q404" s="4" t="str">
        <f t="shared" si="162"/>
        <v>RWTHLPCGCIINCRQN</v>
      </c>
      <c r="R404" s="5">
        <f>VLOOKUP($A404,'NonXtal_SegEnds_Prot#'!$A:$AL,3,FALSE)</f>
        <v>8</v>
      </c>
      <c r="S404" s="5" t="str">
        <f>VLOOKUP($A404,'NonXtal_SegEnds_Prot#'!$A:$AL,6,FALSE)</f>
        <v>-</v>
      </c>
      <c r="T404" s="5">
        <f>VLOOKUP($A404,'NonXtal_SegEnds_Prot#'!$A:$AL,9,FALSE)</f>
        <v>49</v>
      </c>
      <c r="U404" s="5">
        <f>VLOOKUP($A404,'NonXtal_SegEnds_Prot#'!$A:$AL,12,FALSE)</f>
        <v>87</v>
      </c>
      <c r="V404" s="5">
        <f>VLOOKUP($A404,'NonXtal_SegEnds_Prot#'!$A:$AL,15,FALSE)</f>
        <v>91</v>
      </c>
      <c r="W404" s="5" t="str">
        <f>VLOOKUP($A404,'NonXtal_SegEnds_Prot#'!$A:$AL,18,FALSE)</f>
        <v>-</v>
      </c>
      <c r="X404" s="5">
        <f>VLOOKUP($A404,'NonXtal_SegEnds_Prot#'!$A:$AL,21,FALSE)</f>
        <v>147</v>
      </c>
      <c r="Y404" s="5" t="str">
        <f>VLOOKUP($A404,'NonXtal_SegEnds_Prot#'!$A:$AL,24,FALSE)</f>
        <v>-</v>
      </c>
      <c r="Z404" s="5">
        <f>VLOOKUP($A404,'NonXtal_SegEnds_Prot#'!$A:$AL,27,FALSE)</f>
        <v>193</v>
      </c>
      <c r="AA404" s="5">
        <f>VLOOKUP($A404,'NonXtal_SegEnds_Prot#'!$A:$AL,30,FALSE)</f>
        <v>299</v>
      </c>
      <c r="AB404" s="5">
        <f>VLOOKUP($A404,'NonXtal_SegEnds_Prot#'!$A:$AL,33,FALSE)</f>
        <v>341</v>
      </c>
      <c r="AC404" s="5">
        <f>VLOOKUP($A404,'NonXtal_SegEnds_Prot#'!$A:$AL,36,FALSE)</f>
        <v>366</v>
      </c>
      <c r="AD404" s="5">
        <f>VLOOKUP($A404,'NonXtal_SegEnds_Prot#'!$A:$AL,5,FALSE)</f>
        <v>43</v>
      </c>
      <c r="AE404" s="5" t="str">
        <f>VLOOKUP($A404,'NonXtal_SegEnds_Prot#'!$A:$AL,8,FALSE)</f>
        <v>-</v>
      </c>
      <c r="AF404" s="5">
        <f>VLOOKUP($A404,'NonXtal_SegEnds_Prot#'!$A:$AL,11,FALSE)</f>
        <v>79</v>
      </c>
      <c r="AG404" s="5">
        <f>VLOOKUP($A404,'NonXtal_SegEnds_Prot#'!$A:$AL,14,FALSE)</f>
        <v>90</v>
      </c>
      <c r="AH404" s="5">
        <f>VLOOKUP($A404,'NonXtal_SegEnds_Prot#'!$A:$AL,17,FALSE)</f>
        <v>137</v>
      </c>
      <c r="AI404" s="5" t="str">
        <f>VLOOKUP($A404,'NonXtal_SegEnds_Prot#'!$A:$AL,20,FALSE)</f>
        <v>-</v>
      </c>
      <c r="AJ404" s="5">
        <f>VLOOKUP($A404,'NonXtal_SegEnds_Prot#'!$A:$AL,23,FALSE)</f>
        <v>171</v>
      </c>
      <c r="AK404" s="5" t="str">
        <f>VLOOKUP($A404,'NonXtal_SegEnds_Prot#'!$A:$AL,26,FALSE)</f>
        <v>-</v>
      </c>
      <c r="AL404" s="5">
        <f>VLOOKUP($A404,'NonXtal_SegEnds_Prot#'!$A:$AL,29,FALSE)</f>
        <v>237</v>
      </c>
      <c r="AM404" s="5">
        <f>VLOOKUP($A404,'NonXtal_SegEnds_Prot#'!$A:$AL,32,FALSE)</f>
        <v>336</v>
      </c>
      <c r="AN404" s="5">
        <f>VLOOKUP($A404,'NonXtal_SegEnds_Prot#'!$A:$AL,35,FALSE)</f>
        <v>365</v>
      </c>
      <c r="AO404" s="5">
        <f>VLOOKUP($A404,'NonXtal_SegEnds_Prot#'!$A:$AL,38,FALSE)</f>
        <v>381</v>
      </c>
      <c r="AP404" s="5">
        <f t="shared" si="163"/>
        <v>35</v>
      </c>
      <c r="AQ404" s="4" t="str">
        <f t="shared" si="164"/>
        <v>-</v>
      </c>
      <c r="AR404" s="4">
        <f t="shared" si="165"/>
        <v>30</v>
      </c>
      <c r="AS404" s="4">
        <f t="shared" si="166"/>
        <v>3</v>
      </c>
      <c r="AT404" s="4">
        <f t="shared" si="167"/>
        <v>46</v>
      </c>
      <c r="AU404" s="4" t="str">
        <f t="shared" si="168"/>
        <v>-</v>
      </c>
      <c r="AV404" s="4">
        <f t="shared" si="169"/>
        <v>24</v>
      </c>
      <c r="AW404" s="4" t="str">
        <f t="shared" si="170"/>
        <v>-</v>
      </c>
      <c r="AX404" s="4">
        <f t="shared" si="171"/>
        <v>44</v>
      </c>
      <c r="AY404" s="4">
        <f t="shared" si="172"/>
        <v>37</v>
      </c>
      <c r="AZ404" s="4">
        <f t="shared" si="173"/>
        <v>24</v>
      </c>
      <c r="BA404" s="4">
        <f t="shared" si="174"/>
        <v>15</v>
      </c>
    </row>
    <row r="405" spans="1:53" x14ac:dyDescent="0.2">
      <c r="A405" s="1" t="str">
        <f>'NonXtal_SegEnds_Prot#'!A405</f>
        <v>ta2r5_human</v>
      </c>
      <c r="B405" s="1" t="str">
        <f t="shared" si="150"/>
        <v>LGLLMLVAVVEFLIGLIGNGSLVVWSFREWIWSSYNLIILGLAGCRFLLQWLIILDLSLFPLWLRYLSIFWVLVSQASLWFATFLSVFYCKKITTRAYNLSLWCLLGYFIINLLLTVQIGFESWQYLYAFQLNSGSYLPLVVFLVSSGMLIVSLYTHHKKMVRAKAHITALKSLGCFLLLHLVYIMASPFSITSDLTSVFIWETLMAAYPSLHSLILIMGIPRVKQTCQKILWK</v>
      </c>
      <c r="C405" s="72" t="str">
        <f>IF(ISERROR(MATCH(A405,'Xtal_SegEnds_Prot#'!B:B,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5" s="5" t="str">
        <f t="shared" si="151"/>
        <v>LGLLMLVAVVEFLIGLIGNGSLVVWSFREWI</v>
      </c>
      <c r="G405" s="4" t="str">
        <f t="shared" si="152"/>
        <v>RKFN</v>
      </c>
      <c r="H405" s="4" t="str">
        <f t="shared" si="153"/>
        <v>WSSYNLIILGLAGCRFLLQWLIILDLSLFPL</v>
      </c>
      <c r="I405" s="4" t="str">
        <f t="shared" si="154"/>
        <v/>
      </c>
      <c r="J405" s="4" t="str">
        <f t="shared" si="155"/>
        <v>WLRYLSIFWVLVSQASLWFATFLSVFYCKKITT</v>
      </c>
      <c r="K405" s="4" t="str">
        <f t="shared" si="156"/>
        <v>RPAYLWLK</v>
      </c>
      <c r="L405" s="4" t="str">
        <f t="shared" si="157"/>
        <v>RAYNLSLWCLLGYFIINLLLTVQIG</v>
      </c>
      <c r="M405" s="4" t="str">
        <f t="shared" si="158"/>
        <v/>
      </c>
      <c r="N405" s="4" t="str">
        <f t="shared" si="159"/>
        <v>FESWQYLYAFQLNSGSYLPLVVFLVSSGMLIVSLYTHHKKM</v>
      </c>
      <c r="O405" s="4" t="str">
        <f t="shared" si="160"/>
        <v>VRAKAHITALKSLGCFLLLHLVYIMASPFSITS</v>
      </c>
      <c r="P405" s="4" t="str">
        <f t="shared" si="161"/>
        <v>DLTSVFIWETLMAAYPSLHSLILIMG</v>
      </c>
      <c r="Q405" s="4" t="str">
        <f t="shared" si="162"/>
        <v>IPRVKQTCQKILWK</v>
      </c>
      <c r="R405" s="5">
        <f>VLOOKUP($A405,'NonXtal_SegEnds_Prot#'!$A:$AL,3,FALSE)</f>
        <v>6</v>
      </c>
      <c r="S405" s="5">
        <f>VLOOKUP($A405,'NonXtal_SegEnds_Prot#'!$A:$AL,6,FALSE)</f>
        <v>37</v>
      </c>
      <c r="T405" s="5">
        <f>VLOOKUP($A405,'NonXtal_SegEnds_Prot#'!$A:$AL,9,FALSE)</f>
        <v>41</v>
      </c>
      <c r="U405" s="5" t="str">
        <f>VLOOKUP($A405,'NonXtal_SegEnds_Prot#'!$A:$AL,12,FALSE)</f>
        <v>-</v>
      </c>
      <c r="V405" s="5">
        <f>VLOOKUP($A405,'NonXtal_SegEnds_Prot#'!$A:$AL,15,FALSE)</f>
        <v>77</v>
      </c>
      <c r="W405" s="5">
        <f>VLOOKUP($A405,'NonXtal_SegEnds_Prot#'!$A:$AL,18,FALSE)</f>
        <v>112</v>
      </c>
      <c r="X405" s="5">
        <f>VLOOKUP($A405,'NonXtal_SegEnds_Prot#'!$A:$AL,21,FALSE)</f>
        <v>121</v>
      </c>
      <c r="Y405" s="5" t="str">
        <f>VLOOKUP($A405,'NonXtal_SegEnds_Prot#'!$A:$AL,24,FALSE)</f>
        <v>-</v>
      </c>
      <c r="Z405" s="5">
        <f>VLOOKUP($A405,'NonXtal_SegEnds_Prot#'!$A:$AL,27,FALSE)</f>
        <v>162</v>
      </c>
      <c r="AA405" s="5">
        <f>VLOOKUP($A405,'NonXtal_SegEnds_Prot#'!$A:$AL,30,FALSE)</f>
        <v>212</v>
      </c>
      <c r="AB405" s="5">
        <f>VLOOKUP($A405,'NonXtal_SegEnds_Prot#'!$A:$AL,33,FALSE)</f>
        <v>250</v>
      </c>
      <c r="AC405" s="5">
        <f>VLOOKUP($A405,'NonXtal_SegEnds_Prot#'!$A:$AL,36,FALSE)</f>
        <v>276</v>
      </c>
      <c r="AD405" s="5">
        <f>VLOOKUP($A405,'NonXtal_SegEnds_Prot#'!$A:$AL,5,FALSE)</f>
        <v>36</v>
      </c>
      <c r="AE405" s="5">
        <f>VLOOKUP($A405,'NonXtal_SegEnds_Prot#'!$A:$AL,8,FALSE)</f>
        <v>40</v>
      </c>
      <c r="AF405" s="5">
        <f>VLOOKUP($A405,'NonXtal_SegEnds_Prot#'!$A:$AL,11,FALSE)</f>
        <v>71</v>
      </c>
      <c r="AG405" s="5" t="str">
        <f>VLOOKUP($A405,'NonXtal_SegEnds_Prot#'!$A:$AL,14,FALSE)</f>
        <v>-</v>
      </c>
      <c r="AH405" s="5">
        <f>VLOOKUP($A405,'NonXtal_SegEnds_Prot#'!$A:$AL,17,FALSE)</f>
        <v>109</v>
      </c>
      <c r="AI405" s="5">
        <f>VLOOKUP($A405,'NonXtal_SegEnds_Prot#'!$A:$AL,20,FALSE)</f>
        <v>119</v>
      </c>
      <c r="AJ405" s="5">
        <f>VLOOKUP($A405,'NonXtal_SegEnds_Prot#'!$A:$AL,23,FALSE)</f>
        <v>145</v>
      </c>
      <c r="AK405" s="5" t="str">
        <f>VLOOKUP($A405,'NonXtal_SegEnds_Prot#'!$A:$AL,26,FALSE)</f>
        <v>-</v>
      </c>
      <c r="AL405" s="5">
        <f>VLOOKUP($A405,'NonXtal_SegEnds_Prot#'!$A:$AL,29,FALSE)</f>
        <v>202</v>
      </c>
      <c r="AM405" s="5">
        <f>VLOOKUP($A405,'NonXtal_SegEnds_Prot#'!$A:$AL,32,FALSE)</f>
        <v>244</v>
      </c>
      <c r="AN405" s="5">
        <f>VLOOKUP($A405,'NonXtal_SegEnds_Prot#'!$A:$AL,35,FALSE)</f>
        <v>275</v>
      </c>
      <c r="AO405" s="5">
        <f>VLOOKUP($A405,'NonXtal_SegEnds_Prot#'!$A:$AL,38,FALSE)</f>
        <v>289</v>
      </c>
      <c r="AP405" s="5">
        <f t="shared" si="163"/>
        <v>30</v>
      </c>
      <c r="AQ405" s="4">
        <f t="shared" si="164"/>
        <v>3</v>
      </c>
      <c r="AR405" s="4">
        <f t="shared" si="165"/>
        <v>30</v>
      </c>
      <c r="AS405" s="4" t="str">
        <f t="shared" si="166"/>
        <v>-</v>
      </c>
      <c r="AT405" s="4">
        <f t="shared" si="167"/>
        <v>32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'NonXtal_SegEnds_Prot#'!A406</f>
        <v>us28_hcmva</v>
      </c>
      <c r="B406" s="1" t="str">
        <f t="shared" si="150"/>
        <v>TDVLNQSKPVTLFLYGVVFLFGSIGNFLVIFTITWRCSGDVYFINLAAADLLFVCTLPLWMQYLLDPCTLLTACFYVAMFASLCFITEIALDRYYAIVYVKQACLFSIFWWIFAVIIAIPHFMVVSYPIILNVELMLGAFVIPLSVISYCYYRISRIVAVSHKGRIVRVLIAVVLVFIIFWLPYHLTLFVDTLKLLKSCEFERSLKRALILTESLAFCHCCLNPLLYVFVGTKFRQELHCLLAEFR</v>
      </c>
      <c r="C406" s="72" t="str">
        <f>IF(ISERROR(MATCH(A406,'Xtal_SegEnds_Prot#'!B:B, 0)), "NoXtal", "Xtal")</f>
        <v>Xtal</v>
      </c>
      <c r="D406" s="4" t="str">
        <f>VLOOKUP(A406,Classification!A:D,2,FALSE)</f>
        <v>A</v>
      </c>
      <c r="E406" s="5" t="str">
        <f>VLOOKUP(A406,Seqs!A:B,2,FALSE)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406" s="5" t="str">
        <f t="shared" si="151"/>
        <v>TDVLNQSKPVTLFLYGVVFLFGSIGNFLVIFTITWR</v>
      </c>
      <c r="G406" s="4" t="str">
        <f t="shared" si="152"/>
        <v>RRIQ</v>
      </c>
      <c r="H406" s="4" t="str">
        <f t="shared" si="153"/>
        <v>CSGDVYFINLAAADLLFVCTLPLWMQYLLD</v>
      </c>
      <c r="I406" s="4" t="str">
        <f t="shared" si="154"/>
        <v/>
      </c>
      <c r="J406" s="4" t="str">
        <f t="shared" si="155"/>
        <v>PCTLLTACFYVAMFASLCFITEIALDRYYAIVY</v>
      </c>
      <c r="K406" s="4" t="str">
        <f t="shared" si="156"/>
        <v/>
      </c>
      <c r="L406" s="4" t="str">
        <f t="shared" si="157"/>
        <v>VKQACLFSIFWWIFAVIIAIPHFMV</v>
      </c>
      <c r="M406" s="4" t="str">
        <f t="shared" si="158"/>
        <v>CMT</v>
      </c>
      <c r="N406" s="4" t="str">
        <f t="shared" si="159"/>
        <v>VSYPIILNVELMLGAFVIPLSVISYCYYRISRIVAVS</v>
      </c>
      <c r="O406" s="4" t="str">
        <f t="shared" si="160"/>
        <v>HKGRIVRVLIAVVLVFIIFWLPYHLTLFVDTLKLLK</v>
      </c>
      <c r="P406" s="4" t="str">
        <f t="shared" si="161"/>
        <v>SCEFERSLKRALILTESLAFCHCCLNPLLYVFV</v>
      </c>
      <c r="Q406" s="4" t="str">
        <f t="shared" si="162"/>
        <v>GTKFRQELHCLLAEFR</v>
      </c>
      <c r="R406" s="5">
        <f>VLOOKUP($A406,'NonXtal_SegEnds_Prot#'!$A:$AL,3,FALSE)</f>
        <v>26</v>
      </c>
      <c r="S406" s="5">
        <f>VLOOKUP($A406,'NonXtal_SegEnds_Prot#'!$A:$AL,6,FALSE)</f>
        <v>62</v>
      </c>
      <c r="T406" s="5">
        <f>VLOOKUP($A406,'NonXtal_SegEnds_Prot#'!$A:$AL,9,FALSE)</f>
        <v>66</v>
      </c>
      <c r="U406" s="5" t="str">
        <f>VLOOKUP($A406,'NonXtal_SegEnds_Prot#'!$A:$AL,12,FALSE)</f>
        <v>-</v>
      </c>
      <c r="V406" s="5">
        <f>VLOOKUP($A406,'NonXtal_SegEnds_Prot#'!$A:$AL,15,FALSE)</f>
        <v>103</v>
      </c>
      <c r="W406" s="5" t="str">
        <f>VLOOKUP($A406,'NonXtal_SegEnds_Prot#'!$A:$AL,18,FALSE)</f>
        <v>-</v>
      </c>
      <c r="X406" s="5">
        <f>VLOOKUP($A406,'NonXtal_SegEnds_Prot#'!$A:$AL,21,FALSE)</f>
        <v>141</v>
      </c>
      <c r="Y406" s="5">
        <f>VLOOKUP($A406,'NonXtal_SegEnds_Prot#'!$A:$AL,24,FALSE)</f>
        <v>173</v>
      </c>
      <c r="Z406" s="5">
        <f>VLOOKUP($A406,'NonXtal_SegEnds_Prot#'!$A:$AL,27,FALSE)</f>
        <v>182</v>
      </c>
      <c r="AA406" s="5">
        <f>VLOOKUP($A406,'NonXtal_SegEnds_Prot#'!$A:$AL,30,FALSE)</f>
        <v>222</v>
      </c>
      <c r="AB406" s="5">
        <f>VLOOKUP($A406,'NonXtal_SegEnds_Prot#'!$A:$AL,33,FALSE)</f>
        <v>262</v>
      </c>
      <c r="AC406" s="5">
        <f>VLOOKUP($A406,'NonXtal_SegEnds_Prot#'!$A:$AL,36,FALSE)</f>
        <v>295</v>
      </c>
      <c r="AD406" s="5">
        <f>VLOOKUP($A406,'NonXtal_SegEnds_Prot#'!$A:$AL,5,FALSE)</f>
        <v>61</v>
      </c>
      <c r="AE406" s="5">
        <f>VLOOKUP($A406,'NonXtal_SegEnds_Prot#'!$A:$AL,8,FALSE)</f>
        <v>65</v>
      </c>
      <c r="AF406" s="5">
        <f>VLOOKUP($A406,'NonXtal_SegEnds_Prot#'!$A:$AL,11,FALSE)</f>
        <v>95</v>
      </c>
      <c r="AG406" s="5" t="str">
        <f>VLOOKUP($A406,'NonXtal_SegEnds_Prot#'!$A:$AL,14,FALSE)</f>
        <v>-</v>
      </c>
      <c r="AH406" s="5">
        <f>VLOOKUP($A406,'NonXtal_SegEnds_Prot#'!$A:$AL,17,FALSE)</f>
        <v>135</v>
      </c>
      <c r="AI406" s="5" t="str">
        <f>VLOOKUP($A406,'NonXtal_SegEnds_Prot#'!$A:$AL,20,FALSE)</f>
        <v>-</v>
      </c>
      <c r="AJ406" s="5">
        <f>VLOOKUP($A406,'NonXtal_SegEnds_Prot#'!$A:$AL,23,FALSE)</f>
        <v>165</v>
      </c>
      <c r="AK406" s="5">
        <f>VLOOKUP($A406,'NonXtal_SegEnds_Prot#'!$A:$AL,26,FALSE)</f>
        <v>175</v>
      </c>
      <c r="AL406" s="5">
        <f>VLOOKUP($A406,'NonXtal_SegEnds_Prot#'!$A:$AL,29,FALSE)</f>
        <v>218</v>
      </c>
      <c r="AM406" s="5">
        <f>VLOOKUP($A406,'NonXtal_SegEnds_Prot#'!$A:$AL,32,FALSE)</f>
        <v>257</v>
      </c>
      <c r="AN406" s="5">
        <f>VLOOKUP($A406,'NonXtal_SegEnds_Prot#'!$A:$AL,35,FALSE)</f>
        <v>294</v>
      </c>
      <c r="AO406" s="5">
        <f>VLOOKUP($A406,'NonXtal_SegEnds_Prot#'!$A:$AL,38,FALSE)</f>
        <v>310</v>
      </c>
      <c r="AP406" s="5">
        <f t="shared" si="163"/>
        <v>35</v>
      </c>
      <c r="AQ406" s="4">
        <f t="shared" si="164"/>
        <v>3</v>
      </c>
      <c r="AR406" s="4">
        <f t="shared" si="165"/>
        <v>29</v>
      </c>
      <c r="AS406" s="4" t="str">
        <f t="shared" si="166"/>
        <v>-</v>
      </c>
      <c r="AT406" s="4">
        <f t="shared" si="167"/>
        <v>32</v>
      </c>
      <c r="AU406" s="4" t="str">
        <f t="shared" si="168"/>
        <v>-</v>
      </c>
      <c r="AV406" s="4">
        <f t="shared" si="169"/>
        <v>24</v>
      </c>
      <c r="AW406" s="4">
        <f t="shared" si="170"/>
        <v>2</v>
      </c>
      <c r="AX406" s="4">
        <f t="shared" si="171"/>
        <v>36</v>
      </c>
      <c r="AY406" s="4">
        <f t="shared" si="172"/>
        <v>35</v>
      </c>
      <c r="AZ406" s="4">
        <f t="shared" si="173"/>
        <v>32</v>
      </c>
      <c r="BA406" s="4">
        <f t="shared" si="174"/>
        <v>15</v>
      </c>
    </row>
  </sheetData>
  <sortState ref="A2:BA408">
    <sortCondition descending="1" ref="C2:C408"/>
  </sortState>
  <customSheetViews>
    <customSheetView guid="{3E3401AF-8459-8641-BD70-AD04F80E86ED}" scale="135">
      <pane ySplit="1" topLeftCell="A171" activePane="bottomLeft" state="frozenSplit"/>
      <selection pane="bottomLeft" activeCell="B189" sqref="B189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E408"/>
  <sheetViews>
    <sheetView workbookViewId="0">
      <pane ySplit="1" topLeftCell="A74" activePane="bottomLeft" state="frozenSplit"/>
      <selection pane="bottomLeft" activeCell="B99" sqref="B99"/>
    </sheetView>
  </sheetViews>
  <sheetFormatPr baseColWidth="10" defaultRowHeight="16" x14ac:dyDescent="0.2"/>
  <cols>
    <col min="1" max="1" width="11.83203125" customWidth="1"/>
    <col min="3" max="3" width="7.5" customWidth="1"/>
  </cols>
  <sheetData>
    <row r="1" spans="1:5" s="53" customFormat="1" x14ac:dyDescent="0.2">
      <c r="A1" s="53" t="s">
        <v>205</v>
      </c>
      <c r="B1" s="53" t="s">
        <v>1376</v>
      </c>
      <c r="C1" s="53" t="s">
        <v>1446</v>
      </c>
      <c r="D1" s="53" t="s">
        <v>1424</v>
      </c>
      <c r="E1" s="53" t="s">
        <v>292</v>
      </c>
    </row>
    <row r="2" spans="1:5" x14ac:dyDescent="0.2">
      <c r="A2" t="s">
        <v>663</v>
      </c>
      <c r="B2" t="s">
        <v>758</v>
      </c>
      <c r="C2" t="str">
        <f>IF(ISERROR(MATCH(A2,'Xtal_SegEnds_Prot#'!B:B,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664</v>
      </c>
      <c r="B3" t="s">
        <v>789</v>
      </c>
      <c r="C3" t="str">
        <f>IF(ISERROR(MATCH(A3,'Xtal_SegEnds_Prot#'!B:B,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1126</v>
      </c>
      <c r="B4" t="s">
        <v>806</v>
      </c>
      <c r="C4" t="str">
        <f>IF(ISERROR(MATCH(A4,'Xtal_SegEnds_Prot#'!B:B,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662</v>
      </c>
      <c r="B5" t="s">
        <v>839</v>
      </c>
      <c r="C5" t="str">
        <f>IF(ISERROR(MATCH(A5,'Xtal_SegEnds_Prot#'!B:B,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669</v>
      </c>
      <c r="B6" t="s">
        <v>892</v>
      </c>
      <c r="C6" t="str">
        <f>IF(ISERROR(MATCH(A6,'Xtal_SegEnds_Prot#'!B:B,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670</v>
      </c>
      <c r="B7" t="s">
        <v>893</v>
      </c>
      <c r="C7" t="str">
        <f>IF(ISERROR(MATCH(A7,'Xtal_SegEnds_Prot#'!B:B,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671</v>
      </c>
      <c r="B8" t="s">
        <v>894</v>
      </c>
      <c r="C8" t="str">
        <f>IF(ISERROR(MATCH(A8,'Xtal_SegEnds_Prot#'!B:B,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672</v>
      </c>
      <c r="B9" t="s">
        <v>895</v>
      </c>
      <c r="C9" t="str">
        <f>IF(ISERROR(MATCH(A9,'Xtal_SegEnds_Prot#'!B:B,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673</v>
      </c>
      <c r="B10" t="s">
        <v>896</v>
      </c>
      <c r="C10" t="str">
        <f>IF(ISERROR(MATCH(A10,'Xtal_SegEnds_Prot#'!B:B,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674</v>
      </c>
      <c r="B11" t="s">
        <v>897</v>
      </c>
      <c r="C11" t="str">
        <f>IF(ISERROR(MATCH(A11,'Xtal_SegEnds_Prot#'!B:B,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675</v>
      </c>
      <c r="B12" t="s">
        <v>898</v>
      </c>
      <c r="C12" t="str">
        <f>IF(ISERROR(MATCH(A12,'Xtal_SegEnds_Prot#'!B:B,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651</v>
      </c>
      <c r="B13" t="s">
        <v>899</v>
      </c>
      <c r="C13" t="str">
        <f>IF(ISERROR(MATCH(A13,'Xtal_SegEnds_Prot#'!B:B,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652</v>
      </c>
      <c r="B14" t="s">
        <v>900</v>
      </c>
      <c r="C14" t="str">
        <f>IF(ISERROR(MATCH(A14,'Xtal_SegEnds_Prot#'!B:B,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653</v>
      </c>
      <c r="B15" t="s">
        <v>901</v>
      </c>
      <c r="C15" t="str">
        <f>IF(ISERROR(MATCH(A15,'Xtal_SegEnds_Prot#'!B:B,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654</v>
      </c>
      <c r="B16" t="s">
        <v>902</v>
      </c>
      <c r="C16" t="str">
        <f>IF(ISERROR(MATCH(A16,'Xtal_SegEnds_Prot#'!B:B,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655</v>
      </c>
      <c r="B17" t="s">
        <v>903</v>
      </c>
      <c r="C17" t="str">
        <f>IF(ISERROR(MATCH(A17,'Xtal_SegEnds_Prot#'!B:B,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656</v>
      </c>
      <c r="B18" t="s">
        <v>904</v>
      </c>
      <c r="C18" t="str">
        <f>IF(ISERROR(MATCH(A18,'Xtal_SegEnds_Prot#'!B:B,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657</v>
      </c>
      <c r="B19" t="s">
        <v>905</v>
      </c>
      <c r="C19" t="str">
        <f>IF(ISERROR(MATCH(A19,'Xtal_SegEnds_Prot#'!B:B,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658</v>
      </c>
      <c r="B20" t="s">
        <v>906</v>
      </c>
      <c r="C20" t="str">
        <f>IF(ISERROR(MATCH(A20,'Xtal_SegEnds_Prot#'!B:B,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659</v>
      </c>
      <c r="B21" t="s">
        <v>907</v>
      </c>
      <c r="C21" t="str">
        <f>IF(ISERROR(MATCH(A21,'Xtal_SegEnds_Prot#'!B:B,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660</v>
      </c>
      <c r="B22" t="s">
        <v>908</v>
      </c>
      <c r="C22" t="str">
        <f>IF(ISERROR(MATCH(A22,'Xtal_SegEnds_Prot#'!B:B,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661</v>
      </c>
      <c r="B23" t="s">
        <v>909</v>
      </c>
      <c r="C23" t="str">
        <f>IF(ISERROR(MATCH(A23,'Xtal_SegEnds_Prot#'!B:B,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665</v>
      </c>
      <c r="B24" t="s">
        <v>910</v>
      </c>
      <c r="C24" t="str">
        <f>IF(ISERROR(MATCH(A24,'Xtal_SegEnds_Prot#'!B:B,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666</v>
      </c>
      <c r="B25" t="s">
        <v>911</v>
      </c>
      <c r="C25" t="str">
        <f>IF(ISERROR(MATCH(A25,'Xtal_SegEnds_Prot#'!B:B,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667</v>
      </c>
      <c r="B26" t="s">
        <v>912</v>
      </c>
      <c r="C26" t="str">
        <f>IF(ISERROR(MATCH(A26,'Xtal_SegEnds_Prot#'!B:B,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677</v>
      </c>
      <c r="B27" t="s">
        <v>1074</v>
      </c>
      <c r="C27" t="str">
        <f>IF(ISERROR(MATCH(A27,'Xtal_SegEnds_Prot#'!B:B,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676</v>
      </c>
      <c r="B28" t="s">
        <v>1075</v>
      </c>
      <c r="C28" t="str">
        <f>IF(ISERROR(MATCH(A28,'Xtal_SegEnds_Prot#'!B:B,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678</v>
      </c>
      <c r="B29" t="s">
        <v>1076</v>
      </c>
      <c r="C29" t="str">
        <f>IF(ISERROR(MATCH(A29,'Xtal_SegEnds_Prot#'!B:B,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679</v>
      </c>
      <c r="B30" t="s">
        <v>1077</v>
      </c>
      <c r="C30" t="str">
        <f>IF(ISERROR(MATCH(A30,'Xtal_SegEnds_Prot#'!B:B,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680</v>
      </c>
      <c r="B31" t="s">
        <v>1078</v>
      </c>
      <c r="C31" t="str">
        <f>IF(ISERROR(MATCH(A31,'Xtal_SegEnds_Prot#'!B:B,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681</v>
      </c>
      <c r="B32" t="s">
        <v>1079</v>
      </c>
      <c r="C32" t="str">
        <f>IF(ISERROR(MATCH(A32,'Xtal_SegEnds_Prot#'!B:B,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207</v>
      </c>
      <c r="B33" t="s">
        <v>1073</v>
      </c>
      <c r="C33" t="str">
        <f>IF(ISERROR(MATCH(A33,'Xtal_SegEnds_Prot#'!B:B,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641</v>
      </c>
      <c r="B34" t="s">
        <v>1063</v>
      </c>
      <c r="C34" t="str">
        <f>IF(ISERROR(MATCH(A34,'Xtal_SegEnds_Prot#'!B:B,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643</v>
      </c>
      <c r="B35" t="s">
        <v>1064</v>
      </c>
      <c r="C35" t="str">
        <f>IF(ISERROR(MATCH(A35,'Xtal_SegEnds_Prot#'!B:B,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644</v>
      </c>
      <c r="B36" t="s">
        <v>1065</v>
      </c>
      <c r="C36" t="str">
        <f>IF(ISERROR(MATCH(A36,'Xtal_SegEnds_Prot#'!B:B,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645</v>
      </c>
      <c r="B37" t="s">
        <v>1066</v>
      </c>
      <c r="C37" t="str">
        <f>IF(ISERROR(MATCH(A37,'Xtal_SegEnds_Prot#'!B:B,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646</v>
      </c>
      <c r="B38" t="s">
        <v>1067</v>
      </c>
      <c r="C38" t="str">
        <f>IF(ISERROR(MATCH(A38,'Xtal_SegEnds_Prot#'!B:B,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647</v>
      </c>
      <c r="B39" t="s">
        <v>1068</v>
      </c>
      <c r="C39" t="str">
        <f>IF(ISERROR(MATCH(A39,'Xtal_SegEnds_Prot#'!B:B,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648</v>
      </c>
      <c r="B40" t="s">
        <v>1069</v>
      </c>
      <c r="C40" t="str">
        <f>IF(ISERROR(MATCH(A40,'Xtal_SegEnds_Prot#'!B:B,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649</v>
      </c>
      <c r="B41" t="s">
        <v>1070</v>
      </c>
      <c r="C41" t="str">
        <f>IF(ISERROR(MATCH(A41,'Xtal_SegEnds_Prot#'!B:B,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650</v>
      </c>
      <c r="B42" t="s">
        <v>1071</v>
      </c>
      <c r="C42" t="str">
        <f>IF(ISERROR(MATCH(A42,'Xtal_SegEnds_Prot#'!B:B,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642</v>
      </c>
      <c r="B43" t="s">
        <v>1072</v>
      </c>
      <c r="C43" t="str">
        <f>IF(ISERROR(MATCH(A43,'Xtal_SegEnds_Prot#'!B:B,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223</v>
      </c>
      <c r="B44" t="s">
        <v>1046</v>
      </c>
      <c r="C44" t="str">
        <f>IF(ISERROR(MATCH(A44,'Xtal_SegEnds_Prot#'!B:B,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224</v>
      </c>
      <c r="B45" t="s">
        <v>1050</v>
      </c>
      <c r="C45" t="str">
        <f>IF(ISERROR(MATCH(A45,'Xtal_SegEnds_Prot#'!B:B,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305</v>
      </c>
      <c r="B46" t="s">
        <v>1041</v>
      </c>
      <c r="C46" t="str">
        <f>IF(ISERROR(MATCH(A46,'Xtal_SegEnds_Prot#'!B:B,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300</v>
      </c>
      <c r="B47" t="s">
        <v>1042</v>
      </c>
      <c r="C47" t="str">
        <f>IF(ISERROR(MATCH(A47,'Xtal_SegEnds_Prot#'!B:B,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299</v>
      </c>
      <c r="B48" t="s">
        <v>1043</v>
      </c>
      <c r="C48" t="str">
        <f>IF(ISERROR(MATCH(A48,'Xtal_SegEnds_Prot#'!B:B,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308</v>
      </c>
      <c r="B49" t="s">
        <v>1044</v>
      </c>
      <c r="C49" t="str">
        <f>IF(ISERROR(MATCH(A49,'Xtal_SegEnds_Prot#'!B:B,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301</v>
      </c>
      <c r="B50" t="s">
        <v>1045</v>
      </c>
      <c r="C50" t="str">
        <f>IF(ISERROR(MATCH(A50,'Xtal_SegEnds_Prot#'!B:B,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309</v>
      </c>
      <c r="B51" t="s">
        <v>1047</v>
      </c>
      <c r="C51" t="str">
        <f>IF(ISERROR(MATCH(A51,'Xtal_SegEnds_Prot#'!B:B,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310</v>
      </c>
      <c r="B52" t="s">
        <v>1048</v>
      </c>
      <c r="C52" t="str">
        <f>IF(ISERROR(MATCH(A52,'Xtal_SegEnds_Prot#'!B:B,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311</v>
      </c>
      <c r="B53" t="s">
        <v>1049</v>
      </c>
      <c r="C53" t="str">
        <f>IF(ISERROR(MATCH(A53,'Xtal_SegEnds_Prot#'!B:B,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312</v>
      </c>
      <c r="B54" t="s">
        <v>1051</v>
      </c>
      <c r="C54" t="str">
        <f>IF(ISERROR(MATCH(A54,'Xtal_SegEnds_Prot#'!B:B,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313</v>
      </c>
      <c r="B55" t="s">
        <v>1052</v>
      </c>
      <c r="C55" t="str">
        <f>IF(ISERROR(MATCH(A55,'Xtal_SegEnds_Prot#'!B:B,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314</v>
      </c>
      <c r="B56" t="s">
        <v>1053</v>
      </c>
      <c r="C56" t="str">
        <f>IF(ISERROR(MATCH(A56,'Xtal_SegEnds_Prot#'!B:B,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316</v>
      </c>
      <c r="B57" t="s">
        <v>1054</v>
      </c>
      <c r="C57" t="str">
        <f>IF(ISERROR(MATCH(A57,'Xtal_SegEnds_Prot#'!B:B,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317</v>
      </c>
      <c r="B58" t="s">
        <v>1055</v>
      </c>
      <c r="C58" t="str">
        <f>IF(ISERROR(MATCH(A58,'Xtal_SegEnds_Prot#'!B:B,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318</v>
      </c>
      <c r="B59" t="s">
        <v>1056</v>
      </c>
      <c r="C59" t="str">
        <f>IF(ISERROR(MATCH(A59,'Xtal_SegEnds_Prot#'!B:B,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302</v>
      </c>
      <c r="B60" t="s">
        <v>1057</v>
      </c>
      <c r="C60" t="str">
        <f>IF(ISERROR(MATCH(A60,'Xtal_SegEnds_Prot#'!B:B,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303</v>
      </c>
      <c r="B61" t="s">
        <v>1058</v>
      </c>
      <c r="C61" t="str">
        <f>IF(ISERROR(MATCH(A61,'Xtal_SegEnds_Prot#'!B:B,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304</v>
      </c>
      <c r="B62" t="s">
        <v>1059</v>
      </c>
      <c r="C62" t="str">
        <f>IF(ISERROR(MATCH(A62,'Xtal_SegEnds_Prot#'!B:B,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315</v>
      </c>
      <c r="B63" t="s">
        <v>1060</v>
      </c>
      <c r="C63" t="str">
        <f>IF(ISERROR(MATCH(A63,'Xtal_SegEnds_Prot#'!B:B,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306</v>
      </c>
      <c r="B64" t="s">
        <v>1061</v>
      </c>
      <c r="C64" t="str">
        <f>IF(ISERROR(MATCH(A64,'Xtal_SegEnds_Prot#'!B:B,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307</v>
      </c>
      <c r="B65" t="s">
        <v>1062</v>
      </c>
      <c r="C65" t="str">
        <f>IF(ISERROR(MATCH(A65,'Xtal_SegEnds_Prot#'!B:B,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1396</v>
      </c>
      <c r="B66" t="s">
        <v>1008</v>
      </c>
      <c r="C66" t="str">
        <f>IF(ISERROR(MATCH(A66,'Xtal_SegEnds_Prot#'!B:B, 0)), "NoXtal", "Xtal")</f>
        <v>NoXtal</v>
      </c>
      <c r="D66" t="str">
        <f t="shared" ref="D66:D129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1397</v>
      </c>
      <c r="B67" t="s">
        <v>1009</v>
      </c>
      <c r="C67" t="str">
        <f>IF(ISERROR(MATCH(A67,'Xtal_SegEnds_Prot#'!B:B,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1398</v>
      </c>
      <c r="B68" t="s">
        <v>1010</v>
      </c>
      <c r="C68" t="str">
        <f>IF(ISERROR(MATCH(A68,'Xtal_SegEnds_Prot#'!B:B,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608</v>
      </c>
      <c r="B69" t="s">
        <v>1011</v>
      </c>
      <c r="C69" t="str">
        <f>IF(ISERROR(MATCH(A69,'Xtal_SegEnds_Prot#'!B:B,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1399</v>
      </c>
      <c r="B70" t="s">
        <v>1012</v>
      </c>
      <c r="C70" t="str">
        <f>IF(ISERROR(MATCH(A70,'Xtal_SegEnds_Prot#'!B:B,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1400</v>
      </c>
      <c r="B71" t="s">
        <v>1013</v>
      </c>
      <c r="C71" t="str">
        <f>IF(ISERROR(MATCH(A71,'Xtal_SegEnds_Prot#'!B:B,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612</v>
      </c>
      <c r="B72" t="s">
        <v>1014</v>
      </c>
      <c r="C72" t="str">
        <f>IF(ISERROR(MATCH(A72,'Xtal_SegEnds_Prot#'!B:B,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613</v>
      </c>
      <c r="B73" t="s">
        <v>1015</v>
      </c>
      <c r="C73" t="str">
        <f>IF(ISERROR(MATCH(A73,'Xtal_SegEnds_Prot#'!B:B,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614</v>
      </c>
      <c r="B74" t="s">
        <v>1016</v>
      </c>
      <c r="C74" t="str">
        <f>IF(ISERROR(MATCH(A74,'Xtal_SegEnds_Prot#'!B:B,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1401</v>
      </c>
      <c r="B75" t="s">
        <v>1017</v>
      </c>
      <c r="C75" t="str">
        <f>IF(ISERROR(MATCH(A75,'Xtal_SegEnds_Prot#'!B:B,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1402</v>
      </c>
      <c r="B76" t="s">
        <v>1018</v>
      </c>
      <c r="C76" t="str">
        <f>IF(ISERROR(MATCH(A76,'Xtal_SegEnds_Prot#'!B:B,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1403</v>
      </c>
      <c r="B77" t="s">
        <v>1019</v>
      </c>
      <c r="C77" t="str">
        <f>IF(ISERROR(MATCH(A77,'Xtal_SegEnds_Prot#'!B:B,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1404</v>
      </c>
      <c r="B78" t="s">
        <v>1020</v>
      </c>
      <c r="C78" t="str">
        <f>IF(ISERROR(MATCH(A78,'Xtal_SegEnds_Prot#'!B:B,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1405</v>
      </c>
      <c r="B79" t="s">
        <v>1021</v>
      </c>
      <c r="C79" t="str">
        <f>IF(ISERROR(MATCH(A79,'Xtal_SegEnds_Prot#'!B:B,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1406</v>
      </c>
      <c r="B80" t="s">
        <v>1022</v>
      </c>
      <c r="C80" t="str">
        <f>IF(ISERROR(MATCH(A80,'Xtal_SegEnds_Prot#'!B:B,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611</v>
      </c>
      <c r="B81" t="s">
        <v>1023</v>
      </c>
      <c r="C81" t="str">
        <f>IF(ISERROR(MATCH(A81,'Xtal_SegEnds_Prot#'!B:B,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1407</v>
      </c>
      <c r="B82" t="s">
        <v>1024</v>
      </c>
      <c r="C82" t="str">
        <f>IF(ISERROR(MATCH(A82,'Xtal_SegEnds_Prot#'!B:B,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1408</v>
      </c>
      <c r="B83" t="s">
        <v>1025</v>
      </c>
      <c r="C83" t="str">
        <f>IF(ISERROR(MATCH(A83,'Xtal_SegEnds_Prot#'!B:B,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1409</v>
      </c>
      <c r="B84" t="s">
        <v>1026</v>
      </c>
      <c r="C84" t="str">
        <f>IF(ISERROR(MATCH(A84,'Xtal_SegEnds_Prot#'!B:B,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1410</v>
      </c>
      <c r="B85" t="s">
        <v>1027</v>
      </c>
      <c r="C85" t="str">
        <f>IF(ISERROR(MATCH(A85,'Xtal_SegEnds_Prot#'!B:B,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1411</v>
      </c>
      <c r="B86" t="s">
        <v>1028</v>
      </c>
      <c r="C86" t="str">
        <f>IF(ISERROR(MATCH(A86,'Xtal_SegEnds_Prot#'!B:B,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1412</v>
      </c>
      <c r="B87" t="s">
        <v>1029</v>
      </c>
      <c r="C87" t="str">
        <f>IF(ISERROR(MATCH(A87,'Xtal_SegEnds_Prot#'!B:B,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1413</v>
      </c>
      <c r="B88" t="s">
        <v>1030</v>
      </c>
      <c r="C88" t="str">
        <f>IF(ISERROR(MATCH(A88,'Xtal_SegEnds_Prot#'!B:B,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1414</v>
      </c>
      <c r="B89" t="s">
        <v>1031</v>
      </c>
      <c r="C89" t="str">
        <f>IF(ISERROR(MATCH(A89,'Xtal_SegEnds_Prot#'!B:B,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1415</v>
      </c>
      <c r="B90" t="s">
        <v>1032</v>
      </c>
      <c r="C90" t="str">
        <f>IF(ISERROR(MATCH(A90,'Xtal_SegEnds_Prot#'!B:B,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1416</v>
      </c>
      <c r="B91" t="s">
        <v>1033</v>
      </c>
      <c r="C91" t="str">
        <f>IF(ISERROR(MATCH(A91,'Xtal_SegEnds_Prot#'!B:B,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630</v>
      </c>
      <c r="B92" t="s">
        <v>1034</v>
      </c>
      <c r="C92" t="str">
        <f>IF(ISERROR(MATCH(A92,'Xtal_SegEnds_Prot#'!B:B,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1417</v>
      </c>
      <c r="B93" t="s">
        <v>1035</v>
      </c>
      <c r="C93" t="str">
        <f>IF(ISERROR(MATCH(A93,'Xtal_SegEnds_Prot#'!B:B,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1418</v>
      </c>
      <c r="B94" t="s">
        <v>1036</v>
      </c>
      <c r="C94" t="str">
        <f>IF(ISERROR(MATCH(A94,'Xtal_SegEnds_Prot#'!B:B,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1419</v>
      </c>
      <c r="B95" t="s">
        <v>1037</v>
      </c>
      <c r="C95" t="str">
        <f>IF(ISERROR(MATCH(A95,'Xtal_SegEnds_Prot#'!B:B,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1420</v>
      </c>
      <c r="B96" t="s">
        <v>1038</v>
      </c>
      <c r="C96" t="str">
        <f>IF(ISERROR(MATCH(A96,'Xtal_SegEnds_Prot#'!B:B,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1421</v>
      </c>
      <c r="B97" t="s">
        <v>1039</v>
      </c>
      <c r="C97" t="str">
        <f>IF(ISERROR(MATCH(A97,'Xtal_SegEnds_Prot#'!B:B,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637</v>
      </c>
      <c r="B98" t="s">
        <v>1040</v>
      </c>
      <c r="C98" t="str">
        <f>IF(ISERROR(MATCH(A98,'Xtal_SegEnds_Prot#'!B:B,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213</v>
      </c>
      <c r="B99" t="s">
        <v>1558</v>
      </c>
      <c r="C99" t="str">
        <f>IF(ISERROR(MATCH(A99,'Xtal_SegEnds_Prot#'!B:B,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206</v>
      </c>
      <c r="B100" t="s">
        <v>1001</v>
      </c>
      <c r="C100" t="str">
        <f>IF(ISERROR(MATCH(A100,'Xtal_SegEnds_Prot#'!B:B,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595</v>
      </c>
      <c r="B101" t="s">
        <v>994</v>
      </c>
      <c r="C101" t="str">
        <f>IF(ISERROR(MATCH(A101,'Xtal_SegEnds_Prot#'!B:B, 0)), "NoXtal", "Xtal")</f>
        <v>NoXtal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596</v>
      </c>
      <c r="B102" t="s">
        <v>995</v>
      </c>
      <c r="C102" t="str">
        <f>IF(ISERROR(MATCH(A102,'Xtal_SegEnds_Prot#'!B:B,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597</v>
      </c>
      <c r="B103" t="s">
        <v>996</v>
      </c>
      <c r="C103" t="str">
        <f>IF(ISERROR(MATCH(A103,'Xtal_SegEnds_Prot#'!B:B,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598</v>
      </c>
      <c r="B104" t="s">
        <v>997</v>
      </c>
      <c r="C104" t="str">
        <f>IF(ISERROR(MATCH(A104,'Xtal_SegEnds_Prot#'!B:B,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599</v>
      </c>
      <c r="B105" t="s">
        <v>998</v>
      </c>
      <c r="C105" t="str">
        <f>IF(ISERROR(MATCH(A105,'Xtal_SegEnds_Prot#'!B:B,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600</v>
      </c>
      <c r="B106" t="s">
        <v>999</v>
      </c>
      <c r="C106" t="str">
        <f>IF(ISERROR(MATCH(A106,'Xtal_SegEnds_Prot#'!B:B,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601</v>
      </c>
      <c r="B107" t="s">
        <v>1000</v>
      </c>
      <c r="C107" t="str">
        <f>IF(ISERROR(MATCH(A107,'Xtal_SegEnds_Prot#'!B:B,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605</v>
      </c>
      <c r="B108" t="s">
        <v>1002</v>
      </c>
      <c r="C108" t="str">
        <f>IF(ISERROR(MATCH(A108,'Xtal_SegEnds_Prot#'!B:B,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603</v>
      </c>
      <c r="B109" t="s">
        <v>1003</v>
      </c>
      <c r="C109" t="str">
        <f>IF(ISERROR(MATCH(A109,'Xtal_SegEnds_Prot#'!B:B,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604</v>
      </c>
      <c r="B110" t="s">
        <v>1004</v>
      </c>
      <c r="C110" t="str">
        <f>IF(ISERROR(MATCH(A110,'Xtal_SegEnds_Prot#'!B:B,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602</v>
      </c>
      <c r="B111" t="s">
        <v>1005</v>
      </c>
      <c r="C111" t="str">
        <f>IF(ISERROR(MATCH(A111,'Xtal_SegEnds_Prot#'!B:B,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606</v>
      </c>
      <c r="B112" t="s">
        <v>1006</v>
      </c>
      <c r="C112" t="str">
        <f>IF(ISERROR(MATCH(A112,'Xtal_SegEnds_Prot#'!B:B,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5" x14ac:dyDescent="0.2">
      <c r="A113" t="s">
        <v>607</v>
      </c>
      <c r="B113" t="s">
        <v>1007</v>
      </c>
      <c r="C113" t="str">
        <f>IF(ISERROR(MATCH(A113,'Xtal_SegEnds_Prot#'!B:B,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5" x14ac:dyDescent="0.2">
      <c r="A114" t="s">
        <v>1108</v>
      </c>
      <c r="B114" t="s">
        <v>1109</v>
      </c>
      <c r="C114" t="str">
        <f>IF(ISERROR(MATCH(A114,'Xtal_SegEnds_Prot#'!B:B, 0)), "NoXtal", "Xtal")</f>
        <v>Xtal</v>
      </c>
      <c r="D114" t="str">
        <f t="shared" si="1"/>
        <v>melga</v>
      </c>
      <c r="E114" t="str">
        <f>VLOOKUP(A114,Classification!A:B,2,FALSE)</f>
        <v>A</v>
      </c>
    </row>
    <row r="115" spans="1:5" x14ac:dyDescent="0.2">
      <c r="A115" t="s">
        <v>1112</v>
      </c>
      <c r="B115" t="s">
        <v>1113</v>
      </c>
      <c r="C115" t="str">
        <f>IF(ISERROR(MATCH(A115,'Xtal_SegEnds_Prot#'!B:B, 0)), "NoXtal", "Xtal")</f>
        <v>Xtal</v>
      </c>
      <c r="D115" t="str">
        <f t="shared" si="1"/>
        <v>mouse</v>
      </c>
      <c r="E115" t="str">
        <f>VLOOKUP(A115,Classification!A:B,2,FALSE)</f>
        <v>A</v>
      </c>
    </row>
    <row r="116" spans="1:5" x14ac:dyDescent="0.2">
      <c r="A116" t="s">
        <v>1114</v>
      </c>
      <c r="B116" t="s">
        <v>1115</v>
      </c>
      <c r="C116" t="str">
        <f>IF(ISERROR(MATCH(A116,'Xtal_SegEnds_Prot#'!B:B,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5" x14ac:dyDescent="0.2">
      <c r="A117" t="s">
        <v>1106</v>
      </c>
      <c r="B117" t="s">
        <v>1107</v>
      </c>
      <c r="C117" t="str">
        <f>IF(ISERROR(MATCH(A117,'Xtal_SegEnds_Prot#'!B:B, 0)), "NoXtal", "Xtal")</f>
        <v>Xtal</v>
      </c>
      <c r="D117" t="str">
        <f t="shared" si="1"/>
        <v>rat</v>
      </c>
      <c r="E117" t="str">
        <f>VLOOKUP(A117,Classification!A:B,2,FALSE)</f>
        <v>A</v>
      </c>
    </row>
    <row r="118" spans="1:5" x14ac:dyDescent="0.2">
      <c r="A118" t="s">
        <v>1110</v>
      </c>
      <c r="B118" t="s">
        <v>1111</v>
      </c>
      <c r="C118" t="str">
        <f>IF(ISERROR(MATCH(A118,'Xtal_SegEnds_Prot#'!B:B, 0)), "NoXtal", "Xtal")</f>
        <v>Xtal</v>
      </c>
      <c r="D118" t="str">
        <f t="shared" si="1"/>
        <v>rat</v>
      </c>
      <c r="E118" t="str">
        <f>VLOOKUP(A118,Classification!A:B,2,FALSE)</f>
        <v>A</v>
      </c>
    </row>
    <row r="119" spans="1:5" x14ac:dyDescent="0.2">
      <c r="A119" t="s">
        <v>1118</v>
      </c>
      <c r="B119" t="s">
        <v>1119</v>
      </c>
      <c r="C119" t="str">
        <f>IF(ISERROR(MATCH(A119,'Xtal_SegEnds_Prot#'!B:B, 0)), "NoXtal", "Xtal")</f>
        <v>Xtal</v>
      </c>
      <c r="D119" t="str">
        <f t="shared" si="1"/>
        <v>todpa</v>
      </c>
      <c r="E119" t="str">
        <f>VLOOKUP(A119,Classification!A:B,2,FALSE)</f>
        <v>A</v>
      </c>
    </row>
    <row r="120" spans="1:5" x14ac:dyDescent="0.2">
      <c r="A120" t="s">
        <v>1116</v>
      </c>
      <c r="B120" t="s">
        <v>1117</v>
      </c>
      <c r="C120" t="str">
        <f>IF(ISERROR(MATCH(A120,'Xtal_SegEnds_Prot#'!B:B, 0)), "NoXtal", "Xtal")</f>
        <v>Xtal</v>
      </c>
      <c r="D120" t="str">
        <f t="shared" si="1"/>
        <v>bovin</v>
      </c>
      <c r="E120" t="str">
        <f>VLOOKUP(A120,Classification!A:B,2,FALSE)</f>
        <v>A</v>
      </c>
    </row>
    <row r="121" spans="1:5" x14ac:dyDescent="0.2">
      <c r="A121" t="s">
        <v>1120</v>
      </c>
      <c r="B121" t="s">
        <v>1121</v>
      </c>
      <c r="C121" t="str">
        <f>IF(ISERROR(MATCH(A121,'Xtal_SegEnds_Prot#'!B:B, 0)), "NoXtal", "Xtal")</f>
        <v>Xtal</v>
      </c>
      <c r="D121" t="str">
        <f t="shared" si="1"/>
        <v>hcmva</v>
      </c>
      <c r="E121" t="str">
        <f>VLOOKUP(A121,Classification!A:B,2,FALSE)</f>
        <v>A</v>
      </c>
    </row>
    <row r="122" spans="1:5" x14ac:dyDescent="0.2">
      <c r="A122" t="s">
        <v>208</v>
      </c>
      <c r="B122" t="s">
        <v>683</v>
      </c>
      <c r="C122" t="str">
        <f>IF(ISERROR(MATCH(A122,'Xtal_SegEnds_Prot#'!B:B, 0)), "NoXtal", "Xtal")</f>
        <v>Xtal</v>
      </c>
      <c r="D122" t="str">
        <f t="shared" si="1"/>
        <v>human</v>
      </c>
      <c r="E122" t="str">
        <f>VLOOKUP(A122,Classification!A:B,2,FALSE)</f>
        <v>A</v>
      </c>
    </row>
    <row r="123" spans="1:5" x14ac:dyDescent="0.2">
      <c r="A123" t="s">
        <v>209</v>
      </c>
      <c r="B123" t="s">
        <v>688</v>
      </c>
      <c r="C123" t="str">
        <f>IF(ISERROR(MATCH(A123,'Xtal_SegEnds_Prot#'!B:B, 0)), "NoXtal", "Xtal")</f>
        <v>Xtal</v>
      </c>
      <c r="D123" t="str">
        <f t="shared" si="1"/>
        <v>human</v>
      </c>
      <c r="E123" t="str">
        <f>VLOOKUP(A123,Classification!A:B,2,FALSE)</f>
        <v>A</v>
      </c>
    </row>
    <row r="124" spans="1:5" x14ac:dyDescent="0.2">
      <c r="A124" t="s">
        <v>340</v>
      </c>
      <c r="B124" t="s">
        <v>694</v>
      </c>
      <c r="C124" t="str">
        <f>IF(ISERROR(MATCH(A124,'Xtal_SegEnds_Prot#'!B:B, 0)), "NoXtal", "Xtal")</f>
        <v>Xtal</v>
      </c>
      <c r="D124" t="str">
        <f t="shared" si="1"/>
        <v>human</v>
      </c>
      <c r="E124" t="str">
        <f>VLOOKUP(A124,Classification!A:B,2,FALSE)</f>
        <v>A</v>
      </c>
    </row>
    <row r="125" spans="1:5" x14ac:dyDescent="0.2">
      <c r="A125" t="s">
        <v>341</v>
      </c>
      <c r="B125" t="s">
        <v>695</v>
      </c>
      <c r="C125" t="str">
        <f>IF(ISERROR(MATCH(A125,'Xtal_SegEnds_Prot#'!B:B,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5" x14ac:dyDescent="0.2">
      <c r="A126" t="s">
        <v>343</v>
      </c>
      <c r="B126" t="s">
        <v>698</v>
      </c>
      <c r="C126" t="str">
        <f>IF(ISERROR(MATCH(A126,'Xtal_SegEnds_Prot#'!B:B,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5" x14ac:dyDescent="0.2">
      <c r="A127" t="s">
        <v>320</v>
      </c>
      <c r="B127" t="s">
        <v>707</v>
      </c>
      <c r="C127" t="str">
        <f>IF(ISERROR(MATCH(A127,'Xtal_SegEnds_Prot#'!B:B,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5" x14ac:dyDescent="0.2">
      <c r="A128" t="s">
        <v>386</v>
      </c>
      <c r="B128" t="s">
        <v>710</v>
      </c>
      <c r="C128" t="str">
        <f>IF(ISERROR(MATCH(A128,'Xtal_SegEnds_Prot#'!B:B,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472</v>
      </c>
      <c r="B129" t="s">
        <v>713</v>
      </c>
      <c r="C129" t="str">
        <f>IF(ISERROR(MATCH(A129,'Xtal_SegEnds_Prot#'!B:B,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352</v>
      </c>
      <c r="B130" t="s">
        <v>718</v>
      </c>
      <c r="C130" t="str">
        <f>IF(ISERROR(MATCH(A130,'Xtal_SegEnds_Prot#'!B:B, 0)), "NoXtal", "Xtal")</f>
        <v>Xtal</v>
      </c>
      <c r="D130" t="str">
        <f t="shared" ref="D130:D193" si="2">MID(A130,FIND("_",A130)+1,LEN(A130)-FIND("_",A130))</f>
        <v>human</v>
      </c>
      <c r="E130" t="str">
        <f>VLOOKUP(A130,Classification!A:B,2,FALSE)</f>
        <v>A</v>
      </c>
    </row>
    <row r="131" spans="1:5" x14ac:dyDescent="0.2">
      <c r="A131" t="s">
        <v>529</v>
      </c>
      <c r="B131" t="s">
        <v>766</v>
      </c>
      <c r="C131" t="str">
        <f>IF(ISERROR(MATCH(A131,'Xtal_SegEnds_Prot#'!B:B, 0)), "NoXtal", "Xtal")</f>
        <v>Xtal</v>
      </c>
      <c r="D131" t="str">
        <f t="shared" si="2"/>
        <v>human</v>
      </c>
      <c r="E131" t="str">
        <f>VLOOKUP(A131,Classification!A:B,2,FALSE)</f>
        <v>A</v>
      </c>
    </row>
    <row r="132" spans="1:5" x14ac:dyDescent="0.2">
      <c r="A132" t="s">
        <v>530</v>
      </c>
      <c r="B132" t="s">
        <v>767</v>
      </c>
      <c r="C132" t="str">
        <f>IF(ISERROR(MATCH(A132,'Xtal_SegEnds_Prot#'!B:B, 0)), "NoXtal", "Xtal")</f>
        <v>Xtal</v>
      </c>
      <c r="D132" t="str">
        <f t="shared" si="2"/>
        <v>human</v>
      </c>
      <c r="E132" t="str">
        <f>VLOOKUP(A132,Classification!A:B,2,FALSE)</f>
        <v>A</v>
      </c>
    </row>
    <row r="133" spans="1:5" x14ac:dyDescent="0.2">
      <c r="A133" t="s">
        <v>1393</v>
      </c>
      <c r="B133" t="s">
        <v>769</v>
      </c>
      <c r="C133" t="str">
        <f>IF(ISERROR(MATCH(A133,'Xtal_SegEnds_Prot#'!B:B, 0)), "NoXtal", "Xtal")</f>
        <v>Xtal</v>
      </c>
      <c r="D133" t="str">
        <f t="shared" si="2"/>
        <v>human</v>
      </c>
      <c r="E133" t="str">
        <f>VLOOKUP(A133,Classification!A:B,2,FALSE)</f>
        <v>A</v>
      </c>
    </row>
    <row r="134" spans="1:5" x14ac:dyDescent="0.2">
      <c r="A134" t="s">
        <v>1394</v>
      </c>
      <c r="B134" t="s">
        <v>770</v>
      </c>
      <c r="C134" t="str">
        <f>IF(ISERROR(MATCH(A134,'Xtal_SegEnds_Prot#'!B:B, 0)), "NoXtal", "Xtal")</f>
        <v>Xtal</v>
      </c>
      <c r="D134" t="str">
        <f t="shared" si="2"/>
        <v>human</v>
      </c>
      <c r="E134" t="str">
        <f>VLOOKUP(A134,Classification!A:B,2,FALSE)</f>
        <v>A</v>
      </c>
    </row>
    <row r="135" spans="1:5" x14ac:dyDescent="0.2">
      <c r="A135" t="s">
        <v>1395</v>
      </c>
      <c r="B135" t="s">
        <v>771</v>
      </c>
      <c r="C135" t="str">
        <f>IF(ISERROR(MATCH(A135,'Xtal_SegEnds_Prot#'!B:B, 0)), "NoXtal", "Xtal")</f>
        <v>Xtal</v>
      </c>
      <c r="D135" t="str">
        <f t="shared" si="2"/>
        <v>human</v>
      </c>
      <c r="E135" t="str">
        <f>VLOOKUP(A135,Classification!A:B,2,FALSE)</f>
        <v>A</v>
      </c>
    </row>
    <row r="136" spans="1:5" x14ac:dyDescent="0.2">
      <c r="A136" t="s">
        <v>549</v>
      </c>
      <c r="B136" t="s">
        <v>774</v>
      </c>
      <c r="C136" t="str">
        <f>IF(ISERROR(MATCH(A136,'Xtal_SegEnds_Prot#'!B:B,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367</v>
      </c>
      <c r="B137" t="s">
        <v>802</v>
      </c>
      <c r="C137" t="str">
        <f>IF(ISERROR(MATCH(A137,'Xtal_SegEnds_Prot#'!B:B,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1391</v>
      </c>
      <c r="B138" t="s">
        <v>812</v>
      </c>
      <c r="C138" t="str">
        <f>IF(ISERROR(MATCH(A138,'Xtal_SegEnds_Prot#'!B:B,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1392</v>
      </c>
      <c r="B139" t="s">
        <v>828</v>
      </c>
      <c r="C139" t="str">
        <f>IF(ISERROR(MATCH(A139,'Xtal_SegEnds_Prot#'!B:B,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297</v>
      </c>
      <c r="B140" t="s">
        <v>838</v>
      </c>
      <c r="C140" t="str">
        <f>IF(ISERROR(MATCH(A140,'Xtal_SegEnds_Prot#'!B:B,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298</v>
      </c>
      <c r="B141" t="s">
        <v>844</v>
      </c>
      <c r="C141" t="str">
        <f>IF(ISERROR(MATCH(A141,'Xtal_SegEnds_Prot#'!B:B,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333</v>
      </c>
      <c r="B142" t="s">
        <v>867</v>
      </c>
      <c r="C142" t="str">
        <f>IF(ISERROR(MATCH(A142,'Xtal_SegEnds_Prot#'!B:B,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539</v>
      </c>
      <c r="B143" t="s">
        <v>870</v>
      </c>
      <c r="C143" t="str">
        <f>IF(ISERROR(MATCH(A143,'Xtal_SegEnds_Prot#'!B:B,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546</v>
      </c>
      <c r="B144" t="s">
        <v>875</v>
      </c>
      <c r="C144" t="str">
        <f>IF(ISERROR(MATCH(A144,'Xtal_SegEnds_Prot#'!B:B,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533</v>
      </c>
      <c r="B145" t="s">
        <v>885</v>
      </c>
      <c r="C145" t="str">
        <f>IF(ISERROR(MATCH(A145,'Xtal_SegEnds_Prot#'!B:B,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322</v>
      </c>
      <c r="B146" t="s">
        <v>682</v>
      </c>
      <c r="C146" t="str">
        <f>IF(ISERROR(MATCH(A146,'Xtal_SegEnds_Prot#'!B:B, 0)), "NoXtal", "Xtal")</f>
        <v>NoXtal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323</v>
      </c>
      <c r="B147" t="s">
        <v>684</v>
      </c>
      <c r="C147" t="str">
        <f>IF(ISERROR(MATCH(A147,'Xtal_SegEnds_Prot#'!B:B, 0)), "NoXtal", "Xtal")</f>
        <v>NoXtal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324</v>
      </c>
      <c r="B148" t="s">
        <v>685</v>
      </c>
      <c r="C148" t="str">
        <f>IF(ISERROR(MATCH(A148,'Xtal_SegEnds_Prot#'!B:B, 0)), "NoXtal", "Xtal")</f>
        <v>NoXtal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325</v>
      </c>
      <c r="B149" t="s">
        <v>686</v>
      </c>
      <c r="C149" t="str">
        <f>IF(ISERROR(MATCH(A149,'Xtal_SegEnds_Prot#'!B:B, 0)), "NoXtal", "Xtal")</f>
        <v>NoXtal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326</v>
      </c>
      <c r="B150" t="s">
        <v>687</v>
      </c>
      <c r="C150" t="str">
        <f>IF(ISERROR(MATCH(A150,'Xtal_SegEnds_Prot#'!B:B, 0)), "NoXtal", "Xtal")</f>
        <v>NoXtal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327</v>
      </c>
      <c r="B151" t="s">
        <v>689</v>
      </c>
      <c r="C151" t="str">
        <f>IF(ISERROR(MATCH(A151,'Xtal_SegEnds_Prot#'!B:B,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328</v>
      </c>
      <c r="B152" t="s">
        <v>690</v>
      </c>
      <c r="C152" t="str">
        <f>IF(ISERROR(MATCH(A152,'Xtal_SegEnds_Prot#'!B:B,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329</v>
      </c>
      <c r="B153" t="s">
        <v>691</v>
      </c>
      <c r="C153" t="str">
        <f>IF(ISERROR(MATCH(A153,'Xtal_SegEnds_Prot#'!B:B,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330</v>
      </c>
      <c r="B154" t="s">
        <v>692</v>
      </c>
      <c r="C154" t="str">
        <f>IF(ISERROR(MATCH(A154,'Xtal_SegEnds_Prot#'!B:B,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331</v>
      </c>
      <c r="B155" t="s">
        <v>693</v>
      </c>
      <c r="C155" t="str">
        <f>IF(ISERROR(MATCH(A155,'Xtal_SegEnds_Prot#'!B:B, 0)), "NoXtal", "Xtal")</f>
        <v>NoXtal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385</v>
      </c>
      <c r="B156" t="s">
        <v>696</v>
      </c>
      <c r="C156" t="str">
        <f>IF(ISERROR(MATCH(A156,'Xtal_SegEnds_Prot#'!B:B, 0)), "NoXtal", "Xtal")</f>
        <v>NoXtal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342</v>
      </c>
      <c r="B157" t="s">
        <v>697</v>
      </c>
      <c r="C157" t="str">
        <f>IF(ISERROR(MATCH(A157,'Xtal_SegEnds_Prot#'!B:B,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344</v>
      </c>
      <c r="B158" t="s">
        <v>699</v>
      </c>
      <c r="C158" t="str">
        <f>IF(ISERROR(MATCH(A158,'Xtal_SegEnds_Prot#'!B:B,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346</v>
      </c>
      <c r="B159" t="s">
        <v>700</v>
      </c>
      <c r="C159" t="str">
        <f>IF(ISERROR(MATCH(A159,'Xtal_SegEnds_Prot#'!B:B,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347</v>
      </c>
      <c r="B160" t="s">
        <v>701</v>
      </c>
      <c r="C160" t="str">
        <f>IF(ISERROR(MATCH(A160,'Xtal_SegEnds_Prot#'!B:B,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348</v>
      </c>
      <c r="B161" t="s">
        <v>702</v>
      </c>
      <c r="C161" t="str">
        <f>IF(ISERROR(MATCH(A161,'Xtal_SegEnds_Prot#'!B:B, 0)), "NoXtal", "Xtal")</f>
        <v>NoXtal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349</v>
      </c>
      <c r="B162" t="s">
        <v>703</v>
      </c>
      <c r="C162" t="str">
        <f>IF(ISERROR(MATCH(A162,'Xtal_SegEnds_Prot#'!B:B,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350</v>
      </c>
      <c r="B163" t="s">
        <v>704</v>
      </c>
      <c r="C163" t="str">
        <f>IF(ISERROR(MATCH(A163,'Xtal_SegEnds_Prot#'!B:B,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351</v>
      </c>
      <c r="B164" t="s">
        <v>705</v>
      </c>
      <c r="C164" t="str">
        <f>IF(ISERROR(MATCH(A164,'Xtal_SegEnds_Prot#'!B:B,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319</v>
      </c>
      <c r="B165" t="s">
        <v>706</v>
      </c>
      <c r="C165" t="str">
        <f>IF(ISERROR(MATCH(A165,'Xtal_SegEnds_Prot#'!B:B,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296</v>
      </c>
      <c r="B166" t="s">
        <v>708</v>
      </c>
      <c r="C166" t="str">
        <f>IF(ISERROR(MATCH(A166,'Xtal_SegEnds_Prot#'!B:B,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384</v>
      </c>
      <c r="B167" t="s">
        <v>709</v>
      </c>
      <c r="C167" t="str">
        <f>IF(ISERROR(MATCH(A167,'Xtal_SegEnds_Prot#'!B:B,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387</v>
      </c>
      <c r="B168" t="s">
        <v>711</v>
      </c>
      <c r="C168" t="str">
        <f>IF(ISERROR(MATCH(A168,'Xtal_SegEnds_Prot#'!B:B,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388</v>
      </c>
      <c r="B169" t="s">
        <v>712</v>
      </c>
      <c r="C169" t="str">
        <f>IF(ISERROR(MATCH(A169,'Xtal_SegEnds_Prot#'!B:B,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473</v>
      </c>
      <c r="B170" t="s">
        <v>714</v>
      </c>
      <c r="C170" t="str">
        <f>IF(ISERROR(MATCH(A170,'Xtal_SegEnds_Prot#'!B:B,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474</v>
      </c>
      <c r="B171" t="s">
        <v>715</v>
      </c>
      <c r="C171" t="str">
        <f>IF(ISERROR(MATCH(A171,'Xtal_SegEnds_Prot#'!B:B,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475</v>
      </c>
      <c r="B172" t="s">
        <v>716</v>
      </c>
      <c r="C172" t="str">
        <f>IF(ISERROR(MATCH(A172,'Xtal_SegEnds_Prot#'!B:B,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581</v>
      </c>
      <c r="B173" t="s">
        <v>717</v>
      </c>
      <c r="C173" t="str">
        <f>IF(ISERROR(MATCH(A173,'Xtal_SegEnds_Prot#'!B:B, 0)), "NoXtal", "Xtal")</f>
        <v>NoXtal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353</v>
      </c>
      <c r="B174" t="s">
        <v>719</v>
      </c>
      <c r="C174" t="str">
        <f>IF(ISERROR(MATCH(A174,'Xtal_SegEnds_Prot#'!B:B,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354</v>
      </c>
      <c r="B175" t="s">
        <v>720</v>
      </c>
      <c r="C175" t="str">
        <f>IF(ISERROR(MATCH(A175,'Xtal_SegEnds_Prot#'!B:B,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511</v>
      </c>
      <c r="B176" t="s">
        <v>721</v>
      </c>
      <c r="C176" t="str">
        <f>IF(ISERROR(MATCH(A176,'Xtal_SegEnds_Prot#'!B:B,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468</v>
      </c>
      <c r="B177" t="s">
        <v>722</v>
      </c>
      <c r="C177" t="str">
        <f>IF(ISERROR(MATCH(A177,'Xtal_SegEnds_Prot#'!B:B,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357</v>
      </c>
      <c r="B178" t="s">
        <v>723</v>
      </c>
      <c r="C178" t="str">
        <f>IF(ISERROR(MATCH(A178,'Xtal_SegEnds_Prot#'!B:B,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355</v>
      </c>
      <c r="B179" t="s">
        <v>724</v>
      </c>
      <c r="C179" t="str">
        <f>IF(ISERROR(MATCH(A179,'Xtal_SegEnds_Prot#'!B:B, 0)), "NoXtal", "Xtal")</f>
        <v>NoXtal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356</v>
      </c>
      <c r="B180" t="s">
        <v>725</v>
      </c>
      <c r="C180" t="str">
        <f>IF(ISERROR(MATCH(A180,'Xtal_SegEnds_Prot#'!B:B, 0)), "NoXtal", "Xtal")</f>
        <v>NoXtal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361</v>
      </c>
      <c r="B181" t="s">
        <v>726</v>
      </c>
      <c r="C181" t="str">
        <f>IF(ISERROR(MATCH(A181,'Xtal_SegEnds_Prot#'!B:B,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402</v>
      </c>
      <c r="B182" t="s">
        <v>727</v>
      </c>
      <c r="C182" t="str">
        <f>IF(ISERROR(MATCH(A182,'Xtal_SegEnds_Prot#'!B:B,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358</v>
      </c>
      <c r="B183" t="s">
        <v>728</v>
      </c>
      <c r="C183" t="str">
        <f>IF(ISERROR(MATCH(A183,'Xtal_SegEnds_Prot#'!B:B,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359</v>
      </c>
      <c r="B184" t="s">
        <v>729</v>
      </c>
      <c r="C184" t="str">
        <f>IF(ISERROR(MATCH(A184,'Xtal_SegEnds_Prot#'!B:B,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360</v>
      </c>
      <c r="B185" t="s">
        <v>730</v>
      </c>
      <c r="C185" t="str">
        <f>IF(ISERROR(MATCH(A185,'Xtal_SegEnds_Prot#'!B:B,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389</v>
      </c>
      <c r="B186" t="s">
        <v>731</v>
      </c>
      <c r="C186" t="str">
        <f>IF(ISERROR(MATCH(A186,'Xtal_SegEnds_Prot#'!B:B,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390</v>
      </c>
      <c r="B187" t="s">
        <v>732</v>
      </c>
      <c r="C187" t="str">
        <f>IF(ISERROR(MATCH(A187,'Xtal_SegEnds_Prot#'!B:B, 0)), "NoXtal", "Xtal")</f>
        <v>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395</v>
      </c>
      <c r="B188" t="s">
        <v>733</v>
      </c>
      <c r="C188" t="str">
        <f>IF(ISERROR(MATCH(A188,'Xtal_SegEnds_Prot#'!B:B,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396</v>
      </c>
      <c r="B189" t="s">
        <v>734</v>
      </c>
      <c r="C189" t="str">
        <f>IF(ISERROR(MATCH(A189,'Xtal_SegEnds_Prot#'!B:B, 0)), "NoXtal", "Xtal")</f>
        <v>NoXtal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397</v>
      </c>
      <c r="B190" t="s">
        <v>735</v>
      </c>
      <c r="C190" t="str">
        <f>IF(ISERROR(MATCH(A190,'Xtal_SegEnds_Prot#'!B:B,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399</v>
      </c>
      <c r="B191" t="s">
        <v>736</v>
      </c>
      <c r="C191" t="str">
        <f>IF(ISERROR(MATCH(A191,'Xtal_SegEnds_Prot#'!B:B,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400</v>
      </c>
      <c r="B192" t="s">
        <v>737</v>
      </c>
      <c r="C192" t="str">
        <f>IF(ISERROR(MATCH(A192,'Xtal_SegEnds_Prot#'!B:B, 0)), "NoXtal", "Xtal")</f>
        <v>NoXtal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401</v>
      </c>
      <c r="B193" t="s">
        <v>738</v>
      </c>
      <c r="C193" t="str">
        <f>IF(ISERROR(MATCH(A193,'Xtal_SegEnds_Prot#'!B:B,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403</v>
      </c>
      <c r="B194" t="s">
        <v>739</v>
      </c>
      <c r="C194" t="str">
        <f>IF(ISERROR(MATCH(A194,'Xtal_SegEnds_Prot#'!B:B, 0)), "NoXtal", "Xtal")</f>
        <v>NoXtal</v>
      </c>
      <c r="D194" t="str">
        <f t="shared" ref="D194:D257" si="3">MID(A194,FIND("_",A194)+1,LEN(A194)-FIND("_",A194))</f>
        <v>human</v>
      </c>
      <c r="E194" t="str">
        <f>VLOOKUP(A194,Classification!A:B,2,FALSE)</f>
        <v>A</v>
      </c>
    </row>
    <row r="195" spans="1:5" x14ac:dyDescent="0.2">
      <c r="A195" t="s">
        <v>404</v>
      </c>
      <c r="B195" t="s">
        <v>740</v>
      </c>
      <c r="C195" t="str">
        <f>IF(ISERROR(MATCH(A195,'Xtal_SegEnds_Prot#'!B:B, 0)), "NoXtal", "Xtal")</f>
        <v>NoXtal</v>
      </c>
      <c r="D195" t="str">
        <f t="shared" si="3"/>
        <v>human</v>
      </c>
      <c r="E195" t="str">
        <f>VLOOKUP(A195,Classification!A:B,2,FALSE)</f>
        <v>A</v>
      </c>
    </row>
    <row r="196" spans="1:5" x14ac:dyDescent="0.2">
      <c r="A196" t="s">
        <v>405</v>
      </c>
      <c r="B196" t="s">
        <v>741</v>
      </c>
      <c r="C196" t="str">
        <f>IF(ISERROR(MATCH(A196,'Xtal_SegEnds_Prot#'!B:B, 0)), "NoXtal", "Xtal")</f>
        <v>NoXtal</v>
      </c>
      <c r="D196" t="str">
        <f t="shared" si="3"/>
        <v>human</v>
      </c>
      <c r="E196" t="str">
        <f>VLOOKUP(A196,Classification!A:B,2,FALSE)</f>
        <v>A</v>
      </c>
    </row>
    <row r="197" spans="1:5" x14ac:dyDescent="0.2">
      <c r="A197" t="s">
        <v>476</v>
      </c>
      <c r="B197" t="s">
        <v>742</v>
      </c>
      <c r="C197" t="str">
        <f>IF(ISERROR(MATCH(A197,'Xtal_SegEnds_Prot#'!B:B, 0)), "NoXtal", "Xtal")</f>
        <v>NoXtal</v>
      </c>
      <c r="D197" t="str">
        <f t="shared" si="3"/>
        <v>human</v>
      </c>
      <c r="E197" t="str">
        <f>VLOOKUP(A197,Classification!A:B,2,FALSE)</f>
        <v>A</v>
      </c>
    </row>
    <row r="198" spans="1:5" x14ac:dyDescent="0.2">
      <c r="A198" t="s">
        <v>493</v>
      </c>
      <c r="B198" t="s">
        <v>743</v>
      </c>
      <c r="C198" t="str">
        <f>IF(ISERROR(MATCH(A198,'Xtal_SegEnds_Prot#'!B:B, 0)), "NoXtal", "Xtal")</f>
        <v>NoXtal</v>
      </c>
      <c r="D198" t="str">
        <f t="shared" si="3"/>
        <v>human</v>
      </c>
      <c r="E198" t="str">
        <f>VLOOKUP(A198,Classification!A:B,2,FALSE)</f>
        <v>A</v>
      </c>
    </row>
    <row r="199" spans="1:5" x14ac:dyDescent="0.2">
      <c r="A199" t="s">
        <v>494</v>
      </c>
      <c r="B199" t="s">
        <v>744</v>
      </c>
      <c r="C199" t="str">
        <f>IF(ISERROR(MATCH(A199,'Xtal_SegEnds_Prot#'!B:B, 0)), "NoXtal", "Xtal")</f>
        <v>NoXtal</v>
      </c>
      <c r="D199" t="str">
        <f t="shared" si="3"/>
        <v>human</v>
      </c>
      <c r="E199" t="str">
        <f>VLOOKUP(A199,Classification!A:B,2,FALSE)</f>
        <v>A</v>
      </c>
    </row>
    <row r="200" spans="1:5" x14ac:dyDescent="0.2">
      <c r="A200" t="s">
        <v>503</v>
      </c>
      <c r="B200" t="s">
        <v>745</v>
      </c>
      <c r="C200" t="str">
        <f>IF(ISERROR(MATCH(A200,'Xtal_SegEnds_Prot#'!B:B,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345</v>
      </c>
      <c r="B201" t="s">
        <v>746</v>
      </c>
      <c r="C201" t="str">
        <f>IF(ISERROR(MATCH(A201,'Xtal_SegEnds_Prot#'!B:B,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490</v>
      </c>
      <c r="B202" t="s">
        <v>747</v>
      </c>
      <c r="C202" t="str">
        <f>IF(ISERROR(MATCH(A202,'Xtal_SegEnds_Prot#'!B:B,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491</v>
      </c>
      <c r="B203" t="s">
        <v>748</v>
      </c>
      <c r="C203" t="str">
        <f>IF(ISERROR(MATCH(A203,'Xtal_SegEnds_Prot#'!B:B,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492</v>
      </c>
      <c r="B204" t="s">
        <v>749</v>
      </c>
      <c r="C204" t="str">
        <f>IF(ISERROR(MATCH(A204,'Xtal_SegEnds_Prot#'!B:B,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504</v>
      </c>
      <c r="B205" t="s">
        <v>750</v>
      </c>
      <c r="C205" t="str">
        <f>IF(ISERROR(MATCH(A205,'Xtal_SegEnds_Prot#'!B:B,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512</v>
      </c>
      <c r="B206" t="s">
        <v>751</v>
      </c>
      <c r="C206" t="str">
        <f>IF(ISERROR(MATCH(A206,'Xtal_SegEnds_Prot#'!B:B,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513</v>
      </c>
      <c r="B207" t="s">
        <v>752</v>
      </c>
      <c r="C207" t="str">
        <f>IF(ISERROR(MATCH(A207,'Xtal_SegEnds_Prot#'!B:B,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516</v>
      </c>
      <c r="B208" t="s">
        <v>753</v>
      </c>
      <c r="C208" t="str">
        <f>IF(ISERROR(MATCH(A208,'Xtal_SegEnds_Prot#'!B:B,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517</v>
      </c>
      <c r="B209" t="s">
        <v>754</v>
      </c>
      <c r="C209" t="str">
        <f>IF(ISERROR(MATCH(A209,'Xtal_SegEnds_Prot#'!B:B,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518</v>
      </c>
      <c r="B210" t="s">
        <v>755</v>
      </c>
      <c r="C210" t="str">
        <f>IF(ISERROR(MATCH(A210,'Xtal_SegEnds_Prot#'!B:B,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514</v>
      </c>
      <c r="B211" t="s">
        <v>756</v>
      </c>
      <c r="C211" t="str">
        <f>IF(ISERROR(MATCH(A211,'Xtal_SegEnds_Prot#'!B:B,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515</v>
      </c>
      <c r="B212" t="s">
        <v>757</v>
      </c>
      <c r="C212" t="str">
        <f>IF(ISERROR(MATCH(A212,'Xtal_SegEnds_Prot#'!B:B,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519</v>
      </c>
      <c r="B213" t="s">
        <v>759</v>
      </c>
      <c r="C213" t="str">
        <f>IF(ISERROR(MATCH(A213,'Xtal_SegEnds_Prot#'!B:B,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520</v>
      </c>
      <c r="B214" t="s">
        <v>760</v>
      </c>
      <c r="C214" t="str">
        <f>IF(ISERROR(MATCH(A214,'Xtal_SegEnds_Prot#'!B:B,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521</v>
      </c>
      <c r="B215" t="s">
        <v>761</v>
      </c>
      <c r="C215" t="str">
        <f>IF(ISERROR(MATCH(A215,'Xtal_SegEnds_Prot#'!B:B,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522</v>
      </c>
      <c r="B216" t="s">
        <v>762</v>
      </c>
      <c r="C216" t="str">
        <f>IF(ISERROR(MATCH(A216,'Xtal_SegEnds_Prot#'!B:B,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523</v>
      </c>
      <c r="B217" t="s">
        <v>763</v>
      </c>
      <c r="C217" t="str">
        <f>IF(ISERROR(MATCH(A217,'Xtal_SegEnds_Prot#'!B:B,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321</v>
      </c>
      <c r="B218" t="s">
        <v>764</v>
      </c>
      <c r="C218" t="str">
        <f>IF(ISERROR(MATCH(A218,'Xtal_SegEnds_Prot#'!B:B, 0)), "NoXtal", "Xtal")</f>
        <v>NoXtal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524</v>
      </c>
      <c r="B219" t="s">
        <v>765</v>
      </c>
      <c r="C219" t="str">
        <f>IF(ISERROR(MATCH(A219,'Xtal_SegEnds_Prot#'!B:B,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531</v>
      </c>
      <c r="B220" t="s">
        <v>768</v>
      </c>
      <c r="C220" t="str">
        <f>IF(ISERROR(MATCH(A220,'Xtal_SegEnds_Prot#'!B:B,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566</v>
      </c>
      <c r="B221" t="s">
        <v>772</v>
      </c>
      <c r="C221" t="str">
        <f>IF(ISERROR(MATCH(A221,'Xtal_SegEnds_Prot#'!B:B,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563</v>
      </c>
      <c r="B222" t="s">
        <v>773</v>
      </c>
      <c r="C222" t="str">
        <f>IF(ISERROR(MATCH(A222,'Xtal_SegEnds_Prot#'!B:B,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550</v>
      </c>
      <c r="B223" t="s">
        <v>775</v>
      </c>
      <c r="C223" t="str">
        <f>IF(ISERROR(MATCH(A223,'Xtal_SegEnds_Prot#'!B:B, 0)), "NoXtal", "Xtal")</f>
        <v>NoXtal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551</v>
      </c>
      <c r="B224" t="s">
        <v>776</v>
      </c>
      <c r="C224" t="str">
        <f>IF(ISERROR(MATCH(A224,'Xtal_SegEnds_Prot#'!B:B,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552</v>
      </c>
      <c r="B225" t="s">
        <v>777</v>
      </c>
      <c r="C225" t="str">
        <f>IF(ISERROR(MATCH(A225,'Xtal_SegEnds_Prot#'!B:B,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569</v>
      </c>
      <c r="B226" t="s">
        <v>778</v>
      </c>
      <c r="C226" t="str">
        <f>IF(ISERROR(MATCH(A226,'Xtal_SegEnds_Prot#'!B:B,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570</v>
      </c>
      <c r="B227" t="s">
        <v>779</v>
      </c>
      <c r="C227" t="str">
        <f>IF(ISERROR(MATCH(A227,'Xtal_SegEnds_Prot#'!B:B,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567</v>
      </c>
      <c r="B228" t="s">
        <v>780</v>
      </c>
      <c r="C228" t="str">
        <f>IF(ISERROR(MATCH(A228,'Xtal_SegEnds_Prot#'!B:B, 0)), "NoXtal", "Xtal")</f>
        <v>NoXtal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568</v>
      </c>
      <c r="B229" t="s">
        <v>781</v>
      </c>
      <c r="C229" t="str">
        <f>IF(ISERROR(MATCH(A229,'Xtal_SegEnds_Prot#'!B:B,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575</v>
      </c>
      <c r="B230" t="s">
        <v>782</v>
      </c>
      <c r="C230" t="str">
        <f>IF(ISERROR(MATCH(A230,'Xtal_SegEnds_Prot#'!B:B,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576</v>
      </c>
      <c r="B231" t="s">
        <v>783</v>
      </c>
      <c r="C231" t="str">
        <f>IF(ISERROR(MATCH(A231,'Xtal_SegEnds_Prot#'!B:B,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577</v>
      </c>
      <c r="B232" t="s">
        <v>784</v>
      </c>
      <c r="C232" t="str">
        <f>IF(ISERROR(MATCH(A232,'Xtal_SegEnds_Prot#'!B:B,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578</v>
      </c>
      <c r="B233" t="s">
        <v>785</v>
      </c>
      <c r="C233" t="str">
        <f>IF(ISERROR(MATCH(A233,'Xtal_SegEnds_Prot#'!B:B,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579</v>
      </c>
      <c r="B234" t="s">
        <v>786</v>
      </c>
      <c r="C234" t="str">
        <f>IF(ISERROR(MATCH(A234,'Xtal_SegEnds_Prot#'!B:B,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508</v>
      </c>
      <c r="B235" t="s">
        <v>787</v>
      </c>
      <c r="C235" t="str">
        <f>IF(ISERROR(MATCH(A235,'Xtal_SegEnds_Prot#'!B:B,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509</v>
      </c>
      <c r="B236" t="s">
        <v>788</v>
      </c>
      <c r="C236" t="str">
        <f>IF(ISERROR(MATCH(A236,'Xtal_SegEnds_Prot#'!B:B,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510</v>
      </c>
      <c r="B237" t="s">
        <v>790</v>
      </c>
      <c r="C237" t="str">
        <f>IF(ISERROR(MATCH(A237,'Xtal_SegEnds_Prot#'!B:B,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588</v>
      </c>
      <c r="B238" t="s">
        <v>791</v>
      </c>
      <c r="C238" t="str">
        <f>IF(ISERROR(MATCH(A238,'Xtal_SegEnds_Prot#'!B:B,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590</v>
      </c>
      <c r="B239" t="s">
        <v>792</v>
      </c>
      <c r="C239" t="str">
        <f>IF(ISERROR(MATCH(A239,'Xtal_SegEnds_Prot#'!B:B,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591</v>
      </c>
      <c r="B240" t="s">
        <v>793</v>
      </c>
      <c r="C240" t="str">
        <f>IF(ISERROR(MATCH(A240,'Xtal_SegEnds_Prot#'!B:B, 0)), "NoXtal", "Xtal")</f>
        <v>NoXtal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592</v>
      </c>
      <c r="B241" t="s">
        <v>794</v>
      </c>
      <c r="C241" t="str">
        <f>IF(ISERROR(MATCH(A241,'Xtal_SegEnds_Prot#'!B:B,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593</v>
      </c>
      <c r="B242" t="s">
        <v>795</v>
      </c>
      <c r="C242" t="str">
        <f>IF(ISERROR(MATCH(A242,'Xtal_SegEnds_Prot#'!B:B,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538</v>
      </c>
      <c r="B243" t="s">
        <v>796</v>
      </c>
      <c r="C243" t="str">
        <f>IF(ISERROR(MATCH(A243,'Xtal_SegEnds_Prot#'!B:B,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375</v>
      </c>
      <c r="B244" t="s">
        <v>797</v>
      </c>
      <c r="C244" t="str">
        <f>IF(ISERROR(MATCH(A244,'Xtal_SegEnds_Prot#'!B:B,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362</v>
      </c>
      <c r="B245" t="s">
        <v>798</v>
      </c>
      <c r="C245" t="str">
        <f>IF(ISERROR(MATCH(A245,'Xtal_SegEnds_Prot#'!B:B,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364</v>
      </c>
      <c r="B246" t="s">
        <v>799</v>
      </c>
      <c r="C246" t="str">
        <f>IF(ISERROR(MATCH(A246,'Xtal_SegEnds_Prot#'!B:B,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365</v>
      </c>
      <c r="B247" t="s">
        <v>800</v>
      </c>
      <c r="C247" t="str">
        <f>IF(ISERROR(MATCH(A247,'Xtal_SegEnds_Prot#'!B:B,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366</v>
      </c>
      <c r="B248" t="s">
        <v>801</v>
      </c>
      <c r="C248" t="str">
        <f>IF(ISERROR(MATCH(A248,'Xtal_SegEnds_Prot#'!B:B,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368</v>
      </c>
      <c r="B249" t="s">
        <v>803</v>
      </c>
      <c r="C249" t="str">
        <f>IF(ISERROR(MATCH(A249,'Xtal_SegEnds_Prot#'!B:B,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369</v>
      </c>
      <c r="B250" t="s">
        <v>804</v>
      </c>
      <c r="C250" t="str">
        <f>IF(ISERROR(MATCH(A250,'Xtal_SegEnds_Prot#'!B:B,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370</v>
      </c>
      <c r="B251" t="s">
        <v>805</v>
      </c>
      <c r="C251" t="str">
        <f>IF(ISERROR(MATCH(A251,'Xtal_SegEnds_Prot#'!B:B, 0)), "NoXtal", "Xtal")</f>
        <v>NoXtal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371</v>
      </c>
      <c r="B252" t="s">
        <v>807</v>
      </c>
      <c r="C252" t="str">
        <f>IF(ISERROR(MATCH(A252,'Xtal_SegEnds_Prot#'!B:B,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363</v>
      </c>
      <c r="B253" t="s">
        <v>808</v>
      </c>
      <c r="C253" t="str">
        <f>IF(ISERROR(MATCH(A253,'Xtal_SegEnds_Prot#'!B:B,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379</v>
      </c>
      <c r="B254" t="s">
        <v>809</v>
      </c>
      <c r="C254" t="str">
        <f>IF(ISERROR(MATCH(A254,'Xtal_SegEnds_Prot#'!B:B,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380</v>
      </c>
      <c r="B255" t="s">
        <v>810</v>
      </c>
      <c r="C255" t="str">
        <f>IF(ISERROR(MATCH(A255,'Xtal_SegEnds_Prot#'!B:B,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381</v>
      </c>
      <c r="B256" t="s">
        <v>811</v>
      </c>
      <c r="C256" t="str">
        <f>IF(ISERROR(MATCH(A256,'Xtal_SegEnds_Prot#'!B:B,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382</v>
      </c>
      <c r="B257" t="s">
        <v>813</v>
      </c>
      <c r="C257" t="str">
        <f>IF(ISERROR(MATCH(A257,'Xtal_SegEnds_Prot#'!B:B, 0)), "NoXtal", "Xtal")</f>
        <v>NoXtal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383</v>
      </c>
      <c r="B258" t="s">
        <v>814</v>
      </c>
      <c r="C258" t="str">
        <f>IF(ISERROR(MATCH(A258,'Xtal_SegEnds_Prot#'!B:B, 0)), "NoXtal", "Xtal")</f>
        <v>NoXtal</v>
      </c>
      <c r="D258" t="str">
        <f t="shared" ref="D258:D321" si="4">MID(A258,FIND("_",A258)+1,LEN(A258)-FIND("_",A258))</f>
        <v>human</v>
      </c>
      <c r="E258" t="str">
        <f>VLOOKUP(A258,Classification!A:B,2,FALSE)</f>
        <v>A</v>
      </c>
    </row>
    <row r="259" spans="1:5" x14ac:dyDescent="0.2">
      <c r="A259" t="s">
        <v>378</v>
      </c>
      <c r="B259" t="s">
        <v>815</v>
      </c>
      <c r="C259" t="str">
        <f>IF(ISERROR(MATCH(A259,'Xtal_SegEnds_Prot#'!B:B, 0)), "NoXtal", "Xtal")</f>
        <v>NoXtal</v>
      </c>
      <c r="D259" t="str">
        <f t="shared" si="4"/>
        <v>human</v>
      </c>
      <c r="E259" t="str">
        <f>VLOOKUP(A259,Classification!A:B,2,FALSE)</f>
        <v>A</v>
      </c>
    </row>
    <row r="260" spans="1:5" x14ac:dyDescent="0.2">
      <c r="A260" t="s">
        <v>594</v>
      </c>
      <c r="B260" t="s">
        <v>816</v>
      </c>
      <c r="C260" t="str">
        <f>IF(ISERROR(MATCH(A260,'Xtal_SegEnds_Prot#'!B:B, 0)), "NoXtal", "Xtal")</f>
        <v>NoXtal</v>
      </c>
      <c r="D260" t="str">
        <f t="shared" si="4"/>
        <v>human</v>
      </c>
      <c r="E260" t="str">
        <f>VLOOKUP(A260,Classification!A:B,2,FALSE)</f>
        <v>A</v>
      </c>
    </row>
    <row r="261" spans="1:5" x14ac:dyDescent="0.2">
      <c r="A261" t="s">
        <v>336</v>
      </c>
      <c r="B261" t="s">
        <v>817</v>
      </c>
      <c r="C261" t="str">
        <f>IF(ISERROR(MATCH(A261,'Xtal_SegEnds_Prot#'!B:B, 0)), "NoXtal", "Xtal")</f>
        <v>NoXtal</v>
      </c>
      <c r="D261" t="str">
        <f t="shared" si="4"/>
        <v>human</v>
      </c>
      <c r="E261" t="str">
        <f>VLOOKUP(A261,Classification!A:B,2,FALSE)</f>
        <v>A</v>
      </c>
    </row>
    <row r="262" spans="1:5" x14ac:dyDescent="0.2">
      <c r="A262" t="s">
        <v>337</v>
      </c>
      <c r="B262" t="s">
        <v>818</v>
      </c>
      <c r="C262" t="str">
        <f>IF(ISERROR(MATCH(A262,'Xtal_SegEnds_Prot#'!B:B, 0)), "NoXtal", "Xtal")</f>
        <v>NoXtal</v>
      </c>
      <c r="D262" t="str">
        <f t="shared" si="4"/>
        <v>human</v>
      </c>
      <c r="E262" t="str">
        <f>VLOOKUP(A262,Classification!A:B,2,FALSE)</f>
        <v>A</v>
      </c>
    </row>
    <row r="263" spans="1:5" x14ac:dyDescent="0.2">
      <c r="A263" t="s">
        <v>338</v>
      </c>
      <c r="B263" t="s">
        <v>819</v>
      </c>
      <c r="C263" t="str">
        <f>IF(ISERROR(MATCH(A263,'Xtal_SegEnds_Prot#'!B:B, 0)), "NoXtal", "Xtal")</f>
        <v>NoXtal</v>
      </c>
      <c r="D263" t="str">
        <f t="shared" si="4"/>
        <v>human</v>
      </c>
      <c r="E263" t="str">
        <f>VLOOKUP(A263,Classification!A:B,2,FALSE)</f>
        <v>A</v>
      </c>
    </row>
    <row r="264" spans="1:5" x14ac:dyDescent="0.2">
      <c r="A264" t="s">
        <v>339</v>
      </c>
      <c r="B264" t="s">
        <v>820</v>
      </c>
      <c r="C264" t="str">
        <f>IF(ISERROR(MATCH(A264,'Xtal_SegEnds_Prot#'!B:B,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372</v>
      </c>
      <c r="B265" t="s">
        <v>821</v>
      </c>
      <c r="C265" t="str">
        <f>IF(ISERROR(MATCH(A265,'Xtal_SegEnds_Prot#'!B:B,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398</v>
      </c>
      <c r="B266" t="s">
        <v>822</v>
      </c>
      <c r="C266" t="str">
        <f>IF(ISERROR(MATCH(A266,'Xtal_SegEnds_Prot#'!B:B,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480</v>
      </c>
      <c r="B267" t="s">
        <v>823</v>
      </c>
      <c r="C267" t="str">
        <f>IF(ISERROR(MATCH(A267,'Xtal_SegEnds_Prot#'!B:B,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485</v>
      </c>
      <c r="B268" t="s">
        <v>824</v>
      </c>
      <c r="C268" t="str">
        <f>IF(ISERROR(MATCH(A268,'Xtal_SegEnds_Prot#'!B:B,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589</v>
      </c>
      <c r="B269" t="s">
        <v>825</v>
      </c>
      <c r="C269" t="str">
        <f>IF(ISERROR(MATCH(A269,'Xtal_SegEnds_Prot#'!B:B,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561</v>
      </c>
      <c r="B270" t="s">
        <v>826</v>
      </c>
      <c r="C270" t="str">
        <f>IF(ISERROR(MATCH(A270,'Xtal_SegEnds_Prot#'!B:B,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562</v>
      </c>
      <c r="B271" t="s">
        <v>827</v>
      </c>
      <c r="C271" t="str">
        <f>IF(ISERROR(MATCH(A271,'Xtal_SegEnds_Prot#'!B:B,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392</v>
      </c>
      <c r="B272" t="s">
        <v>829</v>
      </c>
      <c r="C272" t="str">
        <f>IF(ISERROR(MATCH(A272,'Xtal_SegEnds_Prot#'!B:B,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393</v>
      </c>
      <c r="B273" t="s">
        <v>830</v>
      </c>
      <c r="C273" t="str">
        <f>IF(ISERROR(MATCH(A273,'Xtal_SegEnds_Prot#'!B:B,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394</v>
      </c>
      <c r="B274" t="s">
        <v>831</v>
      </c>
      <c r="C274" t="str">
        <f>IF(ISERROR(MATCH(A274,'Xtal_SegEnds_Prot#'!B:B,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452</v>
      </c>
      <c r="B275" t="s">
        <v>832</v>
      </c>
      <c r="C275" t="str">
        <f>IF(ISERROR(MATCH(A275,'Xtal_SegEnds_Prot#'!B:B,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486</v>
      </c>
      <c r="B276" t="s">
        <v>833</v>
      </c>
      <c r="C276" t="str">
        <f>IF(ISERROR(MATCH(A276,'Xtal_SegEnds_Prot#'!B:B,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487</v>
      </c>
      <c r="B277" t="s">
        <v>834</v>
      </c>
      <c r="C277" t="str">
        <f>IF(ISERROR(MATCH(A277,'Xtal_SegEnds_Prot#'!B:B,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373</v>
      </c>
      <c r="B278" t="s">
        <v>835</v>
      </c>
      <c r="C278" t="str">
        <f>IF(ISERROR(MATCH(A278,'Xtal_SegEnds_Prot#'!B:B,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374</v>
      </c>
      <c r="B279" t="s">
        <v>836</v>
      </c>
      <c r="C279" t="str">
        <f>IF(ISERROR(MATCH(A279,'Xtal_SegEnds_Prot#'!B:B,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536</v>
      </c>
      <c r="B280" t="s">
        <v>837</v>
      </c>
      <c r="C280" t="str">
        <f>IF(ISERROR(MATCH(A280,'Xtal_SegEnds_Prot#'!B:B,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481</v>
      </c>
      <c r="B281" t="s">
        <v>840</v>
      </c>
      <c r="C281" t="str">
        <f>IF(ISERROR(MATCH(A281,'Xtal_SegEnds_Prot#'!B:B,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482</v>
      </c>
      <c r="B282" t="s">
        <v>841</v>
      </c>
      <c r="C282" t="str">
        <f>IF(ISERROR(MATCH(A282,'Xtal_SegEnds_Prot#'!B:B,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483</v>
      </c>
      <c r="B283" t="s">
        <v>842</v>
      </c>
      <c r="C283" t="str">
        <f>IF(ISERROR(MATCH(A283,'Xtal_SegEnds_Prot#'!B:B,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484</v>
      </c>
      <c r="B284" t="s">
        <v>843</v>
      </c>
      <c r="C284" t="str">
        <f>IF(ISERROR(MATCH(A284,'Xtal_SegEnds_Prot#'!B:B,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571</v>
      </c>
      <c r="B285" t="s">
        <v>845</v>
      </c>
      <c r="C285" t="str">
        <f>IF(ISERROR(MATCH(A285,'Xtal_SegEnds_Prot#'!B:B,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572</v>
      </c>
      <c r="B286" t="s">
        <v>846</v>
      </c>
      <c r="C286" t="str">
        <f>IF(ISERROR(MATCH(A286,'Xtal_SegEnds_Prot#'!B:B,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573</v>
      </c>
      <c r="B287" t="s">
        <v>847</v>
      </c>
      <c r="C287" t="str">
        <f>IF(ISERROR(MATCH(A287,'Xtal_SegEnds_Prot#'!B:B,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574</v>
      </c>
      <c r="B288" t="s">
        <v>848</v>
      </c>
      <c r="C288" t="str">
        <f>IF(ISERROR(MATCH(A288,'Xtal_SegEnds_Prot#'!B:B,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376</v>
      </c>
      <c r="B289" t="s">
        <v>849</v>
      </c>
      <c r="C289" t="str">
        <f>IF(ISERROR(MATCH(A289,'Xtal_SegEnds_Prot#'!B:B,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377</v>
      </c>
      <c r="B290" t="s">
        <v>850</v>
      </c>
      <c r="C290" t="str">
        <f>IF(ISERROR(MATCH(A290,'Xtal_SegEnds_Prot#'!B:B,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435</v>
      </c>
      <c r="B291" t="s">
        <v>851</v>
      </c>
      <c r="C291" t="str">
        <f>IF(ISERROR(MATCH(A291,'Xtal_SegEnds_Prot#'!B:B,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455</v>
      </c>
      <c r="B292" t="s">
        <v>852</v>
      </c>
      <c r="C292" t="str">
        <f>IF(ISERROR(MATCH(A292,'Xtal_SegEnds_Prot#'!B:B,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407</v>
      </c>
      <c r="B293" t="s">
        <v>853</v>
      </c>
      <c r="C293" t="str">
        <f>IF(ISERROR(MATCH(A293,'Xtal_SegEnds_Prot#'!B:B,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565</v>
      </c>
      <c r="B294" t="s">
        <v>854</v>
      </c>
      <c r="C294" t="str">
        <f>IF(ISERROR(MATCH(A294,'Xtal_SegEnds_Prot#'!B:B, 0)), "NoXtal", "Xtal")</f>
        <v>NoXtal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553</v>
      </c>
      <c r="B295" t="s">
        <v>855</v>
      </c>
      <c r="C295" t="str">
        <f>IF(ISERROR(MATCH(A295,'Xtal_SegEnds_Prot#'!B:B, 0)), "NoXtal", "Xtal")</f>
        <v>NoXtal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554</v>
      </c>
      <c r="B296" t="s">
        <v>856</v>
      </c>
      <c r="C296" t="str">
        <f>IF(ISERROR(MATCH(A296,'Xtal_SegEnds_Prot#'!B:B,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555</v>
      </c>
      <c r="B297" t="s">
        <v>857</v>
      </c>
      <c r="C297" t="str">
        <f>IF(ISERROR(MATCH(A297,'Xtal_SegEnds_Prot#'!B:B,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556</v>
      </c>
      <c r="B298" t="s">
        <v>858</v>
      </c>
      <c r="C298" t="str">
        <f>IF(ISERROR(MATCH(A298,'Xtal_SegEnds_Prot#'!B:B,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557</v>
      </c>
      <c r="B299" t="s">
        <v>859</v>
      </c>
      <c r="C299" t="str">
        <f>IF(ISERROR(MATCH(A299,'Xtal_SegEnds_Prot#'!B:B, 0)), "NoXtal", "Xtal")</f>
        <v>NoXtal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558</v>
      </c>
      <c r="B300" t="s">
        <v>860</v>
      </c>
      <c r="C300" t="str">
        <f>IF(ISERROR(MATCH(A300,'Xtal_SegEnds_Prot#'!B:B,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559</v>
      </c>
      <c r="B301" t="s">
        <v>861</v>
      </c>
      <c r="C301" t="str">
        <f>IF(ISERROR(MATCH(A301,'Xtal_SegEnds_Prot#'!B:B, 0)), "NoXtal", "Xtal")</f>
        <v>NoXtal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560</v>
      </c>
      <c r="B302" t="s">
        <v>862</v>
      </c>
      <c r="C302" t="str">
        <f>IF(ISERROR(MATCH(A302,'Xtal_SegEnds_Prot#'!B:B,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668</v>
      </c>
      <c r="B303" t="s">
        <v>863</v>
      </c>
      <c r="C303" t="str">
        <f>IF(ISERROR(MATCH(A303,'Xtal_SegEnds_Prot#'!B:B,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505</v>
      </c>
      <c r="B304" t="s">
        <v>864</v>
      </c>
      <c r="C304" t="str">
        <f>IF(ISERROR(MATCH(A304,'Xtal_SegEnds_Prot#'!B:B, 0)), "NoXtal", "Xtal")</f>
        <v>NoXtal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506</v>
      </c>
      <c r="B305" t="s">
        <v>865</v>
      </c>
      <c r="C305" t="str">
        <f>IF(ISERROR(MATCH(A305,'Xtal_SegEnds_Prot#'!B:B, 0)), "NoXtal", "Xtal")</f>
        <v>NoXtal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332</v>
      </c>
      <c r="B306" t="s">
        <v>866</v>
      </c>
      <c r="C306" t="str">
        <f>IF(ISERROR(MATCH(A306,'Xtal_SegEnds_Prot#'!B:B,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334</v>
      </c>
      <c r="B307" t="s">
        <v>868</v>
      </c>
      <c r="C307" t="str">
        <f>IF(ISERROR(MATCH(A307,'Xtal_SegEnds_Prot#'!B:B,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335</v>
      </c>
      <c r="B308" t="s">
        <v>869</v>
      </c>
      <c r="C308" t="str">
        <f>IF(ISERROR(MATCH(A308,'Xtal_SegEnds_Prot#'!B:B, 0)), "NoXtal", "Xtal")</f>
        <v>NoXtal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540</v>
      </c>
      <c r="B309" t="s">
        <v>871</v>
      </c>
      <c r="C309" t="str">
        <f>IF(ISERROR(MATCH(A309,'Xtal_SegEnds_Prot#'!B:B, 0)), "NoXtal", "Xtal")</f>
        <v>NoXtal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541</v>
      </c>
      <c r="B310" t="s">
        <v>872</v>
      </c>
      <c r="C310" t="str">
        <f>IF(ISERROR(MATCH(A310,'Xtal_SegEnds_Prot#'!B:B, 0)), "NoXtal", "Xtal")</f>
        <v>NoXtal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542</v>
      </c>
      <c r="B311" t="s">
        <v>873</v>
      </c>
      <c r="C311" t="str">
        <f>IF(ISERROR(MATCH(A311,'Xtal_SegEnds_Prot#'!B:B, 0)), "NoXtal", "Xtal")</f>
        <v>NoXtal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545</v>
      </c>
      <c r="B312" t="s">
        <v>874</v>
      </c>
      <c r="C312" t="str">
        <f>IF(ISERROR(MATCH(A312,'Xtal_SegEnds_Prot#'!B:B,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547</v>
      </c>
      <c r="B313" t="s">
        <v>876</v>
      </c>
      <c r="C313" t="str">
        <f>IF(ISERROR(MATCH(A313,'Xtal_SegEnds_Prot#'!B:B,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548</v>
      </c>
      <c r="B314" t="s">
        <v>877</v>
      </c>
      <c r="C314" t="str">
        <f>IF(ISERROR(MATCH(A314,'Xtal_SegEnds_Prot#'!B:B,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429</v>
      </c>
      <c r="B315" t="s">
        <v>878</v>
      </c>
      <c r="C315" t="str">
        <f>IF(ISERROR(MATCH(A315,'Xtal_SegEnds_Prot#'!B:B,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430</v>
      </c>
      <c r="B316" t="s">
        <v>879</v>
      </c>
      <c r="C316" t="str">
        <f>IF(ISERROR(MATCH(A316,'Xtal_SegEnds_Prot#'!B:B,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469</v>
      </c>
      <c r="B317" t="s">
        <v>880</v>
      </c>
      <c r="C317" t="str">
        <f>IF(ISERROR(MATCH(A317,'Xtal_SegEnds_Prot#'!B:B,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470</v>
      </c>
      <c r="B318" t="s">
        <v>881</v>
      </c>
      <c r="C318" t="str">
        <f>IF(ISERROR(MATCH(A318,'Xtal_SegEnds_Prot#'!B:B,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471</v>
      </c>
      <c r="B319" t="s">
        <v>882</v>
      </c>
      <c r="C319" t="str">
        <f>IF(ISERROR(MATCH(A319,'Xtal_SegEnds_Prot#'!B:B,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537</v>
      </c>
      <c r="B320" t="s">
        <v>883</v>
      </c>
      <c r="C320" t="str">
        <f>IF(ISERROR(MATCH(A320,'Xtal_SegEnds_Prot#'!B:B,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580</v>
      </c>
      <c r="B321" t="s">
        <v>884</v>
      </c>
      <c r="C321" t="str">
        <f>IF(ISERROR(MATCH(A321,'Xtal_SegEnds_Prot#'!B:B,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527</v>
      </c>
      <c r="B322" t="s">
        <v>886</v>
      </c>
      <c r="C322" t="str">
        <f>IF(ISERROR(MATCH(A322,'Xtal_SegEnds_Prot#'!B:B, 0)), "NoXtal", "Xtal")</f>
        <v>NoXtal</v>
      </c>
      <c r="D322" t="str">
        <f t="shared" ref="D322:D385" si="5">MID(A322,FIND("_",A322)+1,LEN(A322)-FIND("_",A322))</f>
        <v>human</v>
      </c>
      <c r="E322" t="str">
        <f>VLOOKUP(A322,Classification!A:B,2,FALSE)</f>
        <v>A</v>
      </c>
    </row>
    <row r="323" spans="1:5" x14ac:dyDescent="0.2">
      <c r="A323" t="s">
        <v>526</v>
      </c>
      <c r="B323" t="s">
        <v>887</v>
      </c>
      <c r="C323" t="str">
        <f>IF(ISERROR(MATCH(A323,'Xtal_SegEnds_Prot#'!B:B, 0)), "NoXtal", "Xtal")</f>
        <v>NoXtal</v>
      </c>
      <c r="D323" t="str">
        <f t="shared" si="5"/>
        <v>human</v>
      </c>
      <c r="E323" t="str">
        <f>VLOOKUP(A323,Classification!A:B,2,FALSE)</f>
        <v>A</v>
      </c>
    </row>
    <row r="324" spans="1:5" x14ac:dyDescent="0.2">
      <c r="A324" t="s">
        <v>528</v>
      </c>
      <c r="B324" t="s">
        <v>888</v>
      </c>
      <c r="C324" t="str">
        <f>IF(ISERROR(MATCH(A324,'Xtal_SegEnds_Prot#'!B:B, 0)), "NoXtal", "Xtal")</f>
        <v>NoXtal</v>
      </c>
      <c r="D324" t="str">
        <f t="shared" si="5"/>
        <v>human</v>
      </c>
      <c r="E324" t="str">
        <f>VLOOKUP(A324,Classification!A:B,2,FALSE)</f>
        <v>A</v>
      </c>
    </row>
    <row r="325" spans="1:5" x14ac:dyDescent="0.2">
      <c r="A325" t="s">
        <v>532</v>
      </c>
      <c r="B325" t="s">
        <v>889</v>
      </c>
      <c r="C325" t="str">
        <f>IF(ISERROR(MATCH(A325,'Xtal_SegEnds_Prot#'!B:B, 0)), "NoXtal", "Xtal")</f>
        <v>NoXtal</v>
      </c>
      <c r="D325" t="str">
        <f t="shared" si="5"/>
        <v>human</v>
      </c>
      <c r="E325" t="str">
        <f>VLOOKUP(A325,Classification!A:B,2,FALSE)</f>
        <v>A</v>
      </c>
    </row>
    <row r="326" spans="1:5" x14ac:dyDescent="0.2">
      <c r="A326" t="s">
        <v>534</v>
      </c>
      <c r="B326" t="s">
        <v>890</v>
      </c>
      <c r="C326" t="str">
        <f>IF(ISERROR(MATCH(A326,'Xtal_SegEnds_Prot#'!B:B, 0)), "NoXtal", "Xtal")</f>
        <v>NoXtal</v>
      </c>
      <c r="D326" t="str">
        <f t="shared" si="5"/>
        <v>human</v>
      </c>
      <c r="E326" t="str">
        <f>VLOOKUP(A326,Classification!A:B,2,FALSE)</f>
        <v>A</v>
      </c>
    </row>
    <row r="327" spans="1:5" x14ac:dyDescent="0.2">
      <c r="A327" t="s">
        <v>535</v>
      </c>
      <c r="B327" t="s">
        <v>891</v>
      </c>
      <c r="C327" t="str">
        <f>IF(ISERROR(MATCH(A327,'Xtal_SegEnds_Prot#'!B:B, 0)), "NoXtal", "Xtal")</f>
        <v>NoXtal</v>
      </c>
      <c r="D327" t="str">
        <f t="shared" si="5"/>
        <v>human</v>
      </c>
      <c r="E327" t="str">
        <f>VLOOKUP(A327,Classification!A:B,2,FALSE)</f>
        <v>A</v>
      </c>
    </row>
    <row r="328" spans="1:5" x14ac:dyDescent="0.2">
      <c r="A328" t="s">
        <v>431</v>
      </c>
      <c r="B328" t="s">
        <v>913</v>
      </c>
      <c r="C328" t="str">
        <f>IF(ISERROR(MATCH(A328,'Xtal_SegEnds_Prot#'!B:B,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443</v>
      </c>
      <c r="B329" t="s">
        <v>914</v>
      </c>
      <c r="C329" t="str">
        <f>IF(ISERROR(MATCH(A329,'Xtal_SegEnds_Prot#'!B:B,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451</v>
      </c>
      <c r="B330" t="s">
        <v>915</v>
      </c>
      <c r="C330" t="str">
        <f>IF(ISERROR(MATCH(A330,'Xtal_SegEnds_Prot#'!B:B,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456</v>
      </c>
      <c r="B331" t="s">
        <v>916</v>
      </c>
      <c r="C331" t="str">
        <f>IF(ISERROR(MATCH(A331,'Xtal_SegEnds_Prot#'!B:B,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432</v>
      </c>
      <c r="B332" t="s">
        <v>917</v>
      </c>
      <c r="C332" t="str">
        <f>IF(ISERROR(MATCH(A332,'Xtal_SegEnds_Prot#'!B:B,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433</v>
      </c>
      <c r="B333" t="s">
        <v>918</v>
      </c>
      <c r="C333" t="str">
        <f>IF(ISERROR(MATCH(A333,'Xtal_SegEnds_Prot#'!B:B,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434</v>
      </c>
      <c r="B334" t="s">
        <v>919</v>
      </c>
      <c r="C334" t="str">
        <f>IF(ISERROR(MATCH(A334,'Xtal_SegEnds_Prot#'!B:B,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436</v>
      </c>
      <c r="B335" t="s">
        <v>920</v>
      </c>
      <c r="C335" t="str">
        <f>IF(ISERROR(MATCH(A335,'Xtal_SegEnds_Prot#'!B:B,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437</v>
      </c>
      <c r="B336" t="s">
        <v>921</v>
      </c>
      <c r="C336" t="str">
        <f>IF(ISERROR(MATCH(A336,'Xtal_SegEnds_Prot#'!B:B,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438</v>
      </c>
      <c r="B337" t="s">
        <v>922</v>
      </c>
      <c r="C337" t="str">
        <f>IF(ISERROR(MATCH(A337,'Xtal_SegEnds_Prot#'!B:B,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439</v>
      </c>
      <c r="B338" t="s">
        <v>923</v>
      </c>
      <c r="C338" t="str">
        <f>IF(ISERROR(MATCH(A338,'Xtal_SegEnds_Prot#'!B:B,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440</v>
      </c>
      <c r="B339" t="s">
        <v>924</v>
      </c>
      <c r="C339" t="str">
        <f>IF(ISERROR(MATCH(A339,'Xtal_SegEnds_Prot#'!B:B,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441</v>
      </c>
      <c r="B340" t="s">
        <v>925</v>
      </c>
      <c r="C340" t="str">
        <f>IF(ISERROR(MATCH(A340,'Xtal_SegEnds_Prot#'!B:B,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442</v>
      </c>
      <c r="B341" t="s">
        <v>926</v>
      </c>
      <c r="C341" t="str">
        <f>IF(ISERROR(MATCH(A341,'Xtal_SegEnds_Prot#'!B:B,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444</v>
      </c>
      <c r="B342" t="s">
        <v>927</v>
      </c>
      <c r="C342" t="str">
        <f>IF(ISERROR(MATCH(A342,'Xtal_SegEnds_Prot#'!B:B,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445</v>
      </c>
      <c r="B343" t="s">
        <v>928</v>
      </c>
      <c r="C343" t="str">
        <f>IF(ISERROR(MATCH(A343,'Xtal_SegEnds_Prot#'!B:B,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446</v>
      </c>
      <c r="B344" t="s">
        <v>929</v>
      </c>
      <c r="C344" t="str">
        <f>IF(ISERROR(MATCH(A344,'Xtal_SegEnds_Prot#'!B:B,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447</v>
      </c>
      <c r="B345" t="s">
        <v>930</v>
      </c>
      <c r="C345" t="str">
        <f>IF(ISERROR(MATCH(A345,'Xtal_SegEnds_Prot#'!B:B,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448</v>
      </c>
      <c r="B346" t="s">
        <v>931</v>
      </c>
      <c r="C346" t="str">
        <f>IF(ISERROR(MATCH(A346,'Xtal_SegEnds_Prot#'!B:B,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449</v>
      </c>
      <c r="B347" t="s">
        <v>932</v>
      </c>
      <c r="C347" t="str">
        <f>IF(ISERROR(MATCH(A347,'Xtal_SegEnds_Prot#'!B:B,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391</v>
      </c>
      <c r="B348" t="s">
        <v>933</v>
      </c>
      <c r="C348" t="str">
        <f>IF(ISERROR(MATCH(A348,'Xtal_SegEnds_Prot#'!B:B,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450</v>
      </c>
      <c r="B349" t="s">
        <v>934</v>
      </c>
      <c r="C349" t="str">
        <f>IF(ISERROR(MATCH(A349,'Xtal_SegEnds_Prot#'!B:B,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453</v>
      </c>
      <c r="B350" t="s">
        <v>935</v>
      </c>
      <c r="C350" t="str">
        <f>IF(ISERROR(MATCH(A350,'Xtal_SegEnds_Prot#'!B:B,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507</v>
      </c>
      <c r="B351" t="s">
        <v>936</v>
      </c>
      <c r="C351" t="str">
        <f>IF(ISERROR(MATCH(A351,'Xtal_SegEnds_Prot#'!B:B,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454</v>
      </c>
      <c r="B352" t="s">
        <v>937</v>
      </c>
      <c r="C352" t="str">
        <f>IF(ISERROR(MATCH(A352,'Xtal_SegEnds_Prot#'!B:B,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457</v>
      </c>
      <c r="B353" t="s">
        <v>938</v>
      </c>
      <c r="C353" t="str">
        <f>IF(ISERROR(MATCH(A353,'Xtal_SegEnds_Prot#'!B:B,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458</v>
      </c>
      <c r="B354" t="s">
        <v>939</v>
      </c>
      <c r="C354" t="str">
        <f>IF(ISERROR(MATCH(A354,'Xtal_SegEnds_Prot#'!B:B,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459</v>
      </c>
      <c r="B355" t="s">
        <v>940</v>
      </c>
      <c r="C355" t="str">
        <f>IF(ISERROR(MATCH(A355,'Xtal_SegEnds_Prot#'!B:B,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564</v>
      </c>
      <c r="B356" t="s">
        <v>941</v>
      </c>
      <c r="C356" t="str">
        <f>IF(ISERROR(MATCH(A356,'Xtal_SegEnds_Prot#'!B:B,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525</v>
      </c>
      <c r="B357" t="s">
        <v>942</v>
      </c>
      <c r="C357" t="str">
        <f>IF(ISERROR(MATCH(A357,'Xtal_SegEnds_Prot#'!B:B,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460</v>
      </c>
      <c r="B358" t="s">
        <v>943</v>
      </c>
      <c r="C358" t="str">
        <f>IF(ISERROR(MATCH(A358,'Xtal_SegEnds_Prot#'!B:B,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461</v>
      </c>
      <c r="B359" t="s">
        <v>944</v>
      </c>
      <c r="C359" t="str">
        <f>IF(ISERROR(MATCH(A359,'Xtal_SegEnds_Prot#'!B:B,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462</v>
      </c>
      <c r="B360" t="s">
        <v>945</v>
      </c>
      <c r="C360" t="str">
        <f>IF(ISERROR(MATCH(A360,'Xtal_SegEnds_Prot#'!B:B,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463</v>
      </c>
      <c r="B361" t="s">
        <v>946</v>
      </c>
      <c r="C361" t="str">
        <f>IF(ISERROR(MATCH(A361,'Xtal_SegEnds_Prot#'!B:B,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464</v>
      </c>
      <c r="B362" t="s">
        <v>947</v>
      </c>
      <c r="C362" t="str">
        <f>IF(ISERROR(MATCH(A362,'Xtal_SegEnds_Prot#'!B:B,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465</v>
      </c>
      <c r="B363" t="s">
        <v>948</v>
      </c>
      <c r="C363" t="str">
        <f>IF(ISERROR(MATCH(A363,'Xtal_SegEnds_Prot#'!B:B,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466</v>
      </c>
      <c r="B364" t="s">
        <v>949</v>
      </c>
      <c r="C364" t="str">
        <f>IF(ISERROR(MATCH(A364,'Xtal_SegEnds_Prot#'!B:B,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467</v>
      </c>
      <c r="B365" t="s">
        <v>950</v>
      </c>
      <c r="C365" t="str">
        <f>IF(ISERROR(MATCH(A365,'Xtal_SegEnds_Prot#'!B:B,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406</v>
      </c>
      <c r="B366" t="s">
        <v>951</v>
      </c>
      <c r="C366" t="str">
        <f>IF(ISERROR(MATCH(A366,'Xtal_SegEnds_Prot#'!B:B,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408</v>
      </c>
      <c r="B367" t="s">
        <v>952</v>
      </c>
      <c r="C367" t="str">
        <f>IF(ISERROR(MATCH(A367,'Xtal_SegEnds_Prot#'!B:B,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409</v>
      </c>
      <c r="B368" t="s">
        <v>953</v>
      </c>
      <c r="C368" t="str">
        <f>IF(ISERROR(MATCH(A368,'Xtal_SegEnds_Prot#'!B:B,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410</v>
      </c>
      <c r="B369" t="s">
        <v>954</v>
      </c>
      <c r="C369" t="str">
        <f>IF(ISERROR(MATCH(A369,'Xtal_SegEnds_Prot#'!B:B,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411</v>
      </c>
      <c r="B370" t="s">
        <v>955</v>
      </c>
      <c r="C370" t="str">
        <f>IF(ISERROR(MATCH(A370,'Xtal_SegEnds_Prot#'!B:B,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412</v>
      </c>
      <c r="B371" t="s">
        <v>956</v>
      </c>
      <c r="C371" t="str">
        <f>IF(ISERROR(MATCH(A371,'Xtal_SegEnds_Prot#'!B:B,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413</v>
      </c>
      <c r="B372" t="s">
        <v>957</v>
      </c>
      <c r="C372" t="str">
        <f>IF(ISERROR(MATCH(A372,'Xtal_SegEnds_Prot#'!B:B,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414</v>
      </c>
      <c r="B373" t="s">
        <v>958</v>
      </c>
      <c r="C373" t="str">
        <f>IF(ISERROR(MATCH(A373,'Xtal_SegEnds_Prot#'!B:B,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415</v>
      </c>
      <c r="B374" t="s">
        <v>959</v>
      </c>
      <c r="C374" t="str">
        <f>IF(ISERROR(MATCH(A374,'Xtal_SegEnds_Prot#'!B:B,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416</v>
      </c>
      <c r="B375" t="s">
        <v>960</v>
      </c>
      <c r="C375" t="str">
        <f>IF(ISERROR(MATCH(A375,'Xtal_SegEnds_Prot#'!B:B,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417</v>
      </c>
      <c r="B376" t="s">
        <v>961</v>
      </c>
      <c r="C376" t="str">
        <f>IF(ISERROR(MATCH(A376,'Xtal_SegEnds_Prot#'!B:B,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418</v>
      </c>
      <c r="B377" t="s">
        <v>962</v>
      </c>
      <c r="C377" t="str">
        <f>IF(ISERROR(MATCH(A377,'Xtal_SegEnds_Prot#'!B:B,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419</v>
      </c>
      <c r="B378" t="s">
        <v>963</v>
      </c>
      <c r="C378" t="str">
        <f>IF(ISERROR(MATCH(A378,'Xtal_SegEnds_Prot#'!B:B,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420</v>
      </c>
      <c r="B379" t="s">
        <v>964</v>
      </c>
      <c r="C379" t="str">
        <f>IF(ISERROR(MATCH(A379,'Xtal_SegEnds_Prot#'!B:B,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421</v>
      </c>
      <c r="B380" t="s">
        <v>965</v>
      </c>
      <c r="C380" t="str">
        <f>IF(ISERROR(MATCH(A380,'Xtal_SegEnds_Prot#'!B:B,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422</v>
      </c>
      <c r="B381" t="s">
        <v>966</v>
      </c>
      <c r="C381" t="str">
        <f>IF(ISERROR(MATCH(A381,'Xtal_SegEnds_Prot#'!B:B,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423</v>
      </c>
      <c r="B382" t="s">
        <v>967</v>
      </c>
      <c r="C382" t="str">
        <f>IF(ISERROR(MATCH(A382,'Xtal_SegEnds_Prot#'!B:B,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424</v>
      </c>
      <c r="B383" t="s">
        <v>968</v>
      </c>
      <c r="C383" t="str">
        <f>IF(ISERROR(MATCH(A383,'Xtal_SegEnds_Prot#'!B:B,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425</v>
      </c>
      <c r="B384" t="s">
        <v>969</v>
      </c>
      <c r="C384" t="str">
        <f>IF(ISERROR(MATCH(A384,'Xtal_SegEnds_Prot#'!B:B,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426</v>
      </c>
      <c r="B385" t="s">
        <v>970</v>
      </c>
      <c r="C385" t="str">
        <f>IF(ISERROR(MATCH(A385,'Xtal_SegEnds_Prot#'!B:B,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427</v>
      </c>
      <c r="B386" t="s">
        <v>971</v>
      </c>
      <c r="C386" t="str">
        <f>IF(ISERROR(MATCH(A386,'Xtal_SegEnds_Prot#'!B:B, 0)), "NoXtal", "Xtal")</f>
        <v>NoXtal</v>
      </c>
      <c r="D386" t="str">
        <f t="shared" ref="D386:D408" si="6">MID(A386,FIND("_",A386)+1,LEN(A386)-FIND("_",A386))</f>
        <v>human</v>
      </c>
      <c r="E386" t="str">
        <f>VLOOKUP(A386,Classification!A:B,2,FALSE)</f>
        <v>A</v>
      </c>
    </row>
    <row r="387" spans="1:5" x14ac:dyDescent="0.2">
      <c r="A387" t="s">
        <v>428</v>
      </c>
      <c r="B387" t="s">
        <v>972</v>
      </c>
      <c r="C387" t="str">
        <f>IF(ISERROR(MATCH(A387,'Xtal_SegEnds_Prot#'!B:B, 0)), "NoXtal", "Xtal")</f>
        <v>NoXtal</v>
      </c>
      <c r="D387" t="str">
        <f t="shared" si="6"/>
        <v>human</v>
      </c>
      <c r="E387" t="str">
        <f>VLOOKUP(A387,Classification!A:B,2,FALSE)</f>
        <v>A</v>
      </c>
    </row>
    <row r="388" spans="1:5" x14ac:dyDescent="0.2">
      <c r="A388" t="s">
        <v>477</v>
      </c>
      <c r="B388" t="s">
        <v>973</v>
      </c>
      <c r="C388" t="str">
        <f>IF(ISERROR(MATCH(A388,'Xtal_SegEnds_Prot#'!B:B, 0)), "NoXtal", "Xtal")</f>
        <v>NoXtal</v>
      </c>
      <c r="D388" t="str">
        <f t="shared" si="6"/>
        <v>human</v>
      </c>
      <c r="E388" t="str">
        <f>VLOOKUP(A388,Classification!A:B,2,FALSE)</f>
        <v>A</v>
      </c>
    </row>
    <row r="389" spans="1:5" x14ac:dyDescent="0.2">
      <c r="A389" t="s">
        <v>478</v>
      </c>
      <c r="B389" t="s">
        <v>974</v>
      </c>
      <c r="C389" t="str">
        <f>IF(ISERROR(MATCH(A389,'Xtal_SegEnds_Prot#'!B:B, 0)), "NoXtal", "Xtal")</f>
        <v>NoXtal</v>
      </c>
      <c r="D389" t="str">
        <f t="shared" si="6"/>
        <v>human</v>
      </c>
      <c r="E389" t="str">
        <f>VLOOKUP(A389,Classification!A:B,2,FALSE)</f>
        <v>A</v>
      </c>
    </row>
    <row r="390" spans="1:5" x14ac:dyDescent="0.2">
      <c r="A390" t="s">
        <v>479</v>
      </c>
      <c r="B390" t="s">
        <v>975</v>
      </c>
      <c r="C390" t="str">
        <f>IF(ISERROR(MATCH(A390,'Xtal_SegEnds_Prot#'!B:B, 0)), "NoXtal", "Xtal")</f>
        <v>NoXtal</v>
      </c>
      <c r="D390" t="str">
        <f t="shared" si="6"/>
        <v>human</v>
      </c>
      <c r="E390" t="str">
        <f>VLOOKUP(A390,Classification!A:B,2,FALSE)</f>
        <v>A</v>
      </c>
    </row>
    <row r="391" spans="1:5" x14ac:dyDescent="0.2">
      <c r="A391" t="s">
        <v>488</v>
      </c>
      <c r="B391" t="s">
        <v>976</v>
      </c>
      <c r="C391" t="str">
        <f>IF(ISERROR(MATCH(A391,'Xtal_SegEnds_Prot#'!B:B, 0)), "NoXtal", "Xtal")</f>
        <v>NoXtal</v>
      </c>
      <c r="D391" t="str">
        <f t="shared" si="6"/>
        <v>human</v>
      </c>
      <c r="E391" t="str">
        <f>VLOOKUP(A391,Classification!A:B,2,FALSE)</f>
        <v>A</v>
      </c>
    </row>
    <row r="392" spans="1:5" x14ac:dyDescent="0.2">
      <c r="A392" t="s">
        <v>489</v>
      </c>
      <c r="B392" t="s">
        <v>977</v>
      </c>
      <c r="C392" t="str">
        <f>IF(ISERROR(MATCH(A392,'Xtal_SegEnds_Prot#'!B:B,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495</v>
      </c>
      <c r="B393" t="s">
        <v>978</v>
      </c>
      <c r="C393" t="str">
        <f>IF(ISERROR(MATCH(A393,'Xtal_SegEnds_Prot#'!B:B,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496</v>
      </c>
      <c r="B394" t="s">
        <v>979</v>
      </c>
      <c r="C394" t="str">
        <f>IF(ISERROR(MATCH(A394,'Xtal_SegEnds_Prot#'!B:B,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497</v>
      </c>
      <c r="B395" t="s">
        <v>980</v>
      </c>
      <c r="C395" t="str">
        <f>IF(ISERROR(MATCH(A395,'Xtal_SegEnds_Prot#'!B:B,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498</v>
      </c>
      <c r="B396" t="s">
        <v>981</v>
      </c>
      <c r="C396" t="str">
        <f>IF(ISERROR(MATCH(A396,'Xtal_SegEnds_Prot#'!B:B,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499</v>
      </c>
      <c r="B397" t="s">
        <v>982</v>
      </c>
      <c r="C397" t="str">
        <f>IF(ISERROR(MATCH(A397,'Xtal_SegEnds_Prot#'!B:B,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500</v>
      </c>
      <c r="B398" t="s">
        <v>983</v>
      </c>
      <c r="C398" t="str">
        <f>IF(ISERROR(MATCH(A398,'Xtal_SegEnds_Prot#'!B:B,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501</v>
      </c>
      <c r="B399" t="s">
        <v>984</v>
      </c>
      <c r="C399" t="str">
        <f>IF(ISERROR(MATCH(A399,'Xtal_SegEnds_Prot#'!B:B,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502</v>
      </c>
      <c r="B400" t="s">
        <v>985</v>
      </c>
      <c r="C400" t="str">
        <f>IF(ISERROR(MATCH(A400,'Xtal_SegEnds_Prot#'!B:B,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543</v>
      </c>
      <c r="B401" t="s">
        <v>986</v>
      </c>
      <c r="C401" t="str">
        <f>IF(ISERROR(MATCH(A401,'Xtal_SegEnds_Prot#'!B:B,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544</v>
      </c>
      <c r="B402" t="s">
        <v>987</v>
      </c>
      <c r="C402" t="str">
        <f>IF(ISERROR(MATCH(A402,'Xtal_SegEnds_Prot#'!B:B,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582</v>
      </c>
      <c r="B403" t="s">
        <v>988</v>
      </c>
      <c r="C403" t="str">
        <f>IF(ISERROR(MATCH(A403,'Xtal_SegEnds_Prot#'!B:B,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583</v>
      </c>
      <c r="B404" t="s">
        <v>989</v>
      </c>
      <c r="C404" t="str">
        <f>IF(ISERROR(MATCH(A404,'Xtal_SegEnds_Prot#'!B:B,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584</v>
      </c>
      <c r="B405" t="s">
        <v>990</v>
      </c>
      <c r="C405" t="str">
        <f>IF(ISERROR(MATCH(A405,'Xtal_SegEnds_Prot#'!B:B,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585</v>
      </c>
      <c r="B406" t="s">
        <v>991</v>
      </c>
      <c r="C406" t="str">
        <f>IF(ISERROR(MATCH(A406,'Xtal_SegEnds_Prot#'!B:B,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586</v>
      </c>
      <c r="B407" t="s">
        <v>992</v>
      </c>
      <c r="C407" t="str">
        <f>IF(ISERROR(MATCH(A407,'Xtal_SegEnds_Prot#'!B:B,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587</v>
      </c>
      <c r="B408" t="s">
        <v>993</v>
      </c>
      <c r="C408" t="str">
        <f>IF(ISERROR(MATCH(A408,'Xtal_SegEnds_Prot#'!B:B,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74" activePane="bottomLeft" state="frozenSplit"/>
      <selection pane="bottomLeft" activeCell="B99" sqref="B99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G432"/>
  <sheetViews>
    <sheetView topLeftCell="A227" workbookViewId="0">
      <selection activeCell="B254" sqref="B254"/>
    </sheetView>
  </sheetViews>
  <sheetFormatPr baseColWidth="10" defaultRowHeight="16" x14ac:dyDescent="0.2"/>
  <cols>
    <col min="1" max="1" width="15.1640625" style="1" bestFit="1" customWidth="1"/>
    <col min="2" max="2" width="12.83203125" style="1" bestFit="1" customWidth="1"/>
    <col min="3" max="3" width="10.83203125" style="71"/>
    <col min="4" max="4" width="10.83203125" style="33"/>
    <col min="5" max="5" width="14.6640625" style="33" bestFit="1" customWidth="1"/>
    <col min="7" max="16384" width="10.83203125" style="1"/>
  </cols>
  <sheetData>
    <row r="1" spans="1:7" s="78" customFormat="1" x14ac:dyDescent="0.2">
      <c r="A1" s="78" t="s">
        <v>1377</v>
      </c>
      <c r="B1" s="78" t="s">
        <v>1331</v>
      </c>
      <c r="C1" s="79" t="s">
        <v>1448</v>
      </c>
      <c r="D1" s="78" t="s">
        <v>1447</v>
      </c>
      <c r="E1" s="78" t="s">
        <v>1449</v>
      </c>
    </row>
    <row r="2" spans="1:7" s="17" customFormat="1" x14ac:dyDescent="0.2">
      <c r="A2" t="s">
        <v>667</v>
      </c>
      <c r="B2" t="s">
        <v>208</v>
      </c>
      <c r="C2" s="71" t="str">
        <f>VLOOKUP(A2,Classification!$A:$D,2,FALSE)</f>
        <v>T</v>
      </c>
      <c r="D2" s="33" t="str">
        <f>VLOOKUP(B2,Classification!$A:$D,2,FALSE)</f>
        <v>A</v>
      </c>
      <c r="E2" s="33" t="str">
        <f t="shared" ref="E2:E65" si="0">IF(C2=D2,"Ok","Different Classes")</f>
        <v>Different Classes</v>
      </c>
      <c r="F2"/>
      <c r="G2" s="1"/>
    </row>
    <row r="3" spans="1:7" x14ac:dyDescent="0.2">
      <c r="A3" t="s">
        <v>652</v>
      </c>
      <c r="B3" t="s">
        <v>209</v>
      </c>
      <c r="C3" s="71" t="str">
        <f>VLOOKUP(A3,Classification!$A:$D,2,FALSE)</f>
        <v>T</v>
      </c>
      <c r="D3" s="33" t="str">
        <f>VLOOKUP(B3,Classification!$A:$D,2,FALSE)</f>
        <v>A</v>
      </c>
      <c r="E3" s="33" t="str">
        <f t="shared" si="0"/>
        <v>Different Classes</v>
      </c>
    </row>
    <row r="4" spans="1:7" x14ac:dyDescent="0.2">
      <c r="A4" t="s">
        <v>671</v>
      </c>
      <c r="B4" t="s">
        <v>341</v>
      </c>
      <c r="C4" s="71" t="str">
        <f>VLOOKUP(A4,Classification!$A:$D,2,FALSE)</f>
        <v>T</v>
      </c>
      <c r="D4" s="33" t="str">
        <f>VLOOKUP(B4,Classification!$A:$D,2,FALSE)</f>
        <v>A</v>
      </c>
      <c r="E4" s="33" t="str">
        <f t="shared" si="0"/>
        <v>Different Classes</v>
      </c>
    </row>
    <row r="5" spans="1:7" x14ac:dyDescent="0.2">
      <c r="A5" t="s">
        <v>660</v>
      </c>
      <c r="B5" t="s">
        <v>1106</v>
      </c>
      <c r="C5" s="71" t="str">
        <f>VLOOKUP(A5,Classification!$A:$D,2,FALSE)</f>
        <v>T</v>
      </c>
      <c r="D5" s="33" t="str">
        <f>VLOOKUP(B5,Classification!$A:$D,2,FALSE)</f>
        <v>A</v>
      </c>
      <c r="E5" s="33" t="str">
        <f t="shared" si="0"/>
        <v>Different Classes</v>
      </c>
    </row>
    <row r="6" spans="1:7" x14ac:dyDescent="0.2">
      <c r="A6" t="s">
        <v>680</v>
      </c>
      <c r="B6" t="s">
        <v>352</v>
      </c>
      <c r="C6" s="71" t="str">
        <f>VLOOKUP(A6,Classification!$A:$D,2,FALSE)</f>
        <v>O</v>
      </c>
      <c r="D6" s="33" t="str">
        <f>VLOOKUP(B6,Classification!$A:$D,2,FALSE)</f>
        <v>A</v>
      </c>
      <c r="E6" s="33" t="str">
        <f t="shared" si="0"/>
        <v>Different Classes</v>
      </c>
    </row>
    <row r="7" spans="1:7" x14ac:dyDescent="0.2">
      <c r="A7" t="s">
        <v>655</v>
      </c>
      <c r="B7" t="s">
        <v>352</v>
      </c>
      <c r="C7" s="71" t="str">
        <f>VLOOKUP(A7,Classification!$A:$D,2,FALSE)</f>
        <v>T</v>
      </c>
      <c r="D7" s="33" t="str">
        <f>VLOOKUP(B7,Classification!$A:$D,2,FALSE)</f>
        <v>A</v>
      </c>
      <c r="E7" s="33" t="str">
        <f t="shared" si="0"/>
        <v>Different Classes</v>
      </c>
    </row>
    <row r="8" spans="1:7" x14ac:dyDescent="0.2">
      <c r="A8" t="s">
        <v>1126</v>
      </c>
      <c r="B8" t="s">
        <v>352</v>
      </c>
      <c r="C8" s="71" t="str">
        <f>VLOOKUP(A8,Classification!$A:$D,2,FALSE)</f>
        <v>T</v>
      </c>
      <c r="D8" s="33" t="str">
        <f>VLOOKUP(B8,Classification!$A:$D,2,FALSE)</f>
        <v>A</v>
      </c>
      <c r="E8" s="33" t="str">
        <f t="shared" si="0"/>
        <v>Different Classes</v>
      </c>
    </row>
    <row r="9" spans="1:7" x14ac:dyDescent="0.2">
      <c r="A9" t="s">
        <v>666</v>
      </c>
      <c r="B9" t="s">
        <v>352</v>
      </c>
      <c r="C9" s="71" t="str">
        <f>VLOOKUP(A9,Classification!$A:$D,2,FALSE)</f>
        <v>T</v>
      </c>
      <c r="D9" s="33" t="str">
        <f>VLOOKUP(B9,Classification!$A:$D,2,FALSE)</f>
        <v>A</v>
      </c>
      <c r="E9" s="33" t="str">
        <f t="shared" si="0"/>
        <v>Different Classes</v>
      </c>
    </row>
    <row r="10" spans="1:7" x14ac:dyDescent="0.2">
      <c r="A10" t="s">
        <v>662</v>
      </c>
      <c r="B10" t="s">
        <v>352</v>
      </c>
      <c r="C10" s="71" t="str">
        <f>VLOOKUP(A10,Classification!$A:$D,2,FALSE)</f>
        <v>T</v>
      </c>
      <c r="D10" s="33" t="str">
        <f>VLOOKUP(B10,Classification!$A:$D,2,FALSE)</f>
        <v>A</v>
      </c>
      <c r="E10" s="33" t="str">
        <f t="shared" si="0"/>
        <v>Different Classes</v>
      </c>
    </row>
    <row r="11" spans="1:7" x14ac:dyDescent="0.2">
      <c r="A11" t="s">
        <v>674</v>
      </c>
      <c r="B11" t="s">
        <v>352</v>
      </c>
      <c r="C11" s="71" t="str">
        <f>VLOOKUP(A11,Classification!$A:$D,2,FALSE)</f>
        <v>T</v>
      </c>
      <c r="D11" s="33" t="str">
        <f>VLOOKUP(B11,Classification!$A:$D,2,FALSE)</f>
        <v>A</v>
      </c>
      <c r="E11" s="33" t="str">
        <f t="shared" si="0"/>
        <v>Different Classes</v>
      </c>
    </row>
    <row r="12" spans="1:7" x14ac:dyDescent="0.2">
      <c r="A12" t="s">
        <v>656</v>
      </c>
      <c r="B12" t="s">
        <v>352</v>
      </c>
      <c r="C12" s="71" t="str">
        <f>VLOOKUP(A12,Classification!$A:$D,2,FALSE)</f>
        <v>T</v>
      </c>
      <c r="D12" s="33" t="str">
        <f>VLOOKUP(B12,Classification!$A:$D,2,FALSE)</f>
        <v>A</v>
      </c>
      <c r="E12" s="33" t="str">
        <f t="shared" si="0"/>
        <v>Different Classes</v>
      </c>
    </row>
    <row r="13" spans="1:7" x14ac:dyDescent="0.2">
      <c r="A13" t="s">
        <v>658</v>
      </c>
      <c r="B13" t="s">
        <v>352</v>
      </c>
      <c r="C13" s="71" t="str">
        <f>VLOOKUP(A13,Classification!$A:$D,2,FALSE)</f>
        <v>T</v>
      </c>
      <c r="D13" s="33" t="str">
        <f>VLOOKUP(B13,Classification!$A:$D,2,FALSE)</f>
        <v>A</v>
      </c>
      <c r="E13" s="33" t="str">
        <f t="shared" si="0"/>
        <v>Different Classes</v>
      </c>
    </row>
    <row r="14" spans="1:7" x14ac:dyDescent="0.2">
      <c r="A14" t="s">
        <v>663</v>
      </c>
      <c r="B14" t="s">
        <v>352</v>
      </c>
      <c r="C14" s="71" t="str">
        <f>VLOOKUP(A14,Classification!$A:$D,2,FALSE)</f>
        <v>T</v>
      </c>
      <c r="D14" s="33" t="str">
        <f>VLOOKUP(B14,Classification!$A:$D,2,FALSE)</f>
        <v>A</v>
      </c>
      <c r="E14" s="33" t="str">
        <f t="shared" si="0"/>
        <v>Different Classes</v>
      </c>
    </row>
    <row r="15" spans="1:7" x14ac:dyDescent="0.2">
      <c r="A15" t="s">
        <v>664</v>
      </c>
      <c r="B15" t="s">
        <v>352</v>
      </c>
      <c r="C15" s="71" t="str">
        <f>VLOOKUP(A15,Classification!$A:$D,2,FALSE)</f>
        <v>T</v>
      </c>
      <c r="D15" s="33" t="str">
        <f>VLOOKUP(B15,Classification!$A:$D,2,FALSE)</f>
        <v>A</v>
      </c>
      <c r="E15" s="33" t="str">
        <f t="shared" si="0"/>
        <v>Different Classes</v>
      </c>
    </row>
    <row r="16" spans="1:7" x14ac:dyDescent="0.2">
      <c r="A16" t="s">
        <v>665</v>
      </c>
      <c r="B16" t="s">
        <v>352</v>
      </c>
      <c r="C16" s="71" t="str">
        <f>VLOOKUP(A16,Classification!$A:$D,2,FALSE)</f>
        <v>T</v>
      </c>
      <c r="D16" s="33" t="str">
        <f>VLOOKUP(B16,Classification!$A:$D,2,FALSE)</f>
        <v>A</v>
      </c>
      <c r="E16" s="33" t="str">
        <f t="shared" si="0"/>
        <v>Different Classes</v>
      </c>
    </row>
    <row r="17" spans="1:6" x14ac:dyDescent="0.2">
      <c r="A17" t="s">
        <v>675</v>
      </c>
      <c r="B17" t="s">
        <v>352</v>
      </c>
      <c r="C17" s="71" t="str">
        <f>VLOOKUP(A17,Classification!$A:$D,2,FALSE)</f>
        <v>T</v>
      </c>
      <c r="D17" s="33" t="str">
        <f>VLOOKUP(B17,Classification!$A:$D,2,FALSE)</f>
        <v>A</v>
      </c>
      <c r="E17" s="33" t="str">
        <f t="shared" si="0"/>
        <v>Different Classes</v>
      </c>
    </row>
    <row r="18" spans="1:6" x14ac:dyDescent="0.2">
      <c r="A18" t="s">
        <v>670</v>
      </c>
      <c r="B18" t="s">
        <v>352</v>
      </c>
      <c r="C18" s="71" t="str">
        <f>VLOOKUP(A18,Classification!$A:$D,2,FALSE)</f>
        <v>T</v>
      </c>
      <c r="D18" s="33" t="str">
        <f>VLOOKUP(B18,Classification!$A:$D,2,FALSE)</f>
        <v>A</v>
      </c>
      <c r="E18" s="33" t="str">
        <f t="shared" si="0"/>
        <v>Different Classes</v>
      </c>
    </row>
    <row r="19" spans="1:6" x14ac:dyDescent="0.2">
      <c r="A19" t="s">
        <v>673</v>
      </c>
      <c r="B19" t="s">
        <v>352</v>
      </c>
      <c r="C19" s="71" t="str">
        <f>VLOOKUP(A19,Classification!$A:$D,2,FALSE)</f>
        <v>T</v>
      </c>
      <c r="D19" s="33" t="str">
        <f>VLOOKUP(B19,Classification!$A:$D,2,FALSE)</f>
        <v>A</v>
      </c>
      <c r="E19" s="33" t="str">
        <f t="shared" si="0"/>
        <v>Different Classes</v>
      </c>
    </row>
    <row r="20" spans="1:6" x14ac:dyDescent="0.2">
      <c r="A20" t="s">
        <v>659</v>
      </c>
      <c r="B20" t="s">
        <v>352</v>
      </c>
      <c r="C20" s="71" t="str">
        <f>VLOOKUP(A20,Classification!$A:$D,2,FALSE)</f>
        <v>T</v>
      </c>
      <c r="D20" s="33" t="str">
        <f>VLOOKUP(B20,Classification!$A:$D,2,FALSE)</f>
        <v>A</v>
      </c>
      <c r="E20" s="33" t="str">
        <f t="shared" si="0"/>
        <v>Different Classes</v>
      </c>
    </row>
    <row r="21" spans="1:6" x14ac:dyDescent="0.2">
      <c r="A21" t="s">
        <v>657</v>
      </c>
      <c r="B21" t="s">
        <v>352</v>
      </c>
      <c r="C21" s="71" t="str">
        <f>VLOOKUP(A21,Classification!$A:$D,2,FALSE)</f>
        <v>T</v>
      </c>
      <c r="D21" s="33" t="str">
        <f>VLOOKUP(B21,Classification!$A:$D,2,FALSE)</f>
        <v>A</v>
      </c>
      <c r="E21" s="33" t="str">
        <f t="shared" si="0"/>
        <v>Different Classes</v>
      </c>
    </row>
    <row r="22" spans="1:6" x14ac:dyDescent="0.2">
      <c r="A22" t="s">
        <v>1406</v>
      </c>
      <c r="B22" t="s">
        <v>213</v>
      </c>
      <c r="C22" s="71" t="str">
        <f>VLOOKUP(A22,Classification!$A:$D,2,FALSE)</f>
        <v>B2</v>
      </c>
      <c r="D22" s="33" t="str">
        <f>VLOOKUP(B22,Classification!$A:$D,2,FALSE)</f>
        <v>B1</v>
      </c>
      <c r="E22" s="33" t="str">
        <f t="shared" si="0"/>
        <v>Different Classes</v>
      </c>
    </row>
    <row r="23" spans="1:6" x14ac:dyDescent="0.2">
      <c r="A23" t="s">
        <v>1416</v>
      </c>
      <c r="B23" t="s">
        <v>213</v>
      </c>
      <c r="C23" s="71" t="str">
        <f>VLOOKUP(A23,Classification!$A:$D,2,FALSE)</f>
        <v>B2</v>
      </c>
      <c r="D23" s="33" t="str">
        <f>VLOOKUP(B23,Classification!$A:$D,2,FALSE)</f>
        <v>B1</v>
      </c>
      <c r="E23" s="33" t="str">
        <f t="shared" si="0"/>
        <v>Different Classes</v>
      </c>
    </row>
    <row r="24" spans="1:6" x14ac:dyDescent="0.2">
      <c r="A24" t="s">
        <v>1421</v>
      </c>
      <c r="B24" t="s">
        <v>213</v>
      </c>
      <c r="C24" s="71" t="str">
        <f>VLOOKUP(A24,Classification!$A:$D,2,FALSE)</f>
        <v>B2</v>
      </c>
      <c r="D24" s="33" t="str">
        <f>VLOOKUP(B24,Classification!$A:$D,2,FALSE)</f>
        <v>B1</v>
      </c>
      <c r="E24" s="33" t="str">
        <f t="shared" si="0"/>
        <v>Different Classes</v>
      </c>
    </row>
    <row r="25" spans="1:6" x14ac:dyDescent="0.2">
      <c r="A25" t="s">
        <v>1414</v>
      </c>
      <c r="B25" t="s">
        <v>213</v>
      </c>
      <c r="C25" s="71" t="str">
        <f>VLOOKUP(A25,Classification!$A:$D,2,FALSE)</f>
        <v>B2</v>
      </c>
      <c r="D25" s="33" t="str">
        <f>VLOOKUP(B25,Classification!$A:$D,2,FALSE)</f>
        <v>B1</v>
      </c>
      <c r="E25" s="33" t="str">
        <f t="shared" si="0"/>
        <v>Different Classes</v>
      </c>
    </row>
    <row r="26" spans="1:6" x14ac:dyDescent="0.2">
      <c r="A26" t="s">
        <v>1412</v>
      </c>
      <c r="B26" t="s">
        <v>213</v>
      </c>
      <c r="C26" s="71" t="str">
        <f>VLOOKUP(A26,Classification!$A:$D,2,FALSE)</f>
        <v>B2</v>
      </c>
      <c r="D26" s="33" t="str">
        <f>VLOOKUP(B26,Classification!$A:$D,2,FALSE)</f>
        <v>B1</v>
      </c>
      <c r="E26" s="33" t="str">
        <f t="shared" si="0"/>
        <v>Different Classes</v>
      </c>
      <c r="F26" s="17"/>
    </row>
    <row r="27" spans="1:6" x14ac:dyDescent="0.2">
      <c r="A27" t="s">
        <v>1403</v>
      </c>
      <c r="B27" t="s">
        <v>213</v>
      </c>
      <c r="C27" s="71" t="str">
        <f>VLOOKUP(A27,Classification!$A:$D,2,FALSE)</f>
        <v>B2</v>
      </c>
      <c r="D27" s="33" t="str">
        <f>VLOOKUP(B27,Classification!$A:$D,2,FALSE)</f>
        <v>B1</v>
      </c>
      <c r="E27" s="33" t="str">
        <f t="shared" si="0"/>
        <v>Different Classes</v>
      </c>
    </row>
    <row r="28" spans="1:6" x14ac:dyDescent="0.2">
      <c r="A28" t="s">
        <v>1410</v>
      </c>
      <c r="B28" t="s">
        <v>213</v>
      </c>
      <c r="C28" s="71" t="str">
        <f>VLOOKUP(A28,Classification!$A:$D,2,FALSE)</f>
        <v>B2</v>
      </c>
      <c r="D28" s="33" t="str">
        <f>VLOOKUP(B28,Classification!$A:$D,2,FALSE)</f>
        <v>B1</v>
      </c>
      <c r="E28" s="33" t="str">
        <f t="shared" si="0"/>
        <v>Different Classes</v>
      </c>
    </row>
    <row r="29" spans="1:6" x14ac:dyDescent="0.2">
      <c r="A29" t="s">
        <v>1404</v>
      </c>
      <c r="B29" t="s">
        <v>213</v>
      </c>
      <c r="C29" s="71" t="str">
        <f>VLOOKUP(A29,Classification!$A:$D,2,FALSE)</f>
        <v>B2</v>
      </c>
      <c r="D29" s="33" t="str">
        <f>VLOOKUP(B29,Classification!$A:$D,2,FALSE)</f>
        <v>B1</v>
      </c>
      <c r="E29" s="33" t="str">
        <f t="shared" si="0"/>
        <v>Different Classes</v>
      </c>
    </row>
    <row r="30" spans="1:6" x14ac:dyDescent="0.2">
      <c r="A30" t="s">
        <v>1405</v>
      </c>
      <c r="B30" t="s">
        <v>213</v>
      </c>
      <c r="C30" s="71" t="str">
        <f>VLOOKUP(A30,Classification!$A:$D,2,FALSE)</f>
        <v>B2</v>
      </c>
      <c r="D30" s="33" t="str">
        <f>VLOOKUP(B30,Classification!$A:$D,2,FALSE)</f>
        <v>B1</v>
      </c>
      <c r="E30" s="33" t="str">
        <f t="shared" si="0"/>
        <v>Different Classes</v>
      </c>
    </row>
    <row r="31" spans="1:6" x14ac:dyDescent="0.2">
      <c r="A31" t="s">
        <v>1409</v>
      </c>
      <c r="B31" t="s">
        <v>213</v>
      </c>
      <c r="C31" s="71" t="str">
        <f>VLOOKUP(A31,Classification!$A:$D,2,FALSE)</f>
        <v>B2</v>
      </c>
      <c r="D31" s="33" t="str">
        <f>VLOOKUP(B31,Classification!$A:$D,2,FALSE)</f>
        <v>B1</v>
      </c>
      <c r="E31" s="33" t="str">
        <f t="shared" si="0"/>
        <v>Different Classes</v>
      </c>
    </row>
    <row r="32" spans="1:6" x14ac:dyDescent="0.2">
      <c r="A32" t="s">
        <v>1402</v>
      </c>
      <c r="B32" t="s">
        <v>213</v>
      </c>
      <c r="C32" s="71" t="str">
        <f>VLOOKUP(A32,Classification!$A:$D,2,FALSE)</f>
        <v>B2</v>
      </c>
      <c r="D32" s="33" t="str">
        <f>VLOOKUP(B32,Classification!$A:$D,2,FALSE)</f>
        <v>B1</v>
      </c>
      <c r="E32" s="33" t="str">
        <f t="shared" si="0"/>
        <v>Different Classes</v>
      </c>
    </row>
    <row r="33" spans="1:5" x14ac:dyDescent="0.2">
      <c r="A33" t="s">
        <v>1401</v>
      </c>
      <c r="B33" t="s">
        <v>213</v>
      </c>
      <c r="C33" s="71" t="str">
        <f>VLOOKUP(A33,Classification!$A:$D,2,FALSE)</f>
        <v>B2</v>
      </c>
      <c r="D33" s="33" t="str">
        <f>VLOOKUP(B33,Classification!$A:$D,2,FALSE)</f>
        <v>B1</v>
      </c>
      <c r="E33" s="33" t="str">
        <f t="shared" si="0"/>
        <v>Different Classes</v>
      </c>
    </row>
    <row r="34" spans="1:5" x14ac:dyDescent="0.2">
      <c r="A34" t="s">
        <v>1407</v>
      </c>
      <c r="B34" t="s">
        <v>213</v>
      </c>
      <c r="C34" s="71" t="str">
        <f>VLOOKUP(A34,Classification!$A:$D,2,FALSE)</f>
        <v>B2</v>
      </c>
      <c r="D34" s="33" t="str">
        <f>VLOOKUP(B34,Classification!$A:$D,2,FALSE)</f>
        <v>B1</v>
      </c>
      <c r="E34" s="33" t="str">
        <f t="shared" si="0"/>
        <v>Different Classes</v>
      </c>
    </row>
    <row r="35" spans="1:5" x14ac:dyDescent="0.2">
      <c r="A35" t="s">
        <v>1417</v>
      </c>
      <c r="B35" t="s">
        <v>213</v>
      </c>
      <c r="C35" s="71" t="str">
        <f>VLOOKUP(A35,Classification!$A:$D,2,FALSE)</f>
        <v>B2</v>
      </c>
      <c r="D35" s="33" t="str">
        <f>VLOOKUP(B35,Classification!$A:$D,2,FALSE)</f>
        <v>B1</v>
      </c>
      <c r="E35" s="33" t="str">
        <f t="shared" si="0"/>
        <v>Different Classes</v>
      </c>
    </row>
    <row r="36" spans="1:5" x14ac:dyDescent="0.2">
      <c r="A36" t="s">
        <v>1411</v>
      </c>
      <c r="B36" t="s">
        <v>213</v>
      </c>
      <c r="C36" s="71" t="str">
        <f>VLOOKUP(A36,Classification!$A:$D,2,FALSE)</f>
        <v>B2</v>
      </c>
      <c r="D36" s="33" t="str">
        <f>VLOOKUP(B36,Classification!$A:$D,2,FALSE)</f>
        <v>B1</v>
      </c>
      <c r="E36" s="33" t="str">
        <f t="shared" si="0"/>
        <v>Different Classes</v>
      </c>
    </row>
    <row r="37" spans="1:5" x14ac:dyDescent="0.2">
      <c r="A37" t="s">
        <v>1415</v>
      </c>
      <c r="B37" t="s">
        <v>213</v>
      </c>
      <c r="C37" s="71" t="str">
        <f>VLOOKUP(A37,Classification!$A:$D,2,FALSE)</f>
        <v>B2</v>
      </c>
      <c r="D37" s="33" t="str">
        <f>VLOOKUP(B37,Classification!$A:$D,2,FALSE)</f>
        <v>B1</v>
      </c>
      <c r="E37" s="33" t="str">
        <f t="shared" si="0"/>
        <v>Different Classes</v>
      </c>
    </row>
    <row r="38" spans="1:5" x14ac:dyDescent="0.2">
      <c r="A38" t="s">
        <v>630</v>
      </c>
      <c r="B38" t="s">
        <v>213</v>
      </c>
      <c r="C38" s="71" t="str">
        <f>VLOOKUP(A38,Classification!$A:$D,2,FALSE)</f>
        <v>B2</v>
      </c>
      <c r="D38" s="33" t="str">
        <f>VLOOKUP(B38,Classification!$A:$D,2,FALSE)</f>
        <v>B1</v>
      </c>
      <c r="E38" s="33" t="str">
        <f t="shared" si="0"/>
        <v>Different Classes</v>
      </c>
    </row>
    <row r="39" spans="1:5" x14ac:dyDescent="0.2">
      <c r="A39" t="s">
        <v>1413</v>
      </c>
      <c r="B39" t="s">
        <v>213</v>
      </c>
      <c r="C39" s="71" t="str">
        <f>VLOOKUP(A39,Classification!$A:$D,2,FALSE)</f>
        <v>B2</v>
      </c>
      <c r="D39" s="33" t="str">
        <f>VLOOKUP(B39,Classification!$A:$D,2,FALSE)</f>
        <v>B1</v>
      </c>
      <c r="E39" s="33" t="str">
        <f t="shared" si="0"/>
        <v>Different Classes</v>
      </c>
    </row>
    <row r="40" spans="1:5" x14ac:dyDescent="0.2">
      <c r="A40" t="s">
        <v>637</v>
      </c>
      <c r="B40" t="s">
        <v>213</v>
      </c>
      <c r="C40" s="71" t="str">
        <f>VLOOKUP(A40,Classification!$A:$D,2,FALSE)</f>
        <v>B2</v>
      </c>
      <c r="D40" s="33" t="str">
        <f>VLOOKUP(B40,Classification!$A:$D,2,FALSE)</f>
        <v>B1</v>
      </c>
      <c r="E40" s="33" t="str">
        <f t="shared" si="0"/>
        <v>Different Classes</v>
      </c>
    </row>
    <row r="41" spans="1:5" x14ac:dyDescent="0.2">
      <c r="A41" t="s">
        <v>1396</v>
      </c>
      <c r="B41" t="s">
        <v>213</v>
      </c>
      <c r="C41" s="71" t="str">
        <f>VLOOKUP(A41,Classification!$A:$D,2,FALSE)</f>
        <v>B2</v>
      </c>
      <c r="D41" s="33" t="str">
        <f>VLOOKUP(B41,Classification!$A:$D,2,FALSE)</f>
        <v>B1</v>
      </c>
      <c r="E41" s="33" t="str">
        <f t="shared" si="0"/>
        <v>Different Classes</v>
      </c>
    </row>
    <row r="42" spans="1:5" x14ac:dyDescent="0.2">
      <c r="A42" t="s">
        <v>1397</v>
      </c>
      <c r="B42" t="s">
        <v>213</v>
      </c>
      <c r="C42" s="71" t="str">
        <f>VLOOKUP(A42,Classification!$A:$D,2,FALSE)</f>
        <v>B2</v>
      </c>
      <c r="D42" s="33" t="str">
        <f>VLOOKUP(B42,Classification!$A:$D,2,FALSE)</f>
        <v>B1</v>
      </c>
      <c r="E42" s="33" t="str">
        <f t="shared" si="0"/>
        <v>Different Classes</v>
      </c>
    </row>
    <row r="43" spans="1:5" x14ac:dyDescent="0.2">
      <c r="A43" t="s">
        <v>1398</v>
      </c>
      <c r="B43" t="s">
        <v>213</v>
      </c>
      <c r="C43" s="71" t="str">
        <f>VLOOKUP(A43,Classification!$A:$D,2,FALSE)</f>
        <v>B2</v>
      </c>
      <c r="D43" s="33" t="str">
        <f>VLOOKUP(B43,Classification!$A:$D,2,FALSE)</f>
        <v>B1</v>
      </c>
      <c r="E43" s="33" t="str">
        <f t="shared" si="0"/>
        <v>Different Classes</v>
      </c>
    </row>
    <row r="44" spans="1:5" x14ac:dyDescent="0.2">
      <c r="A44" t="s">
        <v>612</v>
      </c>
      <c r="B44" t="s">
        <v>213</v>
      </c>
      <c r="C44" s="71" t="str">
        <f>VLOOKUP(A44,Classification!$A:$D,2,FALSE)</f>
        <v>B2</v>
      </c>
      <c r="D44" s="33" t="str">
        <f>VLOOKUP(B44,Classification!$A:$D,2,FALSE)</f>
        <v>B1</v>
      </c>
      <c r="E44" s="33" t="str">
        <f t="shared" si="0"/>
        <v>Different Classes</v>
      </c>
    </row>
    <row r="45" spans="1:5" x14ac:dyDescent="0.2">
      <c r="A45" t="s">
        <v>613</v>
      </c>
      <c r="B45" t="s">
        <v>213</v>
      </c>
      <c r="C45" s="71" t="str">
        <f>VLOOKUP(A45,Classification!$A:$D,2,FALSE)</f>
        <v>B2</v>
      </c>
      <c r="D45" s="33" t="str">
        <f>VLOOKUP(B45,Classification!$A:$D,2,FALSE)</f>
        <v>B1</v>
      </c>
      <c r="E45" s="33" t="str">
        <f t="shared" si="0"/>
        <v>Different Classes</v>
      </c>
    </row>
    <row r="46" spans="1:5" x14ac:dyDescent="0.2">
      <c r="A46" t="s">
        <v>1420</v>
      </c>
      <c r="B46" t="s">
        <v>213</v>
      </c>
      <c r="C46" s="71" t="str">
        <f>VLOOKUP(A46,Classification!$A:$D,2,FALSE)</f>
        <v>B2</v>
      </c>
      <c r="D46" s="33" t="str">
        <f>VLOOKUP(B46,Classification!$A:$D,2,FALSE)</f>
        <v>B1</v>
      </c>
      <c r="E46" s="33" t="str">
        <f t="shared" si="0"/>
        <v>Different Classes</v>
      </c>
    </row>
    <row r="47" spans="1:5" x14ac:dyDescent="0.2">
      <c r="A47" t="s">
        <v>1419</v>
      </c>
      <c r="B47" t="s">
        <v>213</v>
      </c>
      <c r="C47" s="71" t="str">
        <f>VLOOKUP(A47,Classification!$A:$D,2,FALSE)</f>
        <v>B2</v>
      </c>
      <c r="D47" s="33" t="str">
        <f>VLOOKUP(B47,Classification!$A:$D,2,FALSE)</f>
        <v>B1</v>
      </c>
      <c r="E47" s="33" t="str">
        <f t="shared" si="0"/>
        <v>Different Classes</v>
      </c>
    </row>
    <row r="48" spans="1:5" x14ac:dyDescent="0.2">
      <c r="A48" t="s">
        <v>1400</v>
      </c>
      <c r="B48" t="s">
        <v>213</v>
      </c>
      <c r="C48" s="71" t="str">
        <f>VLOOKUP(A48,Classification!$A:$D,2,FALSE)</f>
        <v>B2</v>
      </c>
      <c r="D48" s="33" t="str">
        <f>VLOOKUP(B48,Classification!$A:$D,2,FALSE)</f>
        <v>B1</v>
      </c>
      <c r="E48" s="33" t="str">
        <f t="shared" si="0"/>
        <v>Different Classes</v>
      </c>
    </row>
    <row r="49" spans="1:5" x14ac:dyDescent="0.2">
      <c r="A49" t="s">
        <v>1418</v>
      </c>
      <c r="B49" t="s">
        <v>213</v>
      </c>
      <c r="C49" s="71" t="str">
        <f>VLOOKUP(A49,Classification!$A:$D,2,FALSE)</f>
        <v>B2</v>
      </c>
      <c r="D49" s="33" t="str">
        <f>VLOOKUP(B49,Classification!$A:$D,2,FALSE)</f>
        <v>B1</v>
      </c>
      <c r="E49" s="33" t="str">
        <f t="shared" si="0"/>
        <v>Different Classes</v>
      </c>
    </row>
    <row r="50" spans="1:5" x14ac:dyDescent="0.2">
      <c r="A50" t="s">
        <v>1399</v>
      </c>
      <c r="B50" t="s">
        <v>213</v>
      </c>
      <c r="C50" s="71" t="str">
        <f>VLOOKUP(A50,Classification!$A:$D,2,FALSE)</f>
        <v>B2</v>
      </c>
      <c r="D50" s="33" t="str">
        <f>VLOOKUP(B50,Classification!$A:$D,2,FALSE)</f>
        <v>B1</v>
      </c>
      <c r="E50" s="33" t="str">
        <f t="shared" si="0"/>
        <v>Different Classes</v>
      </c>
    </row>
    <row r="51" spans="1:5" x14ac:dyDescent="0.2">
      <c r="A51" t="s">
        <v>608</v>
      </c>
      <c r="B51" t="s">
        <v>213</v>
      </c>
      <c r="C51" s="71" t="str">
        <f>VLOOKUP(A51,Classification!$A:$D,2,FALSE)</f>
        <v>B2</v>
      </c>
      <c r="D51" s="33" t="str">
        <f>VLOOKUP(B51,Classification!$A:$D,2,FALSE)</f>
        <v>B1</v>
      </c>
      <c r="E51" s="33" t="str">
        <f t="shared" si="0"/>
        <v>Different Classes</v>
      </c>
    </row>
    <row r="52" spans="1:5" x14ac:dyDescent="0.2">
      <c r="A52" t="s">
        <v>1408</v>
      </c>
      <c r="B52" t="s">
        <v>213</v>
      </c>
      <c r="C52" s="71" t="str">
        <f>VLOOKUP(A52,Classification!$A:$D,2,FALSE)</f>
        <v>B2</v>
      </c>
      <c r="D52" s="33" t="str">
        <f>VLOOKUP(B52,Classification!$A:$D,2,FALSE)</f>
        <v>B1</v>
      </c>
      <c r="E52" s="33" t="str">
        <f t="shared" si="0"/>
        <v>Different Classes</v>
      </c>
    </row>
    <row r="53" spans="1:5" x14ac:dyDescent="0.2">
      <c r="A53" t="s">
        <v>676</v>
      </c>
      <c r="B53" t="s">
        <v>1391</v>
      </c>
      <c r="C53" s="71" t="str">
        <f>VLOOKUP(A53,Classification!$A:$D,2,FALSE)</f>
        <v>O</v>
      </c>
      <c r="D53" s="33" t="str">
        <f>VLOOKUP(B53,Classification!$A:$D,2,FALSE)</f>
        <v>A</v>
      </c>
      <c r="E53" s="33" t="str">
        <f t="shared" si="0"/>
        <v>Different Classes</v>
      </c>
    </row>
    <row r="54" spans="1:5" x14ac:dyDescent="0.2">
      <c r="A54" t="s">
        <v>679</v>
      </c>
      <c r="B54" t="s">
        <v>1391</v>
      </c>
      <c r="C54" s="71" t="str">
        <f>VLOOKUP(A54,Classification!$A:$D,2,FALSE)</f>
        <v>O</v>
      </c>
      <c r="D54" s="33" t="str">
        <f>VLOOKUP(B54,Classification!$A:$D,2,FALSE)</f>
        <v>A</v>
      </c>
      <c r="E54" s="33" t="str">
        <f t="shared" si="0"/>
        <v>Different Classes</v>
      </c>
    </row>
    <row r="55" spans="1:5" x14ac:dyDescent="0.2">
      <c r="A55" t="s">
        <v>611</v>
      </c>
      <c r="B55" t="s">
        <v>206</v>
      </c>
      <c r="C55" s="71" t="str">
        <f>VLOOKUP(A55,Classification!$A:$D,2,FALSE)</f>
        <v>B2</v>
      </c>
      <c r="D55" s="33" t="str">
        <f>VLOOKUP(B55,Classification!$A:$D,2,FALSE)</f>
        <v>B1</v>
      </c>
      <c r="E55" s="33" t="str">
        <f t="shared" si="0"/>
        <v>Different Classes</v>
      </c>
    </row>
    <row r="56" spans="1:5" x14ac:dyDescent="0.2">
      <c r="A56" t="s">
        <v>614</v>
      </c>
      <c r="B56" t="s">
        <v>206</v>
      </c>
      <c r="C56" s="71" t="str">
        <f>VLOOKUP(A56,Classification!$A:$D,2,FALSE)</f>
        <v>B2</v>
      </c>
      <c r="D56" s="33" t="str">
        <f>VLOOKUP(B56,Classification!$A:$D,2,FALSE)</f>
        <v>B1</v>
      </c>
      <c r="E56" s="33" t="str">
        <f t="shared" si="0"/>
        <v>Different Classes</v>
      </c>
    </row>
    <row r="57" spans="1:5" x14ac:dyDescent="0.2">
      <c r="A57" t="s">
        <v>681</v>
      </c>
      <c r="B57" t="s">
        <v>223</v>
      </c>
      <c r="C57" s="71" t="str">
        <f>VLOOKUP(A57,Classification!$A:$D,2,FALSE)</f>
        <v>O</v>
      </c>
      <c r="D57" s="33" t="str">
        <f>VLOOKUP(B57,Classification!$A:$D,2,FALSE)</f>
        <v>C</v>
      </c>
      <c r="E57" s="33" t="str">
        <f t="shared" si="0"/>
        <v>Different Classes</v>
      </c>
    </row>
    <row r="58" spans="1:5" x14ac:dyDescent="0.2">
      <c r="A58" t="s">
        <v>661</v>
      </c>
      <c r="B58" t="s">
        <v>1114</v>
      </c>
      <c r="C58" s="71" t="str">
        <f>VLOOKUP(A58,Classification!$A:$D,2,FALSE)</f>
        <v>T</v>
      </c>
      <c r="D58" s="33" t="str">
        <f>VLOOKUP(B58,Classification!$A:$D,2,FALSE)</f>
        <v>A</v>
      </c>
      <c r="E58" s="33" t="str">
        <f t="shared" si="0"/>
        <v>Different Classes</v>
      </c>
    </row>
    <row r="59" spans="1:5" x14ac:dyDescent="0.2">
      <c r="A59" t="s">
        <v>669</v>
      </c>
      <c r="B59" t="s">
        <v>533</v>
      </c>
      <c r="C59" s="71" t="str">
        <f>VLOOKUP(A59,Classification!$A:$D,2,FALSE)</f>
        <v>T</v>
      </c>
      <c r="D59" s="33" t="str">
        <f>VLOOKUP(B59,Classification!$A:$D,2,FALSE)</f>
        <v>A</v>
      </c>
      <c r="E59" s="33" t="str">
        <f t="shared" si="0"/>
        <v>Different Classes</v>
      </c>
    </row>
    <row r="60" spans="1:5" x14ac:dyDescent="0.2">
      <c r="A60" t="s">
        <v>654</v>
      </c>
      <c r="B60" t="s">
        <v>1395</v>
      </c>
      <c r="C60" s="71" t="str">
        <f>VLOOKUP(A60,Classification!$A:$D,2,FALSE)</f>
        <v>T</v>
      </c>
      <c r="D60" s="33" t="str">
        <f>VLOOKUP(B60,Classification!$A:$D,2,FALSE)</f>
        <v>A</v>
      </c>
      <c r="E60" s="33" t="str">
        <f t="shared" si="0"/>
        <v>Different Classes</v>
      </c>
    </row>
    <row r="61" spans="1:5" x14ac:dyDescent="0.2">
      <c r="A61" t="s">
        <v>653</v>
      </c>
      <c r="B61" t="s">
        <v>539</v>
      </c>
      <c r="C61" s="71" t="str">
        <f>VLOOKUP(A61,Classification!$A:$D,2,FALSE)</f>
        <v>T</v>
      </c>
      <c r="D61" s="33" t="str">
        <f>VLOOKUP(B61,Classification!$A:$D,2,FALSE)</f>
        <v>A</v>
      </c>
      <c r="E61" s="33" t="str">
        <f t="shared" si="0"/>
        <v>Different Classes</v>
      </c>
    </row>
    <row r="62" spans="1:5" x14ac:dyDescent="0.2">
      <c r="A62" t="s">
        <v>677</v>
      </c>
      <c r="B62" t="s">
        <v>546</v>
      </c>
      <c r="C62" s="71" t="str">
        <f>VLOOKUP(A62,Classification!$A:$D,2,FALSE)</f>
        <v>O</v>
      </c>
      <c r="D62" s="33" t="str">
        <f>VLOOKUP(B62,Classification!$A:$D,2,FALSE)</f>
        <v>A</v>
      </c>
      <c r="E62" s="33" t="str">
        <f t="shared" si="0"/>
        <v>Different Classes</v>
      </c>
    </row>
    <row r="63" spans="1:5" x14ac:dyDescent="0.2">
      <c r="A63" t="s">
        <v>651</v>
      </c>
      <c r="B63" t="s">
        <v>298</v>
      </c>
      <c r="C63" s="71" t="str">
        <f>VLOOKUP(A63,Classification!$A:$D,2,FALSE)</f>
        <v>T</v>
      </c>
      <c r="D63" s="33" t="str">
        <f>VLOOKUP(B63,Classification!$A:$D,2,FALSE)</f>
        <v>A</v>
      </c>
      <c r="E63" s="33" t="str">
        <f t="shared" si="0"/>
        <v>Different Classes</v>
      </c>
    </row>
    <row r="64" spans="1:5" x14ac:dyDescent="0.2">
      <c r="A64" t="s">
        <v>672</v>
      </c>
      <c r="B64" t="s">
        <v>1120</v>
      </c>
      <c r="C64" s="71" t="str">
        <f>VLOOKUP(A64,Classification!$A:$D,2,FALSE)</f>
        <v>T</v>
      </c>
      <c r="D64" s="33" t="str">
        <f>VLOOKUP(B64,Classification!$A:$D,2,FALSE)</f>
        <v>A</v>
      </c>
      <c r="E64" s="33" t="str">
        <f t="shared" si="0"/>
        <v>Different Classes</v>
      </c>
    </row>
    <row r="65" spans="1:5" x14ac:dyDescent="0.2">
      <c r="A65" t="s">
        <v>325</v>
      </c>
      <c r="B65" t="s">
        <v>208</v>
      </c>
      <c r="C65" s="71" t="str">
        <f>VLOOKUP(A65,Classification!$A:$D,2,FALSE)</f>
        <v>A</v>
      </c>
      <c r="D65" s="33" t="str">
        <f>VLOOKUP(B65,Classification!$A:$D,2,FALSE)</f>
        <v>A</v>
      </c>
      <c r="E65" s="33" t="str">
        <f t="shared" si="0"/>
        <v>Ok</v>
      </c>
    </row>
    <row r="66" spans="1:5" x14ac:dyDescent="0.2">
      <c r="A66" t="s">
        <v>329</v>
      </c>
      <c r="B66" t="s">
        <v>208</v>
      </c>
      <c r="C66" s="71" t="str">
        <f>VLOOKUP(A66,Classification!$A:$D,2,FALSE)</f>
        <v>A</v>
      </c>
      <c r="D66" s="33" t="str">
        <f>VLOOKUP(B66,Classification!$A:$D,2,FALSE)</f>
        <v>A</v>
      </c>
      <c r="E66" s="33" t="str">
        <f t="shared" ref="E66:E129" si="1">IF(C66=D66,"Ok","Different Classes")</f>
        <v>Ok</v>
      </c>
    </row>
    <row r="67" spans="1:5" x14ac:dyDescent="0.2">
      <c r="A67" t="s">
        <v>324</v>
      </c>
      <c r="B67" t="s">
        <v>208</v>
      </c>
      <c r="C67" s="71" t="str">
        <f>VLOOKUP(A67,Classification!$A:$D,2,FALSE)</f>
        <v>A</v>
      </c>
      <c r="D67" s="33" t="str">
        <f>VLOOKUP(B67,Classification!$A:$D,2,FALSE)</f>
        <v>A</v>
      </c>
      <c r="E67" s="33" t="str">
        <f t="shared" si="1"/>
        <v>Ok</v>
      </c>
    </row>
    <row r="68" spans="1:5" x14ac:dyDescent="0.2">
      <c r="A68" t="s">
        <v>323</v>
      </c>
      <c r="B68" t="s">
        <v>208</v>
      </c>
      <c r="C68" s="71" t="str">
        <f>VLOOKUP(A68,Classification!$A:$D,2,FALSE)</f>
        <v>A</v>
      </c>
      <c r="D68" s="33" t="str">
        <f>VLOOKUP(B68,Classification!$A:$D,2,FALSE)</f>
        <v>A</v>
      </c>
      <c r="E68" s="33" t="str">
        <f t="shared" si="1"/>
        <v>Ok</v>
      </c>
    </row>
    <row r="69" spans="1:5" x14ac:dyDescent="0.2">
      <c r="A69" t="s">
        <v>208</v>
      </c>
      <c r="B69" t="s">
        <v>208</v>
      </c>
      <c r="C69" s="71" t="str">
        <f>VLOOKUP(A69,Classification!$A:$D,2,FALSE)</f>
        <v>A</v>
      </c>
      <c r="D69" s="33" t="str">
        <f>VLOOKUP(B69,Classification!$A:$D,2,FALSE)</f>
        <v>A</v>
      </c>
      <c r="E69" s="33" t="str">
        <f t="shared" si="1"/>
        <v>Ok</v>
      </c>
    </row>
    <row r="70" spans="1:5" x14ac:dyDescent="0.2">
      <c r="A70" t="s">
        <v>322</v>
      </c>
      <c r="B70" t="s">
        <v>208</v>
      </c>
      <c r="C70" s="71" t="str">
        <f>VLOOKUP(A70,Classification!$A:$D,2,FALSE)</f>
        <v>A</v>
      </c>
      <c r="D70" s="33" t="str">
        <f>VLOOKUP(B70,Classification!$A:$D,2,FALSE)</f>
        <v>A</v>
      </c>
      <c r="E70" s="33" t="str">
        <f t="shared" si="1"/>
        <v>Ok</v>
      </c>
    </row>
    <row r="71" spans="1:5" x14ac:dyDescent="0.2">
      <c r="A71" t="s">
        <v>349</v>
      </c>
      <c r="B71" t="s">
        <v>208</v>
      </c>
      <c r="C71" s="71" t="str">
        <f>VLOOKUP(A71,Classification!$A:$D,2,FALSE)</f>
        <v>A</v>
      </c>
      <c r="D71" s="33" t="str">
        <f>VLOOKUP(B71,Classification!$A:$D,2,FALSE)</f>
        <v>A</v>
      </c>
      <c r="E71" s="33" t="str">
        <f t="shared" si="1"/>
        <v>Ok</v>
      </c>
    </row>
    <row r="72" spans="1:5" x14ac:dyDescent="0.2">
      <c r="A72" t="s">
        <v>351</v>
      </c>
      <c r="B72" t="s">
        <v>208</v>
      </c>
      <c r="C72" s="71" t="str">
        <f>VLOOKUP(A72,Classification!$A:$D,2,FALSE)</f>
        <v>A</v>
      </c>
      <c r="D72" s="33" t="str">
        <f>VLOOKUP(B72,Classification!$A:$D,2,FALSE)</f>
        <v>A</v>
      </c>
      <c r="E72" s="33" t="str">
        <f t="shared" si="1"/>
        <v>Ok</v>
      </c>
    </row>
    <row r="73" spans="1:5" x14ac:dyDescent="0.2">
      <c r="A73" t="s">
        <v>586</v>
      </c>
      <c r="B73" t="s">
        <v>208</v>
      </c>
      <c r="C73" s="71" t="str">
        <f>VLOOKUP(A73,Classification!$A:$D,2,FALSE)</f>
        <v>A</v>
      </c>
      <c r="D73" s="33" t="str">
        <f>VLOOKUP(B73,Classification!$A:$D,2,FALSE)</f>
        <v>A</v>
      </c>
      <c r="E73" s="33" t="str">
        <f t="shared" si="1"/>
        <v>Ok</v>
      </c>
    </row>
    <row r="74" spans="1:5" x14ac:dyDescent="0.2">
      <c r="A74" t="s">
        <v>584</v>
      </c>
      <c r="B74" t="s">
        <v>208</v>
      </c>
      <c r="C74" s="71" t="str">
        <f>VLOOKUP(A74,Classification!$A:$D,2,FALSE)</f>
        <v>A</v>
      </c>
      <c r="D74" s="33" t="str">
        <f>VLOOKUP(B74,Classification!$A:$D,2,FALSE)</f>
        <v>A</v>
      </c>
      <c r="E74" s="33" t="str">
        <f t="shared" si="1"/>
        <v>Ok</v>
      </c>
    </row>
    <row r="75" spans="1:5" x14ac:dyDescent="0.2">
      <c r="A75" t="s">
        <v>583</v>
      </c>
      <c r="B75" t="s">
        <v>208</v>
      </c>
      <c r="C75" s="71" t="str">
        <f>VLOOKUP(A75,Classification!$A:$D,2,FALSE)</f>
        <v>A</v>
      </c>
      <c r="D75" s="33" t="str">
        <f>VLOOKUP(B75,Classification!$A:$D,2,FALSE)</f>
        <v>A</v>
      </c>
      <c r="E75" s="33" t="str">
        <f t="shared" si="1"/>
        <v>Ok</v>
      </c>
    </row>
    <row r="76" spans="1:5" x14ac:dyDescent="0.2">
      <c r="A76" t="s">
        <v>585</v>
      </c>
      <c r="B76" t="s">
        <v>208</v>
      </c>
      <c r="C76" s="71" t="str">
        <f>VLOOKUP(A76,Classification!$A:$D,2,FALSE)</f>
        <v>A</v>
      </c>
      <c r="D76" s="33" t="str">
        <f>VLOOKUP(B76,Classification!$A:$D,2,FALSE)</f>
        <v>A</v>
      </c>
      <c r="E76" s="33" t="str">
        <f t="shared" si="1"/>
        <v>Ok</v>
      </c>
    </row>
    <row r="77" spans="1:5" x14ac:dyDescent="0.2">
      <c r="A77" t="s">
        <v>414</v>
      </c>
      <c r="B77" t="s">
        <v>208</v>
      </c>
      <c r="C77" s="71" t="str">
        <f>VLOOKUP(A77,Classification!$A:$D,2,FALSE)</f>
        <v>A</v>
      </c>
      <c r="D77" s="33" t="str">
        <f>VLOOKUP(B77,Classification!$A:$D,2,FALSE)</f>
        <v>A</v>
      </c>
      <c r="E77" s="33" t="str">
        <f t="shared" si="1"/>
        <v>Ok</v>
      </c>
    </row>
    <row r="78" spans="1:5" x14ac:dyDescent="0.2">
      <c r="A78" t="s">
        <v>582</v>
      </c>
      <c r="B78" t="s">
        <v>208</v>
      </c>
      <c r="C78" s="71" t="str">
        <f>VLOOKUP(A78,Classification!$A:$D,2,FALSE)</f>
        <v>A</v>
      </c>
      <c r="D78" s="33" t="str">
        <f>VLOOKUP(B78,Classification!$A:$D,2,FALSE)</f>
        <v>A</v>
      </c>
      <c r="E78" s="33" t="str">
        <f t="shared" si="1"/>
        <v>Ok</v>
      </c>
    </row>
    <row r="79" spans="1:5" x14ac:dyDescent="0.2">
      <c r="A79" t="s">
        <v>587</v>
      </c>
      <c r="B79" t="s">
        <v>208</v>
      </c>
      <c r="C79" s="71" t="str">
        <f>VLOOKUP(A79,Classification!$A:$D,2,FALSE)</f>
        <v>A</v>
      </c>
      <c r="D79" s="33" t="str">
        <f>VLOOKUP(B79,Classification!$A:$D,2,FALSE)</f>
        <v>A</v>
      </c>
      <c r="E79" s="33" t="str">
        <f t="shared" si="1"/>
        <v>Ok</v>
      </c>
    </row>
    <row r="80" spans="1:5" x14ac:dyDescent="0.2">
      <c r="A80" t="s">
        <v>459</v>
      </c>
      <c r="B80" t="s">
        <v>208</v>
      </c>
      <c r="C80" s="71" t="str">
        <f>VLOOKUP(A80,Classification!$A:$D,2,FALSE)</f>
        <v>A</v>
      </c>
      <c r="D80" s="33" t="str">
        <f>VLOOKUP(B80,Classification!$A:$D,2,FALSE)</f>
        <v>A</v>
      </c>
      <c r="E80" s="33" t="str">
        <f t="shared" si="1"/>
        <v>Ok</v>
      </c>
    </row>
    <row r="81" spans="1:5" x14ac:dyDescent="0.2">
      <c r="A81" t="s">
        <v>331</v>
      </c>
      <c r="B81" t="s">
        <v>208</v>
      </c>
      <c r="C81" s="71" t="str">
        <f>VLOOKUP(A81,Classification!$A:$D,2,FALSE)</f>
        <v>A</v>
      </c>
      <c r="D81" s="33" t="str">
        <f>VLOOKUP(B81,Classification!$A:$D,2,FALSE)</f>
        <v>A</v>
      </c>
      <c r="E81" s="33" t="str">
        <f t="shared" si="1"/>
        <v>Ok</v>
      </c>
    </row>
    <row r="82" spans="1:5" x14ac:dyDescent="0.2">
      <c r="A82" t="s">
        <v>346</v>
      </c>
      <c r="B82" t="s">
        <v>208</v>
      </c>
      <c r="C82" s="71" t="str">
        <f>VLOOKUP(A82,Classification!$A:$D,2,FALSE)</f>
        <v>A</v>
      </c>
      <c r="D82" s="33" t="str">
        <f>VLOOKUP(B82,Classification!$A:$D,2,FALSE)</f>
        <v>A</v>
      </c>
      <c r="E82" s="33" t="str">
        <f t="shared" si="1"/>
        <v>Ok</v>
      </c>
    </row>
    <row r="83" spans="1:5" x14ac:dyDescent="0.2">
      <c r="A83" t="s">
        <v>421</v>
      </c>
      <c r="B83" t="s">
        <v>208</v>
      </c>
      <c r="C83" s="71" t="str">
        <f>VLOOKUP(A83,Classification!$A:$D,2,FALSE)</f>
        <v>A</v>
      </c>
      <c r="D83" s="33" t="str">
        <f>VLOOKUP(B83,Classification!$A:$D,2,FALSE)</f>
        <v>A</v>
      </c>
      <c r="E83" s="33" t="str">
        <f t="shared" si="1"/>
        <v>Ok</v>
      </c>
    </row>
    <row r="84" spans="1:5" x14ac:dyDescent="0.2">
      <c r="A84" t="s">
        <v>465</v>
      </c>
      <c r="B84" t="s">
        <v>209</v>
      </c>
      <c r="C84" s="71" t="str">
        <f>VLOOKUP(A84,Classification!$A:$D,2,FALSE)</f>
        <v>A</v>
      </c>
      <c r="D84" s="33" t="str">
        <f>VLOOKUP(B84,Classification!$A:$D,2,FALSE)</f>
        <v>A</v>
      </c>
      <c r="E84" s="33" t="str">
        <f t="shared" si="1"/>
        <v>Ok</v>
      </c>
    </row>
    <row r="85" spans="1:5" x14ac:dyDescent="0.2">
      <c r="A85" t="s">
        <v>424</v>
      </c>
      <c r="B85" t="s">
        <v>209</v>
      </c>
      <c r="C85" s="71" t="str">
        <f>VLOOKUP(A85,Classification!$A:$D,2,FALSE)</f>
        <v>A</v>
      </c>
      <c r="D85" s="33" t="str">
        <f>VLOOKUP(B85,Classification!$A:$D,2,FALSE)</f>
        <v>A</v>
      </c>
      <c r="E85" s="33" t="str">
        <f t="shared" si="1"/>
        <v>Ok</v>
      </c>
    </row>
    <row r="86" spans="1:5" x14ac:dyDescent="0.2">
      <c r="A86" t="s">
        <v>442</v>
      </c>
      <c r="B86" t="s">
        <v>209</v>
      </c>
      <c r="C86" s="71" t="str">
        <f>VLOOKUP(A86,Classification!$A:$D,2,FALSE)</f>
        <v>A</v>
      </c>
      <c r="D86" s="33" t="str">
        <f>VLOOKUP(B86,Classification!$A:$D,2,FALSE)</f>
        <v>A</v>
      </c>
      <c r="E86" s="33" t="str">
        <f t="shared" si="1"/>
        <v>Ok</v>
      </c>
    </row>
    <row r="87" spans="1:5" x14ac:dyDescent="0.2">
      <c r="A87" t="s">
        <v>327</v>
      </c>
      <c r="B87" t="s">
        <v>209</v>
      </c>
      <c r="C87" s="71" t="str">
        <f>VLOOKUP(A87,Classification!$A:$D,2,FALSE)</f>
        <v>A</v>
      </c>
      <c r="D87" s="33" t="str">
        <f>VLOOKUP(B87,Classification!$A:$D,2,FALSE)</f>
        <v>A</v>
      </c>
      <c r="E87" s="33" t="str">
        <f t="shared" si="1"/>
        <v>Ok</v>
      </c>
    </row>
    <row r="88" spans="1:5" x14ac:dyDescent="0.2">
      <c r="A88" t="s">
        <v>326</v>
      </c>
      <c r="B88" t="s">
        <v>209</v>
      </c>
      <c r="C88" s="71" t="str">
        <f>VLOOKUP(A88,Classification!$A:$D,2,FALSE)</f>
        <v>A</v>
      </c>
      <c r="D88" s="33" t="str">
        <f>VLOOKUP(B88,Classification!$A:$D,2,FALSE)</f>
        <v>A</v>
      </c>
      <c r="E88" s="33" t="str">
        <f t="shared" si="1"/>
        <v>Ok</v>
      </c>
    </row>
    <row r="89" spans="1:5" x14ac:dyDescent="0.2">
      <c r="A89" t="s">
        <v>209</v>
      </c>
      <c r="B89" t="s">
        <v>209</v>
      </c>
      <c r="C89" s="71" t="str">
        <f>VLOOKUP(A89,Classification!$A:$D,2,FALSE)</f>
        <v>A</v>
      </c>
      <c r="D89" s="33" t="str">
        <f>VLOOKUP(B89,Classification!$A:$D,2,FALSE)</f>
        <v>A</v>
      </c>
      <c r="E89" s="33" t="str">
        <f t="shared" si="1"/>
        <v>Ok</v>
      </c>
    </row>
    <row r="90" spans="1:5" x14ac:dyDescent="0.2">
      <c r="A90" t="s">
        <v>492</v>
      </c>
      <c r="B90" t="s">
        <v>333</v>
      </c>
      <c r="C90" s="71" t="str">
        <f>VLOOKUP(A90,Classification!$A:$D,2,FALSE)</f>
        <v>A</v>
      </c>
      <c r="D90" s="33" t="str">
        <f>VLOOKUP(B90,Classification!$A:$D,2,FALSE)</f>
        <v>A</v>
      </c>
      <c r="E90" s="33" t="str">
        <f t="shared" si="1"/>
        <v>Ok</v>
      </c>
    </row>
    <row r="91" spans="1:5" x14ac:dyDescent="0.2">
      <c r="A91" t="s">
        <v>335</v>
      </c>
      <c r="B91" t="s">
        <v>333</v>
      </c>
      <c r="C91" s="71" t="str">
        <f>VLOOKUP(A91,Classification!$A:$D,2,FALSE)</f>
        <v>A</v>
      </c>
      <c r="D91" s="33" t="str">
        <f>VLOOKUP(B91,Classification!$A:$D,2,FALSE)</f>
        <v>A</v>
      </c>
      <c r="E91" s="33" t="str">
        <f t="shared" si="1"/>
        <v>Ok</v>
      </c>
    </row>
    <row r="92" spans="1:5" x14ac:dyDescent="0.2">
      <c r="A92" t="s">
        <v>332</v>
      </c>
      <c r="B92" t="s">
        <v>333</v>
      </c>
      <c r="C92" s="71" t="str">
        <f>VLOOKUP(A92,Classification!$A:$D,2,FALSE)</f>
        <v>A</v>
      </c>
      <c r="D92" s="33" t="str">
        <f>VLOOKUP(B92,Classification!$A:$D,2,FALSE)</f>
        <v>A</v>
      </c>
      <c r="E92" s="33" t="str">
        <f t="shared" si="1"/>
        <v>Ok</v>
      </c>
    </row>
    <row r="93" spans="1:5" x14ac:dyDescent="0.2">
      <c r="A93" t="s">
        <v>334</v>
      </c>
      <c r="B93" t="s">
        <v>333</v>
      </c>
      <c r="C93" s="71" t="str">
        <f>VLOOKUP(A93,Classification!$A:$D,2,FALSE)</f>
        <v>A</v>
      </c>
      <c r="D93" s="33" t="str">
        <f>VLOOKUP(B93,Classification!$A:$D,2,FALSE)</f>
        <v>A</v>
      </c>
      <c r="E93" s="33" t="str">
        <f t="shared" si="1"/>
        <v>Ok</v>
      </c>
    </row>
    <row r="94" spans="1:5" x14ac:dyDescent="0.2">
      <c r="A94" t="s">
        <v>555</v>
      </c>
      <c r="B94" t="s">
        <v>333</v>
      </c>
      <c r="C94" s="71" t="str">
        <f>VLOOKUP(A94,Classification!$A:$D,2,FALSE)</f>
        <v>A</v>
      </c>
      <c r="D94" s="33" t="str">
        <f>VLOOKUP(B94,Classification!$A:$D,2,FALSE)</f>
        <v>A</v>
      </c>
      <c r="E94" s="33" t="str">
        <f t="shared" si="1"/>
        <v>Ok</v>
      </c>
    </row>
    <row r="95" spans="1:5" x14ac:dyDescent="0.2">
      <c r="A95" t="s">
        <v>398</v>
      </c>
      <c r="B95" t="s">
        <v>333</v>
      </c>
      <c r="C95" s="71" t="str">
        <f>VLOOKUP(A95,Classification!$A:$D,2,FALSE)</f>
        <v>A</v>
      </c>
      <c r="D95" s="33" t="str">
        <f>VLOOKUP(B95,Classification!$A:$D,2,FALSE)</f>
        <v>A</v>
      </c>
      <c r="E95" s="33" t="str">
        <f t="shared" si="1"/>
        <v>Ok</v>
      </c>
    </row>
    <row r="96" spans="1:5" x14ac:dyDescent="0.2">
      <c r="A96" t="s">
        <v>485</v>
      </c>
      <c r="B96" t="s">
        <v>333</v>
      </c>
      <c r="C96" s="71" t="str">
        <f>VLOOKUP(A96,Classification!$A:$D,2,FALSE)</f>
        <v>A</v>
      </c>
      <c r="D96" s="33" t="str">
        <f>VLOOKUP(B96,Classification!$A:$D,2,FALSE)</f>
        <v>A</v>
      </c>
      <c r="E96" s="33" t="str">
        <f t="shared" si="1"/>
        <v>Ok</v>
      </c>
    </row>
    <row r="97" spans="1:5" x14ac:dyDescent="0.2">
      <c r="A97" t="s">
        <v>589</v>
      </c>
      <c r="B97" t="s">
        <v>333</v>
      </c>
      <c r="C97" s="71" t="str">
        <f>VLOOKUP(A97,Classification!$A:$D,2,FALSE)</f>
        <v>A</v>
      </c>
      <c r="D97" s="33" t="str">
        <f>VLOOKUP(B97,Classification!$A:$D,2,FALSE)</f>
        <v>A</v>
      </c>
      <c r="E97" s="33" t="str">
        <f t="shared" si="1"/>
        <v>Ok</v>
      </c>
    </row>
    <row r="98" spans="1:5" x14ac:dyDescent="0.2">
      <c r="A98" t="s">
        <v>478</v>
      </c>
      <c r="B98" t="s">
        <v>333</v>
      </c>
      <c r="C98" s="71" t="str">
        <f>VLOOKUP(A98,Classification!$A:$D,2,FALSE)</f>
        <v>A</v>
      </c>
      <c r="D98" s="33" t="str">
        <f>VLOOKUP(B98,Classification!$A:$D,2,FALSE)</f>
        <v>A</v>
      </c>
      <c r="E98" s="33" t="str">
        <f t="shared" si="1"/>
        <v>Ok</v>
      </c>
    </row>
    <row r="99" spans="1:5" x14ac:dyDescent="0.2">
      <c r="A99" t="s">
        <v>333</v>
      </c>
      <c r="B99" t="s">
        <v>333</v>
      </c>
      <c r="C99" s="71" t="str">
        <f>VLOOKUP(A99,Classification!$A:$D,2,FALSE)</f>
        <v>A</v>
      </c>
      <c r="D99" s="33" t="str">
        <f>VLOOKUP(B99,Classification!$A:$D,2,FALSE)</f>
        <v>A</v>
      </c>
      <c r="E99" s="33" t="str">
        <f t="shared" si="1"/>
        <v>Ok</v>
      </c>
    </row>
    <row r="100" spans="1:5" x14ac:dyDescent="0.2">
      <c r="A100" t="s">
        <v>474</v>
      </c>
      <c r="B100" t="s">
        <v>340</v>
      </c>
      <c r="C100" s="71" t="str">
        <f>VLOOKUP(A100,Classification!$A:$D,2,FALSE)</f>
        <v>A</v>
      </c>
      <c r="D100" s="33" t="str">
        <f>VLOOKUP(B100,Classification!$A:$D,2,FALSE)</f>
        <v>A</v>
      </c>
      <c r="E100" s="33" t="str">
        <f t="shared" si="1"/>
        <v>Ok</v>
      </c>
    </row>
    <row r="101" spans="1:5" x14ac:dyDescent="0.2">
      <c r="A101" t="s">
        <v>340</v>
      </c>
      <c r="B101" t="s">
        <v>340</v>
      </c>
      <c r="C101" s="71" t="str">
        <f>VLOOKUP(A101,Classification!$A:$D,2,FALSE)</f>
        <v>A</v>
      </c>
      <c r="D101" s="33" t="str">
        <f>VLOOKUP(B101,Classification!$A:$D,2,FALSE)</f>
        <v>A</v>
      </c>
      <c r="E101" s="33" t="str">
        <f t="shared" si="1"/>
        <v>Ok</v>
      </c>
    </row>
    <row r="102" spans="1:5" x14ac:dyDescent="0.2">
      <c r="A102" t="s">
        <v>429</v>
      </c>
      <c r="B102" t="s">
        <v>340</v>
      </c>
      <c r="C102" s="71" t="str">
        <f>VLOOKUP(A102,Classification!$A:$D,2,FALSE)</f>
        <v>A</v>
      </c>
      <c r="D102" s="33" t="str">
        <f>VLOOKUP(B102,Classification!$A:$D,2,FALSE)</f>
        <v>A</v>
      </c>
      <c r="E102" s="33" t="str">
        <f t="shared" si="1"/>
        <v>Ok</v>
      </c>
    </row>
    <row r="103" spans="1:5" x14ac:dyDescent="0.2">
      <c r="A103" t="s">
        <v>341</v>
      </c>
      <c r="B103" t="s">
        <v>341</v>
      </c>
      <c r="C103" s="71" t="str">
        <f>VLOOKUP(A103,Classification!$A:$D,2,FALSE)</f>
        <v>A</v>
      </c>
      <c r="D103" s="33" t="str">
        <f>VLOOKUP(B103,Classification!$A:$D,2,FALSE)</f>
        <v>A</v>
      </c>
      <c r="E103" s="33" t="str">
        <f t="shared" si="1"/>
        <v>Ok</v>
      </c>
    </row>
    <row r="104" spans="1:5" x14ac:dyDescent="0.2">
      <c r="A104" t="s">
        <v>475</v>
      </c>
      <c r="B104" t="s">
        <v>1106</v>
      </c>
      <c r="C104" s="71" t="str">
        <f>VLOOKUP(A104,Classification!$A:$D,2,FALSE)</f>
        <v>A</v>
      </c>
      <c r="D104" s="33" t="str">
        <f>VLOOKUP(B104,Classification!$A:$D,2,FALSE)</f>
        <v>A</v>
      </c>
      <c r="E104" s="33" t="str">
        <f t="shared" si="1"/>
        <v>Ok</v>
      </c>
    </row>
    <row r="105" spans="1:5" x14ac:dyDescent="0.2">
      <c r="A105" t="s">
        <v>344</v>
      </c>
      <c r="B105" t="s">
        <v>1106</v>
      </c>
      <c r="C105" s="71" t="str">
        <f>VLOOKUP(A105,Classification!$A:$D,2,FALSE)</f>
        <v>A</v>
      </c>
      <c r="D105" s="33" t="str">
        <f>VLOOKUP(B105,Classification!$A:$D,2,FALSE)</f>
        <v>A</v>
      </c>
      <c r="E105" s="33" t="str">
        <f t="shared" si="1"/>
        <v>Ok</v>
      </c>
    </row>
    <row r="106" spans="1:5" x14ac:dyDescent="0.2">
      <c r="A106" t="s">
        <v>1106</v>
      </c>
      <c r="B106" t="s">
        <v>1106</v>
      </c>
      <c r="C106" s="71" t="str">
        <f>VLOOKUP(A106,Classification!$A:$D,2,FALSE)</f>
        <v>A</v>
      </c>
      <c r="D106" s="33" t="str">
        <f>VLOOKUP(B106,Classification!$A:$D,2,FALSE)</f>
        <v>A</v>
      </c>
      <c r="E106" s="33" t="str">
        <f t="shared" si="1"/>
        <v>Ok</v>
      </c>
    </row>
    <row r="107" spans="1:5" x14ac:dyDescent="0.2">
      <c r="A107" t="s">
        <v>342</v>
      </c>
      <c r="B107" t="s">
        <v>1106</v>
      </c>
      <c r="C107" s="71" t="str">
        <f>VLOOKUP(A107,Classification!$A:$D,2,FALSE)</f>
        <v>A</v>
      </c>
      <c r="D107" s="33" t="str">
        <f>VLOOKUP(B107,Classification!$A:$D,2,FALSE)</f>
        <v>A</v>
      </c>
      <c r="E107" s="33" t="str">
        <f t="shared" si="1"/>
        <v>Ok</v>
      </c>
    </row>
    <row r="108" spans="1:5" x14ac:dyDescent="0.2">
      <c r="A108" t="s">
        <v>343</v>
      </c>
      <c r="B108" t="s">
        <v>343</v>
      </c>
      <c r="C108" s="71" t="str">
        <f>VLOOKUP(A108,Classification!$A:$D,2,FALSE)</f>
        <v>A</v>
      </c>
      <c r="D108" s="33" t="str">
        <f>VLOOKUP(B108,Classification!$A:$D,2,FALSE)</f>
        <v>A</v>
      </c>
      <c r="E108" s="33" t="str">
        <f t="shared" si="1"/>
        <v>Ok</v>
      </c>
    </row>
    <row r="109" spans="1:5" x14ac:dyDescent="0.2">
      <c r="A109" t="s">
        <v>422</v>
      </c>
      <c r="B109" t="s">
        <v>343</v>
      </c>
      <c r="C109" s="71" t="str">
        <f>VLOOKUP(A109,Classification!$A:$D,2,FALSE)</f>
        <v>A</v>
      </c>
      <c r="D109" s="33" t="str">
        <f>VLOOKUP(B109,Classification!$A:$D,2,FALSE)</f>
        <v>A</v>
      </c>
      <c r="E109" s="33" t="str">
        <f t="shared" si="1"/>
        <v>Ok</v>
      </c>
    </row>
    <row r="110" spans="1:5" x14ac:dyDescent="0.2">
      <c r="A110" t="s">
        <v>581</v>
      </c>
      <c r="B110" t="s">
        <v>1108</v>
      </c>
      <c r="C110" s="71" t="str">
        <f>VLOOKUP(A110,Classification!$A:$D,2,FALSE)</f>
        <v>A</v>
      </c>
      <c r="D110" s="33" t="str">
        <f>VLOOKUP(B110,Classification!$A:$D,2,FALSE)</f>
        <v>A</v>
      </c>
      <c r="E110" s="33" t="str">
        <f t="shared" si="1"/>
        <v>Ok</v>
      </c>
    </row>
    <row r="111" spans="1:5" x14ac:dyDescent="0.2">
      <c r="A111" t="s">
        <v>453</v>
      </c>
      <c r="B111" t="s">
        <v>1108</v>
      </c>
      <c r="C111" s="71" t="str">
        <f>VLOOKUP(A111,Classification!$A:$D,2,FALSE)</f>
        <v>A</v>
      </c>
      <c r="D111" s="33" t="str">
        <f>VLOOKUP(B111,Classification!$A:$D,2,FALSE)</f>
        <v>A</v>
      </c>
      <c r="E111" s="33" t="str">
        <f t="shared" si="1"/>
        <v>Ok</v>
      </c>
    </row>
    <row r="112" spans="1:5" x14ac:dyDescent="0.2">
      <c r="A112" t="s">
        <v>406</v>
      </c>
      <c r="B112" t="s">
        <v>1108</v>
      </c>
      <c r="C112" s="71" t="str">
        <f>VLOOKUP(A112,Classification!$A:$D,2,FALSE)</f>
        <v>A</v>
      </c>
      <c r="D112" s="33" t="str">
        <f>VLOOKUP(B112,Classification!$A:$D,2,FALSE)</f>
        <v>A</v>
      </c>
      <c r="E112" s="33" t="str">
        <f t="shared" si="1"/>
        <v>Ok</v>
      </c>
    </row>
    <row r="113" spans="1:5" x14ac:dyDescent="0.2">
      <c r="A113" t="s">
        <v>505</v>
      </c>
      <c r="B113" t="s">
        <v>1108</v>
      </c>
      <c r="C113" s="71" t="str">
        <f>VLOOKUP(A113,Classification!$A:$D,2,FALSE)</f>
        <v>A</v>
      </c>
      <c r="D113" s="33" t="str">
        <f>VLOOKUP(B113,Classification!$A:$D,2,FALSE)</f>
        <v>A</v>
      </c>
      <c r="E113" s="33" t="str">
        <f t="shared" si="1"/>
        <v>Ok</v>
      </c>
    </row>
    <row r="114" spans="1:5" x14ac:dyDescent="0.2">
      <c r="A114" t="s">
        <v>296</v>
      </c>
      <c r="B114" t="s">
        <v>1108</v>
      </c>
      <c r="C114" s="71" t="str">
        <f>VLOOKUP(A114,Classification!$A:$D,2,FALSE)</f>
        <v>A</v>
      </c>
      <c r="D114" s="33" t="str">
        <f>VLOOKUP(B114,Classification!$A:$D,2,FALSE)</f>
        <v>A</v>
      </c>
      <c r="E114" s="33" t="str">
        <f t="shared" si="1"/>
        <v>Ok</v>
      </c>
    </row>
    <row r="115" spans="1:5" x14ac:dyDescent="0.2">
      <c r="A115" t="s">
        <v>570</v>
      </c>
      <c r="B115" t="s">
        <v>1108</v>
      </c>
      <c r="C115" s="71" t="str">
        <f>VLOOKUP(A115,Classification!$A:$D,2,FALSE)</f>
        <v>A</v>
      </c>
      <c r="D115" s="33" t="str">
        <f>VLOOKUP(B115,Classification!$A:$D,2,FALSE)</f>
        <v>A</v>
      </c>
      <c r="E115" s="33" t="str">
        <f t="shared" si="1"/>
        <v>Ok</v>
      </c>
    </row>
    <row r="116" spans="1:5" x14ac:dyDescent="0.2">
      <c r="A116" t="s">
        <v>473</v>
      </c>
      <c r="B116" t="s">
        <v>1108</v>
      </c>
      <c r="C116" s="71" t="str">
        <f>VLOOKUP(A116,Classification!$A:$D,2,FALSE)</f>
        <v>A</v>
      </c>
      <c r="D116" s="33" t="str">
        <f>VLOOKUP(B116,Classification!$A:$D,2,FALSE)</f>
        <v>A</v>
      </c>
      <c r="E116" s="33" t="str">
        <f t="shared" si="1"/>
        <v>Ok</v>
      </c>
    </row>
    <row r="117" spans="1:5" x14ac:dyDescent="0.2">
      <c r="A117" t="s">
        <v>328</v>
      </c>
      <c r="B117" t="s">
        <v>1108</v>
      </c>
      <c r="C117" s="71" t="str">
        <f>VLOOKUP(A117,Classification!$A:$D,2,FALSE)</f>
        <v>A</v>
      </c>
      <c r="D117" s="33" t="str">
        <f>VLOOKUP(B117,Classification!$A:$D,2,FALSE)</f>
        <v>A</v>
      </c>
      <c r="E117" s="33" t="str">
        <f t="shared" si="1"/>
        <v>Ok</v>
      </c>
    </row>
    <row r="118" spans="1:5" x14ac:dyDescent="0.2">
      <c r="A118" t="s">
        <v>319</v>
      </c>
      <c r="B118" t="s">
        <v>1108</v>
      </c>
      <c r="C118" s="71" t="str">
        <f>VLOOKUP(A118,Classification!$A:$D,2,FALSE)</f>
        <v>A</v>
      </c>
      <c r="D118" s="33" t="str">
        <f>VLOOKUP(B118,Classification!$A:$D,2,FALSE)</f>
        <v>A</v>
      </c>
      <c r="E118" s="33" t="str">
        <f t="shared" si="1"/>
        <v>Ok</v>
      </c>
    </row>
    <row r="119" spans="1:5" x14ac:dyDescent="0.2">
      <c r="A119" t="s">
        <v>384</v>
      </c>
      <c r="B119" t="s">
        <v>1108</v>
      </c>
      <c r="C119" s="71" t="str">
        <f>VLOOKUP(A119,Classification!$A:$D,2,FALSE)</f>
        <v>A</v>
      </c>
      <c r="D119" s="33" t="str">
        <f>VLOOKUP(B119,Classification!$A:$D,2,FALSE)</f>
        <v>A</v>
      </c>
      <c r="E119" s="33" t="str">
        <f t="shared" si="1"/>
        <v>Ok</v>
      </c>
    </row>
    <row r="120" spans="1:5" x14ac:dyDescent="0.2">
      <c r="A120" t="s">
        <v>388</v>
      </c>
      <c r="B120" t="s">
        <v>1108</v>
      </c>
      <c r="C120" s="71" t="str">
        <f>VLOOKUP(A120,Classification!$A:$D,2,FALSE)</f>
        <v>A</v>
      </c>
      <c r="D120" s="33" t="str">
        <f>VLOOKUP(B120,Classification!$A:$D,2,FALSE)</f>
        <v>A</v>
      </c>
      <c r="E120" s="33" t="str">
        <f t="shared" si="1"/>
        <v>Ok</v>
      </c>
    </row>
    <row r="121" spans="1:5" x14ac:dyDescent="0.2">
      <c r="A121" t="s">
        <v>330</v>
      </c>
      <c r="B121" t="s">
        <v>1108</v>
      </c>
      <c r="C121" s="71" t="str">
        <f>VLOOKUP(A121,Classification!$A:$D,2,FALSE)</f>
        <v>A</v>
      </c>
      <c r="D121" s="33" t="str">
        <f>VLOOKUP(B121,Classification!$A:$D,2,FALSE)</f>
        <v>A</v>
      </c>
      <c r="E121" s="33" t="str">
        <f t="shared" si="1"/>
        <v>Ok</v>
      </c>
    </row>
    <row r="122" spans="1:5" x14ac:dyDescent="0.2">
      <c r="A122" t="s">
        <v>1108</v>
      </c>
      <c r="B122" t="s">
        <v>1108</v>
      </c>
      <c r="C122" s="71" t="str">
        <f>VLOOKUP(A122,Classification!$A:$D,2,FALSE)</f>
        <v>A</v>
      </c>
      <c r="D122" s="33" t="str">
        <f>VLOOKUP(B122,Classification!$A:$D,2,FALSE)</f>
        <v>A</v>
      </c>
      <c r="E122" s="33" t="str">
        <f t="shared" si="1"/>
        <v>Ok</v>
      </c>
    </row>
    <row r="123" spans="1:5" x14ac:dyDescent="0.2">
      <c r="A123" t="s">
        <v>348</v>
      </c>
      <c r="B123" t="s">
        <v>1108</v>
      </c>
      <c r="C123" s="71" t="str">
        <f>VLOOKUP(A123,Classification!$A:$D,2,FALSE)</f>
        <v>A</v>
      </c>
      <c r="D123" s="33" t="str">
        <f>VLOOKUP(B123,Classification!$A:$D,2,FALSE)</f>
        <v>A</v>
      </c>
      <c r="E123" s="33" t="str">
        <f t="shared" si="1"/>
        <v>Ok</v>
      </c>
    </row>
    <row r="124" spans="1:5" x14ac:dyDescent="0.2">
      <c r="A124" t="s">
        <v>347</v>
      </c>
      <c r="B124" t="s">
        <v>1108</v>
      </c>
      <c r="C124" s="71" t="str">
        <f>VLOOKUP(A124,Classification!$A:$D,2,FALSE)</f>
        <v>A</v>
      </c>
      <c r="D124" s="33" t="str">
        <f>VLOOKUP(B124,Classification!$A:$D,2,FALSE)</f>
        <v>A</v>
      </c>
      <c r="E124" s="33" t="str">
        <f t="shared" si="1"/>
        <v>Ok</v>
      </c>
    </row>
    <row r="125" spans="1:5" x14ac:dyDescent="0.2">
      <c r="A125" t="s">
        <v>569</v>
      </c>
      <c r="B125" t="s">
        <v>320</v>
      </c>
      <c r="C125" s="71" t="str">
        <f>VLOOKUP(A125,Classification!$A:$D,2,FALSE)</f>
        <v>A</v>
      </c>
      <c r="D125" s="33" t="str">
        <f>VLOOKUP(B125,Classification!$A:$D,2,FALSE)</f>
        <v>A</v>
      </c>
      <c r="E125" s="33" t="str">
        <f t="shared" si="1"/>
        <v>Ok</v>
      </c>
    </row>
    <row r="126" spans="1:5" x14ac:dyDescent="0.2">
      <c r="A126" t="s">
        <v>320</v>
      </c>
      <c r="B126" t="s">
        <v>320</v>
      </c>
      <c r="C126" s="71" t="str">
        <f>VLOOKUP(A126,Classification!$A:$D,2,FALSE)</f>
        <v>A</v>
      </c>
      <c r="D126" s="33" t="str">
        <f>VLOOKUP(B126,Classification!$A:$D,2,FALSE)</f>
        <v>A</v>
      </c>
      <c r="E126" s="33" t="str">
        <f t="shared" si="1"/>
        <v>Ok</v>
      </c>
    </row>
    <row r="127" spans="1:5" x14ac:dyDescent="0.2">
      <c r="A127" t="s">
        <v>446</v>
      </c>
      <c r="B127" t="s">
        <v>352</v>
      </c>
      <c r="C127" s="71" t="str">
        <f>VLOOKUP(A127,Classification!$A:$D,2,FALSE)</f>
        <v>A</v>
      </c>
      <c r="D127" s="33" t="str">
        <f>VLOOKUP(B127,Classification!$A:$D,2,FALSE)</f>
        <v>A</v>
      </c>
      <c r="E127" s="33" t="str">
        <f t="shared" si="1"/>
        <v>Ok</v>
      </c>
    </row>
    <row r="128" spans="1:5" x14ac:dyDescent="0.2">
      <c r="A128" t="s">
        <v>498</v>
      </c>
      <c r="B128" t="s">
        <v>352</v>
      </c>
      <c r="C128" s="71" t="str">
        <f>VLOOKUP(A128,Classification!$A:$D,2,FALSE)</f>
        <v>A</v>
      </c>
      <c r="D128" s="33" t="str">
        <f>VLOOKUP(B128,Classification!$A:$D,2,FALSE)</f>
        <v>A</v>
      </c>
      <c r="E128" s="33" t="str">
        <f t="shared" si="1"/>
        <v>Ok</v>
      </c>
    </row>
    <row r="129" spans="1:5" x14ac:dyDescent="0.2">
      <c r="A129" t="s">
        <v>355</v>
      </c>
      <c r="B129" t="s">
        <v>352</v>
      </c>
      <c r="C129" s="71" t="str">
        <f>VLOOKUP(A129,Classification!$A:$D,2,FALSE)</f>
        <v>A</v>
      </c>
      <c r="D129" s="33" t="str">
        <f>VLOOKUP(B129,Classification!$A:$D,2,FALSE)</f>
        <v>A</v>
      </c>
      <c r="E129" s="33" t="str">
        <f t="shared" si="1"/>
        <v>Ok</v>
      </c>
    </row>
    <row r="130" spans="1:5" x14ac:dyDescent="0.2">
      <c r="A130" t="s">
        <v>353</v>
      </c>
      <c r="B130" t="s">
        <v>352</v>
      </c>
      <c r="C130" s="71" t="str">
        <f>VLOOKUP(A130,Classification!$A:$D,2,FALSE)</f>
        <v>A</v>
      </c>
      <c r="D130" s="33" t="str">
        <f>VLOOKUP(B130,Classification!$A:$D,2,FALSE)</f>
        <v>A</v>
      </c>
      <c r="E130" s="33" t="str">
        <f t="shared" ref="E130:E193" si="2">IF(C130=D130,"Ok","Different Classes")</f>
        <v>Ok</v>
      </c>
    </row>
    <row r="131" spans="1:5" x14ac:dyDescent="0.2">
      <c r="A131" t="s">
        <v>338</v>
      </c>
      <c r="B131" t="s">
        <v>352</v>
      </c>
      <c r="C131" s="71" t="str">
        <f>VLOOKUP(A131,Classification!$A:$D,2,FALSE)</f>
        <v>A</v>
      </c>
      <c r="D131" s="33" t="str">
        <f>VLOOKUP(B131,Classification!$A:$D,2,FALSE)</f>
        <v>A</v>
      </c>
      <c r="E131" s="33" t="str">
        <f t="shared" si="2"/>
        <v>Ok</v>
      </c>
    </row>
    <row r="132" spans="1:5" x14ac:dyDescent="0.2">
      <c r="A132" t="s">
        <v>359</v>
      </c>
      <c r="B132" t="s">
        <v>352</v>
      </c>
      <c r="C132" s="71" t="str">
        <f>VLOOKUP(A132,Classification!$A:$D,2,FALSE)</f>
        <v>A</v>
      </c>
      <c r="D132" s="33" t="str">
        <f>VLOOKUP(B132,Classification!$A:$D,2,FALSE)</f>
        <v>A</v>
      </c>
      <c r="E132" s="33" t="str">
        <f t="shared" si="2"/>
        <v>Ok</v>
      </c>
    </row>
    <row r="133" spans="1:5" x14ac:dyDescent="0.2">
      <c r="A133" t="s">
        <v>500</v>
      </c>
      <c r="B133" t="s">
        <v>352</v>
      </c>
      <c r="C133" s="71" t="str">
        <f>VLOOKUP(A133,Classification!$A:$D,2,FALSE)</f>
        <v>A</v>
      </c>
      <c r="D133" s="33" t="str">
        <f>VLOOKUP(B133,Classification!$A:$D,2,FALSE)</f>
        <v>A</v>
      </c>
      <c r="E133" s="33" t="str">
        <f t="shared" si="2"/>
        <v>Ok</v>
      </c>
    </row>
    <row r="134" spans="1:5" x14ac:dyDescent="0.2">
      <c r="A134" t="s">
        <v>431</v>
      </c>
      <c r="B134" t="s">
        <v>352</v>
      </c>
      <c r="C134" s="71" t="str">
        <f>VLOOKUP(A134,Classification!$A:$D,2,FALSE)</f>
        <v>A</v>
      </c>
      <c r="D134" s="33" t="str">
        <f>VLOOKUP(B134,Classification!$A:$D,2,FALSE)</f>
        <v>A</v>
      </c>
      <c r="E134" s="33" t="str">
        <f t="shared" si="2"/>
        <v>Ok</v>
      </c>
    </row>
    <row r="135" spans="1:5" x14ac:dyDescent="0.2">
      <c r="A135" t="s">
        <v>430</v>
      </c>
      <c r="B135" t="s">
        <v>352</v>
      </c>
      <c r="C135" s="71" t="str">
        <f>VLOOKUP(A135,Classification!$A:$D,2,FALSE)</f>
        <v>A</v>
      </c>
      <c r="D135" s="33" t="str">
        <f>VLOOKUP(B135,Classification!$A:$D,2,FALSE)</f>
        <v>A</v>
      </c>
      <c r="E135" s="33" t="str">
        <f t="shared" si="2"/>
        <v>Ok</v>
      </c>
    </row>
    <row r="136" spans="1:5" x14ac:dyDescent="0.2">
      <c r="A136" t="s">
        <v>440</v>
      </c>
      <c r="B136" t="s">
        <v>352</v>
      </c>
      <c r="C136" s="71" t="str">
        <f>VLOOKUP(A136,Classification!$A:$D,2,FALSE)</f>
        <v>A</v>
      </c>
      <c r="D136" s="33" t="str">
        <f>VLOOKUP(B136,Classification!$A:$D,2,FALSE)</f>
        <v>A</v>
      </c>
      <c r="E136" s="33" t="str">
        <f t="shared" si="2"/>
        <v>Ok</v>
      </c>
    </row>
    <row r="137" spans="1:5" x14ac:dyDescent="0.2">
      <c r="A137" t="s">
        <v>352</v>
      </c>
      <c r="B137" t="s">
        <v>352</v>
      </c>
      <c r="C137" s="71" t="str">
        <f>VLOOKUP(A137,Classification!$A:$D,2,FALSE)</f>
        <v>A</v>
      </c>
      <c r="D137" s="33" t="str">
        <f>VLOOKUP(B137,Classification!$A:$D,2,FALSE)</f>
        <v>A</v>
      </c>
      <c r="E137" s="33" t="str">
        <f t="shared" si="2"/>
        <v>Ok</v>
      </c>
    </row>
    <row r="138" spans="1:5" x14ac:dyDescent="0.2">
      <c r="A138" t="s">
        <v>375</v>
      </c>
      <c r="B138" t="s">
        <v>352</v>
      </c>
      <c r="C138" s="71" t="str">
        <f>VLOOKUP(A138,Classification!$A:$D,2,FALSE)</f>
        <v>A</v>
      </c>
      <c r="D138" s="33" t="str">
        <f>VLOOKUP(B138,Classification!$A:$D,2,FALSE)</f>
        <v>A</v>
      </c>
      <c r="E138" s="33" t="str">
        <f t="shared" si="2"/>
        <v>Ok</v>
      </c>
    </row>
    <row r="139" spans="1:5" x14ac:dyDescent="0.2">
      <c r="A139" t="s">
        <v>433</v>
      </c>
      <c r="B139" t="s">
        <v>352</v>
      </c>
      <c r="C139" s="71" t="str">
        <f>VLOOKUP(A139,Classification!$A:$D,2,FALSE)</f>
        <v>A</v>
      </c>
      <c r="D139" s="33" t="str">
        <f>VLOOKUP(B139,Classification!$A:$D,2,FALSE)</f>
        <v>A</v>
      </c>
      <c r="E139" s="33" t="str">
        <f t="shared" si="2"/>
        <v>Ok</v>
      </c>
    </row>
    <row r="140" spans="1:5" x14ac:dyDescent="0.2">
      <c r="A140" t="s">
        <v>356</v>
      </c>
      <c r="B140" t="s">
        <v>352</v>
      </c>
      <c r="C140" s="71" t="str">
        <f>VLOOKUP(A140,Classification!$A:$D,2,FALSE)</f>
        <v>A</v>
      </c>
      <c r="D140" s="33" t="str">
        <f>VLOOKUP(B140,Classification!$A:$D,2,FALSE)</f>
        <v>A</v>
      </c>
      <c r="E140" s="33" t="str">
        <f t="shared" si="2"/>
        <v>Ok</v>
      </c>
    </row>
    <row r="141" spans="1:5" x14ac:dyDescent="0.2">
      <c r="A141" t="s">
        <v>568</v>
      </c>
      <c r="B141" t="s">
        <v>352</v>
      </c>
      <c r="C141" s="71" t="str">
        <f>VLOOKUP(A141,Classification!$A:$D,2,FALSE)</f>
        <v>A</v>
      </c>
      <c r="D141" s="33" t="str">
        <f>VLOOKUP(B141,Classification!$A:$D,2,FALSE)</f>
        <v>A</v>
      </c>
      <c r="E141" s="33" t="str">
        <f t="shared" si="2"/>
        <v>Ok</v>
      </c>
    </row>
    <row r="142" spans="1:5" x14ac:dyDescent="0.2">
      <c r="A142" t="s">
        <v>486</v>
      </c>
      <c r="B142" t="s">
        <v>352</v>
      </c>
      <c r="C142" s="71" t="str">
        <f>VLOOKUP(A142,Classification!$A:$D,2,FALSE)</f>
        <v>A</v>
      </c>
      <c r="D142" s="33" t="str">
        <f>VLOOKUP(B142,Classification!$A:$D,2,FALSE)</f>
        <v>A</v>
      </c>
      <c r="E142" s="33" t="str">
        <f t="shared" si="2"/>
        <v>Ok</v>
      </c>
    </row>
    <row r="143" spans="1:5" x14ac:dyDescent="0.2">
      <c r="A143" t="s">
        <v>354</v>
      </c>
      <c r="B143" t="s">
        <v>352</v>
      </c>
      <c r="C143" s="71" t="str">
        <f>VLOOKUP(A143,Classification!$A:$D,2,FALSE)</f>
        <v>A</v>
      </c>
      <c r="D143" s="33" t="str">
        <f>VLOOKUP(B143,Classification!$A:$D,2,FALSE)</f>
        <v>A</v>
      </c>
      <c r="E143" s="33" t="str">
        <f t="shared" si="2"/>
        <v>Ok</v>
      </c>
    </row>
    <row r="144" spans="1:5" x14ac:dyDescent="0.2">
      <c r="A144" t="s">
        <v>525</v>
      </c>
      <c r="B144" t="s">
        <v>352</v>
      </c>
      <c r="C144" s="71" t="str">
        <f>VLOOKUP(A144,Classification!$A:$D,2,FALSE)</f>
        <v>A</v>
      </c>
      <c r="D144" s="33" t="str">
        <f>VLOOKUP(B144,Classification!$A:$D,2,FALSE)</f>
        <v>A</v>
      </c>
      <c r="E144" s="33" t="str">
        <f t="shared" si="2"/>
        <v>Ok</v>
      </c>
    </row>
    <row r="145" spans="1:5" x14ac:dyDescent="0.2">
      <c r="A145" t="s">
        <v>567</v>
      </c>
      <c r="B145" t="s">
        <v>352</v>
      </c>
      <c r="C145" s="71" t="str">
        <f>VLOOKUP(A145,Classification!$A:$D,2,FALSE)</f>
        <v>A</v>
      </c>
      <c r="D145" s="33" t="str">
        <f>VLOOKUP(B145,Classification!$A:$D,2,FALSE)</f>
        <v>A</v>
      </c>
      <c r="E145" s="33" t="str">
        <f t="shared" si="2"/>
        <v>Ok</v>
      </c>
    </row>
    <row r="146" spans="1:5" x14ac:dyDescent="0.2">
      <c r="A146" t="s">
        <v>427</v>
      </c>
      <c r="B146" t="s">
        <v>352</v>
      </c>
      <c r="C146" s="71" t="str">
        <f>VLOOKUP(A146,Classification!$A:$D,2,FALSE)</f>
        <v>A</v>
      </c>
      <c r="D146" s="33" t="str">
        <f>VLOOKUP(B146,Classification!$A:$D,2,FALSE)</f>
        <v>A</v>
      </c>
      <c r="E146" s="33" t="str">
        <f t="shared" si="2"/>
        <v>Ok</v>
      </c>
    </row>
    <row r="147" spans="1:5" x14ac:dyDescent="0.2">
      <c r="A147" t="s">
        <v>477</v>
      </c>
      <c r="B147" t="s">
        <v>352</v>
      </c>
      <c r="C147" s="71" t="str">
        <f>VLOOKUP(A147,Classification!$A:$D,2,FALSE)</f>
        <v>A</v>
      </c>
      <c r="D147" s="33" t="str">
        <f>VLOOKUP(B147,Classification!$A:$D,2,FALSE)</f>
        <v>A</v>
      </c>
      <c r="E147" s="33" t="str">
        <f t="shared" si="2"/>
        <v>Ok</v>
      </c>
    </row>
    <row r="148" spans="1:5" x14ac:dyDescent="0.2">
      <c r="A148" t="s">
        <v>336</v>
      </c>
      <c r="B148" t="s">
        <v>367</v>
      </c>
      <c r="C148" s="71" t="str">
        <f>VLOOKUP(A148,Classification!$A:$D,2,FALSE)</f>
        <v>A</v>
      </c>
      <c r="D148" s="33" t="str">
        <f>VLOOKUP(B148,Classification!$A:$D,2,FALSE)</f>
        <v>A</v>
      </c>
      <c r="E148" s="33" t="str">
        <f t="shared" si="2"/>
        <v>Ok</v>
      </c>
    </row>
    <row r="149" spans="1:5" x14ac:dyDescent="0.2">
      <c r="A149" t="s">
        <v>372</v>
      </c>
      <c r="B149" t="s">
        <v>367</v>
      </c>
      <c r="C149" s="71" t="str">
        <f>VLOOKUP(A149,Classification!$A:$D,2,FALSE)</f>
        <v>A</v>
      </c>
      <c r="D149" s="33" t="str">
        <f>VLOOKUP(B149,Classification!$A:$D,2,FALSE)</f>
        <v>A</v>
      </c>
      <c r="E149" s="33" t="str">
        <f t="shared" si="2"/>
        <v>Ok</v>
      </c>
    </row>
    <row r="150" spans="1:5" x14ac:dyDescent="0.2">
      <c r="A150" t="s">
        <v>379</v>
      </c>
      <c r="B150" t="s">
        <v>367</v>
      </c>
      <c r="C150" s="71" t="str">
        <f>VLOOKUP(A150,Classification!$A:$D,2,FALSE)</f>
        <v>A</v>
      </c>
      <c r="D150" s="33" t="str">
        <f>VLOOKUP(B150,Classification!$A:$D,2,FALSE)</f>
        <v>A</v>
      </c>
      <c r="E150" s="33" t="str">
        <f t="shared" si="2"/>
        <v>Ok</v>
      </c>
    </row>
    <row r="151" spans="1:5" x14ac:dyDescent="0.2">
      <c r="A151" t="s">
        <v>594</v>
      </c>
      <c r="B151" t="s">
        <v>367</v>
      </c>
      <c r="C151" s="71" t="str">
        <f>VLOOKUP(A151,Classification!$A:$D,2,FALSE)</f>
        <v>A</v>
      </c>
      <c r="D151" s="33" t="str">
        <f>VLOOKUP(B151,Classification!$A:$D,2,FALSE)</f>
        <v>A</v>
      </c>
      <c r="E151" s="33" t="str">
        <f t="shared" si="2"/>
        <v>Ok</v>
      </c>
    </row>
    <row r="152" spans="1:5" x14ac:dyDescent="0.2">
      <c r="A152" t="s">
        <v>380</v>
      </c>
      <c r="B152" t="s">
        <v>367</v>
      </c>
      <c r="C152" s="71" t="str">
        <f>VLOOKUP(A152,Classification!$A:$D,2,FALSE)</f>
        <v>A</v>
      </c>
      <c r="D152" s="33" t="str">
        <f>VLOOKUP(B152,Classification!$A:$D,2,FALSE)</f>
        <v>A</v>
      </c>
      <c r="E152" s="33" t="str">
        <f t="shared" si="2"/>
        <v>Ok</v>
      </c>
    </row>
    <row r="153" spans="1:5" x14ac:dyDescent="0.2">
      <c r="A153" t="s">
        <v>339</v>
      </c>
      <c r="B153" t="s">
        <v>367</v>
      </c>
      <c r="C153" s="71" t="str">
        <f>VLOOKUP(A153,Classification!$A:$D,2,FALSE)</f>
        <v>A</v>
      </c>
      <c r="D153" s="33" t="str">
        <f>VLOOKUP(B153,Classification!$A:$D,2,FALSE)</f>
        <v>A</v>
      </c>
      <c r="E153" s="33" t="str">
        <f t="shared" si="2"/>
        <v>Ok</v>
      </c>
    </row>
    <row r="154" spans="1:5" x14ac:dyDescent="0.2">
      <c r="A154" t="s">
        <v>363</v>
      </c>
      <c r="B154" t="s">
        <v>367</v>
      </c>
      <c r="C154" s="71" t="str">
        <f>VLOOKUP(A154,Classification!$A:$D,2,FALSE)</f>
        <v>A</v>
      </c>
      <c r="D154" s="33" t="str">
        <f>VLOOKUP(B154,Classification!$A:$D,2,FALSE)</f>
        <v>A</v>
      </c>
      <c r="E154" s="33" t="str">
        <f t="shared" si="2"/>
        <v>Ok</v>
      </c>
    </row>
    <row r="155" spans="1:5" x14ac:dyDescent="0.2">
      <c r="A155" t="s">
        <v>371</v>
      </c>
      <c r="B155" t="s">
        <v>367</v>
      </c>
      <c r="C155" s="71" t="str">
        <f>VLOOKUP(A155,Classification!$A:$D,2,FALSE)</f>
        <v>A</v>
      </c>
      <c r="D155" s="33" t="str">
        <f>VLOOKUP(B155,Classification!$A:$D,2,FALSE)</f>
        <v>A</v>
      </c>
      <c r="E155" s="33" t="str">
        <f t="shared" si="2"/>
        <v>Ok</v>
      </c>
    </row>
    <row r="156" spans="1:5" x14ac:dyDescent="0.2">
      <c r="A156" t="s">
        <v>369</v>
      </c>
      <c r="B156" t="s">
        <v>367</v>
      </c>
      <c r="C156" s="71" t="str">
        <f>VLOOKUP(A156,Classification!$A:$D,2,FALSE)</f>
        <v>A</v>
      </c>
      <c r="D156" s="33" t="str">
        <f>VLOOKUP(B156,Classification!$A:$D,2,FALSE)</f>
        <v>A</v>
      </c>
      <c r="E156" s="33" t="str">
        <f t="shared" si="2"/>
        <v>Ok</v>
      </c>
    </row>
    <row r="157" spans="1:5" x14ac:dyDescent="0.2">
      <c r="A157" t="s">
        <v>383</v>
      </c>
      <c r="B157" t="s">
        <v>367</v>
      </c>
      <c r="C157" s="71" t="str">
        <f>VLOOKUP(A157,Classification!$A:$D,2,FALSE)</f>
        <v>A</v>
      </c>
      <c r="D157" s="33" t="str">
        <f>VLOOKUP(B157,Classification!$A:$D,2,FALSE)</f>
        <v>A</v>
      </c>
      <c r="E157" s="33" t="str">
        <f t="shared" si="2"/>
        <v>Ok</v>
      </c>
    </row>
    <row r="158" spans="1:5" x14ac:dyDescent="0.2">
      <c r="A158" t="s">
        <v>362</v>
      </c>
      <c r="B158" t="s">
        <v>367</v>
      </c>
      <c r="C158" s="71" t="str">
        <f>VLOOKUP(A158,Classification!$A:$D,2,FALSE)</f>
        <v>A</v>
      </c>
      <c r="D158" s="33" t="str">
        <f>VLOOKUP(B158,Classification!$A:$D,2,FALSE)</f>
        <v>A</v>
      </c>
      <c r="E158" s="33" t="str">
        <f t="shared" si="2"/>
        <v>Ok</v>
      </c>
    </row>
    <row r="159" spans="1:5" x14ac:dyDescent="0.2">
      <c r="A159" t="s">
        <v>365</v>
      </c>
      <c r="B159" t="s">
        <v>367</v>
      </c>
      <c r="C159" s="71" t="str">
        <f>VLOOKUP(A159,Classification!$A:$D,2,FALSE)</f>
        <v>A</v>
      </c>
      <c r="D159" s="33" t="str">
        <f>VLOOKUP(B159,Classification!$A:$D,2,FALSE)</f>
        <v>A</v>
      </c>
      <c r="E159" s="33" t="str">
        <f t="shared" si="2"/>
        <v>Ok</v>
      </c>
    </row>
    <row r="160" spans="1:5" x14ac:dyDescent="0.2">
      <c r="A160" t="s">
        <v>367</v>
      </c>
      <c r="B160" t="s">
        <v>367</v>
      </c>
      <c r="C160" s="71" t="str">
        <f>VLOOKUP(A160,Classification!$A:$D,2,FALSE)</f>
        <v>A</v>
      </c>
      <c r="D160" s="33" t="str">
        <f>VLOOKUP(B160,Classification!$A:$D,2,FALSE)</f>
        <v>A</v>
      </c>
      <c r="E160" s="33" t="str">
        <f t="shared" si="2"/>
        <v>Ok</v>
      </c>
    </row>
    <row r="161" spans="1:5" x14ac:dyDescent="0.2">
      <c r="A161" t="s">
        <v>370</v>
      </c>
      <c r="B161" t="s">
        <v>367</v>
      </c>
      <c r="C161" s="71" t="str">
        <f>VLOOKUP(A161,Classification!$A:$D,2,FALSE)</f>
        <v>A</v>
      </c>
      <c r="D161" s="33" t="str">
        <f>VLOOKUP(B161,Classification!$A:$D,2,FALSE)</f>
        <v>A</v>
      </c>
      <c r="E161" s="33" t="str">
        <f t="shared" si="2"/>
        <v>Ok</v>
      </c>
    </row>
    <row r="162" spans="1:5" x14ac:dyDescent="0.2">
      <c r="A162" t="s">
        <v>366</v>
      </c>
      <c r="B162" t="s">
        <v>367</v>
      </c>
      <c r="C162" s="71" t="str">
        <f>VLOOKUP(A162,Classification!$A:$D,2,FALSE)</f>
        <v>A</v>
      </c>
      <c r="D162" s="33" t="str">
        <f>VLOOKUP(B162,Classification!$A:$D,2,FALSE)</f>
        <v>A</v>
      </c>
      <c r="E162" s="33" t="str">
        <f t="shared" si="2"/>
        <v>Ok</v>
      </c>
    </row>
    <row r="163" spans="1:5" x14ac:dyDescent="0.2">
      <c r="A163" t="s">
        <v>368</v>
      </c>
      <c r="B163" t="s">
        <v>367</v>
      </c>
      <c r="C163" s="71" t="str">
        <f>VLOOKUP(A163,Classification!$A:$D,2,FALSE)</f>
        <v>A</v>
      </c>
      <c r="D163" s="33" t="str">
        <f>VLOOKUP(B163,Classification!$A:$D,2,FALSE)</f>
        <v>A</v>
      </c>
      <c r="E163" s="33" t="str">
        <f t="shared" si="2"/>
        <v>Ok</v>
      </c>
    </row>
    <row r="164" spans="1:5" x14ac:dyDescent="0.2">
      <c r="A164" t="s">
        <v>378</v>
      </c>
      <c r="B164" t="s">
        <v>367</v>
      </c>
      <c r="C164" s="71" t="str">
        <f>VLOOKUP(A164,Classification!$A:$D,2,FALSE)</f>
        <v>A</v>
      </c>
      <c r="D164" s="33" t="str">
        <f>VLOOKUP(B164,Classification!$A:$D,2,FALSE)</f>
        <v>A</v>
      </c>
      <c r="E164" s="33" t="str">
        <f t="shared" si="2"/>
        <v>Ok</v>
      </c>
    </row>
    <row r="165" spans="1:5" x14ac:dyDescent="0.2">
      <c r="A165" t="s">
        <v>364</v>
      </c>
      <c r="B165" t="s">
        <v>367</v>
      </c>
      <c r="C165" s="71" t="str">
        <f>VLOOKUP(A165,Classification!$A:$D,2,FALSE)</f>
        <v>A</v>
      </c>
      <c r="D165" s="33" t="str">
        <f>VLOOKUP(B165,Classification!$A:$D,2,FALSE)</f>
        <v>A</v>
      </c>
      <c r="E165" s="33" t="str">
        <f t="shared" si="2"/>
        <v>Ok</v>
      </c>
    </row>
    <row r="166" spans="1:5" x14ac:dyDescent="0.2">
      <c r="A166" t="s">
        <v>337</v>
      </c>
      <c r="B166" t="s">
        <v>367</v>
      </c>
      <c r="C166" s="71" t="str">
        <f>VLOOKUP(A166,Classification!$A:$D,2,FALSE)</f>
        <v>A</v>
      </c>
      <c r="D166" s="33" t="str">
        <f>VLOOKUP(B166,Classification!$A:$D,2,FALSE)</f>
        <v>A</v>
      </c>
      <c r="E166" s="33" t="str">
        <f t="shared" si="2"/>
        <v>Ok</v>
      </c>
    </row>
    <row r="167" spans="1:5" x14ac:dyDescent="0.2">
      <c r="A167" t="s">
        <v>597</v>
      </c>
      <c r="B167" t="s">
        <v>213</v>
      </c>
      <c r="C167" s="71" t="str">
        <f>VLOOKUP(A167,Classification!$A:$D,2,FALSE)</f>
        <v>B1</v>
      </c>
      <c r="D167" s="33" t="str">
        <f>VLOOKUP(B167,Classification!$A:$D,2,FALSE)</f>
        <v>B1</v>
      </c>
      <c r="E167" s="33" t="str">
        <f t="shared" si="2"/>
        <v>Ok</v>
      </c>
    </row>
    <row r="168" spans="1:5" x14ac:dyDescent="0.2">
      <c r="A168" t="s">
        <v>213</v>
      </c>
      <c r="B168" t="s">
        <v>213</v>
      </c>
      <c r="C168" s="71" t="str">
        <f>VLOOKUP(A168,Classification!$A:$D,2,FALSE)</f>
        <v>B1</v>
      </c>
      <c r="D168" s="33" t="str">
        <f>VLOOKUP(B168,Classification!$A:$D,2,FALSE)</f>
        <v>B1</v>
      </c>
      <c r="E168" s="33" t="str">
        <f t="shared" si="2"/>
        <v>Ok</v>
      </c>
    </row>
    <row r="169" spans="1:5" x14ac:dyDescent="0.2">
      <c r="A169" t="s">
        <v>596</v>
      </c>
      <c r="B169" t="s">
        <v>213</v>
      </c>
      <c r="C169" s="71" t="str">
        <f>VLOOKUP(A169,Classification!$A:$D,2,FALSE)</f>
        <v>B1</v>
      </c>
      <c r="D169" s="33" t="str">
        <f>VLOOKUP(B169,Classification!$A:$D,2,FALSE)</f>
        <v>B1</v>
      </c>
      <c r="E169" s="33" t="str">
        <f t="shared" si="2"/>
        <v>Ok</v>
      </c>
    </row>
    <row r="170" spans="1:5" x14ac:dyDescent="0.2">
      <c r="A170" t="s">
        <v>595</v>
      </c>
      <c r="B170" t="s">
        <v>213</v>
      </c>
      <c r="C170" s="71" t="str">
        <f>VLOOKUP(A170,Classification!$A:$D,2,FALSE)</f>
        <v>B1</v>
      </c>
      <c r="D170" s="33" t="str">
        <f>VLOOKUP(B170,Classification!$A:$D,2,FALSE)</f>
        <v>B1</v>
      </c>
      <c r="E170" s="33" t="str">
        <f t="shared" si="2"/>
        <v>Ok</v>
      </c>
    </row>
    <row r="171" spans="1:5" x14ac:dyDescent="0.2">
      <c r="A171" t="s">
        <v>360</v>
      </c>
      <c r="B171" t="s">
        <v>1391</v>
      </c>
      <c r="C171" s="71" t="str">
        <f>VLOOKUP(A171,Classification!$A:$D,2,FALSE)</f>
        <v>A</v>
      </c>
      <c r="D171" s="33" t="str">
        <f>VLOOKUP(B171,Classification!$A:$D,2,FALSE)</f>
        <v>A</v>
      </c>
      <c r="E171" s="33" t="str">
        <f t="shared" si="2"/>
        <v>Ok</v>
      </c>
    </row>
    <row r="172" spans="1:5" x14ac:dyDescent="0.2">
      <c r="A172" t="s">
        <v>395</v>
      </c>
      <c r="B172" t="s">
        <v>1391</v>
      </c>
      <c r="C172" s="71" t="str">
        <f>VLOOKUP(A172,Classification!$A:$D,2,FALSE)</f>
        <v>A</v>
      </c>
      <c r="D172" s="33" t="str">
        <f>VLOOKUP(B172,Classification!$A:$D,2,FALSE)</f>
        <v>A</v>
      </c>
      <c r="E172" s="33" t="str">
        <f t="shared" si="2"/>
        <v>Ok</v>
      </c>
    </row>
    <row r="173" spans="1:5" x14ac:dyDescent="0.2">
      <c r="A173" t="s">
        <v>396</v>
      </c>
      <c r="B173" t="s">
        <v>1391</v>
      </c>
      <c r="C173" s="71" t="str">
        <f>VLOOKUP(A173,Classification!$A:$D,2,FALSE)</f>
        <v>A</v>
      </c>
      <c r="D173" s="33" t="str">
        <f>VLOOKUP(B173,Classification!$A:$D,2,FALSE)</f>
        <v>A</v>
      </c>
      <c r="E173" s="33" t="str">
        <f t="shared" si="2"/>
        <v>Ok</v>
      </c>
    </row>
    <row r="174" spans="1:5" x14ac:dyDescent="0.2">
      <c r="A174" t="s">
        <v>1391</v>
      </c>
      <c r="B174" t="s">
        <v>1391</v>
      </c>
      <c r="C174" s="71" t="str">
        <f>VLOOKUP(A174,Classification!$A:$D,2,FALSE)</f>
        <v>A</v>
      </c>
      <c r="D174" s="33" t="str">
        <f>VLOOKUP(B174,Classification!$A:$D,2,FALSE)</f>
        <v>A</v>
      </c>
      <c r="E174" s="33" t="str">
        <f t="shared" si="2"/>
        <v>Ok</v>
      </c>
    </row>
    <row r="175" spans="1:5" x14ac:dyDescent="0.2">
      <c r="A175" t="s">
        <v>382</v>
      </c>
      <c r="B175" t="s">
        <v>1391</v>
      </c>
      <c r="C175" s="71" t="str">
        <f>VLOOKUP(A175,Classification!$A:$D,2,FALSE)</f>
        <v>A</v>
      </c>
      <c r="D175" s="33" t="str">
        <f>VLOOKUP(B175,Classification!$A:$D,2,FALSE)</f>
        <v>A</v>
      </c>
      <c r="E175" s="33" t="str">
        <f t="shared" si="2"/>
        <v>Ok</v>
      </c>
    </row>
    <row r="176" spans="1:5" x14ac:dyDescent="0.2">
      <c r="A176" t="s">
        <v>381</v>
      </c>
      <c r="B176" t="s">
        <v>1391</v>
      </c>
      <c r="C176" s="71" t="str">
        <f>VLOOKUP(A176,Classification!$A:$D,2,FALSE)</f>
        <v>A</v>
      </c>
      <c r="D176" s="33" t="str">
        <f>VLOOKUP(B176,Classification!$A:$D,2,FALSE)</f>
        <v>A</v>
      </c>
      <c r="E176" s="33" t="str">
        <f t="shared" si="2"/>
        <v>Ok</v>
      </c>
    </row>
    <row r="177" spans="1:5" x14ac:dyDescent="0.2">
      <c r="A177" t="s">
        <v>397</v>
      </c>
      <c r="B177" t="s">
        <v>1391</v>
      </c>
      <c r="C177" s="71" t="str">
        <f>VLOOKUP(A177,Classification!$A:$D,2,FALSE)</f>
        <v>A</v>
      </c>
      <c r="D177" s="33" t="str">
        <f>VLOOKUP(B177,Classification!$A:$D,2,FALSE)</f>
        <v>A</v>
      </c>
      <c r="E177" s="33" t="str">
        <f t="shared" si="2"/>
        <v>Ok</v>
      </c>
    </row>
    <row r="178" spans="1:5" x14ac:dyDescent="0.2">
      <c r="A178" t="s">
        <v>487</v>
      </c>
      <c r="B178" t="s">
        <v>1391</v>
      </c>
      <c r="C178" s="71" t="str">
        <f>VLOOKUP(A178,Classification!$A:$D,2,FALSE)</f>
        <v>A</v>
      </c>
      <c r="D178" s="33" t="str">
        <f>VLOOKUP(B178,Classification!$A:$D,2,FALSE)</f>
        <v>A</v>
      </c>
      <c r="E178" s="33" t="str">
        <f t="shared" si="2"/>
        <v>Ok</v>
      </c>
    </row>
    <row r="179" spans="1:5" x14ac:dyDescent="0.2">
      <c r="A179" t="s">
        <v>386</v>
      </c>
      <c r="B179" t="s">
        <v>386</v>
      </c>
      <c r="C179" s="71" t="str">
        <f>VLOOKUP(A179,Classification!$A:$D,2,FALSE)</f>
        <v>A</v>
      </c>
      <c r="D179" s="33" t="str">
        <f>VLOOKUP(B179,Classification!$A:$D,2,FALSE)</f>
        <v>A</v>
      </c>
      <c r="E179" s="33" t="str">
        <f t="shared" si="2"/>
        <v>Ok</v>
      </c>
    </row>
    <row r="180" spans="1:5" x14ac:dyDescent="0.2">
      <c r="A180" t="s">
        <v>385</v>
      </c>
      <c r="B180" t="s">
        <v>386</v>
      </c>
      <c r="C180" s="71" t="str">
        <f>VLOOKUP(A180,Classification!$A:$D,2,FALSE)</f>
        <v>A</v>
      </c>
      <c r="D180" s="33" t="str">
        <f>VLOOKUP(B180,Classification!$A:$D,2,FALSE)</f>
        <v>A</v>
      </c>
      <c r="E180" s="33" t="str">
        <f t="shared" si="2"/>
        <v>Ok</v>
      </c>
    </row>
    <row r="181" spans="1:5" x14ac:dyDescent="0.2">
      <c r="A181" t="s">
        <v>387</v>
      </c>
      <c r="B181" t="s">
        <v>386</v>
      </c>
      <c r="C181" s="71" t="str">
        <f>VLOOKUP(A181,Classification!$A:$D,2,FALSE)</f>
        <v>A</v>
      </c>
      <c r="D181" s="33" t="str">
        <f>VLOOKUP(B181,Classification!$A:$D,2,FALSE)</f>
        <v>A</v>
      </c>
      <c r="E181" s="33" t="str">
        <f t="shared" si="2"/>
        <v>Ok</v>
      </c>
    </row>
    <row r="182" spans="1:5" x14ac:dyDescent="0.2">
      <c r="A182" t="s">
        <v>350</v>
      </c>
      <c r="B182" t="s">
        <v>386</v>
      </c>
      <c r="C182" s="71" t="str">
        <f>VLOOKUP(A182,Classification!$A:$D,2,FALSE)</f>
        <v>A</v>
      </c>
      <c r="D182" s="33" t="str">
        <f>VLOOKUP(B182,Classification!$A:$D,2,FALSE)</f>
        <v>A</v>
      </c>
      <c r="E182" s="33" t="str">
        <f t="shared" si="2"/>
        <v>Ok</v>
      </c>
    </row>
    <row r="183" spans="1:5" x14ac:dyDescent="0.2">
      <c r="A183" t="s">
        <v>467</v>
      </c>
      <c r="B183" t="s">
        <v>386</v>
      </c>
      <c r="C183" s="71" t="str">
        <f>VLOOKUP(A183,Classification!$A:$D,2,FALSE)</f>
        <v>A</v>
      </c>
      <c r="D183" s="33" t="str">
        <f>VLOOKUP(B183,Classification!$A:$D,2,FALSE)</f>
        <v>A</v>
      </c>
      <c r="E183" s="33" t="str">
        <f t="shared" si="2"/>
        <v>Ok</v>
      </c>
    </row>
    <row r="184" spans="1:5" x14ac:dyDescent="0.2">
      <c r="A184" t="s">
        <v>458</v>
      </c>
      <c r="B184" t="s">
        <v>386</v>
      </c>
      <c r="C184" s="71" t="str">
        <f>VLOOKUP(A184,Classification!$A:$D,2,FALSE)</f>
        <v>A</v>
      </c>
      <c r="D184" s="33" t="str">
        <f>VLOOKUP(B184,Classification!$A:$D,2,FALSE)</f>
        <v>A</v>
      </c>
      <c r="E184" s="33" t="str">
        <f t="shared" si="2"/>
        <v>Ok</v>
      </c>
    </row>
    <row r="185" spans="1:5" x14ac:dyDescent="0.2">
      <c r="A185" t="s">
        <v>560</v>
      </c>
      <c r="B185" t="s">
        <v>386</v>
      </c>
      <c r="C185" s="71" t="str">
        <f>VLOOKUP(A185,Classification!$A:$D,2,FALSE)</f>
        <v>A</v>
      </c>
      <c r="D185" s="33" t="str">
        <f>VLOOKUP(B185,Classification!$A:$D,2,FALSE)</f>
        <v>A</v>
      </c>
      <c r="E185" s="33" t="str">
        <f t="shared" si="2"/>
        <v>Ok</v>
      </c>
    </row>
    <row r="186" spans="1:5" x14ac:dyDescent="0.2">
      <c r="A186" t="s">
        <v>457</v>
      </c>
      <c r="B186" t="s">
        <v>386</v>
      </c>
      <c r="C186" s="71" t="str">
        <f>VLOOKUP(A186,Classification!$A:$D,2,FALSE)</f>
        <v>A</v>
      </c>
      <c r="D186" s="33" t="str">
        <f>VLOOKUP(B186,Classification!$A:$D,2,FALSE)</f>
        <v>A</v>
      </c>
      <c r="E186" s="33" t="str">
        <f t="shared" si="2"/>
        <v>Ok</v>
      </c>
    </row>
    <row r="187" spans="1:5" x14ac:dyDescent="0.2">
      <c r="A187" t="s">
        <v>460</v>
      </c>
      <c r="B187" t="s">
        <v>386</v>
      </c>
      <c r="C187" s="71" t="str">
        <f>VLOOKUP(A187,Classification!$A:$D,2,FALSE)</f>
        <v>A</v>
      </c>
      <c r="D187" s="33" t="str">
        <f>VLOOKUP(B187,Classification!$A:$D,2,FALSE)</f>
        <v>A</v>
      </c>
      <c r="E187" s="33" t="str">
        <f t="shared" si="2"/>
        <v>Ok</v>
      </c>
    </row>
    <row r="188" spans="1:5" x14ac:dyDescent="0.2">
      <c r="A188" t="s">
        <v>390</v>
      </c>
      <c r="B188" t="s">
        <v>390</v>
      </c>
      <c r="C188" s="71" t="str">
        <f>VLOOKUP(A188,Classification!$A:$D,2,FALSE)</f>
        <v>A</v>
      </c>
      <c r="D188" s="33" t="str">
        <f>VLOOKUP(B188,Classification!$A:$D,2,FALSE)</f>
        <v>A</v>
      </c>
      <c r="E188" s="33" t="str">
        <f t="shared" si="2"/>
        <v>Ok</v>
      </c>
    </row>
    <row r="189" spans="1:5" x14ac:dyDescent="0.2">
      <c r="A189" t="s">
        <v>389</v>
      </c>
      <c r="B189" t="s">
        <v>390</v>
      </c>
      <c r="C189" s="71" t="str">
        <f>VLOOKUP(A189,Classification!$A:$D,2,FALSE)</f>
        <v>A</v>
      </c>
      <c r="D189" s="33" t="str">
        <f>VLOOKUP(B189,Classification!$A:$D,2,FALSE)</f>
        <v>A</v>
      </c>
      <c r="E189" s="33" t="str">
        <f t="shared" si="2"/>
        <v>Ok</v>
      </c>
    </row>
    <row r="190" spans="1:5" x14ac:dyDescent="0.2">
      <c r="A190" t="s">
        <v>468</v>
      </c>
      <c r="B190" t="s">
        <v>390</v>
      </c>
      <c r="C190" s="71" t="str">
        <f>VLOOKUP(A190,Classification!$A:$D,2,FALSE)</f>
        <v>A</v>
      </c>
      <c r="D190" s="33" t="str">
        <f>VLOOKUP(B190,Classification!$A:$D,2,FALSE)</f>
        <v>A</v>
      </c>
      <c r="E190" s="33" t="str">
        <f t="shared" si="2"/>
        <v>Ok</v>
      </c>
    </row>
    <row r="191" spans="1:5" x14ac:dyDescent="0.2">
      <c r="A191" t="s">
        <v>449</v>
      </c>
      <c r="B191" t="s">
        <v>390</v>
      </c>
      <c r="C191" s="71" t="str">
        <f>VLOOKUP(A191,Classification!$A:$D,2,FALSE)</f>
        <v>A</v>
      </c>
      <c r="D191" s="33" t="str">
        <f>VLOOKUP(B191,Classification!$A:$D,2,FALSE)</f>
        <v>A</v>
      </c>
      <c r="E191" s="33" t="str">
        <f t="shared" si="2"/>
        <v>Ok</v>
      </c>
    </row>
    <row r="192" spans="1:5" x14ac:dyDescent="0.2">
      <c r="A192" t="s">
        <v>391</v>
      </c>
      <c r="B192" t="s">
        <v>390</v>
      </c>
      <c r="C192" s="71" t="str">
        <f>VLOOKUP(A192,Classification!$A:$D,2,FALSE)</f>
        <v>A</v>
      </c>
      <c r="D192" s="33" t="str">
        <f>VLOOKUP(B192,Classification!$A:$D,2,FALSE)</f>
        <v>A</v>
      </c>
      <c r="E192" s="33" t="str">
        <f t="shared" si="2"/>
        <v>Ok</v>
      </c>
    </row>
    <row r="193" spans="1:5" x14ac:dyDescent="0.2">
      <c r="A193" t="s">
        <v>511</v>
      </c>
      <c r="B193" t="s">
        <v>390</v>
      </c>
      <c r="C193" s="71" t="str">
        <f>VLOOKUP(A193,Classification!$A:$D,2,FALSE)</f>
        <v>A</v>
      </c>
      <c r="D193" s="33" t="str">
        <f>VLOOKUP(B193,Classification!$A:$D,2,FALSE)</f>
        <v>A</v>
      </c>
      <c r="E193" s="33" t="str">
        <f t="shared" si="2"/>
        <v>Ok</v>
      </c>
    </row>
    <row r="194" spans="1:5" x14ac:dyDescent="0.2">
      <c r="A194" t="s">
        <v>1392</v>
      </c>
      <c r="B194" t="s">
        <v>1392</v>
      </c>
      <c r="C194" s="71" t="str">
        <f>VLOOKUP(A194,Classification!$A:$D,2,FALSE)</f>
        <v>A</v>
      </c>
      <c r="D194" s="33" t="str">
        <f>VLOOKUP(B194,Classification!$A:$D,2,FALSE)</f>
        <v>A</v>
      </c>
      <c r="E194" s="33" t="str">
        <f t="shared" ref="E194:E257" si="3">IF(C194=D194,"Ok","Different Classes")</f>
        <v>Ok</v>
      </c>
    </row>
    <row r="195" spans="1:5" x14ac:dyDescent="0.2">
      <c r="A195" t="s">
        <v>392</v>
      </c>
      <c r="B195" t="s">
        <v>1392</v>
      </c>
      <c r="C195" s="71" t="str">
        <f>VLOOKUP(A195,Classification!$A:$D,2,FALSE)</f>
        <v>A</v>
      </c>
      <c r="D195" s="33" t="str">
        <f>VLOOKUP(B195,Classification!$A:$D,2,FALSE)</f>
        <v>A</v>
      </c>
      <c r="E195" s="33" t="str">
        <f t="shared" si="3"/>
        <v>Ok</v>
      </c>
    </row>
    <row r="196" spans="1:5" x14ac:dyDescent="0.2">
      <c r="A196" t="s">
        <v>598</v>
      </c>
      <c r="B196" t="s">
        <v>206</v>
      </c>
      <c r="C196" s="71" t="str">
        <f>VLOOKUP(A196,Classification!$A:$D,2,FALSE)</f>
        <v>B1</v>
      </c>
      <c r="D196" s="33" t="str">
        <f>VLOOKUP(B196,Classification!$A:$D,2,FALSE)</f>
        <v>B1</v>
      </c>
      <c r="E196" s="33" t="str">
        <f t="shared" si="3"/>
        <v>Ok</v>
      </c>
    </row>
    <row r="197" spans="1:5" x14ac:dyDescent="0.2">
      <c r="A197" t="s">
        <v>605</v>
      </c>
      <c r="B197" t="s">
        <v>206</v>
      </c>
      <c r="C197" s="71" t="str">
        <f>VLOOKUP(A197,Classification!$A:$D,2,FALSE)</f>
        <v>B1</v>
      </c>
      <c r="D197" s="33" t="str">
        <f>VLOOKUP(B197,Classification!$A:$D,2,FALSE)</f>
        <v>B1</v>
      </c>
      <c r="E197" s="33" t="str">
        <f t="shared" si="3"/>
        <v>Ok</v>
      </c>
    </row>
    <row r="198" spans="1:5" x14ac:dyDescent="0.2">
      <c r="A198" t="s">
        <v>600</v>
      </c>
      <c r="B198" t="s">
        <v>206</v>
      </c>
      <c r="C198" s="71" t="str">
        <f>VLOOKUP(A198,Classification!$A:$D,2,FALSE)</f>
        <v>B1</v>
      </c>
      <c r="D198" s="33" t="str">
        <f>VLOOKUP(B198,Classification!$A:$D,2,FALSE)</f>
        <v>B1</v>
      </c>
      <c r="E198" s="33" t="str">
        <f t="shared" si="3"/>
        <v>Ok</v>
      </c>
    </row>
    <row r="199" spans="1:5" x14ac:dyDescent="0.2">
      <c r="A199" t="s">
        <v>607</v>
      </c>
      <c r="B199" t="s">
        <v>206</v>
      </c>
      <c r="C199" s="71" t="str">
        <f>VLOOKUP(A199,Classification!$A:$D,2,FALSE)</f>
        <v>B1</v>
      </c>
      <c r="D199" s="33" t="str">
        <f>VLOOKUP(B199,Classification!$A:$D,2,FALSE)</f>
        <v>B1</v>
      </c>
      <c r="E199" s="33" t="str">
        <f t="shared" si="3"/>
        <v>Ok</v>
      </c>
    </row>
    <row r="200" spans="1:5" x14ac:dyDescent="0.2">
      <c r="A200" t="s">
        <v>602</v>
      </c>
      <c r="B200" t="s">
        <v>206</v>
      </c>
      <c r="C200" s="71" t="str">
        <f>VLOOKUP(A200,Classification!$A:$D,2,FALSE)</f>
        <v>B1</v>
      </c>
      <c r="D200" s="33" t="str">
        <f>VLOOKUP(B200,Classification!$A:$D,2,FALSE)</f>
        <v>B1</v>
      </c>
      <c r="E200" s="33" t="str">
        <f t="shared" si="3"/>
        <v>Ok</v>
      </c>
    </row>
    <row r="201" spans="1:5" x14ac:dyDescent="0.2">
      <c r="A201" t="s">
        <v>606</v>
      </c>
      <c r="B201" t="s">
        <v>206</v>
      </c>
      <c r="C201" s="71" t="str">
        <f>VLOOKUP(A201,Classification!$A:$D,2,FALSE)</f>
        <v>B1</v>
      </c>
      <c r="D201" s="33" t="str">
        <f>VLOOKUP(B201,Classification!$A:$D,2,FALSE)</f>
        <v>B1</v>
      </c>
      <c r="E201" s="33" t="str">
        <f t="shared" si="3"/>
        <v>Ok</v>
      </c>
    </row>
    <row r="202" spans="1:5" x14ac:dyDescent="0.2">
      <c r="A202" t="s">
        <v>599</v>
      </c>
      <c r="B202" t="s">
        <v>206</v>
      </c>
      <c r="C202" s="71" t="str">
        <f>VLOOKUP(A202,Classification!$A:$D,2,FALSE)</f>
        <v>B1</v>
      </c>
      <c r="D202" s="33" t="str">
        <f>VLOOKUP(B202,Classification!$A:$D,2,FALSE)</f>
        <v>B1</v>
      </c>
      <c r="E202" s="33" t="str">
        <f t="shared" si="3"/>
        <v>Ok</v>
      </c>
    </row>
    <row r="203" spans="1:5" x14ac:dyDescent="0.2">
      <c r="A203" t="s">
        <v>206</v>
      </c>
      <c r="B203" t="s">
        <v>206</v>
      </c>
      <c r="C203" s="71" t="str">
        <f>VLOOKUP(A203,Classification!$A:$D,2,FALSE)</f>
        <v>B1</v>
      </c>
      <c r="D203" s="33" t="str">
        <f>VLOOKUP(B203,Classification!$A:$D,2,FALSE)</f>
        <v>B1</v>
      </c>
      <c r="E203" s="33" t="str">
        <f t="shared" si="3"/>
        <v>Ok</v>
      </c>
    </row>
    <row r="204" spans="1:5" x14ac:dyDescent="0.2">
      <c r="A204" t="s">
        <v>601</v>
      </c>
      <c r="B204" t="s">
        <v>206</v>
      </c>
      <c r="C204" s="71" t="str">
        <f>VLOOKUP(A204,Classification!$A:$D,2,FALSE)</f>
        <v>B1</v>
      </c>
      <c r="D204" s="33" t="str">
        <f>VLOOKUP(B204,Classification!$A:$D,2,FALSE)</f>
        <v>B1</v>
      </c>
      <c r="E204" s="33" t="str">
        <f t="shared" si="3"/>
        <v>Ok</v>
      </c>
    </row>
    <row r="205" spans="1:5" x14ac:dyDescent="0.2">
      <c r="A205" t="s">
        <v>603</v>
      </c>
      <c r="B205" t="s">
        <v>206</v>
      </c>
      <c r="C205" s="71" t="str">
        <f>VLOOKUP(A205,Classification!$A:$D,2,FALSE)</f>
        <v>B1</v>
      </c>
      <c r="D205" s="33" t="str">
        <f>VLOOKUP(B205,Classification!$A:$D,2,FALSE)</f>
        <v>B1</v>
      </c>
      <c r="E205" s="33" t="str">
        <f t="shared" si="3"/>
        <v>Ok</v>
      </c>
    </row>
    <row r="206" spans="1:5" x14ac:dyDescent="0.2">
      <c r="A206" t="s">
        <v>604</v>
      </c>
      <c r="B206" t="s">
        <v>206</v>
      </c>
      <c r="C206" s="71" t="str">
        <f>VLOOKUP(A206,Classification!$A:$D,2,FALSE)</f>
        <v>B1</v>
      </c>
      <c r="D206" s="33" t="str">
        <f>VLOOKUP(B206,Classification!$A:$D,2,FALSE)</f>
        <v>B1</v>
      </c>
      <c r="E206" s="33" t="str">
        <f t="shared" si="3"/>
        <v>Ok</v>
      </c>
    </row>
    <row r="207" spans="1:5" x14ac:dyDescent="0.2">
      <c r="A207" t="s">
        <v>317</v>
      </c>
      <c r="B207" t="s">
        <v>223</v>
      </c>
      <c r="C207" s="71" t="str">
        <f>VLOOKUP(A207,Classification!$A:$D,2,FALSE)</f>
        <v>C</v>
      </c>
      <c r="D207" s="33" t="str">
        <f>VLOOKUP(B207,Classification!$A:$D,2,FALSE)</f>
        <v>C</v>
      </c>
      <c r="E207" s="33" t="str">
        <f t="shared" si="3"/>
        <v>Ok</v>
      </c>
    </row>
    <row r="208" spans="1:5" x14ac:dyDescent="0.2">
      <c r="A208" t="s">
        <v>316</v>
      </c>
      <c r="B208" t="s">
        <v>223</v>
      </c>
      <c r="C208" s="71" t="str">
        <f>VLOOKUP(A208,Classification!$A:$D,2,FALSE)</f>
        <v>C</v>
      </c>
      <c r="D208" s="33" t="str">
        <f>VLOOKUP(B208,Classification!$A:$D,2,FALSE)</f>
        <v>C</v>
      </c>
      <c r="E208" s="33" t="str">
        <f t="shared" si="3"/>
        <v>Ok</v>
      </c>
    </row>
    <row r="209" spans="1:5" x14ac:dyDescent="0.2">
      <c r="A209" t="s">
        <v>318</v>
      </c>
      <c r="B209" t="s">
        <v>223</v>
      </c>
      <c r="C209" s="71" t="str">
        <f>VLOOKUP(A209,Classification!$A:$D,2,FALSE)</f>
        <v>C</v>
      </c>
      <c r="D209" s="33" t="str">
        <f>VLOOKUP(B209,Classification!$A:$D,2,FALSE)</f>
        <v>C</v>
      </c>
      <c r="E209" s="33" t="str">
        <f t="shared" si="3"/>
        <v>Ok</v>
      </c>
    </row>
    <row r="210" spans="1:5" x14ac:dyDescent="0.2">
      <c r="A210" t="s">
        <v>307</v>
      </c>
      <c r="B210" t="s">
        <v>223</v>
      </c>
      <c r="C210" s="71" t="str">
        <f>VLOOKUP(A210,Classification!$A:$D,2,FALSE)</f>
        <v>C</v>
      </c>
      <c r="D210" s="33" t="str">
        <f>VLOOKUP(B210,Classification!$A:$D,2,FALSE)</f>
        <v>C</v>
      </c>
      <c r="E210" s="33" t="str">
        <f t="shared" si="3"/>
        <v>Ok</v>
      </c>
    </row>
    <row r="211" spans="1:5" x14ac:dyDescent="0.2">
      <c r="A211" t="s">
        <v>315</v>
      </c>
      <c r="B211" t="s">
        <v>223</v>
      </c>
      <c r="C211" s="71" t="str">
        <f>VLOOKUP(A211,Classification!$A:$D,2,FALSE)</f>
        <v>C</v>
      </c>
      <c r="D211" s="33" t="str">
        <f>VLOOKUP(B211,Classification!$A:$D,2,FALSE)</f>
        <v>C</v>
      </c>
      <c r="E211" s="33" t="str">
        <f t="shared" si="3"/>
        <v>Ok</v>
      </c>
    </row>
    <row r="212" spans="1:5" x14ac:dyDescent="0.2">
      <c r="A212" t="s">
        <v>308</v>
      </c>
      <c r="B212" t="s">
        <v>223</v>
      </c>
      <c r="C212" s="71" t="str">
        <f>VLOOKUP(A212,Classification!$A:$D,2,FALSE)</f>
        <v>C</v>
      </c>
      <c r="D212" s="33" t="str">
        <f>VLOOKUP(B212,Classification!$A:$D,2,FALSE)</f>
        <v>C</v>
      </c>
      <c r="E212" s="33" t="str">
        <f t="shared" si="3"/>
        <v>Ok</v>
      </c>
    </row>
    <row r="213" spans="1:5" x14ac:dyDescent="0.2">
      <c r="A213" t="s">
        <v>300</v>
      </c>
      <c r="B213" t="s">
        <v>223</v>
      </c>
      <c r="C213" s="71" t="str">
        <f>VLOOKUP(A213,Classification!$A:$D,2,FALSE)</f>
        <v>C</v>
      </c>
      <c r="D213" s="33" t="str">
        <f>VLOOKUP(B213,Classification!$A:$D,2,FALSE)</f>
        <v>C</v>
      </c>
      <c r="E213" s="33" t="str">
        <f t="shared" si="3"/>
        <v>Ok</v>
      </c>
    </row>
    <row r="214" spans="1:5" x14ac:dyDescent="0.2">
      <c r="A214" t="s">
        <v>305</v>
      </c>
      <c r="B214" t="s">
        <v>223</v>
      </c>
      <c r="C214" s="71" t="str">
        <f>VLOOKUP(A214,Classification!$A:$D,2,FALSE)</f>
        <v>C</v>
      </c>
      <c r="D214" s="33" t="str">
        <f>VLOOKUP(B214,Classification!$A:$D,2,FALSE)</f>
        <v>C</v>
      </c>
      <c r="E214" s="33" t="str">
        <f t="shared" si="3"/>
        <v>Ok</v>
      </c>
    </row>
    <row r="215" spans="1:5" x14ac:dyDescent="0.2">
      <c r="A215" t="s">
        <v>306</v>
      </c>
      <c r="B215" t="s">
        <v>223</v>
      </c>
      <c r="C215" s="71" t="str">
        <f>VLOOKUP(A215,Classification!$A:$D,2,FALSE)</f>
        <v>C</v>
      </c>
      <c r="D215" s="33" t="str">
        <f>VLOOKUP(B215,Classification!$A:$D,2,FALSE)</f>
        <v>C</v>
      </c>
      <c r="E215" s="33" t="str">
        <f t="shared" si="3"/>
        <v>Ok</v>
      </c>
    </row>
    <row r="216" spans="1:5" x14ac:dyDescent="0.2">
      <c r="A216" t="s">
        <v>223</v>
      </c>
      <c r="B216" t="s">
        <v>223</v>
      </c>
      <c r="C216" s="71" t="str">
        <f>VLOOKUP(A216,Classification!$A:$D,2,FALSE)</f>
        <v>C</v>
      </c>
      <c r="D216" s="33" t="str">
        <f>VLOOKUP(B216,Classification!$A:$D,2,FALSE)</f>
        <v>C</v>
      </c>
      <c r="E216" s="33" t="str">
        <f t="shared" si="3"/>
        <v>Ok</v>
      </c>
    </row>
    <row r="217" spans="1:5" x14ac:dyDescent="0.2">
      <c r="A217" t="s">
        <v>302</v>
      </c>
      <c r="B217" t="s">
        <v>223</v>
      </c>
      <c r="C217" s="71" t="str">
        <f>VLOOKUP(A217,Classification!$A:$D,2,FALSE)</f>
        <v>C</v>
      </c>
      <c r="D217" s="33" t="str">
        <f>VLOOKUP(B217,Classification!$A:$D,2,FALSE)</f>
        <v>C</v>
      </c>
      <c r="E217" s="33" t="str">
        <f t="shared" si="3"/>
        <v>Ok</v>
      </c>
    </row>
    <row r="218" spans="1:5" x14ac:dyDescent="0.2">
      <c r="A218" t="s">
        <v>303</v>
      </c>
      <c r="B218" t="s">
        <v>223</v>
      </c>
      <c r="C218" s="71" t="str">
        <f>VLOOKUP(A218,Classification!$A:$D,2,FALSE)</f>
        <v>C</v>
      </c>
      <c r="D218" s="33" t="str">
        <f>VLOOKUP(B218,Classification!$A:$D,2,FALSE)</f>
        <v>C</v>
      </c>
      <c r="E218" s="33" t="str">
        <f t="shared" si="3"/>
        <v>Ok</v>
      </c>
    </row>
    <row r="219" spans="1:5" x14ac:dyDescent="0.2">
      <c r="A219" t="s">
        <v>304</v>
      </c>
      <c r="B219" t="s">
        <v>223</v>
      </c>
      <c r="C219" s="71" t="str">
        <f>VLOOKUP(A219,Classification!$A:$D,2,FALSE)</f>
        <v>C</v>
      </c>
      <c r="D219" s="33" t="str">
        <f>VLOOKUP(B219,Classification!$A:$D,2,FALSE)</f>
        <v>C</v>
      </c>
      <c r="E219" s="33" t="str">
        <f t="shared" si="3"/>
        <v>Ok</v>
      </c>
    </row>
    <row r="220" spans="1:5" x14ac:dyDescent="0.2">
      <c r="A220" t="s">
        <v>312</v>
      </c>
      <c r="B220" t="s">
        <v>224</v>
      </c>
      <c r="C220" s="71" t="str">
        <f>VLOOKUP(A220,Classification!$A:$D,2,FALSE)</f>
        <v>C</v>
      </c>
      <c r="D220" s="33" t="str">
        <f>VLOOKUP(B220,Classification!$A:$D,2,FALSE)</f>
        <v>C</v>
      </c>
      <c r="E220" s="33" t="str">
        <f t="shared" si="3"/>
        <v>Ok</v>
      </c>
    </row>
    <row r="221" spans="1:5" x14ac:dyDescent="0.2">
      <c r="A221" t="s">
        <v>310</v>
      </c>
      <c r="B221" t="s">
        <v>224</v>
      </c>
      <c r="C221" s="71" t="str">
        <f>VLOOKUP(A221,Classification!$A:$D,2,FALSE)</f>
        <v>C</v>
      </c>
      <c r="D221" s="33" t="str">
        <f>VLOOKUP(B221,Classification!$A:$D,2,FALSE)</f>
        <v>C</v>
      </c>
      <c r="E221" s="33" t="str">
        <f t="shared" si="3"/>
        <v>Ok</v>
      </c>
    </row>
    <row r="222" spans="1:5" x14ac:dyDescent="0.2">
      <c r="A222" t="s">
        <v>309</v>
      </c>
      <c r="B222" t="s">
        <v>224</v>
      </c>
      <c r="C222" s="71" t="str">
        <f>VLOOKUP(A222,Classification!$A:$D,2,FALSE)</f>
        <v>C</v>
      </c>
      <c r="D222" s="33" t="str">
        <f>VLOOKUP(B222,Classification!$A:$D,2,FALSE)</f>
        <v>C</v>
      </c>
      <c r="E222" s="33" t="str">
        <f t="shared" si="3"/>
        <v>Ok</v>
      </c>
    </row>
    <row r="223" spans="1:5" x14ac:dyDescent="0.2">
      <c r="A223" t="s">
        <v>314</v>
      </c>
      <c r="B223" t="s">
        <v>224</v>
      </c>
      <c r="C223" s="71" t="str">
        <f>VLOOKUP(A223,Classification!$A:$D,2,FALSE)</f>
        <v>C</v>
      </c>
      <c r="D223" s="33" t="str">
        <f>VLOOKUP(B223,Classification!$A:$D,2,FALSE)</f>
        <v>C</v>
      </c>
      <c r="E223" s="33" t="str">
        <f t="shared" si="3"/>
        <v>Ok</v>
      </c>
    </row>
    <row r="224" spans="1:5" x14ac:dyDescent="0.2">
      <c r="A224" t="s">
        <v>311</v>
      </c>
      <c r="B224" t="s">
        <v>224</v>
      </c>
      <c r="C224" s="71" t="str">
        <f>VLOOKUP(A224,Classification!$A:$D,2,FALSE)</f>
        <v>C</v>
      </c>
      <c r="D224" s="33" t="str">
        <f>VLOOKUP(B224,Classification!$A:$D,2,FALSE)</f>
        <v>C</v>
      </c>
      <c r="E224" s="33" t="str">
        <f t="shared" si="3"/>
        <v>Ok</v>
      </c>
    </row>
    <row r="225" spans="1:7" x14ac:dyDescent="0.2">
      <c r="A225" t="s">
        <v>313</v>
      </c>
      <c r="B225" t="s">
        <v>224</v>
      </c>
      <c r="C225" s="71" t="str">
        <f>VLOOKUP(A225,Classification!$A:$D,2,FALSE)</f>
        <v>C</v>
      </c>
      <c r="D225" s="33" t="str">
        <f>VLOOKUP(B225,Classification!$A:$D,2,FALSE)</f>
        <v>C</v>
      </c>
      <c r="E225" s="33" t="str">
        <f t="shared" si="3"/>
        <v>Ok</v>
      </c>
    </row>
    <row r="226" spans="1:7" x14ac:dyDescent="0.2">
      <c r="A226" t="s">
        <v>301</v>
      </c>
      <c r="B226" t="s">
        <v>224</v>
      </c>
      <c r="C226" s="71" t="str">
        <f>VLOOKUP(A226,Classification!$A:$D,2,FALSE)</f>
        <v>C</v>
      </c>
      <c r="D226" s="33" t="str">
        <f>VLOOKUP(B226,Classification!$A:$D,2,FALSE)</f>
        <v>C</v>
      </c>
      <c r="E226" s="33" t="str">
        <f t="shared" si="3"/>
        <v>Ok</v>
      </c>
    </row>
    <row r="227" spans="1:7" x14ac:dyDescent="0.2">
      <c r="A227" t="s">
        <v>299</v>
      </c>
      <c r="B227" t="s">
        <v>224</v>
      </c>
      <c r="C227" s="71" t="str">
        <f>VLOOKUP(A227,Classification!$A:$D,2,FALSE)</f>
        <v>C</v>
      </c>
      <c r="D227" s="33" t="str">
        <f>VLOOKUP(B227,Classification!$A:$D,2,FALSE)</f>
        <v>C</v>
      </c>
      <c r="E227" s="33" t="str">
        <f t="shared" si="3"/>
        <v>Ok</v>
      </c>
    </row>
    <row r="228" spans="1:7" x14ac:dyDescent="0.2">
      <c r="A228" t="s">
        <v>224</v>
      </c>
      <c r="B228" t="s">
        <v>224</v>
      </c>
      <c r="C228" s="71" t="str">
        <f>VLOOKUP(A228,Classification!$A:$D,2,FALSE)</f>
        <v>C</v>
      </c>
      <c r="D228" s="33" t="str">
        <f>VLOOKUP(B228,Classification!$A:$D,2,FALSE)</f>
        <v>C</v>
      </c>
      <c r="E228" s="33" t="str">
        <f t="shared" si="3"/>
        <v>Ok</v>
      </c>
    </row>
    <row r="229" spans="1:7" x14ac:dyDescent="0.2">
      <c r="A229" t="s">
        <v>472</v>
      </c>
      <c r="B229" t="s">
        <v>472</v>
      </c>
      <c r="C229" s="71" t="str">
        <f>VLOOKUP(A229,Classification!$A:$D,2,FALSE)</f>
        <v>A</v>
      </c>
      <c r="D229" s="33" t="str">
        <f>VLOOKUP(B229,Classification!$A:$D,2,FALSE)</f>
        <v>A</v>
      </c>
      <c r="E229" s="33" t="str">
        <f t="shared" si="3"/>
        <v>Ok</v>
      </c>
    </row>
    <row r="230" spans="1:7" x14ac:dyDescent="0.2">
      <c r="A230" t="s">
        <v>413</v>
      </c>
      <c r="B230" t="s">
        <v>472</v>
      </c>
      <c r="C230" s="71" t="str">
        <f>VLOOKUP(A230,Classification!$A:$D,2,FALSE)</f>
        <v>A</v>
      </c>
      <c r="D230" s="33" t="str">
        <f>VLOOKUP(B230,Classification!$A:$D,2,FALSE)</f>
        <v>A</v>
      </c>
      <c r="E230" s="33" t="str">
        <f t="shared" si="3"/>
        <v>Ok</v>
      </c>
    </row>
    <row r="231" spans="1:7" x14ac:dyDescent="0.2">
      <c r="A231" t="s">
        <v>420</v>
      </c>
      <c r="B231" t="s">
        <v>472</v>
      </c>
      <c r="C231" s="71" t="str">
        <f>VLOOKUP(A231,Classification!$A:$D,2,FALSE)</f>
        <v>A</v>
      </c>
      <c r="D231" s="33" t="str">
        <f>VLOOKUP(B231,Classification!$A:$D,2,FALSE)</f>
        <v>A</v>
      </c>
      <c r="E231" s="33" t="str">
        <f t="shared" si="3"/>
        <v>Ok</v>
      </c>
    </row>
    <row r="232" spans="1:7" x14ac:dyDescent="0.2">
      <c r="A232" t="s">
        <v>439</v>
      </c>
      <c r="B232" t="s">
        <v>472</v>
      </c>
      <c r="C232" s="71" t="str">
        <f>VLOOKUP(A232,Classification!$A:$D,2,FALSE)</f>
        <v>A</v>
      </c>
      <c r="D232" s="33" t="str">
        <f>VLOOKUP(B232,Classification!$A:$D,2,FALSE)</f>
        <v>A</v>
      </c>
      <c r="E232" s="33" t="str">
        <f t="shared" si="3"/>
        <v>Ok</v>
      </c>
    </row>
    <row r="233" spans="1:7" x14ac:dyDescent="0.2">
      <c r="A233" t="s">
        <v>443</v>
      </c>
      <c r="B233" t="s">
        <v>297</v>
      </c>
      <c r="C233" s="71" t="str">
        <f>VLOOKUP(A233,Classification!$A:$D,2,FALSE)</f>
        <v>A</v>
      </c>
      <c r="D233" s="33" t="str">
        <f>VLOOKUP(B233,Classification!$A:$D,2,FALSE)</f>
        <v>A</v>
      </c>
      <c r="E233" s="33" t="str">
        <f t="shared" si="3"/>
        <v>Ok</v>
      </c>
    </row>
    <row r="234" spans="1:7" x14ac:dyDescent="0.2">
      <c r="A234" t="s">
        <v>297</v>
      </c>
      <c r="B234" t="s">
        <v>297</v>
      </c>
      <c r="C234" s="71" t="str">
        <f>VLOOKUP(A234,Classification!$A:$D,2,FALSE)</f>
        <v>A</v>
      </c>
      <c r="D234" s="33" t="str">
        <f>VLOOKUP(B234,Classification!$A:$D,2,FALSE)</f>
        <v>A</v>
      </c>
      <c r="E234" s="33" t="str">
        <f t="shared" si="3"/>
        <v>Ok</v>
      </c>
    </row>
    <row r="235" spans="1:7" x14ac:dyDescent="0.2">
      <c r="A235" t="s">
        <v>480</v>
      </c>
      <c r="B235" t="s">
        <v>297</v>
      </c>
      <c r="C235" s="71" t="str">
        <f>VLOOKUP(A235,Classification!$A:$D,2,FALSE)</f>
        <v>A</v>
      </c>
      <c r="D235" s="33" t="str">
        <f>VLOOKUP(B235,Classification!$A:$D,2,FALSE)</f>
        <v>A</v>
      </c>
      <c r="E235" s="33" t="str">
        <f t="shared" si="3"/>
        <v>Ok</v>
      </c>
    </row>
    <row r="236" spans="1:7" x14ac:dyDescent="0.2">
      <c r="A236" t="s">
        <v>481</v>
      </c>
      <c r="B236" t="s">
        <v>297</v>
      </c>
      <c r="C236" s="71" t="str">
        <f>VLOOKUP(A236,Classification!$A:$D,2,FALSE)</f>
        <v>A</v>
      </c>
      <c r="D236" s="33" t="str">
        <f>VLOOKUP(B236,Classification!$A:$D,2,FALSE)</f>
        <v>A</v>
      </c>
      <c r="E236" s="33" t="str">
        <f t="shared" si="3"/>
        <v>Ok</v>
      </c>
      <c r="G236" s="17"/>
    </row>
    <row r="237" spans="1:7" x14ac:dyDescent="0.2">
      <c r="A237" t="s">
        <v>377</v>
      </c>
      <c r="B237" t="s">
        <v>297</v>
      </c>
      <c r="C237" s="71" t="str">
        <f>VLOOKUP(A237,Classification!$A:$D,2,FALSE)</f>
        <v>A</v>
      </c>
      <c r="D237" s="33" t="str">
        <f>VLOOKUP(B237,Classification!$A:$D,2,FALSE)</f>
        <v>A</v>
      </c>
      <c r="E237" s="33" t="str">
        <f t="shared" si="3"/>
        <v>Ok</v>
      </c>
    </row>
    <row r="238" spans="1:7" x14ac:dyDescent="0.2">
      <c r="A238" t="s">
        <v>376</v>
      </c>
      <c r="B238" t="s">
        <v>297</v>
      </c>
      <c r="C238" s="71" t="str">
        <f>VLOOKUP(A238,Classification!$A:$D,2,FALSE)</f>
        <v>A</v>
      </c>
      <c r="D238" s="33" t="str">
        <f>VLOOKUP(B238,Classification!$A:$D,2,FALSE)</f>
        <v>A</v>
      </c>
      <c r="E238" s="33" t="str">
        <f t="shared" si="3"/>
        <v>Ok</v>
      </c>
    </row>
    <row r="239" spans="1:7" x14ac:dyDescent="0.2">
      <c r="A239" t="s">
        <v>556</v>
      </c>
      <c r="B239" t="s">
        <v>1110</v>
      </c>
      <c r="C239" s="71" t="str">
        <f>VLOOKUP(A239,Classification!$A:$D,2,FALSE)</f>
        <v>A</v>
      </c>
      <c r="D239" s="33" t="str">
        <f>VLOOKUP(B239,Classification!$A:$D,2,FALSE)</f>
        <v>A</v>
      </c>
      <c r="E239" s="33" t="str">
        <f t="shared" si="3"/>
        <v>Ok</v>
      </c>
    </row>
    <row r="240" spans="1:7" x14ac:dyDescent="0.2">
      <c r="A240" t="s">
        <v>403</v>
      </c>
      <c r="B240" t="s">
        <v>1110</v>
      </c>
      <c r="C240" s="71" t="str">
        <f>VLOOKUP(A240,Classification!$A:$D,2,FALSE)</f>
        <v>A</v>
      </c>
      <c r="D240" s="33" t="str">
        <f>VLOOKUP(B240,Classification!$A:$D,2,FALSE)</f>
        <v>A</v>
      </c>
      <c r="E240" s="33" t="str">
        <f t="shared" si="3"/>
        <v>Ok</v>
      </c>
    </row>
    <row r="241" spans="1:5" x14ac:dyDescent="0.2">
      <c r="A241" t="s">
        <v>524</v>
      </c>
      <c r="B241" t="s">
        <v>1110</v>
      </c>
      <c r="C241" s="71" t="str">
        <f>VLOOKUP(A241,Classification!$A:$D,2,FALSE)</f>
        <v>A</v>
      </c>
      <c r="D241" s="33" t="str">
        <f>VLOOKUP(B241,Classification!$A:$D,2,FALSE)</f>
        <v>A</v>
      </c>
      <c r="E241" s="33" t="str">
        <f t="shared" si="3"/>
        <v>Ok</v>
      </c>
    </row>
    <row r="242" spans="1:5" x14ac:dyDescent="0.2">
      <c r="A242" t="s">
        <v>321</v>
      </c>
      <c r="B242" t="s">
        <v>1110</v>
      </c>
      <c r="C242" s="71" t="str">
        <f>VLOOKUP(A242,Classification!$A:$D,2,FALSE)</f>
        <v>A</v>
      </c>
      <c r="D242" s="33" t="str">
        <f>VLOOKUP(B242,Classification!$A:$D,2,FALSE)</f>
        <v>A</v>
      </c>
      <c r="E242" s="33" t="str">
        <f t="shared" si="3"/>
        <v>Ok</v>
      </c>
    </row>
    <row r="243" spans="1:5" x14ac:dyDescent="0.2">
      <c r="A243" t="s">
        <v>1110</v>
      </c>
      <c r="B243" t="s">
        <v>1110</v>
      </c>
      <c r="C243" s="71" t="str">
        <f>VLOOKUP(A243,Classification!$A:$D,2,FALSE)</f>
        <v>A</v>
      </c>
      <c r="D243" s="33" t="str">
        <f>VLOOKUP(B243,Classification!$A:$D,2,FALSE)</f>
        <v>A</v>
      </c>
      <c r="E243" s="33" t="str">
        <f t="shared" si="3"/>
        <v>Ok</v>
      </c>
    </row>
    <row r="244" spans="1:5" x14ac:dyDescent="0.2">
      <c r="A244" t="s">
        <v>504</v>
      </c>
      <c r="B244" t="s">
        <v>1110</v>
      </c>
      <c r="C244" s="71" t="str">
        <f>VLOOKUP(A244,Classification!$A:$D,2,FALSE)</f>
        <v>A</v>
      </c>
      <c r="D244" s="33" t="str">
        <f>VLOOKUP(B244,Classification!$A:$D,2,FALSE)</f>
        <v>A</v>
      </c>
      <c r="E244" s="33" t="str">
        <f t="shared" si="3"/>
        <v>Ok</v>
      </c>
    </row>
    <row r="245" spans="1:5" x14ac:dyDescent="0.2">
      <c r="A245" t="s">
        <v>410</v>
      </c>
      <c r="B245" t="s">
        <v>1110</v>
      </c>
      <c r="C245" s="71" t="str">
        <f>VLOOKUP(A245,Classification!$A:$D,2,FALSE)</f>
        <v>A</v>
      </c>
      <c r="D245" s="33" t="str">
        <f>VLOOKUP(B245,Classification!$A:$D,2,FALSE)</f>
        <v>A</v>
      </c>
      <c r="E245" s="33" t="str">
        <f t="shared" si="3"/>
        <v>Ok</v>
      </c>
    </row>
    <row r="246" spans="1:5" x14ac:dyDescent="0.2">
      <c r="A246" t="s">
        <v>512</v>
      </c>
      <c r="B246" t="s">
        <v>1110</v>
      </c>
      <c r="C246" s="71" t="str">
        <f>VLOOKUP(A246,Classification!$A:$D,2,FALSE)</f>
        <v>A</v>
      </c>
      <c r="D246" s="33" t="str">
        <f>VLOOKUP(B246,Classification!$A:$D,2,FALSE)</f>
        <v>A</v>
      </c>
      <c r="E246" s="33" t="str">
        <f t="shared" si="3"/>
        <v>Ok</v>
      </c>
    </row>
    <row r="247" spans="1:5" x14ac:dyDescent="0.2">
      <c r="A247" t="s">
        <v>513</v>
      </c>
      <c r="B247" t="s">
        <v>1110</v>
      </c>
      <c r="C247" s="71" t="str">
        <f>VLOOKUP(A247,Classification!$A:$D,2,FALSE)</f>
        <v>A</v>
      </c>
      <c r="D247" s="33" t="str">
        <f>VLOOKUP(B247,Classification!$A:$D,2,FALSE)</f>
        <v>A</v>
      </c>
      <c r="E247" s="33" t="str">
        <f t="shared" si="3"/>
        <v>Ok</v>
      </c>
    </row>
    <row r="248" spans="1:5" x14ac:dyDescent="0.2">
      <c r="A248" t="s">
        <v>450</v>
      </c>
      <c r="B248" t="s">
        <v>1110</v>
      </c>
      <c r="C248" s="71" t="str">
        <f>VLOOKUP(A248,Classification!$A:$D,2,FALSE)</f>
        <v>A</v>
      </c>
      <c r="D248" s="33" t="str">
        <f>VLOOKUP(B248,Classification!$A:$D,2,FALSE)</f>
        <v>A</v>
      </c>
      <c r="E248" s="33" t="str">
        <f t="shared" si="3"/>
        <v>Ok</v>
      </c>
    </row>
    <row r="249" spans="1:5" x14ac:dyDescent="0.2">
      <c r="A249" t="s">
        <v>418</v>
      </c>
      <c r="B249" t="s">
        <v>1110</v>
      </c>
      <c r="C249" s="71" t="str">
        <f>VLOOKUP(A249,Classification!$A:$D,2,FALSE)</f>
        <v>A</v>
      </c>
      <c r="D249" s="33" t="str">
        <f>VLOOKUP(B249,Classification!$A:$D,2,FALSE)</f>
        <v>A</v>
      </c>
      <c r="E249" s="33" t="str">
        <f t="shared" si="3"/>
        <v>Ok</v>
      </c>
    </row>
    <row r="250" spans="1:5" x14ac:dyDescent="0.2">
      <c r="A250" t="s">
        <v>515</v>
      </c>
      <c r="B250" t="s">
        <v>1112</v>
      </c>
      <c r="C250" s="71" t="str">
        <f>VLOOKUP(A250,Classification!$A:$D,2,FALSE)</f>
        <v>A</v>
      </c>
      <c r="D250" s="33" t="str">
        <f>VLOOKUP(B250,Classification!$A:$D,2,FALSE)</f>
        <v>A</v>
      </c>
      <c r="E250" s="33" t="str">
        <f t="shared" si="3"/>
        <v>Ok</v>
      </c>
    </row>
    <row r="251" spans="1:5" x14ac:dyDescent="0.2">
      <c r="A251" t="s">
        <v>462</v>
      </c>
      <c r="B251" t="s">
        <v>1112</v>
      </c>
      <c r="C251" s="71" t="str">
        <f>VLOOKUP(A251,Classification!$A:$D,2,FALSE)</f>
        <v>A</v>
      </c>
      <c r="D251" s="33" t="str">
        <f>VLOOKUP(B251,Classification!$A:$D,2,FALSE)</f>
        <v>A</v>
      </c>
      <c r="E251" s="33" t="str">
        <f t="shared" si="3"/>
        <v>Ok</v>
      </c>
    </row>
    <row r="252" spans="1:5" x14ac:dyDescent="0.2">
      <c r="A252" t="s">
        <v>494</v>
      </c>
      <c r="B252" t="s">
        <v>1112</v>
      </c>
      <c r="C252" s="71" t="str">
        <f>VLOOKUP(A252,Classification!$A:$D,2,FALSE)</f>
        <v>A</v>
      </c>
      <c r="D252" s="33" t="str">
        <f>VLOOKUP(B252,Classification!$A:$D,2,FALSE)</f>
        <v>A</v>
      </c>
      <c r="E252" s="33" t="str">
        <f t="shared" si="3"/>
        <v>Ok</v>
      </c>
    </row>
    <row r="253" spans="1:5" s="23" customFormat="1" x14ac:dyDescent="0.2">
      <c r="A253" s="23" t="s">
        <v>529</v>
      </c>
      <c r="B253" s="23" t="s">
        <v>529</v>
      </c>
      <c r="C253" s="123" t="str">
        <f>VLOOKUP(A253,Classification!$A:$D,2,FALSE)</f>
        <v>A</v>
      </c>
      <c r="D253" s="126" t="str">
        <f>VLOOKUP(B253,Classification!$A:$D,2,FALSE)</f>
        <v>A</v>
      </c>
      <c r="E253" s="126" t="str">
        <f t="shared" si="3"/>
        <v>Ok</v>
      </c>
    </row>
    <row r="254" spans="1:5" x14ac:dyDescent="0.2">
      <c r="A254" t="s">
        <v>1112</v>
      </c>
      <c r="B254" t="s">
        <v>1112</v>
      </c>
      <c r="C254" s="71" t="str">
        <f>VLOOKUP(A254,Classification!$A:$D,2,FALSE)</f>
        <v>A</v>
      </c>
      <c r="D254" s="33" t="str">
        <f>VLOOKUP(B254,Classification!$A:$D,2,FALSE)</f>
        <v>A</v>
      </c>
      <c r="E254" s="33" t="str">
        <f t="shared" si="3"/>
        <v>Ok</v>
      </c>
    </row>
    <row r="255" spans="1:5" x14ac:dyDescent="0.2">
      <c r="A255" t="s">
        <v>578</v>
      </c>
      <c r="B255" t="s">
        <v>1112</v>
      </c>
      <c r="C255" s="71" t="str">
        <f>VLOOKUP(A255,Classification!$A:$D,2,FALSE)</f>
        <v>A</v>
      </c>
      <c r="D255" s="33" t="str">
        <f>VLOOKUP(B255,Classification!$A:$D,2,FALSE)</f>
        <v>A</v>
      </c>
      <c r="E255" s="33" t="str">
        <f t="shared" si="3"/>
        <v>Ok</v>
      </c>
    </row>
    <row r="256" spans="1:5" x14ac:dyDescent="0.2">
      <c r="A256" t="s">
        <v>554</v>
      </c>
      <c r="B256" t="s">
        <v>1112</v>
      </c>
      <c r="C256" s="71" t="str">
        <f>VLOOKUP(A256,Classification!$A:$D,2,FALSE)</f>
        <v>A</v>
      </c>
      <c r="D256" s="33" t="str">
        <f>VLOOKUP(B256,Classification!$A:$D,2,FALSE)</f>
        <v>A</v>
      </c>
      <c r="E256" s="33" t="str">
        <f t="shared" si="3"/>
        <v>Ok</v>
      </c>
    </row>
    <row r="257" spans="1:5" x14ac:dyDescent="0.2">
      <c r="A257" t="s">
        <v>394</v>
      </c>
      <c r="B257" t="s">
        <v>530</v>
      </c>
      <c r="C257" s="71" t="str">
        <f>VLOOKUP(A257,Classification!$A:$D,2,FALSE)</f>
        <v>A</v>
      </c>
      <c r="D257" s="33" t="str">
        <f>VLOOKUP(B257,Classification!$A:$D,2,FALSE)</f>
        <v>A</v>
      </c>
      <c r="E257" s="33" t="str">
        <f t="shared" si="3"/>
        <v>Ok</v>
      </c>
    </row>
    <row r="258" spans="1:5" x14ac:dyDescent="0.2">
      <c r="A258" t="s">
        <v>445</v>
      </c>
      <c r="B258" t="s">
        <v>530</v>
      </c>
      <c r="C258" s="71" t="str">
        <f>VLOOKUP(A258,Classification!$A:$D,2,FALSE)</f>
        <v>A</v>
      </c>
      <c r="D258" s="33" t="str">
        <f>VLOOKUP(B258,Classification!$A:$D,2,FALSE)</f>
        <v>A</v>
      </c>
      <c r="E258" s="33" t="str">
        <f t="shared" ref="E258:E321" si="4">IF(C258=D258,"Ok","Different Classes")</f>
        <v>Ok</v>
      </c>
    </row>
    <row r="259" spans="1:5" x14ac:dyDescent="0.2">
      <c r="A259" t="s">
        <v>358</v>
      </c>
      <c r="B259" t="s">
        <v>530</v>
      </c>
      <c r="C259" s="71" t="str">
        <f>VLOOKUP(A259,Classification!$A:$D,2,FALSE)</f>
        <v>A</v>
      </c>
      <c r="D259" s="33" t="str">
        <f>VLOOKUP(B259,Classification!$A:$D,2,FALSE)</f>
        <v>A</v>
      </c>
      <c r="E259" s="33" t="str">
        <f t="shared" si="4"/>
        <v>Ok</v>
      </c>
    </row>
    <row r="260" spans="1:5" x14ac:dyDescent="0.2">
      <c r="A260" t="s">
        <v>502</v>
      </c>
      <c r="B260" t="s">
        <v>530</v>
      </c>
      <c r="C260" s="71" t="str">
        <f>VLOOKUP(A260,Classification!$A:$D,2,FALSE)</f>
        <v>A</v>
      </c>
      <c r="D260" s="33" t="str">
        <f>VLOOKUP(B260,Classification!$A:$D,2,FALSE)</f>
        <v>A</v>
      </c>
      <c r="E260" s="33" t="str">
        <f t="shared" si="4"/>
        <v>Ok</v>
      </c>
    </row>
    <row r="261" spans="1:5" x14ac:dyDescent="0.2">
      <c r="A261" t="s">
        <v>530</v>
      </c>
      <c r="B261" t="s">
        <v>530</v>
      </c>
      <c r="C261" s="71" t="str">
        <f>VLOOKUP(A261,Classification!$A:$D,2,FALSE)</f>
        <v>A</v>
      </c>
      <c r="D261" s="33" t="str">
        <f>VLOOKUP(B261,Classification!$A:$D,2,FALSE)</f>
        <v>A</v>
      </c>
      <c r="E261" s="33" t="str">
        <f t="shared" si="4"/>
        <v>Ok</v>
      </c>
    </row>
    <row r="262" spans="1:5" x14ac:dyDescent="0.2">
      <c r="A262" t="s">
        <v>536</v>
      </c>
      <c r="B262" t="s">
        <v>530</v>
      </c>
      <c r="C262" s="71" t="str">
        <f>VLOOKUP(A262,Classification!$A:$D,2,FALSE)</f>
        <v>A</v>
      </c>
      <c r="D262" s="33" t="str">
        <f>VLOOKUP(B262,Classification!$A:$D,2,FALSE)</f>
        <v>A</v>
      </c>
      <c r="E262" s="33" t="str">
        <f t="shared" si="4"/>
        <v>Ok</v>
      </c>
    </row>
    <row r="263" spans="1:5" x14ac:dyDescent="0.2">
      <c r="A263" t="s">
        <v>399</v>
      </c>
      <c r="B263" t="s">
        <v>1114</v>
      </c>
      <c r="C263" s="71" t="str">
        <f>VLOOKUP(A263,Classification!$A:$D,2,FALSE)</f>
        <v>A</v>
      </c>
      <c r="D263" s="33" t="str">
        <f>VLOOKUP(B263,Classification!$A:$D,2,FALSE)</f>
        <v>A</v>
      </c>
      <c r="E263" s="33" t="str">
        <f t="shared" si="4"/>
        <v>Ok</v>
      </c>
    </row>
    <row r="264" spans="1:5" x14ac:dyDescent="0.2">
      <c r="A264" t="s">
        <v>576</v>
      </c>
      <c r="B264" t="s">
        <v>1114</v>
      </c>
      <c r="C264" s="71" t="str">
        <f>VLOOKUP(A264,Classification!$A:$D,2,FALSE)</f>
        <v>A</v>
      </c>
      <c r="D264" s="33" t="str">
        <f>VLOOKUP(B264,Classification!$A:$D,2,FALSE)</f>
        <v>A</v>
      </c>
      <c r="E264" s="33" t="str">
        <f t="shared" si="4"/>
        <v>Ok</v>
      </c>
    </row>
    <row r="265" spans="1:5" x14ac:dyDescent="0.2">
      <c r="A265" t="s">
        <v>579</v>
      </c>
      <c r="B265" t="s">
        <v>1114</v>
      </c>
      <c r="C265" s="71" t="str">
        <f>VLOOKUP(A265,Classification!$A:$D,2,FALSE)</f>
        <v>A</v>
      </c>
      <c r="D265" s="33" t="str">
        <f>VLOOKUP(B265,Classification!$A:$D,2,FALSE)</f>
        <v>A</v>
      </c>
      <c r="E265" s="33" t="str">
        <f t="shared" si="4"/>
        <v>Ok</v>
      </c>
    </row>
    <row r="266" spans="1:5" x14ac:dyDescent="0.2">
      <c r="A266" t="s">
        <v>1114</v>
      </c>
      <c r="B266" t="s">
        <v>1114</v>
      </c>
      <c r="C266" s="71" t="str">
        <f>VLOOKUP(A266,Classification!$A:$D,2,FALSE)</f>
        <v>A</v>
      </c>
      <c r="D266" s="33" t="str">
        <f>VLOOKUP(B266,Classification!$A:$D,2,FALSE)</f>
        <v>A</v>
      </c>
      <c r="E266" s="33" t="str">
        <f t="shared" si="4"/>
        <v>Ok</v>
      </c>
    </row>
    <row r="267" spans="1:5" x14ac:dyDescent="0.2">
      <c r="A267" t="s">
        <v>531</v>
      </c>
      <c r="B267" t="s">
        <v>1114</v>
      </c>
      <c r="C267" s="71" t="str">
        <f>VLOOKUP(A267,Classification!$A:$D,2,FALSE)</f>
        <v>A</v>
      </c>
      <c r="D267" s="33" t="str">
        <f>VLOOKUP(B267,Classification!$A:$D,2,FALSE)</f>
        <v>A</v>
      </c>
      <c r="E267" s="33" t="str">
        <f t="shared" si="4"/>
        <v>Ok</v>
      </c>
    </row>
    <row r="268" spans="1:5" x14ac:dyDescent="0.2">
      <c r="A268" t="s">
        <v>575</v>
      </c>
      <c r="B268" t="s">
        <v>1114</v>
      </c>
      <c r="C268" s="71" t="str">
        <f>VLOOKUP(A268,Classification!$A:$D,2,FALSE)</f>
        <v>A</v>
      </c>
      <c r="D268" s="33" t="str">
        <f>VLOOKUP(B268,Classification!$A:$D,2,FALSE)</f>
        <v>A</v>
      </c>
      <c r="E268" s="33" t="str">
        <f t="shared" si="4"/>
        <v>Ok</v>
      </c>
    </row>
    <row r="269" spans="1:5" x14ac:dyDescent="0.2">
      <c r="A269" t="s">
        <v>591</v>
      </c>
      <c r="B269" t="s">
        <v>1114</v>
      </c>
      <c r="C269" s="71" t="str">
        <f>VLOOKUP(A269,Classification!$A:$D,2,FALSE)</f>
        <v>A</v>
      </c>
      <c r="D269" s="33" t="str">
        <f>VLOOKUP(B269,Classification!$A:$D,2,FALSE)</f>
        <v>A</v>
      </c>
      <c r="E269" s="33" t="str">
        <f t="shared" si="4"/>
        <v>Ok</v>
      </c>
    </row>
    <row r="270" spans="1:5" x14ac:dyDescent="0.2">
      <c r="A270" t="s">
        <v>401</v>
      </c>
      <c r="B270" t="s">
        <v>1114</v>
      </c>
      <c r="C270" s="71" t="str">
        <f>VLOOKUP(A270,Classification!$A:$D,2,FALSE)</f>
        <v>A</v>
      </c>
      <c r="D270" s="33" t="str">
        <f>VLOOKUP(B270,Classification!$A:$D,2,FALSE)</f>
        <v>A</v>
      </c>
      <c r="E270" s="33" t="str">
        <f t="shared" si="4"/>
        <v>Ok</v>
      </c>
    </row>
    <row r="271" spans="1:5" x14ac:dyDescent="0.2">
      <c r="A271" t="s">
        <v>400</v>
      </c>
      <c r="B271" t="s">
        <v>1114</v>
      </c>
      <c r="C271" s="71" t="str">
        <f>VLOOKUP(A271,Classification!$A:$D,2,FALSE)</f>
        <v>A</v>
      </c>
      <c r="D271" s="33" t="str">
        <f>VLOOKUP(B271,Classification!$A:$D,2,FALSE)</f>
        <v>A</v>
      </c>
      <c r="E271" s="33" t="str">
        <f t="shared" si="4"/>
        <v>Ok</v>
      </c>
    </row>
    <row r="272" spans="1:5" x14ac:dyDescent="0.2">
      <c r="A272" t="s">
        <v>404</v>
      </c>
      <c r="B272" t="s">
        <v>1114</v>
      </c>
      <c r="C272" s="71" t="str">
        <f>VLOOKUP(A272,Classification!$A:$D,2,FALSE)</f>
        <v>A</v>
      </c>
      <c r="D272" s="33" t="str">
        <f>VLOOKUP(B272,Classification!$A:$D,2,FALSE)</f>
        <v>A</v>
      </c>
      <c r="E272" s="33" t="str">
        <f t="shared" si="4"/>
        <v>Ok</v>
      </c>
    </row>
    <row r="273" spans="1:5" x14ac:dyDescent="0.2">
      <c r="A273" t="s">
        <v>411</v>
      </c>
      <c r="B273" t="s">
        <v>1393</v>
      </c>
      <c r="C273" s="71" t="str">
        <f>VLOOKUP(A273,Classification!$A:$D,2,FALSE)</f>
        <v>A</v>
      </c>
      <c r="D273" s="33" t="str">
        <f>VLOOKUP(B273,Classification!$A:$D,2,FALSE)</f>
        <v>A</v>
      </c>
      <c r="E273" s="33" t="str">
        <f t="shared" si="4"/>
        <v>Ok</v>
      </c>
    </row>
    <row r="274" spans="1:5" x14ac:dyDescent="0.2">
      <c r="A274" t="s">
        <v>514</v>
      </c>
      <c r="B274" t="s">
        <v>1393</v>
      </c>
      <c r="C274" s="71" t="str">
        <f>VLOOKUP(A274,Classification!$A:$D,2,FALSE)</f>
        <v>A</v>
      </c>
      <c r="D274" s="33" t="str">
        <f>VLOOKUP(B274,Classification!$A:$D,2,FALSE)</f>
        <v>A</v>
      </c>
      <c r="E274" s="33" t="str">
        <f t="shared" si="4"/>
        <v>Ok</v>
      </c>
    </row>
    <row r="275" spans="1:5" x14ac:dyDescent="0.2">
      <c r="A275" t="s">
        <v>493</v>
      </c>
      <c r="B275" t="s">
        <v>1393</v>
      </c>
      <c r="C275" s="71" t="str">
        <f>VLOOKUP(A275,Classification!$A:$D,2,FALSE)</f>
        <v>A</v>
      </c>
      <c r="D275" s="33" t="str">
        <f>VLOOKUP(B275,Classification!$A:$D,2,FALSE)</f>
        <v>A</v>
      </c>
      <c r="E275" s="33" t="str">
        <f t="shared" si="4"/>
        <v>Ok</v>
      </c>
    </row>
    <row r="276" spans="1:5" x14ac:dyDescent="0.2">
      <c r="A276" t="s">
        <v>593</v>
      </c>
      <c r="B276" t="s">
        <v>1393</v>
      </c>
      <c r="C276" s="71" t="str">
        <f>VLOOKUP(A276,Classification!$A:$D,2,FALSE)</f>
        <v>A</v>
      </c>
      <c r="D276" s="33" t="str">
        <f>VLOOKUP(B276,Classification!$A:$D,2,FALSE)</f>
        <v>A</v>
      </c>
      <c r="E276" s="33" t="str">
        <f t="shared" si="4"/>
        <v>Ok</v>
      </c>
    </row>
    <row r="277" spans="1:5" x14ac:dyDescent="0.2">
      <c r="A277" t="s">
        <v>412</v>
      </c>
      <c r="B277" t="s">
        <v>1393</v>
      </c>
      <c r="C277" s="71" t="str">
        <f>VLOOKUP(A277,Classification!$A:$D,2,FALSE)</f>
        <v>A</v>
      </c>
      <c r="D277" s="33" t="str">
        <f>VLOOKUP(B277,Classification!$A:$D,2,FALSE)</f>
        <v>A</v>
      </c>
      <c r="E277" s="33" t="str">
        <f t="shared" si="4"/>
        <v>Ok</v>
      </c>
    </row>
    <row r="278" spans="1:5" x14ac:dyDescent="0.2">
      <c r="A278" t="s">
        <v>1393</v>
      </c>
      <c r="B278" t="s">
        <v>1393</v>
      </c>
      <c r="C278" s="71" t="str">
        <f>VLOOKUP(A278,Classification!$A:$D,2,FALSE)</f>
        <v>A</v>
      </c>
      <c r="D278" s="33" t="str">
        <f>VLOOKUP(B278,Classification!$A:$D,2,FALSE)</f>
        <v>A</v>
      </c>
      <c r="E278" s="33" t="str">
        <f t="shared" si="4"/>
        <v>Ok</v>
      </c>
    </row>
    <row r="279" spans="1:5" x14ac:dyDescent="0.2">
      <c r="A279" t="s">
        <v>590</v>
      </c>
      <c r="B279" t="s">
        <v>1393</v>
      </c>
      <c r="C279" s="71" t="str">
        <f>VLOOKUP(A279,Classification!$A:$D,2,FALSE)</f>
        <v>A</v>
      </c>
      <c r="D279" s="33" t="str">
        <f>VLOOKUP(B279,Classification!$A:$D,2,FALSE)</f>
        <v>A</v>
      </c>
      <c r="E279" s="33" t="str">
        <f t="shared" si="4"/>
        <v>Ok</v>
      </c>
    </row>
    <row r="280" spans="1:5" x14ac:dyDescent="0.2">
      <c r="A280" t="s">
        <v>476</v>
      </c>
      <c r="B280" t="s">
        <v>1393</v>
      </c>
      <c r="C280" s="71" t="str">
        <f>VLOOKUP(A280,Classification!$A:$D,2,FALSE)</f>
        <v>A</v>
      </c>
      <c r="D280" s="33" t="str">
        <f>VLOOKUP(B280,Classification!$A:$D,2,FALSE)</f>
        <v>A</v>
      </c>
      <c r="E280" s="33" t="str">
        <f t="shared" si="4"/>
        <v>Ok</v>
      </c>
    </row>
    <row r="281" spans="1:5" x14ac:dyDescent="0.2">
      <c r="A281" t="s">
        <v>588</v>
      </c>
      <c r="B281" t="s">
        <v>1393</v>
      </c>
      <c r="C281" s="71" t="str">
        <f>VLOOKUP(A281,Classification!$A:$D,2,FALSE)</f>
        <v>A</v>
      </c>
      <c r="D281" s="33" t="str">
        <f>VLOOKUP(B281,Classification!$A:$D,2,FALSE)</f>
        <v>A</v>
      </c>
      <c r="E281" s="33" t="str">
        <f t="shared" si="4"/>
        <v>Ok</v>
      </c>
    </row>
    <row r="282" spans="1:5" x14ac:dyDescent="0.2">
      <c r="A282" t="s">
        <v>592</v>
      </c>
      <c r="B282" t="s">
        <v>1393</v>
      </c>
      <c r="C282" s="71" t="str">
        <f>VLOOKUP(A282,Classification!$A:$D,2,FALSE)</f>
        <v>A</v>
      </c>
      <c r="D282" s="33" t="str">
        <f>VLOOKUP(B282,Classification!$A:$D,2,FALSE)</f>
        <v>A</v>
      </c>
      <c r="E282" s="33" t="str">
        <f t="shared" si="4"/>
        <v>Ok</v>
      </c>
    </row>
    <row r="283" spans="1:5" x14ac:dyDescent="0.2">
      <c r="A283" t="s">
        <v>577</v>
      </c>
      <c r="B283" t="s">
        <v>1393</v>
      </c>
      <c r="C283" s="71" t="str">
        <f>VLOOKUP(A283,Classification!$A:$D,2,FALSE)</f>
        <v>A</v>
      </c>
      <c r="D283" s="33" t="str">
        <f>VLOOKUP(B283,Classification!$A:$D,2,FALSE)</f>
        <v>A</v>
      </c>
      <c r="E283" s="33" t="str">
        <f t="shared" si="4"/>
        <v>Ok</v>
      </c>
    </row>
    <row r="284" spans="1:5" x14ac:dyDescent="0.2">
      <c r="A284" t="s">
        <v>1116</v>
      </c>
      <c r="B284" t="s">
        <v>1116</v>
      </c>
      <c r="C284" s="71" t="str">
        <f>VLOOKUP(A284,Classification!$A:$D,2,FALSE)</f>
        <v>A</v>
      </c>
      <c r="D284" s="33" t="str">
        <f>VLOOKUP(B284,Classification!$A:$D,2,FALSE)</f>
        <v>A</v>
      </c>
      <c r="E284" s="33" t="str">
        <f t="shared" si="4"/>
        <v>Ok</v>
      </c>
    </row>
    <row r="285" spans="1:5" x14ac:dyDescent="0.2">
      <c r="A285" t="s">
        <v>526</v>
      </c>
      <c r="B285" t="s">
        <v>1116</v>
      </c>
      <c r="C285" s="71" t="str">
        <f>VLOOKUP(A285,Classification!$A:$D,2,FALSE)</f>
        <v>A</v>
      </c>
      <c r="D285" s="33" t="str">
        <f>VLOOKUP(B285,Classification!$A:$D,2,FALSE)</f>
        <v>A</v>
      </c>
      <c r="E285" s="33" t="str">
        <f t="shared" si="4"/>
        <v>Ok</v>
      </c>
    </row>
    <row r="286" spans="1:5" x14ac:dyDescent="0.2">
      <c r="A286" t="s">
        <v>533</v>
      </c>
      <c r="B286" t="s">
        <v>533</v>
      </c>
      <c r="C286" s="71" t="str">
        <f>VLOOKUP(A286,Classification!$A:$D,2,FALSE)</f>
        <v>A</v>
      </c>
      <c r="D286" s="33" t="str">
        <f>VLOOKUP(B286,Classification!$A:$D,2,FALSE)</f>
        <v>A</v>
      </c>
      <c r="E286" s="33" t="str">
        <f t="shared" si="4"/>
        <v>Ok</v>
      </c>
    </row>
    <row r="287" spans="1:5" x14ac:dyDescent="0.2">
      <c r="A287" t="s">
        <v>534</v>
      </c>
      <c r="B287" t="s">
        <v>533</v>
      </c>
      <c r="C287" s="71" t="str">
        <f>VLOOKUP(A287,Classification!$A:$D,2,FALSE)</f>
        <v>A</v>
      </c>
      <c r="D287" s="33" t="str">
        <f>VLOOKUP(B287,Classification!$A:$D,2,FALSE)</f>
        <v>A</v>
      </c>
      <c r="E287" s="33" t="str">
        <f t="shared" si="4"/>
        <v>Ok</v>
      </c>
    </row>
    <row r="288" spans="1:5" x14ac:dyDescent="0.2">
      <c r="A288" t="s">
        <v>535</v>
      </c>
      <c r="B288" t="s">
        <v>533</v>
      </c>
      <c r="C288" s="71" t="str">
        <f>VLOOKUP(A288,Classification!$A:$D,2,FALSE)</f>
        <v>A</v>
      </c>
      <c r="D288" s="33" t="str">
        <f>VLOOKUP(B288,Classification!$A:$D,2,FALSE)</f>
        <v>A</v>
      </c>
      <c r="E288" s="33" t="str">
        <f t="shared" si="4"/>
        <v>Ok</v>
      </c>
    </row>
    <row r="289" spans="1:5" x14ac:dyDescent="0.2">
      <c r="A289" t="s">
        <v>532</v>
      </c>
      <c r="B289" t="s">
        <v>533</v>
      </c>
      <c r="C289" s="71" t="str">
        <f>VLOOKUP(A289,Classification!$A:$D,2,FALSE)</f>
        <v>A</v>
      </c>
      <c r="D289" s="33" t="str">
        <f>VLOOKUP(B289,Classification!$A:$D,2,FALSE)</f>
        <v>A</v>
      </c>
      <c r="E289" s="33" t="str">
        <f t="shared" si="4"/>
        <v>Ok</v>
      </c>
    </row>
    <row r="290" spans="1:5" x14ac:dyDescent="0.2">
      <c r="A290" t="s">
        <v>479</v>
      </c>
      <c r="B290" t="s">
        <v>533</v>
      </c>
      <c r="C290" s="71" t="str">
        <f>VLOOKUP(A290,Classification!$A:$D,2,FALSE)</f>
        <v>A</v>
      </c>
      <c r="D290" s="33" t="str">
        <f>VLOOKUP(B290,Classification!$A:$D,2,FALSE)</f>
        <v>A</v>
      </c>
      <c r="E290" s="33" t="str">
        <f t="shared" si="4"/>
        <v>Ok</v>
      </c>
    </row>
    <row r="291" spans="1:5" x14ac:dyDescent="0.2">
      <c r="A291" t="s">
        <v>528</v>
      </c>
      <c r="B291" t="s">
        <v>1118</v>
      </c>
      <c r="C291" s="71" t="str">
        <f>VLOOKUP(A291,Classification!$A:$D,2,FALSE)</f>
        <v>A</v>
      </c>
      <c r="D291" s="33" t="str">
        <f>VLOOKUP(B291,Classification!$A:$D,2,FALSE)</f>
        <v>A</v>
      </c>
      <c r="E291" s="33" t="str">
        <f t="shared" si="4"/>
        <v>Ok</v>
      </c>
    </row>
    <row r="292" spans="1:5" x14ac:dyDescent="0.2">
      <c r="A292" t="s">
        <v>527</v>
      </c>
      <c r="B292" t="s">
        <v>1118</v>
      </c>
      <c r="C292" s="71" t="str">
        <f>VLOOKUP(A292,Classification!$A:$D,2,FALSE)</f>
        <v>A</v>
      </c>
      <c r="D292" s="33" t="str">
        <f>VLOOKUP(B292,Classification!$A:$D,2,FALSE)</f>
        <v>A</v>
      </c>
      <c r="E292" s="33" t="str">
        <f t="shared" si="4"/>
        <v>Ok</v>
      </c>
    </row>
    <row r="293" spans="1:5" x14ac:dyDescent="0.2">
      <c r="A293" t="s">
        <v>1118</v>
      </c>
      <c r="B293" t="s">
        <v>1118</v>
      </c>
      <c r="C293" s="71" t="str">
        <f>VLOOKUP(A293,Classification!$A:$D,2,FALSE)</f>
        <v>A</v>
      </c>
      <c r="D293" s="33" t="str">
        <f>VLOOKUP(B293,Classification!$A:$D,2,FALSE)</f>
        <v>A</v>
      </c>
      <c r="E293" s="33" t="str">
        <f t="shared" si="4"/>
        <v>Ok</v>
      </c>
    </row>
    <row r="294" spans="1:5" x14ac:dyDescent="0.2">
      <c r="A294" t="s">
        <v>464</v>
      </c>
      <c r="B294" t="s">
        <v>1394</v>
      </c>
      <c r="C294" s="71" t="str">
        <f>VLOOKUP(A294,Classification!$A:$D,2,FALSE)</f>
        <v>A</v>
      </c>
      <c r="D294" s="33" t="str">
        <f>VLOOKUP(B294,Classification!$A:$D,2,FALSE)</f>
        <v>A</v>
      </c>
      <c r="E294" s="33" t="str">
        <f t="shared" si="4"/>
        <v>Ok</v>
      </c>
    </row>
    <row r="295" spans="1:5" x14ac:dyDescent="0.2">
      <c r="A295" t="s">
        <v>520</v>
      </c>
      <c r="B295" t="s">
        <v>1394</v>
      </c>
      <c r="C295" s="71" t="str">
        <f>VLOOKUP(A295,Classification!$A:$D,2,FALSE)</f>
        <v>A</v>
      </c>
      <c r="D295" s="33" t="str">
        <f>VLOOKUP(B295,Classification!$A:$D,2,FALSE)</f>
        <v>A</v>
      </c>
      <c r="E295" s="33" t="str">
        <f t="shared" si="4"/>
        <v>Ok</v>
      </c>
    </row>
    <row r="296" spans="1:5" x14ac:dyDescent="0.2">
      <c r="A296" t="s">
        <v>538</v>
      </c>
      <c r="B296" t="s">
        <v>1394</v>
      </c>
      <c r="C296" s="71" t="str">
        <f>VLOOKUP(A296,Classification!$A:$D,2,FALSE)</f>
        <v>A</v>
      </c>
      <c r="D296" s="33" t="str">
        <f>VLOOKUP(B296,Classification!$A:$D,2,FALSE)</f>
        <v>A</v>
      </c>
      <c r="E296" s="33" t="str">
        <f t="shared" si="4"/>
        <v>Ok</v>
      </c>
    </row>
    <row r="297" spans="1:5" x14ac:dyDescent="0.2">
      <c r="A297" t="s">
        <v>1394</v>
      </c>
      <c r="B297" t="s">
        <v>1394</v>
      </c>
      <c r="C297" s="71" t="str">
        <f>VLOOKUP(A297,Classification!$A:$D,2,FALSE)</f>
        <v>A</v>
      </c>
      <c r="D297" s="33" t="str">
        <f>VLOOKUP(B297,Classification!$A:$D,2,FALSE)</f>
        <v>A</v>
      </c>
      <c r="E297" s="33" t="str">
        <f t="shared" si="4"/>
        <v>Ok</v>
      </c>
    </row>
    <row r="298" spans="1:5" x14ac:dyDescent="0.2">
      <c r="A298" t="s">
        <v>461</v>
      </c>
      <c r="B298" t="s">
        <v>1394</v>
      </c>
      <c r="C298" s="71" t="str">
        <f>VLOOKUP(A298,Classification!$A:$D,2,FALSE)</f>
        <v>A</v>
      </c>
      <c r="D298" s="33" t="str">
        <f>VLOOKUP(B298,Classification!$A:$D,2,FALSE)</f>
        <v>A</v>
      </c>
      <c r="E298" s="33" t="str">
        <f t="shared" si="4"/>
        <v>Ok</v>
      </c>
    </row>
    <row r="299" spans="1:5" x14ac:dyDescent="0.2">
      <c r="A299" t="s">
        <v>416</v>
      </c>
      <c r="B299" t="s">
        <v>1394</v>
      </c>
      <c r="C299" s="71" t="str">
        <f>VLOOKUP(A299,Classification!$A:$D,2,FALSE)</f>
        <v>A</v>
      </c>
      <c r="D299" s="33" t="str">
        <f>VLOOKUP(B299,Classification!$A:$D,2,FALSE)</f>
        <v>A</v>
      </c>
      <c r="E299" s="33" t="str">
        <f t="shared" si="4"/>
        <v>Ok</v>
      </c>
    </row>
    <row r="300" spans="1:5" x14ac:dyDescent="0.2">
      <c r="A300" t="s">
        <v>517</v>
      </c>
      <c r="B300" t="s">
        <v>1394</v>
      </c>
      <c r="C300" s="71" t="str">
        <f>VLOOKUP(A300,Classification!$A:$D,2,FALSE)</f>
        <v>A</v>
      </c>
      <c r="D300" s="33" t="str">
        <f>VLOOKUP(B300,Classification!$A:$D,2,FALSE)</f>
        <v>A</v>
      </c>
      <c r="E300" s="33" t="str">
        <f t="shared" si="4"/>
        <v>Ok</v>
      </c>
    </row>
    <row r="301" spans="1:5" x14ac:dyDescent="0.2">
      <c r="A301" t="s">
        <v>509</v>
      </c>
      <c r="B301" t="s">
        <v>1394</v>
      </c>
      <c r="C301" s="71" t="str">
        <f>VLOOKUP(A301,Classification!$A:$D,2,FALSE)</f>
        <v>A</v>
      </c>
      <c r="D301" s="33" t="str">
        <f>VLOOKUP(B301,Classification!$A:$D,2,FALSE)</f>
        <v>A</v>
      </c>
      <c r="E301" s="33" t="str">
        <f t="shared" si="4"/>
        <v>Ok</v>
      </c>
    </row>
    <row r="302" spans="1:5" x14ac:dyDescent="0.2">
      <c r="A302" t="s">
        <v>409</v>
      </c>
      <c r="B302" t="s">
        <v>1394</v>
      </c>
      <c r="C302" s="71" t="str">
        <f>VLOOKUP(A302,Classification!$A:$D,2,FALSE)</f>
        <v>A</v>
      </c>
      <c r="D302" s="33" t="str">
        <f>VLOOKUP(B302,Classification!$A:$D,2,FALSE)</f>
        <v>A</v>
      </c>
      <c r="E302" s="33" t="str">
        <f t="shared" si="4"/>
        <v>Ok</v>
      </c>
    </row>
    <row r="303" spans="1:5" x14ac:dyDescent="0.2">
      <c r="A303" t="s">
        <v>426</v>
      </c>
      <c r="B303" t="s">
        <v>1394</v>
      </c>
      <c r="C303" s="71" t="str">
        <f>VLOOKUP(A303,Classification!$A:$D,2,FALSE)</f>
        <v>A</v>
      </c>
      <c r="D303" s="33" t="str">
        <f>VLOOKUP(B303,Classification!$A:$D,2,FALSE)</f>
        <v>A</v>
      </c>
      <c r="E303" s="33" t="str">
        <f t="shared" si="4"/>
        <v>Ok</v>
      </c>
    </row>
    <row r="304" spans="1:5" x14ac:dyDescent="0.2">
      <c r="A304" t="s">
        <v>522</v>
      </c>
      <c r="B304" t="s">
        <v>1395</v>
      </c>
      <c r="C304" s="71" t="str">
        <f>VLOOKUP(A304,Classification!$A:$D,2,FALSE)</f>
        <v>A</v>
      </c>
      <c r="D304" s="33" t="str">
        <f>VLOOKUP(B304,Classification!$A:$D,2,FALSE)</f>
        <v>A</v>
      </c>
      <c r="E304" s="33" t="str">
        <f t="shared" si="4"/>
        <v>Ok</v>
      </c>
    </row>
    <row r="305" spans="1:5" x14ac:dyDescent="0.2">
      <c r="A305" t="s">
        <v>563</v>
      </c>
      <c r="B305" t="s">
        <v>1395</v>
      </c>
      <c r="C305" s="71" t="str">
        <f>VLOOKUP(A305,Classification!$A:$D,2,FALSE)</f>
        <v>A</v>
      </c>
      <c r="D305" s="33" t="str">
        <f>VLOOKUP(B305,Classification!$A:$D,2,FALSE)</f>
        <v>A</v>
      </c>
      <c r="E305" s="33" t="str">
        <f t="shared" si="4"/>
        <v>Ok</v>
      </c>
    </row>
    <row r="306" spans="1:5" x14ac:dyDescent="0.2">
      <c r="A306" t="s">
        <v>553</v>
      </c>
      <c r="B306" t="s">
        <v>1395</v>
      </c>
      <c r="C306" s="71" t="str">
        <f>VLOOKUP(A306,Classification!$A:$D,2,FALSE)</f>
        <v>A</v>
      </c>
      <c r="D306" s="33" t="str">
        <f>VLOOKUP(B306,Classification!$A:$D,2,FALSE)</f>
        <v>A</v>
      </c>
      <c r="E306" s="33" t="str">
        <f t="shared" si="4"/>
        <v>Ok</v>
      </c>
    </row>
    <row r="307" spans="1:5" x14ac:dyDescent="0.2">
      <c r="A307" t="s">
        <v>518</v>
      </c>
      <c r="B307" t="s">
        <v>1395</v>
      </c>
      <c r="C307" s="71" t="str">
        <f>VLOOKUP(A307,Classification!$A:$D,2,FALSE)</f>
        <v>A</v>
      </c>
      <c r="D307" s="33" t="str">
        <f>VLOOKUP(B307,Classification!$A:$D,2,FALSE)</f>
        <v>A</v>
      </c>
      <c r="E307" s="33" t="str">
        <f t="shared" si="4"/>
        <v>Ok</v>
      </c>
    </row>
    <row r="308" spans="1:5" x14ac:dyDescent="0.2">
      <c r="A308" t="s">
        <v>441</v>
      </c>
      <c r="B308" t="s">
        <v>1395</v>
      </c>
      <c r="C308" s="71" t="str">
        <f>VLOOKUP(A308,Classification!$A:$D,2,FALSE)</f>
        <v>A</v>
      </c>
      <c r="D308" s="33" t="str">
        <f>VLOOKUP(B308,Classification!$A:$D,2,FALSE)</f>
        <v>A</v>
      </c>
      <c r="E308" s="33" t="str">
        <f t="shared" si="4"/>
        <v>Ok</v>
      </c>
    </row>
    <row r="309" spans="1:5" x14ac:dyDescent="0.2">
      <c r="A309" t="s">
        <v>454</v>
      </c>
      <c r="B309" t="s">
        <v>1395</v>
      </c>
      <c r="C309" s="71" t="str">
        <f>VLOOKUP(A309,Classification!$A:$D,2,FALSE)</f>
        <v>A</v>
      </c>
      <c r="D309" s="33" t="str">
        <f>VLOOKUP(B309,Classification!$A:$D,2,FALSE)</f>
        <v>A</v>
      </c>
      <c r="E309" s="33" t="str">
        <f t="shared" si="4"/>
        <v>Ok</v>
      </c>
    </row>
    <row r="310" spans="1:5" x14ac:dyDescent="0.2">
      <c r="A310" t="s">
        <v>438</v>
      </c>
      <c r="B310" t="s">
        <v>1395</v>
      </c>
      <c r="C310" s="71" t="str">
        <f>VLOOKUP(A310,Classification!$A:$D,2,FALSE)</f>
        <v>A</v>
      </c>
      <c r="D310" s="33" t="str">
        <f>VLOOKUP(B310,Classification!$A:$D,2,FALSE)</f>
        <v>A</v>
      </c>
      <c r="E310" s="33" t="str">
        <f t="shared" si="4"/>
        <v>Ok</v>
      </c>
    </row>
    <row r="311" spans="1:5" x14ac:dyDescent="0.2">
      <c r="A311" t="s">
        <v>562</v>
      </c>
      <c r="B311" t="s">
        <v>1395</v>
      </c>
      <c r="C311" s="71" t="str">
        <f>VLOOKUP(A311,Classification!$A:$D,2,FALSE)</f>
        <v>A</v>
      </c>
      <c r="D311" s="33" t="str">
        <f>VLOOKUP(B311,Classification!$A:$D,2,FALSE)</f>
        <v>A</v>
      </c>
      <c r="E311" s="33" t="str">
        <f t="shared" si="4"/>
        <v>Ok</v>
      </c>
    </row>
    <row r="312" spans="1:5" x14ac:dyDescent="0.2">
      <c r="A312" t="s">
        <v>561</v>
      </c>
      <c r="B312" t="s">
        <v>1395</v>
      </c>
      <c r="C312" s="71" t="str">
        <f>VLOOKUP(A312,Classification!$A:$D,2,FALSE)</f>
        <v>A</v>
      </c>
      <c r="D312" s="33" t="str">
        <f>VLOOKUP(B312,Classification!$A:$D,2,FALSE)</f>
        <v>A</v>
      </c>
      <c r="E312" s="33" t="str">
        <f t="shared" si="4"/>
        <v>Ok</v>
      </c>
    </row>
    <row r="313" spans="1:5" x14ac:dyDescent="0.2">
      <c r="A313" t="s">
        <v>521</v>
      </c>
      <c r="B313" t="s">
        <v>1395</v>
      </c>
      <c r="C313" s="71" t="str">
        <f>VLOOKUP(A313,Classification!$A:$D,2,FALSE)</f>
        <v>A</v>
      </c>
      <c r="D313" s="33" t="str">
        <f>VLOOKUP(B313,Classification!$A:$D,2,FALSE)</f>
        <v>A</v>
      </c>
      <c r="E313" s="33" t="str">
        <f t="shared" si="4"/>
        <v>Ok</v>
      </c>
    </row>
    <row r="314" spans="1:5" x14ac:dyDescent="0.2">
      <c r="A314" t="s">
        <v>506</v>
      </c>
      <c r="B314" t="s">
        <v>1395</v>
      </c>
      <c r="C314" s="71" t="str">
        <f>VLOOKUP(A314,Classification!$A:$D,2,FALSE)</f>
        <v>A</v>
      </c>
      <c r="D314" s="33" t="str">
        <f>VLOOKUP(B314,Classification!$A:$D,2,FALSE)</f>
        <v>A</v>
      </c>
      <c r="E314" s="33" t="str">
        <f t="shared" si="4"/>
        <v>Ok</v>
      </c>
    </row>
    <row r="315" spans="1:5" x14ac:dyDescent="0.2">
      <c r="A315" t="s">
        <v>402</v>
      </c>
      <c r="B315" t="s">
        <v>1395</v>
      </c>
      <c r="C315" s="71" t="str">
        <f>VLOOKUP(A315,Classification!$A:$D,2,FALSE)</f>
        <v>A</v>
      </c>
      <c r="D315" s="33" t="str">
        <f>VLOOKUP(B315,Classification!$A:$D,2,FALSE)</f>
        <v>A</v>
      </c>
      <c r="E315" s="33" t="str">
        <f t="shared" si="4"/>
        <v>Ok</v>
      </c>
    </row>
    <row r="316" spans="1:5" x14ac:dyDescent="0.2">
      <c r="A316" t="s">
        <v>361</v>
      </c>
      <c r="B316" t="s">
        <v>1395</v>
      </c>
      <c r="C316" s="71" t="str">
        <f>VLOOKUP(A316,Classification!$A:$D,2,FALSE)</f>
        <v>A</v>
      </c>
      <c r="D316" s="33" t="str">
        <f>VLOOKUP(B316,Classification!$A:$D,2,FALSE)</f>
        <v>A</v>
      </c>
      <c r="E316" s="33" t="str">
        <f t="shared" si="4"/>
        <v>Ok</v>
      </c>
    </row>
    <row r="317" spans="1:5" x14ac:dyDescent="0.2">
      <c r="A317" t="s">
        <v>519</v>
      </c>
      <c r="B317" t="s">
        <v>1395</v>
      </c>
      <c r="C317" s="71" t="str">
        <f>VLOOKUP(A317,Classification!$A:$D,2,FALSE)</f>
        <v>A</v>
      </c>
      <c r="D317" s="33" t="str">
        <f>VLOOKUP(B317,Classification!$A:$D,2,FALSE)</f>
        <v>A</v>
      </c>
      <c r="E317" s="33" t="str">
        <f t="shared" si="4"/>
        <v>Ok</v>
      </c>
    </row>
    <row r="318" spans="1:5" x14ac:dyDescent="0.2">
      <c r="A318" t="s">
        <v>357</v>
      </c>
      <c r="B318" t="s">
        <v>1395</v>
      </c>
      <c r="C318" s="71" t="str">
        <f>VLOOKUP(A318,Classification!$A:$D,2,FALSE)</f>
        <v>A</v>
      </c>
      <c r="D318" s="33" t="str">
        <f>VLOOKUP(B318,Classification!$A:$D,2,FALSE)</f>
        <v>A</v>
      </c>
      <c r="E318" s="33" t="str">
        <f t="shared" si="4"/>
        <v>Ok</v>
      </c>
    </row>
    <row r="319" spans="1:5" x14ac:dyDescent="0.2">
      <c r="A319" t="s">
        <v>463</v>
      </c>
      <c r="B319" t="s">
        <v>1395</v>
      </c>
      <c r="C319" s="71" t="str">
        <f>VLOOKUP(A319,Classification!$A:$D,2,FALSE)</f>
        <v>A</v>
      </c>
      <c r="D319" s="33" t="str">
        <f>VLOOKUP(B319,Classification!$A:$D,2,FALSE)</f>
        <v>A</v>
      </c>
      <c r="E319" s="33" t="str">
        <f t="shared" si="4"/>
        <v>Ok</v>
      </c>
    </row>
    <row r="320" spans="1:5" x14ac:dyDescent="0.2">
      <c r="A320" t="s">
        <v>1395</v>
      </c>
      <c r="B320" t="s">
        <v>1395</v>
      </c>
      <c r="C320" s="71" t="str">
        <f>VLOOKUP(A320,Classification!$A:$D,2,FALSE)</f>
        <v>A</v>
      </c>
      <c r="D320" s="33" t="str">
        <f>VLOOKUP(B320,Classification!$A:$D,2,FALSE)</f>
        <v>A</v>
      </c>
      <c r="E320" s="33" t="str">
        <f t="shared" si="4"/>
        <v>Ok</v>
      </c>
    </row>
    <row r="321" spans="1:5" x14ac:dyDescent="0.2">
      <c r="A321" t="s">
        <v>436</v>
      </c>
      <c r="B321" t="s">
        <v>1395</v>
      </c>
      <c r="C321" s="71" t="str">
        <f>VLOOKUP(A321,Classification!$A:$D,2,FALSE)</f>
        <v>A</v>
      </c>
      <c r="D321" s="33" t="str">
        <f>VLOOKUP(B321,Classification!$A:$D,2,FALSE)</f>
        <v>A</v>
      </c>
      <c r="E321" s="33" t="str">
        <f t="shared" si="4"/>
        <v>Ok</v>
      </c>
    </row>
    <row r="322" spans="1:5" x14ac:dyDescent="0.2">
      <c r="A322" t="s">
        <v>566</v>
      </c>
      <c r="B322" t="s">
        <v>1395</v>
      </c>
      <c r="C322" s="71" t="str">
        <f>VLOOKUP(A322,Classification!$A:$D,2,FALSE)</f>
        <v>A</v>
      </c>
      <c r="D322" s="33" t="str">
        <f>VLOOKUP(B322,Classification!$A:$D,2,FALSE)</f>
        <v>A</v>
      </c>
      <c r="E322" s="33" t="str">
        <f t="shared" ref="E322:E385" si="5">IF(C322=D322,"Ok","Different Classes")</f>
        <v>Ok</v>
      </c>
    </row>
    <row r="323" spans="1:5" x14ac:dyDescent="0.2">
      <c r="A323" t="s">
        <v>516</v>
      </c>
      <c r="B323" t="s">
        <v>1395</v>
      </c>
      <c r="C323" s="71" t="str">
        <f>VLOOKUP(A323,Classification!$A:$D,2,FALSE)</f>
        <v>A</v>
      </c>
      <c r="D323" s="33" t="str">
        <f>VLOOKUP(B323,Classification!$A:$D,2,FALSE)</f>
        <v>A</v>
      </c>
      <c r="E323" s="33" t="str">
        <f t="shared" si="5"/>
        <v>Ok</v>
      </c>
    </row>
    <row r="324" spans="1:5" x14ac:dyDescent="0.2">
      <c r="A324" t="s">
        <v>508</v>
      </c>
      <c r="B324" t="s">
        <v>1395</v>
      </c>
      <c r="C324" s="71" t="str">
        <f>VLOOKUP(A324,Classification!$A:$D,2,FALSE)</f>
        <v>A</v>
      </c>
      <c r="D324" s="33" t="str">
        <f>VLOOKUP(B324,Classification!$A:$D,2,FALSE)</f>
        <v>A</v>
      </c>
      <c r="E324" s="33" t="str">
        <f t="shared" si="5"/>
        <v>Ok</v>
      </c>
    </row>
    <row r="325" spans="1:5" x14ac:dyDescent="0.2">
      <c r="A325" t="s">
        <v>510</v>
      </c>
      <c r="B325" t="s">
        <v>1395</v>
      </c>
      <c r="C325" s="71" t="str">
        <f>VLOOKUP(A325,Classification!$A:$D,2,FALSE)</f>
        <v>A</v>
      </c>
      <c r="D325" s="33" t="str">
        <f>VLOOKUP(B325,Classification!$A:$D,2,FALSE)</f>
        <v>A</v>
      </c>
      <c r="E325" s="33" t="str">
        <f t="shared" si="5"/>
        <v>Ok</v>
      </c>
    </row>
    <row r="326" spans="1:5" x14ac:dyDescent="0.2">
      <c r="A326" t="s">
        <v>417</v>
      </c>
      <c r="B326" t="s">
        <v>1395</v>
      </c>
      <c r="C326" s="71" t="str">
        <f>VLOOKUP(A326,Classification!$A:$D,2,FALSE)</f>
        <v>A</v>
      </c>
      <c r="D326" s="33" t="str">
        <f>VLOOKUP(B326,Classification!$A:$D,2,FALSE)</f>
        <v>A</v>
      </c>
      <c r="E326" s="33" t="str">
        <f t="shared" si="5"/>
        <v>Ok</v>
      </c>
    </row>
    <row r="327" spans="1:5" x14ac:dyDescent="0.2">
      <c r="A327" t="s">
        <v>419</v>
      </c>
      <c r="B327" t="s">
        <v>1395</v>
      </c>
      <c r="C327" s="71" t="str">
        <f>VLOOKUP(A327,Classification!$A:$D,2,FALSE)</f>
        <v>A</v>
      </c>
      <c r="D327" s="33" t="str">
        <f>VLOOKUP(B327,Classification!$A:$D,2,FALSE)</f>
        <v>A</v>
      </c>
      <c r="E327" s="33" t="str">
        <f t="shared" si="5"/>
        <v>Ok</v>
      </c>
    </row>
    <row r="328" spans="1:5" x14ac:dyDescent="0.2">
      <c r="A328" t="s">
        <v>507</v>
      </c>
      <c r="B328" t="s">
        <v>1395</v>
      </c>
      <c r="C328" s="71" t="str">
        <f>VLOOKUP(A328,Classification!$A:$D,2,FALSE)</f>
        <v>A</v>
      </c>
      <c r="D328" s="33" t="str">
        <f>VLOOKUP(B328,Classification!$A:$D,2,FALSE)</f>
        <v>A</v>
      </c>
      <c r="E328" s="33" t="str">
        <f t="shared" si="5"/>
        <v>Ok</v>
      </c>
    </row>
    <row r="329" spans="1:5" x14ac:dyDescent="0.2">
      <c r="A329" t="s">
        <v>523</v>
      </c>
      <c r="B329" t="s">
        <v>1395</v>
      </c>
      <c r="C329" s="71" t="str">
        <f>VLOOKUP(A329,Classification!$A:$D,2,FALSE)</f>
        <v>A</v>
      </c>
      <c r="D329" s="33" t="str">
        <f>VLOOKUP(B329,Classification!$A:$D,2,FALSE)</f>
        <v>A</v>
      </c>
      <c r="E329" s="33" t="str">
        <f t="shared" si="5"/>
        <v>Ok</v>
      </c>
    </row>
    <row r="330" spans="1:5" x14ac:dyDescent="0.2">
      <c r="A330" t="s">
        <v>542</v>
      </c>
      <c r="B330" t="s">
        <v>539</v>
      </c>
      <c r="C330" s="71" t="str">
        <f>VLOOKUP(A330,Classification!$A:$D,2,FALSE)</f>
        <v>A</v>
      </c>
      <c r="D330" s="33" t="str">
        <f>VLOOKUP(B330,Classification!$A:$D,2,FALSE)</f>
        <v>A</v>
      </c>
      <c r="E330" s="33" t="str">
        <f t="shared" si="5"/>
        <v>Ok</v>
      </c>
    </row>
    <row r="331" spans="1:5" x14ac:dyDescent="0.2">
      <c r="A331" t="s">
        <v>544</v>
      </c>
      <c r="B331" t="s">
        <v>539</v>
      </c>
      <c r="C331" s="71" t="str">
        <f>VLOOKUP(A331,Classification!$A:$D,2,FALSE)</f>
        <v>A</v>
      </c>
      <c r="D331" s="33" t="str">
        <f>VLOOKUP(B331,Classification!$A:$D,2,FALSE)</f>
        <v>A</v>
      </c>
      <c r="E331" s="33" t="str">
        <f t="shared" si="5"/>
        <v>Ok</v>
      </c>
    </row>
    <row r="332" spans="1:5" x14ac:dyDescent="0.2">
      <c r="A332" t="s">
        <v>537</v>
      </c>
      <c r="B332" t="s">
        <v>539</v>
      </c>
      <c r="C332" s="71" t="str">
        <f>VLOOKUP(A332,Classification!$A:$D,2,FALSE)</f>
        <v>A</v>
      </c>
      <c r="D332" s="33" t="str">
        <f>VLOOKUP(B332,Classification!$A:$D,2,FALSE)</f>
        <v>A</v>
      </c>
      <c r="E332" s="33" t="str">
        <f t="shared" si="5"/>
        <v>Ok</v>
      </c>
    </row>
    <row r="333" spans="1:5" x14ac:dyDescent="0.2">
      <c r="A333" t="s">
        <v>444</v>
      </c>
      <c r="B333" t="s">
        <v>539</v>
      </c>
      <c r="C333" s="71" t="str">
        <f>VLOOKUP(A333,Classification!$A:$D,2,FALSE)</f>
        <v>A</v>
      </c>
      <c r="D333" s="33" t="str">
        <f>VLOOKUP(B333,Classification!$A:$D,2,FALSE)</f>
        <v>A</v>
      </c>
      <c r="E333" s="33" t="str">
        <f t="shared" si="5"/>
        <v>Ok</v>
      </c>
    </row>
    <row r="334" spans="1:5" x14ac:dyDescent="0.2">
      <c r="A334" t="s">
        <v>580</v>
      </c>
      <c r="B334" t="s">
        <v>539</v>
      </c>
      <c r="C334" s="71" t="str">
        <f>VLOOKUP(A334,Classification!$A:$D,2,FALSE)</f>
        <v>A</v>
      </c>
      <c r="D334" s="33" t="str">
        <f>VLOOKUP(B334,Classification!$A:$D,2,FALSE)</f>
        <v>A</v>
      </c>
      <c r="E334" s="33" t="str">
        <f t="shared" si="5"/>
        <v>Ok</v>
      </c>
    </row>
    <row r="335" spans="1:5" x14ac:dyDescent="0.2">
      <c r="A335" t="s">
        <v>425</v>
      </c>
      <c r="B335" t="s">
        <v>539</v>
      </c>
      <c r="C335" s="71" t="str">
        <f>VLOOKUP(A335,Classification!$A:$D,2,FALSE)</f>
        <v>A</v>
      </c>
      <c r="D335" s="33" t="str">
        <f>VLOOKUP(B335,Classification!$A:$D,2,FALSE)</f>
        <v>A</v>
      </c>
      <c r="E335" s="33" t="str">
        <f t="shared" si="5"/>
        <v>Ok</v>
      </c>
    </row>
    <row r="336" spans="1:5" x14ac:dyDescent="0.2">
      <c r="A336" t="s">
        <v>374</v>
      </c>
      <c r="B336" t="s">
        <v>539</v>
      </c>
      <c r="C336" s="71" t="str">
        <f>VLOOKUP(A336,Classification!$A:$D,2,FALSE)</f>
        <v>A</v>
      </c>
      <c r="D336" s="33" t="str">
        <f>VLOOKUP(B336,Classification!$A:$D,2,FALSE)</f>
        <v>A</v>
      </c>
      <c r="E336" s="33" t="str">
        <f t="shared" si="5"/>
        <v>Ok</v>
      </c>
    </row>
    <row r="337" spans="1:5" x14ac:dyDescent="0.2">
      <c r="A337" t="s">
        <v>373</v>
      </c>
      <c r="B337" t="s">
        <v>539</v>
      </c>
      <c r="C337" s="71" t="str">
        <f>VLOOKUP(A337,Classification!$A:$D,2,FALSE)</f>
        <v>A</v>
      </c>
      <c r="D337" s="33" t="str">
        <f>VLOOKUP(B337,Classification!$A:$D,2,FALSE)</f>
        <v>A</v>
      </c>
      <c r="E337" s="33" t="str">
        <f t="shared" si="5"/>
        <v>Ok</v>
      </c>
    </row>
    <row r="338" spans="1:5" x14ac:dyDescent="0.2">
      <c r="A338" t="s">
        <v>434</v>
      </c>
      <c r="B338" t="s">
        <v>539</v>
      </c>
      <c r="C338" s="71" t="str">
        <f>VLOOKUP(A338,Classification!$A:$D,2,FALSE)</f>
        <v>A</v>
      </c>
      <c r="D338" s="33" t="str">
        <f>VLOOKUP(B338,Classification!$A:$D,2,FALSE)</f>
        <v>A</v>
      </c>
      <c r="E338" s="33" t="str">
        <f t="shared" si="5"/>
        <v>Ok</v>
      </c>
    </row>
    <row r="339" spans="1:5" x14ac:dyDescent="0.2">
      <c r="A339" t="s">
        <v>495</v>
      </c>
      <c r="B339" t="s">
        <v>539</v>
      </c>
      <c r="C339" s="71" t="str">
        <f>VLOOKUP(A339,Classification!$A:$D,2,FALSE)</f>
        <v>A</v>
      </c>
      <c r="D339" s="33" t="str">
        <f>VLOOKUP(B339,Classification!$A:$D,2,FALSE)</f>
        <v>A</v>
      </c>
      <c r="E339" s="33" t="str">
        <f t="shared" si="5"/>
        <v>Ok</v>
      </c>
    </row>
    <row r="340" spans="1:5" x14ac:dyDescent="0.2">
      <c r="A340" t="s">
        <v>435</v>
      </c>
      <c r="B340" t="s">
        <v>539</v>
      </c>
      <c r="C340" s="71" t="str">
        <f>VLOOKUP(A340,Classification!$A:$D,2,FALSE)</f>
        <v>A</v>
      </c>
      <c r="D340" s="33" t="str">
        <f>VLOOKUP(B340,Classification!$A:$D,2,FALSE)</f>
        <v>A</v>
      </c>
      <c r="E340" s="33" t="str">
        <f t="shared" si="5"/>
        <v>Ok</v>
      </c>
    </row>
    <row r="341" spans="1:5" x14ac:dyDescent="0.2">
      <c r="A341" t="s">
        <v>488</v>
      </c>
      <c r="B341" t="s">
        <v>539</v>
      </c>
      <c r="C341" s="71" t="str">
        <f>VLOOKUP(A341,Classification!$A:$D,2,FALSE)</f>
        <v>A</v>
      </c>
      <c r="D341" s="33" t="str">
        <f>VLOOKUP(B341,Classification!$A:$D,2,FALSE)</f>
        <v>A</v>
      </c>
      <c r="E341" s="33" t="str">
        <f t="shared" si="5"/>
        <v>Ok</v>
      </c>
    </row>
    <row r="342" spans="1:5" x14ac:dyDescent="0.2">
      <c r="A342" t="s">
        <v>564</v>
      </c>
      <c r="B342" t="s">
        <v>539</v>
      </c>
      <c r="C342" s="71" t="str">
        <f>VLOOKUP(A342,Classification!$A:$D,2,FALSE)</f>
        <v>A</v>
      </c>
      <c r="D342" s="33" t="str">
        <f>VLOOKUP(B342,Classification!$A:$D,2,FALSE)</f>
        <v>A</v>
      </c>
      <c r="E342" s="33" t="str">
        <f t="shared" si="5"/>
        <v>Ok</v>
      </c>
    </row>
    <row r="343" spans="1:5" x14ac:dyDescent="0.2">
      <c r="A343" t="s">
        <v>539</v>
      </c>
      <c r="B343" t="s">
        <v>539</v>
      </c>
      <c r="C343" s="71" t="str">
        <f>VLOOKUP(A343,Classification!$A:$D,2,FALSE)</f>
        <v>A</v>
      </c>
      <c r="D343" s="33" t="str">
        <f>VLOOKUP(B343,Classification!$A:$D,2,FALSE)</f>
        <v>A</v>
      </c>
      <c r="E343" s="33" t="str">
        <f t="shared" si="5"/>
        <v>Ok</v>
      </c>
    </row>
    <row r="344" spans="1:5" x14ac:dyDescent="0.2">
      <c r="A344" t="s">
        <v>499</v>
      </c>
      <c r="B344" t="s">
        <v>539</v>
      </c>
      <c r="C344" s="71" t="str">
        <f>VLOOKUP(A344,Classification!$A:$D,2,FALSE)</f>
        <v>A</v>
      </c>
      <c r="D344" s="33" t="str">
        <f>VLOOKUP(B344,Classification!$A:$D,2,FALSE)</f>
        <v>A</v>
      </c>
      <c r="E344" s="33" t="str">
        <f t="shared" si="5"/>
        <v>Ok</v>
      </c>
    </row>
    <row r="345" spans="1:5" x14ac:dyDescent="0.2">
      <c r="A345" t="s">
        <v>484</v>
      </c>
      <c r="B345" t="s">
        <v>539</v>
      </c>
      <c r="C345" s="71" t="str">
        <f>VLOOKUP(A345,Classification!$A:$D,2,FALSE)</f>
        <v>A</v>
      </c>
      <c r="D345" s="33" t="str">
        <f>VLOOKUP(B345,Classification!$A:$D,2,FALSE)</f>
        <v>A</v>
      </c>
      <c r="E345" s="33" t="str">
        <f t="shared" si="5"/>
        <v>Ok</v>
      </c>
    </row>
    <row r="346" spans="1:5" x14ac:dyDescent="0.2">
      <c r="A346" t="s">
        <v>497</v>
      </c>
      <c r="B346" t="s">
        <v>539</v>
      </c>
      <c r="C346" s="71" t="str">
        <f>VLOOKUP(A346,Classification!$A:$D,2,FALSE)</f>
        <v>A</v>
      </c>
      <c r="D346" s="33" t="str">
        <f>VLOOKUP(B346,Classification!$A:$D,2,FALSE)</f>
        <v>A</v>
      </c>
      <c r="E346" s="33" t="str">
        <f t="shared" si="5"/>
        <v>Ok</v>
      </c>
    </row>
    <row r="347" spans="1:5" x14ac:dyDescent="0.2">
      <c r="A347" t="s">
        <v>545</v>
      </c>
      <c r="B347" t="s">
        <v>539</v>
      </c>
      <c r="C347" s="71" t="str">
        <f>VLOOKUP(A347,Classification!$A:$D,2,FALSE)</f>
        <v>A</v>
      </c>
      <c r="D347" s="33" t="str">
        <f>VLOOKUP(B347,Classification!$A:$D,2,FALSE)</f>
        <v>A</v>
      </c>
      <c r="E347" s="33" t="str">
        <f t="shared" si="5"/>
        <v>Ok</v>
      </c>
    </row>
    <row r="348" spans="1:5" x14ac:dyDescent="0.2">
      <c r="A348" t="s">
        <v>482</v>
      </c>
      <c r="B348" t="s">
        <v>539</v>
      </c>
      <c r="C348" s="71" t="str">
        <f>VLOOKUP(A348,Classification!$A:$D,2,FALSE)</f>
        <v>A</v>
      </c>
      <c r="D348" s="33" t="str">
        <f>VLOOKUP(B348,Classification!$A:$D,2,FALSE)</f>
        <v>A</v>
      </c>
      <c r="E348" s="33" t="str">
        <f t="shared" si="5"/>
        <v>Ok</v>
      </c>
    </row>
    <row r="349" spans="1:5" x14ac:dyDescent="0.2">
      <c r="A349" t="s">
        <v>541</v>
      </c>
      <c r="B349" t="s">
        <v>539</v>
      </c>
      <c r="C349" s="71" t="str">
        <f>VLOOKUP(A349,Classification!$A:$D,2,FALSE)</f>
        <v>A</v>
      </c>
      <c r="D349" s="33" t="str">
        <f>VLOOKUP(B349,Classification!$A:$D,2,FALSE)</f>
        <v>A</v>
      </c>
      <c r="E349" s="33" t="str">
        <f t="shared" si="5"/>
        <v>Ok</v>
      </c>
    </row>
    <row r="350" spans="1:5" x14ac:dyDescent="0.2">
      <c r="A350" t="s">
        <v>489</v>
      </c>
      <c r="B350" t="s">
        <v>539</v>
      </c>
      <c r="C350" s="71" t="str">
        <f>VLOOKUP(A350,Classification!$A:$D,2,FALSE)</f>
        <v>A</v>
      </c>
      <c r="D350" s="33" t="str">
        <f>VLOOKUP(B350,Classification!$A:$D,2,FALSE)</f>
        <v>A</v>
      </c>
      <c r="E350" s="33" t="str">
        <f t="shared" si="5"/>
        <v>Ok</v>
      </c>
    </row>
    <row r="351" spans="1:5" x14ac:dyDescent="0.2">
      <c r="A351" t="s">
        <v>469</v>
      </c>
      <c r="B351" t="s">
        <v>539</v>
      </c>
      <c r="C351" s="71" t="str">
        <f>VLOOKUP(A351,Classification!$A:$D,2,FALSE)</f>
        <v>A</v>
      </c>
      <c r="D351" s="33" t="str">
        <f>VLOOKUP(B351,Classification!$A:$D,2,FALSE)</f>
        <v>A</v>
      </c>
      <c r="E351" s="33" t="str">
        <f t="shared" si="5"/>
        <v>Ok</v>
      </c>
    </row>
    <row r="352" spans="1:5" x14ac:dyDescent="0.2">
      <c r="A352" t="s">
        <v>470</v>
      </c>
      <c r="B352" t="s">
        <v>539</v>
      </c>
      <c r="C352" s="71" t="str">
        <f>VLOOKUP(A352,Classification!$A:$D,2,FALSE)</f>
        <v>A</v>
      </c>
      <c r="D352" s="33" t="str">
        <f>VLOOKUP(B352,Classification!$A:$D,2,FALSE)</f>
        <v>A</v>
      </c>
      <c r="E352" s="33" t="str">
        <f t="shared" si="5"/>
        <v>Ok</v>
      </c>
    </row>
    <row r="353" spans="1:5" x14ac:dyDescent="0.2">
      <c r="A353" t="s">
        <v>540</v>
      </c>
      <c r="B353" t="s">
        <v>539</v>
      </c>
      <c r="C353" s="71" t="str">
        <f>VLOOKUP(A353,Classification!$A:$D,2,FALSE)</f>
        <v>A</v>
      </c>
      <c r="D353" s="33" t="str">
        <f>VLOOKUP(B353,Classification!$A:$D,2,FALSE)</f>
        <v>A</v>
      </c>
      <c r="E353" s="33" t="str">
        <f t="shared" si="5"/>
        <v>Ok</v>
      </c>
    </row>
    <row r="354" spans="1:5" x14ac:dyDescent="0.2">
      <c r="A354" t="s">
        <v>408</v>
      </c>
      <c r="B354" t="s">
        <v>539</v>
      </c>
      <c r="C354" s="71" t="str">
        <f>VLOOKUP(A354,Classification!$A:$D,2,FALSE)</f>
        <v>A</v>
      </c>
      <c r="D354" s="33" t="str">
        <f>VLOOKUP(B354,Classification!$A:$D,2,FALSE)</f>
        <v>A</v>
      </c>
      <c r="E354" s="33" t="str">
        <f t="shared" si="5"/>
        <v>Ok</v>
      </c>
    </row>
    <row r="355" spans="1:5" x14ac:dyDescent="0.2">
      <c r="A355" t="s">
        <v>483</v>
      </c>
      <c r="B355" t="s">
        <v>539</v>
      </c>
      <c r="C355" s="71" t="str">
        <f>VLOOKUP(A355,Classification!$A:$D,2,FALSE)</f>
        <v>A</v>
      </c>
      <c r="D355" s="33" t="str">
        <f>VLOOKUP(B355,Classification!$A:$D,2,FALSE)</f>
        <v>A</v>
      </c>
      <c r="E355" s="33" t="str">
        <f t="shared" si="5"/>
        <v>Ok</v>
      </c>
    </row>
    <row r="356" spans="1:5" x14ac:dyDescent="0.2">
      <c r="A356" t="s">
        <v>451</v>
      </c>
      <c r="B356" t="s">
        <v>539</v>
      </c>
      <c r="C356" s="71" t="str">
        <f>VLOOKUP(A356,Classification!$A:$D,2,FALSE)</f>
        <v>A</v>
      </c>
      <c r="D356" s="33" t="str">
        <f>VLOOKUP(B356,Classification!$A:$D,2,FALSE)</f>
        <v>A</v>
      </c>
      <c r="E356" s="33" t="str">
        <f t="shared" si="5"/>
        <v>Ok</v>
      </c>
    </row>
    <row r="357" spans="1:5" x14ac:dyDescent="0.2">
      <c r="A357" t="s">
        <v>471</v>
      </c>
      <c r="B357" t="s">
        <v>539</v>
      </c>
      <c r="C357" s="71" t="str">
        <f>VLOOKUP(A357,Classification!$A:$D,2,FALSE)</f>
        <v>A</v>
      </c>
      <c r="D357" s="33" t="str">
        <f>VLOOKUP(B357,Classification!$A:$D,2,FALSE)</f>
        <v>A</v>
      </c>
      <c r="E357" s="33" t="str">
        <f t="shared" si="5"/>
        <v>Ok</v>
      </c>
    </row>
    <row r="358" spans="1:5" x14ac:dyDescent="0.2">
      <c r="A358" t="s">
        <v>423</v>
      </c>
      <c r="B358" t="s">
        <v>546</v>
      </c>
      <c r="C358" s="71" t="str">
        <f>VLOOKUP(A358,Classification!$A:$D,2,FALSE)</f>
        <v>A</v>
      </c>
      <c r="D358" s="33" t="str">
        <f>VLOOKUP(B358,Classification!$A:$D,2,FALSE)</f>
        <v>A</v>
      </c>
      <c r="E358" s="33" t="str">
        <f t="shared" si="5"/>
        <v>Ok</v>
      </c>
    </row>
    <row r="359" spans="1:5" x14ac:dyDescent="0.2">
      <c r="A359" t="s">
        <v>547</v>
      </c>
      <c r="B359" t="s">
        <v>546</v>
      </c>
      <c r="C359" s="71" t="str">
        <f>VLOOKUP(A359,Classification!$A:$D,2,FALSE)</f>
        <v>A</v>
      </c>
      <c r="D359" s="33" t="str">
        <f>VLOOKUP(B359,Classification!$A:$D,2,FALSE)</f>
        <v>A</v>
      </c>
      <c r="E359" s="33" t="str">
        <f t="shared" si="5"/>
        <v>Ok</v>
      </c>
    </row>
    <row r="360" spans="1:5" x14ac:dyDescent="0.2">
      <c r="A360" t="s">
        <v>548</v>
      </c>
      <c r="B360" t="s">
        <v>546</v>
      </c>
      <c r="C360" s="71" t="str">
        <f>VLOOKUP(A360,Classification!$A:$D,2,FALSE)</f>
        <v>A</v>
      </c>
      <c r="D360" s="33" t="str">
        <f>VLOOKUP(B360,Classification!$A:$D,2,FALSE)</f>
        <v>A</v>
      </c>
      <c r="E360" s="33" t="str">
        <f t="shared" si="5"/>
        <v>Ok</v>
      </c>
    </row>
    <row r="361" spans="1:5" x14ac:dyDescent="0.2">
      <c r="A361" t="s">
        <v>546</v>
      </c>
      <c r="B361" t="s">
        <v>546</v>
      </c>
      <c r="C361" s="71" t="str">
        <f>VLOOKUP(A361,Classification!$A:$D,2,FALSE)</f>
        <v>A</v>
      </c>
      <c r="D361" s="33" t="str">
        <f>VLOOKUP(B361,Classification!$A:$D,2,FALSE)</f>
        <v>A</v>
      </c>
      <c r="E361" s="33" t="str">
        <f t="shared" si="5"/>
        <v>Ok</v>
      </c>
    </row>
    <row r="362" spans="1:5" x14ac:dyDescent="0.2">
      <c r="A362" t="s">
        <v>466</v>
      </c>
      <c r="B362" t="s">
        <v>546</v>
      </c>
      <c r="C362" s="71" t="str">
        <f>VLOOKUP(A362,Classification!$A:$D,2,FALSE)</f>
        <v>A</v>
      </c>
      <c r="D362" s="33" t="str">
        <f>VLOOKUP(B362,Classification!$A:$D,2,FALSE)</f>
        <v>A</v>
      </c>
      <c r="E362" s="33" t="str">
        <f t="shared" si="5"/>
        <v>Ok</v>
      </c>
    </row>
    <row r="363" spans="1:5" x14ac:dyDescent="0.2">
      <c r="A363" t="s">
        <v>501</v>
      </c>
      <c r="B363" t="s">
        <v>546</v>
      </c>
      <c r="C363" s="71" t="str">
        <f>VLOOKUP(A363,Classification!$A:$D,2,FALSE)</f>
        <v>A</v>
      </c>
      <c r="D363" s="33" t="str">
        <f>VLOOKUP(B363,Classification!$A:$D,2,FALSE)</f>
        <v>A</v>
      </c>
      <c r="E363" s="33" t="str">
        <f t="shared" si="5"/>
        <v>Ok</v>
      </c>
    </row>
    <row r="364" spans="1:5" x14ac:dyDescent="0.2">
      <c r="A364" t="s">
        <v>565</v>
      </c>
      <c r="B364" t="s">
        <v>546</v>
      </c>
      <c r="C364" s="71" t="str">
        <f>VLOOKUP(A364,Classification!$A:$D,2,FALSE)</f>
        <v>A</v>
      </c>
      <c r="D364" s="33" t="str">
        <f>VLOOKUP(B364,Classification!$A:$D,2,FALSE)</f>
        <v>A</v>
      </c>
      <c r="E364" s="33" t="str">
        <f t="shared" si="5"/>
        <v>Ok</v>
      </c>
    </row>
    <row r="365" spans="1:5" x14ac:dyDescent="0.2">
      <c r="A365" t="s">
        <v>428</v>
      </c>
      <c r="B365" t="s">
        <v>546</v>
      </c>
      <c r="C365" s="71" t="str">
        <f>VLOOKUP(A365,Classification!$A:$D,2,FALSE)</f>
        <v>A</v>
      </c>
      <c r="D365" s="33" t="str">
        <f>VLOOKUP(B365,Classification!$A:$D,2,FALSE)</f>
        <v>A</v>
      </c>
      <c r="E365" s="33" t="str">
        <f t="shared" si="5"/>
        <v>Ok</v>
      </c>
    </row>
    <row r="366" spans="1:5" x14ac:dyDescent="0.2">
      <c r="A366" t="s">
        <v>559</v>
      </c>
      <c r="B366" t="s">
        <v>546</v>
      </c>
      <c r="C366" s="71" t="str">
        <f>VLOOKUP(A366,Classification!$A:$D,2,FALSE)</f>
        <v>A</v>
      </c>
      <c r="D366" s="33" t="str">
        <f>VLOOKUP(B366,Classification!$A:$D,2,FALSE)</f>
        <v>A</v>
      </c>
      <c r="E366" s="33" t="str">
        <f t="shared" si="5"/>
        <v>Ok</v>
      </c>
    </row>
    <row r="367" spans="1:5" x14ac:dyDescent="0.2">
      <c r="A367" t="s">
        <v>447</v>
      </c>
      <c r="B367" t="s">
        <v>546</v>
      </c>
      <c r="C367" s="71" t="str">
        <f>VLOOKUP(A367,Classification!$A:$D,2,FALSE)</f>
        <v>A</v>
      </c>
      <c r="D367" s="33" t="str">
        <f>VLOOKUP(B367,Classification!$A:$D,2,FALSE)</f>
        <v>A</v>
      </c>
      <c r="E367" s="33" t="str">
        <f t="shared" si="5"/>
        <v>Ok</v>
      </c>
    </row>
    <row r="368" spans="1:5" x14ac:dyDescent="0.2">
      <c r="A368" t="s">
        <v>558</v>
      </c>
      <c r="B368" t="s">
        <v>546</v>
      </c>
      <c r="C368" s="71" t="str">
        <f>VLOOKUP(A368,Classification!$A:$D,2,FALSE)</f>
        <v>A</v>
      </c>
      <c r="D368" s="33" t="str">
        <f>VLOOKUP(B368,Classification!$A:$D,2,FALSE)</f>
        <v>A</v>
      </c>
      <c r="E368" s="33" t="str">
        <f t="shared" si="5"/>
        <v>Ok</v>
      </c>
    </row>
    <row r="369" spans="1:5" x14ac:dyDescent="0.2">
      <c r="A369" t="s">
        <v>551</v>
      </c>
      <c r="B369" t="s">
        <v>549</v>
      </c>
      <c r="C369" s="71" t="str">
        <f>VLOOKUP(A369,Classification!$A:$D,2,FALSE)</f>
        <v>A</v>
      </c>
      <c r="D369" s="33" t="str">
        <f>VLOOKUP(B369,Classification!$A:$D,2,FALSE)</f>
        <v>A</v>
      </c>
      <c r="E369" s="33" t="str">
        <f t="shared" si="5"/>
        <v>Ok</v>
      </c>
    </row>
    <row r="370" spans="1:5" x14ac:dyDescent="0.2">
      <c r="A370" t="s">
        <v>455</v>
      </c>
      <c r="B370" t="s">
        <v>549</v>
      </c>
      <c r="C370" s="71" t="str">
        <f>VLOOKUP(A370,Classification!$A:$D,2,FALSE)</f>
        <v>A</v>
      </c>
      <c r="D370" s="33" t="str">
        <f>VLOOKUP(B370,Classification!$A:$D,2,FALSE)</f>
        <v>A</v>
      </c>
      <c r="E370" s="33" t="str">
        <f t="shared" si="5"/>
        <v>Ok</v>
      </c>
    </row>
    <row r="371" spans="1:5" x14ac:dyDescent="0.2">
      <c r="A371" t="s">
        <v>448</v>
      </c>
      <c r="B371" t="s">
        <v>549</v>
      </c>
      <c r="C371" s="71" t="str">
        <f>VLOOKUP(A371,Classification!$A:$D,2,FALSE)</f>
        <v>A</v>
      </c>
      <c r="D371" s="33" t="str">
        <f>VLOOKUP(B371,Classification!$A:$D,2,FALSE)</f>
        <v>A</v>
      </c>
      <c r="E371" s="33" t="str">
        <f t="shared" si="5"/>
        <v>Ok</v>
      </c>
    </row>
    <row r="372" spans="1:5" x14ac:dyDescent="0.2">
      <c r="A372" t="s">
        <v>496</v>
      </c>
      <c r="B372" t="s">
        <v>549</v>
      </c>
      <c r="C372" s="71" t="str">
        <f>VLOOKUP(A372,Classification!$A:$D,2,FALSE)</f>
        <v>A</v>
      </c>
      <c r="D372" s="33" t="str">
        <f>VLOOKUP(B372,Classification!$A:$D,2,FALSE)</f>
        <v>A</v>
      </c>
      <c r="E372" s="33" t="str">
        <f t="shared" si="5"/>
        <v>Ok</v>
      </c>
    </row>
    <row r="373" spans="1:5" x14ac:dyDescent="0.2">
      <c r="A373" t="s">
        <v>552</v>
      </c>
      <c r="B373" t="s">
        <v>549</v>
      </c>
      <c r="C373" s="71" t="str">
        <f>VLOOKUP(A373,Classification!$A:$D,2,FALSE)</f>
        <v>A</v>
      </c>
      <c r="D373" s="33" t="str">
        <f>VLOOKUP(B373,Classification!$A:$D,2,FALSE)</f>
        <v>A</v>
      </c>
      <c r="E373" s="33" t="str">
        <f t="shared" si="5"/>
        <v>Ok</v>
      </c>
    </row>
    <row r="374" spans="1:5" x14ac:dyDescent="0.2">
      <c r="A374" t="s">
        <v>550</v>
      </c>
      <c r="B374" t="s">
        <v>549</v>
      </c>
      <c r="C374" s="71" t="str">
        <f>VLOOKUP(A374,Classification!$A:$D,2,FALSE)</f>
        <v>A</v>
      </c>
      <c r="D374" s="33" t="str">
        <f>VLOOKUP(B374,Classification!$A:$D,2,FALSE)</f>
        <v>A</v>
      </c>
      <c r="E374" s="33" t="str">
        <f t="shared" si="5"/>
        <v>Ok</v>
      </c>
    </row>
    <row r="375" spans="1:5" x14ac:dyDescent="0.2">
      <c r="A375" t="s">
        <v>549</v>
      </c>
      <c r="B375" t="s">
        <v>549</v>
      </c>
      <c r="C375" s="71" t="str">
        <f>VLOOKUP(A375,Classification!$A:$D,2,FALSE)</f>
        <v>A</v>
      </c>
      <c r="D375" s="33" t="str">
        <f>VLOOKUP(B375,Classification!$A:$D,2,FALSE)</f>
        <v>A</v>
      </c>
      <c r="E375" s="33" t="str">
        <f t="shared" si="5"/>
        <v>Ok</v>
      </c>
    </row>
    <row r="376" spans="1:5" x14ac:dyDescent="0.2">
      <c r="A376" t="s">
        <v>437</v>
      </c>
      <c r="B376" t="s">
        <v>549</v>
      </c>
      <c r="C376" s="71" t="str">
        <f>VLOOKUP(A376,Classification!$A:$D,2,FALSE)</f>
        <v>A</v>
      </c>
      <c r="D376" s="33" t="str">
        <f>VLOOKUP(B376,Classification!$A:$D,2,FALSE)</f>
        <v>A</v>
      </c>
      <c r="E376" s="33" t="str">
        <f t="shared" si="5"/>
        <v>Ok</v>
      </c>
    </row>
    <row r="377" spans="1:5" x14ac:dyDescent="0.2">
      <c r="A377" t="s">
        <v>543</v>
      </c>
      <c r="B377" t="s">
        <v>549</v>
      </c>
      <c r="C377" s="71" t="str">
        <f>VLOOKUP(A377,Classification!$A:$D,2,FALSE)</f>
        <v>A</v>
      </c>
      <c r="D377" s="33" t="str">
        <f>VLOOKUP(B377,Classification!$A:$D,2,FALSE)</f>
        <v>A</v>
      </c>
      <c r="E377" s="33" t="str">
        <f t="shared" si="5"/>
        <v>Ok</v>
      </c>
    </row>
    <row r="378" spans="1:5" x14ac:dyDescent="0.2">
      <c r="A378" t="s">
        <v>393</v>
      </c>
      <c r="B378" t="s">
        <v>549</v>
      </c>
      <c r="C378" s="71" t="str">
        <f>VLOOKUP(A378,Classification!$A:$D,2,FALSE)</f>
        <v>A</v>
      </c>
      <c r="D378" s="33" t="str">
        <f>VLOOKUP(B378,Classification!$A:$D,2,FALSE)</f>
        <v>A</v>
      </c>
      <c r="E378" s="33" t="str">
        <f t="shared" si="5"/>
        <v>Ok</v>
      </c>
    </row>
    <row r="379" spans="1:5" x14ac:dyDescent="0.2">
      <c r="A379" t="s">
        <v>452</v>
      </c>
      <c r="B379" t="s">
        <v>549</v>
      </c>
      <c r="C379" s="71" t="str">
        <f>VLOOKUP(A379,Classification!$A:$D,2,FALSE)</f>
        <v>A</v>
      </c>
      <c r="D379" s="33" t="str">
        <f>VLOOKUP(B379,Classification!$A:$D,2,FALSE)</f>
        <v>A</v>
      </c>
      <c r="E379" s="33" t="str">
        <f t="shared" si="5"/>
        <v>Ok</v>
      </c>
    </row>
    <row r="380" spans="1:5" x14ac:dyDescent="0.2">
      <c r="A380" t="s">
        <v>503</v>
      </c>
      <c r="B380" t="s">
        <v>298</v>
      </c>
      <c r="C380" s="71" t="str">
        <f>VLOOKUP(A380,Classification!$A:$D,2,FALSE)</f>
        <v>A</v>
      </c>
      <c r="D380" s="33" t="str">
        <f>VLOOKUP(B380,Classification!$A:$D,2,FALSE)</f>
        <v>A</v>
      </c>
      <c r="E380" s="33" t="str">
        <f t="shared" si="5"/>
        <v>Ok</v>
      </c>
    </row>
    <row r="381" spans="1:5" x14ac:dyDescent="0.2">
      <c r="A381" t="s">
        <v>345</v>
      </c>
      <c r="B381" t="s">
        <v>298</v>
      </c>
      <c r="C381" s="71" t="str">
        <f>VLOOKUP(A381,Classification!$A:$D,2,FALSE)</f>
        <v>A</v>
      </c>
      <c r="D381" s="33" t="str">
        <f>VLOOKUP(B381,Classification!$A:$D,2,FALSE)</f>
        <v>A</v>
      </c>
      <c r="E381" s="33" t="str">
        <f t="shared" si="5"/>
        <v>Ok</v>
      </c>
    </row>
    <row r="382" spans="1:5" x14ac:dyDescent="0.2">
      <c r="A382" t="s">
        <v>490</v>
      </c>
      <c r="B382" t="s">
        <v>298</v>
      </c>
      <c r="C382" s="71" t="str">
        <f>VLOOKUP(A382,Classification!$A:$D,2,FALSE)</f>
        <v>A</v>
      </c>
      <c r="D382" s="33" t="str">
        <f>VLOOKUP(B382,Classification!$A:$D,2,FALSE)</f>
        <v>A</v>
      </c>
      <c r="E382" s="33" t="str">
        <f t="shared" si="5"/>
        <v>Ok</v>
      </c>
    </row>
    <row r="383" spans="1:5" x14ac:dyDescent="0.2">
      <c r="A383" t="s">
        <v>491</v>
      </c>
      <c r="B383" t="s">
        <v>298</v>
      </c>
      <c r="C383" s="71" t="str">
        <f>VLOOKUP(A383,Classification!$A:$D,2,FALSE)</f>
        <v>A</v>
      </c>
      <c r="D383" s="33" t="str">
        <f>VLOOKUP(B383,Classification!$A:$D,2,FALSE)</f>
        <v>A</v>
      </c>
      <c r="E383" s="33" t="str">
        <f t="shared" si="5"/>
        <v>Ok</v>
      </c>
    </row>
    <row r="384" spans="1:5" x14ac:dyDescent="0.2">
      <c r="A384" t="s">
        <v>432</v>
      </c>
      <c r="B384" t="s">
        <v>298</v>
      </c>
      <c r="C384" s="71" t="str">
        <f>VLOOKUP(A384,Classification!$A:$D,2,FALSE)</f>
        <v>A</v>
      </c>
      <c r="D384" s="33" t="str">
        <f>VLOOKUP(B384,Classification!$A:$D,2,FALSE)</f>
        <v>A</v>
      </c>
      <c r="E384" s="33" t="str">
        <f t="shared" si="5"/>
        <v>Ok</v>
      </c>
    </row>
    <row r="385" spans="1:5" x14ac:dyDescent="0.2">
      <c r="A385" t="s">
        <v>456</v>
      </c>
      <c r="B385" t="s">
        <v>298</v>
      </c>
      <c r="C385" s="71" t="str">
        <f>VLOOKUP(A385,Classification!$A:$D,2,FALSE)</f>
        <v>A</v>
      </c>
      <c r="D385" s="33" t="str">
        <f>VLOOKUP(B385,Classification!$A:$D,2,FALSE)</f>
        <v>A</v>
      </c>
      <c r="E385" s="33" t="str">
        <f t="shared" si="5"/>
        <v>Ok</v>
      </c>
    </row>
    <row r="386" spans="1:5" x14ac:dyDescent="0.2">
      <c r="A386" t="s">
        <v>557</v>
      </c>
      <c r="B386" t="s">
        <v>298</v>
      </c>
      <c r="C386" s="71" t="str">
        <f>VLOOKUP(A386,Classification!$A:$D,2,FALSE)</f>
        <v>A</v>
      </c>
      <c r="D386" s="33" t="str">
        <f>VLOOKUP(B386,Classification!$A:$D,2,FALSE)</f>
        <v>A</v>
      </c>
      <c r="E386" s="33" t="str">
        <f t="shared" ref="E386:E406" si="6">IF(C386=D386,"Ok","Different Classes")</f>
        <v>Ok</v>
      </c>
    </row>
    <row r="387" spans="1:5" x14ac:dyDescent="0.2">
      <c r="A387" t="s">
        <v>668</v>
      </c>
      <c r="B387" t="s">
        <v>298</v>
      </c>
      <c r="C387" s="71" t="str">
        <f>VLOOKUP(A387,Classification!$A:$D,2,FALSE)</f>
        <v>A</v>
      </c>
      <c r="D387" s="33" t="str">
        <f>VLOOKUP(B387,Classification!$A:$D,2,FALSE)</f>
        <v>A</v>
      </c>
      <c r="E387" s="33" t="str">
        <f t="shared" si="6"/>
        <v>Ok</v>
      </c>
    </row>
    <row r="388" spans="1:5" x14ac:dyDescent="0.2">
      <c r="A388" t="s">
        <v>407</v>
      </c>
      <c r="B388" t="s">
        <v>298</v>
      </c>
      <c r="C388" s="71" t="str">
        <f>VLOOKUP(A388,Classification!$A:$D,2,FALSE)</f>
        <v>A</v>
      </c>
      <c r="D388" s="33" t="str">
        <f>VLOOKUP(B388,Classification!$A:$D,2,FALSE)</f>
        <v>A</v>
      </c>
      <c r="E388" s="33" t="str">
        <f t="shared" si="6"/>
        <v>Ok</v>
      </c>
    </row>
    <row r="389" spans="1:5" x14ac:dyDescent="0.2">
      <c r="A389" t="s">
        <v>571</v>
      </c>
      <c r="B389" t="s">
        <v>298</v>
      </c>
      <c r="C389" s="71" t="str">
        <f>VLOOKUP(A389,Classification!$A:$D,2,FALSE)</f>
        <v>A</v>
      </c>
      <c r="D389" s="33" t="str">
        <f>VLOOKUP(B389,Classification!$A:$D,2,FALSE)</f>
        <v>A</v>
      </c>
      <c r="E389" s="33" t="str">
        <f t="shared" si="6"/>
        <v>Ok</v>
      </c>
    </row>
    <row r="390" spans="1:5" x14ac:dyDescent="0.2">
      <c r="A390" t="s">
        <v>298</v>
      </c>
      <c r="B390" t="s">
        <v>298</v>
      </c>
      <c r="C390" s="71" t="str">
        <f>VLOOKUP(A390,Classification!$A:$D,2,FALSE)</f>
        <v>A</v>
      </c>
      <c r="D390" s="33" t="str">
        <f>VLOOKUP(B390,Classification!$A:$D,2,FALSE)</f>
        <v>A</v>
      </c>
      <c r="E390" s="33" t="str">
        <f t="shared" si="6"/>
        <v>Ok</v>
      </c>
    </row>
    <row r="391" spans="1:5" x14ac:dyDescent="0.2">
      <c r="A391" t="s">
        <v>573</v>
      </c>
      <c r="B391" t="s">
        <v>298</v>
      </c>
      <c r="C391" s="71" t="str">
        <f>VLOOKUP(A391,Classification!$A:$D,2,FALSE)</f>
        <v>A</v>
      </c>
      <c r="D391" s="33" t="str">
        <f>VLOOKUP(B391,Classification!$A:$D,2,FALSE)</f>
        <v>A</v>
      </c>
      <c r="E391" s="33" t="str">
        <f t="shared" si="6"/>
        <v>Ok</v>
      </c>
    </row>
    <row r="392" spans="1:5" x14ac:dyDescent="0.2">
      <c r="A392" t="s">
        <v>572</v>
      </c>
      <c r="B392" t="s">
        <v>298</v>
      </c>
      <c r="C392" s="71" t="str">
        <f>VLOOKUP(A392,Classification!$A:$D,2,FALSE)</f>
        <v>A</v>
      </c>
      <c r="D392" s="33" t="str">
        <f>VLOOKUP(B392,Classification!$A:$D,2,FALSE)</f>
        <v>A</v>
      </c>
      <c r="E392" s="33" t="str">
        <f t="shared" si="6"/>
        <v>Ok</v>
      </c>
    </row>
    <row r="393" spans="1:5" x14ac:dyDescent="0.2">
      <c r="A393" t="s">
        <v>574</v>
      </c>
      <c r="B393" t="s">
        <v>298</v>
      </c>
      <c r="C393" s="71" t="str">
        <f>VLOOKUP(A393,Classification!$A:$D,2,FALSE)</f>
        <v>A</v>
      </c>
      <c r="D393" s="33" t="str">
        <f>VLOOKUP(B393,Classification!$A:$D,2,FALSE)</f>
        <v>A</v>
      </c>
      <c r="E393" s="33" t="str">
        <f t="shared" si="6"/>
        <v>Ok</v>
      </c>
    </row>
    <row r="394" spans="1:5" x14ac:dyDescent="0.2">
      <c r="A394" t="s">
        <v>643</v>
      </c>
      <c r="B394" t="s">
        <v>207</v>
      </c>
      <c r="C394" s="71" t="str">
        <f>VLOOKUP(A394,Classification!$A:$D,2,FALSE)</f>
        <v>F</v>
      </c>
      <c r="D394" s="33" t="str">
        <f>VLOOKUP(B394,Classification!$A:$D,2,FALSE)</f>
        <v>F</v>
      </c>
      <c r="E394" s="33" t="str">
        <f t="shared" si="6"/>
        <v>Ok</v>
      </c>
    </row>
    <row r="395" spans="1:5" x14ac:dyDescent="0.2">
      <c r="A395" t="s">
        <v>648</v>
      </c>
      <c r="B395" t="s">
        <v>207</v>
      </c>
      <c r="C395" s="71" t="str">
        <f>VLOOKUP(A395,Classification!$A:$D,2,FALSE)</f>
        <v>F</v>
      </c>
      <c r="D395" s="33" t="str">
        <f>VLOOKUP(B395,Classification!$A:$D,2,FALSE)</f>
        <v>F</v>
      </c>
      <c r="E395" s="33" t="str">
        <f t="shared" si="6"/>
        <v>Ok</v>
      </c>
    </row>
    <row r="396" spans="1:5" x14ac:dyDescent="0.2">
      <c r="A396" t="s">
        <v>641</v>
      </c>
      <c r="B396" t="s">
        <v>207</v>
      </c>
      <c r="C396" s="71" t="str">
        <f>VLOOKUP(A396,Classification!$A:$D,2,FALSE)</f>
        <v>F</v>
      </c>
      <c r="D396" s="33" t="str">
        <f>VLOOKUP(B396,Classification!$A:$D,2,FALSE)</f>
        <v>F</v>
      </c>
      <c r="E396" s="33" t="str">
        <f t="shared" si="6"/>
        <v>Ok</v>
      </c>
    </row>
    <row r="397" spans="1:5" x14ac:dyDescent="0.2">
      <c r="A397" t="s">
        <v>645</v>
      </c>
      <c r="B397" t="s">
        <v>207</v>
      </c>
      <c r="C397" s="71" t="str">
        <f>VLOOKUP(A397,Classification!$A:$D,2,FALSE)</f>
        <v>F</v>
      </c>
      <c r="D397" s="33" t="str">
        <f>VLOOKUP(B397,Classification!$A:$D,2,FALSE)</f>
        <v>F</v>
      </c>
      <c r="E397" s="33" t="str">
        <f t="shared" si="6"/>
        <v>Ok</v>
      </c>
    </row>
    <row r="398" spans="1:5" x14ac:dyDescent="0.2">
      <c r="A398" t="s">
        <v>642</v>
      </c>
      <c r="B398" t="s">
        <v>207</v>
      </c>
      <c r="C398" s="71" t="str">
        <f>VLOOKUP(A398,Classification!$A:$D,2,FALSE)</f>
        <v>F</v>
      </c>
      <c r="D398" s="33" t="str">
        <f>VLOOKUP(B398,Classification!$A:$D,2,FALSE)</f>
        <v>F</v>
      </c>
      <c r="E398" s="33" t="str">
        <f t="shared" si="6"/>
        <v>Ok</v>
      </c>
    </row>
    <row r="399" spans="1:5" x14ac:dyDescent="0.2">
      <c r="A399" t="s">
        <v>650</v>
      </c>
      <c r="B399" t="s">
        <v>207</v>
      </c>
      <c r="C399" s="71" t="str">
        <f>VLOOKUP(A399,Classification!$A:$D,2,FALSE)</f>
        <v>F</v>
      </c>
      <c r="D399" s="33" t="str">
        <f>VLOOKUP(B399,Classification!$A:$D,2,FALSE)</f>
        <v>F</v>
      </c>
      <c r="E399" s="33" t="str">
        <f t="shared" si="6"/>
        <v>Ok</v>
      </c>
    </row>
    <row r="400" spans="1:5" x14ac:dyDescent="0.2">
      <c r="A400" t="s">
        <v>646</v>
      </c>
      <c r="B400" t="s">
        <v>207</v>
      </c>
      <c r="C400" s="71" t="str">
        <f>VLOOKUP(A400,Classification!$A:$D,2,FALSE)</f>
        <v>F</v>
      </c>
      <c r="D400" s="33" t="str">
        <f>VLOOKUP(B400,Classification!$A:$D,2,FALSE)</f>
        <v>F</v>
      </c>
      <c r="E400" s="33" t="str">
        <f t="shared" si="6"/>
        <v>Ok</v>
      </c>
    </row>
    <row r="401" spans="1:5" x14ac:dyDescent="0.2">
      <c r="A401" t="s">
        <v>649</v>
      </c>
      <c r="B401" t="s">
        <v>207</v>
      </c>
      <c r="C401" s="71" t="str">
        <f>VLOOKUP(A401,Classification!$A:$D,2,FALSE)</f>
        <v>F</v>
      </c>
      <c r="D401" s="33" t="str">
        <f>VLOOKUP(B401,Classification!$A:$D,2,FALSE)</f>
        <v>F</v>
      </c>
      <c r="E401" s="33" t="str">
        <f t="shared" si="6"/>
        <v>Ok</v>
      </c>
    </row>
    <row r="402" spans="1:5" x14ac:dyDescent="0.2">
      <c r="A402" t="s">
        <v>644</v>
      </c>
      <c r="B402" t="s">
        <v>207</v>
      </c>
      <c r="C402" s="71" t="str">
        <f>VLOOKUP(A402,Classification!$A:$D,2,FALSE)</f>
        <v>F</v>
      </c>
      <c r="D402" s="33" t="str">
        <f>VLOOKUP(B402,Classification!$A:$D,2,FALSE)</f>
        <v>F</v>
      </c>
      <c r="E402" s="33" t="str">
        <f t="shared" si="6"/>
        <v>Ok</v>
      </c>
    </row>
    <row r="403" spans="1:5" x14ac:dyDescent="0.2">
      <c r="A403" t="s">
        <v>647</v>
      </c>
      <c r="B403" t="s">
        <v>207</v>
      </c>
      <c r="C403" s="71" t="str">
        <f>VLOOKUP(A403,Classification!$A:$D,2,FALSE)</f>
        <v>F</v>
      </c>
      <c r="D403" s="33" t="str">
        <f>VLOOKUP(B403,Classification!$A:$D,2,FALSE)</f>
        <v>F</v>
      </c>
      <c r="E403" s="33" t="str">
        <f t="shared" si="6"/>
        <v>Ok</v>
      </c>
    </row>
    <row r="404" spans="1:5" x14ac:dyDescent="0.2">
      <c r="A404" t="s">
        <v>207</v>
      </c>
      <c r="B404" t="s">
        <v>207</v>
      </c>
      <c r="C404" s="71" t="str">
        <f>VLOOKUP(A404,Classification!$A:$D,2,FALSE)</f>
        <v>F</v>
      </c>
      <c r="D404" s="33" t="str">
        <f>VLOOKUP(B404,Classification!$A:$D,2,FALSE)</f>
        <v>F</v>
      </c>
      <c r="E404" s="33" t="str">
        <f t="shared" si="6"/>
        <v>Ok</v>
      </c>
    </row>
    <row r="405" spans="1:5" x14ac:dyDescent="0.2">
      <c r="A405" t="s">
        <v>1120</v>
      </c>
      <c r="B405" t="s">
        <v>1120</v>
      </c>
      <c r="C405" s="71" t="str">
        <f>VLOOKUP(A405,Classification!$A:$D,2,FALSE)</f>
        <v>A</v>
      </c>
      <c r="D405" s="33" t="str">
        <f>VLOOKUP(B405,Classification!$A:$D,2,FALSE)</f>
        <v>A</v>
      </c>
      <c r="E405" s="33" t="str">
        <f t="shared" si="6"/>
        <v>Ok</v>
      </c>
    </row>
    <row r="406" spans="1:5" x14ac:dyDescent="0.2">
      <c r="A406" t="s">
        <v>415</v>
      </c>
      <c r="B406" t="s">
        <v>1120</v>
      </c>
      <c r="C406" s="71" t="str">
        <f>VLOOKUP(A406,Classification!$A:$D,2,FALSE)</f>
        <v>A</v>
      </c>
      <c r="D406" s="33" t="str">
        <f>VLOOKUP(B406,Classification!$A:$D,2,FALSE)</f>
        <v>A</v>
      </c>
      <c r="E406" s="33" t="str">
        <f t="shared" si="6"/>
        <v>Ok</v>
      </c>
    </row>
    <row r="407" spans="1:5" x14ac:dyDescent="0.2">
      <c r="B407"/>
    </row>
    <row r="432" spans="3:6" ht="17" customHeight="1" x14ac:dyDescent="0.2">
      <c r="C432" s="10"/>
      <c r="D432" s="10"/>
      <c r="E432" s="10"/>
      <c r="F432" s="1"/>
    </row>
  </sheetData>
  <sortState ref="A2:G432">
    <sortCondition ref="E2:E432"/>
    <sortCondition ref="B2:B432"/>
    <sortCondition ref="C2:C432"/>
    <sortCondition ref="D2:D432"/>
  </sortState>
  <customSheetViews>
    <customSheetView guid="{3E3401AF-8459-8641-BD70-AD04F80E86ED}" topLeftCell="A162">
      <selection activeCell="J180" sqref="J180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8"/>
  <sheetViews>
    <sheetView workbookViewId="0">
      <pane ySplit="1" topLeftCell="A291" activePane="bottomLeft" state="frozenSplit"/>
      <selection pane="bottomLeft" activeCell="T330" sqref="T330"/>
    </sheetView>
  </sheetViews>
  <sheetFormatPr baseColWidth="10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7" customFormat="1" x14ac:dyDescent="0.2">
      <c r="A1" s="17" t="s">
        <v>295</v>
      </c>
      <c r="B1" s="17" t="s">
        <v>1129</v>
      </c>
      <c r="C1" s="17" t="s">
        <v>1132</v>
      </c>
      <c r="D1" s="17" t="s">
        <v>1133</v>
      </c>
    </row>
    <row r="2" spans="1:4" x14ac:dyDescent="0.2">
      <c r="A2" s="3" t="s">
        <v>322</v>
      </c>
      <c r="B2" s="3" t="s">
        <v>9</v>
      </c>
      <c r="C2" s="3" t="s">
        <v>10</v>
      </c>
      <c r="D2" s="3" t="s">
        <v>1134</v>
      </c>
    </row>
    <row r="3" spans="1:4" x14ac:dyDescent="0.2">
      <c r="A3" s="3" t="s">
        <v>208</v>
      </c>
      <c r="B3" s="3" t="s">
        <v>9</v>
      </c>
      <c r="C3" s="3" t="s">
        <v>10</v>
      </c>
      <c r="D3" s="3" t="s">
        <v>1134</v>
      </c>
    </row>
    <row r="4" spans="1:4" x14ac:dyDescent="0.2">
      <c r="A4" s="3" t="s">
        <v>323</v>
      </c>
      <c r="B4" s="3" t="s">
        <v>9</v>
      </c>
      <c r="C4" s="3" t="s">
        <v>10</v>
      </c>
      <c r="D4" s="3" t="s">
        <v>1134</v>
      </c>
    </row>
    <row r="5" spans="1:4" x14ac:dyDescent="0.2">
      <c r="A5" s="3" t="s">
        <v>324</v>
      </c>
      <c r="B5" s="3" t="s">
        <v>9</v>
      </c>
      <c r="C5" s="3" t="s">
        <v>10</v>
      </c>
      <c r="D5" s="3" t="s">
        <v>1134</v>
      </c>
    </row>
    <row r="6" spans="1:4" x14ac:dyDescent="0.2">
      <c r="A6" s="3" t="s">
        <v>325</v>
      </c>
      <c r="B6" s="3" t="s">
        <v>9</v>
      </c>
      <c r="C6" s="3" t="s">
        <v>10</v>
      </c>
      <c r="D6" s="3" t="s">
        <v>1134</v>
      </c>
    </row>
    <row r="7" spans="1:4" x14ac:dyDescent="0.2">
      <c r="A7" s="3" t="s">
        <v>326</v>
      </c>
      <c r="B7" s="3" t="s">
        <v>9</v>
      </c>
      <c r="C7" s="3" t="s">
        <v>10</v>
      </c>
      <c r="D7" s="3" t="s">
        <v>1134</v>
      </c>
    </row>
    <row r="8" spans="1:4" x14ac:dyDescent="0.2">
      <c r="A8" s="3" t="s">
        <v>209</v>
      </c>
      <c r="B8" s="3" t="s">
        <v>9</v>
      </c>
      <c r="C8" s="3" t="s">
        <v>10</v>
      </c>
      <c r="D8" s="3" t="s">
        <v>1134</v>
      </c>
    </row>
    <row r="9" spans="1:4" x14ac:dyDescent="0.2">
      <c r="A9" s="3" t="s">
        <v>327</v>
      </c>
      <c r="B9" s="3" t="s">
        <v>9</v>
      </c>
      <c r="C9" s="3" t="s">
        <v>10</v>
      </c>
      <c r="D9" s="3" t="s">
        <v>1134</v>
      </c>
    </row>
    <row r="10" spans="1:4" x14ac:dyDescent="0.2">
      <c r="A10" s="3" t="s">
        <v>328</v>
      </c>
      <c r="B10" s="3" t="s">
        <v>9</v>
      </c>
      <c r="C10" s="3" t="s">
        <v>10</v>
      </c>
      <c r="D10" s="3" t="s">
        <v>1134</v>
      </c>
    </row>
    <row r="11" spans="1:4" x14ac:dyDescent="0.2">
      <c r="A11" s="3" t="s">
        <v>329</v>
      </c>
      <c r="B11" s="3" t="s">
        <v>9</v>
      </c>
      <c r="C11" s="3" t="s">
        <v>10</v>
      </c>
      <c r="D11" s="3" t="s">
        <v>1134</v>
      </c>
    </row>
    <row r="12" spans="1:4" x14ac:dyDescent="0.2">
      <c r="A12" s="3" t="s">
        <v>330</v>
      </c>
      <c r="B12" s="3" t="s">
        <v>9</v>
      </c>
      <c r="C12" s="3" t="s">
        <v>10</v>
      </c>
      <c r="D12" s="3" t="s">
        <v>1134</v>
      </c>
    </row>
    <row r="13" spans="1:4" x14ac:dyDescent="0.2">
      <c r="A13" s="3" t="s">
        <v>331</v>
      </c>
      <c r="B13" s="3" t="s">
        <v>9</v>
      </c>
      <c r="C13" s="3" t="s">
        <v>10</v>
      </c>
      <c r="D13" s="3" t="s">
        <v>1134</v>
      </c>
    </row>
    <row r="14" spans="1:4" x14ac:dyDescent="0.2">
      <c r="A14" s="3" t="s">
        <v>340</v>
      </c>
      <c r="B14" s="3" t="s">
        <v>9</v>
      </c>
      <c r="C14" s="3" t="s">
        <v>10</v>
      </c>
      <c r="D14" s="3" t="s">
        <v>1136</v>
      </c>
    </row>
    <row r="15" spans="1:4" x14ac:dyDescent="0.2">
      <c r="A15" s="3" t="s">
        <v>341</v>
      </c>
      <c r="B15" s="3" t="s">
        <v>9</v>
      </c>
      <c r="C15" s="3" t="s">
        <v>10</v>
      </c>
      <c r="D15" s="3" t="s">
        <v>1136</v>
      </c>
    </row>
    <row r="16" spans="1:4" x14ac:dyDescent="0.2">
      <c r="A16" s="3" t="s">
        <v>342</v>
      </c>
      <c r="B16" s="3" t="s">
        <v>9</v>
      </c>
      <c r="C16" s="3" t="s">
        <v>10</v>
      </c>
      <c r="D16" s="3" t="s">
        <v>1136</v>
      </c>
    </row>
    <row r="17" spans="1:4" x14ac:dyDescent="0.2">
      <c r="A17" s="3" t="s">
        <v>236</v>
      </c>
      <c r="B17" s="3" t="s">
        <v>9</v>
      </c>
      <c r="C17" s="3" t="s">
        <v>10</v>
      </c>
      <c r="D17" s="3" t="s">
        <v>1136</v>
      </c>
    </row>
    <row r="18" spans="1:4" x14ac:dyDescent="0.2">
      <c r="A18" s="3" t="s">
        <v>343</v>
      </c>
      <c r="B18" s="3" t="s">
        <v>9</v>
      </c>
      <c r="C18" s="3" t="s">
        <v>10</v>
      </c>
      <c r="D18" s="3" t="s">
        <v>1136</v>
      </c>
    </row>
    <row r="19" spans="1:4" x14ac:dyDescent="0.2">
      <c r="A19" s="3" t="s">
        <v>344</v>
      </c>
      <c r="B19" s="3" t="s">
        <v>9</v>
      </c>
      <c r="C19" s="3" t="s">
        <v>10</v>
      </c>
      <c r="D19" s="3" t="s">
        <v>1136</v>
      </c>
    </row>
    <row r="20" spans="1:4" x14ac:dyDescent="0.2">
      <c r="A20" s="3" t="s">
        <v>332</v>
      </c>
      <c r="B20" s="3" t="s">
        <v>9</v>
      </c>
      <c r="C20" s="3" t="s">
        <v>1135</v>
      </c>
      <c r="D20" s="3" t="s">
        <v>63</v>
      </c>
    </row>
    <row r="21" spans="1:4" x14ac:dyDescent="0.2">
      <c r="A21" s="3" t="s">
        <v>333</v>
      </c>
      <c r="B21" s="3" t="s">
        <v>9</v>
      </c>
      <c r="C21" s="3" t="s">
        <v>1135</v>
      </c>
      <c r="D21" s="3" t="s">
        <v>63</v>
      </c>
    </row>
    <row r="22" spans="1:4" x14ac:dyDescent="0.2">
      <c r="A22" s="3" t="s">
        <v>334</v>
      </c>
      <c r="B22" s="3" t="s">
        <v>9</v>
      </c>
      <c r="C22" s="3" t="s">
        <v>1135</v>
      </c>
      <c r="D22" s="3" t="s">
        <v>63</v>
      </c>
    </row>
    <row r="23" spans="1:4" x14ac:dyDescent="0.2">
      <c r="A23" s="3" t="s">
        <v>335</v>
      </c>
      <c r="B23" s="3" t="s">
        <v>9</v>
      </c>
      <c r="C23" s="3" t="s">
        <v>1135</v>
      </c>
      <c r="D23" s="3" t="s">
        <v>63</v>
      </c>
    </row>
    <row r="24" spans="1:4" x14ac:dyDescent="0.2">
      <c r="A24" s="3" t="s">
        <v>608</v>
      </c>
      <c r="B24" s="3" t="s">
        <v>1141</v>
      </c>
      <c r="C24" s="3" t="s">
        <v>1142</v>
      </c>
      <c r="D24" s="3" t="s">
        <v>1143</v>
      </c>
    </row>
    <row r="25" spans="1:4" x14ac:dyDescent="0.2">
      <c r="A25" s="3" t="s">
        <v>609</v>
      </c>
      <c r="B25" s="3" t="s">
        <v>1141</v>
      </c>
      <c r="C25" s="3" t="s">
        <v>1142</v>
      </c>
      <c r="D25" s="3" t="s">
        <v>1143</v>
      </c>
    </row>
    <row r="26" spans="1:4" x14ac:dyDescent="0.2">
      <c r="A26" s="3" t="s">
        <v>610</v>
      </c>
      <c r="B26" s="3" t="s">
        <v>1141</v>
      </c>
      <c r="C26" s="3" t="s">
        <v>1142</v>
      </c>
      <c r="D26" s="3" t="s">
        <v>1143</v>
      </c>
    </row>
    <row r="27" spans="1:4" x14ac:dyDescent="0.2">
      <c r="A27" s="3" t="s">
        <v>611</v>
      </c>
      <c r="B27" s="3" t="s">
        <v>1141</v>
      </c>
      <c r="C27" s="3" t="s">
        <v>1142</v>
      </c>
      <c r="D27" s="3" t="s">
        <v>1143</v>
      </c>
    </row>
    <row r="28" spans="1:4" x14ac:dyDescent="0.2">
      <c r="A28" s="3" t="s">
        <v>612</v>
      </c>
      <c r="B28" s="3" t="s">
        <v>1141</v>
      </c>
      <c r="C28" s="3" t="s">
        <v>1142</v>
      </c>
      <c r="D28" s="3" t="s">
        <v>1143</v>
      </c>
    </row>
    <row r="29" spans="1:4" x14ac:dyDescent="0.2">
      <c r="A29" s="3" t="s">
        <v>613</v>
      </c>
      <c r="B29" s="3" t="s">
        <v>1141</v>
      </c>
      <c r="C29" s="3" t="s">
        <v>1142</v>
      </c>
      <c r="D29" s="3" t="s">
        <v>1143</v>
      </c>
    </row>
    <row r="30" spans="1:4" x14ac:dyDescent="0.2">
      <c r="A30" s="3" t="s">
        <v>614</v>
      </c>
      <c r="B30" s="3" t="s">
        <v>1141</v>
      </c>
      <c r="C30" s="3" t="s">
        <v>1142</v>
      </c>
      <c r="D30" s="3" t="s">
        <v>1143</v>
      </c>
    </row>
    <row r="31" spans="1:4" x14ac:dyDescent="0.2">
      <c r="A31" s="3" t="s">
        <v>615</v>
      </c>
      <c r="B31" s="3" t="s">
        <v>1141</v>
      </c>
      <c r="C31" s="3" t="s">
        <v>1142</v>
      </c>
      <c r="D31" s="3" t="s">
        <v>1143</v>
      </c>
    </row>
    <row r="32" spans="1:4" x14ac:dyDescent="0.2">
      <c r="A32" s="3" t="s">
        <v>616</v>
      </c>
      <c r="B32" s="3" t="s">
        <v>1141</v>
      </c>
      <c r="C32" s="3" t="s">
        <v>1142</v>
      </c>
      <c r="D32" s="3" t="s">
        <v>1143</v>
      </c>
    </row>
    <row r="33" spans="1:4" x14ac:dyDescent="0.2">
      <c r="A33" s="3" t="s">
        <v>617</v>
      </c>
      <c r="B33" s="3" t="s">
        <v>1141</v>
      </c>
      <c r="C33" s="3" t="s">
        <v>1142</v>
      </c>
      <c r="D33" s="3" t="s">
        <v>1143</v>
      </c>
    </row>
    <row r="34" spans="1:4" x14ac:dyDescent="0.2">
      <c r="A34" s="3" t="s">
        <v>618</v>
      </c>
      <c r="B34" s="3" t="s">
        <v>1141</v>
      </c>
      <c r="C34" s="3" t="s">
        <v>1142</v>
      </c>
      <c r="D34" s="3" t="s">
        <v>1143</v>
      </c>
    </row>
    <row r="35" spans="1:4" x14ac:dyDescent="0.2">
      <c r="A35" s="3" t="s">
        <v>619</v>
      </c>
      <c r="B35" s="3" t="s">
        <v>1141</v>
      </c>
      <c r="C35" s="3" t="s">
        <v>1142</v>
      </c>
      <c r="D35" s="3" t="s">
        <v>1143</v>
      </c>
    </row>
    <row r="36" spans="1:4" x14ac:dyDescent="0.2">
      <c r="A36" s="3" t="s">
        <v>620</v>
      </c>
      <c r="B36" s="3" t="s">
        <v>1141</v>
      </c>
      <c r="C36" s="3" t="s">
        <v>1142</v>
      </c>
      <c r="D36" s="3" t="s">
        <v>1143</v>
      </c>
    </row>
    <row r="37" spans="1:4" x14ac:dyDescent="0.2">
      <c r="A37" s="3" t="s">
        <v>621</v>
      </c>
      <c r="B37" s="3" t="s">
        <v>1141</v>
      </c>
      <c r="C37" s="3" t="s">
        <v>1142</v>
      </c>
      <c r="D37" s="3" t="s">
        <v>1143</v>
      </c>
    </row>
    <row r="38" spans="1:4" x14ac:dyDescent="0.2">
      <c r="A38" s="3" t="s">
        <v>622</v>
      </c>
      <c r="B38" s="3" t="s">
        <v>1141</v>
      </c>
      <c r="C38" s="3" t="s">
        <v>1142</v>
      </c>
      <c r="D38" s="3" t="s">
        <v>1143</v>
      </c>
    </row>
    <row r="39" spans="1:4" x14ac:dyDescent="0.2">
      <c r="A39" s="3" t="s">
        <v>623</v>
      </c>
      <c r="B39" s="3" t="s">
        <v>1141</v>
      </c>
      <c r="C39" s="3" t="s">
        <v>1142</v>
      </c>
      <c r="D39" s="3" t="s">
        <v>1143</v>
      </c>
    </row>
    <row r="40" spans="1:4" x14ac:dyDescent="0.2">
      <c r="A40" s="3" t="s">
        <v>624</v>
      </c>
      <c r="B40" s="3" t="s">
        <v>1141</v>
      </c>
      <c r="C40" s="3" t="s">
        <v>1142</v>
      </c>
      <c r="D40" s="3" t="s">
        <v>1143</v>
      </c>
    </row>
    <row r="41" spans="1:4" x14ac:dyDescent="0.2">
      <c r="A41" s="3" t="s">
        <v>625</v>
      </c>
      <c r="B41" s="3" t="s">
        <v>1141</v>
      </c>
      <c r="C41" s="3" t="s">
        <v>1142</v>
      </c>
      <c r="D41" s="3" t="s">
        <v>1143</v>
      </c>
    </row>
    <row r="42" spans="1:4" x14ac:dyDescent="0.2">
      <c r="A42" s="3" t="s">
        <v>626</v>
      </c>
      <c r="B42" s="3" t="s">
        <v>1141</v>
      </c>
      <c r="C42" s="3" t="s">
        <v>1142</v>
      </c>
      <c r="D42" s="3" t="s">
        <v>1143</v>
      </c>
    </row>
    <row r="43" spans="1:4" x14ac:dyDescent="0.2">
      <c r="A43" s="3" t="s">
        <v>627</v>
      </c>
      <c r="B43" s="3" t="s">
        <v>1141</v>
      </c>
      <c r="C43" s="3" t="s">
        <v>1142</v>
      </c>
      <c r="D43" s="3" t="s">
        <v>1143</v>
      </c>
    </row>
    <row r="44" spans="1:4" x14ac:dyDescent="0.2">
      <c r="A44" s="3" t="s">
        <v>628</v>
      </c>
      <c r="B44" s="3" t="s">
        <v>1141</v>
      </c>
      <c r="C44" s="3" t="s">
        <v>1142</v>
      </c>
      <c r="D44" s="3" t="s">
        <v>1143</v>
      </c>
    </row>
    <row r="45" spans="1:4" x14ac:dyDescent="0.2">
      <c r="A45" s="3" t="s">
        <v>629</v>
      </c>
      <c r="B45" s="3" t="s">
        <v>1141</v>
      </c>
      <c r="C45" s="3" t="s">
        <v>1142</v>
      </c>
      <c r="D45" s="3" t="s">
        <v>1143</v>
      </c>
    </row>
    <row r="46" spans="1:4" x14ac:dyDescent="0.2">
      <c r="A46" s="3" t="s">
        <v>630</v>
      </c>
      <c r="B46" s="3" t="s">
        <v>1141</v>
      </c>
      <c r="C46" s="3" t="s">
        <v>1142</v>
      </c>
      <c r="D46" s="3" t="s">
        <v>1143</v>
      </c>
    </row>
    <row r="47" spans="1:4" x14ac:dyDescent="0.2">
      <c r="A47" s="3" t="s">
        <v>631</v>
      </c>
      <c r="B47" s="3" t="s">
        <v>1141</v>
      </c>
      <c r="C47" s="3" t="s">
        <v>1142</v>
      </c>
      <c r="D47" s="3" t="s">
        <v>1143</v>
      </c>
    </row>
    <row r="48" spans="1:4" x14ac:dyDescent="0.2">
      <c r="A48" s="3" t="s">
        <v>632</v>
      </c>
      <c r="B48" s="3" t="s">
        <v>1141</v>
      </c>
      <c r="C48" s="3" t="s">
        <v>1142</v>
      </c>
      <c r="D48" s="3" t="s">
        <v>1143</v>
      </c>
    </row>
    <row r="49" spans="1:4" x14ac:dyDescent="0.2">
      <c r="A49" s="3" t="s">
        <v>633</v>
      </c>
      <c r="B49" s="3" t="s">
        <v>1141</v>
      </c>
      <c r="C49" s="3" t="s">
        <v>1142</v>
      </c>
      <c r="D49" s="3" t="s">
        <v>1143</v>
      </c>
    </row>
    <row r="50" spans="1:4" x14ac:dyDescent="0.2">
      <c r="A50" s="3" t="s">
        <v>634</v>
      </c>
      <c r="B50" s="3" t="s">
        <v>1141</v>
      </c>
      <c r="C50" s="3" t="s">
        <v>1142</v>
      </c>
      <c r="D50" s="3" t="s">
        <v>1143</v>
      </c>
    </row>
    <row r="51" spans="1:4" x14ac:dyDescent="0.2">
      <c r="A51" s="3" t="s">
        <v>635</v>
      </c>
      <c r="B51" s="3" t="s">
        <v>1141</v>
      </c>
      <c r="C51" s="3" t="s">
        <v>1142</v>
      </c>
      <c r="D51" s="3" t="s">
        <v>1143</v>
      </c>
    </row>
    <row r="52" spans="1:4" x14ac:dyDescent="0.2">
      <c r="A52" s="3" t="s">
        <v>636</v>
      </c>
      <c r="B52" s="3" t="s">
        <v>1141</v>
      </c>
      <c r="C52" s="3" t="s">
        <v>1142</v>
      </c>
      <c r="D52" s="3" t="s">
        <v>1143</v>
      </c>
    </row>
    <row r="53" spans="1:4" x14ac:dyDescent="0.2">
      <c r="A53" s="3" t="s">
        <v>637</v>
      </c>
      <c r="B53" s="3" t="s">
        <v>1141</v>
      </c>
      <c r="C53" s="3" t="s">
        <v>1142</v>
      </c>
      <c r="D53" s="3" t="s">
        <v>1143</v>
      </c>
    </row>
    <row r="54" spans="1:4" x14ac:dyDescent="0.2">
      <c r="A54" s="3" t="s">
        <v>638</v>
      </c>
      <c r="B54" s="3" t="s">
        <v>1141</v>
      </c>
      <c r="C54" s="3" t="s">
        <v>1142</v>
      </c>
      <c r="D54" s="3" t="s">
        <v>1143</v>
      </c>
    </row>
    <row r="55" spans="1:4" x14ac:dyDescent="0.2">
      <c r="A55" s="3" t="s">
        <v>639</v>
      </c>
      <c r="B55" s="3" t="s">
        <v>1141</v>
      </c>
      <c r="C55" s="3" t="s">
        <v>1142</v>
      </c>
      <c r="D55" s="3" t="s">
        <v>1143</v>
      </c>
    </row>
    <row r="56" spans="1:4" x14ac:dyDescent="0.2">
      <c r="A56" s="3" t="s">
        <v>640</v>
      </c>
      <c r="B56" s="3" t="s">
        <v>1141</v>
      </c>
      <c r="C56" s="3" t="s">
        <v>1142</v>
      </c>
      <c r="D56" s="3" t="s">
        <v>1143</v>
      </c>
    </row>
    <row r="57" spans="1:4" x14ac:dyDescent="0.2">
      <c r="A57" s="3" t="s">
        <v>346</v>
      </c>
      <c r="B57" s="3" t="s">
        <v>9</v>
      </c>
      <c r="C57" s="3" t="s">
        <v>10</v>
      </c>
      <c r="D57" s="3" t="s">
        <v>1138</v>
      </c>
    </row>
    <row r="58" spans="1:4" x14ac:dyDescent="0.2">
      <c r="A58" s="3" t="s">
        <v>347</v>
      </c>
      <c r="B58" s="3" t="s">
        <v>9</v>
      </c>
      <c r="C58" s="3" t="s">
        <v>10</v>
      </c>
      <c r="D58" s="3" t="s">
        <v>1138</v>
      </c>
    </row>
    <row r="59" spans="1:4" x14ac:dyDescent="0.2">
      <c r="A59" s="3" t="s">
        <v>348</v>
      </c>
      <c r="B59" s="3" t="s">
        <v>9</v>
      </c>
      <c r="C59" s="3" t="s">
        <v>10</v>
      </c>
      <c r="D59" s="3" t="s">
        <v>1138</v>
      </c>
    </row>
    <row r="60" spans="1:4" x14ac:dyDescent="0.2">
      <c r="A60" s="3" t="s">
        <v>349</v>
      </c>
      <c r="B60" s="3" t="s">
        <v>9</v>
      </c>
      <c r="C60" s="3" t="s">
        <v>10</v>
      </c>
      <c r="D60" s="3" t="s">
        <v>1138</v>
      </c>
    </row>
    <row r="61" spans="1:4" x14ac:dyDescent="0.2">
      <c r="A61" s="3" t="s">
        <v>350</v>
      </c>
      <c r="B61" s="3" t="s">
        <v>9</v>
      </c>
      <c r="C61" s="3" t="s">
        <v>10</v>
      </c>
      <c r="D61" s="3" t="s">
        <v>1138</v>
      </c>
    </row>
    <row r="62" spans="1:4" x14ac:dyDescent="0.2">
      <c r="A62" s="3" t="s">
        <v>351</v>
      </c>
      <c r="B62" s="3" t="s">
        <v>9</v>
      </c>
      <c r="C62" s="3" t="s">
        <v>10</v>
      </c>
      <c r="D62" s="3" t="s">
        <v>1138</v>
      </c>
    </row>
    <row r="63" spans="1:4" x14ac:dyDescent="0.2">
      <c r="A63" s="3" t="s">
        <v>319</v>
      </c>
      <c r="B63" s="3" t="s">
        <v>9</v>
      </c>
      <c r="C63" s="3" t="s">
        <v>10</v>
      </c>
      <c r="D63" s="3" t="s">
        <v>1138</v>
      </c>
    </row>
    <row r="64" spans="1:4" x14ac:dyDescent="0.2">
      <c r="A64" s="3" t="s">
        <v>235</v>
      </c>
      <c r="B64" s="3" t="s">
        <v>9</v>
      </c>
      <c r="C64" s="3" t="s">
        <v>10</v>
      </c>
      <c r="D64" s="3" t="s">
        <v>1138</v>
      </c>
    </row>
    <row r="65" spans="1:4" x14ac:dyDescent="0.2">
      <c r="A65" s="3" t="s">
        <v>320</v>
      </c>
      <c r="B65" s="3" t="s">
        <v>9</v>
      </c>
      <c r="C65" s="3" t="s">
        <v>10</v>
      </c>
      <c r="D65" s="3" t="s">
        <v>1138</v>
      </c>
    </row>
    <row r="66" spans="1:4" x14ac:dyDescent="0.2">
      <c r="A66" s="3" t="s">
        <v>296</v>
      </c>
      <c r="B66" s="3" t="s">
        <v>9</v>
      </c>
      <c r="C66" s="3" t="s">
        <v>10</v>
      </c>
      <c r="D66" s="3" t="s">
        <v>1138</v>
      </c>
    </row>
    <row r="67" spans="1:4" x14ac:dyDescent="0.2">
      <c r="A67" s="3" t="s">
        <v>352</v>
      </c>
      <c r="B67" s="3" t="s">
        <v>9</v>
      </c>
      <c r="C67" s="3" t="s">
        <v>95</v>
      </c>
      <c r="D67" s="3" t="s">
        <v>1139</v>
      </c>
    </row>
    <row r="68" spans="1:4" x14ac:dyDescent="0.2">
      <c r="A68" s="3" t="s">
        <v>353</v>
      </c>
      <c r="B68" s="3" t="s">
        <v>9</v>
      </c>
      <c r="C68" s="3" t="s">
        <v>95</v>
      </c>
      <c r="D68" s="3" t="s">
        <v>1139</v>
      </c>
    </row>
    <row r="69" spans="1:4" x14ac:dyDescent="0.2">
      <c r="A69" s="3" t="s">
        <v>354</v>
      </c>
      <c r="B69" s="3" t="s">
        <v>9</v>
      </c>
      <c r="C69" s="3" t="s">
        <v>95</v>
      </c>
      <c r="D69" s="3" t="s">
        <v>1140</v>
      </c>
    </row>
    <row r="70" spans="1:4" x14ac:dyDescent="0.2">
      <c r="A70" s="3" t="s">
        <v>429</v>
      </c>
      <c r="B70" s="3" t="s">
        <v>9</v>
      </c>
      <c r="C70" s="3" t="s">
        <v>1172</v>
      </c>
      <c r="D70" s="3" t="s">
        <v>1173</v>
      </c>
    </row>
    <row r="71" spans="1:4" x14ac:dyDescent="0.2">
      <c r="A71" s="3" t="s">
        <v>357</v>
      </c>
      <c r="B71" s="3" t="s">
        <v>9</v>
      </c>
      <c r="C71" s="3" t="s">
        <v>95</v>
      </c>
      <c r="D71" s="3" t="s">
        <v>1145</v>
      </c>
    </row>
    <row r="72" spans="1:4" x14ac:dyDescent="0.2">
      <c r="A72" s="3" t="s">
        <v>468</v>
      </c>
      <c r="B72" s="3" t="s">
        <v>9</v>
      </c>
      <c r="C72" s="3" t="s">
        <v>95</v>
      </c>
      <c r="D72" s="3" t="s">
        <v>1145</v>
      </c>
    </row>
    <row r="73" spans="1:4" x14ac:dyDescent="0.2">
      <c r="A73" s="3" t="s">
        <v>511</v>
      </c>
      <c r="B73" s="3" t="s">
        <v>9</v>
      </c>
      <c r="C73" s="3" t="s">
        <v>95</v>
      </c>
      <c r="D73" s="3" t="s">
        <v>1145</v>
      </c>
    </row>
    <row r="74" spans="1:4" x14ac:dyDescent="0.2">
      <c r="A74" s="3" t="s">
        <v>355</v>
      </c>
      <c r="B74" s="3" t="s">
        <v>9</v>
      </c>
      <c r="C74" s="3" t="s">
        <v>95</v>
      </c>
      <c r="D74" s="3" t="s">
        <v>1144</v>
      </c>
    </row>
    <row r="75" spans="1:4" x14ac:dyDescent="0.2">
      <c r="A75" s="3" t="s">
        <v>356</v>
      </c>
      <c r="B75" s="3" t="s">
        <v>9</v>
      </c>
      <c r="C75" s="3" t="s">
        <v>95</v>
      </c>
      <c r="D75" s="3" t="s">
        <v>1144</v>
      </c>
    </row>
    <row r="76" spans="1:4" x14ac:dyDescent="0.2">
      <c r="A76" s="3" t="s">
        <v>595</v>
      </c>
      <c r="B76" s="3" t="s">
        <v>1147</v>
      </c>
      <c r="C76" s="3" t="s">
        <v>95</v>
      </c>
      <c r="D76" s="3" t="s">
        <v>1148</v>
      </c>
    </row>
    <row r="77" spans="1:4" x14ac:dyDescent="0.2">
      <c r="A77" s="3" t="s">
        <v>596</v>
      </c>
      <c r="B77" s="3" t="s">
        <v>1147</v>
      </c>
      <c r="C77" s="3" t="s">
        <v>95</v>
      </c>
      <c r="D77" s="3" t="s">
        <v>1148</v>
      </c>
    </row>
    <row r="78" spans="1:4" x14ac:dyDescent="0.2">
      <c r="A78" s="3" t="s">
        <v>299</v>
      </c>
      <c r="B78" s="3" t="s">
        <v>184</v>
      </c>
      <c r="C78" s="3" t="s">
        <v>1149</v>
      </c>
      <c r="D78" s="3" t="s">
        <v>1150</v>
      </c>
    </row>
    <row r="79" spans="1:4" x14ac:dyDescent="0.2">
      <c r="A79" s="3" t="s">
        <v>308</v>
      </c>
      <c r="B79" s="3" t="s">
        <v>184</v>
      </c>
      <c r="C79" s="3" t="s">
        <v>1149</v>
      </c>
      <c r="D79" s="3" t="s">
        <v>1150</v>
      </c>
    </row>
    <row r="80" spans="1:4" x14ac:dyDescent="0.2">
      <c r="A80" s="3" t="s">
        <v>376</v>
      </c>
      <c r="B80" s="3" t="s">
        <v>9</v>
      </c>
      <c r="C80" s="3" t="s">
        <v>117</v>
      </c>
      <c r="D80" s="3" t="s">
        <v>1154</v>
      </c>
    </row>
    <row r="81" spans="1:4" x14ac:dyDescent="0.2">
      <c r="A81" s="3" t="s">
        <v>377</v>
      </c>
      <c r="B81" s="3" t="s">
        <v>9</v>
      </c>
      <c r="C81" s="3" t="s">
        <v>117</v>
      </c>
      <c r="D81" s="3" t="s">
        <v>1154</v>
      </c>
    </row>
    <row r="82" spans="1:4" x14ac:dyDescent="0.2">
      <c r="A82" s="3" t="s">
        <v>375</v>
      </c>
      <c r="B82" s="3" t="s">
        <v>9</v>
      </c>
      <c r="C82" s="3" t="s">
        <v>198</v>
      </c>
      <c r="D82" s="3" t="s">
        <v>1153</v>
      </c>
    </row>
    <row r="83" spans="1:4" x14ac:dyDescent="0.2">
      <c r="A83" s="3" t="s">
        <v>336</v>
      </c>
      <c r="B83" s="3" t="s">
        <v>9</v>
      </c>
      <c r="C83" s="3" t="s">
        <v>198</v>
      </c>
      <c r="D83" s="3" t="s">
        <v>1130</v>
      </c>
    </row>
    <row r="84" spans="1:4" x14ac:dyDescent="0.2">
      <c r="A84" s="3" t="s">
        <v>337</v>
      </c>
      <c r="B84" s="3" t="s">
        <v>9</v>
      </c>
      <c r="C84" s="3" t="s">
        <v>198</v>
      </c>
      <c r="D84" s="3" t="s">
        <v>1130</v>
      </c>
    </row>
    <row r="85" spans="1:4" x14ac:dyDescent="0.2">
      <c r="A85" s="3" t="s">
        <v>338</v>
      </c>
      <c r="B85" s="3" t="s">
        <v>9</v>
      </c>
      <c r="C85" s="3" t="s">
        <v>198</v>
      </c>
      <c r="D85" s="3" t="s">
        <v>1130</v>
      </c>
    </row>
    <row r="86" spans="1:4" x14ac:dyDescent="0.2">
      <c r="A86" s="3" t="s">
        <v>339</v>
      </c>
      <c r="B86" s="3" t="s">
        <v>9</v>
      </c>
      <c r="C86" s="3" t="s">
        <v>198</v>
      </c>
      <c r="D86" s="3" t="s">
        <v>1130</v>
      </c>
    </row>
    <row r="87" spans="1:4" x14ac:dyDescent="0.2">
      <c r="A87" s="3" t="s">
        <v>362</v>
      </c>
      <c r="B87" s="3" t="s">
        <v>9</v>
      </c>
      <c r="C87" s="3" t="s">
        <v>198</v>
      </c>
      <c r="D87" s="3" t="s">
        <v>1130</v>
      </c>
    </row>
    <row r="88" spans="1:4" x14ac:dyDescent="0.2">
      <c r="A88" s="3" t="s">
        <v>363</v>
      </c>
      <c r="B88" s="3" t="s">
        <v>9</v>
      </c>
      <c r="C88" s="3" t="s">
        <v>198</v>
      </c>
      <c r="D88" s="3" t="s">
        <v>1130</v>
      </c>
    </row>
    <row r="89" spans="1:4" x14ac:dyDescent="0.2">
      <c r="A89" s="3" t="s">
        <v>364</v>
      </c>
      <c r="B89" s="3" t="s">
        <v>9</v>
      </c>
      <c r="C89" s="3" t="s">
        <v>198</v>
      </c>
      <c r="D89" s="3" t="s">
        <v>1130</v>
      </c>
    </row>
    <row r="90" spans="1:4" x14ac:dyDescent="0.2">
      <c r="A90" s="3" t="s">
        <v>365</v>
      </c>
      <c r="B90" s="3" t="s">
        <v>9</v>
      </c>
      <c r="C90" s="3" t="s">
        <v>198</v>
      </c>
      <c r="D90" s="3" t="s">
        <v>1130</v>
      </c>
    </row>
    <row r="91" spans="1:4" x14ac:dyDescent="0.2">
      <c r="A91" s="3" t="s">
        <v>366</v>
      </c>
      <c r="B91" s="3" t="s">
        <v>9</v>
      </c>
      <c r="C91" s="3" t="s">
        <v>198</v>
      </c>
      <c r="D91" s="3" t="s">
        <v>1130</v>
      </c>
    </row>
    <row r="92" spans="1:4" x14ac:dyDescent="0.2">
      <c r="A92" s="3" t="s">
        <v>367</v>
      </c>
      <c r="B92" s="3" t="s">
        <v>9</v>
      </c>
      <c r="C92" s="3" t="s">
        <v>198</v>
      </c>
      <c r="D92" s="3" t="s">
        <v>1130</v>
      </c>
    </row>
    <row r="93" spans="1:4" x14ac:dyDescent="0.2">
      <c r="A93" s="3" t="s">
        <v>368</v>
      </c>
      <c r="B93" s="3" t="s">
        <v>9</v>
      </c>
      <c r="C93" s="3" t="s">
        <v>198</v>
      </c>
      <c r="D93" s="3" t="s">
        <v>1130</v>
      </c>
    </row>
    <row r="94" spans="1:4" x14ac:dyDescent="0.2">
      <c r="A94" s="3" t="s">
        <v>369</v>
      </c>
      <c r="B94" s="3" t="s">
        <v>9</v>
      </c>
      <c r="C94" s="3" t="s">
        <v>198</v>
      </c>
      <c r="D94" s="3" t="s">
        <v>1130</v>
      </c>
    </row>
    <row r="95" spans="1:4" x14ac:dyDescent="0.2">
      <c r="A95" s="3" t="s">
        <v>370</v>
      </c>
      <c r="B95" s="3" t="s">
        <v>9</v>
      </c>
      <c r="C95" s="3" t="s">
        <v>198</v>
      </c>
      <c r="D95" s="3" t="s">
        <v>1130</v>
      </c>
    </row>
    <row r="96" spans="1:4" x14ac:dyDescent="0.2">
      <c r="A96" s="3" t="s">
        <v>371</v>
      </c>
      <c r="B96" s="3" t="s">
        <v>9</v>
      </c>
      <c r="C96" s="3" t="s">
        <v>198</v>
      </c>
      <c r="D96" s="3" t="s">
        <v>1130</v>
      </c>
    </row>
    <row r="97" spans="1:4" x14ac:dyDescent="0.2">
      <c r="A97" s="3" t="s">
        <v>372</v>
      </c>
      <c r="B97" s="3" t="s">
        <v>9</v>
      </c>
      <c r="C97" s="3" t="s">
        <v>198</v>
      </c>
      <c r="D97" s="3" t="s">
        <v>1130</v>
      </c>
    </row>
    <row r="98" spans="1:4" x14ac:dyDescent="0.2">
      <c r="A98" s="3" t="s">
        <v>378</v>
      </c>
      <c r="B98" s="3" t="s">
        <v>9</v>
      </c>
      <c r="C98" s="3" t="s">
        <v>198</v>
      </c>
      <c r="D98" s="3" t="s">
        <v>1130</v>
      </c>
    </row>
    <row r="99" spans="1:4" x14ac:dyDescent="0.2">
      <c r="A99" s="3" t="s">
        <v>379</v>
      </c>
      <c r="B99" s="3" t="s">
        <v>9</v>
      </c>
      <c r="C99" s="3" t="s">
        <v>198</v>
      </c>
      <c r="D99" s="3" t="s">
        <v>1130</v>
      </c>
    </row>
    <row r="100" spans="1:4" x14ac:dyDescent="0.2">
      <c r="A100" s="3" t="s">
        <v>380</v>
      </c>
      <c r="B100" s="3" t="s">
        <v>9</v>
      </c>
      <c r="C100" s="3" t="s">
        <v>198</v>
      </c>
      <c r="D100" s="3" t="s">
        <v>1130</v>
      </c>
    </row>
    <row r="101" spans="1:4" x14ac:dyDescent="0.2">
      <c r="A101" s="3" t="s">
        <v>381</v>
      </c>
      <c r="B101" s="3" t="s">
        <v>9</v>
      </c>
      <c r="C101" s="3" t="s">
        <v>198</v>
      </c>
      <c r="D101" s="3" t="s">
        <v>1130</v>
      </c>
    </row>
    <row r="102" spans="1:4" x14ac:dyDescent="0.2">
      <c r="A102" s="3" t="s">
        <v>1237</v>
      </c>
      <c r="B102" s="3" t="s">
        <v>9</v>
      </c>
      <c r="C102" s="3" t="s">
        <v>198</v>
      </c>
      <c r="D102" s="3" t="s">
        <v>1130</v>
      </c>
    </row>
    <row r="103" spans="1:4" x14ac:dyDescent="0.2">
      <c r="A103" s="3" t="s">
        <v>382</v>
      </c>
      <c r="B103" s="3" t="s">
        <v>9</v>
      </c>
      <c r="C103" s="3" t="s">
        <v>198</v>
      </c>
      <c r="D103" s="3" t="s">
        <v>1130</v>
      </c>
    </row>
    <row r="104" spans="1:4" x14ac:dyDescent="0.2">
      <c r="A104" s="3" t="s">
        <v>383</v>
      </c>
      <c r="B104" s="3" t="s">
        <v>9</v>
      </c>
      <c r="C104" s="3" t="s">
        <v>198</v>
      </c>
      <c r="D104" s="3" t="s">
        <v>1130</v>
      </c>
    </row>
    <row r="105" spans="1:4" x14ac:dyDescent="0.2">
      <c r="A105" s="3" t="s">
        <v>230</v>
      </c>
      <c r="B105" s="3" t="s">
        <v>9</v>
      </c>
      <c r="C105" s="3" t="s">
        <v>95</v>
      </c>
      <c r="D105" s="3" t="s">
        <v>1130</v>
      </c>
    </row>
    <row r="106" spans="1:4" x14ac:dyDescent="0.2">
      <c r="A106" s="3" t="s">
        <v>594</v>
      </c>
      <c r="B106" s="3" t="s">
        <v>9</v>
      </c>
      <c r="C106" s="3" t="s">
        <v>198</v>
      </c>
      <c r="D106" s="3" t="s">
        <v>1130</v>
      </c>
    </row>
    <row r="107" spans="1:4" x14ac:dyDescent="0.2">
      <c r="A107" s="3" t="s">
        <v>361</v>
      </c>
      <c r="B107" s="3" t="s">
        <v>9</v>
      </c>
      <c r="C107" s="3" t="s">
        <v>95</v>
      </c>
      <c r="D107" s="3" t="s">
        <v>1151</v>
      </c>
    </row>
    <row r="108" spans="1:4" x14ac:dyDescent="0.2">
      <c r="A108" s="3" t="s">
        <v>402</v>
      </c>
      <c r="B108" s="3" t="s">
        <v>9</v>
      </c>
      <c r="C108" s="3" t="s">
        <v>95</v>
      </c>
      <c r="D108" s="3" t="s">
        <v>1151</v>
      </c>
    </row>
    <row r="109" spans="1:4" x14ac:dyDescent="0.2">
      <c r="A109" s="3" t="s">
        <v>391</v>
      </c>
      <c r="B109" s="3" t="s">
        <v>9</v>
      </c>
      <c r="C109" s="3" t="s">
        <v>1142</v>
      </c>
      <c r="D109" s="3" t="s">
        <v>1158</v>
      </c>
    </row>
    <row r="110" spans="1:4" x14ac:dyDescent="0.2">
      <c r="A110" s="3" t="s">
        <v>406</v>
      </c>
      <c r="B110" s="3" t="s">
        <v>9</v>
      </c>
      <c r="C110" s="3" t="s">
        <v>1142</v>
      </c>
      <c r="D110" s="3" t="s">
        <v>1158</v>
      </c>
    </row>
    <row r="111" spans="1:4" x14ac:dyDescent="0.2">
      <c r="A111" s="3" t="s">
        <v>408</v>
      </c>
      <c r="B111" s="3" t="s">
        <v>9</v>
      </c>
      <c r="C111" s="3" t="s">
        <v>1142</v>
      </c>
      <c r="D111" s="3" t="s">
        <v>1158</v>
      </c>
    </row>
    <row r="112" spans="1:4" x14ac:dyDescent="0.2">
      <c r="A112" s="3" t="s">
        <v>409</v>
      </c>
      <c r="B112" s="3" t="s">
        <v>9</v>
      </c>
      <c r="C112" s="3" t="s">
        <v>1142</v>
      </c>
      <c r="D112" s="3" t="s">
        <v>1158</v>
      </c>
    </row>
    <row r="113" spans="1:4" x14ac:dyDescent="0.2">
      <c r="A113" s="3" t="s">
        <v>410</v>
      </c>
      <c r="B113" s="3" t="s">
        <v>9</v>
      </c>
      <c r="C113" s="3" t="s">
        <v>1142</v>
      </c>
      <c r="D113" s="3" t="s">
        <v>1158</v>
      </c>
    </row>
    <row r="114" spans="1:4" x14ac:dyDescent="0.2">
      <c r="A114" s="3" t="s">
        <v>411</v>
      </c>
      <c r="B114" s="3" t="s">
        <v>9</v>
      </c>
      <c r="C114" s="3" t="s">
        <v>1142</v>
      </c>
      <c r="D114" s="3" t="s">
        <v>1158</v>
      </c>
    </row>
    <row r="115" spans="1:4" x14ac:dyDescent="0.2">
      <c r="A115" s="3" t="s">
        <v>412</v>
      </c>
      <c r="B115" s="3" t="s">
        <v>9</v>
      </c>
      <c r="C115" s="3" t="s">
        <v>1142</v>
      </c>
      <c r="D115" s="3" t="s">
        <v>1158</v>
      </c>
    </row>
    <row r="116" spans="1:4" x14ac:dyDescent="0.2">
      <c r="A116" s="3" t="s">
        <v>413</v>
      </c>
      <c r="B116" s="3" t="s">
        <v>9</v>
      </c>
      <c r="C116" s="3" t="s">
        <v>1142</v>
      </c>
      <c r="D116" s="3" t="s">
        <v>1158</v>
      </c>
    </row>
    <row r="117" spans="1:4" x14ac:dyDescent="0.2">
      <c r="A117" s="3" t="s">
        <v>414</v>
      </c>
      <c r="B117" s="3" t="s">
        <v>9</v>
      </c>
      <c r="C117" s="3" t="s">
        <v>1142</v>
      </c>
      <c r="D117" s="3" t="s">
        <v>1158</v>
      </c>
    </row>
    <row r="118" spans="1:4" x14ac:dyDescent="0.2">
      <c r="A118" s="3" t="s">
        <v>415</v>
      </c>
      <c r="B118" s="3" t="s">
        <v>9</v>
      </c>
      <c r="C118" s="3" t="s">
        <v>1142</v>
      </c>
      <c r="D118" s="3" t="s">
        <v>1158</v>
      </c>
    </row>
    <row r="119" spans="1:4" x14ac:dyDescent="0.2">
      <c r="A119" s="3" t="s">
        <v>416</v>
      </c>
      <c r="B119" s="3" t="s">
        <v>9</v>
      </c>
      <c r="C119" s="3" t="s">
        <v>1142</v>
      </c>
      <c r="D119" s="3" t="s">
        <v>1158</v>
      </c>
    </row>
    <row r="120" spans="1:4" x14ac:dyDescent="0.2">
      <c r="A120" s="3" t="s">
        <v>417</v>
      </c>
      <c r="B120" s="3" t="s">
        <v>9</v>
      </c>
      <c r="C120" s="3" t="s">
        <v>1142</v>
      </c>
      <c r="D120" s="3" t="s">
        <v>1158</v>
      </c>
    </row>
    <row r="121" spans="1:4" x14ac:dyDescent="0.2">
      <c r="A121" s="3" t="s">
        <v>418</v>
      </c>
      <c r="B121" s="3" t="s">
        <v>9</v>
      </c>
      <c r="C121" s="3" t="s">
        <v>1142</v>
      </c>
      <c r="D121" s="3" t="s">
        <v>1158</v>
      </c>
    </row>
    <row r="122" spans="1:4" x14ac:dyDescent="0.2">
      <c r="A122" s="3" t="s">
        <v>419</v>
      </c>
      <c r="B122" s="3" t="s">
        <v>9</v>
      </c>
      <c r="C122" s="3" t="s">
        <v>1142</v>
      </c>
      <c r="D122" s="3" t="s">
        <v>1158</v>
      </c>
    </row>
    <row r="123" spans="1:4" x14ac:dyDescent="0.2">
      <c r="A123" s="3" t="s">
        <v>420</v>
      </c>
      <c r="B123" s="3" t="s">
        <v>9</v>
      </c>
      <c r="C123" s="3" t="s">
        <v>1142</v>
      </c>
      <c r="D123" s="3" t="s">
        <v>1158</v>
      </c>
    </row>
    <row r="124" spans="1:4" x14ac:dyDescent="0.2">
      <c r="A124" s="3" t="s">
        <v>421</v>
      </c>
      <c r="B124" s="3" t="s">
        <v>9</v>
      </c>
      <c r="C124" s="3" t="s">
        <v>1142</v>
      </c>
      <c r="D124" s="3" t="s">
        <v>1158</v>
      </c>
    </row>
    <row r="125" spans="1:4" x14ac:dyDescent="0.2">
      <c r="A125" s="3" t="s">
        <v>422</v>
      </c>
      <c r="B125" s="3" t="s">
        <v>9</v>
      </c>
      <c r="C125" s="3" t="s">
        <v>1142</v>
      </c>
      <c r="D125" s="3" t="s">
        <v>1158</v>
      </c>
    </row>
    <row r="126" spans="1:4" x14ac:dyDescent="0.2">
      <c r="A126" s="3" t="s">
        <v>423</v>
      </c>
      <c r="B126" s="3" t="s">
        <v>9</v>
      </c>
      <c r="C126" s="3" t="s">
        <v>1142</v>
      </c>
      <c r="D126" s="3" t="s">
        <v>1158</v>
      </c>
    </row>
    <row r="127" spans="1:4" x14ac:dyDescent="0.2">
      <c r="A127" s="3" t="s">
        <v>424</v>
      </c>
      <c r="B127" s="3" t="s">
        <v>9</v>
      </c>
      <c r="C127" s="3" t="s">
        <v>1142</v>
      </c>
      <c r="D127" s="3" t="s">
        <v>1158</v>
      </c>
    </row>
    <row r="128" spans="1:4" x14ac:dyDescent="0.2">
      <c r="A128" s="3" t="s">
        <v>425</v>
      </c>
      <c r="B128" s="3" t="s">
        <v>9</v>
      </c>
      <c r="C128" s="3" t="s">
        <v>1142</v>
      </c>
      <c r="D128" s="3" t="s">
        <v>1158</v>
      </c>
    </row>
    <row r="129" spans="1:4" x14ac:dyDescent="0.2">
      <c r="A129" s="3" t="s">
        <v>426</v>
      </c>
      <c r="B129" s="3" t="s">
        <v>9</v>
      </c>
      <c r="C129" s="3" t="s">
        <v>1142</v>
      </c>
      <c r="D129" s="3" t="s">
        <v>1158</v>
      </c>
    </row>
    <row r="130" spans="1:4" x14ac:dyDescent="0.2">
      <c r="A130" s="3" t="s">
        <v>427</v>
      </c>
      <c r="B130" s="3" t="s">
        <v>9</v>
      </c>
      <c r="C130" s="3" t="s">
        <v>1142</v>
      </c>
      <c r="D130" s="3" t="s">
        <v>1158</v>
      </c>
    </row>
    <row r="131" spans="1:4" x14ac:dyDescent="0.2">
      <c r="A131" s="3" t="s">
        <v>428</v>
      </c>
      <c r="B131" s="3" t="s">
        <v>9</v>
      </c>
      <c r="C131" s="3" t="s">
        <v>1142</v>
      </c>
      <c r="D131" s="3" t="s">
        <v>1158</v>
      </c>
    </row>
    <row r="132" spans="1:4" x14ac:dyDescent="0.2">
      <c r="A132" s="3" t="s">
        <v>431</v>
      </c>
      <c r="B132" s="3" t="s">
        <v>9</v>
      </c>
      <c r="C132" s="3" t="s">
        <v>1142</v>
      </c>
      <c r="D132" s="3" t="s">
        <v>1158</v>
      </c>
    </row>
    <row r="133" spans="1:4" x14ac:dyDescent="0.2">
      <c r="A133" s="3" t="s">
        <v>432</v>
      </c>
      <c r="B133" s="3" t="s">
        <v>9</v>
      </c>
      <c r="C133" s="3" t="s">
        <v>1142</v>
      </c>
      <c r="D133" s="3" t="s">
        <v>1158</v>
      </c>
    </row>
    <row r="134" spans="1:4" x14ac:dyDescent="0.2">
      <c r="A134" s="3" t="s">
        <v>433</v>
      </c>
      <c r="B134" s="3" t="s">
        <v>9</v>
      </c>
      <c r="C134" s="3" t="s">
        <v>1142</v>
      </c>
      <c r="D134" s="3" t="s">
        <v>1158</v>
      </c>
    </row>
    <row r="135" spans="1:4" x14ac:dyDescent="0.2">
      <c r="A135" s="3" t="s">
        <v>434</v>
      </c>
      <c r="B135" s="3" t="s">
        <v>9</v>
      </c>
      <c r="C135" s="3" t="s">
        <v>1142</v>
      </c>
      <c r="D135" s="3" t="s">
        <v>1158</v>
      </c>
    </row>
    <row r="136" spans="1:4" x14ac:dyDescent="0.2">
      <c r="A136" s="3" t="s">
        <v>436</v>
      </c>
      <c r="B136" s="3" t="s">
        <v>9</v>
      </c>
      <c r="C136" s="3" t="s">
        <v>1142</v>
      </c>
      <c r="D136" s="3" t="s">
        <v>1158</v>
      </c>
    </row>
    <row r="137" spans="1:4" x14ac:dyDescent="0.2">
      <c r="A137" s="3" t="s">
        <v>437</v>
      </c>
      <c r="B137" s="3" t="s">
        <v>9</v>
      </c>
      <c r="C137" s="3" t="s">
        <v>1142</v>
      </c>
      <c r="D137" s="3" t="s">
        <v>1158</v>
      </c>
    </row>
    <row r="138" spans="1:4" x14ac:dyDescent="0.2">
      <c r="A138" s="3" t="s">
        <v>438</v>
      </c>
      <c r="B138" s="3" t="s">
        <v>9</v>
      </c>
      <c r="C138" s="3" t="s">
        <v>1142</v>
      </c>
      <c r="D138" s="3" t="s">
        <v>1158</v>
      </c>
    </row>
    <row r="139" spans="1:4" x14ac:dyDescent="0.2">
      <c r="A139" s="3" t="s">
        <v>439</v>
      </c>
      <c r="B139" s="3" t="s">
        <v>9</v>
      </c>
      <c r="C139" s="3" t="s">
        <v>1142</v>
      </c>
      <c r="D139" s="3" t="s">
        <v>1158</v>
      </c>
    </row>
    <row r="140" spans="1:4" x14ac:dyDescent="0.2">
      <c r="A140" s="3" t="s">
        <v>440</v>
      </c>
      <c r="B140" s="3" t="s">
        <v>9</v>
      </c>
      <c r="C140" s="3" t="s">
        <v>1142</v>
      </c>
      <c r="D140" s="3" t="s">
        <v>1158</v>
      </c>
    </row>
    <row r="141" spans="1:4" x14ac:dyDescent="0.2">
      <c r="A141" s="3" t="s">
        <v>441</v>
      </c>
      <c r="B141" s="3" t="s">
        <v>9</v>
      </c>
      <c r="C141" s="3" t="s">
        <v>1142</v>
      </c>
      <c r="D141" s="3" t="s">
        <v>1158</v>
      </c>
    </row>
    <row r="142" spans="1:4" x14ac:dyDescent="0.2">
      <c r="A142" s="3" t="s">
        <v>442</v>
      </c>
      <c r="B142" s="3" t="s">
        <v>9</v>
      </c>
      <c r="C142" s="3" t="s">
        <v>1142</v>
      </c>
      <c r="D142" s="3" t="s">
        <v>1158</v>
      </c>
    </row>
    <row r="143" spans="1:4" x14ac:dyDescent="0.2">
      <c r="A143" s="3" t="s">
        <v>443</v>
      </c>
      <c r="B143" s="3" t="s">
        <v>9</v>
      </c>
      <c r="C143" s="3" t="s">
        <v>1142</v>
      </c>
      <c r="D143" s="3" t="s">
        <v>1158</v>
      </c>
    </row>
    <row r="144" spans="1:4" x14ac:dyDescent="0.2">
      <c r="A144" s="3" t="s">
        <v>444</v>
      </c>
      <c r="B144" s="3" t="s">
        <v>9</v>
      </c>
      <c r="C144" s="3" t="s">
        <v>1142</v>
      </c>
      <c r="D144" s="3" t="s">
        <v>1158</v>
      </c>
    </row>
    <row r="145" spans="1:4" x14ac:dyDescent="0.2">
      <c r="A145" s="3" t="s">
        <v>445</v>
      </c>
      <c r="B145" s="3" t="s">
        <v>9</v>
      </c>
      <c r="C145" s="3" t="s">
        <v>1142</v>
      </c>
      <c r="D145" s="3" t="s">
        <v>1158</v>
      </c>
    </row>
    <row r="146" spans="1:4" x14ac:dyDescent="0.2">
      <c r="A146" s="3" t="s">
        <v>446</v>
      </c>
      <c r="B146" s="3" t="s">
        <v>9</v>
      </c>
      <c r="C146" s="3" t="s">
        <v>1142</v>
      </c>
      <c r="D146" s="3" t="s">
        <v>1158</v>
      </c>
    </row>
    <row r="147" spans="1:4" x14ac:dyDescent="0.2">
      <c r="A147" s="3" t="s">
        <v>447</v>
      </c>
      <c r="B147" s="3" t="s">
        <v>9</v>
      </c>
      <c r="C147" s="3" t="s">
        <v>1142</v>
      </c>
      <c r="D147" s="3" t="s">
        <v>1158</v>
      </c>
    </row>
    <row r="148" spans="1:4" x14ac:dyDescent="0.2">
      <c r="A148" s="3" t="s">
        <v>448</v>
      </c>
      <c r="B148" s="3" t="s">
        <v>9</v>
      </c>
      <c r="C148" s="3" t="s">
        <v>1142</v>
      </c>
      <c r="D148" s="3" t="s">
        <v>1158</v>
      </c>
    </row>
    <row r="149" spans="1:4" x14ac:dyDescent="0.2">
      <c r="A149" s="3" t="s">
        <v>449</v>
      </c>
      <c r="B149" s="3" t="s">
        <v>9</v>
      </c>
      <c r="C149" s="3" t="s">
        <v>1142</v>
      </c>
      <c r="D149" s="3" t="s">
        <v>1158</v>
      </c>
    </row>
    <row r="150" spans="1:4" x14ac:dyDescent="0.2">
      <c r="A150" s="3" t="s">
        <v>450</v>
      </c>
      <c r="B150" s="3" t="s">
        <v>9</v>
      </c>
      <c r="C150" s="3" t="s">
        <v>1142</v>
      </c>
      <c r="D150" s="3" t="s">
        <v>1158</v>
      </c>
    </row>
    <row r="151" spans="1:4" x14ac:dyDescent="0.2">
      <c r="A151" s="3" t="s">
        <v>451</v>
      </c>
      <c r="B151" s="3" t="s">
        <v>9</v>
      </c>
      <c r="C151" s="3" t="s">
        <v>1142</v>
      </c>
      <c r="D151" s="3" t="s">
        <v>1158</v>
      </c>
    </row>
    <row r="152" spans="1:4" x14ac:dyDescent="0.2">
      <c r="A152" s="3" t="s">
        <v>453</v>
      </c>
      <c r="B152" s="3" t="s">
        <v>9</v>
      </c>
      <c r="C152" s="3" t="s">
        <v>1142</v>
      </c>
      <c r="D152" s="3" t="s">
        <v>1158</v>
      </c>
    </row>
    <row r="153" spans="1:4" x14ac:dyDescent="0.2">
      <c r="A153" s="3" t="s">
        <v>454</v>
      </c>
      <c r="B153" s="3" t="s">
        <v>9</v>
      </c>
      <c r="C153" s="3" t="s">
        <v>1142</v>
      </c>
      <c r="D153" s="3" t="s">
        <v>1158</v>
      </c>
    </row>
    <row r="154" spans="1:4" x14ac:dyDescent="0.2">
      <c r="A154" s="3" t="s">
        <v>456</v>
      </c>
      <c r="B154" s="3" t="s">
        <v>9</v>
      </c>
      <c r="C154" s="3" t="s">
        <v>1142</v>
      </c>
      <c r="D154" s="3" t="s">
        <v>1158</v>
      </c>
    </row>
    <row r="155" spans="1:4" x14ac:dyDescent="0.2">
      <c r="A155" s="3" t="s">
        <v>457</v>
      </c>
      <c r="B155" s="3" t="s">
        <v>9</v>
      </c>
      <c r="C155" s="3" t="s">
        <v>1142</v>
      </c>
      <c r="D155" s="3" t="s">
        <v>1158</v>
      </c>
    </row>
    <row r="156" spans="1:4" x14ac:dyDescent="0.2">
      <c r="A156" s="3" t="s">
        <v>458</v>
      </c>
      <c r="B156" s="3" t="s">
        <v>9</v>
      </c>
      <c r="C156" s="3" t="s">
        <v>1142</v>
      </c>
      <c r="D156" s="3" t="s">
        <v>1158</v>
      </c>
    </row>
    <row r="157" spans="1:4" x14ac:dyDescent="0.2">
      <c r="A157" s="3" t="s">
        <v>459</v>
      </c>
      <c r="B157" s="3" t="s">
        <v>9</v>
      </c>
      <c r="C157" s="3" t="s">
        <v>1142</v>
      </c>
      <c r="D157" s="3" t="s">
        <v>1158</v>
      </c>
    </row>
    <row r="158" spans="1:4" x14ac:dyDescent="0.2">
      <c r="A158" s="3" t="s">
        <v>460</v>
      </c>
      <c r="B158" s="3" t="s">
        <v>9</v>
      </c>
      <c r="C158" s="3" t="s">
        <v>1142</v>
      </c>
      <c r="D158" s="3" t="s">
        <v>1158</v>
      </c>
    </row>
    <row r="159" spans="1:4" x14ac:dyDescent="0.2">
      <c r="A159" s="3" t="s">
        <v>461</v>
      </c>
      <c r="B159" s="3" t="s">
        <v>9</v>
      </c>
      <c r="C159" s="3" t="s">
        <v>1142</v>
      </c>
      <c r="D159" s="3" t="s">
        <v>1158</v>
      </c>
    </row>
    <row r="160" spans="1:4" x14ac:dyDescent="0.2">
      <c r="A160" s="3" t="s">
        <v>462</v>
      </c>
      <c r="B160" s="3" t="s">
        <v>9</v>
      </c>
      <c r="C160" s="3" t="s">
        <v>1142</v>
      </c>
      <c r="D160" s="3" t="s">
        <v>1158</v>
      </c>
    </row>
    <row r="161" spans="1:4" x14ac:dyDescent="0.2">
      <c r="A161" s="3" t="s">
        <v>463</v>
      </c>
      <c r="B161" s="3" t="s">
        <v>9</v>
      </c>
      <c r="C161" s="3" t="s">
        <v>1142</v>
      </c>
      <c r="D161" s="3" t="s">
        <v>1158</v>
      </c>
    </row>
    <row r="162" spans="1:4" x14ac:dyDescent="0.2">
      <c r="A162" s="3" t="s">
        <v>464</v>
      </c>
      <c r="B162" s="3" t="s">
        <v>9</v>
      </c>
      <c r="C162" s="3" t="s">
        <v>1142</v>
      </c>
      <c r="D162" s="3" t="s">
        <v>1158</v>
      </c>
    </row>
    <row r="163" spans="1:4" x14ac:dyDescent="0.2">
      <c r="A163" s="3" t="s">
        <v>465</v>
      </c>
      <c r="B163" s="3" t="s">
        <v>9</v>
      </c>
      <c r="C163" s="3" t="s">
        <v>1142</v>
      </c>
      <c r="D163" s="3" t="s">
        <v>1158</v>
      </c>
    </row>
    <row r="164" spans="1:4" x14ac:dyDescent="0.2">
      <c r="A164" s="3" t="s">
        <v>466</v>
      </c>
      <c r="B164" s="3" t="s">
        <v>9</v>
      </c>
      <c r="C164" s="3" t="s">
        <v>1142</v>
      </c>
      <c r="D164" s="3" t="s">
        <v>1158</v>
      </c>
    </row>
    <row r="165" spans="1:4" x14ac:dyDescent="0.2">
      <c r="A165" s="3" t="s">
        <v>467</v>
      </c>
      <c r="B165" s="3" t="s">
        <v>9</v>
      </c>
      <c r="C165" s="3" t="s">
        <v>1142</v>
      </c>
      <c r="D165" s="3" t="s">
        <v>1158</v>
      </c>
    </row>
    <row r="166" spans="1:4" x14ac:dyDescent="0.2">
      <c r="A166" s="3" t="s">
        <v>477</v>
      </c>
      <c r="B166" s="3" t="s">
        <v>9</v>
      </c>
      <c r="C166" s="3" t="s">
        <v>1142</v>
      </c>
      <c r="D166" s="3" t="s">
        <v>1158</v>
      </c>
    </row>
    <row r="167" spans="1:4" x14ac:dyDescent="0.2">
      <c r="A167" s="3" t="s">
        <v>478</v>
      </c>
      <c r="B167" s="3" t="s">
        <v>9</v>
      </c>
      <c r="C167" s="3" t="s">
        <v>1142</v>
      </c>
      <c r="D167" s="3" t="s">
        <v>1158</v>
      </c>
    </row>
    <row r="168" spans="1:4" x14ac:dyDescent="0.2">
      <c r="A168" s="3" t="s">
        <v>479</v>
      </c>
      <c r="B168" s="3" t="s">
        <v>9</v>
      </c>
      <c r="C168" s="3" t="s">
        <v>1142</v>
      </c>
      <c r="D168" s="3" t="s">
        <v>1158</v>
      </c>
    </row>
    <row r="169" spans="1:4" x14ac:dyDescent="0.2">
      <c r="A169" s="3" t="s">
        <v>488</v>
      </c>
      <c r="B169" s="3" t="s">
        <v>9</v>
      </c>
      <c r="C169" s="3" t="s">
        <v>1142</v>
      </c>
      <c r="D169" s="3" t="s">
        <v>1158</v>
      </c>
    </row>
    <row r="170" spans="1:4" x14ac:dyDescent="0.2">
      <c r="A170" s="3" t="s">
        <v>489</v>
      </c>
      <c r="B170" s="3" t="s">
        <v>9</v>
      </c>
      <c r="C170" s="3" t="s">
        <v>1142</v>
      </c>
      <c r="D170" s="3" t="s">
        <v>1158</v>
      </c>
    </row>
    <row r="171" spans="1:4" x14ac:dyDescent="0.2">
      <c r="A171" s="3" t="s">
        <v>495</v>
      </c>
      <c r="B171" s="3" t="s">
        <v>9</v>
      </c>
      <c r="C171" s="3" t="s">
        <v>1142</v>
      </c>
      <c r="D171" s="3" t="s">
        <v>1158</v>
      </c>
    </row>
    <row r="172" spans="1:4" x14ac:dyDescent="0.2">
      <c r="A172" s="3" t="s">
        <v>496</v>
      </c>
      <c r="B172" s="3" t="s">
        <v>9</v>
      </c>
      <c r="C172" s="3" t="s">
        <v>1142</v>
      </c>
      <c r="D172" s="3" t="s">
        <v>1158</v>
      </c>
    </row>
    <row r="173" spans="1:4" x14ac:dyDescent="0.2">
      <c r="A173" s="3" t="s">
        <v>497</v>
      </c>
      <c r="B173" s="3" t="s">
        <v>9</v>
      </c>
      <c r="C173" s="3" t="s">
        <v>1142</v>
      </c>
      <c r="D173" s="3" t="s">
        <v>1158</v>
      </c>
    </row>
    <row r="174" spans="1:4" x14ac:dyDescent="0.2">
      <c r="A174" s="3" t="s">
        <v>498</v>
      </c>
      <c r="B174" s="3" t="s">
        <v>9</v>
      </c>
      <c r="C174" s="3" t="s">
        <v>1142</v>
      </c>
      <c r="D174" s="3" t="s">
        <v>1158</v>
      </c>
    </row>
    <row r="175" spans="1:4" x14ac:dyDescent="0.2">
      <c r="A175" s="3" t="s">
        <v>499</v>
      </c>
      <c r="B175" s="3" t="s">
        <v>9</v>
      </c>
      <c r="C175" s="3" t="s">
        <v>1142</v>
      </c>
      <c r="D175" s="3" t="s">
        <v>1158</v>
      </c>
    </row>
    <row r="176" spans="1:4" x14ac:dyDescent="0.2">
      <c r="A176" s="3" t="s">
        <v>500</v>
      </c>
      <c r="B176" s="3" t="s">
        <v>9</v>
      </c>
      <c r="C176" s="3" t="s">
        <v>1142</v>
      </c>
      <c r="D176" s="3" t="s">
        <v>1158</v>
      </c>
    </row>
    <row r="177" spans="1:4" x14ac:dyDescent="0.2">
      <c r="A177" s="3" t="s">
        <v>501</v>
      </c>
      <c r="B177" s="3" t="s">
        <v>9</v>
      </c>
      <c r="C177" s="3" t="s">
        <v>1142</v>
      </c>
      <c r="D177" s="3" t="s">
        <v>1158</v>
      </c>
    </row>
    <row r="178" spans="1:4" x14ac:dyDescent="0.2">
      <c r="A178" s="3" t="s">
        <v>502</v>
      </c>
      <c r="B178" s="3" t="s">
        <v>9</v>
      </c>
      <c r="C178" s="3" t="s">
        <v>1142</v>
      </c>
      <c r="D178" s="3" t="s">
        <v>1158</v>
      </c>
    </row>
    <row r="179" spans="1:4" x14ac:dyDescent="0.2">
      <c r="A179" s="3" t="s">
        <v>507</v>
      </c>
      <c r="B179" s="3" t="s">
        <v>9</v>
      </c>
      <c r="C179" s="3" t="s">
        <v>1142</v>
      </c>
      <c r="D179" s="3" t="s">
        <v>1158</v>
      </c>
    </row>
    <row r="180" spans="1:4" x14ac:dyDescent="0.2">
      <c r="A180" s="3" t="s">
        <v>525</v>
      </c>
      <c r="B180" s="3" t="s">
        <v>9</v>
      </c>
      <c r="C180" s="3" t="s">
        <v>1142</v>
      </c>
      <c r="D180" s="3" t="s">
        <v>1158</v>
      </c>
    </row>
    <row r="181" spans="1:4" x14ac:dyDescent="0.2">
      <c r="A181" s="3" t="s">
        <v>543</v>
      </c>
      <c r="B181" s="3" t="s">
        <v>9</v>
      </c>
      <c r="C181" s="3" t="s">
        <v>1142</v>
      </c>
      <c r="D181" s="3" t="s">
        <v>1158</v>
      </c>
    </row>
    <row r="182" spans="1:4" x14ac:dyDescent="0.2">
      <c r="A182" s="3" t="s">
        <v>544</v>
      </c>
      <c r="B182" s="3" t="s">
        <v>9</v>
      </c>
      <c r="C182" s="3" t="s">
        <v>1142</v>
      </c>
      <c r="D182" s="3" t="s">
        <v>1158</v>
      </c>
    </row>
    <row r="183" spans="1:4" x14ac:dyDescent="0.2">
      <c r="A183" s="3" t="s">
        <v>564</v>
      </c>
      <c r="B183" s="3" t="s">
        <v>9</v>
      </c>
      <c r="C183" s="3" t="s">
        <v>1142</v>
      </c>
      <c r="D183" s="3" t="s">
        <v>1158</v>
      </c>
    </row>
    <row r="184" spans="1:4" x14ac:dyDescent="0.2">
      <c r="A184" s="3" t="s">
        <v>582</v>
      </c>
      <c r="B184" s="3" t="s">
        <v>9</v>
      </c>
      <c r="C184" s="3" t="s">
        <v>1142</v>
      </c>
      <c r="D184" s="3" t="s">
        <v>1158</v>
      </c>
    </row>
    <row r="185" spans="1:4" x14ac:dyDescent="0.2">
      <c r="A185" s="3" t="s">
        <v>583</v>
      </c>
      <c r="B185" s="3" t="s">
        <v>9</v>
      </c>
      <c r="C185" s="3" t="s">
        <v>1142</v>
      </c>
      <c r="D185" s="3" t="s">
        <v>1158</v>
      </c>
    </row>
    <row r="186" spans="1:4" x14ac:dyDescent="0.2">
      <c r="A186" s="3" t="s">
        <v>584</v>
      </c>
      <c r="B186" s="3" t="s">
        <v>9</v>
      </c>
      <c r="C186" s="3" t="s">
        <v>1142</v>
      </c>
      <c r="D186" s="3" t="s">
        <v>1158</v>
      </c>
    </row>
    <row r="187" spans="1:4" x14ac:dyDescent="0.2">
      <c r="A187" s="3" t="s">
        <v>585</v>
      </c>
      <c r="B187" s="3" t="s">
        <v>9</v>
      </c>
      <c r="C187" s="3" t="s">
        <v>1142</v>
      </c>
      <c r="D187" s="3" t="s">
        <v>1158</v>
      </c>
    </row>
    <row r="188" spans="1:4" x14ac:dyDescent="0.2">
      <c r="A188" s="3" t="s">
        <v>586</v>
      </c>
      <c r="B188" s="3" t="s">
        <v>9</v>
      </c>
      <c r="C188" s="3" t="s">
        <v>1142</v>
      </c>
      <c r="D188" s="3" t="s">
        <v>1158</v>
      </c>
    </row>
    <row r="189" spans="1:4" x14ac:dyDescent="0.2">
      <c r="A189" s="3" t="s">
        <v>587</v>
      </c>
      <c r="B189" s="3" t="s">
        <v>9</v>
      </c>
      <c r="C189" s="3" t="s">
        <v>1142</v>
      </c>
      <c r="D189" s="3" t="s">
        <v>1158</v>
      </c>
    </row>
    <row r="190" spans="1:4" x14ac:dyDescent="0.2">
      <c r="A190" s="3" t="s">
        <v>302</v>
      </c>
      <c r="B190" s="3" t="s">
        <v>184</v>
      </c>
      <c r="C190" s="3" t="s">
        <v>1142</v>
      </c>
      <c r="D190" s="3" t="s">
        <v>1171</v>
      </c>
    </row>
    <row r="191" spans="1:4" x14ac:dyDescent="0.2">
      <c r="A191" s="3" t="s">
        <v>303</v>
      </c>
      <c r="B191" s="3" t="s">
        <v>184</v>
      </c>
      <c r="C191" s="3" t="s">
        <v>1142</v>
      </c>
      <c r="D191" s="3" t="s">
        <v>1171</v>
      </c>
    </row>
    <row r="192" spans="1:4" x14ac:dyDescent="0.2">
      <c r="A192" s="3" t="s">
        <v>304</v>
      </c>
      <c r="B192" s="3" t="s">
        <v>184</v>
      </c>
      <c r="C192" s="3" t="s">
        <v>1142</v>
      </c>
      <c r="D192" s="3" t="s">
        <v>1171</v>
      </c>
    </row>
    <row r="193" spans="1:4" x14ac:dyDescent="0.2">
      <c r="A193" s="3" t="s">
        <v>305</v>
      </c>
      <c r="B193" s="3" t="s">
        <v>184</v>
      </c>
      <c r="C193" s="3" t="s">
        <v>1142</v>
      </c>
      <c r="D193" s="3" t="s">
        <v>1171</v>
      </c>
    </row>
    <row r="194" spans="1:4" x14ac:dyDescent="0.2">
      <c r="A194" s="3" t="s">
        <v>306</v>
      </c>
      <c r="B194" s="3" t="s">
        <v>184</v>
      </c>
      <c r="C194" s="3" t="s">
        <v>1142</v>
      </c>
      <c r="D194" s="3" t="s">
        <v>1171</v>
      </c>
    </row>
    <row r="195" spans="1:4" x14ac:dyDescent="0.2">
      <c r="A195" s="3" t="s">
        <v>307</v>
      </c>
      <c r="B195" s="3" t="s">
        <v>184</v>
      </c>
      <c r="C195" s="3" t="s">
        <v>1142</v>
      </c>
      <c r="D195" s="3" t="s">
        <v>1171</v>
      </c>
    </row>
    <row r="196" spans="1:4" x14ac:dyDescent="0.2">
      <c r="A196" s="3" t="s">
        <v>315</v>
      </c>
      <c r="B196" s="3" t="s">
        <v>184</v>
      </c>
      <c r="C196" s="3" t="s">
        <v>1142</v>
      </c>
      <c r="D196" s="3" t="s">
        <v>1171</v>
      </c>
    </row>
    <row r="197" spans="1:4" x14ac:dyDescent="0.2">
      <c r="A197" s="3" t="s">
        <v>358</v>
      </c>
      <c r="B197" s="3" t="s">
        <v>9</v>
      </c>
      <c r="C197" s="3" t="s">
        <v>95</v>
      </c>
      <c r="D197" s="3" t="s">
        <v>1146</v>
      </c>
    </row>
    <row r="198" spans="1:4" x14ac:dyDescent="0.2">
      <c r="A198" s="3" t="s">
        <v>359</v>
      </c>
      <c r="B198" s="3" t="s">
        <v>9</v>
      </c>
      <c r="C198" s="3" t="s">
        <v>95</v>
      </c>
      <c r="D198" s="3" t="s">
        <v>1146</v>
      </c>
    </row>
    <row r="199" spans="1:4" x14ac:dyDescent="0.2">
      <c r="A199" s="3" t="s">
        <v>360</v>
      </c>
      <c r="B199" s="3" t="s">
        <v>9</v>
      </c>
      <c r="C199" s="3" t="s">
        <v>95</v>
      </c>
      <c r="D199" s="3" t="s">
        <v>1146</v>
      </c>
    </row>
    <row r="200" spans="1:4" x14ac:dyDescent="0.2">
      <c r="A200" s="3" t="s">
        <v>213</v>
      </c>
      <c r="B200" s="3" t="s">
        <v>1147</v>
      </c>
      <c r="C200" s="3" t="s">
        <v>95</v>
      </c>
      <c r="D200" s="3" t="s">
        <v>1155</v>
      </c>
    </row>
    <row r="201" spans="1:4" x14ac:dyDescent="0.2">
      <c r="A201" s="3" t="s">
        <v>597</v>
      </c>
      <c r="B201" s="3" t="s">
        <v>1147</v>
      </c>
      <c r="C201" s="3" t="s">
        <v>95</v>
      </c>
      <c r="D201" s="3" t="s">
        <v>1155</v>
      </c>
    </row>
    <row r="202" spans="1:4" x14ac:dyDescent="0.2">
      <c r="A202" s="3" t="s">
        <v>384</v>
      </c>
      <c r="B202" s="3" t="s">
        <v>9</v>
      </c>
      <c r="C202" s="3" t="s">
        <v>10</v>
      </c>
      <c r="D202" s="3" t="s">
        <v>1156</v>
      </c>
    </row>
    <row r="203" spans="1:4" x14ac:dyDescent="0.2">
      <c r="A203" s="3" t="s">
        <v>385</v>
      </c>
      <c r="B203" s="3" t="s">
        <v>9</v>
      </c>
      <c r="C203" s="3" t="s">
        <v>10</v>
      </c>
      <c r="D203" s="3" t="s">
        <v>1156</v>
      </c>
    </row>
    <row r="204" spans="1:4" x14ac:dyDescent="0.2">
      <c r="A204" s="3" t="s">
        <v>386</v>
      </c>
      <c r="B204" s="3" t="s">
        <v>9</v>
      </c>
      <c r="C204" s="3" t="s">
        <v>10</v>
      </c>
      <c r="D204" s="3" t="s">
        <v>1156</v>
      </c>
    </row>
    <row r="205" spans="1:4" x14ac:dyDescent="0.2">
      <c r="A205" s="3" t="s">
        <v>387</v>
      </c>
      <c r="B205" s="3" t="s">
        <v>9</v>
      </c>
      <c r="C205" s="3" t="s">
        <v>10</v>
      </c>
      <c r="D205" s="3" t="s">
        <v>1156</v>
      </c>
    </row>
    <row r="206" spans="1:4" x14ac:dyDescent="0.2">
      <c r="A206" s="3" t="s">
        <v>388</v>
      </c>
      <c r="B206" s="3" t="s">
        <v>9</v>
      </c>
      <c r="C206" s="3" t="s">
        <v>10</v>
      </c>
      <c r="D206" s="3" t="s">
        <v>1156</v>
      </c>
    </row>
    <row r="207" spans="1:4" x14ac:dyDescent="0.2">
      <c r="A207" s="3" t="s">
        <v>389</v>
      </c>
      <c r="B207" s="3" t="s">
        <v>9</v>
      </c>
      <c r="C207" s="3" t="s">
        <v>95</v>
      </c>
      <c r="D207" s="3" t="s">
        <v>1157</v>
      </c>
    </row>
    <row r="208" spans="1:4" x14ac:dyDescent="0.2">
      <c r="A208" s="3" t="s">
        <v>390</v>
      </c>
      <c r="B208" s="3" t="s">
        <v>9</v>
      </c>
      <c r="C208" s="3" t="s">
        <v>95</v>
      </c>
      <c r="D208" s="3" t="s">
        <v>1157</v>
      </c>
    </row>
    <row r="209" spans="1:4" x14ac:dyDescent="0.2">
      <c r="A209" s="3" t="s">
        <v>430</v>
      </c>
      <c r="B209" s="3" t="s">
        <v>9</v>
      </c>
      <c r="C209" s="3" t="s">
        <v>1172</v>
      </c>
      <c r="D209" s="3" t="s">
        <v>1174</v>
      </c>
    </row>
    <row r="210" spans="1:4" x14ac:dyDescent="0.2">
      <c r="A210" s="3" t="s">
        <v>395</v>
      </c>
      <c r="B210" s="3" t="s">
        <v>9</v>
      </c>
      <c r="C210" s="3" t="s">
        <v>95</v>
      </c>
      <c r="D210" s="3" t="s">
        <v>1160</v>
      </c>
    </row>
    <row r="211" spans="1:4" x14ac:dyDescent="0.2">
      <c r="A211" s="3" t="s">
        <v>396</v>
      </c>
      <c r="B211" s="3" t="s">
        <v>9</v>
      </c>
      <c r="C211" s="3" t="s">
        <v>95</v>
      </c>
      <c r="D211" s="3" t="s">
        <v>1160</v>
      </c>
    </row>
    <row r="212" spans="1:4" x14ac:dyDescent="0.2">
      <c r="A212" s="3" t="s">
        <v>397</v>
      </c>
      <c r="B212" s="3" t="s">
        <v>9</v>
      </c>
      <c r="C212" s="3" t="s">
        <v>95</v>
      </c>
      <c r="D212" s="3" t="s">
        <v>1160</v>
      </c>
    </row>
    <row r="213" spans="1:4" x14ac:dyDescent="0.2">
      <c r="A213" s="3" t="s">
        <v>1368</v>
      </c>
      <c r="B213" s="3" t="s">
        <v>9</v>
      </c>
      <c r="C213" s="3" t="s">
        <v>117</v>
      </c>
      <c r="D213" s="3" t="s">
        <v>1159</v>
      </c>
    </row>
    <row r="214" spans="1:4" x14ac:dyDescent="0.2">
      <c r="A214" s="3" t="s">
        <v>392</v>
      </c>
      <c r="B214" s="3" t="s">
        <v>9</v>
      </c>
      <c r="C214" s="3" t="s">
        <v>117</v>
      </c>
      <c r="D214" s="3" t="s">
        <v>1159</v>
      </c>
    </row>
    <row r="215" spans="1:4" x14ac:dyDescent="0.2">
      <c r="A215" s="3" t="s">
        <v>393</v>
      </c>
      <c r="B215" s="3" t="s">
        <v>9</v>
      </c>
      <c r="C215" s="3" t="s">
        <v>117</v>
      </c>
      <c r="D215" s="3" t="s">
        <v>1159</v>
      </c>
    </row>
    <row r="216" spans="1:4" x14ac:dyDescent="0.2">
      <c r="A216" s="3" t="s">
        <v>394</v>
      </c>
      <c r="B216" s="3" t="s">
        <v>9</v>
      </c>
      <c r="C216" s="3" t="s">
        <v>117</v>
      </c>
      <c r="D216" s="3" t="s">
        <v>1159</v>
      </c>
    </row>
    <row r="217" spans="1:4" x14ac:dyDescent="0.2">
      <c r="A217" s="3" t="s">
        <v>452</v>
      </c>
      <c r="B217" s="3" t="s">
        <v>9</v>
      </c>
      <c r="C217" s="3" t="s">
        <v>117</v>
      </c>
      <c r="D217" s="3" t="s">
        <v>1159</v>
      </c>
    </row>
    <row r="218" spans="1:4" x14ac:dyDescent="0.2">
      <c r="A218" s="3" t="s">
        <v>641</v>
      </c>
      <c r="B218" s="3" t="s">
        <v>197</v>
      </c>
      <c r="C218" s="3" t="s">
        <v>198</v>
      </c>
      <c r="D218" s="3" t="s">
        <v>1162</v>
      </c>
    </row>
    <row r="219" spans="1:4" x14ac:dyDescent="0.2">
      <c r="A219" s="3" t="s">
        <v>642</v>
      </c>
      <c r="B219" s="3" t="s">
        <v>197</v>
      </c>
      <c r="C219" s="3" t="s">
        <v>198</v>
      </c>
      <c r="D219" s="3" t="s">
        <v>1162</v>
      </c>
    </row>
    <row r="220" spans="1:4" x14ac:dyDescent="0.2">
      <c r="A220" s="3" t="s">
        <v>643</v>
      </c>
      <c r="B220" s="3" t="s">
        <v>197</v>
      </c>
      <c r="C220" s="3" t="s">
        <v>198</v>
      </c>
      <c r="D220" s="3" t="s">
        <v>1162</v>
      </c>
    </row>
    <row r="221" spans="1:4" x14ac:dyDescent="0.2">
      <c r="A221" s="3" t="s">
        <v>644</v>
      </c>
      <c r="B221" s="3" t="s">
        <v>197</v>
      </c>
      <c r="C221" s="3" t="s">
        <v>198</v>
      </c>
      <c r="D221" s="3" t="s">
        <v>1162</v>
      </c>
    </row>
    <row r="222" spans="1:4" x14ac:dyDescent="0.2">
      <c r="A222" s="3" t="s">
        <v>645</v>
      </c>
      <c r="B222" s="3" t="s">
        <v>197</v>
      </c>
      <c r="C222" s="3" t="s">
        <v>198</v>
      </c>
      <c r="D222" s="3" t="s">
        <v>1162</v>
      </c>
    </row>
    <row r="223" spans="1:4" x14ac:dyDescent="0.2">
      <c r="A223" s="3" t="s">
        <v>646</v>
      </c>
      <c r="B223" s="3" t="s">
        <v>197</v>
      </c>
      <c r="C223" s="3" t="s">
        <v>198</v>
      </c>
      <c r="D223" s="3" t="s">
        <v>1162</v>
      </c>
    </row>
    <row r="224" spans="1:4" x14ac:dyDescent="0.2">
      <c r="A224" s="3" t="s">
        <v>647</v>
      </c>
      <c r="B224" s="3" t="s">
        <v>197</v>
      </c>
      <c r="C224" s="3" t="s">
        <v>198</v>
      </c>
      <c r="D224" s="3" t="s">
        <v>1162</v>
      </c>
    </row>
    <row r="225" spans="1:4" x14ac:dyDescent="0.2">
      <c r="A225" s="3" t="s">
        <v>648</v>
      </c>
      <c r="B225" s="3" t="s">
        <v>197</v>
      </c>
      <c r="C225" s="3" t="s">
        <v>198</v>
      </c>
      <c r="D225" s="3" t="s">
        <v>1162</v>
      </c>
    </row>
    <row r="226" spans="1:4" x14ac:dyDescent="0.2">
      <c r="A226" s="3" t="s">
        <v>649</v>
      </c>
      <c r="B226" s="3" t="s">
        <v>197</v>
      </c>
      <c r="C226" s="3" t="s">
        <v>198</v>
      </c>
      <c r="D226" s="3" t="s">
        <v>1162</v>
      </c>
    </row>
    <row r="227" spans="1:4" x14ac:dyDescent="0.2">
      <c r="A227" s="3" t="s">
        <v>650</v>
      </c>
      <c r="B227" s="3" t="s">
        <v>197</v>
      </c>
      <c r="C227" s="3" t="s">
        <v>198</v>
      </c>
      <c r="D227" s="3" t="s">
        <v>1162</v>
      </c>
    </row>
    <row r="228" spans="1:4" x14ac:dyDescent="0.2">
      <c r="A228" s="3" t="s">
        <v>207</v>
      </c>
      <c r="B228" s="3" t="s">
        <v>197</v>
      </c>
      <c r="C228" s="3" t="s">
        <v>198</v>
      </c>
      <c r="D228" s="3" t="s">
        <v>1162</v>
      </c>
    </row>
    <row r="229" spans="1:4" x14ac:dyDescent="0.2">
      <c r="A229" s="3" t="s">
        <v>300</v>
      </c>
      <c r="B229" s="3" t="s">
        <v>184</v>
      </c>
      <c r="C229" s="3" t="s">
        <v>1164</v>
      </c>
      <c r="D229" s="3" t="s">
        <v>1165</v>
      </c>
    </row>
    <row r="230" spans="1:4" x14ac:dyDescent="0.2">
      <c r="A230" s="3" t="s">
        <v>301</v>
      </c>
      <c r="B230" s="3" t="s">
        <v>184</v>
      </c>
      <c r="C230" s="3" t="s">
        <v>1164</v>
      </c>
      <c r="D230" s="3" t="s">
        <v>1165</v>
      </c>
    </row>
    <row r="231" spans="1:4" x14ac:dyDescent="0.2">
      <c r="A231" s="3" t="s">
        <v>399</v>
      </c>
      <c r="B231" s="3" t="s">
        <v>9</v>
      </c>
      <c r="C231" s="3" t="s">
        <v>95</v>
      </c>
      <c r="D231" s="3" t="s">
        <v>1166</v>
      </c>
    </row>
    <row r="232" spans="1:4" x14ac:dyDescent="0.2">
      <c r="A232" s="3" t="s">
        <v>400</v>
      </c>
      <c r="B232" s="3" t="s">
        <v>9</v>
      </c>
      <c r="C232" s="3" t="s">
        <v>95</v>
      </c>
      <c r="D232" s="3" t="s">
        <v>1166</v>
      </c>
    </row>
    <row r="233" spans="1:4" x14ac:dyDescent="0.2">
      <c r="A233" s="3" t="s">
        <v>401</v>
      </c>
      <c r="B233" s="3" t="s">
        <v>9</v>
      </c>
      <c r="C233" s="3" t="s">
        <v>95</v>
      </c>
      <c r="D233" s="3" t="s">
        <v>1166</v>
      </c>
    </row>
    <row r="234" spans="1:4" x14ac:dyDescent="0.2">
      <c r="A234" s="3" t="s">
        <v>403</v>
      </c>
      <c r="B234" s="3" t="s">
        <v>9</v>
      </c>
      <c r="C234" s="3" t="s">
        <v>95</v>
      </c>
      <c r="D234" s="3" t="s">
        <v>1168</v>
      </c>
    </row>
    <row r="235" spans="1:4" x14ac:dyDescent="0.2">
      <c r="A235" s="3" t="s">
        <v>598</v>
      </c>
      <c r="B235" s="3" t="s">
        <v>1147</v>
      </c>
      <c r="C235" s="3" t="s">
        <v>95</v>
      </c>
      <c r="D235" s="3" t="s">
        <v>1167</v>
      </c>
    </row>
    <row r="236" spans="1:4" x14ac:dyDescent="0.2">
      <c r="A236" s="3" t="s">
        <v>599</v>
      </c>
      <c r="B236" s="3" t="s">
        <v>1147</v>
      </c>
      <c r="C236" s="3" t="s">
        <v>95</v>
      </c>
      <c r="D236" s="3" t="s">
        <v>1167</v>
      </c>
    </row>
    <row r="237" spans="1:4" x14ac:dyDescent="0.2">
      <c r="A237" s="3" t="s">
        <v>600</v>
      </c>
      <c r="B237" s="3" t="s">
        <v>1147</v>
      </c>
      <c r="C237" s="3" t="s">
        <v>95</v>
      </c>
      <c r="D237" s="3" t="s">
        <v>1167</v>
      </c>
    </row>
    <row r="238" spans="1:4" x14ac:dyDescent="0.2">
      <c r="A238" s="3" t="s">
        <v>601</v>
      </c>
      <c r="B238" s="3" t="s">
        <v>1147</v>
      </c>
      <c r="C238" s="3" t="s">
        <v>95</v>
      </c>
      <c r="D238" s="3" t="s">
        <v>1167</v>
      </c>
    </row>
    <row r="239" spans="1:4" x14ac:dyDescent="0.2">
      <c r="A239" s="3" t="s">
        <v>206</v>
      </c>
      <c r="B239" s="3" t="s">
        <v>1147</v>
      </c>
      <c r="C239" s="3" t="s">
        <v>95</v>
      </c>
      <c r="D239" s="3" t="s">
        <v>1167</v>
      </c>
    </row>
    <row r="240" spans="1:4" x14ac:dyDescent="0.2">
      <c r="A240" s="3" t="s">
        <v>605</v>
      </c>
      <c r="B240" s="3" t="s">
        <v>1147</v>
      </c>
      <c r="C240" s="3" t="s">
        <v>95</v>
      </c>
      <c r="D240" s="3" t="s">
        <v>1167</v>
      </c>
    </row>
    <row r="241" spans="1:4" x14ac:dyDescent="0.2">
      <c r="A241" s="3" t="s">
        <v>398</v>
      </c>
      <c r="B241" s="3" t="s">
        <v>9</v>
      </c>
      <c r="C241" s="3" t="s">
        <v>198</v>
      </c>
      <c r="D241" s="3" t="s">
        <v>1161</v>
      </c>
    </row>
    <row r="242" spans="1:4" x14ac:dyDescent="0.2">
      <c r="A242" s="3" t="s">
        <v>485</v>
      </c>
      <c r="B242" s="3" t="s">
        <v>9</v>
      </c>
      <c r="C242" s="3" t="s">
        <v>198</v>
      </c>
      <c r="D242" s="3" t="s">
        <v>1161</v>
      </c>
    </row>
    <row r="243" spans="1:4" x14ac:dyDescent="0.2">
      <c r="A243" s="3" t="s">
        <v>589</v>
      </c>
      <c r="B243" s="3" t="s">
        <v>9</v>
      </c>
      <c r="C243" s="3" t="s">
        <v>198</v>
      </c>
      <c r="D243" s="3" t="s">
        <v>1161</v>
      </c>
    </row>
    <row r="244" spans="1:4" x14ac:dyDescent="0.2">
      <c r="A244" s="3" t="s">
        <v>404</v>
      </c>
      <c r="B244" s="3" t="s">
        <v>9</v>
      </c>
      <c r="C244" s="3" t="s">
        <v>95</v>
      </c>
      <c r="D244" s="3" t="s">
        <v>1169</v>
      </c>
    </row>
    <row r="245" spans="1:4" x14ac:dyDescent="0.2">
      <c r="A245" s="3" t="s">
        <v>405</v>
      </c>
      <c r="B245" s="3" t="s">
        <v>9</v>
      </c>
      <c r="C245" s="3" t="s">
        <v>95</v>
      </c>
      <c r="D245" s="3" t="s">
        <v>1169</v>
      </c>
    </row>
    <row r="246" spans="1:4" x14ac:dyDescent="0.2">
      <c r="A246" s="3" t="s">
        <v>407</v>
      </c>
      <c r="B246" s="3" t="s">
        <v>9</v>
      </c>
      <c r="C246" s="3" t="s">
        <v>117</v>
      </c>
      <c r="D246" s="3" t="s">
        <v>1170</v>
      </c>
    </row>
    <row r="247" spans="1:4" x14ac:dyDescent="0.2">
      <c r="A247" s="3" t="s">
        <v>435</v>
      </c>
      <c r="B247" s="3" t="s">
        <v>9</v>
      </c>
      <c r="C247" s="3" t="s">
        <v>117</v>
      </c>
      <c r="D247" s="3" t="s">
        <v>1170</v>
      </c>
    </row>
    <row r="248" spans="1:4" x14ac:dyDescent="0.2">
      <c r="A248" s="3" t="s">
        <v>455</v>
      </c>
      <c r="B248" s="3" t="s">
        <v>9</v>
      </c>
      <c r="C248" s="3" t="s">
        <v>117</v>
      </c>
      <c r="D248" s="3" t="s">
        <v>1170</v>
      </c>
    </row>
    <row r="249" spans="1:4" x14ac:dyDescent="0.2">
      <c r="A249" s="3" t="s">
        <v>472</v>
      </c>
      <c r="B249" s="3" t="s">
        <v>9</v>
      </c>
      <c r="C249" s="3" t="s">
        <v>10</v>
      </c>
      <c r="D249" s="3" t="s">
        <v>1178</v>
      </c>
    </row>
    <row r="250" spans="1:4" x14ac:dyDescent="0.2">
      <c r="A250" s="3" t="s">
        <v>473</v>
      </c>
      <c r="B250" s="3" t="s">
        <v>9</v>
      </c>
      <c r="C250" s="3" t="s">
        <v>10</v>
      </c>
      <c r="D250" s="3" t="s">
        <v>1178</v>
      </c>
    </row>
    <row r="251" spans="1:4" x14ac:dyDescent="0.2">
      <c r="A251" s="3" t="s">
        <v>474</v>
      </c>
      <c r="B251" s="3" t="s">
        <v>9</v>
      </c>
      <c r="C251" s="3" t="s">
        <v>10</v>
      </c>
      <c r="D251" s="3" t="s">
        <v>1178</v>
      </c>
    </row>
    <row r="252" spans="1:4" x14ac:dyDescent="0.2">
      <c r="A252" s="3" t="s">
        <v>475</v>
      </c>
      <c r="B252" s="3" t="s">
        <v>9</v>
      </c>
      <c r="C252" s="3" t="s">
        <v>10</v>
      </c>
      <c r="D252" s="3" t="s">
        <v>1178</v>
      </c>
    </row>
    <row r="253" spans="1:4" x14ac:dyDescent="0.2">
      <c r="A253" s="3" t="s">
        <v>469</v>
      </c>
      <c r="B253" s="3" t="s">
        <v>9</v>
      </c>
      <c r="C253" s="3" t="s">
        <v>1176</v>
      </c>
      <c r="D253" s="3" t="s">
        <v>1177</v>
      </c>
    </row>
    <row r="254" spans="1:4" x14ac:dyDescent="0.2">
      <c r="A254" s="3" t="s">
        <v>470</v>
      </c>
      <c r="B254" s="3" t="s">
        <v>9</v>
      </c>
      <c r="C254" s="3" t="s">
        <v>1176</v>
      </c>
      <c r="D254" s="3" t="s">
        <v>1177</v>
      </c>
    </row>
    <row r="255" spans="1:4" x14ac:dyDescent="0.2">
      <c r="A255" s="3" t="s">
        <v>471</v>
      </c>
      <c r="B255" s="3" t="s">
        <v>9</v>
      </c>
      <c r="C255" s="3" t="s">
        <v>1176</v>
      </c>
      <c r="D255" s="3" t="s">
        <v>1177</v>
      </c>
    </row>
    <row r="256" spans="1:4" x14ac:dyDescent="0.2">
      <c r="A256" s="3" t="s">
        <v>476</v>
      </c>
      <c r="B256" s="3" t="s">
        <v>9</v>
      </c>
      <c r="C256" s="3" t="s">
        <v>95</v>
      </c>
      <c r="D256" s="3" t="s">
        <v>1179</v>
      </c>
    </row>
    <row r="257" spans="1:4" x14ac:dyDescent="0.2">
      <c r="A257" s="3" t="s">
        <v>373</v>
      </c>
      <c r="B257" s="3" t="s">
        <v>9</v>
      </c>
      <c r="C257" s="3" t="s">
        <v>117</v>
      </c>
      <c r="D257" s="3" t="s">
        <v>1152</v>
      </c>
    </row>
    <row r="258" spans="1:4" x14ac:dyDescent="0.2">
      <c r="A258" s="3" t="s">
        <v>374</v>
      </c>
      <c r="B258" s="3" t="s">
        <v>9</v>
      </c>
      <c r="C258" s="3" t="s">
        <v>117</v>
      </c>
      <c r="D258" s="3" t="s">
        <v>1152</v>
      </c>
    </row>
    <row r="259" spans="1:4" x14ac:dyDescent="0.2">
      <c r="A259" s="3" t="s">
        <v>486</v>
      </c>
      <c r="B259" s="3" t="s">
        <v>9</v>
      </c>
      <c r="C259" s="3" t="s">
        <v>117</v>
      </c>
      <c r="D259" s="3" t="s">
        <v>1152</v>
      </c>
    </row>
    <row r="260" spans="1:4" x14ac:dyDescent="0.2">
      <c r="A260" s="3" t="s">
        <v>487</v>
      </c>
      <c r="B260" s="3" t="s">
        <v>9</v>
      </c>
      <c r="C260" s="3" t="s">
        <v>117</v>
      </c>
      <c r="D260" s="3" t="s">
        <v>1152</v>
      </c>
    </row>
    <row r="261" spans="1:4" x14ac:dyDescent="0.2">
      <c r="A261" s="3" t="s">
        <v>536</v>
      </c>
      <c r="B261" s="3" t="s">
        <v>9</v>
      </c>
      <c r="C261" s="3" t="s">
        <v>117</v>
      </c>
      <c r="D261" s="3" t="s">
        <v>1152</v>
      </c>
    </row>
    <row r="262" spans="1:4" x14ac:dyDescent="0.2">
      <c r="A262" s="3" t="s">
        <v>297</v>
      </c>
      <c r="B262" s="3" t="s">
        <v>9</v>
      </c>
      <c r="C262" s="3" t="s">
        <v>117</v>
      </c>
      <c r="D262" s="3" t="s">
        <v>1180</v>
      </c>
    </row>
    <row r="263" spans="1:4" x14ac:dyDescent="0.2">
      <c r="A263" s="3" t="s">
        <v>480</v>
      </c>
      <c r="B263" s="3" t="s">
        <v>9</v>
      </c>
      <c r="C263" s="3" t="s">
        <v>117</v>
      </c>
      <c r="D263" s="3" t="s">
        <v>1180</v>
      </c>
    </row>
    <row r="264" spans="1:4" x14ac:dyDescent="0.2">
      <c r="A264" s="3" t="s">
        <v>481</v>
      </c>
      <c r="B264" s="3" t="s">
        <v>9</v>
      </c>
      <c r="C264" s="3" t="s">
        <v>117</v>
      </c>
      <c r="D264" s="3" t="s">
        <v>1180</v>
      </c>
    </row>
    <row r="265" spans="1:4" x14ac:dyDescent="0.2">
      <c r="A265" s="3" t="s">
        <v>482</v>
      </c>
      <c r="B265" s="3" t="s">
        <v>9</v>
      </c>
      <c r="C265" s="3" t="s">
        <v>117</v>
      </c>
      <c r="D265" s="3" t="s">
        <v>1180</v>
      </c>
    </row>
    <row r="266" spans="1:4" x14ac:dyDescent="0.2">
      <c r="A266" s="3" t="s">
        <v>483</v>
      </c>
      <c r="B266" s="3" t="s">
        <v>9</v>
      </c>
      <c r="C266" s="3" t="s">
        <v>117</v>
      </c>
      <c r="D266" s="3" t="s">
        <v>1180</v>
      </c>
    </row>
    <row r="267" spans="1:4" x14ac:dyDescent="0.2">
      <c r="A267" s="3" t="s">
        <v>484</v>
      </c>
      <c r="B267" s="3" t="s">
        <v>9</v>
      </c>
      <c r="C267" s="3" t="s">
        <v>117</v>
      </c>
      <c r="D267" s="3" t="s">
        <v>1180</v>
      </c>
    </row>
    <row r="268" spans="1:4" x14ac:dyDescent="0.2">
      <c r="A268" s="3" t="s">
        <v>298</v>
      </c>
      <c r="B268" s="3" t="s">
        <v>9</v>
      </c>
      <c r="C268" s="3" t="s">
        <v>117</v>
      </c>
      <c r="D268" s="3" t="s">
        <v>1206</v>
      </c>
    </row>
    <row r="269" spans="1:4" x14ac:dyDescent="0.2">
      <c r="A269" s="3" t="s">
        <v>571</v>
      </c>
      <c r="B269" s="3" t="s">
        <v>9</v>
      </c>
      <c r="C269" s="3" t="s">
        <v>117</v>
      </c>
      <c r="D269" s="3" t="s">
        <v>1206</v>
      </c>
    </row>
    <row r="270" spans="1:4" x14ac:dyDescent="0.2">
      <c r="A270" s="3" t="s">
        <v>572</v>
      </c>
      <c r="B270" s="3" t="s">
        <v>9</v>
      </c>
      <c r="C270" s="3" t="s">
        <v>117</v>
      </c>
      <c r="D270" s="3" t="s">
        <v>1206</v>
      </c>
    </row>
    <row r="271" spans="1:4" x14ac:dyDescent="0.2">
      <c r="A271" s="3" t="s">
        <v>573</v>
      </c>
      <c r="B271" s="3" t="s">
        <v>9</v>
      </c>
      <c r="C271" s="3" t="s">
        <v>117</v>
      </c>
      <c r="D271" s="3" t="s">
        <v>1206</v>
      </c>
    </row>
    <row r="272" spans="1:4" x14ac:dyDescent="0.2">
      <c r="A272" s="3" t="s">
        <v>574</v>
      </c>
      <c r="B272" s="3" t="s">
        <v>9</v>
      </c>
      <c r="C272" s="3" t="s">
        <v>117</v>
      </c>
      <c r="D272" s="3" t="s">
        <v>1206</v>
      </c>
    </row>
    <row r="273" spans="1:4" x14ac:dyDescent="0.2">
      <c r="A273" s="3" t="s">
        <v>493</v>
      </c>
      <c r="B273" s="3" t="s">
        <v>9</v>
      </c>
      <c r="C273" s="3" t="s">
        <v>95</v>
      </c>
      <c r="D273" s="3" t="s">
        <v>1181</v>
      </c>
    </row>
    <row r="274" spans="1:4" x14ac:dyDescent="0.2">
      <c r="A274" s="3" t="s">
        <v>494</v>
      </c>
      <c r="B274" s="3" t="s">
        <v>9</v>
      </c>
      <c r="C274" s="3" t="s">
        <v>95</v>
      </c>
      <c r="D274" s="3" t="s">
        <v>1181</v>
      </c>
    </row>
    <row r="275" spans="1:4" x14ac:dyDescent="0.2">
      <c r="A275" s="3" t="s">
        <v>345</v>
      </c>
      <c r="B275" s="3" t="s">
        <v>9</v>
      </c>
      <c r="C275" s="3" t="s">
        <v>95</v>
      </c>
      <c r="D275" s="3" t="s">
        <v>1137</v>
      </c>
    </row>
    <row r="276" spans="1:4" x14ac:dyDescent="0.2">
      <c r="A276" s="3" t="s">
        <v>490</v>
      </c>
      <c r="B276" s="3" t="s">
        <v>9</v>
      </c>
      <c r="C276" s="3" t="s">
        <v>95</v>
      </c>
      <c r="D276" s="3" t="s">
        <v>1137</v>
      </c>
    </row>
    <row r="277" spans="1:4" x14ac:dyDescent="0.2">
      <c r="A277" s="3" t="s">
        <v>491</v>
      </c>
      <c r="B277" s="3" t="s">
        <v>9</v>
      </c>
      <c r="C277" s="3" t="s">
        <v>95</v>
      </c>
      <c r="D277" s="3" t="s">
        <v>1137</v>
      </c>
    </row>
    <row r="278" spans="1:4" x14ac:dyDescent="0.2">
      <c r="A278" s="3" t="s">
        <v>492</v>
      </c>
      <c r="B278" s="3" t="s">
        <v>9</v>
      </c>
      <c r="C278" s="3" t="s">
        <v>95</v>
      </c>
      <c r="D278" s="3" t="s">
        <v>1137</v>
      </c>
    </row>
    <row r="279" spans="1:4" x14ac:dyDescent="0.2">
      <c r="A279" s="3" t="s">
        <v>503</v>
      </c>
      <c r="B279" s="3" t="s">
        <v>9</v>
      </c>
      <c r="C279" s="3" t="s">
        <v>95</v>
      </c>
      <c r="D279" s="3" t="s">
        <v>1137</v>
      </c>
    </row>
    <row r="280" spans="1:4" x14ac:dyDescent="0.2">
      <c r="A280" s="3" t="s">
        <v>505</v>
      </c>
      <c r="B280" s="3" t="s">
        <v>9</v>
      </c>
      <c r="C280" s="3" t="s">
        <v>1183</v>
      </c>
      <c r="D280" s="3" t="s">
        <v>1183</v>
      </c>
    </row>
    <row r="281" spans="1:4" x14ac:dyDescent="0.2">
      <c r="A281" s="3" t="s">
        <v>506</v>
      </c>
      <c r="B281" s="3" t="s">
        <v>9</v>
      </c>
      <c r="C281" s="3" t="s">
        <v>1183</v>
      </c>
      <c r="D281" s="3" t="s">
        <v>1183</v>
      </c>
    </row>
    <row r="282" spans="1:4" x14ac:dyDescent="0.2">
      <c r="A282" s="3" t="s">
        <v>223</v>
      </c>
      <c r="B282" s="3" t="s">
        <v>184</v>
      </c>
      <c r="C282" s="3" t="s">
        <v>1164</v>
      </c>
      <c r="D282" s="3" t="s">
        <v>1175</v>
      </c>
    </row>
    <row r="283" spans="1:4" x14ac:dyDescent="0.2">
      <c r="A283" s="3" t="s">
        <v>309</v>
      </c>
      <c r="B283" s="3" t="s">
        <v>184</v>
      </c>
      <c r="C283" s="3" t="s">
        <v>1164</v>
      </c>
      <c r="D283" s="3" t="s">
        <v>1175</v>
      </c>
    </row>
    <row r="284" spans="1:4" x14ac:dyDescent="0.2">
      <c r="A284" s="3" t="s">
        <v>310</v>
      </c>
      <c r="B284" s="3" t="s">
        <v>184</v>
      </c>
      <c r="C284" s="3" t="s">
        <v>1164</v>
      </c>
      <c r="D284" s="3" t="s">
        <v>1175</v>
      </c>
    </row>
    <row r="285" spans="1:4" x14ac:dyDescent="0.2">
      <c r="A285" s="3" t="s">
        <v>311</v>
      </c>
      <c r="B285" s="3" t="s">
        <v>184</v>
      </c>
      <c r="C285" s="3" t="s">
        <v>1164</v>
      </c>
      <c r="D285" s="3" t="s">
        <v>1175</v>
      </c>
    </row>
    <row r="286" spans="1:4" x14ac:dyDescent="0.2">
      <c r="A286" s="3" t="s">
        <v>224</v>
      </c>
      <c r="B286" s="3" t="s">
        <v>184</v>
      </c>
      <c r="C286" s="3" t="s">
        <v>1164</v>
      </c>
      <c r="D286" s="3" t="s">
        <v>1175</v>
      </c>
    </row>
    <row r="287" spans="1:4" x14ac:dyDescent="0.2">
      <c r="A287" s="3" t="s">
        <v>312</v>
      </c>
      <c r="B287" s="3" t="s">
        <v>184</v>
      </c>
      <c r="C287" s="3" t="s">
        <v>1164</v>
      </c>
      <c r="D287" s="3" t="s">
        <v>1175</v>
      </c>
    </row>
    <row r="288" spans="1:4" x14ac:dyDescent="0.2">
      <c r="A288" s="3" t="s">
        <v>313</v>
      </c>
      <c r="B288" s="3" t="s">
        <v>184</v>
      </c>
      <c r="C288" s="3" t="s">
        <v>1164</v>
      </c>
      <c r="D288" s="3" t="s">
        <v>1175</v>
      </c>
    </row>
    <row r="289" spans="1:4" x14ac:dyDescent="0.2">
      <c r="A289" s="3" t="s">
        <v>314</v>
      </c>
      <c r="B289" s="3" t="s">
        <v>184</v>
      </c>
      <c r="C289" s="3" t="s">
        <v>1164</v>
      </c>
      <c r="D289" s="3" t="s">
        <v>1175</v>
      </c>
    </row>
    <row r="290" spans="1:4" x14ac:dyDescent="0.2">
      <c r="A290" s="3" t="s">
        <v>504</v>
      </c>
      <c r="B290" s="3" t="s">
        <v>9</v>
      </c>
      <c r="C290" s="3" t="s">
        <v>95</v>
      </c>
      <c r="D290" s="3" t="s">
        <v>1182</v>
      </c>
    </row>
    <row r="291" spans="1:4" x14ac:dyDescent="0.2">
      <c r="A291" s="3" t="s">
        <v>512</v>
      </c>
      <c r="B291" s="3" t="s">
        <v>9</v>
      </c>
      <c r="C291" s="3" t="s">
        <v>95</v>
      </c>
      <c r="D291" s="3" t="s">
        <v>1185</v>
      </c>
    </row>
    <row r="292" spans="1:4" x14ac:dyDescent="0.2">
      <c r="A292" s="3" t="s">
        <v>513</v>
      </c>
      <c r="B292" s="3" t="s">
        <v>9</v>
      </c>
      <c r="C292" s="3" t="s">
        <v>95</v>
      </c>
      <c r="D292" s="3" t="s">
        <v>1185</v>
      </c>
    </row>
    <row r="293" spans="1:4" x14ac:dyDescent="0.2">
      <c r="A293" s="3" t="s">
        <v>516</v>
      </c>
      <c r="B293" s="3" t="s">
        <v>9</v>
      </c>
      <c r="C293" s="3" t="s">
        <v>95</v>
      </c>
      <c r="D293" s="3" t="s">
        <v>1187</v>
      </c>
    </row>
    <row r="294" spans="1:4" x14ac:dyDescent="0.2">
      <c r="A294" s="3" t="s">
        <v>517</v>
      </c>
      <c r="B294" s="3" t="s">
        <v>9</v>
      </c>
      <c r="C294" s="3" t="s">
        <v>95</v>
      </c>
      <c r="D294" s="3" t="s">
        <v>1187</v>
      </c>
    </row>
    <row r="295" spans="1:4" x14ac:dyDescent="0.2">
      <c r="A295" s="3" t="s">
        <v>518</v>
      </c>
      <c r="B295" s="3" t="s">
        <v>9</v>
      </c>
      <c r="C295" s="3" t="s">
        <v>95</v>
      </c>
      <c r="D295" s="3" t="s">
        <v>1188</v>
      </c>
    </row>
    <row r="296" spans="1:4" x14ac:dyDescent="0.2">
      <c r="A296" s="3" t="s">
        <v>514</v>
      </c>
      <c r="B296" s="3" t="s">
        <v>9</v>
      </c>
      <c r="C296" s="3" t="s">
        <v>95</v>
      </c>
      <c r="D296" s="3" t="s">
        <v>1186</v>
      </c>
    </row>
    <row r="297" spans="1:4" x14ac:dyDescent="0.2">
      <c r="A297" s="3" t="s">
        <v>515</v>
      </c>
      <c r="B297" s="3" t="s">
        <v>9</v>
      </c>
      <c r="C297" s="3" t="s">
        <v>95</v>
      </c>
      <c r="D297" s="3" t="s">
        <v>1186</v>
      </c>
    </row>
    <row r="298" spans="1:4" x14ac:dyDescent="0.2">
      <c r="A298" s="3" t="s">
        <v>519</v>
      </c>
      <c r="B298" s="3" t="s">
        <v>9</v>
      </c>
      <c r="C298" s="3" t="s">
        <v>95</v>
      </c>
      <c r="D298" s="3" t="s">
        <v>1189</v>
      </c>
    </row>
    <row r="299" spans="1:4" x14ac:dyDescent="0.2">
      <c r="A299" s="3" t="s">
        <v>520</v>
      </c>
      <c r="B299" s="3" t="s">
        <v>9</v>
      </c>
      <c r="C299" s="3" t="s">
        <v>95</v>
      </c>
      <c r="D299" s="3" t="s">
        <v>1189</v>
      </c>
    </row>
    <row r="300" spans="1:4" x14ac:dyDescent="0.2">
      <c r="A300" s="3" t="s">
        <v>521</v>
      </c>
      <c r="B300" s="3" t="s">
        <v>9</v>
      </c>
      <c r="C300" s="3" t="s">
        <v>95</v>
      </c>
      <c r="D300" s="3" t="s">
        <v>1189</v>
      </c>
    </row>
    <row r="301" spans="1:4" x14ac:dyDescent="0.2">
      <c r="A301" s="3" t="s">
        <v>522</v>
      </c>
      <c r="B301" s="3" t="s">
        <v>9</v>
      </c>
      <c r="C301" s="3" t="s">
        <v>95</v>
      </c>
      <c r="D301" s="3" t="s">
        <v>1189</v>
      </c>
    </row>
    <row r="302" spans="1:4" x14ac:dyDescent="0.2">
      <c r="A302" s="3" t="s">
        <v>523</v>
      </c>
      <c r="B302" s="3" t="s">
        <v>9</v>
      </c>
      <c r="C302" s="3" t="s">
        <v>95</v>
      </c>
      <c r="D302" s="3" t="s">
        <v>1189</v>
      </c>
    </row>
    <row r="303" spans="1:4" x14ac:dyDescent="0.2">
      <c r="A303" s="3" t="s">
        <v>321</v>
      </c>
      <c r="B303" s="3" t="s">
        <v>9</v>
      </c>
      <c r="C303" s="3" t="s">
        <v>95</v>
      </c>
      <c r="D303" s="3" t="s">
        <v>1190</v>
      </c>
    </row>
    <row r="304" spans="1:4" x14ac:dyDescent="0.2">
      <c r="A304" s="3" t="s">
        <v>234</v>
      </c>
      <c r="B304" s="3" t="s">
        <v>9</v>
      </c>
      <c r="C304" s="3" t="s">
        <v>95</v>
      </c>
      <c r="D304" s="3" t="s">
        <v>1190</v>
      </c>
    </row>
    <row r="305" spans="1:4" x14ac:dyDescent="0.2">
      <c r="A305" s="3" t="s">
        <v>524</v>
      </c>
      <c r="B305" s="3" t="s">
        <v>9</v>
      </c>
      <c r="C305" s="3" t="s">
        <v>95</v>
      </c>
      <c r="D305" s="3" t="s">
        <v>1190</v>
      </c>
    </row>
    <row r="306" spans="1:4" x14ac:dyDescent="0.2">
      <c r="A306" s="3" t="s">
        <v>529</v>
      </c>
      <c r="B306" s="3" t="s">
        <v>9</v>
      </c>
      <c r="C306" s="3" t="s">
        <v>95</v>
      </c>
      <c r="D306" s="3" t="s">
        <v>1131</v>
      </c>
    </row>
    <row r="307" spans="1:4" x14ac:dyDescent="0.2">
      <c r="A307" s="3" t="s">
        <v>233</v>
      </c>
      <c r="B307" s="3" t="s">
        <v>9</v>
      </c>
      <c r="C307" s="3" t="s">
        <v>95</v>
      </c>
      <c r="D307" s="3" t="s">
        <v>1131</v>
      </c>
    </row>
    <row r="308" spans="1:4" x14ac:dyDescent="0.2">
      <c r="A308" s="3" t="s">
        <v>530</v>
      </c>
      <c r="B308" s="3" t="s">
        <v>9</v>
      </c>
      <c r="C308" s="3" t="s">
        <v>95</v>
      </c>
      <c r="D308" s="3" t="s">
        <v>1131</v>
      </c>
    </row>
    <row r="309" spans="1:4" x14ac:dyDescent="0.2">
      <c r="A309" s="3" t="s">
        <v>531</v>
      </c>
      <c r="B309" s="3" t="s">
        <v>9</v>
      </c>
      <c r="C309" s="3" t="s">
        <v>95</v>
      </c>
      <c r="D309" s="3" t="s">
        <v>1131</v>
      </c>
    </row>
    <row r="310" spans="1:4" x14ac:dyDescent="0.2">
      <c r="A310" s="3" t="s">
        <v>232</v>
      </c>
      <c r="B310" s="3" t="s">
        <v>9</v>
      </c>
      <c r="C310" s="3" t="s">
        <v>95</v>
      </c>
      <c r="D310" s="3" t="s">
        <v>1131</v>
      </c>
    </row>
    <row r="311" spans="1:4" x14ac:dyDescent="0.2">
      <c r="A311" s="3" t="s">
        <v>1373</v>
      </c>
      <c r="B311" s="3" t="s">
        <v>9</v>
      </c>
      <c r="C311" s="3" t="s">
        <v>95</v>
      </c>
      <c r="D311" s="3" t="s">
        <v>1131</v>
      </c>
    </row>
    <row r="312" spans="1:4" x14ac:dyDescent="0.2">
      <c r="A312" s="3" t="s">
        <v>526</v>
      </c>
      <c r="B312" s="3" t="s">
        <v>9</v>
      </c>
      <c r="C312" s="3" t="s">
        <v>1191</v>
      </c>
      <c r="D312" s="3" t="s">
        <v>1192</v>
      </c>
    </row>
    <row r="313" spans="1:4" x14ac:dyDescent="0.2">
      <c r="A313" s="3" t="s">
        <v>527</v>
      </c>
      <c r="B313" s="3" t="s">
        <v>9</v>
      </c>
      <c r="C313" s="3" t="s">
        <v>1191</v>
      </c>
      <c r="D313" s="3" t="s">
        <v>1192</v>
      </c>
    </row>
    <row r="314" spans="1:4" x14ac:dyDescent="0.2">
      <c r="A314" s="3" t="s">
        <v>528</v>
      </c>
      <c r="B314" s="3" t="s">
        <v>9</v>
      </c>
      <c r="C314" s="3" t="s">
        <v>1191</v>
      </c>
      <c r="D314" s="3" t="s">
        <v>1192</v>
      </c>
    </row>
    <row r="315" spans="1:4" x14ac:dyDescent="0.2">
      <c r="A315" s="3" t="s">
        <v>532</v>
      </c>
      <c r="B315" s="3" t="s">
        <v>9</v>
      </c>
      <c r="C315" s="3" t="s">
        <v>1191</v>
      </c>
      <c r="D315" s="3" t="s">
        <v>1192</v>
      </c>
    </row>
    <row r="316" spans="1:4" x14ac:dyDescent="0.2">
      <c r="A316" s="3" t="s">
        <v>231</v>
      </c>
      <c r="B316" s="3" t="s">
        <v>9</v>
      </c>
      <c r="C316" s="3" t="s">
        <v>1191</v>
      </c>
      <c r="D316" s="3" t="s">
        <v>1192</v>
      </c>
    </row>
    <row r="317" spans="1:4" x14ac:dyDescent="0.2">
      <c r="A317" s="3" t="s">
        <v>533</v>
      </c>
      <c r="B317" s="3" t="s">
        <v>9</v>
      </c>
      <c r="C317" s="3" t="s">
        <v>1191</v>
      </c>
      <c r="D317" s="3" t="s">
        <v>1192</v>
      </c>
    </row>
    <row r="318" spans="1:4" x14ac:dyDescent="0.2">
      <c r="A318" s="3" t="s">
        <v>291</v>
      </c>
      <c r="B318" s="3" t="s">
        <v>9</v>
      </c>
      <c r="C318" s="3" t="s">
        <v>1191</v>
      </c>
      <c r="D318" s="3" t="s">
        <v>1192</v>
      </c>
    </row>
    <row r="319" spans="1:4" x14ac:dyDescent="0.2">
      <c r="A319" s="3" t="s">
        <v>534</v>
      </c>
      <c r="B319" s="3" t="s">
        <v>9</v>
      </c>
      <c r="C319" s="3" t="s">
        <v>1191</v>
      </c>
      <c r="D319" s="3" t="s">
        <v>1192</v>
      </c>
    </row>
    <row r="320" spans="1:4" x14ac:dyDescent="0.2">
      <c r="A320" s="3" t="s">
        <v>535</v>
      </c>
      <c r="B320" s="3" t="s">
        <v>9</v>
      </c>
      <c r="C320" s="3" t="s">
        <v>1191</v>
      </c>
      <c r="D320" s="3" t="s">
        <v>1192</v>
      </c>
    </row>
    <row r="321" spans="1:4" x14ac:dyDescent="0.2">
      <c r="A321" s="3" t="s">
        <v>1374</v>
      </c>
      <c r="B321" s="3" t="s">
        <v>9</v>
      </c>
      <c r="C321" s="3" t="s">
        <v>95</v>
      </c>
      <c r="D321" s="3" t="s">
        <v>1193</v>
      </c>
    </row>
    <row r="322" spans="1:4" x14ac:dyDescent="0.2">
      <c r="A322" s="3" t="s">
        <v>1375</v>
      </c>
      <c r="B322" s="3" t="s">
        <v>9</v>
      </c>
      <c r="C322" s="3" t="s">
        <v>95</v>
      </c>
      <c r="D322" s="3" t="s">
        <v>1193</v>
      </c>
    </row>
    <row r="323" spans="1:4" x14ac:dyDescent="0.2">
      <c r="A323" s="3" t="s">
        <v>676</v>
      </c>
      <c r="B323" s="3" t="s">
        <v>1128</v>
      </c>
      <c r="C323" s="3" t="s">
        <v>1142</v>
      </c>
      <c r="D323" s="3" t="s">
        <v>1163</v>
      </c>
    </row>
    <row r="324" spans="1:4" x14ac:dyDescent="0.2">
      <c r="A324" s="3" t="s">
        <v>677</v>
      </c>
      <c r="B324" s="3" t="s">
        <v>1128</v>
      </c>
      <c r="C324" s="3" t="s">
        <v>1142</v>
      </c>
      <c r="D324" s="3" t="s">
        <v>1163</v>
      </c>
    </row>
    <row r="325" spans="1:4" x14ac:dyDescent="0.2">
      <c r="A325" s="3" t="s">
        <v>680</v>
      </c>
      <c r="B325" s="3" t="s">
        <v>1128</v>
      </c>
      <c r="C325" s="3" t="s">
        <v>1142</v>
      </c>
      <c r="D325" s="3" t="s">
        <v>1163</v>
      </c>
    </row>
    <row r="326" spans="1:4" x14ac:dyDescent="0.2">
      <c r="A326" s="3" t="s">
        <v>681</v>
      </c>
      <c r="B326" s="3" t="s">
        <v>1128</v>
      </c>
      <c r="C326" s="3" t="s">
        <v>1142</v>
      </c>
      <c r="D326" s="3" t="s">
        <v>1163</v>
      </c>
    </row>
    <row r="327" spans="1:4" x14ac:dyDescent="0.2">
      <c r="A327" s="3" t="s">
        <v>678</v>
      </c>
      <c r="B327" s="3" t="s">
        <v>1128</v>
      </c>
      <c r="C327" s="3" t="s">
        <v>1142</v>
      </c>
      <c r="D327" s="3" t="s">
        <v>1163</v>
      </c>
    </row>
    <row r="328" spans="1:4" x14ac:dyDescent="0.2">
      <c r="A328" s="3" t="s">
        <v>679</v>
      </c>
      <c r="B328" s="3" t="s">
        <v>1128</v>
      </c>
      <c r="C328" s="3" t="s">
        <v>1142</v>
      </c>
      <c r="D328" s="3" t="s">
        <v>1163</v>
      </c>
    </row>
    <row r="329" spans="1:4" x14ac:dyDescent="0.2">
      <c r="A329" s="3" t="s">
        <v>537</v>
      </c>
      <c r="B329" s="3" t="s">
        <v>9</v>
      </c>
      <c r="C329" s="3" t="s">
        <v>1176</v>
      </c>
      <c r="D329" s="3" t="s">
        <v>1194</v>
      </c>
    </row>
    <row r="330" spans="1:4" x14ac:dyDescent="0.2">
      <c r="A330" s="3" t="s">
        <v>539</v>
      </c>
      <c r="B330" s="3" t="s">
        <v>9</v>
      </c>
      <c r="C330" s="3" t="s">
        <v>1135</v>
      </c>
      <c r="D330" s="3" t="s">
        <v>1196</v>
      </c>
    </row>
    <row r="331" spans="1:4" x14ac:dyDescent="0.2">
      <c r="A331" s="3" t="s">
        <v>540</v>
      </c>
      <c r="B331" s="3" t="s">
        <v>9</v>
      </c>
      <c r="C331" s="3" t="s">
        <v>1135</v>
      </c>
      <c r="D331" s="3" t="s">
        <v>1196</v>
      </c>
    </row>
    <row r="332" spans="1:4" x14ac:dyDescent="0.2">
      <c r="A332" s="3" t="s">
        <v>541</v>
      </c>
      <c r="B332" s="3" t="s">
        <v>9</v>
      </c>
      <c r="C332" s="3" t="s">
        <v>1135</v>
      </c>
      <c r="D332" s="3" t="s">
        <v>1196</v>
      </c>
    </row>
    <row r="333" spans="1:4" x14ac:dyDescent="0.2">
      <c r="A333" s="3" t="s">
        <v>542</v>
      </c>
      <c r="B333" s="3" t="s">
        <v>9</v>
      </c>
      <c r="C333" s="3" t="s">
        <v>1135</v>
      </c>
      <c r="D333" s="3" t="s">
        <v>1196</v>
      </c>
    </row>
    <row r="334" spans="1:4" x14ac:dyDescent="0.2">
      <c r="A334" s="3" t="s">
        <v>545</v>
      </c>
      <c r="B334" s="3" t="s">
        <v>9</v>
      </c>
      <c r="C334" s="3" t="s">
        <v>1135</v>
      </c>
      <c r="D334" s="3" t="s">
        <v>1196</v>
      </c>
    </row>
    <row r="335" spans="1:4" x14ac:dyDescent="0.2">
      <c r="A335" s="3" t="s">
        <v>546</v>
      </c>
      <c r="B335" s="3" t="s">
        <v>9</v>
      </c>
      <c r="C335" s="3" t="s">
        <v>1135</v>
      </c>
      <c r="D335" s="3" t="s">
        <v>1196</v>
      </c>
    </row>
    <row r="336" spans="1:4" x14ac:dyDescent="0.2">
      <c r="A336" s="3" t="s">
        <v>547</v>
      </c>
      <c r="B336" s="3" t="s">
        <v>9</v>
      </c>
      <c r="C336" s="3" t="s">
        <v>1135</v>
      </c>
      <c r="D336" s="3" t="s">
        <v>1196</v>
      </c>
    </row>
    <row r="337" spans="1:4" x14ac:dyDescent="0.2">
      <c r="A337" s="3" t="s">
        <v>548</v>
      </c>
      <c r="B337" s="3" t="s">
        <v>9</v>
      </c>
      <c r="C337" s="3" t="s">
        <v>1135</v>
      </c>
      <c r="D337" s="3" t="s">
        <v>1196</v>
      </c>
    </row>
    <row r="338" spans="1:4" x14ac:dyDescent="0.2">
      <c r="A338" s="3" t="s">
        <v>603</v>
      </c>
      <c r="B338" s="3" t="s">
        <v>1147</v>
      </c>
      <c r="C338" s="3" t="s">
        <v>95</v>
      </c>
      <c r="D338" s="3" t="s">
        <v>1203</v>
      </c>
    </row>
    <row r="339" spans="1:4" x14ac:dyDescent="0.2">
      <c r="A339" s="3" t="s">
        <v>604</v>
      </c>
      <c r="B339" s="3" t="s">
        <v>1147</v>
      </c>
      <c r="C339" s="3" t="s">
        <v>95</v>
      </c>
      <c r="D339" s="3" t="s">
        <v>1203</v>
      </c>
    </row>
    <row r="340" spans="1:4" x14ac:dyDescent="0.2">
      <c r="A340" s="3" t="s">
        <v>566</v>
      </c>
      <c r="B340" s="3" t="s">
        <v>9</v>
      </c>
      <c r="C340" s="3" t="s">
        <v>95</v>
      </c>
      <c r="D340" s="3" t="s">
        <v>1204</v>
      </c>
    </row>
    <row r="341" spans="1:4" x14ac:dyDescent="0.2">
      <c r="A341" s="3" t="s">
        <v>565</v>
      </c>
      <c r="B341" s="3" t="s">
        <v>9</v>
      </c>
      <c r="C341" s="3" t="s">
        <v>117</v>
      </c>
      <c r="D341" s="3" t="s">
        <v>1202</v>
      </c>
    </row>
    <row r="342" spans="1:4" x14ac:dyDescent="0.2">
      <c r="A342" s="3" t="s">
        <v>561</v>
      </c>
      <c r="B342" s="3" t="s">
        <v>9</v>
      </c>
      <c r="C342" s="3" t="s">
        <v>198</v>
      </c>
      <c r="D342" s="3" t="s">
        <v>1200</v>
      </c>
    </row>
    <row r="343" spans="1:4" x14ac:dyDescent="0.2">
      <c r="A343" s="3" t="s">
        <v>562</v>
      </c>
      <c r="B343" s="3" t="s">
        <v>9</v>
      </c>
      <c r="C343" s="3" t="s">
        <v>198</v>
      </c>
      <c r="D343" s="3" t="s">
        <v>1200</v>
      </c>
    </row>
    <row r="344" spans="1:4" x14ac:dyDescent="0.2">
      <c r="A344" s="3" t="s">
        <v>563</v>
      </c>
      <c r="B344" s="3" t="s">
        <v>9</v>
      </c>
      <c r="C344" s="3" t="s">
        <v>95</v>
      </c>
      <c r="D344" s="3" t="s">
        <v>1201</v>
      </c>
    </row>
    <row r="345" spans="1:4" x14ac:dyDescent="0.2">
      <c r="A345" s="3" t="s">
        <v>553</v>
      </c>
      <c r="B345" s="3" t="s">
        <v>9</v>
      </c>
      <c r="C345" s="3" t="s">
        <v>117</v>
      </c>
      <c r="D345" s="3" t="s">
        <v>1199</v>
      </c>
    </row>
    <row r="346" spans="1:4" x14ac:dyDescent="0.2">
      <c r="A346" s="3" t="s">
        <v>554</v>
      </c>
      <c r="B346" s="3" t="s">
        <v>9</v>
      </c>
      <c r="C346" s="3" t="s">
        <v>117</v>
      </c>
      <c r="D346" s="3" t="s">
        <v>1199</v>
      </c>
    </row>
    <row r="347" spans="1:4" x14ac:dyDescent="0.2">
      <c r="A347" s="3" t="s">
        <v>555</v>
      </c>
      <c r="B347" s="3" t="s">
        <v>9</v>
      </c>
      <c r="C347" s="3" t="s">
        <v>117</v>
      </c>
      <c r="D347" s="3" t="s">
        <v>1199</v>
      </c>
    </row>
    <row r="348" spans="1:4" x14ac:dyDescent="0.2">
      <c r="A348" s="3" t="s">
        <v>556</v>
      </c>
      <c r="B348" s="3" t="s">
        <v>9</v>
      </c>
      <c r="C348" s="3" t="s">
        <v>117</v>
      </c>
      <c r="D348" s="3" t="s">
        <v>1199</v>
      </c>
    </row>
    <row r="349" spans="1:4" x14ac:dyDescent="0.2">
      <c r="A349" s="3" t="s">
        <v>557</v>
      </c>
      <c r="B349" s="3" t="s">
        <v>9</v>
      </c>
      <c r="C349" s="3" t="s">
        <v>117</v>
      </c>
      <c r="D349" s="3" t="s">
        <v>1199</v>
      </c>
    </row>
    <row r="350" spans="1:4" x14ac:dyDescent="0.2">
      <c r="A350" s="3" t="s">
        <v>558</v>
      </c>
      <c r="B350" s="3" t="s">
        <v>9</v>
      </c>
      <c r="C350" s="3" t="s">
        <v>117</v>
      </c>
      <c r="D350" s="3" t="s">
        <v>1199</v>
      </c>
    </row>
    <row r="351" spans="1:4" x14ac:dyDescent="0.2">
      <c r="A351" s="3" t="s">
        <v>559</v>
      </c>
      <c r="B351" s="3" t="s">
        <v>9</v>
      </c>
      <c r="C351" s="3" t="s">
        <v>117</v>
      </c>
      <c r="D351" s="3" t="s">
        <v>1199</v>
      </c>
    </row>
    <row r="352" spans="1:4" x14ac:dyDescent="0.2">
      <c r="A352" s="3" t="s">
        <v>560</v>
      </c>
      <c r="B352" s="3" t="s">
        <v>9</v>
      </c>
      <c r="C352" s="3" t="s">
        <v>117</v>
      </c>
      <c r="D352" s="3" t="s">
        <v>1199</v>
      </c>
    </row>
    <row r="353" spans="1:4" x14ac:dyDescent="0.2">
      <c r="A353" s="3" t="s">
        <v>668</v>
      </c>
      <c r="B353" s="3" t="s">
        <v>9</v>
      </c>
      <c r="C353" s="3" t="s">
        <v>117</v>
      </c>
      <c r="D353" s="3" t="s">
        <v>1199</v>
      </c>
    </row>
    <row r="354" spans="1:4" x14ac:dyDescent="0.2">
      <c r="A354" s="3" t="s">
        <v>549</v>
      </c>
      <c r="B354" s="3" t="s">
        <v>9</v>
      </c>
      <c r="C354" s="3" t="s">
        <v>95</v>
      </c>
      <c r="D354" s="3" t="s">
        <v>1198</v>
      </c>
    </row>
    <row r="355" spans="1:4" x14ac:dyDescent="0.2">
      <c r="A355" s="3" t="s">
        <v>550</v>
      </c>
      <c r="B355" s="3" t="s">
        <v>9</v>
      </c>
      <c r="C355" s="3" t="s">
        <v>95</v>
      </c>
      <c r="D355" s="3" t="s">
        <v>1198</v>
      </c>
    </row>
    <row r="356" spans="1:4" x14ac:dyDescent="0.2">
      <c r="A356" s="3" t="s">
        <v>551</v>
      </c>
      <c r="B356" s="3" t="s">
        <v>9</v>
      </c>
      <c r="C356" s="3" t="s">
        <v>95</v>
      </c>
      <c r="D356" s="3" t="s">
        <v>1198</v>
      </c>
    </row>
    <row r="357" spans="1:4" x14ac:dyDescent="0.2">
      <c r="A357" s="3" t="s">
        <v>552</v>
      </c>
      <c r="B357" s="3" t="s">
        <v>9</v>
      </c>
      <c r="C357" s="3" t="s">
        <v>95</v>
      </c>
      <c r="D357" s="3" t="s">
        <v>1198</v>
      </c>
    </row>
    <row r="358" spans="1:4" x14ac:dyDescent="0.2">
      <c r="A358" s="3" t="s">
        <v>567</v>
      </c>
      <c r="B358" s="3" t="s">
        <v>9</v>
      </c>
      <c r="C358" s="3" t="s">
        <v>95</v>
      </c>
      <c r="D358" s="3" t="s">
        <v>1205</v>
      </c>
    </row>
    <row r="359" spans="1:4" x14ac:dyDescent="0.2">
      <c r="A359" s="3" t="s">
        <v>568</v>
      </c>
      <c r="B359" s="3" t="s">
        <v>9</v>
      </c>
      <c r="C359" s="3" t="s">
        <v>95</v>
      </c>
      <c r="D359" s="3" t="s">
        <v>1205</v>
      </c>
    </row>
    <row r="360" spans="1:4" x14ac:dyDescent="0.2">
      <c r="A360" s="3" t="s">
        <v>569</v>
      </c>
      <c r="B360" s="3" t="s">
        <v>9</v>
      </c>
      <c r="C360" s="3" t="s">
        <v>95</v>
      </c>
      <c r="D360" s="3" t="s">
        <v>1205</v>
      </c>
    </row>
    <row r="361" spans="1:4" x14ac:dyDescent="0.2">
      <c r="A361" s="3" t="s">
        <v>570</v>
      </c>
      <c r="B361" s="3" t="s">
        <v>9</v>
      </c>
      <c r="C361" s="3" t="s">
        <v>95</v>
      </c>
      <c r="D361" s="3" t="s">
        <v>1205</v>
      </c>
    </row>
    <row r="362" spans="1:4" x14ac:dyDescent="0.2">
      <c r="A362" s="3" t="s">
        <v>575</v>
      </c>
      <c r="B362" s="3" t="s">
        <v>9</v>
      </c>
      <c r="C362" s="3" t="s">
        <v>95</v>
      </c>
      <c r="D362" s="3" t="s">
        <v>1207</v>
      </c>
    </row>
    <row r="363" spans="1:4" x14ac:dyDescent="0.2">
      <c r="A363" s="3" t="s">
        <v>576</v>
      </c>
      <c r="B363" s="3" t="s">
        <v>9</v>
      </c>
      <c r="C363" s="3" t="s">
        <v>95</v>
      </c>
      <c r="D363" s="3" t="s">
        <v>1207</v>
      </c>
    </row>
    <row r="364" spans="1:4" x14ac:dyDescent="0.2">
      <c r="A364" s="3" t="s">
        <v>577</v>
      </c>
      <c r="B364" s="3" t="s">
        <v>9</v>
      </c>
      <c r="C364" s="3" t="s">
        <v>95</v>
      </c>
      <c r="D364" s="3" t="s">
        <v>1207</v>
      </c>
    </row>
    <row r="365" spans="1:4" x14ac:dyDescent="0.2">
      <c r="A365" s="3" t="s">
        <v>578</v>
      </c>
      <c r="B365" s="3" t="s">
        <v>9</v>
      </c>
      <c r="C365" s="3" t="s">
        <v>95</v>
      </c>
      <c r="D365" s="3" t="s">
        <v>1207</v>
      </c>
    </row>
    <row r="366" spans="1:4" x14ac:dyDescent="0.2">
      <c r="A366" s="3" t="s">
        <v>579</v>
      </c>
      <c r="B366" s="3" t="s">
        <v>9</v>
      </c>
      <c r="C366" s="3" t="s">
        <v>95</v>
      </c>
      <c r="D366" s="3" t="s">
        <v>1207</v>
      </c>
    </row>
    <row r="367" spans="1:4" x14ac:dyDescent="0.2">
      <c r="A367" s="3" t="s">
        <v>580</v>
      </c>
      <c r="B367" s="3" t="s">
        <v>9</v>
      </c>
      <c r="C367" s="3" t="s">
        <v>1176</v>
      </c>
      <c r="D367" s="3" t="s">
        <v>1208</v>
      </c>
    </row>
    <row r="368" spans="1:4" x14ac:dyDescent="0.2">
      <c r="A368" s="3" t="s">
        <v>508</v>
      </c>
      <c r="B368" s="3" t="s">
        <v>9</v>
      </c>
      <c r="C368" s="3" t="s">
        <v>95</v>
      </c>
      <c r="D368" s="3" t="s">
        <v>1184</v>
      </c>
    </row>
    <row r="369" spans="1:4" x14ac:dyDescent="0.2">
      <c r="A369" s="3" t="s">
        <v>509</v>
      </c>
      <c r="B369" s="3" t="s">
        <v>9</v>
      </c>
      <c r="C369" s="3" t="s">
        <v>95</v>
      </c>
      <c r="D369" s="3" t="s">
        <v>1184</v>
      </c>
    </row>
    <row r="370" spans="1:4" x14ac:dyDescent="0.2">
      <c r="A370" s="3" t="s">
        <v>510</v>
      </c>
      <c r="B370" s="3" t="s">
        <v>9</v>
      </c>
      <c r="C370" s="3" t="s">
        <v>95</v>
      </c>
      <c r="D370" s="3" t="s">
        <v>1184</v>
      </c>
    </row>
    <row r="371" spans="1:4" x14ac:dyDescent="0.2">
      <c r="A371" s="3" t="s">
        <v>316</v>
      </c>
      <c r="B371" s="3" t="s">
        <v>184</v>
      </c>
      <c r="C371" s="3" t="s">
        <v>1191</v>
      </c>
      <c r="D371" s="3" t="s">
        <v>1212</v>
      </c>
    </row>
    <row r="372" spans="1:4" x14ac:dyDescent="0.2">
      <c r="A372" s="3" t="s">
        <v>317</v>
      </c>
      <c r="B372" s="3" t="s">
        <v>184</v>
      </c>
      <c r="C372" s="3" t="s">
        <v>1191</v>
      </c>
      <c r="D372" s="3" t="s">
        <v>1212</v>
      </c>
    </row>
    <row r="373" spans="1:4" x14ac:dyDescent="0.2">
      <c r="A373" s="3" t="s">
        <v>318</v>
      </c>
      <c r="B373" s="3" t="s">
        <v>184</v>
      </c>
      <c r="C373" s="3" t="s">
        <v>1191</v>
      </c>
      <c r="D373" s="3" t="s">
        <v>1212</v>
      </c>
    </row>
    <row r="374" spans="1:4" x14ac:dyDescent="0.2">
      <c r="A374" s="3" t="s">
        <v>651</v>
      </c>
      <c r="B374" s="3" t="s">
        <v>1378</v>
      </c>
      <c r="C374" s="3" t="s">
        <v>1191</v>
      </c>
      <c r="D374" s="3" t="s">
        <v>1209</v>
      </c>
    </row>
    <row r="375" spans="1:4" x14ac:dyDescent="0.2">
      <c r="A375" s="3" t="s">
        <v>652</v>
      </c>
      <c r="B375" s="3" t="s">
        <v>1378</v>
      </c>
      <c r="C375" s="3" t="s">
        <v>1191</v>
      </c>
      <c r="D375" s="3" t="s">
        <v>1209</v>
      </c>
    </row>
    <row r="376" spans="1:4" x14ac:dyDescent="0.2">
      <c r="A376" s="3" t="s">
        <v>653</v>
      </c>
      <c r="B376" s="3" t="s">
        <v>1378</v>
      </c>
      <c r="C376" s="3" t="s">
        <v>1191</v>
      </c>
      <c r="D376" s="3" t="s">
        <v>1209</v>
      </c>
    </row>
    <row r="377" spans="1:4" x14ac:dyDescent="0.2">
      <c r="A377" s="3" t="s">
        <v>654</v>
      </c>
      <c r="B377" s="3" t="s">
        <v>1378</v>
      </c>
      <c r="C377" s="3" t="s">
        <v>1191</v>
      </c>
      <c r="D377" s="3" t="s">
        <v>1209</v>
      </c>
    </row>
    <row r="378" spans="1:4" x14ac:dyDescent="0.2">
      <c r="A378" s="3" t="s">
        <v>656</v>
      </c>
      <c r="B378" s="3" t="s">
        <v>1378</v>
      </c>
      <c r="C378" s="3" t="s">
        <v>1191</v>
      </c>
      <c r="D378" s="3" t="s">
        <v>1209</v>
      </c>
    </row>
    <row r="379" spans="1:4" x14ac:dyDescent="0.2">
      <c r="A379" s="3" t="s">
        <v>657</v>
      </c>
      <c r="B379" s="3" t="s">
        <v>1378</v>
      </c>
      <c r="C379" s="3" t="s">
        <v>1191</v>
      </c>
      <c r="D379" s="3" t="s">
        <v>1209</v>
      </c>
    </row>
    <row r="380" spans="1:4" x14ac:dyDescent="0.2">
      <c r="A380" s="3" t="s">
        <v>658</v>
      </c>
      <c r="B380" s="3" t="s">
        <v>1378</v>
      </c>
      <c r="C380" s="3" t="s">
        <v>1191</v>
      </c>
      <c r="D380" s="3" t="s">
        <v>1209</v>
      </c>
    </row>
    <row r="381" spans="1:4" x14ac:dyDescent="0.2">
      <c r="A381" s="3" t="s">
        <v>659</v>
      </c>
      <c r="B381" s="3" t="s">
        <v>1378</v>
      </c>
      <c r="C381" s="3" t="s">
        <v>1191</v>
      </c>
      <c r="D381" s="3" t="s">
        <v>1209</v>
      </c>
    </row>
    <row r="382" spans="1:4" x14ac:dyDescent="0.2">
      <c r="A382" s="3" t="s">
        <v>660</v>
      </c>
      <c r="B382" s="3" t="s">
        <v>1378</v>
      </c>
      <c r="C382" s="3" t="s">
        <v>1191</v>
      </c>
      <c r="D382" s="3" t="s">
        <v>1209</v>
      </c>
    </row>
    <row r="383" spans="1:4" x14ac:dyDescent="0.2">
      <c r="A383" s="3" t="s">
        <v>661</v>
      </c>
      <c r="B383" s="3" t="s">
        <v>1378</v>
      </c>
      <c r="C383" s="3" t="s">
        <v>1191</v>
      </c>
      <c r="D383" s="3" t="s">
        <v>1209</v>
      </c>
    </row>
    <row r="384" spans="1:4" x14ac:dyDescent="0.2">
      <c r="A384" s="3" t="s">
        <v>662</v>
      </c>
      <c r="B384" s="3" t="s">
        <v>1378</v>
      </c>
      <c r="C384" s="3" t="s">
        <v>1191</v>
      </c>
      <c r="D384" s="3" t="s">
        <v>1209</v>
      </c>
    </row>
    <row r="385" spans="1:4" x14ac:dyDescent="0.2">
      <c r="A385" s="3" t="s">
        <v>663</v>
      </c>
      <c r="B385" s="3" t="s">
        <v>1378</v>
      </c>
      <c r="C385" s="3" t="s">
        <v>1191</v>
      </c>
      <c r="D385" s="3" t="s">
        <v>1209</v>
      </c>
    </row>
    <row r="386" spans="1:4" x14ac:dyDescent="0.2">
      <c r="A386" s="3" t="s">
        <v>664</v>
      </c>
      <c r="B386" s="3" t="s">
        <v>1378</v>
      </c>
      <c r="C386" s="3" t="s">
        <v>1191</v>
      </c>
      <c r="D386" s="3" t="s">
        <v>1209</v>
      </c>
    </row>
    <row r="387" spans="1:4" x14ac:dyDescent="0.2">
      <c r="A387" s="3" t="s">
        <v>1126</v>
      </c>
      <c r="B387" s="3" t="s">
        <v>1378</v>
      </c>
      <c r="C387" s="3" t="s">
        <v>1191</v>
      </c>
      <c r="D387" s="3" t="s">
        <v>1209</v>
      </c>
    </row>
    <row r="388" spans="1:4" x14ac:dyDescent="0.2">
      <c r="A388" s="3" t="s">
        <v>665</v>
      </c>
      <c r="B388" s="3" t="s">
        <v>1378</v>
      </c>
      <c r="C388" s="3" t="s">
        <v>1191</v>
      </c>
      <c r="D388" s="3" t="s">
        <v>1209</v>
      </c>
    </row>
    <row r="389" spans="1:4" x14ac:dyDescent="0.2">
      <c r="A389" s="3" t="s">
        <v>666</v>
      </c>
      <c r="B389" s="3" t="s">
        <v>1378</v>
      </c>
      <c r="C389" s="3" t="s">
        <v>1191</v>
      </c>
      <c r="D389" s="3" t="s">
        <v>1209</v>
      </c>
    </row>
    <row r="390" spans="1:4" x14ac:dyDescent="0.2">
      <c r="A390" s="3" t="s">
        <v>667</v>
      </c>
      <c r="B390" s="3" t="s">
        <v>1378</v>
      </c>
      <c r="C390" s="3" t="s">
        <v>1191</v>
      </c>
      <c r="D390" s="3" t="s">
        <v>1209</v>
      </c>
    </row>
    <row r="391" spans="1:4" x14ac:dyDescent="0.2">
      <c r="A391" s="3" t="s">
        <v>669</v>
      </c>
      <c r="B391" s="3" t="s">
        <v>1378</v>
      </c>
      <c r="C391" s="3" t="s">
        <v>1191</v>
      </c>
      <c r="D391" s="3" t="s">
        <v>1209</v>
      </c>
    </row>
    <row r="392" spans="1:4" x14ac:dyDescent="0.2">
      <c r="A392" s="3" t="s">
        <v>670</v>
      </c>
      <c r="B392" s="3" t="s">
        <v>1378</v>
      </c>
      <c r="C392" s="3" t="s">
        <v>1191</v>
      </c>
      <c r="D392" s="3" t="s">
        <v>1209</v>
      </c>
    </row>
    <row r="393" spans="1:4" x14ac:dyDescent="0.2">
      <c r="A393" s="3" t="s">
        <v>671</v>
      </c>
      <c r="B393" s="3" t="s">
        <v>1378</v>
      </c>
      <c r="C393" s="3" t="s">
        <v>1191</v>
      </c>
      <c r="D393" s="3" t="s">
        <v>1209</v>
      </c>
    </row>
    <row r="394" spans="1:4" x14ac:dyDescent="0.2">
      <c r="A394" s="10" t="s">
        <v>672</v>
      </c>
      <c r="B394" s="3" t="s">
        <v>1378</v>
      </c>
      <c r="C394" s="3" t="s">
        <v>1191</v>
      </c>
      <c r="D394" s="3" t="s">
        <v>1209</v>
      </c>
    </row>
    <row r="395" spans="1:4" x14ac:dyDescent="0.2">
      <c r="A395" s="3" t="s">
        <v>673</v>
      </c>
      <c r="B395" s="3" t="s">
        <v>1378</v>
      </c>
      <c r="C395" s="3" t="s">
        <v>1191</v>
      </c>
      <c r="D395" s="3" t="s">
        <v>1209</v>
      </c>
    </row>
    <row r="396" spans="1:4" x14ac:dyDescent="0.2">
      <c r="A396" s="3" t="s">
        <v>674</v>
      </c>
      <c r="B396" s="3" t="s">
        <v>1378</v>
      </c>
      <c r="C396" s="3" t="s">
        <v>1191</v>
      </c>
      <c r="D396" s="3" t="s">
        <v>1209</v>
      </c>
    </row>
    <row r="397" spans="1:4" x14ac:dyDescent="0.2">
      <c r="A397" s="3" t="s">
        <v>675</v>
      </c>
      <c r="B397" s="3" t="s">
        <v>1378</v>
      </c>
      <c r="C397" s="3" t="s">
        <v>1191</v>
      </c>
      <c r="D397" s="3" t="s">
        <v>1209</v>
      </c>
    </row>
    <row r="398" spans="1:4" x14ac:dyDescent="0.2">
      <c r="A398" s="3" t="s">
        <v>1125</v>
      </c>
      <c r="B398" s="3" t="s">
        <v>1378</v>
      </c>
      <c r="C398" s="3" t="s">
        <v>1191</v>
      </c>
      <c r="D398" s="3" t="s">
        <v>1209</v>
      </c>
    </row>
    <row r="399" spans="1:4" x14ac:dyDescent="0.2">
      <c r="A399" s="3" t="s">
        <v>1124</v>
      </c>
      <c r="B399" s="3" t="s">
        <v>1378</v>
      </c>
      <c r="C399" s="3" t="s">
        <v>1191</v>
      </c>
      <c r="D399" s="3" t="s">
        <v>1209</v>
      </c>
    </row>
    <row r="400" spans="1:4" x14ac:dyDescent="0.2">
      <c r="A400" s="3" t="s">
        <v>588</v>
      </c>
      <c r="B400" s="3" t="s">
        <v>9</v>
      </c>
      <c r="C400" s="3" t="s">
        <v>95</v>
      </c>
      <c r="D400" s="3" t="s">
        <v>1211</v>
      </c>
    </row>
    <row r="401" spans="1:4" x14ac:dyDescent="0.2">
      <c r="A401" s="3" t="s">
        <v>581</v>
      </c>
      <c r="B401" s="3" t="s">
        <v>9</v>
      </c>
      <c r="C401" s="3" t="s">
        <v>10</v>
      </c>
      <c r="D401" s="3" t="s">
        <v>1210</v>
      </c>
    </row>
    <row r="402" spans="1:4" x14ac:dyDescent="0.2">
      <c r="A402" s="3" t="s">
        <v>1122</v>
      </c>
      <c r="B402" s="3" t="s">
        <v>9</v>
      </c>
      <c r="C402" s="3" t="s">
        <v>126</v>
      </c>
      <c r="D402" s="3" t="s">
        <v>1214</v>
      </c>
    </row>
    <row r="403" spans="1:4" x14ac:dyDescent="0.2">
      <c r="A403" s="3" t="s">
        <v>590</v>
      </c>
      <c r="B403" s="3" t="s">
        <v>9</v>
      </c>
      <c r="C403" s="3" t="s">
        <v>95</v>
      </c>
      <c r="D403" s="3" t="s">
        <v>1213</v>
      </c>
    </row>
    <row r="404" spans="1:4" x14ac:dyDescent="0.2">
      <c r="A404" s="3" t="s">
        <v>538</v>
      </c>
      <c r="B404" s="3" t="s">
        <v>9</v>
      </c>
      <c r="C404" s="3" t="s">
        <v>95</v>
      </c>
      <c r="D404" s="3" t="s">
        <v>1195</v>
      </c>
    </row>
    <row r="405" spans="1:4" x14ac:dyDescent="0.2">
      <c r="A405" s="3" t="s">
        <v>591</v>
      </c>
      <c r="B405" s="3" t="s">
        <v>9</v>
      </c>
      <c r="C405" s="3" t="s">
        <v>95</v>
      </c>
      <c r="D405" s="3" t="s">
        <v>1195</v>
      </c>
    </row>
    <row r="406" spans="1:4" x14ac:dyDescent="0.2">
      <c r="A406" s="3" t="s">
        <v>592</v>
      </c>
      <c r="B406" s="3" t="s">
        <v>9</v>
      </c>
      <c r="C406" s="3" t="s">
        <v>95</v>
      </c>
      <c r="D406" s="3" t="s">
        <v>1195</v>
      </c>
    </row>
    <row r="407" spans="1:4" x14ac:dyDescent="0.2">
      <c r="A407" s="3" t="s">
        <v>593</v>
      </c>
      <c r="B407" s="3" t="s">
        <v>9</v>
      </c>
      <c r="C407" s="3" t="s">
        <v>95</v>
      </c>
      <c r="D407" s="3" t="s">
        <v>1195</v>
      </c>
    </row>
    <row r="408" spans="1:4" x14ac:dyDescent="0.2">
      <c r="A408" s="3" t="s">
        <v>602</v>
      </c>
      <c r="B408" s="3" t="s">
        <v>1147</v>
      </c>
      <c r="C408" s="3" t="s">
        <v>95</v>
      </c>
      <c r="D408" s="3" t="s">
        <v>1197</v>
      </c>
    </row>
    <row r="409" spans="1:4" x14ac:dyDescent="0.2">
      <c r="A409" s="3" t="s">
        <v>1123</v>
      </c>
      <c r="B409" s="3" t="s">
        <v>1147</v>
      </c>
      <c r="C409" s="3" t="s">
        <v>95</v>
      </c>
      <c r="D409" s="3" t="s">
        <v>1197</v>
      </c>
    </row>
    <row r="410" spans="1:4" x14ac:dyDescent="0.2">
      <c r="A410" s="10" t="s">
        <v>606</v>
      </c>
      <c r="B410" s="3" t="s">
        <v>1147</v>
      </c>
      <c r="C410" s="3" t="s">
        <v>95</v>
      </c>
      <c r="D410" s="3" t="s">
        <v>1197</v>
      </c>
    </row>
    <row r="411" spans="1:4" x14ac:dyDescent="0.2">
      <c r="A411" s="3" t="s">
        <v>607</v>
      </c>
      <c r="B411" s="3" t="s">
        <v>1147</v>
      </c>
      <c r="C411" s="3" t="s">
        <v>95</v>
      </c>
      <c r="D411" s="3" t="s">
        <v>1197</v>
      </c>
    </row>
    <row r="412" spans="1:4" x14ac:dyDescent="0.2">
      <c r="A412" s="60" t="s">
        <v>1080</v>
      </c>
      <c r="B412" s="3" t="s">
        <v>1141</v>
      </c>
      <c r="C412" s="3" t="s">
        <v>1142</v>
      </c>
      <c r="D412" s="3" t="s">
        <v>1143</v>
      </c>
    </row>
    <row r="413" spans="1:4" x14ac:dyDescent="0.2">
      <c r="A413" s="10" t="s">
        <v>1081</v>
      </c>
      <c r="B413" s="3" t="s">
        <v>1141</v>
      </c>
      <c r="C413" s="3" t="s">
        <v>1142</v>
      </c>
      <c r="D413" s="3" t="s">
        <v>1143</v>
      </c>
    </row>
    <row r="414" spans="1:4" x14ac:dyDescent="0.2">
      <c r="A414" s="1" t="s">
        <v>1082</v>
      </c>
      <c r="B414" s="3" t="s">
        <v>1141</v>
      </c>
      <c r="C414" s="3" t="s">
        <v>1142</v>
      </c>
      <c r="D414" s="3" t="s">
        <v>1143</v>
      </c>
    </row>
    <row r="415" spans="1:4" x14ac:dyDescent="0.2">
      <c r="A415" s="1" t="s">
        <v>1083</v>
      </c>
      <c r="B415" s="3" t="s">
        <v>1141</v>
      </c>
      <c r="C415" s="3" t="s">
        <v>1142</v>
      </c>
      <c r="D415" s="3" t="s">
        <v>1143</v>
      </c>
    </row>
    <row r="416" spans="1:4" x14ac:dyDescent="0.2">
      <c r="A416" s="1" t="s">
        <v>1084</v>
      </c>
      <c r="B416" s="3" t="s">
        <v>1141</v>
      </c>
      <c r="C416" s="3" t="s">
        <v>1142</v>
      </c>
      <c r="D416" s="3" t="s">
        <v>1143</v>
      </c>
    </row>
    <row r="417" spans="1:4" x14ac:dyDescent="0.2">
      <c r="A417" s="1" t="s">
        <v>1085</v>
      </c>
      <c r="B417" s="3" t="s">
        <v>1141</v>
      </c>
      <c r="C417" s="3" t="s">
        <v>1142</v>
      </c>
      <c r="D417" s="3" t="s">
        <v>1143</v>
      </c>
    </row>
    <row r="418" spans="1:4" x14ac:dyDescent="0.2">
      <c r="A418" s="1" t="s">
        <v>1086</v>
      </c>
      <c r="B418" s="3" t="s">
        <v>1141</v>
      </c>
      <c r="C418" s="3" t="s">
        <v>1142</v>
      </c>
      <c r="D418" s="3" t="s">
        <v>1143</v>
      </c>
    </row>
    <row r="419" spans="1:4" x14ac:dyDescent="0.2">
      <c r="A419" s="1" t="s">
        <v>1087</v>
      </c>
      <c r="B419" s="3" t="s">
        <v>1141</v>
      </c>
      <c r="C419" s="3" t="s">
        <v>1142</v>
      </c>
      <c r="D419" s="3" t="s">
        <v>1143</v>
      </c>
    </row>
    <row r="420" spans="1:4" x14ac:dyDescent="0.2">
      <c r="A420" s="10" t="s">
        <v>1088</v>
      </c>
      <c r="B420" s="3" t="s">
        <v>1141</v>
      </c>
      <c r="C420" s="3" t="s">
        <v>1142</v>
      </c>
      <c r="D420" s="3" t="s">
        <v>1143</v>
      </c>
    </row>
    <row r="421" spans="1:4" x14ac:dyDescent="0.2">
      <c r="A421" s="10" t="s">
        <v>1089</v>
      </c>
      <c r="B421" s="3" t="s">
        <v>1141</v>
      </c>
      <c r="C421" s="3" t="s">
        <v>1142</v>
      </c>
      <c r="D421" s="3" t="s">
        <v>1143</v>
      </c>
    </row>
    <row r="422" spans="1:4" x14ac:dyDescent="0.2">
      <c r="A422" s="1" t="s">
        <v>1090</v>
      </c>
      <c r="B422" s="3" t="s">
        <v>1141</v>
      </c>
      <c r="C422" s="3" t="s">
        <v>1142</v>
      </c>
      <c r="D422" s="3" t="s">
        <v>1143</v>
      </c>
    </row>
    <row r="423" spans="1:4" x14ac:dyDescent="0.2">
      <c r="A423" s="1" t="s">
        <v>1091</v>
      </c>
      <c r="B423" s="3" t="s">
        <v>1141</v>
      </c>
      <c r="C423" s="3" t="s">
        <v>1142</v>
      </c>
      <c r="D423" s="3" t="s">
        <v>1143</v>
      </c>
    </row>
    <row r="424" spans="1:4" x14ac:dyDescent="0.2">
      <c r="A424" s="1" t="s">
        <v>1092</v>
      </c>
      <c r="B424" s="3" t="s">
        <v>1141</v>
      </c>
      <c r="C424" s="3" t="s">
        <v>1142</v>
      </c>
      <c r="D424" s="3" t="s">
        <v>1143</v>
      </c>
    </row>
    <row r="425" spans="1:4" x14ac:dyDescent="0.2">
      <c r="A425" s="1" t="s">
        <v>1093</v>
      </c>
      <c r="B425" s="3" t="s">
        <v>1141</v>
      </c>
      <c r="C425" s="3" t="s">
        <v>1142</v>
      </c>
      <c r="D425" s="3" t="s">
        <v>1143</v>
      </c>
    </row>
    <row r="426" spans="1:4" x14ac:dyDescent="0.2">
      <c r="A426" s="1" t="s">
        <v>1094</v>
      </c>
      <c r="B426" s="3" t="s">
        <v>1141</v>
      </c>
      <c r="C426" s="3" t="s">
        <v>1142</v>
      </c>
      <c r="D426" s="3" t="s">
        <v>1143</v>
      </c>
    </row>
    <row r="427" spans="1:4" x14ac:dyDescent="0.2">
      <c r="A427" s="1" t="s">
        <v>1095</v>
      </c>
      <c r="B427" s="3" t="s">
        <v>1141</v>
      </c>
      <c r="C427" s="3" t="s">
        <v>1142</v>
      </c>
      <c r="D427" s="3" t="s">
        <v>1143</v>
      </c>
    </row>
    <row r="428" spans="1:4" x14ac:dyDescent="0.2">
      <c r="A428" s="1" t="s">
        <v>1096</v>
      </c>
      <c r="B428" s="3" t="s">
        <v>1141</v>
      </c>
      <c r="C428" s="3" t="s">
        <v>1142</v>
      </c>
      <c r="D428" s="3" t="s">
        <v>1143</v>
      </c>
    </row>
    <row r="429" spans="1:4" x14ac:dyDescent="0.2">
      <c r="A429" s="1" t="s">
        <v>1097</v>
      </c>
      <c r="B429" s="3" t="s">
        <v>1141</v>
      </c>
      <c r="C429" s="3" t="s">
        <v>1142</v>
      </c>
      <c r="D429" s="3" t="s">
        <v>1143</v>
      </c>
    </row>
    <row r="430" spans="1:4" x14ac:dyDescent="0.2">
      <c r="A430" s="1" t="s">
        <v>1098</v>
      </c>
      <c r="B430" s="3" t="s">
        <v>1141</v>
      </c>
      <c r="C430" s="3" t="s">
        <v>1142</v>
      </c>
      <c r="D430" s="3" t="s">
        <v>1143</v>
      </c>
    </row>
    <row r="431" spans="1:4" x14ac:dyDescent="0.2">
      <c r="A431" s="1" t="s">
        <v>1099</v>
      </c>
      <c r="B431" s="3" t="s">
        <v>1141</v>
      </c>
      <c r="C431" s="3" t="s">
        <v>1142</v>
      </c>
      <c r="D431" s="3" t="s">
        <v>1143</v>
      </c>
    </row>
    <row r="432" spans="1:4" x14ac:dyDescent="0.2">
      <c r="A432" s="1" t="s">
        <v>1100</v>
      </c>
      <c r="B432" s="3" t="s">
        <v>1141</v>
      </c>
      <c r="C432" s="3" t="s">
        <v>1142</v>
      </c>
      <c r="D432" s="3" t="s">
        <v>1143</v>
      </c>
    </row>
    <row r="433" spans="1:4" x14ac:dyDescent="0.2">
      <c r="A433" s="1" t="s">
        <v>1101</v>
      </c>
      <c r="B433" s="3" t="s">
        <v>1141</v>
      </c>
      <c r="C433" s="3" t="s">
        <v>1142</v>
      </c>
      <c r="D433" s="3" t="s">
        <v>1143</v>
      </c>
    </row>
    <row r="434" spans="1:4" x14ac:dyDescent="0.2">
      <c r="A434" s="1" t="s">
        <v>1102</v>
      </c>
      <c r="B434" s="3" t="s">
        <v>1141</v>
      </c>
      <c r="C434" s="3" t="s">
        <v>1142</v>
      </c>
      <c r="D434" s="3" t="s">
        <v>1143</v>
      </c>
    </row>
    <row r="435" spans="1:4" x14ac:dyDescent="0.2">
      <c r="A435" s="1" t="s">
        <v>1103</v>
      </c>
      <c r="B435" s="3" t="s">
        <v>1141</v>
      </c>
      <c r="C435" s="3" t="s">
        <v>1142</v>
      </c>
      <c r="D435" s="3" t="s">
        <v>1143</v>
      </c>
    </row>
    <row r="436" spans="1:4" x14ac:dyDescent="0.2">
      <c r="A436" s="1" t="s">
        <v>1104</v>
      </c>
      <c r="B436" s="3" t="s">
        <v>1141</v>
      </c>
      <c r="C436" s="3" t="s">
        <v>1142</v>
      </c>
      <c r="D436" s="3" t="s">
        <v>1143</v>
      </c>
    </row>
    <row r="437" spans="1:4" x14ac:dyDescent="0.2">
      <c r="A437" s="1" t="s">
        <v>1105</v>
      </c>
      <c r="B437" s="3" t="s">
        <v>1141</v>
      </c>
      <c r="C437" s="3" t="s">
        <v>1142</v>
      </c>
      <c r="D437" s="3" t="s">
        <v>1143</v>
      </c>
    </row>
    <row r="438" spans="1:4" x14ac:dyDescent="0.2">
      <c r="A438" s="10" t="s">
        <v>655</v>
      </c>
      <c r="B438" s="3" t="s">
        <v>1378</v>
      </c>
      <c r="C438" s="3" t="s">
        <v>1191</v>
      </c>
      <c r="D438" s="3" t="s">
        <v>1209</v>
      </c>
    </row>
  </sheetData>
  <sortState ref="A2:D438">
    <sortCondition ref="D2:D438"/>
  </sortState>
  <customSheetViews>
    <customSheetView guid="{3E3401AF-8459-8641-BD70-AD04F80E86ED}">
      <pane ySplit="1" topLeftCell="A291" activePane="bottomLeft" state="frozenSplit"/>
      <selection pane="bottomLeft" activeCell="T330" sqref="T330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05"/>
  <sheetViews>
    <sheetView zoomScale="136" zoomScaleNormal="136" zoomScalePageLayoutView="136" workbookViewId="0">
      <pane xSplit="2" ySplit="1" topLeftCell="C31" activePane="bottomRight" state="frozenSplit"/>
      <selection pane="topRight" activeCell="C1" sqref="C1"/>
      <selection pane="bottomLeft" activeCell="A2" sqref="A2"/>
      <selection pane="bottomRight" activeCell="A49" sqref="A1:A1048576"/>
    </sheetView>
  </sheetViews>
  <sheetFormatPr baseColWidth="10" defaultColWidth="11" defaultRowHeight="17" x14ac:dyDescent="0.25"/>
  <cols>
    <col min="1" max="1" width="22.6640625" style="1" customWidth="1"/>
    <col min="2" max="2" width="12.83203125" style="17" customWidth="1"/>
    <col min="3" max="3" width="5.83203125" style="17" customWidth="1"/>
    <col min="4" max="4" width="2.33203125" style="1" hidden="1" customWidth="1"/>
    <col min="5" max="6" width="9.1640625" style="1" hidden="1" customWidth="1"/>
    <col min="7" max="7" width="5" style="3" bestFit="1" customWidth="1"/>
    <col min="8" max="8" width="5.5" style="17" customWidth="1"/>
    <col min="9" max="9" width="3" style="3" customWidth="1"/>
    <col min="10" max="10" width="4.33203125" style="5" customWidth="1"/>
    <col min="11" max="11" width="1.83203125" style="1" customWidth="1"/>
    <col min="12" max="13" width="4.1640625" style="17" bestFit="1" customWidth="1"/>
    <col min="14" max="14" width="4.6640625" style="17" customWidth="1"/>
    <col min="15" max="15" width="2.1640625" style="1" customWidth="1"/>
    <col min="16" max="16" width="10.83203125" style="1" customWidth="1"/>
    <col min="17" max="17" width="39.6640625" style="47" bestFit="1" customWidth="1"/>
    <col min="18" max="18" width="4.1640625" style="27" customWidth="1"/>
    <col min="19" max="19" width="32.5" style="19" customWidth="1"/>
    <col min="20" max="20" width="7.5" style="5" bestFit="1" customWidth="1"/>
    <col min="21" max="21" width="7.5" style="4" bestFit="1" customWidth="1"/>
    <col min="22" max="22" width="7.5" style="1" bestFit="1" customWidth="1"/>
    <col min="23" max="24" width="8.1640625" style="1" bestFit="1" customWidth="1"/>
    <col min="25" max="25" width="8.1640625" style="1" customWidth="1"/>
    <col min="26" max="26" width="5.83203125" style="1" customWidth="1"/>
    <col min="27" max="29" width="11" style="1"/>
    <col min="30" max="30" width="6" style="1" bestFit="1" customWidth="1"/>
    <col min="31" max="33" width="4.1640625" style="1" bestFit="1" customWidth="1"/>
    <col min="34" max="34" width="6" style="1" bestFit="1" customWidth="1"/>
    <col min="35" max="36" width="11" style="1"/>
    <col min="37" max="38" width="3.33203125" style="1" bestFit="1" customWidth="1"/>
    <col min="39" max="16384" width="11" style="1"/>
  </cols>
  <sheetData>
    <row r="1" spans="1:38" s="13" customFormat="1" ht="18" thickBot="1" x14ac:dyDescent="0.3">
      <c r="A1" s="13" t="s">
        <v>1344</v>
      </c>
      <c r="B1" s="50" t="s">
        <v>205</v>
      </c>
      <c r="C1" s="50" t="s">
        <v>204</v>
      </c>
      <c r="D1" s="48" t="s">
        <v>292</v>
      </c>
      <c r="E1" s="48" t="s">
        <v>0</v>
      </c>
      <c r="F1" s="48" t="s">
        <v>1127</v>
      </c>
      <c r="G1" s="51" t="s">
        <v>1215</v>
      </c>
      <c r="H1" s="50" t="s">
        <v>1</v>
      </c>
      <c r="I1" s="49" t="s">
        <v>1304</v>
      </c>
      <c r="J1" s="52" t="s">
        <v>1216</v>
      </c>
      <c r="K1" s="14" t="s">
        <v>1220</v>
      </c>
      <c r="L1" s="13" t="s">
        <v>1224</v>
      </c>
      <c r="M1" s="13" t="s">
        <v>2</v>
      </c>
      <c r="N1" s="13" t="s">
        <v>1307</v>
      </c>
      <c r="O1" s="14" t="s">
        <v>1220</v>
      </c>
      <c r="P1" s="61" t="s">
        <v>1306</v>
      </c>
      <c r="Q1" s="46" t="s">
        <v>1225</v>
      </c>
      <c r="R1" s="18" t="s">
        <v>2</v>
      </c>
      <c r="S1" s="18" t="s">
        <v>1226</v>
      </c>
      <c r="T1" s="15" t="s">
        <v>3</v>
      </c>
      <c r="U1" s="13" t="s">
        <v>4</v>
      </c>
      <c r="V1" s="13" t="s">
        <v>5</v>
      </c>
      <c r="W1" s="13" t="s">
        <v>6</v>
      </c>
      <c r="X1" s="13" t="s">
        <v>7</v>
      </c>
      <c r="Y1" s="13" t="s">
        <v>8</v>
      </c>
      <c r="Z1" s="13" t="s">
        <v>293</v>
      </c>
      <c r="AD1" s="13" t="s">
        <v>1308</v>
      </c>
      <c r="AE1" s="13" t="s">
        <v>1309</v>
      </c>
      <c r="AF1" s="13" t="s">
        <v>1310</v>
      </c>
      <c r="AG1" s="13" t="s">
        <v>1311</v>
      </c>
      <c r="AH1" s="13" t="s">
        <v>1312</v>
      </c>
      <c r="AK1" s="14" t="s">
        <v>1366</v>
      </c>
      <c r="AL1" s="13" t="s">
        <v>1365</v>
      </c>
    </row>
    <row r="2" spans="1:38" s="23" customFormat="1" ht="18" thickTop="1" x14ac:dyDescent="0.25">
      <c r="A2" s="1" t="str">
        <f t="shared" ref="A2:A65" si="0">CONCATENATE(B2,"_",C2,"_",H2)</f>
        <v>5ht2b_human__wt_TM1</v>
      </c>
      <c r="B2" s="45" t="s">
        <v>209</v>
      </c>
      <c r="C2" s="45" t="s">
        <v>294</v>
      </c>
      <c r="D2" s="4" t="str">
        <f>VLOOKUP(B2,Classification!A:D,2,FALSE)</f>
        <v>A</v>
      </c>
      <c r="E2" s="4" t="str">
        <f>VLOOKUP(B2,Classification!A:D,3,FALSE)</f>
        <v>Aminergic</v>
      </c>
      <c r="F2" s="4" t="str">
        <f>VLOOKUP(B2,Classification!A:D,4,FALSE)</f>
        <v>5-Hydroxytryptamine</v>
      </c>
      <c r="G2" s="2">
        <v>1</v>
      </c>
      <c r="H2" s="45" t="s">
        <v>11</v>
      </c>
      <c r="I2" s="2" t="s">
        <v>1223</v>
      </c>
      <c r="J2" s="5" t="str">
        <f>VLOOKUP(B2,Seqs!A:B,2,FALSE)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2" s="4" t="str">
        <f t="shared" ref="K2:K65" si="1">MID(J2,L2,1)</f>
        <v>L</v>
      </c>
      <c r="L2" s="45">
        <f>VLOOKUP(B2,'NonXtal_SegEnds_Prot#'!A:AL,3,FALSE)</f>
        <v>54</v>
      </c>
      <c r="M2" s="45">
        <f>VLOOKUP(B2,'NonXtal_SegEnds_Prot#'!A:AL,4,FALSE)</f>
        <v>72</v>
      </c>
      <c r="N2" s="45">
        <f>VLOOKUP(B2,'NonXtal_SegEnds_Prot#'!A:AL,5,FALSE)</f>
        <v>82</v>
      </c>
      <c r="O2" s="4" t="str">
        <f t="shared" ref="O2:O65" si="2">MID(J2,N2,1)</f>
        <v>E</v>
      </c>
      <c r="P2" s="4"/>
      <c r="Q2" s="47" t="str">
        <f t="shared" ref="Q2:Q65" si="3">MID(J2,L2,M2-L2)</f>
        <v>LHWAALLILMVIIPTIGG</v>
      </c>
      <c r="R2" s="27" t="str">
        <f t="shared" ref="R2:R65" si="4">MID(J2,M2,1)</f>
        <v>N</v>
      </c>
      <c r="S2" s="19" t="str">
        <f t="shared" ref="S2:S65" si="5">MID(J2,M2+1,N2-M2)</f>
        <v>TLVILAVSLE</v>
      </c>
      <c r="T2" s="5" t="s">
        <v>56</v>
      </c>
      <c r="U2" s="4"/>
      <c r="V2" s="1"/>
      <c r="W2" s="1"/>
      <c r="X2" s="1"/>
      <c r="Y2" s="1"/>
      <c r="Z2" s="4"/>
      <c r="AA2" s="1"/>
      <c r="AB2" s="1"/>
      <c r="AC2" s="1"/>
      <c r="AD2" s="1" t="s">
        <v>12</v>
      </c>
      <c r="AE2" s="1">
        <v>54</v>
      </c>
      <c r="AF2" s="1">
        <v>72</v>
      </c>
      <c r="AG2" s="1">
        <v>82</v>
      </c>
      <c r="AH2" s="1" t="s">
        <v>13</v>
      </c>
      <c r="AI2" s="1"/>
      <c r="AJ2" s="1"/>
      <c r="AK2" s="4">
        <v>29</v>
      </c>
      <c r="AL2" s="4">
        <v>60</v>
      </c>
    </row>
    <row r="3" spans="1:38" s="23" customFormat="1" x14ac:dyDescent="0.25">
      <c r="A3" s="1" t="str">
        <f t="shared" si="0"/>
        <v>5ht2b_human_4IB4_TM1</v>
      </c>
      <c r="B3" s="45" t="s">
        <v>209</v>
      </c>
      <c r="C3" s="45" t="s">
        <v>261</v>
      </c>
      <c r="D3" s="4" t="str">
        <f>VLOOKUP(B3,Classification!A:D,2,FALSE)</f>
        <v>A</v>
      </c>
      <c r="E3" s="4" t="str">
        <f>VLOOKUP(B3,Classification!A:D,3,FALSE)</f>
        <v>Aminergic</v>
      </c>
      <c r="F3" s="4" t="str">
        <f>VLOOKUP(B3,Classification!A:D,4,FALSE)</f>
        <v>5-Hydroxytryptamine</v>
      </c>
      <c r="G3" s="2">
        <v>1</v>
      </c>
      <c r="H3" s="45" t="s">
        <v>11</v>
      </c>
      <c r="I3" s="2" t="s">
        <v>1223</v>
      </c>
      <c r="J3" s="5" t="str">
        <f>VLOOKUP(B3,Seqs!A:B,2,FALSE)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3" s="4" t="str">
        <f t="shared" si="1"/>
        <v>L</v>
      </c>
      <c r="L3" s="45">
        <f>VLOOKUP(B3,'NonXtal_SegEnds_Prot#'!A:AL,3,FALSE)</f>
        <v>54</v>
      </c>
      <c r="M3" s="45">
        <f>VLOOKUP(B3,'NonXtal_SegEnds_Prot#'!A:AL,4,FALSE)</f>
        <v>72</v>
      </c>
      <c r="N3" s="45">
        <f>VLOOKUP(B3,'NonXtal_SegEnds_Prot#'!A:AL,5,FALSE)</f>
        <v>82</v>
      </c>
      <c r="O3" s="4" t="str">
        <f t="shared" si="2"/>
        <v>E</v>
      </c>
      <c r="P3" s="4"/>
      <c r="Q3" s="47" t="str">
        <f t="shared" si="3"/>
        <v>LHWAALLILMVIIPTIGG</v>
      </c>
      <c r="R3" s="28" t="str">
        <f t="shared" si="4"/>
        <v>N</v>
      </c>
      <c r="S3" s="20" t="str">
        <f t="shared" si="5"/>
        <v>TLVILAVSLE</v>
      </c>
      <c r="T3" s="5" t="s">
        <v>56</v>
      </c>
      <c r="U3" s="4"/>
      <c r="V3" s="1"/>
      <c r="W3" s="1"/>
      <c r="X3" s="1"/>
      <c r="Y3" s="1"/>
      <c r="Z3" s="4"/>
      <c r="AA3" s="1"/>
      <c r="AB3" s="1"/>
      <c r="AC3" s="1"/>
      <c r="AD3" s="1" t="s">
        <v>55</v>
      </c>
      <c r="AE3" s="1">
        <v>54</v>
      </c>
      <c r="AF3" s="1">
        <v>72</v>
      </c>
      <c r="AG3" s="1">
        <v>82</v>
      </c>
      <c r="AH3" s="1" t="s">
        <v>13</v>
      </c>
      <c r="AI3" s="1"/>
      <c r="AJ3" s="1"/>
      <c r="AK3" s="4">
        <v>33</v>
      </c>
      <c r="AL3" s="4">
        <v>60</v>
      </c>
    </row>
    <row r="4" spans="1:38" s="23" customFormat="1" x14ac:dyDescent="0.25">
      <c r="A4" s="1" t="str">
        <f t="shared" si="0"/>
        <v>AA2AR_human__wt_ECL1</v>
      </c>
      <c r="B4" s="45" t="s">
        <v>210</v>
      </c>
      <c r="C4" s="45" t="s">
        <v>294</v>
      </c>
      <c r="D4" s="4" t="str">
        <f>VLOOKUP(B4,Classification!A:D,2,FALSE)</f>
        <v>A</v>
      </c>
      <c r="E4" s="4" t="str">
        <f>VLOOKUP(B4,Classification!A:D,3,FALSE)</f>
        <v>Nucleotide</v>
      </c>
      <c r="F4" s="4" t="str">
        <f>VLOOKUP(B4,Classification!A:D,4,FALSE)</f>
        <v>Adenosine</v>
      </c>
      <c r="G4" s="2">
        <v>4</v>
      </c>
      <c r="H4" s="45" t="s">
        <v>21</v>
      </c>
      <c r="I4" s="2" t="s">
        <v>67</v>
      </c>
      <c r="J4" s="5" t="str">
        <f>VLOOKUP(B4,Seqs!A:B,2,FALSE)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4" s="4" t="str">
        <f t="shared" si="1"/>
        <v>F</v>
      </c>
      <c r="L4" s="45">
        <f>VLOOKUP(B4,'NonXtal_SegEnds_Prot#'!A:AL,12,FALSE)</f>
        <v>70</v>
      </c>
      <c r="M4" s="45">
        <f>VLOOKUP(B4,'NonXtal_SegEnds_Prot#'!A:AL,13,FALSE)</f>
        <v>70</v>
      </c>
      <c r="N4" s="45">
        <f>VLOOKUP(B4,'NonXtal_SegEnds_Prot#'!A:AL,14,FALSE)</f>
        <v>72</v>
      </c>
      <c r="O4" s="4" t="str">
        <f t="shared" si="2"/>
        <v>A</v>
      </c>
      <c r="P4" s="4"/>
      <c r="Q4" s="47" t="str">
        <f t="shared" si="3"/>
        <v/>
      </c>
      <c r="R4" s="27" t="str">
        <f t="shared" si="4"/>
        <v>F</v>
      </c>
      <c r="S4" s="19" t="str">
        <f t="shared" si="5"/>
        <v>CA</v>
      </c>
      <c r="T4" s="4"/>
      <c r="V4" s="1"/>
      <c r="W4" s="1"/>
      <c r="X4" s="1"/>
      <c r="Y4" s="1"/>
      <c r="Z4" s="4" t="s">
        <v>64</v>
      </c>
      <c r="AA4" s="1"/>
      <c r="AB4" s="1"/>
      <c r="AC4" s="1"/>
      <c r="AD4" s="1" t="s">
        <v>23</v>
      </c>
      <c r="AE4" s="1">
        <v>69</v>
      </c>
      <c r="AF4" s="1">
        <v>70</v>
      </c>
      <c r="AG4" s="1">
        <v>73</v>
      </c>
      <c r="AH4" s="1" t="s">
        <v>24</v>
      </c>
      <c r="AI4" s="1"/>
      <c r="AJ4" s="1"/>
      <c r="AK4" s="4">
        <v>48</v>
      </c>
      <c r="AL4" s="4">
        <v>53</v>
      </c>
    </row>
    <row r="5" spans="1:38" s="23" customFormat="1" x14ac:dyDescent="0.25">
      <c r="A5" s="1" t="str">
        <f t="shared" si="0"/>
        <v>AA2AR_human_2YDV_ECL1</v>
      </c>
      <c r="B5" s="45" t="s">
        <v>210</v>
      </c>
      <c r="C5" s="45" t="s">
        <v>271</v>
      </c>
      <c r="D5" s="4" t="str">
        <f>VLOOKUP(B5,Classification!A:D,2,FALSE)</f>
        <v>A</v>
      </c>
      <c r="E5" s="4" t="str">
        <f>VLOOKUP(B5,Classification!A:D,3,FALSE)</f>
        <v>Nucleotide</v>
      </c>
      <c r="F5" s="4" t="str">
        <f>VLOOKUP(B5,Classification!A:D,4,FALSE)</f>
        <v>Adenosine</v>
      </c>
      <c r="G5" s="2">
        <v>4</v>
      </c>
      <c r="H5" s="45" t="s">
        <v>21</v>
      </c>
      <c r="I5" s="2" t="s">
        <v>67</v>
      </c>
      <c r="J5" s="5" t="str">
        <f>VLOOKUP(B5,Seqs!A:B,2,FALSE)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" s="4" t="str">
        <f t="shared" si="1"/>
        <v>F</v>
      </c>
      <c r="L5" s="45">
        <f>VLOOKUP(B5,'NonXtal_SegEnds_Prot#'!A:AL,12,FALSE)</f>
        <v>70</v>
      </c>
      <c r="M5" s="45">
        <f>VLOOKUP(B5,'NonXtal_SegEnds_Prot#'!A:AL,13,FALSE)</f>
        <v>70</v>
      </c>
      <c r="N5" s="45">
        <f>VLOOKUP(B5,'NonXtal_SegEnds_Prot#'!A:AL,14,FALSE)</f>
        <v>72</v>
      </c>
      <c r="O5" s="4" t="str">
        <f t="shared" si="2"/>
        <v>A</v>
      </c>
      <c r="P5" s="4"/>
      <c r="Q5" s="47" t="str">
        <f t="shared" si="3"/>
        <v/>
      </c>
      <c r="R5" s="27" t="str">
        <f t="shared" si="4"/>
        <v>F</v>
      </c>
      <c r="S5" s="19" t="str">
        <f t="shared" si="5"/>
        <v>CA</v>
      </c>
      <c r="T5" s="4"/>
      <c r="V5" s="1"/>
      <c r="W5" s="1"/>
      <c r="X5" s="1"/>
      <c r="Y5" s="1"/>
      <c r="Z5" s="4" t="s">
        <v>64</v>
      </c>
      <c r="AA5" s="1"/>
      <c r="AB5" s="1"/>
      <c r="AC5" s="1"/>
      <c r="AD5" s="1" t="s">
        <v>23</v>
      </c>
      <c r="AE5" s="1">
        <v>69</v>
      </c>
      <c r="AF5" s="1">
        <v>70</v>
      </c>
      <c r="AG5" s="1">
        <v>73</v>
      </c>
      <c r="AH5" s="1" t="s">
        <v>24</v>
      </c>
      <c r="AI5" s="1"/>
      <c r="AJ5" s="1"/>
      <c r="AK5" s="4">
        <v>48</v>
      </c>
      <c r="AL5" s="4">
        <v>53</v>
      </c>
    </row>
    <row r="6" spans="1:38" s="23" customFormat="1" x14ac:dyDescent="0.25">
      <c r="A6" s="1" t="str">
        <f t="shared" si="0"/>
        <v>AA2AR_human_3REY_ECL1</v>
      </c>
      <c r="B6" s="45" t="s">
        <v>210</v>
      </c>
      <c r="C6" s="45" t="s">
        <v>275</v>
      </c>
      <c r="D6" s="4" t="str">
        <f>VLOOKUP(B6,Classification!A:D,2,FALSE)</f>
        <v>A</v>
      </c>
      <c r="E6" s="4" t="str">
        <f>VLOOKUP(B6,Classification!A:D,3,FALSE)</f>
        <v>Nucleotide</v>
      </c>
      <c r="F6" s="4" t="str">
        <f>VLOOKUP(B6,Classification!A:D,4,FALSE)</f>
        <v>Adenosine</v>
      </c>
      <c r="G6" s="2">
        <v>4</v>
      </c>
      <c r="H6" s="45" t="s">
        <v>21</v>
      </c>
      <c r="I6" s="2" t="s">
        <v>67</v>
      </c>
      <c r="J6" s="5" t="str">
        <f>VLOOKUP(B6,Seqs!A:B,2,FALSE)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" s="4" t="str">
        <f t="shared" si="1"/>
        <v>F</v>
      </c>
      <c r="L6" s="45">
        <f>VLOOKUP(B6,'NonXtal_SegEnds_Prot#'!A:AL,12,FALSE)</f>
        <v>70</v>
      </c>
      <c r="M6" s="45">
        <f>VLOOKUP(B6,'NonXtal_SegEnds_Prot#'!A:AL,13,FALSE)</f>
        <v>70</v>
      </c>
      <c r="N6" s="45">
        <f>VLOOKUP(B6,'NonXtal_SegEnds_Prot#'!A:AL,14,FALSE)</f>
        <v>72</v>
      </c>
      <c r="O6" s="4" t="str">
        <f t="shared" si="2"/>
        <v>A</v>
      </c>
      <c r="P6" s="4"/>
      <c r="Q6" s="47" t="str">
        <f t="shared" si="3"/>
        <v/>
      </c>
      <c r="R6" s="27" t="str">
        <f t="shared" si="4"/>
        <v>F</v>
      </c>
      <c r="S6" s="19" t="str">
        <f t="shared" si="5"/>
        <v>CA</v>
      </c>
      <c r="T6" s="4"/>
      <c r="V6" s="1"/>
      <c r="W6" s="1"/>
      <c r="X6" s="1"/>
      <c r="Y6" s="1"/>
      <c r="Z6" s="4" t="s">
        <v>78</v>
      </c>
      <c r="AA6" s="1"/>
      <c r="AB6" s="1"/>
      <c r="AC6" s="1"/>
      <c r="AD6" s="1" t="s">
        <v>23</v>
      </c>
      <c r="AE6" s="1">
        <v>69</v>
      </c>
      <c r="AF6" s="1">
        <v>70</v>
      </c>
      <c r="AG6" s="1">
        <v>73</v>
      </c>
      <c r="AH6" s="1" t="s">
        <v>24</v>
      </c>
      <c r="AI6" s="1"/>
      <c r="AJ6" s="1"/>
      <c r="AK6" s="4">
        <v>48</v>
      </c>
      <c r="AL6" s="4">
        <v>53</v>
      </c>
    </row>
    <row r="7" spans="1:38" s="23" customFormat="1" x14ac:dyDescent="0.25">
      <c r="A7" s="1" t="str">
        <f t="shared" si="0"/>
        <v>AA2AR_human_4EIY_ECL1</v>
      </c>
      <c r="B7" s="45" t="s">
        <v>210</v>
      </c>
      <c r="C7" s="45" t="s">
        <v>272</v>
      </c>
      <c r="D7" s="4" t="str">
        <f>VLOOKUP(B7,Classification!A:D,2,FALSE)</f>
        <v>A</v>
      </c>
      <c r="E7" s="4" t="str">
        <f>VLOOKUP(B7,Classification!A:D,3,FALSE)</f>
        <v>Nucleotide</v>
      </c>
      <c r="F7" s="4" t="str">
        <f>VLOOKUP(B7,Classification!A:D,4,FALSE)</f>
        <v>Adenosine</v>
      </c>
      <c r="G7" s="2">
        <v>4</v>
      </c>
      <c r="H7" s="45" t="s">
        <v>21</v>
      </c>
      <c r="I7" s="2" t="s">
        <v>67</v>
      </c>
      <c r="J7" s="5" t="str">
        <f>VLOOKUP(B7,Seqs!A:B,2,FALSE)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" s="4" t="str">
        <f t="shared" si="1"/>
        <v>F</v>
      </c>
      <c r="L7" s="45">
        <f>VLOOKUP(B7,'NonXtal_SegEnds_Prot#'!A:AL,12,FALSE)</f>
        <v>70</v>
      </c>
      <c r="M7" s="45">
        <f>VLOOKUP(B7,'NonXtal_SegEnds_Prot#'!A:AL,13,FALSE)</f>
        <v>70</v>
      </c>
      <c r="N7" s="45">
        <f>VLOOKUP(B7,'NonXtal_SegEnds_Prot#'!A:AL,14,FALSE)</f>
        <v>72</v>
      </c>
      <c r="O7" s="4" t="str">
        <f t="shared" si="2"/>
        <v>A</v>
      </c>
      <c r="P7" s="4"/>
      <c r="Q7" s="47" t="str">
        <f t="shared" si="3"/>
        <v/>
      </c>
      <c r="R7" s="27" t="str">
        <f t="shared" si="4"/>
        <v>F</v>
      </c>
      <c r="S7" s="19" t="str">
        <f t="shared" si="5"/>
        <v>CA</v>
      </c>
      <c r="T7" s="4"/>
      <c r="V7" s="1"/>
      <c r="W7" s="1"/>
      <c r="X7" s="1"/>
      <c r="Y7" s="1"/>
      <c r="Z7" s="4"/>
      <c r="AA7" s="1"/>
      <c r="AB7" s="1"/>
      <c r="AC7" s="1"/>
      <c r="AD7" s="1" t="s">
        <v>23</v>
      </c>
      <c r="AE7" s="1">
        <v>69</v>
      </c>
      <c r="AF7" s="1">
        <v>70</v>
      </c>
      <c r="AG7" s="1">
        <v>73</v>
      </c>
      <c r="AH7" s="1" t="s">
        <v>24</v>
      </c>
      <c r="AI7" s="1"/>
      <c r="AJ7" s="1"/>
      <c r="AK7" s="4">
        <v>48</v>
      </c>
      <c r="AL7" s="4">
        <v>53</v>
      </c>
    </row>
    <row r="8" spans="1:38" s="23" customFormat="1" x14ac:dyDescent="0.25">
      <c r="A8" s="1" t="str">
        <f t="shared" si="0"/>
        <v>LPAR1_human__wt_ECL1</v>
      </c>
      <c r="B8" s="45" t="s">
        <v>214</v>
      </c>
      <c r="C8" s="45" t="s">
        <v>294</v>
      </c>
      <c r="D8" s="4" t="str">
        <f>VLOOKUP(B8,Classification!A:D,2,FALSE)</f>
        <v>A</v>
      </c>
      <c r="E8" s="4" t="str">
        <f>VLOOKUP(B8,Classification!A:D,3,FALSE)</f>
        <v>Lipid</v>
      </c>
      <c r="F8" s="4" t="str">
        <f>VLOOKUP(B8,Classification!A:D,4,FALSE)</f>
        <v>Lysophospholipid(LPA)</v>
      </c>
      <c r="G8" s="2">
        <v>4</v>
      </c>
      <c r="H8" s="45" t="s">
        <v>21</v>
      </c>
      <c r="I8" s="2" t="s">
        <v>1221</v>
      </c>
      <c r="J8" s="5" t="str">
        <f>VLOOKUP(B8,Seqs!A:B,2,FALSE)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8" s="4" t="str">
        <f t="shared" si="1"/>
        <v>G</v>
      </c>
      <c r="L8" s="45">
        <f>VLOOKUP(B8,'NonXtal_SegEnds_Prot#'!A:AL,12,FALSE)</f>
        <v>110</v>
      </c>
      <c r="M8" s="45">
        <f>VLOOKUP(B8,'NonXtal_SegEnds_Prot#'!A:AL,13,FALSE)</f>
        <v>113</v>
      </c>
      <c r="N8" s="45">
        <f>VLOOKUP(B8,'NonXtal_SegEnds_Prot#'!A:AL,14,FALSE)</f>
        <v>116</v>
      </c>
      <c r="O8" s="4" t="str">
        <f t="shared" si="2"/>
        <v>L</v>
      </c>
      <c r="P8" s="4"/>
      <c r="Q8" s="47" t="str">
        <f t="shared" si="3"/>
        <v>GPN</v>
      </c>
      <c r="R8" s="27" t="str">
        <f t="shared" si="4"/>
        <v>T</v>
      </c>
      <c r="S8" s="19" t="str">
        <f t="shared" si="5"/>
        <v>RRL</v>
      </c>
      <c r="T8" s="5" t="s">
        <v>125</v>
      </c>
      <c r="U8" s="4"/>
      <c r="V8" s="1"/>
      <c r="W8" s="1"/>
      <c r="X8" s="1"/>
      <c r="Y8" s="1"/>
      <c r="Z8" s="4"/>
      <c r="AA8" s="1"/>
      <c r="AB8" s="1"/>
      <c r="AC8" s="1"/>
      <c r="AD8" s="1" t="s">
        <v>124</v>
      </c>
      <c r="AE8" s="1">
        <v>110</v>
      </c>
      <c r="AF8" s="1">
        <v>113</v>
      </c>
      <c r="AG8" s="1">
        <v>117</v>
      </c>
      <c r="AH8" s="1" t="s">
        <v>24</v>
      </c>
      <c r="AI8" s="1"/>
      <c r="AJ8" s="1"/>
      <c r="AK8" s="4">
        <v>47</v>
      </c>
      <c r="AL8" s="4">
        <v>53</v>
      </c>
    </row>
    <row r="9" spans="1:38" s="23" customFormat="1" x14ac:dyDescent="0.25">
      <c r="A9" s="1" t="str">
        <f t="shared" si="0"/>
        <v>LPAR1_human_4Z35_ECL1</v>
      </c>
      <c r="B9" s="45" t="s">
        <v>214</v>
      </c>
      <c r="C9" s="45" t="s">
        <v>281</v>
      </c>
      <c r="D9" s="4" t="str">
        <f>VLOOKUP(B9,Classification!A:D,2,FALSE)</f>
        <v>A</v>
      </c>
      <c r="E9" s="4" t="str">
        <f>VLOOKUP(B9,Classification!A:D,3,FALSE)</f>
        <v>Lipid</v>
      </c>
      <c r="F9" s="4" t="str">
        <f>VLOOKUP(B9,Classification!A:D,4,FALSE)</f>
        <v>Lysophospholipid(LPA)</v>
      </c>
      <c r="G9" s="2">
        <v>4</v>
      </c>
      <c r="H9" s="45" t="s">
        <v>21</v>
      </c>
      <c r="I9" s="2" t="s">
        <v>1221</v>
      </c>
      <c r="J9" s="5" t="str">
        <f>VLOOKUP(B9,Seqs!A:B,2,FALSE)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" s="4" t="str">
        <f t="shared" si="1"/>
        <v>G</v>
      </c>
      <c r="L9" s="45">
        <f>VLOOKUP(B9,'NonXtal_SegEnds_Prot#'!A:AL,12,FALSE)</f>
        <v>110</v>
      </c>
      <c r="M9" s="45">
        <f>VLOOKUP(B9,'NonXtal_SegEnds_Prot#'!A:AL,13,FALSE)</f>
        <v>113</v>
      </c>
      <c r="N9" s="45">
        <f>VLOOKUP(B9,'NonXtal_SegEnds_Prot#'!A:AL,14,FALSE)</f>
        <v>116</v>
      </c>
      <c r="O9" s="4" t="str">
        <f t="shared" si="2"/>
        <v>L</v>
      </c>
      <c r="P9" s="4"/>
      <c r="Q9" s="47" t="str">
        <f t="shared" si="3"/>
        <v>GPN</v>
      </c>
      <c r="R9" s="27" t="str">
        <f t="shared" si="4"/>
        <v>T</v>
      </c>
      <c r="S9" s="19" t="str">
        <f t="shared" si="5"/>
        <v>RRL</v>
      </c>
      <c r="T9" s="5" t="s">
        <v>125</v>
      </c>
      <c r="U9" s="4"/>
      <c r="V9" s="1"/>
      <c r="W9" s="1"/>
      <c r="X9" s="1"/>
      <c r="Y9" s="1"/>
      <c r="Z9" s="4"/>
      <c r="AA9" s="1"/>
      <c r="AB9" s="1"/>
      <c r="AC9" s="1"/>
      <c r="AD9" s="1" t="s">
        <v>124</v>
      </c>
      <c r="AE9" s="1">
        <v>110</v>
      </c>
      <c r="AF9" s="1">
        <v>113</v>
      </c>
      <c r="AG9" s="1">
        <v>117</v>
      </c>
      <c r="AH9" s="1" t="s">
        <v>24</v>
      </c>
      <c r="AI9" s="1"/>
      <c r="AJ9" s="1"/>
      <c r="AK9" s="4">
        <v>47</v>
      </c>
      <c r="AL9" s="4">
        <v>53</v>
      </c>
    </row>
    <row r="10" spans="1:38" s="23" customFormat="1" x14ac:dyDescent="0.25">
      <c r="A10" s="1" t="str">
        <f t="shared" si="0"/>
        <v>S1PR1_human__wt_ECL1</v>
      </c>
      <c r="B10" s="45" t="s">
        <v>217</v>
      </c>
      <c r="C10" s="45" t="s">
        <v>294</v>
      </c>
      <c r="D10" s="4" t="str">
        <f>VLOOKUP(B10,Classification!A:D,2,FALSE)</f>
        <v>A</v>
      </c>
      <c r="E10" s="4" t="str">
        <f>VLOOKUP(B10,Classification!A:D,3,FALSE)</f>
        <v>Lipid</v>
      </c>
      <c r="F10" s="4" t="str">
        <f>VLOOKUP(B10,Classification!A:D,4,FALSE)</f>
        <v>Lysophospholipid(S1P)</v>
      </c>
      <c r="G10" s="2">
        <v>4</v>
      </c>
      <c r="H10" s="45" t="s">
        <v>21</v>
      </c>
      <c r="I10" s="2" t="s">
        <v>1221</v>
      </c>
      <c r="J10" s="5" t="str">
        <f>VLOOKUP(B10,Seqs!A:B,2,FALSE)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" s="4" t="str">
        <f t="shared" si="1"/>
        <v>G</v>
      </c>
      <c r="L10" s="45">
        <f>VLOOKUP(B10,'NonXtal_SegEnds_Prot#'!A:AL,12,FALSE)</f>
        <v>106</v>
      </c>
      <c r="M10" s="45">
        <f>VLOOKUP(B10,'NonXtal_SegEnds_Prot#'!A:AL,13,FALSE)</f>
        <v>109</v>
      </c>
      <c r="N10" s="45">
        <f>VLOOKUP(B10,'NonXtal_SegEnds_Prot#'!A:AL,14,FALSE)</f>
        <v>112</v>
      </c>
      <c r="O10" s="4" t="str">
        <f t="shared" si="2"/>
        <v>L</v>
      </c>
      <c r="P10" s="4"/>
      <c r="Q10" s="47" t="str">
        <f t="shared" si="3"/>
        <v>GAT</v>
      </c>
      <c r="R10" s="27" t="str">
        <f t="shared" si="4"/>
        <v>T</v>
      </c>
      <c r="S10" s="19" t="str">
        <f t="shared" si="5"/>
        <v>YKL</v>
      </c>
      <c r="T10" s="5" t="s">
        <v>125</v>
      </c>
      <c r="U10" s="4"/>
      <c r="V10" s="1"/>
      <c r="W10" s="1"/>
      <c r="X10" s="1"/>
      <c r="Y10" s="1"/>
      <c r="Z10" s="4"/>
      <c r="AA10" s="1"/>
      <c r="AB10" s="1"/>
      <c r="AC10" s="1"/>
      <c r="AD10" s="1" t="s">
        <v>124</v>
      </c>
      <c r="AE10" s="1">
        <v>106</v>
      </c>
      <c r="AF10" s="1">
        <v>109</v>
      </c>
      <c r="AG10" s="1">
        <v>113</v>
      </c>
      <c r="AH10" s="1" t="s">
        <v>24</v>
      </c>
      <c r="AI10" s="1"/>
      <c r="AJ10" s="1"/>
      <c r="AK10" s="4">
        <v>47</v>
      </c>
      <c r="AL10" s="4">
        <v>53</v>
      </c>
    </row>
    <row r="11" spans="1:38" s="23" customFormat="1" x14ac:dyDescent="0.25">
      <c r="A11" s="1" t="str">
        <f t="shared" si="0"/>
        <v>S1PR1_human_3V2Y_ECL1</v>
      </c>
      <c r="B11" s="45" t="s">
        <v>217</v>
      </c>
      <c r="C11" s="45" t="s">
        <v>286</v>
      </c>
      <c r="D11" s="4" t="str">
        <f>VLOOKUP(B11,Classification!A:D,2,FALSE)</f>
        <v>A</v>
      </c>
      <c r="E11" s="4" t="str">
        <f>VLOOKUP(B11,Classification!A:D,3,FALSE)</f>
        <v>Lipid</v>
      </c>
      <c r="F11" s="4" t="str">
        <f>VLOOKUP(B11,Classification!A:D,4,FALSE)</f>
        <v>Lysophospholipid(S1P)</v>
      </c>
      <c r="G11" s="2">
        <v>4</v>
      </c>
      <c r="H11" s="45" t="s">
        <v>21</v>
      </c>
      <c r="I11" s="2" t="s">
        <v>1221</v>
      </c>
      <c r="J11" s="5" t="str">
        <f>VLOOKUP(B11,Seqs!A:B,2,FALSE)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1" s="4" t="str">
        <f t="shared" si="1"/>
        <v>G</v>
      </c>
      <c r="L11" s="45">
        <f>VLOOKUP(B11,'NonXtal_SegEnds_Prot#'!A:AL,12,FALSE)</f>
        <v>106</v>
      </c>
      <c r="M11" s="45">
        <f>VLOOKUP(B11,'NonXtal_SegEnds_Prot#'!A:AL,13,FALSE)</f>
        <v>109</v>
      </c>
      <c r="N11" s="45">
        <f>VLOOKUP(B11,'NonXtal_SegEnds_Prot#'!A:AL,14,FALSE)</f>
        <v>112</v>
      </c>
      <c r="O11" s="4" t="str">
        <f t="shared" si="2"/>
        <v>L</v>
      </c>
      <c r="P11" s="4"/>
      <c r="Q11" s="47" t="str">
        <f t="shared" si="3"/>
        <v>GAT</v>
      </c>
      <c r="R11" s="27" t="str">
        <f t="shared" si="4"/>
        <v>T</v>
      </c>
      <c r="S11" s="19" t="str">
        <f t="shared" si="5"/>
        <v>YKL</v>
      </c>
      <c r="T11" s="5" t="s">
        <v>125</v>
      </c>
      <c r="U11" s="4"/>
      <c r="V11" s="1"/>
      <c r="W11" s="1"/>
      <c r="X11" s="1"/>
      <c r="Y11" s="1"/>
      <c r="Z11" s="4"/>
      <c r="AA11" s="1"/>
      <c r="AB11" s="1"/>
      <c r="AC11" s="1"/>
      <c r="AD11" s="1" t="s">
        <v>124</v>
      </c>
      <c r="AE11" s="1">
        <v>106</v>
      </c>
      <c r="AF11" s="1">
        <v>109</v>
      </c>
      <c r="AG11" s="1">
        <v>113</v>
      </c>
      <c r="AH11" s="1" t="s">
        <v>24</v>
      </c>
      <c r="AI11" s="1"/>
      <c r="AJ11" s="1"/>
      <c r="AK11" s="4">
        <v>47</v>
      </c>
      <c r="AL11" s="4">
        <v>53</v>
      </c>
    </row>
    <row r="12" spans="1:38" s="23" customFormat="1" x14ac:dyDescent="0.25">
      <c r="A12" s="1" t="str">
        <f t="shared" si="0"/>
        <v>5ht1b_human__wt_TM2</v>
      </c>
      <c r="B12" s="45" t="s">
        <v>208</v>
      </c>
      <c r="C12" s="45" t="s">
        <v>294</v>
      </c>
      <c r="D12" s="4" t="str">
        <f>VLOOKUP(B12,Classification!A:D,2,FALSE)</f>
        <v>A</v>
      </c>
      <c r="E12" s="4" t="str">
        <f>VLOOKUP(B12,Classification!A:D,3,FALSE)</f>
        <v>Aminergic</v>
      </c>
      <c r="F12" s="4" t="str">
        <f>VLOOKUP(B12,Classification!A:D,4,FALSE)</f>
        <v>5-Hydroxytryptamine</v>
      </c>
      <c r="G12" s="2">
        <v>3</v>
      </c>
      <c r="H12" s="45" t="s">
        <v>17</v>
      </c>
      <c r="I12" s="2" t="s">
        <v>1223</v>
      </c>
      <c r="J12" s="5" t="str">
        <f>VLOOKUP(B12,Seqs!A:B,2,FALSE)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2" s="4" t="str">
        <f t="shared" si="1"/>
        <v>T</v>
      </c>
      <c r="L12" s="45">
        <f>VLOOKUP(B12,'NonXtal_SegEnds_Prot#'!A:AL,9,FALSE)</f>
        <v>82</v>
      </c>
      <c r="M12" s="45">
        <f>VLOOKUP(B12,'NonXtal_SegEnds_Prot#'!A:AL,10,FALSE)</f>
        <v>95</v>
      </c>
      <c r="N12" s="45">
        <f>VLOOKUP(B12,'NonXtal_SegEnds_Prot#'!A:AL,11,FALSE)</f>
        <v>112</v>
      </c>
      <c r="O12" s="4" t="str">
        <f t="shared" si="2"/>
        <v>T</v>
      </c>
      <c r="P12" s="4"/>
      <c r="Q12" s="47" t="str">
        <f t="shared" si="3"/>
        <v>TPANYLIASLAVT</v>
      </c>
      <c r="R12" s="27" t="str">
        <f t="shared" si="4"/>
        <v>D</v>
      </c>
      <c r="S12" s="19" t="str">
        <f t="shared" si="5"/>
        <v>LLVSILVMPISTMYTVT</v>
      </c>
      <c r="T12" s="5" t="s">
        <v>20</v>
      </c>
      <c r="U12" s="4"/>
      <c r="V12" s="1"/>
      <c r="W12" s="1"/>
      <c r="X12" s="1"/>
      <c r="Y12" s="1"/>
      <c r="Z12" s="4"/>
      <c r="AA12" s="1"/>
      <c r="AB12" s="1"/>
      <c r="AC12" s="1"/>
      <c r="AD12" s="1" t="s">
        <v>18</v>
      </c>
      <c r="AE12" s="1">
        <v>83</v>
      </c>
      <c r="AF12" s="1">
        <v>95</v>
      </c>
      <c r="AG12" s="1">
        <v>112</v>
      </c>
      <c r="AH12" s="1" t="s">
        <v>19</v>
      </c>
      <c r="AI12" s="1"/>
      <c r="AJ12" s="1"/>
      <c r="AK12" s="4">
        <v>38</v>
      </c>
      <c r="AL12" s="4">
        <v>66</v>
      </c>
    </row>
    <row r="13" spans="1:38" s="23" customFormat="1" x14ac:dyDescent="0.25">
      <c r="A13" s="1" t="str">
        <f t="shared" si="0"/>
        <v>5ht1b_human_4IAQ_TM2</v>
      </c>
      <c r="B13" s="45" t="s">
        <v>208</v>
      </c>
      <c r="C13" s="53" t="s">
        <v>1249</v>
      </c>
      <c r="D13" s="4" t="str">
        <f>VLOOKUP(B13,Classification!A:D,2,FALSE)</f>
        <v>A</v>
      </c>
      <c r="E13" s="4" t="str">
        <f>VLOOKUP(B13,Classification!A:D,3,FALSE)</f>
        <v>Aminergic</v>
      </c>
      <c r="F13" s="4" t="str">
        <f>VLOOKUP(B13,Classification!A:D,4,FALSE)</f>
        <v>5-Hydroxytryptamine</v>
      </c>
      <c r="G13" s="2">
        <v>3</v>
      </c>
      <c r="H13" s="45" t="s">
        <v>17</v>
      </c>
      <c r="I13" s="2" t="s">
        <v>1223</v>
      </c>
      <c r="J13" s="5" t="str">
        <f>VLOOKUP(B13,Seqs!A:B,2,FALSE)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3" s="4" t="str">
        <f t="shared" si="1"/>
        <v>T</v>
      </c>
      <c r="L13" s="45">
        <f>VLOOKUP(B13,'NonXtal_SegEnds_Prot#'!A:AL,9,FALSE)</f>
        <v>82</v>
      </c>
      <c r="M13" s="45">
        <f>VLOOKUP(B13,'NonXtal_SegEnds_Prot#'!A:AL,10,FALSE)</f>
        <v>95</v>
      </c>
      <c r="N13" s="45">
        <f>VLOOKUP(B13,'NonXtal_SegEnds_Prot#'!A:AL,11,FALSE)</f>
        <v>112</v>
      </c>
      <c r="O13" s="4" t="str">
        <f t="shared" si="2"/>
        <v>T</v>
      </c>
      <c r="P13" s="4"/>
      <c r="Q13" s="47" t="str">
        <f t="shared" si="3"/>
        <v>TPANYLIASLAVT</v>
      </c>
      <c r="R13" s="27" t="str">
        <f t="shared" si="4"/>
        <v>D</v>
      </c>
      <c r="S13" s="19" t="str">
        <f t="shared" si="5"/>
        <v>LLVSILVMPISTMYTVT</v>
      </c>
      <c r="T13" s="5" t="s">
        <v>20</v>
      </c>
      <c r="U13" s="4"/>
      <c r="V13" s="1"/>
      <c r="W13" s="1"/>
      <c r="X13" s="1"/>
      <c r="Y13" s="1"/>
      <c r="Z13" s="4"/>
      <c r="AA13" s="1"/>
      <c r="AB13" s="1"/>
      <c r="AC13" s="1"/>
      <c r="AD13" s="1" t="s">
        <v>18</v>
      </c>
      <c r="AE13" s="1">
        <v>83</v>
      </c>
      <c r="AF13" s="1">
        <v>95</v>
      </c>
      <c r="AG13" s="1">
        <v>112</v>
      </c>
      <c r="AH13" s="1" t="s">
        <v>19</v>
      </c>
      <c r="AI13" s="1"/>
      <c r="AJ13" s="1"/>
      <c r="AK13" s="4">
        <v>38</v>
      </c>
      <c r="AL13" s="4">
        <v>66</v>
      </c>
    </row>
    <row r="14" spans="1:38" s="23" customFormat="1" x14ac:dyDescent="0.25">
      <c r="A14" s="1" t="str">
        <f t="shared" si="0"/>
        <v>5ht1b_human_4IAR_TM2</v>
      </c>
      <c r="B14" s="45" t="s">
        <v>208</v>
      </c>
      <c r="C14" s="45" t="s">
        <v>251</v>
      </c>
      <c r="D14" s="4" t="str">
        <f>VLOOKUP(B14,Classification!A:D,2,FALSE)</f>
        <v>A</v>
      </c>
      <c r="E14" s="4" t="str">
        <f>VLOOKUP(B14,Classification!A:D,3,FALSE)</f>
        <v>Aminergic</v>
      </c>
      <c r="F14" s="4" t="str">
        <f>VLOOKUP(B14,Classification!A:D,4,FALSE)</f>
        <v>5-Hydroxytryptamine</v>
      </c>
      <c r="G14" s="2">
        <v>3</v>
      </c>
      <c r="H14" s="45" t="s">
        <v>17</v>
      </c>
      <c r="I14" s="2" t="s">
        <v>1223</v>
      </c>
      <c r="J14" s="5" t="str">
        <f>VLOOKUP(B14,Seqs!A:B,2,FALSE)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4" s="4" t="str">
        <f t="shared" si="1"/>
        <v>T</v>
      </c>
      <c r="L14" s="45">
        <f>VLOOKUP(B14,'NonXtal_SegEnds_Prot#'!A:AL,9,FALSE)</f>
        <v>82</v>
      </c>
      <c r="M14" s="45">
        <f>VLOOKUP(B14,'NonXtal_SegEnds_Prot#'!A:AL,10,FALSE)</f>
        <v>95</v>
      </c>
      <c r="N14" s="45">
        <f>VLOOKUP(B14,'NonXtal_SegEnds_Prot#'!A:AL,11,FALSE)</f>
        <v>112</v>
      </c>
      <c r="O14" s="4" t="str">
        <f t="shared" si="2"/>
        <v>T</v>
      </c>
      <c r="P14" s="4"/>
      <c r="Q14" s="47" t="str">
        <f t="shared" si="3"/>
        <v>TPANYLIASLAVT</v>
      </c>
      <c r="R14" s="27" t="str">
        <f t="shared" si="4"/>
        <v>D</v>
      </c>
      <c r="S14" s="19" t="str">
        <f t="shared" si="5"/>
        <v>LLVSILVMPISTMYTVT</v>
      </c>
      <c r="T14" s="5" t="s">
        <v>20</v>
      </c>
      <c r="U14" s="4"/>
      <c r="V14" s="1"/>
      <c r="W14" s="1"/>
      <c r="X14" s="1"/>
      <c r="Y14" s="1"/>
      <c r="Z14" s="4"/>
      <c r="AA14" s="1"/>
      <c r="AB14" s="1"/>
      <c r="AC14" s="1"/>
      <c r="AD14" s="1" t="s">
        <v>18</v>
      </c>
      <c r="AE14" s="1">
        <v>83</v>
      </c>
      <c r="AF14" s="1">
        <v>95</v>
      </c>
      <c r="AG14" s="1">
        <v>112</v>
      </c>
      <c r="AH14" s="1" t="s">
        <v>19</v>
      </c>
      <c r="AI14" s="1"/>
      <c r="AJ14" s="1"/>
      <c r="AK14" s="4">
        <v>38</v>
      </c>
      <c r="AL14" s="4">
        <v>66</v>
      </c>
    </row>
    <row r="15" spans="1:38" x14ac:dyDescent="0.25">
      <c r="A15" s="1" t="str">
        <f t="shared" si="0"/>
        <v>5ht2b_human__wt_TM2</v>
      </c>
      <c r="B15" s="45" t="s">
        <v>209</v>
      </c>
      <c r="C15" s="45" t="s">
        <v>294</v>
      </c>
      <c r="D15" s="4" t="str">
        <f>VLOOKUP(B15,Classification!A:D,2,FALSE)</f>
        <v>A</v>
      </c>
      <c r="E15" s="4" t="str">
        <f>VLOOKUP(B15,Classification!A:D,3,FALSE)</f>
        <v>Aminergic</v>
      </c>
      <c r="F15" s="4" t="str">
        <f>VLOOKUP(B15,Classification!A:D,4,FALSE)</f>
        <v>5-Hydroxytryptamine</v>
      </c>
      <c r="G15" s="2">
        <v>3</v>
      </c>
      <c r="H15" s="45" t="s">
        <v>17</v>
      </c>
      <c r="I15" s="2" t="s">
        <v>1223</v>
      </c>
      <c r="J15" s="5" t="str">
        <f>VLOOKUP(B15,Seqs!A:B,2,FALSE)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5" s="4" t="str">
        <f t="shared" si="1"/>
        <v>Y</v>
      </c>
      <c r="L15" s="45">
        <f>VLOOKUP(B15,'NonXtal_SegEnds_Prot#'!A:AL,9,FALSE)</f>
        <v>87</v>
      </c>
      <c r="M15" s="45">
        <f>VLOOKUP(B15,'NonXtal_SegEnds_Prot#'!A:AL,10,FALSE)</f>
        <v>100</v>
      </c>
      <c r="N15" s="45">
        <f>VLOOKUP(B15,'NonXtal_SegEnds_Prot#'!A:AL,11,FALSE)</f>
        <v>117</v>
      </c>
      <c r="O15" s="4" t="str">
        <f t="shared" si="2"/>
        <v>F</v>
      </c>
      <c r="P15" s="4"/>
      <c r="Q15" s="47" t="str">
        <f t="shared" si="3"/>
        <v>YATNYFLMSLAVA</v>
      </c>
      <c r="R15" s="27" t="str">
        <f t="shared" si="4"/>
        <v>D</v>
      </c>
      <c r="S15" s="19" t="str">
        <f t="shared" si="5"/>
        <v>LLVGLFVMPIALLTIMF</v>
      </c>
      <c r="T15" s="5" t="s">
        <v>20</v>
      </c>
      <c r="Z15" s="4"/>
      <c r="AD15" s="1" t="s">
        <v>18</v>
      </c>
      <c r="AE15" s="1">
        <v>88</v>
      </c>
      <c r="AF15" s="1">
        <v>100</v>
      </c>
      <c r="AG15" s="1">
        <v>117</v>
      </c>
      <c r="AH15" s="1" t="s">
        <v>19</v>
      </c>
      <c r="AK15" s="4">
        <v>38</v>
      </c>
      <c r="AL15" s="4">
        <v>66</v>
      </c>
    </row>
    <row r="16" spans="1:38" s="23" customFormat="1" x14ac:dyDescent="0.25">
      <c r="A16" s="1" t="str">
        <f t="shared" si="0"/>
        <v>5ht2b_human_4IB4_TM2</v>
      </c>
      <c r="B16" s="45" t="s">
        <v>209</v>
      </c>
      <c r="C16" s="45" t="s">
        <v>261</v>
      </c>
      <c r="D16" s="4" t="str">
        <f>VLOOKUP(B16,Classification!A:D,2,FALSE)</f>
        <v>A</v>
      </c>
      <c r="E16" s="4" t="str">
        <f>VLOOKUP(B16,Classification!A:D,3,FALSE)</f>
        <v>Aminergic</v>
      </c>
      <c r="F16" s="4" t="str">
        <f>VLOOKUP(B16,Classification!A:D,4,FALSE)</f>
        <v>5-Hydroxytryptamine</v>
      </c>
      <c r="G16" s="2">
        <v>3</v>
      </c>
      <c r="H16" s="45" t="s">
        <v>17</v>
      </c>
      <c r="I16" s="2" t="s">
        <v>1223</v>
      </c>
      <c r="J16" s="5" t="str">
        <f>VLOOKUP(B16,Seqs!A:B,2,FALSE)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6" s="4" t="str">
        <f t="shared" si="1"/>
        <v>Y</v>
      </c>
      <c r="L16" s="45">
        <f>VLOOKUP(B16,'NonXtal_SegEnds_Prot#'!A:AL,9,FALSE)</f>
        <v>87</v>
      </c>
      <c r="M16" s="45">
        <f>VLOOKUP(B16,'NonXtal_SegEnds_Prot#'!A:AL,10,FALSE)</f>
        <v>100</v>
      </c>
      <c r="N16" s="45">
        <f>VLOOKUP(B16,'NonXtal_SegEnds_Prot#'!A:AL,11,FALSE)</f>
        <v>117</v>
      </c>
      <c r="O16" s="4" t="str">
        <f t="shared" si="2"/>
        <v>F</v>
      </c>
      <c r="P16" s="4"/>
      <c r="Q16" s="47" t="str">
        <f t="shared" si="3"/>
        <v>YATNYFLMSLAVA</v>
      </c>
      <c r="R16" s="27" t="str">
        <f t="shared" si="4"/>
        <v>D</v>
      </c>
      <c r="S16" s="19" t="str">
        <f t="shared" si="5"/>
        <v>LLVGLFVMPIALLTIMF</v>
      </c>
      <c r="T16" s="5" t="s">
        <v>20</v>
      </c>
      <c r="U16" s="4"/>
      <c r="V16" s="1"/>
      <c r="W16" s="1"/>
      <c r="X16" s="1"/>
      <c r="Y16" s="1"/>
      <c r="Z16" s="4"/>
      <c r="AA16" s="1"/>
      <c r="AB16" s="1"/>
      <c r="AC16" s="1"/>
      <c r="AD16" s="1" t="s">
        <v>18</v>
      </c>
      <c r="AE16" s="1">
        <v>88</v>
      </c>
      <c r="AF16" s="1">
        <v>100</v>
      </c>
      <c r="AG16" s="1">
        <v>117</v>
      </c>
      <c r="AH16" s="1" t="s">
        <v>19</v>
      </c>
      <c r="AI16" s="1"/>
      <c r="AJ16" s="1"/>
      <c r="AK16" s="4">
        <v>38</v>
      </c>
      <c r="AL16" s="4">
        <v>66</v>
      </c>
    </row>
    <row r="17" spans="1:38" x14ac:dyDescent="0.25">
      <c r="A17" s="1" t="str">
        <f t="shared" si="0"/>
        <v>AA2AR_human__wt_TM2</v>
      </c>
      <c r="B17" s="45" t="s">
        <v>210</v>
      </c>
      <c r="C17" s="45" t="s">
        <v>294</v>
      </c>
      <c r="D17" s="4" t="str">
        <f>VLOOKUP(B17,Classification!A:D,2,FALSE)</f>
        <v>A</v>
      </c>
      <c r="E17" s="4" t="str">
        <f>VLOOKUP(B17,Classification!A:D,3,FALSE)</f>
        <v>Nucleotide</v>
      </c>
      <c r="F17" s="4" t="str">
        <f>VLOOKUP(B17,Classification!A:D,4,FALSE)</f>
        <v>Adenosine</v>
      </c>
      <c r="G17" s="2">
        <v>3</v>
      </c>
      <c r="H17" s="45" t="s">
        <v>17</v>
      </c>
      <c r="I17" s="2" t="s">
        <v>1223</v>
      </c>
      <c r="J17" s="5" t="str">
        <f>VLOOKUP(B17,Seqs!A:B,2,FALSE)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7" s="4" t="str">
        <f t="shared" si="1"/>
        <v>N</v>
      </c>
      <c r="L17" s="45">
        <f>VLOOKUP(B17,'NonXtal_SegEnds_Prot#'!A:AL,9,FALSE)</f>
        <v>39</v>
      </c>
      <c r="M17" s="45">
        <f>VLOOKUP(B17,'NonXtal_SegEnds_Prot#'!A:AL,10,FALSE)</f>
        <v>52</v>
      </c>
      <c r="N17" s="45">
        <f>VLOOKUP(B17,'NonXtal_SegEnds_Prot#'!A:AL,11,FALSE)</f>
        <v>69</v>
      </c>
      <c r="O17" s="4" t="str">
        <f t="shared" si="2"/>
        <v>G</v>
      </c>
      <c r="P17" s="4"/>
      <c r="Q17" s="47" t="str">
        <f t="shared" si="3"/>
        <v>NVTNYFVVSLAAA</v>
      </c>
      <c r="R17" s="27" t="str">
        <f t="shared" si="4"/>
        <v>D</v>
      </c>
      <c r="S17" s="19" t="str">
        <f t="shared" si="5"/>
        <v>IAVGVLAIPFAITISTG</v>
      </c>
      <c r="T17" s="5" t="s">
        <v>20</v>
      </c>
      <c r="Z17" s="4" t="s">
        <v>64</v>
      </c>
      <c r="AD17" s="1" t="s">
        <v>18</v>
      </c>
      <c r="AE17" s="1">
        <v>40</v>
      </c>
      <c r="AF17" s="1">
        <v>52</v>
      </c>
      <c r="AG17" s="1">
        <v>68</v>
      </c>
      <c r="AH17" s="1" t="s">
        <v>66</v>
      </c>
      <c r="AK17" s="4">
        <v>38</v>
      </c>
      <c r="AL17" s="4">
        <v>65</v>
      </c>
    </row>
    <row r="18" spans="1:38" s="23" customFormat="1" x14ac:dyDescent="0.25">
      <c r="A18" s="1" t="str">
        <f t="shared" si="0"/>
        <v>AA2AR_human_2YDV_TM2</v>
      </c>
      <c r="B18" s="45" t="s">
        <v>210</v>
      </c>
      <c r="C18" s="45" t="s">
        <v>271</v>
      </c>
      <c r="D18" s="4" t="str">
        <f>VLOOKUP(B18,Classification!A:D,2,FALSE)</f>
        <v>A</v>
      </c>
      <c r="E18" s="4" t="str">
        <f>VLOOKUP(B18,Classification!A:D,3,FALSE)</f>
        <v>Nucleotide</v>
      </c>
      <c r="F18" s="4" t="str">
        <f>VLOOKUP(B18,Classification!A:D,4,FALSE)</f>
        <v>Adenosine</v>
      </c>
      <c r="G18" s="2">
        <v>3</v>
      </c>
      <c r="H18" s="45" t="s">
        <v>17</v>
      </c>
      <c r="I18" s="2" t="s">
        <v>1223</v>
      </c>
      <c r="J18" s="5" t="str">
        <f>VLOOKUP(B18,Seqs!A:B,2,FALSE)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8" s="4" t="str">
        <f t="shared" si="1"/>
        <v>N</v>
      </c>
      <c r="L18" s="45">
        <f>VLOOKUP(B18,'NonXtal_SegEnds_Prot#'!A:AL,9,FALSE)</f>
        <v>39</v>
      </c>
      <c r="M18" s="45">
        <f>VLOOKUP(B18,'NonXtal_SegEnds_Prot#'!A:AL,10,FALSE)</f>
        <v>52</v>
      </c>
      <c r="N18" s="45">
        <f>VLOOKUP(B18,'NonXtal_SegEnds_Prot#'!A:AL,11,FALSE)</f>
        <v>69</v>
      </c>
      <c r="O18" s="4" t="str">
        <f t="shared" si="2"/>
        <v>G</v>
      </c>
      <c r="P18" s="4"/>
      <c r="Q18" s="47" t="str">
        <f t="shared" si="3"/>
        <v>NVTNYFVVSLAAA</v>
      </c>
      <c r="R18" s="27" t="str">
        <f t="shared" si="4"/>
        <v>D</v>
      </c>
      <c r="S18" s="19" t="str">
        <f t="shared" si="5"/>
        <v>IAVGVLAIPFAITISTG</v>
      </c>
      <c r="T18" s="5" t="s">
        <v>20</v>
      </c>
      <c r="U18" s="4"/>
      <c r="V18" s="1"/>
      <c r="W18" s="1"/>
      <c r="X18" s="1"/>
      <c r="Y18" s="1"/>
      <c r="Z18" s="4" t="s">
        <v>64</v>
      </c>
      <c r="AA18" s="1"/>
      <c r="AB18" s="1"/>
      <c r="AC18" s="1"/>
      <c r="AD18" s="1" t="s">
        <v>18</v>
      </c>
      <c r="AE18" s="1">
        <v>40</v>
      </c>
      <c r="AF18" s="1">
        <v>52</v>
      </c>
      <c r="AG18" s="1">
        <v>68</v>
      </c>
      <c r="AH18" s="1" t="s">
        <v>66</v>
      </c>
      <c r="AI18" s="1"/>
      <c r="AJ18" s="1"/>
      <c r="AK18" s="4">
        <v>38</v>
      </c>
      <c r="AL18" s="4">
        <v>65</v>
      </c>
    </row>
    <row r="19" spans="1:38" s="23" customFormat="1" x14ac:dyDescent="0.25">
      <c r="A19" s="1" t="str">
        <f t="shared" si="0"/>
        <v>AA2AR_human_3REY_TM2</v>
      </c>
      <c r="B19" s="45" t="s">
        <v>210</v>
      </c>
      <c r="C19" s="45" t="s">
        <v>275</v>
      </c>
      <c r="D19" s="4" t="str">
        <f>VLOOKUP(B19,Classification!A:D,2,FALSE)</f>
        <v>A</v>
      </c>
      <c r="E19" s="4" t="str">
        <f>VLOOKUP(B19,Classification!A:D,3,FALSE)</f>
        <v>Nucleotide</v>
      </c>
      <c r="F19" s="4" t="str">
        <f>VLOOKUP(B19,Classification!A:D,4,FALSE)</f>
        <v>Adenosine</v>
      </c>
      <c r="G19" s="2">
        <v>3</v>
      </c>
      <c r="H19" s="45" t="s">
        <v>17</v>
      </c>
      <c r="I19" s="2" t="s">
        <v>1223</v>
      </c>
      <c r="J19" s="5" t="str">
        <f>VLOOKUP(B19,Seqs!A:B,2,FALSE)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9" s="4" t="str">
        <f t="shared" si="1"/>
        <v>N</v>
      </c>
      <c r="L19" s="45">
        <f>VLOOKUP(B19,'NonXtal_SegEnds_Prot#'!A:AL,9,FALSE)</f>
        <v>39</v>
      </c>
      <c r="M19" s="45">
        <f>VLOOKUP(B19,'NonXtal_SegEnds_Prot#'!A:AL,10,FALSE)</f>
        <v>52</v>
      </c>
      <c r="N19" s="45">
        <f>VLOOKUP(B19,'NonXtal_SegEnds_Prot#'!A:AL,11,FALSE)</f>
        <v>69</v>
      </c>
      <c r="O19" s="4" t="str">
        <f t="shared" si="2"/>
        <v>G</v>
      </c>
      <c r="P19" s="4"/>
      <c r="Q19" s="47" t="str">
        <f t="shared" si="3"/>
        <v>NVTNYFVVSLAAA</v>
      </c>
      <c r="R19" s="27" t="str">
        <f t="shared" si="4"/>
        <v>D</v>
      </c>
      <c r="S19" s="19" t="str">
        <f t="shared" si="5"/>
        <v>IAVGVLAIPFAITISTG</v>
      </c>
      <c r="T19" s="5" t="s">
        <v>20</v>
      </c>
      <c r="U19" s="4"/>
      <c r="V19" s="1"/>
      <c r="W19" s="1"/>
      <c r="X19" s="1"/>
      <c r="Y19" s="1"/>
      <c r="Z19" s="4" t="s">
        <v>78</v>
      </c>
      <c r="AA19" s="1"/>
      <c r="AB19" s="1"/>
      <c r="AC19" s="1"/>
      <c r="AD19" s="1" t="s">
        <v>18</v>
      </c>
      <c r="AE19" s="1">
        <v>40</v>
      </c>
      <c r="AF19" s="1">
        <v>52</v>
      </c>
      <c r="AG19" s="1">
        <v>68</v>
      </c>
      <c r="AH19" s="1" t="s">
        <v>66</v>
      </c>
      <c r="AI19" s="1"/>
      <c r="AJ19" s="1"/>
      <c r="AK19" s="4">
        <v>38</v>
      </c>
      <c r="AL19" s="4">
        <v>65</v>
      </c>
    </row>
    <row r="20" spans="1:38" s="23" customFormat="1" x14ac:dyDescent="0.25">
      <c r="A20" s="1" t="str">
        <f t="shared" si="0"/>
        <v>AA2AR_human_4EIY_TM2</v>
      </c>
      <c r="B20" s="45" t="s">
        <v>210</v>
      </c>
      <c r="C20" s="45" t="s">
        <v>272</v>
      </c>
      <c r="D20" s="4" t="str">
        <f>VLOOKUP(B20,Classification!A:D,2,FALSE)</f>
        <v>A</v>
      </c>
      <c r="E20" s="4" t="str">
        <f>VLOOKUP(B20,Classification!A:D,3,FALSE)</f>
        <v>Nucleotide</v>
      </c>
      <c r="F20" s="4" t="str">
        <f>VLOOKUP(B20,Classification!A:D,4,FALSE)</f>
        <v>Adenosine</v>
      </c>
      <c r="G20" s="2">
        <v>3</v>
      </c>
      <c r="H20" s="45" t="s">
        <v>17</v>
      </c>
      <c r="I20" s="2" t="s">
        <v>1223</v>
      </c>
      <c r="J20" s="5" t="str">
        <f>VLOOKUP(B20,Seqs!A:B,2,FALSE)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0" s="4" t="str">
        <f t="shared" si="1"/>
        <v>N</v>
      </c>
      <c r="L20" s="45">
        <f>VLOOKUP(B20,'NonXtal_SegEnds_Prot#'!A:AL,9,FALSE)</f>
        <v>39</v>
      </c>
      <c r="M20" s="45">
        <f>VLOOKUP(B20,'NonXtal_SegEnds_Prot#'!A:AL,10,FALSE)</f>
        <v>52</v>
      </c>
      <c r="N20" s="45">
        <f>VLOOKUP(B20,'NonXtal_SegEnds_Prot#'!A:AL,11,FALSE)</f>
        <v>69</v>
      </c>
      <c r="O20" s="4" t="str">
        <f t="shared" si="2"/>
        <v>G</v>
      </c>
      <c r="P20" s="4"/>
      <c r="Q20" s="47" t="str">
        <f t="shared" si="3"/>
        <v>NVTNYFVVSLAAA</v>
      </c>
      <c r="R20" s="27" t="str">
        <f t="shared" si="4"/>
        <v>D</v>
      </c>
      <c r="S20" s="19" t="str">
        <f t="shared" si="5"/>
        <v>IAVGVLAIPFAITISTG</v>
      </c>
      <c r="T20" s="5" t="s">
        <v>20</v>
      </c>
      <c r="U20" s="4"/>
      <c r="V20" s="1"/>
      <c r="W20" s="1"/>
      <c r="X20" s="1"/>
      <c r="Y20" s="1"/>
      <c r="Z20" s="4"/>
      <c r="AA20" s="1"/>
      <c r="AB20" s="1"/>
      <c r="AC20" s="1"/>
      <c r="AD20" s="1" t="s">
        <v>18</v>
      </c>
      <c r="AE20" s="1">
        <v>40</v>
      </c>
      <c r="AF20" s="1">
        <v>52</v>
      </c>
      <c r="AG20" s="1">
        <v>68</v>
      </c>
      <c r="AH20" s="1" t="s">
        <v>66</v>
      </c>
      <c r="AI20" s="1"/>
      <c r="AJ20" s="1"/>
      <c r="AK20" s="4">
        <v>38</v>
      </c>
      <c r="AL20" s="4">
        <v>65</v>
      </c>
    </row>
    <row r="21" spans="1:38" s="23" customFormat="1" x14ac:dyDescent="0.25">
      <c r="A21" s="1" t="str">
        <f t="shared" si="0"/>
        <v>ACM1_human__wt_TM2</v>
      </c>
      <c r="B21" s="45" t="s">
        <v>218</v>
      </c>
      <c r="C21" s="45" t="s">
        <v>294</v>
      </c>
      <c r="D21" s="4" t="str">
        <f>VLOOKUP(B21,Classification!A:D,2,FALSE)</f>
        <v>A</v>
      </c>
      <c r="E21" s="4" t="str">
        <f>VLOOKUP(B21,Classification!A:D,3,FALSE)</f>
        <v>Aminergic</v>
      </c>
      <c r="F21" s="4" t="str">
        <f>VLOOKUP(B21,Classification!A:D,4,FALSE)</f>
        <v>Acetylcholine(muscarinic)</v>
      </c>
      <c r="G21" s="2">
        <v>3</v>
      </c>
      <c r="H21" s="45" t="s">
        <v>17</v>
      </c>
      <c r="I21" s="2" t="s">
        <v>1223</v>
      </c>
      <c r="J21" s="5" t="str">
        <f>VLOOKUP(B21,Seqs!A:B,2,FALSE)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1" s="4" t="str">
        <f t="shared" si="1"/>
        <v>T</v>
      </c>
      <c r="L21" s="45">
        <f>VLOOKUP(B21,'NonXtal_SegEnds_Prot#'!A:AL,9,FALSE)</f>
        <v>58</v>
      </c>
      <c r="M21" s="45">
        <f>VLOOKUP(B21,'NonXtal_SegEnds_Prot#'!A:AL,10,FALSE)</f>
        <v>71</v>
      </c>
      <c r="N21" s="45">
        <f>VLOOKUP(B21,'NonXtal_SegEnds_Prot#'!A:AL,11,FALSE)</f>
        <v>88</v>
      </c>
      <c r="O21" s="4" t="str">
        <f t="shared" si="2"/>
        <v>M</v>
      </c>
      <c r="P21" s="4"/>
      <c r="Q21" s="47" t="str">
        <f t="shared" si="3"/>
        <v>TVNNYFLLSLACA</v>
      </c>
      <c r="R21" s="27" t="str">
        <f t="shared" si="4"/>
        <v>D</v>
      </c>
      <c r="S21" s="19" t="str">
        <f t="shared" si="5"/>
        <v>LIIGTFSMNLYTTYLLM</v>
      </c>
      <c r="T21" s="5" t="s">
        <v>20</v>
      </c>
      <c r="U21" s="4"/>
      <c r="V21" s="1"/>
      <c r="W21" s="1"/>
      <c r="X21" s="1"/>
      <c r="Y21" s="1"/>
      <c r="Z21" s="4" t="s">
        <v>78</v>
      </c>
      <c r="AA21" s="1"/>
      <c r="AB21" s="1"/>
      <c r="AC21" s="1"/>
      <c r="AD21" s="1" t="s">
        <v>18</v>
      </c>
      <c r="AE21" s="1">
        <v>59</v>
      </c>
      <c r="AF21" s="1">
        <v>71</v>
      </c>
      <c r="AG21" s="1">
        <v>88</v>
      </c>
      <c r="AH21" s="1" t="s">
        <v>19</v>
      </c>
      <c r="AI21" s="1"/>
      <c r="AJ21" s="1"/>
      <c r="AK21" s="4">
        <v>38</v>
      </c>
      <c r="AL21" s="4">
        <v>66</v>
      </c>
    </row>
    <row r="22" spans="1:38" s="23" customFormat="1" x14ac:dyDescent="0.25">
      <c r="A22" s="1" t="str">
        <f t="shared" si="0"/>
        <v>ACM1_human_5CXV_TM2</v>
      </c>
      <c r="B22" s="45" t="s">
        <v>218</v>
      </c>
      <c r="C22" s="45" t="s">
        <v>253</v>
      </c>
      <c r="D22" s="4" t="str">
        <f>VLOOKUP(B22,Classification!A:D,2,FALSE)</f>
        <v>A</v>
      </c>
      <c r="E22" s="4" t="str">
        <f>VLOOKUP(B22,Classification!A:D,3,FALSE)</f>
        <v>Aminergic</v>
      </c>
      <c r="F22" s="4" t="str">
        <f>VLOOKUP(B22,Classification!A:D,4,FALSE)</f>
        <v>Acetylcholine(muscarinic)</v>
      </c>
      <c r="G22" s="2">
        <v>3</v>
      </c>
      <c r="H22" s="45" t="s">
        <v>17</v>
      </c>
      <c r="I22" s="2" t="s">
        <v>1223</v>
      </c>
      <c r="J22" s="5" t="str">
        <f>VLOOKUP(B22,Seqs!A:B,2,FALSE)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2" s="4" t="str">
        <f t="shared" si="1"/>
        <v>T</v>
      </c>
      <c r="L22" s="45">
        <f>VLOOKUP(B22,'NonXtal_SegEnds_Prot#'!A:AL,9,FALSE)</f>
        <v>58</v>
      </c>
      <c r="M22" s="45">
        <f>VLOOKUP(B22,'NonXtal_SegEnds_Prot#'!A:AL,10,FALSE)</f>
        <v>71</v>
      </c>
      <c r="N22" s="45">
        <f>VLOOKUP(B22,'NonXtal_SegEnds_Prot#'!A:AL,11,FALSE)</f>
        <v>88</v>
      </c>
      <c r="O22" s="4" t="str">
        <f t="shared" si="2"/>
        <v>M</v>
      </c>
      <c r="P22" s="4"/>
      <c r="Q22" s="47" t="str">
        <f t="shared" si="3"/>
        <v>TVNNYFLLSLACA</v>
      </c>
      <c r="R22" s="27" t="str">
        <f t="shared" si="4"/>
        <v>D</v>
      </c>
      <c r="S22" s="19" t="str">
        <f t="shared" si="5"/>
        <v>LIIGTFSMNLYTTYLLM</v>
      </c>
      <c r="T22" s="5" t="s">
        <v>20</v>
      </c>
      <c r="U22" s="4"/>
      <c r="V22" s="1"/>
      <c r="W22" s="1"/>
      <c r="X22" s="1"/>
      <c r="Y22" s="1"/>
      <c r="Z22" s="4" t="s">
        <v>78</v>
      </c>
      <c r="AA22" s="1"/>
      <c r="AB22" s="1"/>
      <c r="AC22" s="1"/>
      <c r="AD22" s="1" t="s">
        <v>18</v>
      </c>
      <c r="AE22" s="1">
        <v>59</v>
      </c>
      <c r="AF22" s="1">
        <v>71</v>
      </c>
      <c r="AG22" s="1">
        <v>88</v>
      </c>
      <c r="AH22" s="1" t="s">
        <v>19</v>
      </c>
      <c r="AI22" s="1"/>
      <c r="AJ22" s="1"/>
      <c r="AK22" s="4">
        <v>38</v>
      </c>
      <c r="AL22" s="4">
        <v>66</v>
      </c>
    </row>
    <row r="23" spans="1:38" s="23" customFormat="1" x14ac:dyDescent="0.25">
      <c r="A23" s="1" t="str">
        <f t="shared" si="0"/>
        <v>ACM2_human__wt_TM2</v>
      </c>
      <c r="B23" s="45" t="s">
        <v>219</v>
      </c>
      <c r="C23" s="45" t="s">
        <v>294</v>
      </c>
      <c r="D23" s="4" t="str">
        <f>VLOOKUP(B23,Classification!A:D,2,FALSE)</f>
        <v>A</v>
      </c>
      <c r="E23" s="4" t="str">
        <f>VLOOKUP(B23,Classification!A:D,3,FALSE)</f>
        <v>Aminergic</v>
      </c>
      <c r="F23" s="4" t="str">
        <f>VLOOKUP(B23,Classification!A:D,4,FALSE)</f>
        <v>Acetylcholine(muscarinic)</v>
      </c>
      <c r="G23" s="2">
        <v>3</v>
      </c>
      <c r="H23" s="45" t="s">
        <v>17</v>
      </c>
      <c r="I23" s="2" t="s">
        <v>1223</v>
      </c>
      <c r="J23" s="5" t="str">
        <f>VLOOKUP(B23,Seqs!A:B,2,FALSE)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3" s="4" t="str">
        <f t="shared" si="1"/>
        <v>T</v>
      </c>
      <c r="L23" s="45">
        <f>VLOOKUP(B23,'NonXtal_SegEnds_Prot#'!A:AL,9,FALSE)</f>
        <v>56</v>
      </c>
      <c r="M23" s="45">
        <f>VLOOKUP(B23,'NonXtal_SegEnds_Prot#'!A:AL,10,FALSE)</f>
        <v>69</v>
      </c>
      <c r="N23" s="45">
        <f>VLOOKUP(B23,'NonXtal_SegEnds_Prot#'!A:AL,11,FALSE)</f>
        <v>86</v>
      </c>
      <c r="O23" s="4" t="str">
        <f t="shared" si="2"/>
        <v>I</v>
      </c>
      <c r="P23" s="4"/>
      <c r="Q23" s="47" t="str">
        <f t="shared" si="3"/>
        <v>TVNNYFLFSLACA</v>
      </c>
      <c r="R23" s="27" t="str">
        <f t="shared" si="4"/>
        <v>D</v>
      </c>
      <c r="S23" s="19" t="str">
        <f t="shared" si="5"/>
        <v>LIIGVFSMNLYTLYTVI</v>
      </c>
      <c r="T23" s="5" t="s">
        <v>20</v>
      </c>
      <c r="U23" s="4"/>
      <c r="V23" s="1"/>
      <c r="W23" s="1"/>
      <c r="X23" s="1"/>
      <c r="Y23" s="1"/>
      <c r="Z23" s="4" t="s">
        <v>78</v>
      </c>
      <c r="AA23" s="1"/>
      <c r="AB23" s="1"/>
      <c r="AC23" s="1"/>
      <c r="AD23" s="1" t="s">
        <v>18</v>
      </c>
      <c r="AE23" s="1">
        <v>57</v>
      </c>
      <c r="AF23" s="1">
        <v>69</v>
      </c>
      <c r="AG23" s="1">
        <v>86</v>
      </c>
      <c r="AH23" s="1" t="s">
        <v>19</v>
      </c>
      <c r="AI23" s="1"/>
      <c r="AJ23" s="1"/>
      <c r="AK23" s="4">
        <v>38</v>
      </c>
      <c r="AL23" s="4">
        <v>66</v>
      </c>
    </row>
    <row r="24" spans="1:38" s="23" customFormat="1" x14ac:dyDescent="0.25">
      <c r="A24" s="1" t="str">
        <f t="shared" si="0"/>
        <v>ACM2_human_3UON_TM2</v>
      </c>
      <c r="B24" s="45" t="s">
        <v>219</v>
      </c>
      <c r="C24" s="45" t="s">
        <v>270</v>
      </c>
      <c r="D24" s="4" t="str">
        <f>VLOOKUP(B24,Classification!A:D,2,FALSE)</f>
        <v>A</v>
      </c>
      <c r="E24" s="4" t="str">
        <f>VLOOKUP(B24,Classification!A:D,3,FALSE)</f>
        <v>Aminergic</v>
      </c>
      <c r="F24" s="4" t="str">
        <f>VLOOKUP(B24,Classification!A:D,4,FALSE)</f>
        <v>Acetylcholine(muscarinic)</v>
      </c>
      <c r="G24" s="2">
        <v>3</v>
      </c>
      <c r="H24" s="45" t="s">
        <v>17</v>
      </c>
      <c r="I24" s="2" t="s">
        <v>1223</v>
      </c>
      <c r="J24" s="5" t="str">
        <f>VLOOKUP(B24,Seqs!A:B,2,FALSE)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4" s="4" t="str">
        <f t="shared" si="1"/>
        <v>T</v>
      </c>
      <c r="L24" s="45">
        <f>VLOOKUP(B24,'NonXtal_SegEnds_Prot#'!A:AL,9,FALSE)</f>
        <v>56</v>
      </c>
      <c r="M24" s="45">
        <f>VLOOKUP(B24,'NonXtal_SegEnds_Prot#'!A:AL,10,FALSE)</f>
        <v>69</v>
      </c>
      <c r="N24" s="45">
        <f>VLOOKUP(B24,'NonXtal_SegEnds_Prot#'!A:AL,11,FALSE)</f>
        <v>86</v>
      </c>
      <c r="O24" s="4" t="str">
        <f t="shared" si="2"/>
        <v>I</v>
      </c>
      <c r="P24" s="4"/>
      <c r="Q24" s="47" t="str">
        <f t="shared" si="3"/>
        <v>TVNNYFLFSLACA</v>
      </c>
      <c r="R24" s="27" t="str">
        <f t="shared" si="4"/>
        <v>D</v>
      </c>
      <c r="S24" s="19" t="str">
        <f t="shared" si="5"/>
        <v>LIIGVFSMNLYTLYTVI</v>
      </c>
      <c r="T24" s="5" t="s">
        <v>20</v>
      </c>
      <c r="U24" s="4"/>
      <c r="V24" s="1"/>
      <c r="W24" s="1"/>
      <c r="X24" s="1"/>
      <c r="Y24" s="1"/>
      <c r="Z24" s="4" t="s">
        <v>78</v>
      </c>
      <c r="AA24" s="1"/>
      <c r="AB24" s="1"/>
      <c r="AC24" s="1"/>
      <c r="AD24" s="1" t="s">
        <v>18</v>
      </c>
      <c r="AE24" s="1">
        <v>57</v>
      </c>
      <c r="AF24" s="1">
        <v>69</v>
      </c>
      <c r="AG24" s="1">
        <v>86</v>
      </c>
      <c r="AH24" s="1" t="s">
        <v>19</v>
      </c>
      <c r="AI24" s="1"/>
      <c r="AJ24" s="1"/>
      <c r="AK24" s="4">
        <v>38</v>
      </c>
      <c r="AL24" s="4">
        <v>66</v>
      </c>
    </row>
    <row r="25" spans="1:38" s="23" customFormat="1" x14ac:dyDescent="0.25">
      <c r="A25" s="1" t="str">
        <f t="shared" si="0"/>
        <v>ACM2_human_4MQS_TM2</v>
      </c>
      <c r="B25" s="45" t="s">
        <v>219</v>
      </c>
      <c r="C25" s="45" t="s">
        <v>259</v>
      </c>
      <c r="D25" s="4" t="str">
        <f>VLOOKUP(B25,Classification!A:D,2,FALSE)</f>
        <v>A</v>
      </c>
      <c r="E25" s="4" t="str">
        <f>VLOOKUP(B25,Classification!A:D,3,FALSE)</f>
        <v>Aminergic</v>
      </c>
      <c r="F25" s="4" t="str">
        <f>VLOOKUP(B25,Classification!A:D,4,FALSE)</f>
        <v>Acetylcholine(muscarinic)</v>
      </c>
      <c r="G25" s="2">
        <v>3</v>
      </c>
      <c r="H25" s="45" t="s">
        <v>17</v>
      </c>
      <c r="I25" s="2" t="s">
        <v>1223</v>
      </c>
      <c r="J25" s="5" t="str">
        <f>VLOOKUP(B25,Seqs!A:B,2,FALSE)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5" s="4" t="str">
        <f t="shared" si="1"/>
        <v>T</v>
      </c>
      <c r="L25" s="45">
        <f>VLOOKUP(B25,'NonXtal_SegEnds_Prot#'!A:AL,9,FALSE)</f>
        <v>56</v>
      </c>
      <c r="M25" s="45">
        <f>VLOOKUP(B25,'NonXtal_SegEnds_Prot#'!A:AL,10,FALSE)</f>
        <v>69</v>
      </c>
      <c r="N25" s="45">
        <f>VLOOKUP(B25,'NonXtal_SegEnds_Prot#'!A:AL,11,FALSE)</f>
        <v>86</v>
      </c>
      <c r="O25" s="4" t="str">
        <f t="shared" si="2"/>
        <v>I</v>
      </c>
      <c r="P25" s="4"/>
      <c r="Q25" s="47" t="str">
        <f t="shared" si="3"/>
        <v>TVNNYFLFSLACA</v>
      </c>
      <c r="R25" s="27" t="str">
        <f t="shared" si="4"/>
        <v>D</v>
      </c>
      <c r="S25" s="19" t="str">
        <f t="shared" si="5"/>
        <v>LIIGVFSMNLYTLYTVI</v>
      </c>
      <c r="T25" s="5" t="s">
        <v>20</v>
      </c>
      <c r="U25" s="4"/>
      <c r="V25" s="1"/>
      <c r="W25" s="1"/>
      <c r="X25" s="1"/>
      <c r="Y25" s="1"/>
      <c r="Z25" s="4" t="s">
        <v>64</v>
      </c>
      <c r="AA25" s="1"/>
      <c r="AB25" s="1"/>
      <c r="AC25" s="1"/>
      <c r="AD25" s="1" t="s">
        <v>18</v>
      </c>
      <c r="AE25" s="1">
        <v>57</v>
      </c>
      <c r="AF25" s="1">
        <v>69</v>
      </c>
      <c r="AG25" s="1">
        <v>86</v>
      </c>
      <c r="AH25" s="1" t="s">
        <v>19</v>
      </c>
      <c r="AI25" s="1"/>
      <c r="AJ25" s="1"/>
      <c r="AK25" s="4">
        <v>38</v>
      </c>
      <c r="AL25" s="4">
        <v>66</v>
      </c>
    </row>
    <row r="26" spans="1:38" s="23" customFormat="1" x14ac:dyDescent="0.25">
      <c r="A26" s="1" t="str">
        <f t="shared" si="0"/>
        <v>ACM3_rat__wt_TM2</v>
      </c>
      <c r="B26" s="45" t="s">
        <v>236</v>
      </c>
      <c r="C26" s="45" t="s">
        <v>294</v>
      </c>
      <c r="D26" s="4" t="str">
        <f>VLOOKUP(B26,Classification!A:D,2,FALSE)</f>
        <v>A</v>
      </c>
      <c r="E26" s="4" t="str">
        <f>VLOOKUP(B26,Classification!A:D,3,FALSE)</f>
        <v>Aminergic</v>
      </c>
      <c r="F26" s="4" t="str">
        <f>VLOOKUP(B26,Classification!A:D,4,FALSE)</f>
        <v>Acetylcholine(muscarinic)</v>
      </c>
      <c r="G26" s="2">
        <v>3</v>
      </c>
      <c r="H26" s="45" t="s">
        <v>17</v>
      </c>
      <c r="I26" s="2" t="s">
        <v>1223</v>
      </c>
      <c r="J26" s="5" t="str">
        <f>VLOOKUP(B26,Seqs!A:B,2,FALSE)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6" s="4" t="str">
        <f t="shared" si="1"/>
        <v>T</v>
      </c>
      <c r="L26" s="45">
        <f>VLOOKUP(B26,'NonXtal_SegEnds_Prot#'!A:AL,9,FALSE)</f>
        <v>100</v>
      </c>
      <c r="M26" s="45">
        <f>VLOOKUP(B26,'NonXtal_SegEnds_Prot#'!A:AL,10,FALSE)</f>
        <v>113</v>
      </c>
      <c r="N26" s="45">
        <f>VLOOKUP(B26,'NonXtal_SegEnds_Prot#'!A:AL,11,FALSE)</f>
        <v>130</v>
      </c>
      <c r="O26" s="4" t="str">
        <f t="shared" si="2"/>
        <v>M</v>
      </c>
      <c r="P26" s="4"/>
      <c r="Q26" s="47" t="str">
        <f t="shared" si="3"/>
        <v>TVNNYFLLSLACA</v>
      </c>
      <c r="R26" s="27" t="str">
        <f t="shared" si="4"/>
        <v>D</v>
      </c>
      <c r="S26" s="19" t="str">
        <f t="shared" si="5"/>
        <v>LIIGVISMNLFTTYIIM</v>
      </c>
      <c r="T26" s="5" t="s">
        <v>20</v>
      </c>
      <c r="U26" s="4"/>
      <c r="V26" s="1"/>
      <c r="W26" s="1"/>
      <c r="X26" s="1"/>
      <c r="Y26" s="1"/>
      <c r="Z26" s="4"/>
      <c r="AA26" s="1"/>
      <c r="AB26" s="1"/>
      <c r="AC26" s="1"/>
      <c r="AD26" s="1" t="s">
        <v>18</v>
      </c>
      <c r="AE26" s="1">
        <v>101</v>
      </c>
      <c r="AF26" s="1">
        <v>113</v>
      </c>
      <c r="AG26" s="1">
        <v>130</v>
      </c>
      <c r="AH26" s="1" t="s">
        <v>19</v>
      </c>
      <c r="AI26" s="1"/>
      <c r="AJ26" s="1"/>
      <c r="AK26" s="4">
        <v>38</v>
      </c>
      <c r="AL26" s="4">
        <v>66</v>
      </c>
    </row>
    <row r="27" spans="1:38" x14ac:dyDescent="0.25">
      <c r="A27" s="1" t="str">
        <f t="shared" si="0"/>
        <v>ACM3_rat_4U15_TM2</v>
      </c>
      <c r="B27" s="45" t="s">
        <v>236</v>
      </c>
      <c r="C27" s="45" t="s">
        <v>262</v>
      </c>
      <c r="D27" s="4" t="str">
        <f>VLOOKUP(B27,Classification!A:D,2,FALSE)</f>
        <v>A</v>
      </c>
      <c r="E27" s="4" t="str">
        <f>VLOOKUP(B27,Classification!A:D,3,FALSE)</f>
        <v>Aminergic</v>
      </c>
      <c r="F27" s="4" t="str">
        <f>VLOOKUP(B27,Classification!A:D,4,FALSE)</f>
        <v>Acetylcholine(muscarinic)</v>
      </c>
      <c r="G27" s="2">
        <v>3</v>
      </c>
      <c r="H27" s="45" t="s">
        <v>17</v>
      </c>
      <c r="I27" s="2" t="s">
        <v>1223</v>
      </c>
      <c r="J27" s="5" t="str">
        <f>VLOOKUP(B27,Seqs!A:B,2,FALSE)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7" s="4" t="str">
        <f t="shared" si="1"/>
        <v>T</v>
      </c>
      <c r="L27" s="45">
        <f>VLOOKUP(B27,'NonXtal_SegEnds_Prot#'!A:AL,9,FALSE)</f>
        <v>100</v>
      </c>
      <c r="M27" s="45">
        <f>VLOOKUP(B27,'NonXtal_SegEnds_Prot#'!A:AL,10,FALSE)</f>
        <v>113</v>
      </c>
      <c r="N27" s="45">
        <f>VLOOKUP(B27,'NonXtal_SegEnds_Prot#'!A:AL,11,FALSE)</f>
        <v>130</v>
      </c>
      <c r="O27" s="4" t="str">
        <f t="shared" si="2"/>
        <v>M</v>
      </c>
      <c r="P27" s="4"/>
      <c r="Q27" s="47" t="str">
        <f t="shared" si="3"/>
        <v>TVNNYFLLSLACA</v>
      </c>
      <c r="R27" s="27" t="str">
        <f t="shared" si="4"/>
        <v>D</v>
      </c>
      <c r="S27" s="19" t="str">
        <f t="shared" si="5"/>
        <v>LIIGVISMNLFTTYIIM</v>
      </c>
      <c r="T27" s="5" t="s">
        <v>20</v>
      </c>
      <c r="Z27" s="4"/>
      <c r="AD27" s="1" t="s">
        <v>18</v>
      </c>
      <c r="AE27" s="1">
        <v>101</v>
      </c>
      <c r="AF27" s="1">
        <v>113</v>
      </c>
      <c r="AG27" s="1">
        <v>130</v>
      </c>
      <c r="AH27" s="1" t="s">
        <v>19</v>
      </c>
      <c r="AK27" s="4">
        <v>38</v>
      </c>
      <c r="AL27" s="4">
        <v>66</v>
      </c>
    </row>
    <row r="28" spans="1:38" s="23" customFormat="1" x14ac:dyDescent="0.25">
      <c r="A28" s="1" t="str">
        <f t="shared" si="0"/>
        <v>ACM4_human__wt_TM2</v>
      </c>
      <c r="B28" s="45" t="s">
        <v>220</v>
      </c>
      <c r="C28" s="45" t="s">
        <v>294</v>
      </c>
      <c r="D28" s="4" t="str">
        <f>VLOOKUP(B28,Classification!A:D,2,FALSE)</f>
        <v>A</v>
      </c>
      <c r="E28" s="4" t="str">
        <f>VLOOKUP(B28,Classification!A:D,3,FALSE)</f>
        <v>Aminergic</v>
      </c>
      <c r="F28" s="4" t="str">
        <f>VLOOKUP(B28,Classification!A:D,4,FALSE)</f>
        <v>Acetylcholine(muscarinic)</v>
      </c>
      <c r="G28" s="2">
        <v>3</v>
      </c>
      <c r="H28" s="45" t="s">
        <v>17</v>
      </c>
      <c r="I28" s="2" t="s">
        <v>1223</v>
      </c>
      <c r="J28" s="5" t="str">
        <f>VLOOKUP(B28,Seqs!A:B,2,FALSE)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8" s="4" t="str">
        <f t="shared" si="1"/>
        <v>T</v>
      </c>
      <c r="L28" s="45">
        <f>VLOOKUP(B28,'NonXtal_SegEnds_Prot#'!A:AL,9,FALSE)</f>
        <v>65</v>
      </c>
      <c r="M28" s="45">
        <f>VLOOKUP(B28,'NonXtal_SegEnds_Prot#'!A:AL,10,FALSE)</f>
        <v>78</v>
      </c>
      <c r="N28" s="45">
        <f>VLOOKUP(B28,'NonXtal_SegEnds_Prot#'!A:AL,11,FALSE)</f>
        <v>95</v>
      </c>
      <c r="O28" s="4" t="str">
        <f t="shared" si="2"/>
        <v>K</v>
      </c>
      <c r="P28" s="4"/>
      <c r="Q28" s="47" t="str">
        <f t="shared" si="3"/>
        <v>TVNNYFLFSLACA</v>
      </c>
      <c r="R28" s="27" t="str">
        <f t="shared" si="4"/>
        <v>D</v>
      </c>
      <c r="S28" s="19" t="str">
        <f t="shared" si="5"/>
        <v>LIIGAFSMNLYTVYIIK</v>
      </c>
      <c r="T28" s="5" t="s">
        <v>20</v>
      </c>
      <c r="U28" s="4"/>
      <c r="V28" s="1"/>
      <c r="W28" s="1"/>
      <c r="X28" s="1"/>
      <c r="Y28" s="1"/>
      <c r="Z28" s="4" t="s">
        <v>78</v>
      </c>
      <c r="AA28" s="1"/>
      <c r="AB28" s="1"/>
      <c r="AC28" s="1"/>
      <c r="AD28" s="1" t="s">
        <v>18</v>
      </c>
      <c r="AE28" s="1">
        <v>66</v>
      </c>
      <c r="AF28" s="1">
        <v>78</v>
      </c>
      <c r="AG28" s="1">
        <v>95</v>
      </c>
      <c r="AH28" s="1" t="s">
        <v>19</v>
      </c>
      <c r="AI28" s="1"/>
      <c r="AJ28" s="1"/>
      <c r="AK28" s="4">
        <v>38</v>
      </c>
      <c r="AL28" s="4">
        <v>66</v>
      </c>
    </row>
    <row r="29" spans="1:38" s="23" customFormat="1" x14ac:dyDescent="0.25">
      <c r="A29" s="1" t="str">
        <f t="shared" si="0"/>
        <v>ACM4_human_5DSG_TM2</v>
      </c>
      <c r="B29" s="45" t="s">
        <v>220</v>
      </c>
      <c r="C29" s="45" t="s">
        <v>252</v>
      </c>
      <c r="D29" s="4" t="str">
        <f>VLOOKUP(B29,Classification!A:D,2,FALSE)</f>
        <v>A</v>
      </c>
      <c r="E29" s="4" t="str">
        <f>VLOOKUP(B29,Classification!A:D,3,FALSE)</f>
        <v>Aminergic</v>
      </c>
      <c r="F29" s="4" t="str">
        <f>VLOOKUP(B29,Classification!A:D,4,FALSE)</f>
        <v>Acetylcholine(muscarinic)</v>
      </c>
      <c r="G29" s="2">
        <v>3</v>
      </c>
      <c r="H29" s="45" t="s">
        <v>17</v>
      </c>
      <c r="I29" s="2" t="s">
        <v>1223</v>
      </c>
      <c r="J29" s="5" t="str">
        <f>VLOOKUP(B29,Seqs!A:B,2,FALSE)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9" s="4" t="str">
        <f t="shared" si="1"/>
        <v>T</v>
      </c>
      <c r="L29" s="45">
        <f>VLOOKUP(B29,'NonXtal_SegEnds_Prot#'!A:AL,9,FALSE)</f>
        <v>65</v>
      </c>
      <c r="M29" s="45">
        <f>VLOOKUP(B29,'NonXtal_SegEnds_Prot#'!A:AL,10,FALSE)</f>
        <v>78</v>
      </c>
      <c r="N29" s="45">
        <f>VLOOKUP(B29,'NonXtal_SegEnds_Prot#'!A:AL,11,FALSE)</f>
        <v>95</v>
      </c>
      <c r="O29" s="4" t="str">
        <f t="shared" si="2"/>
        <v>K</v>
      </c>
      <c r="P29" s="4"/>
      <c r="Q29" s="47" t="str">
        <f t="shared" si="3"/>
        <v>TVNNYFLFSLACA</v>
      </c>
      <c r="R29" s="27" t="str">
        <f t="shared" si="4"/>
        <v>D</v>
      </c>
      <c r="S29" s="19" t="str">
        <f t="shared" si="5"/>
        <v>LIIGAFSMNLYTVYIIK</v>
      </c>
      <c r="T29" s="5" t="s">
        <v>20</v>
      </c>
      <c r="U29" s="4"/>
      <c r="V29" s="1"/>
      <c r="W29" s="1"/>
      <c r="X29" s="1"/>
      <c r="Y29" s="1"/>
      <c r="Z29" s="4" t="s">
        <v>78</v>
      </c>
      <c r="AA29" s="1"/>
      <c r="AB29" s="1"/>
      <c r="AC29" s="1"/>
      <c r="AD29" s="1" t="s">
        <v>18</v>
      </c>
      <c r="AE29" s="1">
        <v>66</v>
      </c>
      <c r="AF29" s="1">
        <v>78</v>
      </c>
      <c r="AG29" s="1">
        <v>95</v>
      </c>
      <c r="AH29" s="1" t="s">
        <v>19</v>
      </c>
      <c r="AI29" s="1"/>
      <c r="AJ29" s="1"/>
      <c r="AK29" s="4">
        <v>38</v>
      </c>
      <c r="AL29" s="4">
        <v>66</v>
      </c>
    </row>
    <row r="30" spans="1:38" s="23" customFormat="1" x14ac:dyDescent="0.25">
      <c r="A30" s="1" t="str">
        <f t="shared" si="0"/>
        <v>ADRB1_melga__wt_TM2</v>
      </c>
      <c r="B30" s="45" t="s">
        <v>235</v>
      </c>
      <c r="C30" s="45" t="s">
        <v>294</v>
      </c>
      <c r="D30" s="4" t="str">
        <f>VLOOKUP(B30,Classification!A:D,2,FALSE)</f>
        <v>A</v>
      </c>
      <c r="E30" s="4" t="str">
        <f>VLOOKUP(B30,Classification!A:D,3,FALSE)</f>
        <v>Aminergic</v>
      </c>
      <c r="F30" s="4" t="str">
        <f>VLOOKUP(B30,Classification!A:D,4,FALSE)</f>
        <v>Adrenoceptors</v>
      </c>
      <c r="G30" s="2">
        <v>3</v>
      </c>
      <c r="H30" s="45" t="s">
        <v>17</v>
      </c>
      <c r="I30" s="2" t="s">
        <v>1223</v>
      </c>
      <c r="J30" s="5" t="str">
        <f>VLOOKUP(B30,Seqs!A:B,2,FALSE)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0" s="4" t="str">
        <f t="shared" si="1"/>
        <v>T</v>
      </c>
      <c r="L30" s="45">
        <f>VLOOKUP(B30,'NonXtal_SegEnds_Prot#'!A:AL,9,FALSE)</f>
        <v>74</v>
      </c>
      <c r="M30" s="45">
        <f>VLOOKUP(B30,'NonXtal_SegEnds_Prot#'!A:AL,10,FALSE)</f>
        <v>87</v>
      </c>
      <c r="N30" s="45">
        <f>VLOOKUP(B30,'NonXtal_SegEnds_Prot#'!A:AL,11,FALSE)</f>
        <v>104</v>
      </c>
      <c r="O30" s="4" t="str">
        <f t="shared" si="2"/>
        <v>R</v>
      </c>
      <c r="P30" s="4"/>
      <c r="Q30" s="47" t="str">
        <f t="shared" si="3"/>
        <v>TLTNLFITSLACA</v>
      </c>
      <c r="R30" s="27" t="str">
        <f t="shared" si="4"/>
        <v>D</v>
      </c>
      <c r="S30" s="19" t="str">
        <f t="shared" si="5"/>
        <v>LVMGLLVVPFGATLVVR</v>
      </c>
      <c r="T30" s="5" t="s">
        <v>20</v>
      </c>
      <c r="U30" s="4"/>
      <c r="V30" s="1"/>
      <c r="W30" s="1"/>
      <c r="X30" s="1"/>
      <c r="Y30" s="1"/>
      <c r="Z30" s="4"/>
      <c r="AA30" s="1"/>
      <c r="AB30" s="1"/>
      <c r="AC30" s="1"/>
      <c r="AD30" s="1" t="s">
        <v>18</v>
      </c>
      <c r="AE30" s="1">
        <v>75</v>
      </c>
      <c r="AF30" s="1">
        <v>87</v>
      </c>
      <c r="AG30" s="1">
        <v>104</v>
      </c>
      <c r="AH30" s="1" t="s">
        <v>19</v>
      </c>
      <c r="AI30" s="1"/>
      <c r="AJ30" s="1"/>
      <c r="AK30" s="4">
        <v>38</v>
      </c>
      <c r="AL30" s="4">
        <v>66</v>
      </c>
    </row>
    <row r="31" spans="1:38" s="23" customFormat="1" x14ac:dyDescent="0.25">
      <c r="A31" s="1" t="str">
        <f t="shared" si="0"/>
        <v>ADRB1_melga_2Y02_TM2</v>
      </c>
      <c r="B31" s="45" t="s">
        <v>235</v>
      </c>
      <c r="C31" s="45" t="s">
        <v>1230</v>
      </c>
      <c r="D31" s="4" t="str">
        <f>VLOOKUP(B31,Classification!A:D,2,FALSE)</f>
        <v>A</v>
      </c>
      <c r="E31" s="4" t="str">
        <f>VLOOKUP(B31,Classification!A:D,3,FALSE)</f>
        <v>Aminergic</v>
      </c>
      <c r="F31" s="4" t="str">
        <f>VLOOKUP(B31,Classification!A:D,4,FALSE)</f>
        <v>Adrenoceptors</v>
      </c>
      <c r="G31" s="2">
        <v>3</v>
      </c>
      <c r="H31" s="45" t="s">
        <v>17</v>
      </c>
      <c r="I31" s="2" t="s">
        <v>1223</v>
      </c>
      <c r="J31" s="5" t="str">
        <f>VLOOKUP(B31,Seqs!A:B,2,FALSE)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1" s="4" t="str">
        <f t="shared" si="1"/>
        <v>T</v>
      </c>
      <c r="L31" s="45">
        <f>VLOOKUP(B31,'NonXtal_SegEnds_Prot#'!A:AL,9,FALSE)</f>
        <v>74</v>
      </c>
      <c r="M31" s="45">
        <f>VLOOKUP(B31,'NonXtal_SegEnds_Prot#'!A:AL,10,FALSE)</f>
        <v>87</v>
      </c>
      <c r="N31" s="45">
        <f>VLOOKUP(B31,'NonXtal_SegEnds_Prot#'!A:AL,11,FALSE)</f>
        <v>104</v>
      </c>
      <c r="O31" s="4" t="str">
        <f t="shared" si="2"/>
        <v>R</v>
      </c>
      <c r="P31" s="4"/>
      <c r="Q31" s="47" t="str">
        <f t="shared" si="3"/>
        <v>TLTNLFITSLACA</v>
      </c>
      <c r="R31" s="27" t="str">
        <f t="shared" si="4"/>
        <v>D</v>
      </c>
      <c r="S31" s="19" t="str">
        <f t="shared" si="5"/>
        <v>LVMGLLVVPFGATLVVR</v>
      </c>
      <c r="T31" s="5" t="s">
        <v>20</v>
      </c>
      <c r="U31" s="4"/>
      <c r="V31" s="1"/>
      <c r="W31" s="1"/>
      <c r="X31" s="1"/>
      <c r="Y31" s="1"/>
      <c r="Z31" s="4"/>
      <c r="AA31" s="1"/>
      <c r="AB31" s="1"/>
      <c r="AC31" s="1"/>
      <c r="AD31" s="1" t="s">
        <v>18</v>
      </c>
      <c r="AE31" s="1">
        <v>75</v>
      </c>
      <c r="AF31" s="1">
        <v>87</v>
      </c>
      <c r="AG31" s="1">
        <v>104</v>
      </c>
      <c r="AH31" s="1" t="s">
        <v>19</v>
      </c>
      <c r="AI31" s="1"/>
      <c r="AJ31" s="1"/>
      <c r="AK31" s="4">
        <v>38</v>
      </c>
      <c r="AL31" s="4">
        <v>66</v>
      </c>
    </row>
    <row r="32" spans="1:38" s="23" customFormat="1" x14ac:dyDescent="0.25">
      <c r="A32" s="1" t="str">
        <f t="shared" si="0"/>
        <v>ADRB1_melga_2YCW_TM2</v>
      </c>
      <c r="B32" s="45" t="s">
        <v>235</v>
      </c>
      <c r="C32" s="45" t="s">
        <v>1233</v>
      </c>
      <c r="D32" s="4" t="str">
        <f>VLOOKUP(B32,Classification!A:D,2,FALSE)</f>
        <v>A</v>
      </c>
      <c r="E32" s="4" t="str">
        <f>VLOOKUP(B32,Classification!A:D,3,FALSE)</f>
        <v>Aminergic</v>
      </c>
      <c r="F32" s="4" t="str">
        <f>VLOOKUP(B32,Classification!A:D,4,FALSE)</f>
        <v>Adrenoceptors</v>
      </c>
      <c r="G32" s="2">
        <v>3</v>
      </c>
      <c r="H32" s="45" t="s">
        <v>17</v>
      </c>
      <c r="I32" s="2" t="s">
        <v>1223</v>
      </c>
      <c r="J32" s="5" t="str">
        <f>VLOOKUP(B32,Seqs!A:B,2,FALSE)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2" s="4" t="str">
        <f t="shared" si="1"/>
        <v>T</v>
      </c>
      <c r="L32" s="45">
        <f>VLOOKUP(B32,'NonXtal_SegEnds_Prot#'!A:AL,9,FALSE)</f>
        <v>74</v>
      </c>
      <c r="M32" s="45">
        <f>VLOOKUP(B32,'NonXtal_SegEnds_Prot#'!A:AL,10,FALSE)</f>
        <v>87</v>
      </c>
      <c r="N32" s="45">
        <f>VLOOKUP(B32,'NonXtal_SegEnds_Prot#'!A:AL,11,FALSE)</f>
        <v>104</v>
      </c>
      <c r="O32" s="4" t="str">
        <f t="shared" si="2"/>
        <v>R</v>
      </c>
      <c r="P32" s="4"/>
      <c r="Q32" s="47" t="str">
        <f t="shared" si="3"/>
        <v>TLTNLFITSLACA</v>
      </c>
      <c r="R32" s="27" t="str">
        <f t="shared" si="4"/>
        <v>D</v>
      </c>
      <c r="S32" s="19" t="str">
        <f t="shared" si="5"/>
        <v>LVMGLLVVPFGATLVVR</v>
      </c>
      <c r="T32" s="5" t="s">
        <v>20</v>
      </c>
      <c r="U32" s="4"/>
      <c r="V32" s="1"/>
      <c r="W32" s="1"/>
      <c r="X32" s="1"/>
      <c r="Y32" s="1"/>
      <c r="Z32" s="4"/>
      <c r="AA32" s="1"/>
      <c r="AB32" s="1"/>
      <c r="AC32" s="1"/>
      <c r="AD32" s="1" t="s">
        <v>18</v>
      </c>
      <c r="AE32" s="1">
        <v>75</v>
      </c>
      <c r="AF32" s="1">
        <v>87</v>
      </c>
      <c r="AG32" s="1">
        <v>104</v>
      </c>
      <c r="AH32" s="1" t="s">
        <v>19</v>
      </c>
      <c r="AI32" s="1"/>
      <c r="AJ32" s="1"/>
      <c r="AK32" s="4">
        <v>38</v>
      </c>
      <c r="AL32" s="4">
        <v>66</v>
      </c>
    </row>
    <row r="33" spans="1:38" s="23" customFormat="1" x14ac:dyDescent="0.25">
      <c r="A33" s="1" t="str">
        <f t="shared" si="0"/>
        <v>ADRB1_melga_4BVN_TM2</v>
      </c>
      <c r="B33" s="45" t="s">
        <v>235</v>
      </c>
      <c r="C33" s="45" t="s">
        <v>273</v>
      </c>
      <c r="D33" s="4" t="str">
        <f>VLOOKUP(B33,Classification!A:D,2,FALSE)</f>
        <v>A</v>
      </c>
      <c r="E33" s="4" t="str">
        <f>VLOOKUP(B33,Classification!A:D,3,FALSE)</f>
        <v>Aminergic</v>
      </c>
      <c r="F33" s="4" t="str">
        <f>VLOOKUP(B33,Classification!A:D,4,FALSE)</f>
        <v>Adrenoceptors</v>
      </c>
      <c r="G33" s="2">
        <v>3</v>
      </c>
      <c r="H33" s="45" t="s">
        <v>17</v>
      </c>
      <c r="I33" s="2" t="s">
        <v>1223</v>
      </c>
      <c r="J33" s="5" t="str">
        <f>VLOOKUP(B33,Seqs!A:B,2,FALSE)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3" s="4" t="str">
        <f t="shared" si="1"/>
        <v>T</v>
      </c>
      <c r="L33" s="45">
        <f>VLOOKUP(B33,'NonXtal_SegEnds_Prot#'!A:AL,9,FALSE)</f>
        <v>74</v>
      </c>
      <c r="M33" s="45">
        <f>VLOOKUP(B33,'NonXtal_SegEnds_Prot#'!A:AL,10,FALSE)</f>
        <v>87</v>
      </c>
      <c r="N33" s="45">
        <f>VLOOKUP(B33,'NonXtal_SegEnds_Prot#'!A:AL,11,FALSE)</f>
        <v>104</v>
      </c>
      <c r="O33" s="4" t="str">
        <f t="shared" si="2"/>
        <v>R</v>
      </c>
      <c r="P33" s="4"/>
      <c r="Q33" s="47" t="str">
        <f t="shared" si="3"/>
        <v>TLTNLFITSLACA</v>
      </c>
      <c r="R33" s="27" t="str">
        <f t="shared" si="4"/>
        <v>D</v>
      </c>
      <c r="S33" s="19" t="str">
        <f t="shared" si="5"/>
        <v>LVMGLLVVPFGATLVVR</v>
      </c>
      <c r="T33" s="5" t="s">
        <v>20</v>
      </c>
      <c r="U33" s="4"/>
      <c r="V33" s="1"/>
      <c r="W33" s="1"/>
      <c r="X33" s="1"/>
      <c r="Y33" s="1"/>
      <c r="Z33" s="4"/>
      <c r="AA33" s="1"/>
      <c r="AB33" s="1"/>
      <c r="AC33" s="1"/>
      <c r="AD33" s="1" t="s">
        <v>18</v>
      </c>
      <c r="AE33" s="1">
        <v>75</v>
      </c>
      <c r="AF33" s="1">
        <v>87</v>
      </c>
      <c r="AG33" s="1">
        <v>104</v>
      </c>
      <c r="AH33" s="1" t="s">
        <v>19</v>
      </c>
      <c r="AI33" s="1"/>
      <c r="AJ33" s="1"/>
      <c r="AK33" s="4">
        <v>38</v>
      </c>
      <c r="AL33" s="4">
        <v>66</v>
      </c>
    </row>
    <row r="34" spans="1:38" s="23" customFormat="1" x14ac:dyDescent="0.25">
      <c r="A34" s="1" t="str">
        <f t="shared" si="0"/>
        <v>ADRB2_human__wt_TM2</v>
      </c>
      <c r="B34" s="45" t="s">
        <v>211</v>
      </c>
      <c r="C34" s="54" t="s">
        <v>294</v>
      </c>
      <c r="D34" s="4" t="str">
        <f>VLOOKUP(B34,Classification!A:D,2,FALSE)</f>
        <v>A</v>
      </c>
      <c r="E34" s="4" t="str">
        <f>VLOOKUP(B34,Classification!A:D,3,FALSE)</f>
        <v>Aminergic</v>
      </c>
      <c r="F34" s="4" t="str">
        <f>VLOOKUP(B34,Classification!A:D,4,FALSE)</f>
        <v>Adrenoceptors</v>
      </c>
      <c r="G34" s="2">
        <v>3</v>
      </c>
      <c r="H34" s="45" t="s">
        <v>17</v>
      </c>
      <c r="I34" s="2" t="s">
        <v>1223</v>
      </c>
      <c r="J34" s="5" t="str">
        <f>VLOOKUP(B34,Seqs!A:B,2,FALSE)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4" s="4" t="str">
        <f t="shared" si="1"/>
        <v>T</v>
      </c>
      <c r="L34" s="45">
        <f>VLOOKUP(B34,'NonXtal_SegEnds_Prot#'!A:AL,9,FALSE)</f>
        <v>66</v>
      </c>
      <c r="M34" s="45">
        <f>VLOOKUP(B34,'NonXtal_SegEnds_Prot#'!A:AL,10,FALSE)</f>
        <v>79</v>
      </c>
      <c r="N34" s="45">
        <f>VLOOKUP(B34,'NonXtal_SegEnds_Prot#'!A:AL,11,FALSE)</f>
        <v>96</v>
      </c>
      <c r="O34" s="4" t="str">
        <f t="shared" si="2"/>
        <v>M</v>
      </c>
      <c r="P34" s="4"/>
      <c r="Q34" s="47" t="str">
        <f t="shared" si="3"/>
        <v>TVTNYFITSLACA</v>
      </c>
      <c r="R34" s="27" t="str">
        <f t="shared" si="4"/>
        <v>D</v>
      </c>
      <c r="S34" s="19" t="str">
        <f t="shared" si="5"/>
        <v>LVMGLAVVPFGAAHILM</v>
      </c>
      <c r="T34" s="5" t="s">
        <v>20</v>
      </c>
      <c r="U34" s="4"/>
      <c r="V34" s="1"/>
      <c r="W34" s="1"/>
      <c r="X34" s="1"/>
      <c r="Y34" s="1"/>
      <c r="Z34" s="4" t="s">
        <v>64</v>
      </c>
      <c r="AA34" s="1"/>
      <c r="AB34" s="1"/>
      <c r="AC34" s="1"/>
      <c r="AD34" s="1" t="s">
        <v>18</v>
      </c>
      <c r="AE34" s="1">
        <v>67</v>
      </c>
      <c r="AF34" s="1">
        <v>79</v>
      </c>
      <c r="AG34" s="1">
        <v>96</v>
      </c>
      <c r="AH34" s="1" t="s">
        <v>19</v>
      </c>
      <c r="AI34" s="1"/>
      <c r="AJ34" s="1"/>
      <c r="AK34" s="4">
        <v>38</v>
      </c>
      <c r="AL34" s="4">
        <v>66</v>
      </c>
    </row>
    <row r="35" spans="1:38" s="23" customFormat="1" x14ac:dyDescent="0.25">
      <c r="A35" s="1" t="str">
        <f t="shared" si="0"/>
        <v>ADRB2_human_3D4S_TM2</v>
      </c>
      <c r="B35" s="45" t="s">
        <v>211</v>
      </c>
      <c r="C35" s="45" t="s">
        <v>267</v>
      </c>
      <c r="D35" s="4" t="str">
        <f>VLOOKUP(B35,Classification!A:D,2,FALSE)</f>
        <v>A</v>
      </c>
      <c r="E35" s="4" t="str">
        <f>VLOOKUP(B35,Classification!A:D,3,FALSE)</f>
        <v>Aminergic</v>
      </c>
      <c r="F35" s="4" t="str">
        <f>VLOOKUP(B35,Classification!A:D,4,FALSE)</f>
        <v>Adrenoceptors</v>
      </c>
      <c r="G35" s="2">
        <v>3</v>
      </c>
      <c r="H35" s="45" t="s">
        <v>17</v>
      </c>
      <c r="I35" s="2" t="s">
        <v>1223</v>
      </c>
      <c r="J35" s="5" t="str">
        <f>VLOOKUP(B35,Seqs!A:B,2,FALSE)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5" s="4" t="str">
        <f t="shared" si="1"/>
        <v>T</v>
      </c>
      <c r="L35" s="45">
        <f>VLOOKUP(B35,'NonXtal_SegEnds_Prot#'!A:AL,9,FALSE)</f>
        <v>66</v>
      </c>
      <c r="M35" s="45">
        <f>VLOOKUP(B35,'NonXtal_SegEnds_Prot#'!A:AL,10,FALSE)</f>
        <v>79</v>
      </c>
      <c r="N35" s="45">
        <f>VLOOKUP(B35,'NonXtal_SegEnds_Prot#'!A:AL,11,FALSE)</f>
        <v>96</v>
      </c>
      <c r="O35" s="4" t="str">
        <f t="shared" si="2"/>
        <v>M</v>
      </c>
      <c r="P35" s="4"/>
      <c r="Q35" s="47" t="str">
        <f t="shared" si="3"/>
        <v>TVTNYFITSLACA</v>
      </c>
      <c r="R35" s="27" t="str">
        <f t="shared" si="4"/>
        <v>D</v>
      </c>
      <c r="S35" s="19" t="str">
        <f t="shared" si="5"/>
        <v>LVMGLAVVPFGAAHILM</v>
      </c>
      <c r="T35" s="5" t="s">
        <v>20</v>
      </c>
      <c r="U35" s="4"/>
      <c r="V35" s="1"/>
      <c r="W35" s="1"/>
      <c r="X35" s="1"/>
      <c r="Y35" s="1"/>
      <c r="Z35" s="4"/>
      <c r="AA35" s="1"/>
      <c r="AB35" s="1"/>
      <c r="AC35" s="1"/>
      <c r="AD35" s="1" t="s">
        <v>18</v>
      </c>
      <c r="AE35" s="1">
        <v>67</v>
      </c>
      <c r="AF35" s="1">
        <v>79</v>
      </c>
      <c r="AG35" s="1">
        <v>96</v>
      </c>
      <c r="AH35" s="1" t="s">
        <v>19</v>
      </c>
      <c r="AI35" s="1"/>
      <c r="AJ35" s="1"/>
      <c r="AK35" s="4">
        <v>38</v>
      </c>
      <c r="AL35" s="4">
        <v>66</v>
      </c>
    </row>
    <row r="36" spans="1:38" x14ac:dyDescent="0.25">
      <c r="A36" s="1" t="str">
        <f t="shared" si="0"/>
        <v>ADRB2_human_3P0G_TM2</v>
      </c>
      <c r="B36" s="45" t="s">
        <v>211</v>
      </c>
      <c r="C36" s="45" t="s">
        <v>257</v>
      </c>
      <c r="D36" s="4" t="str">
        <f>VLOOKUP(B36,Classification!A:D,2,FALSE)</f>
        <v>A</v>
      </c>
      <c r="E36" s="4" t="str">
        <f>VLOOKUP(B36,Classification!A:D,3,FALSE)</f>
        <v>Aminergic</v>
      </c>
      <c r="F36" s="4" t="str">
        <f>VLOOKUP(B36,Classification!A:D,4,FALSE)</f>
        <v>Adrenoceptors</v>
      </c>
      <c r="G36" s="2">
        <v>3</v>
      </c>
      <c r="H36" s="45" t="s">
        <v>17</v>
      </c>
      <c r="I36" s="2" t="s">
        <v>1223</v>
      </c>
      <c r="J36" s="5" t="str">
        <f>VLOOKUP(B36,Seqs!A:B,2,FALSE)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" s="4" t="str">
        <f t="shared" si="1"/>
        <v>T</v>
      </c>
      <c r="L36" s="45">
        <f>VLOOKUP(B36,'NonXtal_SegEnds_Prot#'!A:AL,9,FALSE)</f>
        <v>66</v>
      </c>
      <c r="M36" s="45">
        <f>VLOOKUP(B36,'NonXtal_SegEnds_Prot#'!A:AL,10,FALSE)</f>
        <v>79</v>
      </c>
      <c r="N36" s="45">
        <f>VLOOKUP(B36,'NonXtal_SegEnds_Prot#'!A:AL,11,FALSE)</f>
        <v>96</v>
      </c>
      <c r="O36" s="4" t="str">
        <f t="shared" si="2"/>
        <v>M</v>
      </c>
      <c r="P36" s="4"/>
      <c r="Q36" s="47" t="str">
        <f t="shared" si="3"/>
        <v>TVTNYFITSLACA</v>
      </c>
      <c r="R36" s="27" t="str">
        <f t="shared" si="4"/>
        <v>D</v>
      </c>
      <c r="S36" s="19" t="str">
        <f t="shared" si="5"/>
        <v>LVMGLAVVPFGAAHILM</v>
      </c>
      <c r="T36" s="5" t="s">
        <v>20</v>
      </c>
      <c r="Z36" s="4"/>
      <c r="AD36" s="1" t="s">
        <v>18</v>
      </c>
      <c r="AE36" s="1">
        <v>67</v>
      </c>
      <c r="AF36" s="1">
        <v>79</v>
      </c>
      <c r="AG36" s="1">
        <v>96</v>
      </c>
      <c r="AH36" s="1" t="s">
        <v>19</v>
      </c>
      <c r="AK36" s="4">
        <v>38</v>
      </c>
      <c r="AL36" s="4">
        <v>66</v>
      </c>
    </row>
    <row r="37" spans="1:38" x14ac:dyDescent="0.25">
      <c r="A37" s="1" t="str">
        <f t="shared" si="0"/>
        <v>ADRB2_human_3SN6_TM2</v>
      </c>
      <c r="B37" s="45" t="s">
        <v>211</v>
      </c>
      <c r="C37" s="45" t="s">
        <v>277</v>
      </c>
      <c r="D37" s="4" t="str">
        <f>VLOOKUP(B37,Classification!A:D,2,FALSE)</f>
        <v>A</v>
      </c>
      <c r="E37" s="4" t="str">
        <f>VLOOKUP(B37,Classification!A:D,3,FALSE)</f>
        <v>Aminergic</v>
      </c>
      <c r="F37" s="4" t="str">
        <f>VLOOKUP(B37,Classification!A:D,4,FALSE)</f>
        <v>Adrenoceptors</v>
      </c>
      <c r="G37" s="2">
        <v>3</v>
      </c>
      <c r="H37" s="45" t="s">
        <v>17</v>
      </c>
      <c r="I37" s="2" t="s">
        <v>1223</v>
      </c>
      <c r="J37" s="5" t="str">
        <f>VLOOKUP(B37,Seqs!A:B,2,FALSE)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" s="4" t="str">
        <f t="shared" si="1"/>
        <v>T</v>
      </c>
      <c r="L37" s="45">
        <f>VLOOKUP(B37,'NonXtal_SegEnds_Prot#'!A:AL,9,FALSE)</f>
        <v>66</v>
      </c>
      <c r="M37" s="45">
        <f>VLOOKUP(B37,'NonXtal_SegEnds_Prot#'!A:AL,10,FALSE)</f>
        <v>79</v>
      </c>
      <c r="N37" s="45">
        <f>VLOOKUP(B37,'NonXtal_SegEnds_Prot#'!A:AL,11,FALSE)</f>
        <v>96</v>
      </c>
      <c r="O37" s="4" t="str">
        <f t="shared" si="2"/>
        <v>M</v>
      </c>
      <c r="P37" s="4"/>
      <c r="Q37" s="47" t="str">
        <f t="shared" si="3"/>
        <v>TVTNYFITSLACA</v>
      </c>
      <c r="R37" s="27" t="str">
        <f t="shared" si="4"/>
        <v>D</v>
      </c>
      <c r="S37" s="19" t="str">
        <f t="shared" si="5"/>
        <v>LVMGLAVVPFGAAHILM</v>
      </c>
      <c r="T37" s="5" t="s">
        <v>20</v>
      </c>
      <c r="Z37" s="4" t="s">
        <v>64</v>
      </c>
      <c r="AD37" s="1" t="s">
        <v>18</v>
      </c>
      <c r="AE37" s="1">
        <v>67</v>
      </c>
      <c r="AF37" s="1">
        <v>79</v>
      </c>
      <c r="AG37" s="1">
        <v>96</v>
      </c>
      <c r="AH37" s="1" t="s">
        <v>19</v>
      </c>
      <c r="AK37" s="4">
        <v>38</v>
      </c>
      <c r="AL37" s="4">
        <v>66</v>
      </c>
    </row>
    <row r="38" spans="1:38" x14ac:dyDescent="0.25">
      <c r="A38" s="1" t="str">
        <f t="shared" si="0"/>
        <v>ADRB2_human_4LDE_TM2</v>
      </c>
      <c r="B38" s="45" t="s">
        <v>211</v>
      </c>
      <c r="C38" s="45" t="s">
        <v>268</v>
      </c>
      <c r="D38" s="4" t="str">
        <f>VLOOKUP(B38,Classification!A:D,2,FALSE)</f>
        <v>A</v>
      </c>
      <c r="E38" s="4" t="str">
        <f>VLOOKUP(B38,Classification!A:D,3,FALSE)</f>
        <v>Aminergic</v>
      </c>
      <c r="F38" s="4" t="str">
        <f>VLOOKUP(B38,Classification!A:D,4,FALSE)</f>
        <v>Adrenoceptors</v>
      </c>
      <c r="G38" s="2">
        <v>3</v>
      </c>
      <c r="H38" s="45" t="s">
        <v>17</v>
      </c>
      <c r="I38" s="2" t="s">
        <v>1223</v>
      </c>
      <c r="J38" s="5" t="str">
        <f>VLOOKUP(B38,Seqs!A:B,2,FALSE)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8" s="4" t="str">
        <f t="shared" si="1"/>
        <v>T</v>
      </c>
      <c r="L38" s="45">
        <f>VLOOKUP(B38,'NonXtal_SegEnds_Prot#'!A:AL,9,FALSE)</f>
        <v>66</v>
      </c>
      <c r="M38" s="45">
        <f>VLOOKUP(B38,'NonXtal_SegEnds_Prot#'!A:AL,10,FALSE)</f>
        <v>79</v>
      </c>
      <c r="N38" s="45">
        <f>VLOOKUP(B38,'NonXtal_SegEnds_Prot#'!A:AL,11,FALSE)</f>
        <v>96</v>
      </c>
      <c r="O38" s="4" t="str">
        <f t="shared" si="2"/>
        <v>M</v>
      </c>
      <c r="P38" s="4"/>
      <c r="Q38" s="47" t="str">
        <f t="shared" si="3"/>
        <v>TVTNYFITSLACA</v>
      </c>
      <c r="R38" s="27" t="str">
        <f t="shared" si="4"/>
        <v>D</v>
      </c>
      <c r="S38" s="19" t="str">
        <f t="shared" si="5"/>
        <v>LVMGLAVVPFGAAHILM</v>
      </c>
      <c r="T38" s="8" t="s">
        <v>20</v>
      </c>
      <c r="Z38" s="4"/>
      <c r="AD38" s="1" t="s">
        <v>18</v>
      </c>
      <c r="AE38" s="1">
        <v>67</v>
      </c>
      <c r="AF38" s="1">
        <v>79</v>
      </c>
      <c r="AG38" s="1">
        <v>96</v>
      </c>
      <c r="AH38" s="1" t="s">
        <v>19</v>
      </c>
      <c r="AK38" s="4">
        <v>38</v>
      </c>
      <c r="AL38" s="4">
        <v>66</v>
      </c>
    </row>
    <row r="39" spans="1:38" x14ac:dyDescent="0.25">
      <c r="A39" s="1" t="str">
        <f t="shared" si="0"/>
        <v>ADRB2_human_4QKX_TM2</v>
      </c>
      <c r="B39" s="45" t="s">
        <v>211</v>
      </c>
      <c r="C39" s="45" t="s">
        <v>269</v>
      </c>
      <c r="D39" s="4" t="str">
        <f>VLOOKUP(B39,Classification!A:D,2,FALSE)</f>
        <v>A</v>
      </c>
      <c r="E39" s="4" t="str">
        <f>VLOOKUP(B39,Classification!A:D,3,FALSE)</f>
        <v>Aminergic</v>
      </c>
      <c r="F39" s="4" t="str">
        <f>VLOOKUP(B39,Classification!A:D,4,FALSE)</f>
        <v>Adrenoceptors</v>
      </c>
      <c r="G39" s="2">
        <v>3</v>
      </c>
      <c r="H39" s="45" t="s">
        <v>17</v>
      </c>
      <c r="I39" s="2" t="s">
        <v>1223</v>
      </c>
      <c r="J39" s="5" t="str">
        <f>VLOOKUP(B39,Seqs!A:B,2,FALSE)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9" s="4" t="str">
        <f t="shared" si="1"/>
        <v>T</v>
      </c>
      <c r="L39" s="45">
        <f>VLOOKUP(B39,'NonXtal_SegEnds_Prot#'!A:AL,9,FALSE)</f>
        <v>66</v>
      </c>
      <c r="M39" s="45">
        <f>VLOOKUP(B39,'NonXtal_SegEnds_Prot#'!A:AL,10,FALSE)</f>
        <v>79</v>
      </c>
      <c r="N39" s="45">
        <f>VLOOKUP(B39,'NonXtal_SegEnds_Prot#'!A:AL,11,FALSE)</f>
        <v>96</v>
      </c>
      <c r="O39" s="4" t="str">
        <f t="shared" si="2"/>
        <v>M</v>
      </c>
      <c r="P39" s="4"/>
      <c r="Q39" s="47" t="str">
        <f t="shared" si="3"/>
        <v>TVTNYFITSLACA</v>
      </c>
      <c r="R39" s="27" t="str">
        <f t="shared" si="4"/>
        <v>D</v>
      </c>
      <c r="S39" s="19" t="str">
        <f t="shared" si="5"/>
        <v>LVMGLAVVPFGAAHILM</v>
      </c>
      <c r="T39" s="8" t="s">
        <v>20</v>
      </c>
      <c r="Z39" s="4"/>
      <c r="AD39" s="1" t="s">
        <v>18</v>
      </c>
      <c r="AE39" s="1">
        <v>67</v>
      </c>
      <c r="AF39" s="1">
        <v>79</v>
      </c>
      <c r="AG39" s="1">
        <v>96</v>
      </c>
      <c r="AH39" s="1" t="s">
        <v>19</v>
      </c>
      <c r="AK39" s="4">
        <v>38</v>
      </c>
      <c r="AL39" s="4">
        <v>66</v>
      </c>
    </row>
    <row r="40" spans="1:38" s="23" customFormat="1" x14ac:dyDescent="0.25">
      <c r="A40" s="1" t="str">
        <f t="shared" si="0"/>
        <v>DRD3_human__wt_TM2</v>
      </c>
      <c r="B40" s="45" t="s">
        <v>222</v>
      </c>
      <c r="C40" s="45" t="s">
        <v>294</v>
      </c>
      <c r="D40" s="4" t="str">
        <f>VLOOKUP(B40,Classification!A:D,2,FALSE)</f>
        <v>A</v>
      </c>
      <c r="E40" s="4" t="str">
        <f>VLOOKUP(B40,Classification!A:D,3,FALSE)</f>
        <v>Aminergic</v>
      </c>
      <c r="F40" s="4" t="str">
        <f>VLOOKUP(B40,Classification!A:D,4,FALSE)</f>
        <v>Dopamine</v>
      </c>
      <c r="G40" s="2">
        <v>3</v>
      </c>
      <c r="H40" s="45" t="s">
        <v>17</v>
      </c>
      <c r="I40" s="2" t="s">
        <v>1223</v>
      </c>
      <c r="J40" s="5" t="str">
        <f>VLOOKUP(B40,Seqs!A:B,2,FALSE)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40" s="4" t="str">
        <f t="shared" si="1"/>
        <v>T</v>
      </c>
      <c r="L40" s="45">
        <f>VLOOKUP(B40,'NonXtal_SegEnds_Prot#'!A:AL,9,FALSE)</f>
        <v>62</v>
      </c>
      <c r="M40" s="45">
        <f>VLOOKUP(B40,'NonXtal_SegEnds_Prot#'!A:AL,10,FALSE)</f>
        <v>75</v>
      </c>
      <c r="N40" s="45">
        <f>VLOOKUP(B40,'NonXtal_SegEnds_Prot#'!A:AL,11,FALSE)</f>
        <v>92</v>
      </c>
      <c r="O40" s="4" t="str">
        <f t="shared" si="2"/>
        <v>T</v>
      </c>
      <c r="P40" s="4"/>
      <c r="Q40" s="47" t="str">
        <f t="shared" si="3"/>
        <v>TTTNYLVVSLAVA</v>
      </c>
      <c r="R40" s="27" t="str">
        <f t="shared" si="4"/>
        <v>D</v>
      </c>
      <c r="S40" s="19" t="str">
        <f t="shared" si="5"/>
        <v>LLVATLVMPWVVYLEVT</v>
      </c>
      <c r="T40" s="5" t="s">
        <v>20</v>
      </c>
      <c r="U40" s="4"/>
      <c r="V40" s="1"/>
      <c r="W40" s="1"/>
      <c r="X40" s="1"/>
      <c r="Y40" s="1"/>
      <c r="Z40" s="4"/>
      <c r="AA40" s="1"/>
      <c r="AB40" s="1"/>
      <c r="AC40" s="1"/>
      <c r="AD40" s="1" t="s">
        <v>18</v>
      </c>
      <c r="AE40" s="1">
        <v>63</v>
      </c>
      <c r="AF40" s="1">
        <v>75</v>
      </c>
      <c r="AG40" s="1">
        <v>92</v>
      </c>
      <c r="AH40" s="1" t="s">
        <v>19</v>
      </c>
      <c r="AI40" s="1"/>
      <c r="AJ40" s="1"/>
      <c r="AK40" s="4">
        <v>38</v>
      </c>
      <c r="AL40" s="4">
        <v>66</v>
      </c>
    </row>
    <row r="41" spans="1:38" x14ac:dyDescent="0.25">
      <c r="A41" s="1" t="str">
        <f t="shared" si="0"/>
        <v>DRD3_human_3PBL_TM2</v>
      </c>
      <c r="B41" s="45" t="s">
        <v>222</v>
      </c>
      <c r="C41" s="45" t="s">
        <v>263</v>
      </c>
      <c r="D41" s="4" t="str">
        <f>VLOOKUP(B41,Classification!A:D,2,FALSE)</f>
        <v>A</v>
      </c>
      <c r="E41" s="4" t="str">
        <f>VLOOKUP(B41,Classification!A:D,3,FALSE)</f>
        <v>Aminergic</v>
      </c>
      <c r="F41" s="4" t="str">
        <f>VLOOKUP(B41,Classification!A:D,4,FALSE)</f>
        <v>Dopamine</v>
      </c>
      <c r="G41" s="2">
        <v>3</v>
      </c>
      <c r="H41" s="45" t="s">
        <v>17</v>
      </c>
      <c r="I41" s="2" t="s">
        <v>1223</v>
      </c>
      <c r="J41" s="5" t="str">
        <f>VLOOKUP(B41,Seqs!A:B,2,FALSE)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41" s="4" t="str">
        <f t="shared" si="1"/>
        <v>T</v>
      </c>
      <c r="L41" s="45">
        <f>VLOOKUP(B41,'NonXtal_SegEnds_Prot#'!A:AL,9,FALSE)</f>
        <v>62</v>
      </c>
      <c r="M41" s="45">
        <f>VLOOKUP(B41,'NonXtal_SegEnds_Prot#'!A:AL,10,FALSE)</f>
        <v>75</v>
      </c>
      <c r="N41" s="45">
        <f>VLOOKUP(B41,'NonXtal_SegEnds_Prot#'!A:AL,11,FALSE)</f>
        <v>92</v>
      </c>
      <c r="O41" s="4" t="str">
        <f t="shared" si="2"/>
        <v>T</v>
      </c>
      <c r="P41" s="4"/>
      <c r="Q41" s="47" t="str">
        <f t="shared" si="3"/>
        <v>TTTNYLVVSLAVA</v>
      </c>
      <c r="R41" s="27" t="str">
        <f t="shared" si="4"/>
        <v>D</v>
      </c>
      <c r="S41" s="19" t="str">
        <f t="shared" si="5"/>
        <v>LLVATLVMPWVVYLEVT</v>
      </c>
      <c r="T41" s="5" t="s">
        <v>20</v>
      </c>
      <c r="Z41" s="4"/>
      <c r="AD41" s="1" t="s">
        <v>18</v>
      </c>
      <c r="AE41" s="1">
        <v>63</v>
      </c>
      <c r="AF41" s="1">
        <v>75</v>
      </c>
      <c r="AG41" s="1">
        <v>92</v>
      </c>
      <c r="AH41" s="1" t="s">
        <v>19</v>
      </c>
      <c r="AK41" s="4">
        <v>38</v>
      </c>
      <c r="AL41" s="4">
        <v>66</v>
      </c>
    </row>
    <row r="42" spans="1:38" s="23" customFormat="1" x14ac:dyDescent="0.25">
      <c r="A42" s="1" t="str">
        <f t="shared" si="0"/>
        <v>HRH1_human__wt_TM2</v>
      </c>
      <c r="B42" s="45" t="s">
        <v>225</v>
      </c>
      <c r="C42" s="45" t="s">
        <v>294</v>
      </c>
      <c r="D42" s="4" t="str">
        <f>VLOOKUP(B42,Classification!A:D,2,FALSE)</f>
        <v>A</v>
      </c>
      <c r="E42" s="4" t="str">
        <f>VLOOKUP(B42,Classification!A:D,3,FALSE)</f>
        <v>Aminergic</v>
      </c>
      <c r="F42" s="4" t="str">
        <f>VLOOKUP(B42,Classification!A:D,4,FALSE)</f>
        <v>Histamine</v>
      </c>
      <c r="G42" s="2">
        <v>3</v>
      </c>
      <c r="H42" s="45" t="s">
        <v>17</v>
      </c>
      <c r="I42" s="2" t="s">
        <v>1223</v>
      </c>
      <c r="J42" s="5" t="str">
        <f>VLOOKUP(B42,Seqs!A:B,2,FALSE)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42" s="4" t="str">
        <f t="shared" si="1"/>
        <v>T</v>
      </c>
      <c r="L42" s="45">
        <f>VLOOKUP(B42,'NonXtal_SegEnds_Prot#'!A:AL,9,FALSE)</f>
        <v>60</v>
      </c>
      <c r="M42" s="45">
        <f>VLOOKUP(B42,'NonXtal_SegEnds_Prot#'!A:AL,10,FALSE)</f>
        <v>73</v>
      </c>
      <c r="N42" s="45">
        <f>VLOOKUP(B42,'NonXtal_SegEnds_Prot#'!A:AL,11,FALSE)</f>
        <v>90</v>
      </c>
      <c r="O42" s="4" t="str">
        <f t="shared" si="2"/>
        <v>M</v>
      </c>
      <c r="P42" s="4"/>
      <c r="Q42" s="47" t="str">
        <f t="shared" si="3"/>
        <v>TVGNLYIVSLSVA</v>
      </c>
      <c r="R42" s="27" t="str">
        <f t="shared" si="4"/>
        <v>D</v>
      </c>
      <c r="S42" s="19" t="str">
        <f t="shared" si="5"/>
        <v>LIVGAVVMPMNILYLLM</v>
      </c>
      <c r="T42" s="5" t="s">
        <v>20</v>
      </c>
      <c r="U42" s="4"/>
      <c r="V42" s="1"/>
      <c r="W42" s="1"/>
      <c r="X42" s="1"/>
      <c r="Y42" s="1"/>
      <c r="Z42" s="4"/>
      <c r="AA42" s="1"/>
      <c r="AB42" s="1"/>
      <c r="AC42" s="1"/>
      <c r="AD42" s="1" t="s">
        <v>18</v>
      </c>
      <c r="AE42" s="1">
        <v>61</v>
      </c>
      <c r="AF42" s="1">
        <v>73</v>
      </c>
      <c r="AG42" s="1">
        <v>90</v>
      </c>
      <c r="AH42" s="1" t="s">
        <v>19</v>
      </c>
      <c r="AI42" s="1"/>
      <c r="AJ42" s="1"/>
      <c r="AK42" s="4">
        <v>38</v>
      </c>
      <c r="AL42" s="4">
        <v>66</v>
      </c>
    </row>
    <row r="43" spans="1:38" s="23" customFormat="1" x14ac:dyDescent="0.25">
      <c r="A43" s="1" t="str">
        <f t="shared" si="0"/>
        <v>HRH1_human_3RZE_TM2</v>
      </c>
      <c r="B43" s="45" t="s">
        <v>225</v>
      </c>
      <c r="C43" s="45" t="s">
        <v>264</v>
      </c>
      <c r="D43" s="4" t="str">
        <f>VLOOKUP(B43,Classification!A:D,2,FALSE)</f>
        <v>A</v>
      </c>
      <c r="E43" s="4" t="str">
        <f>VLOOKUP(B43,Classification!A:D,3,FALSE)</f>
        <v>Aminergic</v>
      </c>
      <c r="F43" s="4" t="str">
        <f>VLOOKUP(B43,Classification!A:D,4,FALSE)</f>
        <v>Histamine</v>
      </c>
      <c r="G43" s="2">
        <v>3</v>
      </c>
      <c r="H43" s="45" t="s">
        <v>17</v>
      </c>
      <c r="I43" s="2" t="s">
        <v>1223</v>
      </c>
      <c r="J43" s="5" t="str">
        <f>VLOOKUP(B43,Seqs!A:B,2,FALSE)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43" s="4" t="str">
        <f t="shared" si="1"/>
        <v>T</v>
      </c>
      <c r="L43" s="45">
        <f>VLOOKUP(B43,'NonXtal_SegEnds_Prot#'!A:AL,9,FALSE)</f>
        <v>60</v>
      </c>
      <c r="M43" s="45">
        <f>VLOOKUP(B43,'NonXtal_SegEnds_Prot#'!A:AL,10,FALSE)</f>
        <v>73</v>
      </c>
      <c r="N43" s="45">
        <f>VLOOKUP(B43,'NonXtal_SegEnds_Prot#'!A:AL,11,FALSE)</f>
        <v>90</v>
      </c>
      <c r="O43" s="4" t="str">
        <f t="shared" si="2"/>
        <v>M</v>
      </c>
      <c r="P43" s="4"/>
      <c r="Q43" s="47" t="str">
        <f t="shared" si="3"/>
        <v>TVGNLYIVSLSVA</v>
      </c>
      <c r="R43" s="27" t="str">
        <f t="shared" si="4"/>
        <v>D</v>
      </c>
      <c r="S43" s="19" t="str">
        <f t="shared" si="5"/>
        <v>LIVGAVVMPMNILYLLM</v>
      </c>
      <c r="T43" s="5" t="s">
        <v>20</v>
      </c>
      <c r="U43" s="4"/>
      <c r="V43" s="1"/>
      <c r="W43" s="1"/>
      <c r="X43" s="1"/>
      <c r="Y43" s="1"/>
      <c r="Z43" s="4"/>
      <c r="AA43" s="1"/>
      <c r="AB43" s="1"/>
      <c r="AC43" s="1"/>
      <c r="AD43" s="1" t="s">
        <v>18</v>
      </c>
      <c r="AE43" s="1">
        <v>61</v>
      </c>
      <c r="AF43" s="1">
        <v>73</v>
      </c>
      <c r="AG43" s="1">
        <v>90</v>
      </c>
      <c r="AH43" s="1" t="s">
        <v>19</v>
      </c>
      <c r="AI43" s="1"/>
      <c r="AJ43" s="1"/>
      <c r="AK43" s="4">
        <v>38</v>
      </c>
      <c r="AL43" s="4">
        <v>66</v>
      </c>
    </row>
    <row r="44" spans="1:38" s="23" customFormat="1" x14ac:dyDescent="0.25">
      <c r="A44" s="1" t="str">
        <f t="shared" si="0"/>
        <v>NTR1_rat__wt_TM2</v>
      </c>
      <c r="B44" s="45" t="s">
        <v>234</v>
      </c>
      <c r="C44" s="45" t="s">
        <v>294</v>
      </c>
      <c r="D44" s="4" t="str">
        <f>VLOOKUP(B44,Classification!A:D,2,FALSE)</f>
        <v>A</v>
      </c>
      <c r="E44" s="4" t="str">
        <f>VLOOKUP(B44,Classification!A:D,3,FALSE)</f>
        <v>Peptide</v>
      </c>
      <c r="F44" s="4" t="str">
        <f>VLOOKUP(B44,Classification!A:D,4,FALSE)</f>
        <v>Neurotensin</v>
      </c>
      <c r="G44" s="2">
        <v>3</v>
      </c>
      <c r="H44" s="45" t="s">
        <v>17</v>
      </c>
      <c r="I44" s="2" t="s">
        <v>1223</v>
      </c>
      <c r="J44" s="5" t="str">
        <f>VLOOKUP(B44,Seqs!A:B,2,FALSE)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4" s="4" t="str">
        <f t="shared" si="1"/>
        <v>S</v>
      </c>
      <c r="L44" s="45">
        <f>VLOOKUP(B44,'NonXtal_SegEnds_Prot#'!A:AL,9,FALSE)</f>
        <v>97</v>
      </c>
      <c r="M44" s="45">
        <f>VLOOKUP(B44,'NonXtal_SegEnds_Prot#'!A:AL,10,FALSE)</f>
        <v>113</v>
      </c>
      <c r="N44" s="45">
        <f>VLOOKUP(B44,'NonXtal_SegEnds_Prot#'!A:AL,11,FALSE)</f>
        <v>131</v>
      </c>
      <c r="O44" s="4" t="str">
        <f t="shared" si="2"/>
        <v>V</v>
      </c>
      <c r="P44" s="4"/>
      <c r="Q44" s="47" t="str">
        <f t="shared" si="3"/>
        <v>SLQSTVHYHLGSLALS</v>
      </c>
      <c r="R44" s="28" t="str">
        <f t="shared" si="4"/>
        <v>D</v>
      </c>
      <c r="S44" s="20" t="str">
        <f t="shared" si="5"/>
        <v>LLILLLAMPVELYNFIWV</v>
      </c>
      <c r="T44" s="5" t="s">
        <v>20</v>
      </c>
      <c r="U44" s="4"/>
      <c r="V44" s="1"/>
      <c r="W44" s="1"/>
      <c r="X44" s="1"/>
      <c r="Y44" s="1"/>
      <c r="Z44" s="4" t="s">
        <v>78</v>
      </c>
      <c r="AA44" s="1"/>
      <c r="AB44" s="1"/>
      <c r="AC44" s="1"/>
      <c r="AD44" s="1" t="s">
        <v>132</v>
      </c>
      <c r="AE44" s="1">
        <v>97</v>
      </c>
      <c r="AF44" s="1">
        <v>113</v>
      </c>
      <c r="AG44" s="1">
        <v>130</v>
      </c>
      <c r="AH44" s="1" t="s">
        <v>19</v>
      </c>
      <c r="AI44" s="1"/>
      <c r="AJ44" s="1"/>
      <c r="AK44" s="4">
        <v>34</v>
      </c>
      <c r="AL44" s="4">
        <v>66</v>
      </c>
    </row>
    <row r="45" spans="1:38" s="23" customFormat="1" x14ac:dyDescent="0.25">
      <c r="A45" s="1" t="str">
        <f t="shared" si="0"/>
        <v>NTR1_rat_4BOU_TM2</v>
      </c>
      <c r="B45" s="45" t="s">
        <v>234</v>
      </c>
      <c r="C45" s="45" t="s">
        <v>239</v>
      </c>
      <c r="D45" s="4" t="str">
        <f>VLOOKUP(B45,Classification!A:D,2,FALSE)</f>
        <v>A</v>
      </c>
      <c r="E45" s="4" t="str">
        <f>VLOOKUP(B45,Classification!A:D,3,FALSE)</f>
        <v>Peptide</v>
      </c>
      <c r="F45" s="4" t="str">
        <f>VLOOKUP(B45,Classification!A:D,4,FALSE)</f>
        <v>Neurotensin</v>
      </c>
      <c r="G45" s="2">
        <v>3</v>
      </c>
      <c r="H45" s="45" t="s">
        <v>17</v>
      </c>
      <c r="I45" s="2" t="s">
        <v>1223</v>
      </c>
      <c r="J45" s="5" t="str">
        <f>VLOOKUP(B45,Seqs!A:B,2,FALSE)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5" s="4" t="str">
        <f t="shared" si="1"/>
        <v>S</v>
      </c>
      <c r="L45" s="45">
        <f>VLOOKUP(B45,'NonXtal_SegEnds_Prot#'!A:AL,9,FALSE)</f>
        <v>97</v>
      </c>
      <c r="M45" s="45">
        <f>VLOOKUP(B45,'NonXtal_SegEnds_Prot#'!A:AL,10,FALSE)</f>
        <v>113</v>
      </c>
      <c r="N45" s="45">
        <f>VLOOKUP(B45,'NonXtal_SegEnds_Prot#'!A:AL,11,FALSE)</f>
        <v>131</v>
      </c>
      <c r="O45" s="4" t="str">
        <f t="shared" si="2"/>
        <v>V</v>
      </c>
      <c r="P45" s="4"/>
      <c r="Q45" s="47" t="str">
        <f t="shared" si="3"/>
        <v>SLQSTVHYHLGSLALS</v>
      </c>
      <c r="R45" s="27" t="str">
        <f t="shared" si="4"/>
        <v>D</v>
      </c>
      <c r="S45" s="19" t="str">
        <f t="shared" si="5"/>
        <v>LLILLLAMPVELYNFIWV</v>
      </c>
      <c r="T45" s="5" t="s">
        <v>20</v>
      </c>
      <c r="U45" s="4"/>
      <c r="V45" s="1"/>
      <c r="W45" s="1"/>
      <c r="X45" s="1"/>
      <c r="Y45" s="1"/>
      <c r="Z45" s="4" t="s">
        <v>78</v>
      </c>
      <c r="AA45" s="1"/>
      <c r="AB45" s="1"/>
      <c r="AC45" s="1"/>
      <c r="AD45" s="1" t="s">
        <v>132</v>
      </c>
      <c r="AE45" s="1">
        <v>97</v>
      </c>
      <c r="AF45" s="1">
        <v>113</v>
      </c>
      <c r="AG45" s="1">
        <v>130</v>
      </c>
      <c r="AH45" s="1" t="s">
        <v>19</v>
      </c>
      <c r="AI45" s="1"/>
      <c r="AJ45" s="1"/>
      <c r="AK45" s="4">
        <v>34</v>
      </c>
      <c r="AL45" s="4">
        <v>66</v>
      </c>
    </row>
    <row r="46" spans="1:38" s="23" customFormat="1" x14ac:dyDescent="0.25">
      <c r="A46" s="1" t="str">
        <f t="shared" si="0"/>
        <v>OPSD_bovin_1U19_TM2</v>
      </c>
      <c r="B46" s="45" t="s">
        <v>231</v>
      </c>
      <c r="C46" s="45" t="s">
        <v>244</v>
      </c>
      <c r="D46" s="4" t="str">
        <f>VLOOKUP(B46,Classification!A:D,2,FALSE)</f>
        <v>A</v>
      </c>
      <c r="E46" s="4" t="str">
        <f>VLOOKUP(B46,Classification!A:D,3,FALSE)</f>
        <v>Sensory</v>
      </c>
      <c r="F46" s="4" t="str">
        <f>VLOOKUP(B46,Classification!A:D,4,FALSE)</f>
        <v>Opsins</v>
      </c>
      <c r="G46" s="2">
        <v>3</v>
      </c>
      <c r="H46" s="45" t="s">
        <v>17</v>
      </c>
      <c r="I46" s="2" t="s">
        <v>1223</v>
      </c>
      <c r="J46" s="5" t="str">
        <f>VLOOKUP(B46,Seqs!A:B,2,FALSE)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6" s="4" t="str">
        <f t="shared" si="1"/>
        <v>T</v>
      </c>
      <c r="L46" s="45">
        <f>VLOOKUP(B46,'NonXtal_SegEnds_Prot#'!A:AL,9,FALSE)</f>
        <v>70</v>
      </c>
      <c r="M46" s="45">
        <f>VLOOKUP(B46,'NonXtal_SegEnds_Prot#'!A:AL,10,FALSE)</f>
        <v>83</v>
      </c>
      <c r="N46" s="45">
        <f>VLOOKUP(B46,'NonXtal_SegEnds_Prot#'!A:AL,11,FALSE)</f>
        <v>100</v>
      </c>
      <c r="O46" s="4" t="str">
        <f t="shared" si="2"/>
        <v>H</v>
      </c>
      <c r="P46" s="4"/>
      <c r="Q46" s="47" t="str">
        <f t="shared" si="3"/>
        <v>TPLNYILLNLAVA</v>
      </c>
      <c r="R46" s="27" t="str">
        <f t="shared" si="4"/>
        <v>D</v>
      </c>
      <c r="S46" s="19" t="str">
        <f t="shared" si="5"/>
        <v>LFMVFGGFTTTLYTSLH</v>
      </c>
      <c r="T46" s="5" t="s">
        <v>20</v>
      </c>
      <c r="U46" s="4"/>
      <c r="V46" s="1"/>
      <c r="W46" s="1"/>
      <c r="X46" s="1"/>
      <c r="Y46" s="1"/>
      <c r="Z46" s="4"/>
      <c r="AA46" s="1"/>
      <c r="AB46" s="1"/>
      <c r="AC46" s="1"/>
      <c r="AD46" s="1" t="s">
        <v>18</v>
      </c>
      <c r="AE46" s="1">
        <v>71</v>
      </c>
      <c r="AF46" s="1">
        <v>83</v>
      </c>
      <c r="AG46" s="1">
        <v>100</v>
      </c>
      <c r="AH46" s="1" t="s">
        <v>19</v>
      </c>
      <c r="AI46" s="1"/>
      <c r="AJ46" s="1"/>
      <c r="AK46" s="4">
        <v>38</v>
      </c>
      <c r="AL46" s="4">
        <v>66</v>
      </c>
    </row>
    <row r="47" spans="1:38" s="23" customFormat="1" x14ac:dyDescent="0.25">
      <c r="A47" s="1" t="str">
        <f t="shared" si="0"/>
        <v>OPSD_bovin_3DQB_TM2</v>
      </c>
      <c r="B47" s="45" t="s">
        <v>231</v>
      </c>
      <c r="C47" s="45" t="s">
        <v>245</v>
      </c>
      <c r="D47" s="4" t="str">
        <f>VLOOKUP(B47,Classification!A:D,2,FALSE)</f>
        <v>A</v>
      </c>
      <c r="E47" s="4" t="str">
        <f>VLOOKUP(B47,Classification!A:D,3,FALSE)</f>
        <v>Sensory</v>
      </c>
      <c r="F47" s="4" t="str">
        <f>VLOOKUP(B47,Classification!A:D,4,FALSE)</f>
        <v>Opsins</v>
      </c>
      <c r="G47" s="2">
        <v>3</v>
      </c>
      <c r="H47" s="45" t="s">
        <v>17</v>
      </c>
      <c r="I47" s="2" t="s">
        <v>1223</v>
      </c>
      <c r="J47" s="5" t="str">
        <f>VLOOKUP(B47,Seqs!A:B,2,FALSE)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7" s="4" t="str">
        <f t="shared" si="1"/>
        <v>T</v>
      </c>
      <c r="L47" s="45">
        <f>VLOOKUP(B47,'NonXtal_SegEnds_Prot#'!A:AL,9,FALSE)</f>
        <v>70</v>
      </c>
      <c r="M47" s="45">
        <f>VLOOKUP(B47,'NonXtal_SegEnds_Prot#'!A:AL,10,FALSE)</f>
        <v>83</v>
      </c>
      <c r="N47" s="45">
        <f>VLOOKUP(B47,'NonXtal_SegEnds_Prot#'!A:AL,11,FALSE)</f>
        <v>100</v>
      </c>
      <c r="O47" s="4" t="str">
        <f t="shared" si="2"/>
        <v>H</v>
      </c>
      <c r="P47" s="4"/>
      <c r="Q47" s="47" t="str">
        <f t="shared" si="3"/>
        <v>TPLNYILLNLAVA</v>
      </c>
      <c r="R47" s="27" t="str">
        <f t="shared" si="4"/>
        <v>D</v>
      </c>
      <c r="S47" s="19" t="str">
        <f t="shared" si="5"/>
        <v>LFMVFGGFTTTLYTSLH</v>
      </c>
      <c r="T47" s="5" t="s">
        <v>20</v>
      </c>
      <c r="U47" s="4"/>
      <c r="V47" s="1"/>
      <c r="W47" s="1"/>
      <c r="X47" s="1"/>
      <c r="Y47" s="1"/>
      <c r="Z47" s="4"/>
      <c r="AA47" s="1"/>
      <c r="AB47" s="1"/>
      <c r="AC47" s="1"/>
      <c r="AD47" s="1" t="s">
        <v>18</v>
      </c>
      <c r="AE47" s="1">
        <v>71</v>
      </c>
      <c r="AF47" s="1">
        <v>83</v>
      </c>
      <c r="AG47" s="1">
        <v>100</v>
      </c>
      <c r="AH47" s="1" t="s">
        <v>19</v>
      </c>
      <c r="AI47" s="1"/>
      <c r="AJ47" s="1"/>
      <c r="AK47" s="4">
        <v>38</v>
      </c>
      <c r="AL47" s="4">
        <v>66</v>
      </c>
    </row>
    <row r="48" spans="1:38" s="23" customFormat="1" x14ac:dyDescent="0.25">
      <c r="A48" s="1" t="str">
        <f t="shared" si="0"/>
        <v>OPSD_human__wt_TM2</v>
      </c>
      <c r="B48" s="45" t="s">
        <v>228</v>
      </c>
      <c r="C48" s="45" t="s">
        <v>294</v>
      </c>
      <c r="D48" s="4" t="str">
        <f>VLOOKUP(B48,Classification!A:D,2,FALSE)</f>
        <v>A</v>
      </c>
      <c r="E48" s="4" t="str">
        <f>VLOOKUP(B48,Classification!A:D,3,FALSE)</f>
        <v>Sensory</v>
      </c>
      <c r="F48" s="4" t="str">
        <f>VLOOKUP(B48,Classification!A:D,4,FALSE)</f>
        <v>Opsins</v>
      </c>
      <c r="G48" s="2">
        <v>3</v>
      </c>
      <c r="H48" s="45" t="s">
        <v>17</v>
      </c>
      <c r="I48" s="2" t="s">
        <v>1223</v>
      </c>
      <c r="J48" s="5" t="str">
        <f>VLOOKUP(B48,Seqs!A:B,2,FALSE)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8" s="4" t="str">
        <f t="shared" si="1"/>
        <v>T</v>
      </c>
      <c r="L48" s="45">
        <f>VLOOKUP(B48,'NonXtal_SegEnds_Prot#'!A:AL,9,FALSE)</f>
        <v>70</v>
      </c>
      <c r="M48" s="45">
        <f>VLOOKUP(B48,'NonXtal_SegEnds_Prot#'!A:AL,10,FALSE)</f>
        <v>83</v>
      </c>
      <c r="N48" s="45">
        <f>VLOOKUP(B48,'NonXtal_SegEnds_Prot#'!A:AL,11,FALSE)</f>
        <v>100</v>
      </c>
      <c r="O48" s="4" t="str">
        <f t="shared" si="2"/>
        <v>H</v>
      </c>
      <c r="P48" s="4"/>
      <c r="Q48" s="47" t="str">
        <f t="shared" si="3"/>
        <v>TPLNYILLNLAVA</v>
      </c>
      <c r="R48" s="27" t="str">
        <f t="shared" si="4"/>
        <v>D</v>
      </c>
      <c r="S48" s="19" t="str">
        <f t="shared" si="5"/>
        <v>LFMVLGGFTSTLYTSLH</v>
      </c>
      <c r="T48" s="5" t="s">
        <v>20</v>
      </c>
      <c r="U48" s="4"/>
      <c r="V48" s="1"/>
      <c r="W48" s="1"/>
      <c r="X48" s="1"/>
      <c r="Y48" s="1"/>
      <c r="Z48" s="4"/>
      <c r="AA48" s="1"/>
      <c r="AB48" s="1"/>
      <c r="AC48" s="1"/>
      <c r="AD48" s="1" t="s">
        <v>18</v>
      </c>
      <c r="AE48" s="1">
        <v>71</v>
      </c>
      <c r="AF48" s="1">
        <v>83</v>
      </c>
      <c r="AG48" s="1">
        <v>100</v>
      </c>
      <c r="AH48" s="1" t="s">
        <v>19</v>
      </c>
      <c r="AI48" s="1"/>
      <c r="AJ48" s="1"/>
      <c r="AK48" s="4">
        <v>38</v>
      </c>
      <c r="AL48" s="4">
        <v>66</v>
      </c>
    </row>
    <row r="49" spans="1:38" s="23" customFormat="1" x14ac:dyDescent="0.25">
      <c r="A49" s="1" t="str">
        <f t="shared" si="0"/>
        <v>OPSD_human__wt_TM2</v>
      </c>
      <c r="B49" s="45" t="s">
        <v>228</v>
      </c>
      <c r="C49" s="45" t="s">
        <v>294</v>
      </c>
      <c r="D49" s="4" t="str">
        <f>VLOOKUP(B49,Classification!A:D,2,FALSE)</f>
        <v>A</v>
      </c>
      <c r="E49" s="4" t="str">
        <f>VLOOKUP(B49,Classification!A:D,3,FALSE)</f>
        <v>Sensory</v>
      </c>
      <c r="F49" s="4" t="str">
        <f>VLOOKUP(B49,Classification!A:D,4,FALSE)</f>
        <v>Opsins</v>
      </c>
      <c r="G49" s="2">
        <v>3</v>
      </c>
      <c r="H49" s="45" t="s">
        <v>17</v>
      </c>
      <c r="I49" s="2" t="s">
        <v>1223</v>
      </c>
      <c r="J49" s="5" t="str">
        <f>VLOOKUP(B49,Seqs!A:B,2,FALSE)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9" s="4" t="str">
        <f t="shared" si="1"/>
        <v>T</v>
      </c>
      <c r="L49" s="45">
        <f>VLOOKUP(B49,'NonXtal_SegEnds_Prot#'!A:AL,9,FALSE)</f>
        <v>70</v>
      </c>
      <c r="M49" s="45">
        <f>VLOOKUP(B49,'NonXtal_SegEnds_Prot#'!A:AL,10,FALSE)</f>
        <v>83</v>
      </c>
      <c r="N49" s="45">
        <f>VLOOKUP(B49,'NonXtal_SegEnds_Prot#'!A:AL,11,FALSE)</f>
        <v>100</v>
      </c>
      <c r="O49" s="4" t="str">
        <f t="shared" si="2"/>
        <v>H</v>
      </c>
      <c r="P49" s="4"/>
      <c r="Q49" s="47" t="str">
        <f t="shared" si="3"/>
        <v>TPLNYILLNLAVA</v>
      </c>
      <c r="R49" s="27" t="str">
        <f t="shared" si="4"/>
        <v>D</v>
      </c>
      <c r="S49" s="19" t="str">
        <f t="shared" si="5"/>
        <v>LFMVLGGFTSTLYTSLH</v>
      </c>
      <c r="T49" s="5" t="s">
        <v>20</v>
      </c>
      <c r="U49" s="4"/>
      <c r="V49" s="1"/>
      <c r="W49" s="1"/>
      <c r="X49" s="1"/>
      <c r="Y49" s="1"/>
      <c r="Z49" s="4" t="s">
        <v>64</v>
      </c>
      <c r="AA49" s="1"/>
      <c r="AB49" s="1"/>
      <c r="AC49" s="1"/>
      <c r="AD49" s="1" t="s">
        <v>18</v>
      </c>
      <c r="AE49" s="1">
        <v>71</v>
      </c>
      <c r="AF49" s="1">
        <v>83</v>
      </c>
      <c r="AG49" s="1">
        <v>100</v>
      </c>
      <c r="AH49" s="1" t="s">
        <v>19</v>
      </c>
      <c r="AI49" s="1"/>
      <c r="AJ49" s="1"/>
      <c r="AK49" s="4">
        <v>38</v>
      </c>
      <c r="AL49" s="4">
        <v>66</v>
      </c>
    </row>
    <row r="50" spans="1:38" s="23" customFormat="1" x14ac:dyDescent="0.25">
      <c r="A50" s="1" t="str">
        <f t="shared" si="0"/>
        <v>OPSD_human_4ZWJ_TM2</v>
      </c>
      <c r="B50" s="45" t="s">
        <v>228</v>
      </c>
      <c r="C50" s="45" t="s">
        <v>246</v>
      </c>
      <c r="D50" s="4" t="str">
        <f>VLOOKUP(B50,Classification!A:D,2,FALSE)</f>
        <v>A</v>
      </c>
      <c r="E50" s="4" t="str">
        <f>VLOOKUP(B50,Classification!A:D,3,FALSE)</f>
        <v>Sensory</v>
      </c>
      <c r="F50" s="4" t="str">
        <f>VLOOKUP(B50,Classification!A:D,4,FALSE)</f>
        <v>Opsins</v>
      </c>
      <c r="G50" s="2">
        <v>3</v>
      </c>
      <c r="H50" s="45" t="s">
        <v>17</v>
      </c>
      <c r="I50" s="2" t="s">
        <v>1223</v>
      </c>
      <c r="J50" s="5" t="str">
        <f>VLOOKUP(B50,Seqs!A:B,2,FALSE)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0" s="4" t="str">
        <f t="shared" si="1"/>
        <v>T</v>
      </c>
      <c r="L50" s="45">
        <f>VLOOKUP(B50,'NonXtal_SegEnds_Prot#'!A:AL,9,FALSE)</f>
        <v>70</v>
      </c>
      <c r="M50" s="45">
        <f>VLOOKUP(B50,'NonXtal_SegEnds_Prot#'!A:AL,10,FALSE)</f>
        <v>83</v>
      </c>
      <c r="N50" s="45">
        <f>VLOOKUP(B50,'NonXtal_SegEnds_Prot#'!A:AL,11,FALSE)</f>
        <v>100</v>
      </c>
      <c r="O50" s="4" t="str">
        <f t="shared" si="2"/>
        <v>H</v>
      </c>
      <c r="P50" s="4"/>
      <c r="Q50" s="47" t="str">
        <f t="shared" si="3"/>
        <v>TPLNYILLNLAVA</v>
      </c>
      <c r="R50" s="27" t="str">
        <f t="shared" si="4"/>
        <v>D</v>
      </c>
      <c r="S50" s="19" t="str">
        <f t="shared" si="5"/>
        <v>LFMVLGGFTSTLYTSLH</v>
      </c>
      <c r="T50" s="5" t="s">
        <v>20</v>
      </c>
      <c r="U50" s="4"/>
      <c r="V50" s="1"/>
      <c r="W50" s="1"/>
      <c r="X50" s="1"/>
      <c r="Y50" s="1"/>
      <c r="Z50" s="4"/>
      <c r="AA50" s="1"/>
      <c r="AB50" s="1"/>
      <c r="AC50" s="1"/>
      <c r="AD50" s="1" t="s">
        <v>18</v>
      </c>
      <c r="AE50" s="1">
        <v>71</v>
      </c>
      <c r="AF50" s="1">
        <v>83</v>
      </c>
      <c r="AG50" s="1">
        <v>100</v>
      </c>
      <c r="AH50" s="1" t="s">
        <v>19</v>
      </c>
      <c r="AI50" s="1"/>
      <c r="AJ50" s="1"/>
      <c r="AK50" s="4">
        <v>38</v>
      </c>
      <c r="AL50" s="4">
        <v>66</v>
      </c>
    </row>
    <row r="51" spans="1:38" s="23" customFormat="1" x14ac:dyDescent="0.25">
      <c r="A51" s="1" t="str">
        <f t="shared" si="0"/>
        <v>OPSD_human_4ZWJ_TM2</v>
      </c>
      <c r="B51" s="45" t="s">
        <v>228</v>
      </c>
      <c r="C51" s="45" t="s">
        <v>246</v>
      </c>
      <c r="D51" s="4" t="str">
        <f>VLOOKUP(B51,Classification!A:D,2,FALSE)</f>
        <v>A</v>
      </c>
      <c r="E51" s="4" t="str">
        <f>VLOOKUP(B51,Classification!A:D,3,FALSE)</f>
        <v>Sensory</v>
      </c>
      <c r="F51" s="4" t="str">
        <f>VLOOKUP(B51,Classification!A:D,4,FALSE)</f>
        <v>Opsins</v>
      </c>
      <c r="G51" s="2">
        <v>3</v>
      </c>
      <c r="H51" s="45" t="s">
        <v>17</v>
      </c>
      <c r="I51" s="2" t="s">
        <v>1223</v>
      </c>
      <c r="J51" s="5" t="str">
        <f>VLOOKUP(B51,Seqs!A:B,2,FALSE)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1" s="4" t="str">
        <f t="shared" si="1"/>
        <v>T</v>
      </c>
      <c r="L51" s="45">
        <f>VLOOKUP(B51,'NonXtal_SegEnds_Prot#'!A:AL,9,FALSE)</f>
        <v>70</v>
      </c>
      <c r="M51" s="45">
        <f>VLOOKUP(B51,'NonXtal_SegEnds_Prot#'!A:AL,10,FALSE)</f>
        <v>83</v>
      </c>
      <c r="N51" s="45">
        <f>VLOOKUP(B51,'NonXtal_SegEnds_Prot#'!A:AL,11,FALSE)</f>
        <v>100</v>
      </c>
      <c r="O51" s="4" t="str">
        <f t="shared" si="2"/>
        <v>H</v>
      </c>
      <c r="P51" s="4"/>
      <c r="Q51" s="47" t="str">
        <f t="shared" si="3"/>
        <v>TPLNYILLNLAVA</v>
      </c>
      <c r="R51" s="27" t="str">
        <f t="shared" si="4"/>
        <v>D</v>
      </c>
      <c r="S51" s="19" t="str">
        <f t="shared" si="5"/>
        <v>LFMVLGGFTSTLYTSLH</v>
      </c>
      <c r="T51" s="5" t="s">
        <v>20</v>
      </c>
      <c r="U51" s="4"/>
      <c r="V51" s="1"/>
      <c r="W51" s="1"/>
      <c r="X51" s="1"/>
      <c r="Y51" s="1"/>
      <c r="Z51" s="4" t="s">
        <v>64</v>
      </c>
      <c r="AA51" s="1"/>
      <c r="AB51" s="1"/>
      <c r="AC51" s="1"/>
      <c r="AD51" s="1" t="s">
        <v>18</v>
      </c>
      <c r="AE51" s="1">
        <v>71</v>
      </c>
      <c r="AF51" s="1">
        <v>83</v>
      </c>
      <c r="AG51" s="1">
        <v>100</v>
      </c>
      <c r="AH51" s="1" t="s">
        <v>19</v>
      </c>
      <c r="AI51" s="1"/>
      <c r="AJ51" s="1"/>
      <c r="AK51" s="4">
        <v>38</v>
      </c>
      <c r="AL51" s="4">
        <v>66</v>
      </c>
    </row>
    <row r="52" spans="1:38" s="23" customFormat="1" x14ac:dyDescent="0.25">
      <c r="A52" s="1" t="str">
        <f t="shared" si="0"/>
        <v>OPSD_todpa__wt_TM2</v>
      </c>
      <c r="B52" s="45" t="s">
        <v>291</v>
      </c>
      <c r="C52" s="45" t="s">
        <v>294</v>
      </c>
      <c r="D52" s="4" t="str">
        <f>VLOOKUP(B52,Classification!A:D,2,FALSE)</f>
        <v>A</v>
      </c>
      <c r="E52" s="4" t="str">
        <f>VLOOKUP(B52,Classification!A:D,3,FALSE)</f>
        <v>Sensory</v>
      </c>
      <c r="F52" s="4" t="str">
        <f>VLOOKUP(B52,Classification!A:D,4,FALSE)</f>
        <v>Opsins</v>
      </c>
      <c r="G52" s="2">
        <v>3</v>
      </c>
      <c r="H52" s="45" t="s">
        <v>17</v>
      </c>
      <c r="I52" s="2" t="s">
        <v>1223</v>
      </c>
      <c r="J52" s="5" t="str">
        <f>VLOOKUP(B52,Seqs!A:B,2,FALSE)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2" s="4" t="str">
        <f t="shared" si="1"/>
        <v>T</v>
      </c>
      <c r="L52" s="45">
        <f>VLOOKUP(B52,'NonXtal_SegEnds_Prot#'!A:AL,9,FALSE)</f>
        <v>67</v>
      </c>
      <c r="M52" s="45">
        <f>VLOOKUP(B52,'NonXtal_SegEnds_Prot#'!A:AL,10,FALSE)</f>
        <v>80</v>
      </c>
      <c r="N52" s="45">
        <f>VLOOKUP(B52,'NonXtal_SegEnds_Prot#'!A:AL,11,FALSE)</f>
        <v>99</v>
      </c>
      <c r="O52" s="4" t="str">
        <f t="shared" si="2"/>
        <v>K</v>
      </c>
      <c r="P52" s="4"/>
      <c r="Q52" s="47" t="str">
        <f t="shared" si="3"/>
        <v>TPANMFIINLAFS</v>
      </c>
      <c r="R52" s="27" t="str">
        <f t="shared" si="4"/>
        <v>D</v>
      </c>
      <c r="S52" s="19" t="str">
        <f t="shared" si="5"/>
        <v>FTFSLVNGFPLMTISCFLK</v>
      </c>
      <c r="T52" s="5" t="s">
        <v>20</v>
      </c>
      <c r="U52" s="4"/>
      <c r="V52" s="1"/>
      <c r="W52" s="1"/>
      <c r="X52" s="1"/>
      <c r="Y52" s="1"/>
      <c r="Z52" s="4"/>
      <c r="AA52" s="1"/>
      <c r="AB52" s="1"/>
      <c r="AC52" s="1"/>
      <c r="AD52" s="1" t="s">
        <v>18</v>
      </c>
      <c r="AE52" s="1">
        <v>68</v>
      </c>
      <c r="AF52" s="1">
        <v>80</v>
      </c>
      <c r="AG52" s="1">
        <v>98</v>
      </c>
      <c r="AH52" s="1" t="s">
        <v>19</v>
      </c>
      <c r="AI52" s="1"/>
      <c r="AJ52" s="1"/>
      <c r="AK52" s="4">
        <v>38</v>
      </c>
      <c r="AL52" s="4">
        <v>66</v>
      </c>
    </row>
    <row r="53" spans="1:38" s="23" customFormat="1" x14ac:dyDescent="0.25">
      <c r="A53" s="1" t="str">
        <f t="shared" si="0"/>
        <v>OPSD_todpa_2Z73_TM2</v>
      </c>
      <c r="B53" s="45" t="s">
        <v>291</v>
      </c>
      <c r="C53" s="45" t="s">
        <v>290</v>
      </c>
      <c r="D53" s="4" t="str">
        <f>VLOOKUP(B53,Classification!A:D,2,FALSE)</f>
        <v>A</v>
      </c>
      <c r="E53" s="4" t="str">
        <f>VLOOKUP(B53,Classification!A:D,3,FALSE)</f>
        <v>Sensory</v>
      </c>
      <c r="F53" s="4" t="str">
        <f>VLOOKUP(B53,Classification!A:D,4,FALSE)</f>
        <v>Opsins</v>
      </c>
      <c r="G53" s="2">
        <v>3</v>
      </c>
      <c r="H53" s="45" t="s">
        <v>17</v>
      </c>
      <c r="I53" s="2" t="s">
        <v>1223</v>
      </c>
      <c r="J53" s="5" t="str">
        <f>VLOOKUP(B53,Seqs!A:B,2,FALSE)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3" s="4" t="str">
        <f t="shared" si="1"/>
        <v>T</v>
      </c>
      <c r="L53" s="45">
        <f>VLOOKUP(B53,'NonXtal_SegEnds_Prot#'!A:AL,9,FALSE)</f>
        <v>67</v>
      </c>
      <c r="M53" s="45">
        <f>VLOOKUP(B53,'NonXtal_SegEnds_Prot#'!A:AL,10,FALSE)</f>
        <v>80</v>
      </c>
      <c r="N53" s="45">
        <f>VLOOKUP(B53,'NonXtal_SegEnds_Prot#'!A:AL,11,FALSE)</f>
        <v>99</v>
      </c>
      <c r="O53" s="4" t="str">
        <f t="shared" si="2"/>
        <v>K</v>
      </c>
      <c r="P53" s="4"/>
      <c r="Q53" s="47" t="str">
        <f t="shared" si="3"/>
        <v>TPANMFIINLAFS</v>
      </c>
      <c r="R53" s="27" t="str">
        <f t="shared" si="4"/>
        <v>D</v>
      </c>
      <c r="S53" s="19" t="str">
        <f t="shared" si="5"/>
        <v>FTFSLVNGFPLMTISCFLK</v>
      </c>
      <c r="T53" s="5" t="s">
        <v>20</v>
      </c>
      <c r="U53" s="4"/>
      <c r="V53" s="1"/>
      <c r="W53" s="1"/>
      <c r="X53" s="1"/>
      <c r="Y53" s="1"/>
      <c r="Z53" s="4"/>
      <c r="AA53" s="1"/>
      <c r="AB53" s="1"/>
      <c r="AC53" s="1"/>
      <c r="AD53" s="1" t="s">
        <v>18</v>
      </c>
      <c r="AE53" s="1">
        <v>68</v>
      </c>
      <c r="AF53" s="1">
        <v>80</v>
      </c>
      <c r="AG53" s="1">
        <v>98</v>
      </c>
      <c r="AH53" s="1" t="s">
        <v>19</v>
      </c>
      <c r="AI53" s="1"/>
      <c r="AJ53" s="1"/>
      <c r="AK53" s="4">
        <v>38</v>
      </c>
      <c r="AL53" s="4">
        <v>66</v>
      </c>
    </row>
    <row r="54" spans="1:38" s="23" customFormat="1" x14ac:dyDescent="0.25">
      <c r="A54" s="1" t="str">
        <f t="shared" si="0"/>
        <v>OX1R_human__wt_TM2</v>
      </c>
      <c r="B54" s="45" t="s">
        <v>1374</v>
      </c>
      <c r="C54" s="45" t="s">
        <v>294</v>
      </c>
      <c r="D54" s="4" t="str">
        <f>VLOOKUP(B54,Classification!A:D,2,FALSE)</f>
        <v>A</v>
      </c>
      <c r="E54" s="4" t="str">
        <f>VLOOKUP(B54,Classification!A:D,3,FALSE)</f>
        <v>Peptide</v>
      </c>
      <c r="F54" s="4" t="str">
        <f>VLOOKUP(B54,Classification!A:D,4,FALSE)</f>
        <v>Orexin</v>
      </c>
      <c r="G54" s="2">
        <v>3</v>
      </c>
      <c r="H54" s="45" t="s">
        <v>17</v>
      </c>
      <c r="I54" s="2" t="s">
        <v>1223</v>
      </c>
      <c r="J54" s="5" t="str">
        <f>VLOOKUP(B54,Seqs!A:B,2,FALSE)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4" s="4" t="str">
        <f t="shared" si="1"/>
        <v>T</v>
      </c>
      <c r="L54" s="45">
        <f>VLOOKUP(B54,'NonXtal_SegEnds_Prot#'!A:AL,9,FALSE)</f>
        <v>79</v>
      </c>
      <c r="M54" s="45">
        <f>VLOOKUP(B54,'NonXtal_SegEnds_Prot#'!A:AL,10,FALSE)</f>
        <v>92</v>
      </c>
      <c r="N54" s="45">
        <f>VLOOKUP(B54,'NonXtal_SegEnds_Prot#'!A:AL,11,FALSE)</f>
        <v>109</v>
      </c>
      <c r="O54" s="4" t="str">
        <f t="shared" si="2"/>
        <v>T</v>
      </c>
      <c r="P54" s="4"/>
      <c r="Q54" s="47" t="str">
        <f t="shared" si="3"/>
        <v>TVTNYFIVNLSLA</v>
      </c>
      <c r="R54" s="27" t="str">
        <f t="shared" si="4"/>
        <v>D</v>
      </c>
      <c r="S54" s="19" t="str">
        <f t="shared" si="5"/>
        <v>VLVTAICLPASLLVDIT</v>
      </c>
      <c r="T54" s="5" t="s">
        <v>20</v>
      </c>
      <c r="U54" s="4"/>
      <c r="V54" s="1"/>
      <c r="W54" s="1"/>
      <c r="X54" s="1"/>
      <c r="Y54" s="1"/>
      <c r="Z54" s="4" t="s">
        <v>78</v>
      </c>
      <c r="AA54" s="1"/>
      <c r="AB54" s="1"/>
      <c r="AC54" s="1"/>
      <c r="AD54" s="1" t="s">
        <v>18</v>
      </c>
      <c r="AE54" s="1">
        <v>80</v>
      </c>
      <c r="AF54" s="1">
        <v>92</v>
      </c>
      <c r="AG54" s="1">
        <v>109</v>
      </c>
      <c r="AH54" s="1" t="s">
        <v>19</v>
      </c>
      <c r="AI54" s="1"/>
      <c r="AJ54" s="1"/>
      <c r="AK54" s="4">
        <v>38</v>
      </c>
      <c r="AL54" s="4">
        <v>66</v>
      </c>
    </row>
    <row r="55" spans="1:38" s="23" customFormat="1" x14ac:dyDescent="0.25">
      <c r="A55" s="1" t="str">
        <f t="shared" si="0"/>
        <v>OX1R_human_4ZJ8_TM2</v>
      </c>
      <c r="B55" s="45" t="s">
        <v>1374</v>
      </c>
      <c r="C55" s="45" t="s">
        <v>282</v>
      </c>
      <c r="D55" s="4" t="str">
        <f>VLOOKUP(B55,Classification!A:D,2,FALSE)</f>
        <v>A</v>
      </c>
      <c r="E55" s="4" t="str">
        <f>VLOOKUP(B55,Classification!A:D,3,FALSE)</f>
        <v>Peptide</v>
      </c>
      <c r="F55" s="4" t="str">
        <f>VLOOKUP(B55,Classification!A:D,4,FALSE)</f>
        <v>Orexin</v>
      </c>
      <c r="G55" s="2">
        <v>3</v>
      </c>
      <c r="H55" s="45" t="s">
        <v>17</v>
      </c>
      <c r="I55" s="2" t="s">
        <v>1223</v>
      </c>
      <c r="J55" s="5" t="str">
        <f>VLOOKUP(B55,Seqs!A:B,2,FALSE)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" s="4" t="str">
        <f t="shared" si="1"/>
        <v>T</v>
      </c>
      <c r="L55" s="45">
        <f>VLOOKUP(B55,'NonXtal_SegEnds_Prot#'!A:AL,9,FALSE)</f>
        <v>79</v>
      </c>
      <c r="M55" s="45">
        <f>VLOOKUP(B55,'NonXtal_SegEnds_Prot#'!A:AL,10,FALSE)</f>
        <v>92</v>
      </c>
      <c r="N55" s="45">
        <f>VLOOKUP(B55,'NonXtal_SegEnds_Prot#'!A:AL,11,FALSE)</f>
        <v>109</v>
      </c>
      <c r="O55" s="4" t="str">
        <f t="shared" si="2"/>
        <v>T</v>
      </c>
      <c r="P55" s="4"/>
      <c r="Q55" s="47" t="str">
        <f t="shared" si="3"/>
        <v>TVTNYFIVNLSLA</v>
      </c>
      <c r="R55" s="27" t="str">
        <f t="shared" si="4"/>
        <v>D</v>
      </c>
      <c r="S55" s="19" t="str">
        <f t="shared" si="5"/>
        <v>VLVTAICLPASLLVDIT</v>
      </c>
      <c r="T55" s="5" t="s">
        <v>20</v>
      </c>
      <c r="U55" s="4"/>
      <c r="V55" s="1"/>
      <c r="W55" s="1"/>
      <c r="X55" s="1"/>
      <c r="Y55" s="1"/>
      <c r="Z55" s="4" t="s">
        <v>78</v>
      </c>
      <c r="AA55" s="1"/>
      <c r="AB55" s="1"/>
      <c r="AC55" s="1"/>
      <c r="AD55" s="1" t="s">
        <v>18</v>
      </c>
      <c r="AE55" s="1">
        <v>80</v>
      </c>
      <c r="AF55" s="1">
        <v>92</v>
      </c>
      <c r="AG55" s="1">
        <v>109</v>
      </c>
      <c r="AH55" s="1" t="s">
        <v>19</v>
      </c>
      <c r="AI55" s="1"/>
      <c r="AJ55" s="1"/>
      <c r="AK55" s="4">
        <v>38</v>
      </c>
      <c r="AL55" s="4">
        <v>66</v>
      </c>
    </row>
    <row r="56" spans="1:38" s="23" customFormat="1" x14ac:dyDescent="0.25">
      <c r="A56" s="1" t="str">
        <f t="shared" si="0"/>
        <v>OX1R_human_4ZJC_TM2</v>
      </c>
      <c r="B56" s="45" t="s">
        <v>1374</v>
      </c>
      <c r="C56" s="45" t="s">
        <v>283</v>
      </c>
      <c r="D56" s="4" t="str">
        <f>VLOOKUP(B56,Classification!A:D,2,FALSE)</f>
        <v>A</v>
      </c>
      <c r="E56" s="4" t="str">
        <f>VLOOKUP(B56,Classification!A:D,3,FALSE)</f>
        <v>Peptide</v>
      </c>
      <c r="F56" s="4" t="str">
        <f>VLOOKUP(B56,Classification!A:D,4,FALSE)</f>
        <v>Orexin</v>
      </c>
      <c r="G56" s="2">
        <v>3</v>
      </c>
      <c r="H56" s="45" t="s">
        <v>17</v>
      </c>
      <c r="I56" s="2" t="s">
        <v>1223</v>
      </c>
      <c r="J56" s="5" t="str">
        <f>VLOOKUP(B56,Seqs!A:B,2,FALSE)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6" s="4" t="str">
        <f t="shared" si="1"/>
        <v>T</v>
      </c>
      <c r="L56" s="45">
        <f>VLOOKUP(B56,'NonXtal_SegEnds_Prot#'!A:AL,9,FALSE)</f>
        <v>79</v>
      </c>
      <c r="M56" s="45">
        <f>VLOOKUP(B56,'NonXtal_SegEnds_Prot#'!A:AL,10,FALSE)</f>
        <v>92</v>
      </c>
      <c r="N56" s="45">
        <f>VLOOKUP(B56,'NonXtal_SegEnds_Prot#'!A:AL,11,FALSE)</f>
        <v>109</v>
      </c>
      <c r="O56" s="4" t="str">
        <f t="shared" si="2"/>
        <v>T</v>
      </c>
      <c r="P56" s="4"/>
      <c r="Q56" s="47" t="str">
        <f t="shared" si="3"/>
        <v>TVTNYFIVNLSLA</v>
      </c>
      <c r="R56" s="27" t="str">
        <f t="shared" si="4"/>
        <v>D</v>
      </c>
      <c r="S56" s="19" t="str">
        <f t="shared" si="5"/>
        <v>VLVTAICLPASLLVDIT</v>
      </c>
      <c r="T56" s="5" t="s">
        <v>20</v>
      </c>
      <c r="U56" s="4"/>
      <c r="V56" s="1"/>
      <c r="W56" s="1"/>
      <c r="X56" s="1"/>
      <c r="Y56" s="1"/>
      <c r="Z56" s="4"/>
      <c r="AA56" s="1"/>
      <c r="AB56" s="1"/>
      <c r="AC56" s="1"/>
      <c r="AD56" s="1" t="s">
        <v>18</v>
      </c>
      <c r="AE56" s="1">
        <v>80</v>
      </c>
      <c r="AF56" s="1">
        <v>92</v>
      </c>
      <c r="AG56" s="1">
        <v>109</v>
      </c>
      <c r="AH56" s="1" t="s">
        <v>19</v>
      </c>
      <c r="AI56" s="1"/>
      <c r="AJ56" s="1"/>
      <c r="AK56" s="4">
        <v>38</v>
      </c>
      <c r="AL56" s="4">
        <v>66</v>
      </c>
    </row>
    <row r="57" spans="1:38" s="23" customFormat="1" x14ac:dyDescent="0.25">
      <c r="A57" s="1" t="str">
        <f t="shared" si="0"/>
        <v>OX2R_human__wt_TM2</v>
      </c>
      <c r="B57" s="45" t="s">
        <v>1375</v>
      </c>
      <c r="C57" s="45" t="s">
        <v>294</v>
      </c>
      <c r="D57" s="4" t="str">
        <f>VLOOKUP(B57,Classification!A:D,2,FALSE)</f>
        <v>A</v>
      </c>
      <c r="E57" s="4" t="str">
        <f>VLOOKUP(B57,Classification!A:D,3,FALSE)</f>
        <v>Peptide</v>
      </c>
      <c r="F57" s="4" t="str">
        <f>VLOOKUP(B57,Classification!A:D,4,FALSE)</f>
        <v>Orexin</v>
      </c>
      <c r="G57" s="2">
        <v>3</v>
      </c>
      <c r="H57" s="45" t="s">
        <v>17</v>
      </c>
      <c r="I57" s="2" t="s">
        <v>1223</v>
      </c>
      <c r="J57" s="5" t="str">
        <f>VLOOKUP(B57,Seqs!A:B,2,FALSE)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7" s="4" t="str">
        <f t="shared" si="1"/>
        <v>T</v>
      </c>
      <c r="L57" s="45">
        <f>VLOOKUP(B57,'NonXtal_SegEnds_Prot#'!A:AL,9,FALSE)</f>
        <v>87</v>
      </c>
      <c r="M57" s="45">
        <f>VLOOKUP(B57,'NonXtal_SegEnds_Prot#'!A:AL,10,FALSE)</f>
        <v>100</v>
      </c>
      <c r="N57" s="45">
        <f>VLOOKUP(B57,'NonXtal_SegEnds_Prot#'!A:AL,11,FALSE)</f>
        <v>117</v>
      </c>
      <c r="O57" s="4" t="str">
        <f t="shared" si="2"/>
        <v>T</v>
      </c>
      <c r="P57" s="4"/>
      <c r="Q57" s="47" t="str">
        <f t="shared" si="3"/>
        <v>TVTNYFIVNLSLA</v>
      </c>
      <c r="R57" s="27" t="str">
        <f t="shared" si="4"/>
        <v>D</v>
      </c>
      <c r="S57" s="19" t="str">
        <f t="shared" si="5"/>
        <v>VLVTITCLPATLVVDIT</v>
      </c>
      <c r="T57" s="5" t="s">
        <v>20</v>
      </c>
      <c r="U57" s="4"/>
      <c r="V57" s="1"/>
      <c r="W57" s="1"/>
      <c r="X57" s="1"/>
      <c r="Y57" s="1"/>
      <c r="Z57" s="4"/>
      <c r="AA57" s="1"/>
      <c r="AB57" s="1"/>
      <c r="AC57" s="1"/>
      <c r="AD57" s="1" t="s">
        <v>18</v>
      </c>
      <c r="AE57" s="1">
        <v>88</v>
      </c>
      <c r="AF57" s="1">
        <v>100</v>
      </c>
      <c r="AG57" s="1">
        <v>117</v>
      </c>
      <c r="AH57" s="1" t="s">
        <v>19</v>
      </c>
      <c r="AI57" s="1"/>
      <c r="AJ57" s="1"/>
      <c r="AK57" s="4">
        <v>38</v>
      </c>
      <c r="AL57" s="4">
        <v>66</v>
      </c>
    </row>
    <row r="58" spans="1:38" s="23" customFormat="1" x14ac:dyDescent="0.25">
      <c r="A58" s="1" t="str">
        <f t="shared" si="0"/>
        <v>OX2R_human_4S0V_TM2</v>
      </c>
      <c r="B58" s="45" t="s">
        <v>1375</v>
      </c>
      <c r="C58" s="45" t="s">
        <v>284</v>
      </c>
      <c r="D58" s="4" t="str">
        <f>VLOOKUP(B58,Classification!A:D,2,FALSE)</f>
        <v>A</v>
      </c>
      <c r="E58" s="4" t="str">
        <f>VLOOKUP(B58,Classification!A:D,3,FALSE)</f>
        <v>Peptide</v>
      </c>
      <c r="F58" s="4" t="str">
        <f>VLOOKUP(B58,Classification!A:D,4,FALSE)</f>
        <v>Orexin</v>
      </c>
      <c r="G58" s="2">
        <v>3</v>
      </c>
      <c r="H58" s="45" t="s">
        <v>17</v>
      </c>
      <c r="I58" s="2" t="s">
        <v>1223</v>
      </c>
      <c r="J58" s="5" t="str">
        <f>VLOOKUP(B58,Seqs!A:B,2,FALSE)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8" s="4" t="str">
        <f t="shared" si="1"/>
        <v>T</v>
      </c>
      <c r="L58" s="45">
        <f>VLOOKUP(B58,'NonXtal_SegEnds_Prot#'!A:AL,9,FALSE)</f>
        <v>87</v>
      </c>
      <c r="M58" s="45">
        <f>VLOOKUP(B58,'NonXtal_SegEnds_Prot#'!A:AL,10,FALSE)</f>
        <v>100</v>
      </c>
      <c r="N58" s="45">
        <f>VLOOKUP(B58,'NonXtal_SegEnds_Prot#'!A:AL,11,FALSE)</f>
        <v>117</v>
      </c>
      <c r="O58" s="4" t="str">
        <f t="shared" si="2"/>
        <v>T</v>
      </c>
      <c r="P58" s="4"/>
      <c r="Q58" s="47" t="str">
        <f t="shared" si="3"/>
        <v>TVTNYFIVNLSLA</v>
      </c>
      <c r="R58" s="27" t="str">
        <f t="shared" si="4"/>
        <v>D</v>
      </c>
      <c r="S58" s="19" t="str">
        <f t="shared" si="5"/>
        <v>VLVTITCLPATLVVDIT</v>
      </c>
      <c r="T58" s="5" t="s">
        <v>20</v>
      </c>
      <c r="U58" s="4"/>
      <c r="V58" s="1"/>
      <c r="W58" s="1"/>
      <c r="X58" s="1"/>
      <c r="Y58" s="1"/>
      <c r="Z58" s="4"/>
      <c r="AA58" s="1"/>
      <c r="AB58" s="1"/>
      <c r="AC58" s="1"/>
      <c r="AD58" s="1" t="s">
        <v>18</v>
      </c>
      <c r="AE58" s="1">
        <v>88</v>
      </c>
      <c r="AF58" s="1">
        <v>100</v>
      </c>
      <c r="AG58" s="1">
        <v>117</v>
      </c>
      <c r="AH58" s="1" t="s">
        <v>19</v>
      </c>
      <c r="AI58" s="1"/>
      <c r="AJ58" s="1"/>
      <c r="AK58" s="4">
        <v>38</v>
      </c>
      <c r="AL58" s="4">
        <v>66</v>
      </c>
    </row>
    <row r="59" spans="1:38" s="23" customFormat="1" x14ac:dyDescent="0.25">
      <c r="A59" s="1" t="str">
        <f t="shared" si="0"/>
        <v>crfr1_human__wt_TM4</v>
      </c>
      <c r="B59" s="45" t="s">
        <v>213</v>
      </c>
      <c r="C59" s="45" t="s">
        <v>294</v>
      </c>
      <c r="D59" s="4" t="str">
        <f>VLOOKUP(B59,Classification!A:D,2,FALSE)</f>
        <v>B1</v>
      </c>
      <c r="E59" s="4" t="str">
        <f>VLOOKUP(B59,Classification!A:D,3,FALSE)</f>
        <v>Peptide</v>
      </c>
      <c r="F59" s="4" t="str">
        <f>VLOOKUP(B59,Classification!A:D,4,FALSE)</f>
        <v>Corticotropin-releasingfact</v>
      </c>
      <c r="G59" s="2">
        <v>7</v>
      </c>
      <c r="H59" s="45" t="s">
        <v>31</v>
      </c>
      <c r="I59" s="2" t="s">
        <v>1223</v>
      </c>
      <c r="J59" s="5" t="str">
        <f>VLOOKUP(B59,Seqs!A:B,2,FALSE)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9" s="4" t="str">
        <f t="shared" si="1"/>
        <v>L</v>
      </c>
      <c r="L59" s="45">
        <f>VLOOKUP(B59,'NonXtal_SegEnds_Prot#'!A:AL,21,FALSE)</f>
        <v>226</v>
      </c>
      <c r="M59" s="45">
        <f>VLOOKUP(B59,'NonXtal_SegEnds_Prot#'!A:AL,22,FALSE)</f>
        <v>236</v>
      </c>
      <c r="N59" s="45">
        <f>VLOOKUP(B59,'NonXtal_SegEnds_Prot#'!A:AL,23,FALSE)</f>
        <v>254</v>
      </c>
      <c r="O59" s="4" t="str">
        <f t="shared" si="2"/>
        <v>D</v>
      </c>
      <c r="P59" s="4"/>
      <c r="Q59" s="47" t="str">
        <f t="shared" si="3"/>
        <v>LRKWMFICIG</v>
      </c>
      <c r="R59" s="27" t="str">
        <f t="shared" si="4"/>
        <v>W</v>
      </c>
      <c r="S59" s="19" t="str">
        <f t="shared" si="5"/>
        <v>GVPFPIIVAWAIGKLYYD</v>
      </c>
      <c r="T59" s="5" t="s">
        <v>169</v>
      </c>
      <c r="U59" s="1" t="s">
        <v>170</v>
      </c>
      <c r="V59" s="1"/>
      <c r="W59" s="1"/>
      <c r="X59" s="1"/>
      <c r="Y59" s="1"/>
      <c r="Z59" s="4"/>
      <c r="AA59" s="1"/>
      <c r="AB59" s="1"/>
      <c r="AC59" s="1"/>
      <c r="AD59" s="1" t="s">
        <v>110</v>
      </c>
      <c r="AE59" s="1">
        <v>228</v>
      </c>
      <c r="AF59" s="1">
        <v>236</v>
      </c>
      <c r="AG59" s="1">
        <v>253</v>
      </c>
      <c r="AH59" s="1" t="s">
        <v>168</v>
      </c>
      <c r="AI59" s="1"/>
      <c r="AJ59" s="1"/>
      <c r="AK59" s="4">
        <v>43</v>
      </c>
      <c r="AL59" s="4">
        <v>68</v>
      </c>
    </row>
    <row r="60" spans="1:38" s="23" customFormat="1" x14ac:dyDescent="0.25">
      <c r="A60" s="1" t="str">
        <f t="shared" si="0"/>
        <v>crfr1_human_4K5Y_TM4</v>
      </c>
      <c r="B60" s="45" t="s">
        <v>213</v>
      </c>
      <c r="C60" s="45" t="s">
        <v>288</v>
      </c>
      <c r="D60" s="4" t="str">
        <f>VLOOKUP(B60,Classification!A:D,2,FALSE)</f>
        <v>B1</v>
      </c>
      <c r="E60" s="4" t="str">
        <f>VLOOKUP(B60,Classification!A:D,3,FALSE)</f>
        <v>Peptide</v>
      </c>
      <c r="F60" s="4" t="str">
        <f>VLOOKUP(B60,Classification!A:D,4,FALSE)</f>
        <v>Corticotropin-releasingfact</v>
      </c>
      <c r="G60" s="2">
        <v>7</v>
      </c>
      <c r="H60" s="45" t="s">
        <v>31</v>
      </c>
      <c r="I60" s="2" t="s">
        <v>1223</v>
      </c>
      <c r="J60" s="5" t="str">
        <f>VLOOKUP(B60,Seqs!A:B,2,FALSE)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60" s="4" t="str">
        <f t="shared" si="1"/>
        <v>L</v>
      </c>
      <c r="L60" s="45">
        <f>VLOOKUP(B60,'NonXtal_SegEnds_Prot#'!A:AL,21,FALSE)</f>
        <v>226</v>
      </c>
      <c r="M60" s="45">
        <f>VLOOKUP(B60,'NonXtal_SegEnds_Prot#'!A:AL,22,FALSE)</f>
        <v>236</v>
      </c>
      <c r="N60" s="45">
        <f>VLOOKUP(B60,'NonXtal_SegEnds_Prot#'!A:AL,23,FALSE)</f>
        <v>254</v>
      </c>
      <c r="O60" s="4" t="str">
        <f t="shared" si="2"/>
        <v>D</v>
      </c>
      <c r="P60" s="4"/>
      <c r="Q60" s="47" t="str">
        <f t="shared" si="3"/>
        <v>LRKWMFICIG</v>
      </c>
      <c r="R60" s="27" t="str">
        <f t="shared" si="4"/>
        <v>W</v>
      </c>
      <c r="S60" s="19" t="str">
        <f t="shared" si="5"/>
        <v>GVPFPIIVAWAIGKLYYD</v>
      </c>
      <c r="T60" s="5" t="s">
        <v>169</v>
      </c>
      <c r="U60" s="1" t="s">
        <v>170</v>
      </c>
      <c r="V60" s="1"/>
      <c r="W60" s="1"/>
      <c r="X60" s="1"/>
      <c r="Y60" s="1"/>
      <c r="Z60" s="4"/>
      <c r="AA60" s="1"/>
      <c r="AB60" s="1"/>
      <c r="AC60" s="1"/>
      <c r="AD60" s="1"/>
      <c r="AE60" s="1">
        <v>224</v>
      </c>
      <c r="AF60" s="1">
        <v>236</v>
      </c>
      <c r="AG60" s="1">
        <v>253</v>
      </c>
      <c r="AH60" s="1" t="s">
        <v>168</v>
      </c>
      <c r="AI60" s="1"/>
      <c r="AJ60" s="1"/>
      <c r="AK60" s="4"/>
      <c r="AL60" s="4">
        <v>68</v>
      </c>
    </row>
    <row r="61" spans="1:38" s="23" customFormat="1" x14ac:dyDescent="0.25">
      <c r="A61" s="1" t="str">
        <f t="shared" si="0"/>
        <v>AA2AR_human__wt_TM5</v>
      </c>
      <c r="B61" s="45" t="s">
        <v>210</v>
      </c>
      <c r="C61" s="45" t="s">
        <v>294</v>
      </c>
      <c r="D61" s="4" t="str">
        <f>VLOOKUP(B61,Classification!A:D,2,FALSE)</f>
        <v>A</v>
      </c>
      <c r="E61" s="4" t="str">
        <f>VLOOKUP(B61,Classification!A:D,3,FALSE)</f>
        <v>Nucleotide</v>
      </c>
      <c r="F61" s="4" t="str">
        <f>VLOOKUP(B61,Classification!A:D,4,FALSE)</f>
        <v>Adenosine</v>
      </c>
      <c r="G61" s="2">
        <v>9</v>
      </c>
      <c r="H61" s="45" t="s">
        <v>39</v>
      </c>
      <c r="I61" s="2" t="s">
        <v>1223</v>
      </c>
      <c r="J61" s="5" t="str">
        <f>VLOOKUP(B61,Seqs!A:B,2,FALSE)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1" s="4" t="str">
        <f t="shared" si="1"/>
        <v>P</v>
      </c>
      <c r="L61" s="45">
        <f>VLOOKUP(B61,'NonXtal_SegEnds_Prot#'!A:AL,27,FALSE)</f>
        <v>173</v>
      </c>
      <c r="M61" s="45">
        <f>VLOOKUP(B61,'NonXtal_SegEnds_Prot#'!A:AL,28,FALSE)</f>
        <v>189</v>
      </c>
      <c r="N61" s="45">
        <f>VLOOKUP(B61,'NonXtal_SegEnds_Prot#'!A:AL,29,FALSE)</f>
        <v>213</v>
      </c>
      <c r="O61" s="4" t="str">
        <f t="shared" si="2"/>
        <v>S</v>
      </c>
      <c r="P61" s="4"/>
      <c r="Q61" s="47" t="str">
        <f t="shared" si="3"/>
        <v>PMNYMVYFNFFACVLV</v>
      </c>
      <c r="R61" s="27" t="str">
        <f t="shared" si="4"/>
        <v>P</v>
      </c>
      <c r="S61" s="19" t="str">
        <f t="shared" si="5"/>
        <v>LLLMLGVYLRIFLAARRQLKQMES</v>
      </c>
      <c r="T61" s="5" t="s">
        <v>74</v>
      </c>
      <c r="U61" s="4" t="s">
        <v>75</v>
      </c>
      <c r="V61" s="1"/>
      <c r="W61" s="1"/>
      <c r="X61" s="1"/>
      <c r="Y61" s="1"/>
      <c r="Z61" s="4" t="s">
        <v>64</v>
      </c>
      <c r="AA61" s="1"/>
      <c r="AB61" s="1"/>
      <c r="AC61" s="1"/>
      <c r="AD61" s="1" t="s">
        <v>40</v>
      </c>
      <c r="AE61" s="1">
        <v>174</v>
      </c>
      <c r="AF61" s="1">
        <v>189</v>
      </c>
      <c r="AG61" s="1">
        <v>213</v>
      </c>
      <c r="AH61" s="1" t="s">
        <v>72</v>
      </c>
      <c r="AI61" s="1"/>
      <c r="AJ61" s="1"/>
      <c r="AK61" s="4">
        <v>37</v>
      </c>
      <c r="AL61" s="4">
        <v>74</v>
      </c>
    </row>
    <row r="62" spans="1:38" s="23" customFormat="1" x14ac:dyDescent="0.25">
      <c r="A62" s="1" t="str">
        <f t="shared" si="0"/>
        <v>AA2AR_human_2YDV_TM5</v>
      </c>
      <c r="B62" s="45" t="s">
        <v>210</v>
      </c>
      <c r="C62" s="45" t="s">
        <v>271</v>
      </c>
      <c r="D62" s="4" t="str">
        <f>VLOOKUP(B62,Classification!A:D,2,FALSE)</f>
        <v>A</v>
      </c>
      <c r="E62" s="4" t="str">
        <f>VLOOKUP(B62,Classification!A:D,3,FALSE)</f>
        <v>Nucleotide</v>
      </c>
      <c r="F62" s="4" t="str">
        <f>VLOOKUP(B62,Classification!A:D,4,FALSE)</f>
        <v>Adenosine</v>
      </c>
      <c r="G62" s="2">
        <v>9</v>
      </c>
      <c r="H62" s="45" t="s">
        <v>39</v>
      </c>
      <c r="I62" s="2" t="s">
        <v>1223</v>
      </c>
      <c r="J62" s="5" t="str">
        <f>VLOOKUP(B62,Seqs!A:B,2,FALSE)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2" s="4" t="str">
        <f t="shared" si="1"/>
        <v>P</v>
      </c>
      <c r="L62" s="45">
        <f>VLOOKUP(B62,'NonXtal_SegEnds_Prot#'!A:AL,27,FALSE)</f>
        <v>173</v>
      </c>
      <c r="M62" s="45">
        <f>VLOOKUP(B62,'NonXtal_SegEnds_Prot#'!A:AL,28,FALSE)</f>
        <v>189</v>
      </c>
      <c r="N62" s="45">
        <f>VLOOKUP(B62,'NonXtal_SegEnds_Prot#'!A:AL,29,FALSE)</f>
        <v>213</v>
      </c>
      <c r="O62" s="4" t="str">
        <f t="shared" si="2"/>
        <v>S</v>
      </c>
      <c r="P62" s="4"/>
      <c r="Q62" s="47" t="str">
        <f t="shared" si="3"/>
        <v>PMNYMVYFNFFACVLV</v>
      </c>
      <c r="R62" s="27" t="str">
        <f t="shared" si="4"/>
        <v>P</v>
      </c>
      <c r="S62" s="19" t="str">
        <f t="shared" si="5"/>
        <v>LLLMLGVYLRIFLAARRQLKQMES</v>
      </c>
      <c r="T62" s="5" t="s">
        <v>74</v>
      </c>
      <c r="U62" s="4" t="s">
        <v>75</v>
      </c>
      <c r="V62" s="1"/>
      <c r="W62" s="1"/>
      <c r="X62" s="1"/>
      <c r="Y62" s="1"/>
      <c r="Z62" s="4" t="s">
        <v>64</v>
      </c>
      <c r="AA62" s="1"/>
      <c r="AB62" s="1"/>
      <c r="AC62" s="1"/>
      <c r="AD62" s="1" t="s">
        <v>40</v>
      </c>
      <c r="AE62" s="1">
        <v>174</v>
      </c>
      <c r="AF62" s="1">
        <v>189</v>
      </c>
      <c r="AG62" s="1">
        <v>208</v>
      </c>
      <c r="AH62" s="1" t="s">
        <v>73</v>
      </c>
      <c r="AI62" s="1"/>
      <c r="AJ62" s="1"/>
      <c r="AK62" s="4">
        <v>37</v>
      </c>
      <c r="AL62" s="4">
        <v>74</v>
      </c>
    </row>
    <row r="63" spans="1:38" s="23" customFormat="1" x14ac:dyDescent="0.25">
      <c r="A63" s="1" t="str">
        <f t="shared" si="0"/>
        <v>AA2AR_human_3REY_TM5</v>
      </c>
      <c r="B63" s="45" t="s">
        <v>210</v>
      </c>
      <c r="C63" s="45" t="s">
        <v>275</v>
      </c>
      <c r="D63" s="4" t="str">
        <f>VLOOKUP(B63,Classification!A:D,2,FALSE)</f>
        <v>A</v>
      </c>
      <c r="E63" s="4" t="str">
        <f>VLOOKUP(B63,Classification!A:D,3,FALSE)</f>
        <v>Nucleotide</v>
      </c>
      <c r="F63" s="4" t="str">
        <f>VLOOKUP(B63,Classification!A:D,4,FALSE)</f>
        <v>Adenosine</v>
      </c>
      <c r="G63" s="2">
        <v>9</v>
      </c>
      <c r="H63" s="45" t="s">
        <v>39</v>
      </c>
      <c r="I63" s="2" t="s">
        <v>1223</v>
      </c>
      <c r="J63" s="5" t="str">
        <f>VLOOKUP(B63,Seqs!A:B,2,FALSE)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3" s="4" t="str">
        <f t="shared" si="1"/>
        <v>P</v>
      </c>
      <c r="L63" s="45">
        <f>VLOOKUP(B63,'NonXtal_SegEnds_Prot#'!A:AL,27,FALSE)</f>
        <v>173</v>
      </c>
      <c r="M63" s="45">
        <f>VLOOKUP(B63,'NonXtal_SegEnds_Prot#'!A:AL,28,FALSE)</f>
        <v>189</v>
      </c>
      <c r="N63" s="45">
        <f>VLOOKUP(B63,'NonXtal_SegEnds_Prot#'!A:AL,29,FALSE)</f>
        <v>213</v>
      </c>
      <c r="O63" s="4" t="str">
        <f t="shared" si="2"/>
        <v>S</v>
      </c>
      <c r="P63" s="4"/>
      <c r="Q63" s="47" t="str">
        <f t="shared" si="3"/>
        <v>PMNYMVYFNFFACVLV</v>
      </c>
      <c r="R63" s="27" t="str">
        <f t="shared" si="4"/>
        <v>P</v>
      </c>
      <c r="S63" s="19" t="str">
        <f t="shared" si="5"/>
        <v>LLLMLGVYLRIFLAARRQLKQMES</v>
      </c>
      <c r="T63" s="5" t="s">
        <v>74</v>
      </c>
      <c r="U63" s="4" t="s">
        <v>75</v>
      </c>
      <c r="V63" s="1"/>
      <c r="W63" s="1"/>
      <c r="X63" s="1"/>
      <c r="Y63" s="1"/>
      <c r="Z63" s="4" t="s">
        <v>78</v>
      </c>
      <c r="AA63" s="1"/>
      <c r="AB63" s="1"/>
      <c r="AC63" s="1"/>
      <c r="AD63" s="1" t="s">
        <v>40</v>
      </c>
      <c r="AE63" s="1">
        <v>174</v>
      </c>
      <c r="AF63" s="1">
        <v>189</v>
      </c>
      <c r="AG63" s="1">
        <v>213</v>
      </c>
      <c r="AH63" s="1" t="s">
        <v>72</v>
      </c>
      <c r="AI63" s="1"/>
      <c r="AJ63" s="1"/>
      <c r="AK63" s="4">
        <v>37</v>
      </c>
      <c r="AL63" s="4">
        <v>74</v>
      </c>
    </row>
    <row r="64" spans="1:38" s="23" customFormat="1" x14ac:dyDescent="0.25">
      <c r="A64" s="1" t="str">
        <f t="shared" si="0"/>
        <v>AA2AR_human_4EIY_TM5</v>
      </c>
      <c r="B64" s="45" t="s">
        <v>210</v>
      </c>
      <c r="C64" s="45" t="s">
        <v>272</v>
      </c>
      <c r="D64" s="4" t="str">
        <f>VLOOKUP(B64,Classification!A:D,2,FALSE)</f>
        <v>A</v>
      </c>
      <c r="E64" s="4" t="str">
        <f>VLOOKUP(B64,Classification!A:D,3,FALSE)</f>
        <v>Nucleotide</v>
      </c>
      <c r="F64" s="4" t="str">
        <f>VLOOKUP(B64,Classification!A:D,4,FALSE)</f>
        <v>Adenosine</v>
      </c>
      <c r="G64" s="2">
        <v>9</v>
      </c>
      <c r="H64" s="45" t="s">
        <v>39</v>
      </c>
      <c r="I64" s="2" t="s">
        <v>1223</v>
      </c>
      <c r="J64" s="5" t="str">
        <f>VLOOKUP(B64,Seqs!A:B,2,FALSE)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4" s="4" t="str">
        <f t="shared" si="1"/>
        <v>P</v>
      </c>
      <c r="L64" s="45">
        <f>VLOOKUP(B64,'NonXtal_SegEnds_Prot#'!A:AL,27,FALSE)</f>
        <v>173</v>
      </c>
      <c r="M64" s="45">
        <f>VLOOKUP(B64,'NonXtal_SegEnds_Prot#'!A:AL,28,FALSE)</f>
        <v>189</v>
      </c>
      <c r="N64" s="45">
        <f>VLOOKUP(B64,'NonXtal_SegEnds_Prot#'!A:AL,29,FALSE)</f>
        <v>213</v>
      </c>
      <c r="O64" s="4" t="str">
        <f t="shared" si="2"/>
        <v>S</v>
      </c>
      <c r="P64" s="4"/>
      <c r="Q64" s="47" t="str">
        <f t="shared" si="3"/>
        <v>PMNYMVYFNFFACVLV</v>
      </c>
      <c r="R64" s="27" t="str">
        <f t="shared" si="4"/>
        <v>P</v>
      </c>
      <c r="S64" s="19" t="str">
        <f t="shared" si="5"/>
        <v>LLLMLGVYLRIFLAARRQLKQMES</v>
      </c>
      <c r="T64" s="5" t="s">
        <v>74</v>
      </c>
      <c r="U64" s="4" t="s">
        <v>75</v>
      </c>
      <c r="V64" s="1"/>
      <c r="W64" s="1"/>
      <c r="X64" s="1"/>
      <c r="Y64" s="1"/>
      <c r="Z64" s="4"/>
      <c r="AA64" s="1"/>
      <c r="AB64" s="1"/>
      <c r="AC64" s="1"/>
      <c r="AD64" s="1" t="s">
        <v>40</v>
      </c>
      <c r="AE64" s="1">
        <v>174</v>
      </c>
      <c r="AF64" s="1">
        <v>189</v>
      </c>
      <c r="AG64" s="1">
        <v>208</v>
      </c>
      <c r="AH64" s="1" t="s">
        <v>73</v>
      </c>
      <c r="AI64" s="1"/>
      <c r="AJ64" s="1"/>
      <c r="AK64" s="4">
        <v>37</v>
      </c>
      <c r="AL64" s="4">
        <v>69</v>
      </c>
    </row>
    <row r="65" spans="1:38" s="23" customFormat="1" x14ac:dyDescent="0.25">
      <c r="A65" s="1" t="str">
        <f t="shared" si="0"/>
        <v>FFAR1_human__wt_TM6</v>
      </c>
      <c r="B65" s="45" t="s">
        <v>1368</v>
      </c>
      <c r="C65" s="45" t="s">
        <v>294</v>
      </c>
      <c r="D65" s="4" t="str">
        <f>VLOOKUP(B65,Classification!A:D,2,FALSE)</f>
        <v>A</v>
      </c>
      <c r="E65" s="4" t="str">
        <f>VLOOKUP(B65,Classification!A:D,3,FALSE)</f>
        <v>Lipid</v>
      </c>
      <c r="F65" s="4" t="str">
        <f>VLOOKUP(B65,Classification!A:D,4,FALSE)</f>
        <v>Freefattyacid</v>
      </c>
      <c r="G65" s="2">
        <v>11</v>
      </c>
      <c r="H65" s="45" t="s">
        <v>44</v>
      </c>
      <c r="I65" s="2" t="s">
        <v>1223</v>
      </c>
      <c r="J65" s="5" t="str">
        <f>VLOOKUP(B65,Seqs!A:B,2,FALSE)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5" s="4" t="str">
        <f t="shared" si="1"/>
        <v>R</v>
      </c>
      <c r="L65" s="45">
        <f>VLOOKUP(B65,'NonXtal_SegEnds_Prot#'!A:AL,30,FALSE)</f>
        <v>217</v>
      </c>
      <c r="M65" s="45">
        <f>VLOOKUP(B65,'NonXtal_SegEnds_Prot#'!A:AL,31,FALSE)</f>
        <v>239</v>
      </c>
      <c r="N65" s="45">
        <f>VLOOKUP(B65,'NonXtal_SegEnds_Prot#'!A:AL,32,FALSE)</f>
        <v>250</v>
      </c>
      <c r="O65" s="4" t="str">
        <f t="shared" si="2"/>
        <v>Y</v>
      </c>
      <c r="P65" s="4"/>
      <c r="Q65" s="47" t="str">
        <f t="shared" si="3"/>
        <v>RRKLRAAWVAGGALLTLLLCVG</v>
      </c>
      <c r="R65" s="27" t="str">
        <f t="shared" si="4"/>
        <v>P</v>
      </c>
      <c r="S65" s="19" t="str">
        <f t="shared" si="5"/>
        <v>YNASNVASFLY</v>
      </c>
      <c r="T65" s="5" t="s">
        <v>120</v>
      </c>
      <c r="U65" s="4"/>
      <c r="V65" s="1"/>
      <c r="W65" s="1"/>
      <c r="X65" s="1"/>
      <c r="Y65" s="1"/>
      <c r="Z65" s="4"/>
      <c r="AA65" s="1"/>
      <c r="AB65" s="1"/>
      <c r="AC65" s="1"/>
      <c r="AD65" s="1" t="s">
        <v>91</v>
      </c>
      <c r="AE65" s="1">
        <v>214</v>
      </c>
      <c r="AF65" s="1">
        <v>239</v>
      </c>
      <c r="AG65" s="1">
        <v>250</v>
      </c>
      <c r="AH65" s="1" t="s">
        <v>61</v>
      </c>
      <c r="AI65" s="1"/>
      <c r="AJ65" s="1"/>
      <c r="AK65" s="1">
        <v>29</v>
      </c>
      <c r="AL65" s="4">
        <v>61</v>
      </c>
    </row>
    <row r="66" spans="1:38" s="23" customFormat="1" x14ac:dyDescent="0.25">
      <c r="A66" s="1" t="str">
        <f t="shared" ref="A66:A129" si="6">CONCATENATE(B66,"_",C66,"_",H66)</f>
        <v>FFAR1_human_4PHU_TM6</v>
      </c>
      <c r="B66" s="45" t="s">
        <v>1368</v>
      </c>
      <c r="C66" s="45" t="s">
        <v>241</v>
      </c>
      <c r="D66" s="4" t="str">
        <f>VLOOKUP(B66,Classification!A:D,2,FALSE)</f>
        <v>A</v>
      </c>
      <c r="E66" s="4" t="str">
        <f>VLOOKUP(B66,Classification!A:D,3,FALSE)</f>
        <v>Lipid</v>
      </c>
      <c r="F66" s="4" t="str">
        <f>VLOOKUP(B66,Classification!A:D,4,FALSE)</f>
        <v>Freefattyacid</v>
      </c>
      <c r="G66" s="2">
        <v>11</v>
      </c>
      <c r="H66" s="45" t="s">
        <v>44</v>
      </c>
      <c r="I66" s="2" t="s">
        <v>1223</v>
      </c>
      <c r="J66" s="5" t="str">
        <f>VLOOKUP(B66,Seqs!A:B,2,FALSE)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6" s="4" t="str">
        <f t="shared" ref="K66:K129" si="7">MID(J66,L66,1)</f>
        <v>R</v>
      </c>
      <c r="L66" s="45">
        <f>VLOOKUP(B66,'NonXtal_SegEnds_Prot#'!A:AL,30,FALSE)</f>
        <v>217</v>
      </c>
      <c r="M66" s="45">
        <f>VLOOKUP(B66,'NonXtal_SegEnds_Prot#'!A:AL,31,FALSE)</f>
        <v>239</v>
      </c>
      <c r="N66" s="45">
        <f>VLOOKUP(B66,'NonXtal_SegEnds_Prot#'!A:AL,32,FALSE)</f>
        <v>250</v>
      </c>
      <c r="O66" s="4" t="str">
        <f t="shared" ref="O66:O129" si="8">MID(J66,N66,1)</f>
        <v>Y</v>
      </c>
      <c r="P66" s="4"/>
      <c r="Q66" s="47" t="str">
        <f t="shared" ref="Q66:Q129" si="9">MID(J66,L66,M66-L66)</f>
        <v>RRKLRAAWVAGGALLTLLLCVG</v>
      </c>
      <c r="R66" s="27" t="str">
        <f t="shared" ref="R66:R129" si="10">MID(J66,M66,1)</f>
        <v>P</v>
      </c>
      <c r="S66" s="19" t="str">
        <f t="shared" ref="S66:S129" si="11">MID(J66,M66+1,N66-M66)</f>
        <v>YNASNVASFLY</v>
      </c>
      <c r="T66" s="5" t="s">
        <v>120</v>
      </c>
      <c r="U66" s="4"/>
      <c r="V66" s="1"/>
      <c r="W66" s="1"/>
      <c r="X66" s="1"/>
      <c r="Y66" s="1"/>
      <c r="Z66" s="4"/>
      <c r="AA66" s="1"/>
      <c r="AB66" s="1"/>
      <c r="AC66" s="1"/>
      <c r="AD66" s="1" t="s">
        <v>91</v>
      </c>
      <c r="AE66" s="1">
        <v>214</v>
      </c>
      <c r="AF66" s="1">
        <v>239</v>
      </c>
      <c r="AG66" s="1">
        <v>250</v>
      </c>
      <c r="AH66" s="1" t="s">
        <v>61</v>
      </c>
      <c r="AI66" s="1"/>
      <c r="AJ66" s="1"/>
      <c r="AK66" s="1">
        <v>29</v>
      </c>
      <c r="AL66" s="4">
        <v>61</v>
      </c>
    </row>
    <row r="67" spans="1:38" s="23" customFormat="1" x14ac:dyDescent="0.25">
      <c r="A67" s="1" t="str">
        <f t="shared" si="6"/>
        <v>P2RY1_human__wt_TM6</v>
      </c>
      <c r="B67" s="45" t="s">
        <v>215</v>
      </c>
      <c r="C67" s="45" t="s">
        <v>294</v>
      </c>
      <c r="D67" s="4" t="str">
        <f>VLOOKUP(B67,Classification!A:D,2,FALSE)</f>
        <v>A</v>
      </c>
      <c r="E67" s="4" t="str">
        <f>VLOOKUP(B67,Classification!A:D,3,FALSE)</f>
        <v>Nucleotide</v>
      </c>
      <c r="F67" s="4" t="str">
        <f>VLOOKUP(B67,Classification!A:D,4,FALSE)</f>
        <v>P2Y</v>
      </c>
      <c r="G67" s="2">
        <v>11</v>
      </c>
      <c r="H67" s="45" t="s">
        <v>44</v>
      </c>
      <c r="I67" s="2" t="s">
        <v>1223</v>
      </c>
      <c r="J67" s="5" t="str">
        <f>VLOOKUP(B67,Seqs!A:B,2,FALSE)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7" s="4" t="str">
        <f t="shared" si="7"/>
        <v>P</v>
      </c>
      <c r="L67" s="45">
        <f>VLOOKUP(B67,'NonXtal_SegEnds_Prot#'!A:AL,30,FALSE)</f>
        <v>253</v>
      </c>
      <c r="M67" s="45">
        <f>VLOOKUP(B67,'NonXtal_SegEnds_Prot#'!A:AL,31,FALSE)</f>
        <v>275</v>
      </c>
      <c r="N67" s="45">
        <f>VLOOKUP(B67,'NonXtal_SegEnds_Prot#'!A:AL,32,FALSE)</f>
        <v>289</v>
      </c>
      <c r="O67" s="4" t="str">
        <f t="shared" si="8"/>
        <v>D</v>
      </c>
      <c r="P67" s="4"/>
      <c r="Q67" s="47" t="str">
        <f t="shared" si="9"/>
        <v>PLRRKSIYLVIIVLTVFAVSYI</v>
      </c>
      <c r="R67" s="27" t="str">
        <f t="shared" si="10"/>
        <v>P</v>
      </c>
      <c r="S67" s="19" t="str">
        <f t="shared" si="11"/>
        <v>FHVMKTMNLRARLD</v>
      </c>
      <c r="T67" s="5" t="s">
        <v>120</v>
      </c>
      <c r="U67" s="4"/>
      <c r="V67" s="1"/>
      <c r="W67" s="1"/>
      <c r="X67" s="1"/>
      <c r="Y67" s="1"/>
      <c r="Z67" s="4"/>
      <c r="AA67" s="1"/>
      <c r="AB67" s="1"/>
      <c r="AC67" s="1"/>
      <c r="AD67" s="1" t="s">
        <v>91</v>
      </c>
      <c r="AE67" s="1">
        <v>253</v>
      </c>
      <c r="AF67" s="1">
        <v>275</v>
      </c>
      <c r="AG67" s="1">
        <v>289</v>
      </c>
      <c r="AH67" s="1" t="s">
        <v>154</v>
      </c>
      <c r="AI67" s="1"/>
      <c r="AJ67" s="1"/>
      <c r="AK67" s="4">
        <v>29</v>
      </c>
      <c r="AL67" s="4">
        <v>64</v>
      </c>
    </row>
    <row r="68" spans="1:38" s="23" customFormat="1" x14ac:dyDescent="0.25">
      <c r="A68" s="1" t="str">
        <f t="shared" si="6"/>
        <v>P2RY1_human_4xNV_TM6</v>
      </c>
      <c r="B68" s="45" t="s">
        <v>215</v>
      </c>
      <c r="C68" s="45" t="s">
        <v>274</v>
      </c>
      <c r="D68" s="4" t="str">
        <f>VLOOKUP(B68,Classification!A:D,2,FALSE)</f>
        <v>A</v>
      </c>
      <c r="E68" s="4" t="str">
        <f>VLOOKUP(B68,Classification!A:D,3,FALSE)</f>
        <v>Nucleotide</v>
      </c>
      <c r="F68" s="4" t="str">
        <f>VLOOKUP(B68,Classification!A:D,4,FALSE)</f>
        <v>P2Y</v>
      </c>
      <c r="G68" s="2">
        <v>11</v>
      </c>
      <c r="H68" s="45" t="s">
        <v>44</v>
      </c>
      <c r="I68" s="2" t="s">
        <v>1223</v>
      </c>
      <c r="J68" s="5" t="str">
        <f>VLOOKUP(B68,Seqs!A:B,2,FALSE)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8" s="4" t="str">
        <f t="shared" si="7"/>
        <v>P</v>
      </c>
      <c r="L68" s="45">
        <f>VLOOKUP(B68,'NonXtal_SegEnds_Prot#'!A:AL,30,FALSE)</f>
        <v>253</v>
      </c>
      <c r="M68" s="45">
        <f>VLOOKUP(B68,'NonXtal_SegEnds_Prot#'!A:AL,31,FALSE)</f>
        <v>275</v>
      </c>
      <c r="N68" s="45">
        <f>VLOOKUP(B68,'NonXtal_SegEnds_Prot#'!A:AL,32,FALSE)</f>
        <v>289</v>
      </c>
      <c r="O68" s="4" t="str">
        <f t="shared" si="8"/>
        <v>D</v>
      </c>
      <c r="P68" s="4"/>
      <c r="Q68" s="47" t="str">
        <f t="shared" si="9"/>
        <v>PLRRKSIYLVIIVLTVFAVSYI</v>
      </c>
      <c r="R68" s="27" t="str">
        <f t="shared" si="10"/>
        <v>P</v>
      </c>
      <c r="S68" s="19" t="str">
        <f t="shared" si="11"/>
        <v>FHVMKTMNLRARLD</v>
      </c>
      <c r="T68" s="5" t="s">
        <v>120</v>
      </c>
      <c r="U68" s="4"/>
      <c r="V68" s="1"/>
      <c r="W68" s="1"/>
      <c r="X68" s="1"/>
      <c r="Y68" s="1"/>
      <c r="Z68" s="4"/>
      <c r="AA68" s="1"/>
      <c r="AB68" s="1"/>
      <c r="AC68" s="1"/>
      <c r="AD68" s="1" t="s">
        <v>91</v>
      </c>
      <c r="AE68" s="1">
        <v>253</v>
      </c>
      <c r="AF68" s="1">
        <v>275</v>
      </c>
      <c r="AG68" s="1">
        <v>289</v>
      </c>
      <c r="AH68" s="1" t="s">
        <v>154</v>
      </c>
      <c r="AI68" s="1"/>
      <c r="AJ68" s="1"/>
      <c r="AK68" s="4">
        <v>29</v>
      </c>
      <c r="AL68" s="4">
        <v>64</v>
      </c>
    </row>
    <row r="69" spans="1:38" s="23" customFormat="1" x14ac:dyDescent="0.25">
      <c r="A69" s="1" t="str">
        <f t="shared" si="6"/>
        <v>PAR1_human__wt_TM6</v>
      </c>
      <c r="B69" s="45" t="s">
        <v>229</v>
      </c>
      <c r="C69" s="45" t="s">
        <v>294</v>
      </c>
      <c r="D69" s="4" t="str">
        <f>VLOOKUP(B69,Classification!A:D,2,FALSE)</f>
        <v>A</v>
      </c>
      <c r="E69" s="4" t="str">
        <f>VLOOKUP(B69,Classification!A:D,3,FALSE)</f>
        <v>Peptide</v>
      </c>
      <c r="F69" s="4" t="str">
        <f>VLOOKUP(B69,Classification!A:D,4,FALSE)</f>
        <v>Proteinase-activated</v>
      </c>
      <c r="G69" s="2">
        <v>11</v>
      </c>
      <c r="H69" s="45" t="s">
        <v>44</v>
      </c>
      <c r="I69" s="2" t="s">
        <v>1223</v>
      </c>
      <c r="J69" s="5" t="str">
        <f>VLOOKUP(B69,Seqs!A:B,2,FALSE)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69" s="4" t="str">
        <f t="shared" si="7"/>
        <v>N</v>
      </c>
      <c r="L69" s="45">
        <f>VLOOKUP(B69,'NonXtal_SegEnds_Prot#'!A:AL,30,FALSE)</f>
        <v>304</v>
      </c>
      <c r="M69" s="45">
        <f>VLOOKUP(B69,'NonXtal_SegEnds_Prot#'!A:AL,31,FALSE)</f>
        <v>328</v>
      </c>
      <c r="N69" s="45">
        <f>VLOOKUP(B69,'NonXtal_SegEnds_Prot#'!A:AL,32,FALSE)</f>
        <v>340</v>
      </c>
      <c r="O69" s="4" t="str">
        <f t="shared" si="8"/>
        <v>L</v>
      </c>
      <c r="P69" s="4"/>
      <c r="Q69" s="47" t="str">
        <f t="shared" si="9"/>
        <v>NRSKKSRALFLSAAVFCIFIICFG</v>
      </c>
      <c r="R69" s="27" t="str">
        <f t="shared" si="10"/>
        <v>P</v>
      </c>
      <c r="S69" s="19" t="str">
        <f t="shared" si="11"/>
        <v>TNVLLIAHYSFL</v>
      </c>
      <c r="T69" s="5" t="s">
        <v>120</v>
      </c>
      <c r="U69" s="4"/>
      <c r="V69" s="1"/>
      <c r="W69" s="1"/>
      <c r="X69" s="1"/>
      <c r="Y69" s="1"/>
      <c r="Z69" s="4"/>
      <c r="AA69" s="1"/>
      <c r="AB69" s="1"/>
      <c r="AC69" s="1"/>
      <c r="AD69" s="1" t="s">
        <v>91</v>
      </c>
      <c r="AE69" s="1">
        <v>305</v>
      </c>
      <c r="AF69" s="1">
        <v>328</v>
      </c>
      <c r="AG69" s="1">
        <v>338</v>
      </c>
      <c r="AH69" s="1" t="s">
        <v>107</v>
      </c>
      <c r="AI69" s="1"/>
      <c r="AJ69" s="1"/>
      <c r="AK69" s="1">
        <v>29</v>
      </c>
      <c r="AL69" s="4">
        <v>60</v>
      </c>
    </row>
    <row r="70" spans="1:38" s="23" customFormat="1" x14ac:dyDescent="0.25">
      <c r="A70" s="1" t="str">
        <f t="shared" si="6"/>
        <v>PAR1_human_3VW7_TM6</v>
      </c>
      <c r="B70" s="45" t="s">
        <v>229</v>
      </c>
      <c r="C70" s="45" t="s">
        <v>285</v>
      </c>
      <c r="D70" s="4" t="str">
        <f>VLOOKUP(B70,Classification!A:D,2,FALSE)</f>
        <v>A</v>
      </c>
      <c r="E70" s="4" t="str">
        <f>VLOOKUP(B70,Classification!A:D,3,FALSE)</f>
        <v>Peptide</v>
      </c>
      <c r="F70" s="4" t="str">
        <f>VLOOKUP(B70,Classification!A:D,4,FALSE)</f>
        <v>Proteinase-activated</v>
      </c>
      <c r="G70" s="2">
        <v>11</v>
      </c>
      <c r="H70" s="45" t="s">
        <v>44</v>
      </c>
      <c r="I70" s="2" t="s">
        <v>1223</v>
      </c>
      <c r="J70" s="5" t="str">
        <f>VLOOKUP(B70,Seqs!A:B,2,FALSE)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70" s="4" t="str">
        <f t="shared" si="7"/>
        <v>N</v>
      </c>
      <c r="L70" s="45">
        <f>VLOOKUP(B70,'NonXtal_SegEnds_Prot#'!A:AL,30,FALSE)</f>
        <v>304</v>
      </c>
      <c r="M70" s="45">
        <f>VLOOKUP(B70,'NonXtal_SegEnds_Prot#'!A:AL,31,FALSE)</f>
        <v>328</v>
      </c>
      <c r="N70" s="45">
        <f>VLOOKUP(B70,'NonXtal_SegEnds_Prot#'!A:AL,32,FALSE)</f>
        <v>340</v>
      </c>
      <c r="O70" s="4" t="str">
        <f t="shared" si="8"/>
        <v>L</v>
      </c>
      <c r="P70" s="4"/>
      <c r="Q70" s="47" t="str">
        <f t="shared" si="9"/>
        <v>NRSKKSRALFLSAAVFCIFIICFG</v>
      </c>
      <c r="R70" s="27" t="str">
        <f t="shared" si="10"/>
        <v>P</v>
      </c>
      <c r="S70" s="19" t="str">
        <f t="shared" si="11"/>
        <v>TNVLLIAHYSFL</v>
      </c>
      <c r="T70" s="5" t="s">
        <v>120</v>
      </c>
      <c r="U70" s="4"/>
      <c r="V70" s="1"/>
      <c r="W70" s="1"/>
      <c r="X70" s="1"/>
      <c r="Y70" s="1"/>
      <c r="Z70" s="4"/>
      <c r="AA70" s="1"/>
      <c r="AB70" s="1"/>
      <c r="AC70" s="1"/>
      <c r="AD70" s="1" t="s">
        <v>91</v>
      </c>
      <c r="AE70" s="1">
        <v>305</v>
      </c>
      <c r="AF70" s="1">
        <v>328</v>
      </c>
      <c r="AG70" s="1">
        <v>338</v>
      </c>
      <c r="AH70" s="1" t="s">
        <v>107</v>
      </c>
      <c r="AI70" s="1"/>
      <c r="AJ70" s="1"/>
      <c r="AK70" s="1">
        <v>29</v>
      </c>
      <c r="AL70" s="4">
        <v>60</v>
      </c>
    </row>
    <row r="71" spans="1:38" s="23" customFormat="1" x14ac:dyDescent="0.25">
      <c r="A71" s="1" t="str">
        <f t="shared" si="6"/>
        <v>5ht1b_human__wt_TM7</v>
      </c>
      <c r="B71" s="45" t="s">
        <v>208</v>
      </c>
      <c r="C71" s="45" t="s">
        <v>294</v>
      </c>
      <c r="D71" s="4" t="str">
        <f>VLOOKUP(B71,Classification!A:D,2,FALSE)</f>
        <v>A</v>
      </c>
      <c r="E71" s="4" t="str">
        <f>VLOOKUP(B71,Classification!A:D,3,FALSE)</f>
        <v>Aminergic</v>
      </c>
      <c r="F71" s="4" t="str">
        <f>VLOOKUP(B71,Classification!A:D,4,FALSE)</f>
        <v>5-Hydroxytryptamine</v>
      </c>
      <c r="G71" s="2">
        <v>13</v>
      </c>
      <c r="H71" s="45" t="s">
        <v>48</v>
      </c>
      <c r="I71" s="2" t="s">
        <v>1223</v>
      </c>
      <c r="J71" s="5" t="str">
        <f>VLOOKUP(B71,Seqs!A:B,2,FALSE)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1" s="4" t="str">
        <f t="shared" si="7"/>
        <v>H</v>
      </c>
      <c r="L71" s="45">
        <f>VLOOKUP(B71,'NonXtal_SegEnds_Prot#'!A:AL,33,FALSE)</f>
        <v>347</v>
      </c>
      <c r="M71" s="45">
        <f>VLOOKUP(B71,'NonXtal_SegEnds_Prot#'!A:AL,34,FALSE)</f>
        <v>366</v>
      </c>
      <c r="N71" s="45">
        <f>VLOOKUP(B71,'NonXtal_SegEnds_Prot#'!A:AL,35,FALSE)</f>
        <v>372</v>
      </c>
      <c r="O71" s="4" t="str">
        <f t="shared" si="8"/>
        <v>S</v>
      </c>
      <c r="P71" s="4"/>
      <c r="Q71" s="47" t="str">
        <f t="shared" si="9"/>
        <v>HLAIFDFFTWLGYLNSLIN</v>
      </c>
      <c r="R71" s="27" t="str">
        <f t="shared" si="10"/>
        <v>P</v>
      </c>
      <c r="S71" s="19" t="str">
        <f t="shared" si="11"/>
        <v>IIYTMS</v>
      </c>
      <c r="T71" s="5" t="s">
        <v>51</v>
      </c>
      <c r="U71" s="4"/>
      <c r="V71" s="1"/>
      <c r="W71" s="1"/>
      <c r="X71" s="1"/>
      <c r="Y71" s="1"/>
      <c r="Z71" s="4"/>
      <c r="AA71" s="1"/>
      <c r="AB71" s="1"/>
      <c r="AC71" s="1"/>
      <c r="AD71" s="1" t="s">
        <v>49</v>
      </c>
      <c r="AE71" s="1">
        <v>348</v>
      </c>
      <c r="AF71" s="1">
        <v>366</v>
      </c>
      <c r="AG71" s="1">
        <v>373</v>
      </c>
      <c r="AH71" s="1" t="s">
        <v>50</v>
      </c>
      <c r="AI71" s="1"/>
      <c r="AJ71" s="1"/>
      <c r="AK71" s="4">
        <v>31</v>
      </c>
      <c r="AL71" s="4">
        <v>57</v>
      </c>
    </row>
    <row r="72" spans="1:38" s="23" customFormat="1" x14ac:dyDescent="0.25">
      <c r="A72" s="1" t="str">
        <f t="shared" si="6"/>
        <v>5ht1b_human_4IAQ_TM7</v>
      </c>
      <c r="B72" s="45" t="s">
        <v>208</v>
      </c>
      <c r="C72" s="53" t="s">
        <v>1249</v>
      </c>
      <c r="D72" s="4" t="str">
        <f>VLOOKUP(B72,Classification!A:D,2,FALSE)</f>
        <v>A</v>
      </c>
      <c r="E72" s="4" t="str">
        <f>VLOOKUP(B72,Classification!A:D,3,FALSE)</f>
        <v>Aminergic</v>
      </c>
      <c r="F72" s="4" t="str">
        <f>VLOOKUP(B72,Classification!A:D,4,FALSE)</f>
        <v>5-Hydroxytryptamine</v>
      </c>
      <c r="G72" s="2">
        <v>13</v>
      </c>
      <c r="H72" s="45" t="s">
        <v>48</v>
      </c>
      <c r="I72" s="2" t="s">
        <v>1223</v>
      </c>
      <c r="J72" s="5" t="str">
        <f>VLOOKUP(B72,Seqs!A:B,2,FALSE)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2" s="4" t="str">
        <f t="shared" si="7"/>
        <v>H</v>
      </c>
      <c r="L72" s="45">
        <f>VLOOKUP(B72,'NonXtal_SegEnds_Prot#'!A:AL,33,FALSE)</f>
        <v>347</v>
      </c>
      <c r="M72" s="45">
        <f>VLOOKUP(B72,'NonXtal_SegEnds_Prot#'!A:AL,34,FALSE)</f>
        <v>366</v>
      </c>
      <c r="N72" s="45">
        <f>VLOOKUP(B72,'NonXtal_SegEnds_Prot#'!A:AL,35,FALSE)</f>
        <v>372</v>
      </c>
      <c r="O72" s="4" t="str">
        <f t="shared" si="8"/>
        <v>S</v>
      </c>
      <c r="P72" s="4"/>
      <c r="Q72" s="47" t="str">
        <f t="shared" si="9"/>
        <v>HLAIFDFFTWLGYLNSLIN</v>
      </c>
      <c r="R72" s="27" t="str">
        <f t="shared" si="10"/>
        <v>P</v>
      </c>
      <c r="S72" s="19" t="str">
        <f t="shared" si="11"/>
        <v>IIYTMS</v>
      </c>
      <c r="T72" s="5" t="s">
        <v>51</v>
      </c>
      <c r="U72" s="4"/>
      <c r="V72" s="1"/>
      <c r="W72" s="1"/>
      <c r="X72" s="1"/>
      <c r="Y72" s="1"/>
      <c r="Z72" s="4"/>
      <c r="AA72" s="1"/>
      <c r="AB72" s="1"/>
      <c r="AC72" s="1"/>
      <c r="AD72" s="1" t="s">
        <v>49</v>
      </c>
      <c r="AE72" s="1">
        <v>348</v>
      </c>
      <c r="AF72" s="1">
        <v>366</v>
      </c>
      <c r="AG72" s="1">
        <v>373</v>
      </c>
      <c r="AH72" s="1" t="s">
        <v>50</v>
      </c>
      <c r="AI72" s="1"/>
      <c r="AJ72" s="1"/>
      <c r="AK72" s="4">
        <v>31</v>
      </c>
      <c r="AL72" s="4">
        <v>57</v>
      </c>
    </row>
    <row r="73" spans="1:38" s="23" customFormat="1" x14ac:dyDescent="0.25">
      <c r="A73" s="1" t="str">
        <f t="shared" si="6"/>
        <v>5ht1b_human_4IAR_TM7</v>
      </c>
      <c r="B73" s="45" t="s">
        <v>208</v>
      </c>
      <c r="C73" s="45" t="s">
        <v>251</v>
      </c>
      <c r="D73" s="4" t="str">
        <f>VLOOKUP(B73,Classification!A:D,2,FALSE)</f>
        <v>A</v>
      </c>
      <c r="E73" s="4" t="str">
        <f>VLOOKUP(B73,Classification!A:D,3,FALSE)</f>
        <v>Aminergic</v>
      </c>
      <c r="F73" s="4" t="str">
        <f>VLOOKUP(B73,Classification!A:D,4,FALSE)</f>
        <v>5-Hydroxytryptamine</v>
      </c>
      <c r="G73" s="2">
        <v>13</v>
      </c>
      <c r="H73" s="45" t="s">
        <v>48</v>
      </c>
      <c r="I73" s="2" t="s">
        <v>1223</v>
      </c>
      <c r="J73" s="5" t="str">
        <f>VLOOKUP(B73,Seqs!A:B,2,FALSE)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3" s="4" t="str">
        <f t="shared" si="7"/>
        <v>H</v>
      </c>
      <c r="L73" s="45">
        <f>VLOOKUP(B73,'NonXtal_SegEnds_Prot#'!A:AL,33,FALSE)</f>
        <v>347</v>
      </c>
      <c r="M73" s="45">
        <f>VLOOKUP(B73,'NonXtal_SegEnds_Prot#'!A:AL,34,FALSE)</f>
        <v>366</v>
      </c>
      <c r="N73" s="45">
        <f>VLOOKUP(B73,'NonXtal_SegEnds_Prot#'!A:AL,35,FALSE)</f>
        <v>372</v>
      </c>
      <c r="O73" s="4" t="str">
        <f t="shared" si="8"/>
        <v>S</v>
      </c>
      <c r="P73" s="4"/>
      <c r="Q73" s="47" t="str">
        <f t="shared" si="9"/>
        <v>HLAIFDFFTWLGYLNSLIN</v>
      </c>
      <c r="R73" s="27" t="str">
        <f t="shared" si="10"/>
        <v>P</v>
      </c>
      <c r="S73" s="19" t="str">
        <f t="shared" si="11"/>
        <v>IIYTMS</v>
      </c>
      <c r="T73" s="5" t="s">
        <v>51</v>
      </c>
      <c r="U73" s="4"/>
      <c r="V73" s="1"/>
      <c r="W73" s="1"/>
      <c r="X73" s="1"/>
      <c r="Y73" s="1"/>
      <c r="Z73" s="4"/>
      <c r="AA73" s="1"/>
      <c r="AB73" s="1"/>
      <c r="AC73" s="1"/>
      <c r="AD73" s="1" t="s">
        <v>49</v>
      </c>
      <c r="AE73" s="1">
        <v>348</v>
      </c>
      <c r="AF73" s="1">
        <v>366</v>
      </c>
      <c r="AG73" s="1">
        <v>373</v>
      </c>
      <c r="AH73" s="1" t="s">
        <v>50</v>
      </c>
      <c r="AI73" s="1"/>
      <c r="AJ73" s="1"/>
      <c r="AK73" s="4">
        <v>31</v>
      </c>
      <c r="AL73" s="4">
        <v>57</v>
      </c>
    </row>
    <row r="74" spans="1:38" s="23" customFormat="1" x14ac:dyDescent="0.25">
      <c r="A74" s="1" t="str">
        <f t="shared" si="6"/>
        <v>5ht2b_human__wt_TM7</v>
      </c>
      <c r="B74" s="45" t="s">
        <v>209</v>
      </c>
      <c r="C74" s="45" t="s">
        <v>294</v>
      </c>
      <c r="D74" s="4" t="str">
        <f>VLOOKUP(B74,Classification!A:D,2,FALSE)</f>
        <v>A</v>
      </c>
      <c r="E74" s="4" t="str">
        <f>VLOOKUP(B74,Classification!A:D,3,FALSE)</f>
        <v>Aminergic</v>
      </c>
      <c r="F74" s="4" t="str">
        <f>VLOOKUP(B74,Classification!A:D,4,FALSE)</f>
        <v>5-Hydroxytryptamine</v>
      </c>
      <c r="G74" s="2">
        <v>13</v>
      </c>
      <c r="H74" s="45" t="s">
        <v>48</v>
      </c>
      <c r="I74" s="2" t="s">
        <v>1223</v>
      </c>
      <c r="J74" s="5" t="str">
        <f>VLOOKUP(B74,Seqs!A:B,2,FALSE)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74" s="4" t="str">
        <f t="shared" si="7"/>
        <v>Q</v>
      </c>
      <c r="L74" s="45">
        <f>VLOOKUP(B74,'NonXtal_SegEnds_Prot#'!A:AL,33,FALSE)</f>
        <v>355</v>
      </c>
      <c r="M74" s="45">
        <f>VLOOKUP(B74,'NonXtal_SegEnds_Prot#'!A:AL,34,FALSE)</f>
        <v>377</v>
      </c>
      <c r="N74" s="45">
        <f>VLOOKUP(B74,'NonXtal_SegEnds_Prot#'!A:AL,35,FALSE)</f>
        <v>383</v>
      </c>
      <c r="O74" s="4" t="str">
        <f t="shared" si="8"/>
        <v>F</v>
      </c>
      <c r="P74" s="4"/>
      <c r="Q74" s="47" t="str">
        <f t="shared" si="9"/>
        <v>QTTLQMLLEIFVWIGYVSSGVN</v>
      </c>
      <c r="R74" s="27" t="str">
        <f t="shared" si="10"/>
        <v>P</v>
      </c>
      <c r="S74" s="19" t="str">
        <f t="shared" si="11"/>
        <v>LVYTLF</v>
      </c>
      <c r="T74" s="5" t="s">
        <v>51</v>
      </c>
      <c r="U74" s="4"/>
      <c r="V74" s="1"/>
      <c r="W74" s="1"/>
      <c r="X74" s="1"/>
      <c r="Y74" s="1"/>
      <c r="Z74" s="4"/>
      <c r="AA74" s="1"/>
      <c r="AB74" s="1"/>
      <c r="AC74" s="1"/>
      <c r="AD74" s="1" t="s">
        <v>62</v>
      </c>
      <c r="AE74" s="1">
        <v>355</v>
      </c>
      <c r="AF74" s="1">
        <v>377</v>
      </c>
      <c r="AG74" s="1">
        <v>384</v>
      </c>
      <c r="AH74" s="1" t="s">
        <v>50</v>
      </c>
      <c r="AI74" s="1"/>
      <c r="AJ74" s="1"/>
      <c r="AK74" s="4">
        <v>27</v>
      </c>
      <c r="AL74" s="4">
        <v>57</v>
      </c>
    </row>
    <row r="75" spans="1:38" s="23" customFormat="1" x14ac:dyDescent="0.25">
      <c r="A75" s="1" t="str">
        <f t="shared" si="6"/>
        <v>5ht2b_human_4IB4_TM7</v>
      </c>
      <c r="B75" s="45" t="s">
        <v>209</v>
      </c>
      <c r="C75" s="45" t="s">
        <v>261</v>
      </c>
      <c r="D75" s="4" t="str">
        <f>VLOOKUP(B75,Classification!A:D,2,FALSE)</f>
        <v>A</v>
      </c>
      <c r="E75" s="4" t="str">
        <f>VLOOKUP(B75,Classification!A:D,3,FALSE)</f>
        <v>Aminergic</v>
      </c>
      <c r="F75" s="4" t="str">
        <f>VLOOKUP(B75,Classification!A:D,4,FALSE)</f>
        <v>5-Hydroxytryptamine</v>
      </c>
      <c r="G75" s="2">
        <v>13</v>
      </c>
      <c r="H75" s="45" t="s">
        <v>48</v>
      </c>
      <c r="I75" s="2" t="s">
        <v>1223</v>
      </c>
      <c r="J75" s="5" t="str">
        <f>VLOOKUP(B75,Seqs!A:B,2,FALSE)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75" s="4" t="str">
        <f t="shared" si="7"/>
        <v>Q</v>
      </c>
      <c r="L75" s="45">
        <f>VLOOKUP(B75,'NonXtal_SegEnds_Prot#'!A:AL,33,FALSE)</f>
        <v>355</v>
      </c>
      <c r="M75" s="45">
        <f>VLOOKUP(B75,'NonXtal_SegEnds_Prot#'!A:AL,34,FALSE)</f>
        <v>377</v>
      </c>
      <c r="N75" s="45">
        <f>VLOOKUP(B75,'NonXtal_SegEnds_Prot#'!A:AL,35,FALSE)</f>
        <v>383</v>
      </c>
      <c r="O75" s="4" t="str">
        <f t="shared" si="8"/>
        <v>F</v>
      </c>
      <c r="P75" s="4"/>
      <c r="Q75" s="47" t="str">
        <f t="shared" si="9"/>
        <v>QTTLQMLLEIFVWIGYVSSGVN</v>
      </c>
      <c r="R75" s="27" t="str">
        <f t="shared" si="10"/>
        <v>P</v>
      </c>
      <c r="S75" s="19" t="str">
        <f t="shared" si="11"/>
        <v>LVYTLF</v>
      </c>
      <c r="T75" s="5" t="s">
        <v>51</v>
      </c>
      <c r="U75" s="4"/>
      <c r="V75" s="1"/>
      <c r="W75" s="1"/>
      <c r="X75" s="1"/>
      <c r="Y75" s="1"/>
      <c r="Z75" s="4"/>
      <c r="AA75" s="1"/>
      <c r="AB75" s="1"/>
      <c r="AC75" s="1"/>
      <c r="AD75" s="1" t="s">
        <v>62</v>
      </c>
      <c r="AE75" s="1">
        <v>355</v>
      </c>
      <c r="AF75" s="1">
        <v>377</v>
      </c>
      <c r="AG75" s="1">
        <v>384</v>
      </c>
      <c r="AH75" s="1" t="s">
        <v>50</v>
      </c>
      <c r="AI75" s="1"/>
      <c r="AJ75" s="1"/>
      <c r="AK75" s="4">
        <v>27</v>
      </c>
      <c r="AL75" s="4">
        <v>57</v>
      </c>
    </row>
    <row r="76" spans="1:38" s="23" customFormat="1" x14ac:dyDescent="0.25">
      <c r="A76" s="1" t="str">
        <f t="shared" si="6"/>
        <v>AA2AR_human__wt_TM7</v>
      </c>
      <c r="B76" s="45" t="s">
        <v>210</v>
      </c>
      <c r="C76" s="45" t="s">
        <v>294</v>
      </c>
      <c r="D76" s="4" t="str">
        <f>VLOOKUP(B76,Classification!A:D,2,FALSE)</f>
        <v>A</v>
      </c>
      <c r="E76" s="4" t="str">
        <f>VLOOKUP(B76,Classification!A:D,3,FALSE)</f>
        <v>Nucleotide</v>
      </c>
      <c r="F76" s="4" t="str">
        <f>VLOOKUP(B76,Classification!A:D,4,FALSE)</f>
        <v>Adenosine</v>
      </c>
      <c r="G76" s="2">
        <v>13</v>
      </c>
      <c r="H76" s="45" t="s">
        <v>48</v>
      </c>
      <c r="I76" s="2" t="s">
        <v>1223</v>
      </c>
      <c r="J76" s="5" t="str">
        <f>VLOOKUP(B76,Seqs!A:B,2,FALSE)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6" s="4" t="str">
        <f t="shared" si="7"/>
        <v>P</v>
      </c>
      <c r="L76" s="45">
        <f>VLOOKUP(B76,'NonXtal_SegEnds_Prot#'!A:AL,33,FALSE)</f>
        <v>266</v>
      </c>
      <c r="M76" s="45">
        <f>VLOOKUP(B76,'NonXtal_SegEnds_Prot#'!A:AL,34,FALSE)</f>
        <v>285</v>
      </c>
      <c r="N76" s="45">
        <f>VLOOKUP(B76,'NonXtal_SegEnds_Prot#'!A:AL,35,FALSE)</f>
        <v>291</v>
      </c>
      <c r="O76" s="4" t="str">
        <f t="shared" si="8"/>
        <v>R</v>
      </c>
      <c r="P76" s="4"/>
      <c r="Q76" s="47" t="str">
        <f t="shared" si="9"/>
        <v>PLWLMYLAIVLSHTNSVVN</v>
      </c>
      <c r="R76" s="27" t="str">
        <f t="shared" si="10"/>
        <v>P</v>
      </c>
      <c r="S76" s="19" t="str">
        <f t="shared" si="11"/>
        <v>FIYAYR</v>
      </c>
      <c r="T76" s="5" t="s">
        <v>51</v>
      </c>
      <c r="U76" s="4"/>
      <c r="V76" s="1"/>
      <c r="W76" s="1"/>
      <c r="X76" s="1"/>
      <c r="Y76" s="1"/>
      <c r="Z76" s="4" t="s">
        <v>64</v>
      </c>
      <c r="AA76" s="1"/>
      <c r="AB76" s="1"/>
      <c r="AC76" s="1"/>
      <c r="AD76" s="1" t="s">
        <v>49</v>
      </c>
      <c r="AE76" s="1">
        <v>267</v>
      </c>
      <c r="AF76" s="1">
        <v>285</v>
      </c>
      <c r="AG76" s="1">
        <v>292</v>
      </c>
      <c r="AH76" s="1" t="s">
        <v>50</v>
      </c>
      <c r="AI76" s="1"/>
      <c r="AJ76" s="1"/>
      <c r="AK76" s="4">
        <v>31</v>
      </c>
      <c r="AL76" s="4">
        <v>57</v>
      </c>
    </row>
    <row r="77" spans="1:38" s="23" customFormat="1" x14ac:dyDescent="0.25">
      <c r="A77" s="1" t="str">
        <f t="shared" si="6"/>
        <v>AA2AR_human_2YDV_TM7</v>
      </c>
      <c r="B77" s="45" t="s">
        <v>210</v>
      </c>
      <c r="C77" s="45" t="s">
        <v>271</v>
      </c>
      <c r="D77" s="4" t="str">
        <f>VLOOKUP(B77,Classification!A:D,2,FALSE)</f>
        <v>A</v>
      </c>
      <c r="E77" s="4" t="str">
        <f>VLOOKUP(B77,Classification!A:D,3,FALSE)</f>
        <v>Nucleotide</v>
      </c>
      <c r="F77" s="4" t="str">
        <f>VLOOKUP(B77,Classification!A:D,4,FALSE)</f>
        <v>Adenosine</v>
      </c>
      <c r="G77" s="2">
        <v>13</v>
      </c>
      <c r="H77" s="45" t="s">
        <v>48</v>
      </c>
      <c r="I77" s="2" t="s">
        <v>1223</v>
      </c>
      <c r="J77" s="5" t="str">
        <f>VLOOKUP(B77,Seqs!A:B,2,FALSE)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7" s="4" t="str">
        <f t="shared" si="7"/>
        <v>P</v>
      </c>
      <c r="L77" s="45">
        <f>VLOOKUP(B77,'NonXtal_SegEnds_Prot#'!A:AL,33,FALSE)</f>
        <v>266</v>
      </c>
      <c r="M77" s="45">
        <f>VLOOKUP(B77,'NonXtal_SegEnds_Prot#'!A:AL,34,FALSE)</f>
        <v>285</v>
      </c>
      <c r="N77" s="45">
        <f>VLOOKUP(B77,'NonXtal_SegEnds_Prot#'!A:AL,35,FALSE)</f>
        <v>291</v>
      </c>
      <c r="O77" s="4" t="str">
        <f t="shared" si="8"/>
        <v>R</v>
      </c>
      <c r="P77" s="4"/>
      <c r="Q77" s="47" t="str">
        <f t="shared" si="9"/>
        <v>PLWLMYLAIVLSHTNSVVN</v>
      </c>
      <c r="R77" s="27" t="str">
        <f t="shared" si="10"/>
        <v>P</v>
      </c>
      <c r="S77" s="19" t="str">
        <f t="shared" si="11"/>
        <v>FIYAYR</v>
      </c>
      <c r="T77" s="5" t="s">
        <v>51</v>
      </c>
      <c r="U77" s="4"/>
      <c r="V77" s="1"/>
      <c r="W77" s="1"/>
      <c r="X77" s="1"/>
      <c r="Y77" s="1"/>
      <c r="Z77" s="4" t="s">
        <v>64</v>
      </c>
      <c r="AA77" s="1"/>
      <c r="AB77" s="1"/>
      <c r="AC77" s="1"/>
      <c r="AD77" s="1" t="s">
        <v>49</v>
      </c>
      <c r="AE77" s="1">
        <v>267</v>
      </c>
      <c r="AF77" s="1">
        <v>285</v>
      </c>
      <c r="AG77" s="1">
        <v>292</v>
      </c>
      <c r="AH77" s="1" t="s">
        <v>50</v>
      </c>
      <c r="AI77" s="1"/>
      <c r="AJ77" s="1"/>
      <c r="AK77" s="4">
        <v>31</v>
      </c>
      <c r="AL77" s="4">
        <v>57</v>
      </c>
    </row>
    <row r="78" spans="1:38" x14ac:dyDescent="0.25">
      <c r="A78" s="1" t="str">
        <f t="shared" si="6"/>
        <v>AA2AR_human_3REY_TM7</v>
      </c>
      <c r="B78" s="45" t="s">
        <v>210</v>
      </c>
      <c r="C78" s="45" t="s">
        <v>275</v>
      </c>
      <c r="D78" s="4" t="str">
        <f>VLOOKUP(B78,Classification!A:D,2,FALSE)</f>
        <v>A</v>
      </c>
      <c r="E78" s="4" t="str">
        <f>VLOOKUP(B78,Classification!A:D,3,FALSE)</f>
        <v>Nucleotide</v>
      </c>
      <c r="F78" s="4" t="str">
        <f>VLOOKUP(B78,Classification!A:D,4,FALSE)</f>
        <v>Adenosine</v>
      </c>
      <c r="G78" s="2">
        <v>13</v>
      </c>
      <c r="H78" s="45" t="s">
        <v>48</v>
      </c>
      <c r="I78" s="2" t="s">
        <v>1223</v>
      </c>
      <c r="J78" s="5" t="str">
        <f>VLOOKUP(B78,Seqs!A:B,2,FALSE)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8" s="4" t="str">
        <f t="shared" si="7"/>
        <v>P</v>
      </c>
      <c r="L78" s="45">
        <f>VLOOKUP(B78,'NonXtal_SegEnds_Prot#'!A:AL,33,FALSE)</f>
        <v>266</v>
      </c>
      <c r="M78" s="45">
        <f>VLOOKUP(B78,'NonXtal_SegEnds_Prot#'!A:AL,34,FALSE)</f>
        <v>285</v>
      </c>
      <c r="N78" s="45">
        <f>VLOOKUP(B78,'NonXtal_SegEnds_Prot#'!A:AL,35,FALSE)</f>
        <v>291</v>
      </c>
      <c r="O78" s="4" t="str">
        <f t="shared" si="8"/>
        <v>R</v>
      </c>
      <c r="P78" s="4"/>
      <c r="Q78" s="47" t="str">
        <f t="shared" si="9"/>
        <v>PLWLMYLAIVLSHTNSVVN</v>
      </c>
      <c r="R78" s="27" t="str">
        <f t="shared" si="10"/>
        <v>P</v>
      </c>
      <c r="S78" s="19" t="str">
        <f t="shared" si="11"/>
        <v>FIYAYR</v>
      </c>
      <c r="T78" s="5" t="s">
        <v>51</v>
      </c>
      <c r="Z78" s="4" t="s">
        <v>78</v>
      </c>
      <c r="AD78" s="1" t="s">
        <v>49</v>
      </c>
      <c r="AE78" s="1">
        <v>267</v>
      </c>
      <c r="AF78" s="1">
        <v>285</v>
      </c>
      <c r="AG78" s="1">
        <v>292</v>
      </c>
      <c r="AH78" s="1" t="s">
        <v>50</v>
      </c>
      <c r="AK78" s="4">
        <v>31</v>
      </c>
      <c r="AL78" s="4">
        <v>57</v>
      </c>
    </row>
    <row r="79" spans="1:38" x14ac:dyDescent="0.25">
      <c r="A79" s="1" t="str">
        <f t="shared" si="6"/>
        <v>AA2AR_human_4EIY_TM7</v>
      </c>
      <c r="B79" s="45" t="s">
        <v>210</v>
      </c>
      <c r="C79" s="45" t="s">
        <v>272</v>
      </c>
      <c r="D79" s="4" t="str">
        <f>VLOOKUP(B79,Classification!A:D,2,FALSE)</f>
        <v>A</v>
      </c>
      <c r="E79" s="4" t="str">
        <f>VLOOKUP(B79,Classification!A:D,3,FALSE)</f>
        <v>Nucleotide</v>
      </c>
      <c r="F79" s="4" t="str">
        <f>VLOOKUP(B79,Classification!A:D,4,FALSE)</f>
        <v>Adenosine</v>
      </c>
      <c r="G79" s="2">
        <v>13</v>
      </c>
      <c r="H79" s="45" t="s">
        <v>48</v>
      </c>
      <c r="I79" s="2" t="s">
        <v>1223</v>
      </c>
      <c r="J79" s="5" t="str">
        <f>VLOOKUP(B79,Seqs!A:B,2,FALSE)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9" s="4" t="str">
        <f t="shared" si="7"/>
        <v>P</v>
      </c>
      <c r="L79" s="45">
        <f>VLOOKUP(B79,'NonXtal_SegEnds_Prot#'!A:AL,33,FALSE)</f>
        <v>266</v>
      </c>
      <c r="M79" s="45">
        <f>VLOOKUP(B79,'NonXtal_SegEnds_Prot#'!A:AL,34,FALSE)</f>
        <v>285</v>
      </c>
      <c r="N79" s="45">
        <f>VLOOKUP(B79,'NonXtal_SegEnds_Prot#'!A:AL,35,FALSE)</f>
        <v>291</v>
      </c>
      <c r="O79" s="4" t="str">
        <f t="shared" si="8"/>
        <v>R</v>
      </c>
      <c r="P79" s="4"/>
      <c r="Q79" s="47" t="str">
        <f t="shared" si="9"/>
        <v>PLWLMYLAIVLSHTNSVVN</v>
      </c>
      <c r="R79" s="27" t="str">
        <f t="shared" si="10"/>
        <v>P</v>
      </c>
      <c r="S79" s="19" t="str">
        <f t="shared" si="11"/>
        <v>FIYAYR</v>
      </c>
      <c r="T79" s="5" t="s">
        <v>51</v>
      </c>
      <c r="Z79" s="4"/>
      <c r="AD79" s="1" t="s">
        <v>49</v>
      </c>
      <c r="AE79" s="1">
        <v>267</v>
      </c>
      <c r="AF79" s="1">
        <v>285</v>
      </c>
      <c r="AG79" s="1">
        <v>292</v>
      </c>
      <c r="AH79" s="1" t="s">
        <v>50</v>
      </c>
      <c r="AK79" s="4">
        <v>31</v>
      </c>
      <c r="AL79" s="4">
        <v>57</v>
      </c>
    </row>
    <row r="80" spans="1:38" x14ac:dyDescent="0.25">
      <c r="A80" s="1" t="str">
        <f t="shared" si="6"/>
        <v>ACM1_human__wt_TM7</v>
      </c>
      <c r="B80" s="45" t="s">
        <v>218</v>
      </c>
      <c r="C80" s="45" t="s">
        <v>294</v>
      </c>
      <c r="D80" s="4" t="str">
        <f>VLOOKUP(B80,Classification!A:D,2,FALSE)</f>
        <v>A</v>
      </c>
      <c r="E80" s="4" t="str">
        <f>VLOOKUP(B80,Classification!A:D,3,FALSE)</f>
        <v>Aminergic</v>
      </c>
      <c r="F80" s="4" t="str">
        <f>VLOOKUP(B80,Classification!A:D,4,FALSE)</f>
        <v>Acetylcholine(muscarinic)</v>
      </c>
      <c r="G80" s="2">
        <v>13</v>
      </c>
      <c r="H80" s="45" t="s">
        <v>48</v>
      </c>
      <c r="I80" s="2" t="s">
        <v>1223</v>
      </c>
      <c r="J80" s="5" t="str">
        <f>VLOOKUP(B80,Seqs!A:B,2,FALSE)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0" s="4" t="str">
        <f t="shared" si="7"/>
        <v>P</v>
      </c>
      <c r="L80" s="45">
        <f>VLOOKUP(B80,'NonXtal_SegEnds_Prot#'!A:AL,33,FALSE)</f>
        <v>396</v>
      </c>
      <c r="M80" s="45">
        <f>VLOOKUP(B80,'NonXtal_SegEnds_Prot#'!A:AL,34,FALSE)</f>
        <v>415</v>
      </c>
      <c r="N80" s="45">
        <f>VLOOKUP(B80,'NonXtal_SegEnds_Prot#'!A:AL,35,FALSE)</f>
        <v>421</v>
      </c>
      <c r="O80" s="4" t="str">
        <f t="shared" si="8"/>
        <v>C</v>
      </c>
      <c r="P80" s="4"/>
      <c r="Q80" s="47" t="str">
        <f t="shared" si="9"/>
        <v>PETLWELGYWLCYVNSTIN</v>
      </c>
      <c r="R80" s="27" t="str">
        <f t="shared" si="10"/>
        <v>P</v>
      </c>
      <c r="S80" s="19" t="str">
        <f t="shared" si="11"/>
        <v>MCYALC</v>
      </c>
      <c r="T80" s="5" t="s">
        <v>51</v>
      </c>
      <c r="Z80" s="4" t="s">
        <v>78</v>
      </c>
      <c r="AD80" s="1" t="s">
        <v>49</v>
      </c>
      <c r="AE80" s="1">
        <v>397</v>
      </c>
      <c r="AF80" s="1">
        <v>415</v>
      </c>
      <c r="AG80" s="1">
        <v>422</v>
      </c>
      <c r="AH80" s="1" t="s">
        <v>50</v>
      </c>
      <c r="AK80" s="4">
        <v>31</v>
      </c>
      <c r="AL80" s="4">
        <v>57</v>
      </c>
    </row>
    <row r="81" spans="1:38" x14ac:dyDescent="0.25">
      <c r="A81" s="1" t="str">
        <f t="shared" si="6"/>
        <v>ACM1_human_5CXV_TM7</v>
      </c>
      <c r="B81" s="45" t="s">
        <v>218</v>
      </c>
      <c r="C81" s="45" t="s">
        <v>253</v>
      </c>
      <c r="D81" s="4" t="str">
        <f>VLOOKUP(B81,Classification!A:D,2,FALSE)</f>
        <v>A</v>
      </c>
      <c r="E81" s="4" t="str">
        <f>VLOOKUP(B81,Classification!A:D,3,FALSE)</f>
        <v>Aminergic</v>
      </c>
      <c r="F81" s="4" t="str">
        <f>VLOOKUP(B81,Classification!A:D,4,FALSE)</f>
        <v>Acetylcholine(muscarinic)</v>
      </c>
      <c r="G81" s="2">
        <v>13</v>
      </c>
      <c r="H81" s="45" t="s">
        <v>48</v>
      </c>
      <c r="I81" s="2" t="s">
        <v>1223</v>
      </c>
      <c r="J81" s="5" t="str">
        <f>VLOOKUP(B81,Seqs!A:B,2,FALSE)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1" s="4" t="str">
        <f t="shared" si="7"/>
        <v>P</v>
      </c>
      <c r="L81" s="45">
        <f>VLOOKUP(B81,'NonXtal_SegEnds_Prot#'!A:AL,33,FALSE)</f>
        <v>396</v>
      </c>
      <c r="M81" s="45">
        <f>VLOOKUP(B81,'NonXtal_SegEnds_Prot#'!A:AL,34,FALSE)</f>
        <v>415</v>
      </c>
      <c r="N81" s="45">
        <f>VLOOKUP(B81,'NonXtal_SegEnds_Prot#'!A:AL,35,FALSE)</f>
        <v>421</v>
      </c>
      <c r="O81" s="4" t="str">
        <f t="shared" si="8"/>
        <v>C</v>
      </c>
      <c r="P81" s="4"/>
      <c r="Q81" s="47" t="str">
        <f t="shared" si="9"/>
        <v>PETLWELGYWLCYVNSTIN</v>
      </c>
      <c r="R81" s="27" t="str">
        <f t="shared" si="10"/>
        <v>P</v>
      </c>
      <c r="S81" s="19" t="str">
        <f t="shared" si="11"/>
        <v>MCYALC</v>
      </c>
      <c r="T81" s="5" t="s">
        <v>51</v>
      </c>
      <c r="Z81" s="4" t="s">
        <v>78</v>
      </c>
      <c r="AD81" s="1" t="s">
        <v>49</v>
      </c>
      <c r="AE81" s="1">
        <v>397</v>
      </c>
      <c r="AF81" s="1">
        <v>415</v>
      </c>
      <c r="AG81" s="1">
        <v>422</v>
      </c>
      <c r="AH81" s="1" t="s">
        <v>50</v>
      </c>
      <c r="AK81" s="4">
        <v>31</v>
      </c>
      <c r="AL81" s="4">
        <v>57</v>
      </c>
    </row>
    <row r="82" spans="1:38" x14ac:dyDescent="0.25">
      <c r="A82" s="1" t="str">
        <f t="shared" si="6"/>
        <v>ACM2_human__wt_TM7</v>
      </c>
      <c r="B82" s="45" t="s">
        <v>219</v>
      </c>
      <c r="C82" s="45" t="s">
        <v>294</v>
      </c>
      <c r="D82" s="4" t="str">
        <f>VLOOKUP(B82,Classification!A:D,2,FALSE)</f>
        <v>A</v>
      </c>
      <c r="E82" s="4" t="str">
        <f>VLOOKUP(B82,Classification!A:D,3,FALSE)</f>
        <v>Aminergic</v>
      </c>
      <c r="F82" s="4" t="str">
        <f>VLOOKUP(B82,Classification!A:D,4,FALSE)</f>
        <v>Acetylcholine(muscarinic)</v>
      </c>
      <c r="G82" s="2">
        <v>13</v>
      </c>
      <c r="H82" s="45" t="s">
        <v>48</v>
      </c>
      <c r="I82" s="2" t="s">
        <v>1223</v>
      </c>
      <c r="J82" s="5" t="str">
        <f>VLOOKUP(B82,Seqs!A:B,2,FALSE)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" s="4" t="str">
        <f t="shared" si="7"/>
        <v>P</v>
      </c>
      <c r="L82" s="45">
        <f>VLOOKUP(B82,'NonXtal_SegEnds_Prot#'!A:AL,33,FALSE)</f>
        <v>418</v>
      </c>
      <c r="M82" s="45">
        <f>VLOOKUP(B82,'NonXtal_SegEnds_Prot#'!A:AL,34,FALSE)</f>
        <v>437</v>
      </c>
      <c r="N82" s="45">
        <f>VLOOKUP(B82,'NonXtal_SegEnds_Prot#'!A:AL,35,FALSE)</f>
        <v>443</v>
      </c>
      <c r="O82" s="4" t="str">
        <f t="shared" si="8"/>
        <v>C</v>
      </c>
      <c r="P82" s="4"/>
      <c r="Q82" s="47" t="str">
        <f t="shared" si="9"/>
        <v>PNTVWTIGYWLCYINSTIN</v>
      </c>
      <c r="R82" s="27" t="str">
        <f t="shared" si="10"/>
        <v>P</v>
      </c>
      <c r="S82" s="19" t="str">
        <f t="shared" si="11"/>
        <v>ACYALC</v>
      </c>
      <c r="T82" s="5" t="s">
        <v>51</v>
      </c>
      <c r="Z82" s="4" t="s">
        <v>78</v>
      </c>
      <c r="AD82" s="1" t="s">
        <v>49</v>
      </c>
      <c r="AE82" s="1">
        <v>419</v>
      </c>
      <c r="AF82" s="1">
        <v>437</v>
      </c>
      <c r="AG82" s="1">
        <v>444</v>
      </c>
      <c r="AH82" s="1" t="s">
        <v>50</v>
      </c>
      <c r="AK82" s="4">
        <v>31</v>
      </c>
      <c r="AL82" s="4">
        <v>57</v>
      </c>
    </row>
    <row r="83" spans="1:38" x14ac:dyDescent="0.25">
      <c r="A83" s="1" t="str">
        <f t="shared" si="6"/>
        <v>ACM2_human_3UON_TM7</v>
      </c>
      <c r="B83" s="45" t="s">
        <v>219</v>
      </c>
      <c r="C83" s="45" t="s">
        <v>270</v>
      </c>
      <c r="D83" s="4" t="str">
        <f>VLOOKUP(B83,Classification!A:D,2,FALSE)</f>
        <v>A</v>
      </c>
      <c r="E83" s="4" t="str">
        <f>VLOOKUP(B83,Classification!A:D,3,FALSE)</f>
        <v>Aminergic</v>
      </c>
      <c r="F83" s="4" t="str">
        <f>VLOOKUP(B83,Classification!A:D,4,FALSE)</f>
        <v>Acetylcholine(muscarinic)</v>
      </c>
      <c r="G83" s="2">
        <v>13</v>
      </c>
      <c r="H83" s="45" t="s">
        <v>48</v>
      </c>
      <c r="I83" s="2" t="s">
        <v>1223</v>
      </c>
      <c r="J83" s="5" t="str">
        <f>VLOOKUP(B83,Seqs!A:B,2,FALSE)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3" s="4" t="str">
        <f t="shared" si="7"/>
        <v>P</v>
      </c>
      <c r="L83" s="45">
        <f>VLOOKUP(B83,'NonXtal_SegEnds_Prot#'!A:AL,33,FALSE)</f>
        <v>418</v>
      </c>
      <c r="M83" s="45">
        <f>VLOOKUP(B83,'NonXtal_SegEnds_Prot#'!A:AL,34,FALSE)</f>
        <v>437</v>
      </c>
      <c r="N83" s="45">
        <f>VLOOKUP(B83,'NonXtal_SegEnds_Prot#'!A:AL,35,FALSE)</f>
        <v>443</v>
      </c>
      <c r="O83" s="4" t="str">
        <f t="shared" si="8"/>
        <v>C</v>
      </c>
      <c r="P83" s="4"/>
      <c r="Q83" s="47" t="str">
        <f t="shared" si="9"/>
        <v>PNTVWTIGYWLCYINSTIN</v>
      </c>
      <c r="R83" s="27" t="str">
        <f t="shared" si="10"/>
        <v>P</v>
      </c>
      <c r="S83" s="19" t="str">
        <f t="shared" si="11"/>
        <v>ACYALC</v>
      </c>
      <c r="T83" s="5" t="s">
        <v>51</v>
      </c>
      <c r="Z83" s="4" t="s">
        <v>78</v>
      </c>
      <c r="AD83" s="1" t="s">
        <v>49</v>
      </c>
      <c r="AE83" s="1">
        <v>419</v>
      </c>
      <c r="AF83" s="1">
        <v>437</v>
      </c>
      <c r="AG83" s="1">
        <v>444</v>
      </c>
      <c r="AH83" s="1" t="s">
        <v>50</v>
      </c>
      <c r="AK83" s="4">
        <v>31</v>
      </c>
      <c r="AL83" s="4">
        <v>57</v>
      </c>
    </row>
    <row r="84" spans="1:38" x14ac:dyDescent="0.25">
      <c r="A84" s="1" t="str">
        <f t="shared" si="6"/>
        <v>ACM2_human_4MQS_TM7</v>
      </c>
      <c r="B84" s="45" t="s">
        <v>219</v>
      </c>
      <c r="C84" s="45" t="s">
        <v>259</v>
      </c>
      <c r="D84" s="4" t="str">
        <f>VLOOKUP(B84,Classification!A:D,2,FALSE)</f>
        <v>A</v>
      </c>
      <c r="E84" s="4" t="str">
        <f>VLOOKUP(B84,Classification!A:D,3,FALSE)</f>
        <v>Aminergic</v>
      </c>
      <c r="F84" s="4" t="str">
        <f>VLOOKUP(B84,Classification!A:D,4,FALSE)</f>
        <v>Acetylcholine(muscarinic)</v>
      </c>
      <c r="G84" s="2">
        <v>13</v>
      </c>
      <c r="H84" s="45" t="s">
        <v>48</v>
      </c>
      <c r="I84" s="2" t="s">
        <v>1223</v>
      </c>
      <c r="J84" s="5" t="str">
        <f>VLOOKUP(B84,Seqs!A:B,2,FALSE)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4" s="4" t="str">
        <f t="shared" si="7"/>
        <v>P</v>
      </c>
      <c r="L84" s="45">
        <f>VLOOKUP(B84,'NonXtal_SegEnds_Prot#'!A:AL,33,FALSE)</f>
        <v>418</v>
      </c>
      <c r="M84" s="45">
        <f>VLOOKUP(B84,'NonXtal_SegEnds_Prot#'!A:AL,34,FALSE)</f>
        <v>437</v>
      </c>
      <c r="N84" s="45">
        <f>VLOOKUP(B84,'NonXtal_SegEnds_Prot#'!A:AL,35,FALSE)</f>
        <v>443</v>
      </c>
      <c r="O84" s="4" t="str">
        <f t="shared" si="8"/>
        <v>C</v>
      </c>
      <c r="P84" s="4"/>
      <c r="Q84" s="47" t="str">
        <f t="shared" si="9"/>
        <v>PNTVWTIGYWLCYINSTIN</v>
      </c>
      <c r="R84" s="27" t="str">
        <f t="shared" si="10"/>
        <v>P</v>
      </c>
      <c r="S84" s="19" t="str">
        <f t="shared" si="11"/>
        <v>ACYALC</v>
      </c>
      <c r="T84" s="5" t="s">
        <v>51</v>
      </c>
      <c r="Z84" s="4" t="s">
        <v>64</v>
      </c>
      <c r="AD84" s="1" t="s">
        <v>49</v>
      </c>
      <c r="AE84" s="1">
        <v>419</v>
      </c>
      <c r="AF84" s="1">
        <v>437</v>
      </c>
      <c r="AG84" s="1">
        <v>444</v>
      </c>
      <c r="AH84" s="1" t="s">
        <v>50</v>
      </c>
      <c r="AK84" s="4">
        <v>31</v>
      </c>
      <c r="AL84" s="4">
        <v>57</v>
      </c>
    </row>
    <row r="85" spans="1:38" x14ac:dyDescent="0.25">
      <c r="A85" s="1" t="str">
        <f t="shared" si="6"/>
        <v>ACM3_rat__wt_TM7</v>
      </c>
      <c r="B85" s="45" t="s">
        <v>236</v>
      </c>
      <c r="C85" s="45" t="s">
        <v>294</v>
      </c>
      <c r="D85" s="4" t="str">
        <f>VLOOKUP(B85,Classification!A:D,2,FALSE)</f>
        <v>A</v>
      </c>
      <c r="E85" s="4" t="str">
        <f>VLOOKUP(B85,Classification!A:D,3,FALSE)</f>
        <v>Aminergic</v>
      </c>
      <c r="F85" s="4" t="str">
        <f>VLOOKUP(B85,Classification!A:D,4,FALSE)</f>
        <v>Acetylcholine(muscarinic)</v>
      </c>
      <c r="G85" s="2">
        <v>13</v>
      </c>
      <c r="H85" s="45" t="s">
        <v>48</v>
      </c>
      <c r="I85" s="2" t="s">
        <v>1223</v>
      </c>
      <c r="J85" s="5" t="str">
        <f>VLOOKUP(B85,Seqs!A:B,2,FALSE)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5" s="4" t="str">
        <f t="shared" si="7"/>
        <v>P</v>
      </c>
      <c r="L85" s="45">
        <f>VLOOKUP(B85,'NonXtal_SegEnds_Prot#'!A:AL,33,FALSE)</f>
        <v>521</v>
      </c>
      <c r="M85" s="45">
        <f>VLOOKUP(B85,'NonXtal_SegEnds_Prot#'!A:AL,34,FALSE)</f>
        <v>540</v>
      </c>
      <c r="N85" s="45">
        <f>VLOOKUP(B85,'NonXtal_SegEnds_Prot#'!A:AL,35,FALSE)</f>
        <v>546</v>
      </c>
      <c r="O85" s="4" t="str">
        <f t="shared" si="8"/>
        <v>C</v>
      </c>
      <c r="P85" s="4"/>
      <c r="Q85" s="47" t="str">
        <f t="shared" si="9"/>
        <v>PKTYWNLGYWLCYINSTVN</v>
      </c>
      <c r="R85" s="27" t="str">
        <f t="shared" si="10"/>
        <v>P</v>
      </c>
      <c r="S85" s="19" t="str">
        <f t="shared" si="11"/>
        <v>VCYALC</v>
      </c>
      <c r="T85" s="5" t="s">
        <v>51</v>
      </c>
      <c r="Z85" s="4"/>
      <c r="AD85" s="1" t="s">
        <v>49</v>
      </c>
      <c r="AE85" s="1">
        <v>522</v>
      </c>
      <c r="AF85" s="1">
        <v>540</v>
      </c>
      <c r="AG85" s="1">
        <v>547</v>
      </c>
      <c r="AH85" s="1" t="s">
        <v>50</v>
      </c>
      <c r="AK85" s="4">
        <v>31</v>
      </c>
      <c r="AL85" s="4">
        <v>57</v>
      </c>
    </row>
    <row r="86" spans="1:38" x14ac:dyDescent="0.25">
      <c r="A86" s="1" t="str">
        <f t="shared" si="6"/>
        <v>ACM3_rat_4U15_TM7</v>
      </c>
      <c r="B86" s="45" t="s">
        <v>236</v>
      </c>
      <c r="C86" s="45" t="s">
        <v>262</v>
      </c>
      <c r="D86" s="4" t="str">
        <f>VLOOKUP(B86,Classification!A:D,2,FALSE)</f>
        <v>A</v>
      </c>
      <c r="E86" s="4" t="str">
        <f>VLOOKUP(B86,Classification!A:D,3,FALSE)</f>
        <v>Aminergic</v>
      </c>
      <c r="F86" s="4" t="str">
        <f>VLOOKUP(B86,Classification!A:D,4,FALSE)</f>
        <v>Acetylcholine(muscarinic)</v>
      </c>
      <c r="G86" s="2">
        <v>13</v>
      </c>
      <c r="H86" s="45" t="s">
        <v>48</v>
      </c>
      <c r="I86" s="2" t="s">
        <v>1223</v>
      </c>
      <c r="J86" s="5" t="str">
        <f>VLOOKUP(B86,Seqs!A:B,2,FALSE)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6" s="4" t="str">
        <f t="shared" si="7"/>
        <v>P</v>
      </c>
      <c r="L86" s="45">
        <f>VLOOKUP(B86,'NonXtal_SegEnds_Prot#'!A:AL,33,FALSE)</f>
        <v>521</v>
      </c>
      <c r="M86" s="45">
        <f>VLOOKUP(B86,'NonXtal_SegEnds_Prot#'!A:AL,34,FALSE)</f>
        <v>540</v>
      </c>
      <c r="N86" s="45">
        <f>VLOOKUP(B86,'NonXtal_SegEnds_Prot#'!A:AL,35,FALSE)</f>
        <v>546</v>
      </c>
      <c r="O86" s="4" t="str">
        <f t="shared" si="8"/>
        <v>C</v>
      </c>
      <c r="P86" s="4"/>
      <c r="Q86" s="47" t="str">
        <f t="shared" si="9"/>
        <v>PKTYWNLGYWLCYINSTVN</v>
      </c>
      <c r="R86" s="27" t="str">
        <f t="shared" si="10"/>
        <v>P</v>
      </c>
      <c r="S86" s="19" t="str">
        <f t="shared" si="11"/>
        <v>VCYALC</v>
      </c>
      <c r="T86" s="5" t="s">
        <v>51</v>
      </c>
      <c r="Z86" s="4"/>
      <c r="AD86" s="1" t="s">
        <v>49</v>
      </c>
      <c r="AE86" s="1">
        <v>522</v>
      </c>
      <c r="AF86" s="1">
        <v>540</v>
      </c>
      <c r="AG86" s="1">
        <v>547</v>
      </c>
      <c r="AH86" s="1" t="s">
        <v>50</v>
      </c>
      <c r="AK86" s="4">
        <v>31</v>
      </c>
      <c r="AL86" s="4">
        <v>57</v>
      </c>
    </row>
    <row r="87" spans="1:38" x14ac:dyDescent="0.25">
      <c r="A87" s="1" t="str">
        <f t="shared" si="6"/>
        <v>ACM4_human__wt_TM7</v>
      </c>
      <c r="B87" s="45" t="s">
        <v>220</v>
      </c>
      <c r="C87" s="45" t="s">
        <v>294</v>
      </c>
      <c r="D87" s="4" t="str">
        <f>VLOOKUP(B87,Classification!A:D,2,FALSE)</f>
        <v>A</v>
      </c>
      <c r="E87" s="4" t="str">
        <f>VLOOKUP(B87,Classification!A:D,3,FALSE)</f>
        <v>Aminergic</v>
      </c>
      <c r="F87" s="4" t="str">
        <f>VLOOKUP(B87,Classification!A:D,4,FALSE)</f>
        <v>Acetylcholine(muscarinic)</v>
      </c>
      <c r="G87" s="2">
        <v>13</v>
      </c>
      <c r="H87" s="45" t="s">
        <v>48</v>
      </c>
      <c r="I87" s="2" t="s">
        <v>1223</v>
      </c>
      <c r="J87" s="5" t="str">
        <f>VLOOKUP(B87,Seqs!A:B,2,FALSE)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7" s="4" t="str">
        <f t="shared" si="7"/>
        <v>P</v>
      </c>
      <c r="L87" s="45">
        <f>VLOOKUP(B87,'NonXtal_SegEnds_Prot#'!A:AL,33,FALSE)</f>
        <v>431</v>
      </c>
      <c r="M87" s="45">
        <f>VLOOKUP(B87,'NonXtal_SegEnds_Prot#'!A:AL,34,FALSE)</f>
        <v>450</v>
      </c>
      <c r="N87" s="45">
        <f>VLOOKUP(B87,'NonXtal_SegEnds_Prot#'!A:AL,35,FALSE)</f>
        <v>456</v>
      </c>
      <c r="O87" s="4" t="str">
        <f t="shared" si="8"/>
        <v>C</v>
      </c>
      <c r="P87" s="4"/>
      <c r="Q87" s="47" t="str">
        <f t="shared" si="9"/>
        <v>PDTVWSIGYWLCYVNSTIN</v>
      </c>
      <c r="R87" s="27" t="str">
        <f t="shared" si="10"/>
        <v>P</v>
      </c>
      <c r="S87" s="19" t="str">
        <f t="shared" si="11"/>
        <v>ACYALC</v>
      </c>
      <c r="T87" s="5" t="s">
        <v>51</v>
      </c>
      <c r="Z87" s="4" t="s">
        <v>78</v>
      </c>
      <c r="AD87" s="1" t="s">
        <v>49</v>
      </c>
      <c r="AE87" s="1">
        <v>432</v>
      </c>
      <c r="AF87" s="1">
        <v>450</v>
      </c>
      <c r="AG87" s="1">
        <v>457</v>
      </c>
      <c r="AH87" s="1" t="s">
        <v>50</v>
      </c>
      <c r="AK87" s="4">
        <v>31</v>
      </c>
      <c r="AL87" s="4">
        <v>57</v>
      </c>
    </row>
    <row r="88" spans="1:38" x14ac:dyDescent="0.25">
      <c r="A88" s="1" t="str">
        <f t="shared" si="6"/>
        <v>ACM4_human_5DSG_TM7</v>
      </c>
      <c r="B88" s="45" t="s">
        <v>220</v>
      </c>
      <c r="C88" s="45" t="s">
        <v>252</v>
      </c>
      <c r="D88" s="4" t="str">
        <f>VLOOKUP(B88,Classification!A:D,2,FALSE)</f>
        <v>A</v>
      </c>
      <c r="E88" s="4" t="str">
        <f>VLOOKUP(B88,Classification!A:D,3,FALSE)</f>
        <v>Aminergic</v>
      </c>
      <c r="F88" s="4" t="str">
        <f>VLOOKUP(B88,Classification!A:D,4,FALSE)</f>
        <v>Acetylcholine(muscarinic)</v>
      </c>
      <c r="G88" s="2">
        <v>13</v>
      </c>
      <c r="H88" s="45" t="s">
        <v>48</v>
      </c>
      <c r="I88" s="2" t="s">
        <v>1223</v>
      </c>
      <c r="J88" s="5" t="str">
        <f>VLOOKUP(B88,Seqs!A:B,2,FALSE)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8" s="4" t="str">
        <f t="shared" si="7"/>
        <v>P</v>
      </c>
      <c r="L88" s="45">
        <f>VLOOKUP(B88,'NonXtal_SegEnds_Prot#'!A:AL,33,FALSE)</f>
        <v>431</v>
      </c>
      <c r="M88" s="45">
        <f>VLOOKUP(B88,'NonXtal_SegEnds_Prot#'!A:AL,34,FALSE)</f>
        <v>450</v>
      </c>
      <c r="N88" s="45">
        <f>VLOOKUP(B88,'NonXtal_SegEnds_Prot#'!A:AL,35,FALSE)</f>
        <v>456</v>
      </c>
      <c r="O88" s="4" t="str">
        <f t="shared" si="8"/>
        <v>C</v>
      </c>
      <c r="P88" s="4"/>
      <c r="Q88" s="47" t="str">
        <f t="shared" si="9"/>
        <v>PDTVWSIGYWLCYVNSTIN</v>
      </c>
      <c r="R88" s="27" t="str">
        <f t="shared" si="10"/>
        <v>P</v>
      </c>
      <c r="S88" s="19" t="str">
        <f t="shared" si="11"/>
        <v>ACYALC</v>
      </c>
      <c r="T88" s="5" t="s">
        <v>51</v>
      </c>
      <c r="Z88" s="4" t="s">
        <v>78</v>
      </c>
      <c r="AD88" s="1" t="s">
        <v>49</v>
      </c>
      <c r="AE88" s="1">
        <v>432</v>
      </c>
      <c r="AF88" s="1">
        <v>450</v>
      </c>
      <c r="AG88" s="1">
        <v>457</v>
      </c>
      <c r="AH88" s="1" t="s">
        <v>50</v>
      </c>
      <c r="AK88" s="4">
        <v>31</v>
      </c>
      <c r="AL88" s="4">
        <v>57</v>
      </c>
    </row>
    <row r="89" spans="1:38" x14ac:dyDescent="0.25">
      <c r="A89" s="1" t="str">
        <f t="shared" si="6"/>
        <v>ADRB1_melga__wt_TM7</v>
      </c>
      <c r="B89" s="45" t="s">
        <v>235</v>
      </c>
      <c r="C89" s="45" t="s">
        <v>294</v>
      </c>
      <c r="D89" s="4" t="str">
        <f>VLOOKUP(B89,Classification!A:D,2,FALSE)</f>
        <v>A</v>
      </c>
      <c r="E89" s="4" t="str">
        <f>VLOOKUP(B89,Classification!A:D,3,FALSE)</f>
        <v>Aminergic</v>
      </c>
      <c r="F89" s="4" t="str">
        <f>VLOOKUP(B89,Classification!A:D,4,FALSE)</f>
        <v>Adrenoceptors</v>
      </c>
      <c r="G89" s="2">
        <v>13</v>
      </c>
      <c r="H89" s="45" t="s">
        <v>48</v>
      </c>
      <c r="I89" s="2" t="s">
        <v>1223</v>
      </c>
      <c r="J89" s="5" t="str">
        <f>VLOOKUP(B89,Seqs!A:B,2,FALSE)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9" s="4" t="str">
        <f t="shared" si="7"/>
        <v>P</v>
      </c>
      <c r="L89" s="45">
        <f>VLOOKUP(B89,'NonXtal_SegEnds_Prot#'!A:AL,33,FALSE)</f>
        <v>321</v>
      </c>
      <c r="M89" s="45">
        <f>VLOOKUP(B89,'NonXtal_SegEnds_Prot#'!A:AL,34,FALSE)</f>
        <v>340</v>
      </c>
      <c r="N89" s="45">
        <f>VLOOKUP(B89,'NonXtal_SegEnds_Prot#'!A:AL,35,FALSE)</f>
        <v>345</v>
      </c>
      <c r="O89" s="4" t="str">
        <f t="shared" si="8"/>
        <v>R</v>
      </c>
      <c r="P89" s="4"/>
      <c r="Q89" s="47" t="str">
        <f t="shared" si="9"/>
        <v>PDWLFVFFNWLGYANSAFN</v>
      </c>
      <c r="R89" s="28" t="str">
        <f t="shared" si="10"/>
        <v>P</v>
      </c>
      <c r="S89" s="20" t="str">
        <f t="shared" si="11"/>
        <v>IIYCR</v>
      </c>
      <c r="T89" s="5" t="s">
        <v>51</v>
      </c>
      <c r="Z89" s="4"/>
      <c r="AD89" s="1" t="s">
        <v>49</v>
      </c>
      <c r="AE89" s="1">
        <v>322</v>
      </c>
      <c r="AF89" s="1">
        <v>340</v>
      </c>
      <c r="AG89" s="1">
        <v>347</v>
      </c>
      <c r="AH89" s="1" t="s">
        <v>50</v>
      </c>
      <c r="AK89" s="4">
        <v>31</v>
      </c>
      <c r="AL89" s="4">
        <v>57</v>
      </c>
    </row>
    <row r="90" spans="1:38" x14ac:dyDescent="0.25">
      <c r="A90" s="1" t="str">
        <f t="shared" si="6"/>
        <v>ADRB1_melga_2Y02_TM7</v>
      </c>
      <c r="B90" s="45" t="s">
        <v>235</v>
      </c>
      <c r="C90" s="45" t="s">
        <v>1230</v>
      </c>
      <c r="D90" s="4" t="str">
        <f>VLOOKUP(B90,Classification!A:D,2,FALSE)</f>
        <v>A</v>
      </c>
      <c r="E90" s="4" t="str">
        <f>VLOOKUP(B90,Classification!A:D,3,FALSE)</f>
        <v>Aminergic</v>
      </c>
      <c r="F90" s="4" t="str">
        <f>VLOOKUP(B90,Classification!A:D,4,FALSE)</f>
        <v>Adrenoceptors</v>
      </c>
      <c r="G90" s="2">
        <v>13</v>
      </c>
      <c r="H90" s="45" t="s">
        <v>48</v>
      </c>
      <c r="I90" s="2" t="s">
        <v>1223</v>
      </c>
      <c r="J90" s="5" t="str">
        <f>VLOOKUP(B90,Seqs!A:B,2,FALSE)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0" s="4" t="str">
        <f t="shared" si="7"/>
        <v>P</v>
      </c>
      <c r="L90" s="45">
        <f>VLOOKUP(B90,'NonXtal_SegEnds_Prot#'!A:AL,33,FALSE)</f>
        <v>321</v>
      </c>
      <c r="M90" s="45">
        <f>VLOOKUP(B90,'NonXtal_SegEnds_Prot#'!A:AL,34,FALSE)</f>
        <v>340</v>
      </c>
      <c r="N90" s="45">
        <f>VLOOKUP(B90,'NonXtal_SegEnds_Prot#'!A:AL,35,FALSE)</f>
        <v>345</v>
      </c>
      <c r="O90" s="4" t="str">
        <f t="shared" si="8"/>
        <v>R</v>
      </c>
      <c r="P90" s="4"/>
      <c r="Q90" s="47" t="str">
        <f t="shared" si="9"/>
        <v>PDWLFVFFNWLGYANSAFN</v>
      </c>
      <c r="R90" s="28" t="str">
        <f t="shared" si="10"/>
        <v>P</v>
      </c>
      <c r="S90" s="20" t="str">
        <f t="shared" si="11"/>
        <v>IIYCR</v>
      </c>
      <c r="T90" s="5" t="s">
        <v>51</v>
      </c>
      <c r="Z90" s="4"/>
      <c r="AD90" s="1" t="s">
        <v>49</v>
      </c>
      <c r="AE90" s="1">
        <v>322</v>
      </c>
      <c r="AF90" s="1">
        <v>340</v>
      </c>
      <c r="AG90" s="1">
        <v>347</v>
      </c>
      <c r="AH90" s="1" t="s">
        <v>50</v>
      </c>
      <c r="AK90" s="4">
        <v>31</v>
      </c>
      <c r="AL90" s="4">
        <v>57</v>
      </c>
    </row>
    <row r="91" spans="1:38" x14ac:dyDescent="0.25">
      <c r="A91" s="1" t="str">
        <f t="shared" si="6"/>
        <v>ADRB1_melga_2YCW_TM7</v>
      </c>
      <c r="B91" s="45" t="s">
        <v>235</v>
      </c>
      <c r="C91" s="45" t="s">
        <v>1233</v>
      </c>
      <c r="D91" s="4" t="str">
        <f>VLOOKUP(B91,Classification!A:D,2,FALSE)</f>
        <v>A</v>
      </c>
      <c r="E91" s="4" t="str">
        <f>VLOOKUP(B91,Classification!A:D,3,FALSE)</f>
        <v>Aminergic</v>
      </c>
      <c r="F91" s="4" t="str">
        <f>VLOOKUP(B91,Classification!A:D,4,FALSE)</f>
        <v>Adrenoceptors</v>
      </c>
      <c r="G91" s="2">
        <v>13</v>
      </c>
      <c r="H91" s="45" t="s">
        <v>48</v>
      </c>
      <c r="I91" s="2" t="s">
        <v>1223</v>
      </c>
      <c r="J91" s="5" t="str">
        <f>VLOOKUP(B91,Seqs!A:B,2,FALSE)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1" s="4" t="str">
        <f t="shared" si="7"/>
        <v>P</v>
      </c>
      <c r="L91" s="45">
        <f>VLOOKUP(B91,'NonXtal_SegEnds_Prot#'!A:AL,33,FALSE)</f>
        <v>321</v>
      </c>
      <c r="M91" s="45">
        <f>VLOOKUP(B91,'NonXtal_SegEnds_Prot#'!A:AL,34,FALSE)</f>
        <v>340</v>
      </c>
      <c r="N91" s="45">
        <f>VLOOKUP(B91,'NonXtal_SegEnds_Prot#'!A:AL,35,FALSE)</f>
        <v>345</v>
      </c>
      <c r="O91" s="4" t="str">
        <f t="shared" si="8"/>
        <v>R</v>
      </c>
      <c r="P91" s="4"/>
      <c r="Q91" s="47" t="str">
        <f t="shared" si="9"/>
        <v>PDWLFVFFNWLGYANSAFN</v>
      </c>
      <c r="R91" s="27" t="str">
        <f t="shared" si="10"/>
        <v>P</v>
      </c>
      <c r="S91" s="19" t="str">
        <f t="shared" si="11"/>
        <v>IIYCR</v>
      </c>
      <c r="T91" s="5" t="s">
        <v>51</v>
      </c>
      <c r="Z91" s="4"/>
      <c r="AD91" s="1" t="s">
        <v>49</v>
      </c>
      <c r="AE91" s="1">
        <v>322</v>
      </c>
      <c r="AF91" s="1">
        <v>340</v>
      </c>
      <c r="AG91" s="1">
        <v>347</v>
      </c>
      <c r="AH91" s="1" t="s">
        <v>50</v>
      </c>
      <c r="AK91" s="4">
        <v>31</v>
      </c>
      <c r="AL91" s="4">
        <v>57</v>
      </c>
    </row>
    <row r="92" spans="1:38" x14ac:dyDescent="0.25">
      <c r="A92" s="1" t="str">
        <f t="shared" si="6"/>
        <v>ADRB1_melga_4BVN_TM7</v>
      </c>
      <c r="B92" s="45" t="s">
        <v>235</v>
      </c>
      <c r="C92" s="45" t="s">
        <v>273</v>
      </c>
      <c r="D92" s="4" t="str">
        <f>VLOOKUP(B92,Classification!A:D,2,FALSE)</f>
        <v>A</v>
      </c>
      <c r="E92" s="4" t="str">
        <f>VLOOKUP(B92,Classification!A:D,3,FALSE)</f>
        <v>Aminergic</v>
      </c>
      <c r="F92" s="4" t="str">
        <f>VLOOKUP(B92,Classification!A:D,4,FALSE)</f>
        <v>Adrenoceptors</v>
      </c>
      <c r="G92" s="2">
        <v>13</v>
      </c>
      <c r="H92" s="45" t="s">
        <v>48</v>
      </c>
      <c r="I92" s="2" t="s">
        <v>1223</v>
      </c>
      <c r="J92" s="5" t="str">
        <f>VLOOKUP(B92,Seqs!A:B,2,FALSE)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2" s="4" t="str">
        <f t="shared" si="7"/>
        <v>P</v>
      </c>
      <c r="L92" s="45">
        <f>VLOOKUP(B92,'NonXtal_SegEnds_Prot#'!A:AL,33,FALSE)</f>
        <v>321</v>
      </c>
      <c r="M92" s="45">
        <f>VLOOKUP(B92,'NonXtal_SegEnds_Prot#'!A:AL,34,FALSE)</f>
        <v>340</v>
      </c>
      <c r="N92" s="45">
        <f>VLOOKUP(B92,'NonXtal_SegEnds_Prot#'!A:AL,35,FALSE)</f>
        <v>345</v>
      </c>
      <c r="O92" s="4" t="str">
        <f t="shared" si="8"/>
        <v>R</v>
      </c>
      <c r="P92" s="4"/>
      <c r="Q92" s="47" t="str">
        <f t="shared" si="9"/>
        <v>PDWLFVFFNWLGYANSAFN</v>
      </c>
      <c r="R92" s="27" t="str">
        <f t="shared" si="10"/>
        <v>P</v>
      </c>
      <c r="S92" s="19" t="str">
        <f t="shared" si="11"/>
        <v>IIYCR</v>
      </c>
      <c r="T92" s="5" t="s">
        <v>51</v>
      </c>
      <c r="Z92" s="4"/>
      <c r="AD92" s="1" t="s">
        <v>49</v>
      </c>
      <c r="AE92" s="1">
        <v>322</v>
      </c>
      <c r="AF92" s="1">
        <v>340</v>
      </c>
      <c r="AG92" s="1">
        <v>347</v>
      </c>
      <c r="AH92" s="1" t="s">
        <v>50</v>
      </c>
      <c r="AK92" s="4">
        <v>31</v>
      </c>
      <c r="AL92" s="4">
        <v>57</v>
      </c>
    </row>
    <row r="93" spans="1:38" x14ac:dyDescent="0.25">
      <c r="A93" s="1" t="str">
        <f t="shared" si="6"/>
        <v>ADRB2_human__wt_TM7</v>
      </c>
      <c r="B93" s="45" t="s">
        <v>211</v>
      </c>
      <c r="C93" s="54" t="s">
        <v>294</v>
      </c>
      <c r="D93" s="4" t="str">
        <f>VLOOKUP(B93,Classification!A:D,2,FALSE)</f>
        <v>A</v>
      </c>
      <c r="E93" s="4" t="str">
        <f>VLOOKUP(B93,Classification!A:D,3,FALSE)</f>
        <v>Aminergic</v>
      </c>
      <c r="F93" s="4" t="str">
        <f>VLOOKUP(B93,Classification!A:D,4,FALSE)</f>
        <v>Adrenoceptors</v>
      </c>
      <c r="G93" s="2">
        <v>13</v>
      </c>
      <c r="H93" s="45" t="s">
        <v>48</v>
      </c>
      <c r="I93" s="2" t="s">
        <v>1223</v>
      </c>
      <c r="J93" s="5" t="str">
        <f>VLOOKUP(B93,Seqs!A:B,2,FALSE)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3" s="4" t="str">
        <f t="shared" si="7"/>
        <v>R</v>
      </c>
      <c r="L93" s="45">
        <f>VLOOKUP(B93,'NonXtal_SegEnds_Prot#'!A:AL,33,FALSE)</f>
        <v>304</v>
      </c>
      <c r="M93" s="45">
        <f>VLOOKUP(B93,'NonXtal_SegEnds_Prot#'!A:AL,34,FALSE)</f>
        <v>323</v>
      </c>
      <c r="N93" s="45">
        <f>VLOOKUP(B93,'NonXtal_SegEnds_Prot#'!A:AL,35,FALSE)</f>
        <v>328</v>
      </c>
      <c r="O93" s="4" t="str">
        <f t="shared" si="8"/>
        <v>R</v>
      </c>
      <c r="P93" s="4"/>
      <c r="Q93" s="47" t="str">
        <f t="shared" si="9"/>
        <v>RKEVYILLNWIGYVNSGFN</v>
      </c>
      <c r="R93" s="27" t="str">
        <f t="shared" si="10"/>
        <v>P</v>
      </c>
      <c r="S93" s="19" t="str">
        <f t="shared" si="11"/>
        <v>LIYCR</v>
      </c>
      <c r="T93" s="5" t="s">
        <v>51</v>
      </c>
      <c r="Z93" s="4" t="s">
        <v>64</v>
      </c>
      <c r="AD93" s="1" t="s">
        <v>49</v>
      </c>
      <c r="AE93" s="1">
        <v>304</v>
      </c>
      <c r="AF93" s="1">
        <v>323</v>
      </c>
      <c r="AG93" s="1">
        <v>329</v>
      </c>
      <c r="AH93" s="1" t="s">
        <v>50</v>
      </c>
      <c r="AK93" s="4">
        <v>31</v>
      </c>
      <c r="AL93" s="4">
        <v>57</v>
      </c>
    </row>
    <row r="94" spans="1:38" x14ac:dyDescent="0.25">
      <c r="A94" s="1" t="str">
        <f t="shared" si="6"/>
        <v>ADRB2_human_3D4S_TM7</v>
      </c>
      <c r="B94" s="45" t="s">
        <v>211</v>
      </c>
      <c r="C94" s="45" t="s">
        <v>267</v>
      </c>
      <c r="D94" s="4" t="str">
        <f>VLOOKUP(B94,Classification!A:D,2,FALSE)</f>
        <v>A</v>
      </c>
      <c r="E94" s="4" t="str">
        <f>VLOOKUP(B94,Classification!A:D,3,FALSE)</f>
        <v>Aminergic</v>
      </c>
      <c r="F94" s="4" t="str">
        <f>VLOOKUP(B94,Classification!A:D,4,FALSE)</f>
        <v>Adrenoceptors</v>
      </c>
      <c r="G94" s="2">
        <v>13</v>
      </c>
      <c r="H94" s="45" t="s">
        <v>48</v>
      </c>
      <c r="I94" s="2" t="s">
        <v>1223</v>
      </c>
      <c r="J94" s="35" t="str">
        <f>VLOOKUP(B94,Seqs!A:B,2,FALSE)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" s="4" t="str">
        <f t="shared" si="7"/>
        <v>R</v>
      </c>
      <c r="L94" s="45">
        <f>VLOOKUP(B94,'NonXtal_SegEnds_Prot#'!A:AL,33,FALSE)</f>
        <v>304</v>
      </c>
      <c r="M94" s="45">
        <f>VLOOKUP(B94,'NonXtal_SegEnds_Prot#'!A:AL,34,FALSE)</f>
        <v>323</v>
      </c>
      <c r="N94" s="45">
        <f>VLOOKUP(B94,'NonXtal_SegEnds_Prot#'!A:AL,35,FALSE)</f>
        <v>328</v>
      </c>
      <c r="O94" s="4" t="str">
        <f t="shared" si="8"/>
        <v>R</v>
      </c>
      <c r="P94" s="2"/>
      <c r="Q94" s="47" t="str">
        <f t="shared" si="9"/>
        <v>RKEVYILLNWIGYVNSGFN</v>
      </c>
      <c r="R94" s="27" t="str">
        <f t="shared" si="10"/>
        <v>P</v>
      </c>
      <c r="S94" s="19" t="str">
        <f t="shared" si="11"/>
        <v>LIYCR</v>
      </c>
      <c r="T94" s="5" t="s">
        <v>51</v>
      </c>
      <c r="Z94" s="4"/>
      <c r="AD94" s="1" t="s">
        <v>49</v>
      </c>
      <c r="AE94" s="1">
        <v>304</v>
      </c>
      <c r="AF94" s="1">
        <v>323</v>
      </c>
      <c r="AG94" s="1">
        <v>329</v>
      </c>
      <c r="AH94" s="1" t="s">
        <v>50</v>
      </c>
      <c r="AK94" s="2">
        <v>31</v>
      </c>
      <c r="AL94" s="2">
        <v>57</v>
      </c>
    </row>
    <row r="95" spans="1:38" x14ac:dyDescent="0.25">
      <c r="A95" s="1" t="str">
        <f t="shared" si="6"/>
        <v>ADRB2_human_3P0G_TM7</v>
      </c>
      <c r="B95" s="45" t="s">
        <v>211</v>
      </c>
      <c r="C95" s="45" t="s">
        <v>257</v>
      </c>
      <c r="D95" s="4" t="str">
        <f>VLOOKUP(B95,Classification!A:D,2,FALSE)</f>
        <v>A</v>
      </c>
      <c r="E95" s="4" t="str">
        <f>VLOOKUP(B95,Classification!A:D,3,FALSE)</f>
        <v>Aminergic</v>
      </c>
      <c r="F95" s="4" t="str">
        <f>VLOOKUP(B95,Classification!A:D,4,FALSE)</f>
        <v>Adrenoceptors</v>
      </c>
      <c r="G95" s="2">
        <v>13</v>
      </c>
      <c r="H95" s="45" t="s">
        <v>48</v>
      </c>
      <c r="I95" s="2" t="s">
        <v>1223</v>
      </c>
      <c r="J95" s="5" t="str">
        <f>VLOOKUP(B95,Seqs!A:B,2,FALSE)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5" s="4" t="str">
        <f t="shared" si="7"/>
        <v>R</v>
      </c>
      <c r="L95" s="45">
        <f>VLOOKUP(B95,'NonXtal_SegEnds_Prot#'!A:AL,33,FALSE)</f>
        <v>304</v>
      </c>
      <c r="M95" s="45">
        <f>VLOOKUP(B95,'NonXtal_SegEnds_Prot#'!A:AL,34,FALSE)</f>
        <v>323</v>
      </c>
      <c r="N95" s="45">
        <f>VLOOKUP(B95,'NonXtal_SegEnds_Prot#'!A:AL,35,FALSE)</f>
        <v>328</v>
      </c>
      <c r="O95" s="4" t="str">
        <f t="shared" si="8"/>
        <v>R</v>
      </c>
      <c r="P95" s="4"/>
      <c r="Q95" s="47" t="str">
        <f t="shared" si="9"/>
        <v>RKEVYILLNWIGYVNSGFN</v>
      </c>
      <c r="R95" s="27" t="str">
        <f t="shared" si="10"/>
        <v>P</v>
      </c>
      <c r="S95" s="19" t="str">
        <f t="shared" si="11"/>
        <v>LIYCR</v>
      </c>
      <c r="T95" s="5" t="s">
        <v>51</v>
      </c>
      <c r="Z95" s="4"/>
      <c r="AD95" s="1" t="s">
        <v>49</v>
      </c>
      <c r="AE95" s="1">
        <v>304</v>
      </c>
      <c r="AF95" s="1">
        <v>323</v>
      </c>
      <c r="AG95" s="1">
        <v>329</v>
      </c>
      <c r="AH95" s="1" t="s">
        <v>50</v>
      </c>
      <c r="AK95" s="4">
        <v>31</v>
      </c>
      <c r="AL95" s="4">
        <v>57</v>
      </c>
    </row>
    <row r="96" spans="1:38" x14ac:dyDescent="0.25">
      <c r="A96" s="1" t="str">
        <f t="shared" si="6"/>
        <v>ADRB2_human_3SN6_TM7</v>
      </c>
      <c r="B96" s="45" t="s">
        <v>211</v>
      </c>
      <c r="C96" s="45" t="s">
        <v>277</v>
      </c>
      <c r="D96" s="4" t="str">
        <f>VLOOKUP(B96,Classification!A:D,2,FALSE)</f>
        <v>A</v>
      </c>
      <c r="E96" s="4" t="str">
        <f>VLOOKUP(B96,Classification!A:D,3,FALSE)</f>
        <v>Aminergic</v>
      </c>
      <c r="F96" s="4" t="str">
        <f>VLOOKUP(B96,Classification!A:D,4,FALSE)</f>
        <v>Adrenoceptors</v>
      </c>
      <c r="G96" s="2">
        <v>13</v>
      </c>
      <c r="H96" s="45" t="s">
        <v>48</v>
      </c>
      <c r="I96" s="2" t="s">
        <v>1223</v>
      </c>
      <c r="J96" s="5" t="str">
        <f>VLOOKUP(B96,Seqs!A:B,2,FALSE)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6" s="4" t="str">
        <f t="shared" si="7"/>
        <v>R</v>
      </c>
      <c r="L96" s="45">
        <f>VLOOKUP(B96,'NonXtal_SegEnds_Prot#'!A:AL,33,FALSE)</f>
        <v>304</v>
      </c>
      <c r="M96" s="45">
        <f>VLOOKUP(B96,'NonXtal_SegEnds_Prot#'!A:AL,34,FALSE)</f>
        <v>323</v>
      </c>
      <c r="N96" s="45">
        <f>VLOOKUP(B96,'NonXtal_SegEnds_Prot#'!A:AL,35,FALSE)</f>
        <v>328</v>
      </c>
      <c r="O96" s="4" t="str">
        <f t="shared" si="8"/>
        <v>R</v>
      </c>
      <c r="P96" s="4"/>
      <c r="Q96" s="47" t="str">
        <f t="shared" si="9"/>
        <v>RKEVYILLNWIGYVNSGFN</v>
      </c>
      <c r="R96" s="27" t="str">
        <f t="shared" si="10"/>
        <v>P</v>
      </c>
      <c r="S96" s="19" t="str">
        <f t="shared" si="11"/>
        <v>LIYCR</v>
      </c>
      <c r="T96" s="5" t="s">
        <v>51</v>
      </c>
      <c r="Z96" s="4" t="s">
        <v>64</v>
      </c>
      <c r="AD96" s="1" t="s">
        <v>49</v>
      </c>
      <c r="AE96" s="1">
        <v>304</v>
      </c>
      <c r="AF96" s="1">
        <v>323</v>
      </c>
      <c r="AG96" s="1">
        <v>329</v>
      </c>
      <c r="AH96" s="1" t="s">
        <v>50</v>
      </c>
      <c r="AK96" s="4">
        <v>31</v>
      </c>
      <c r="AL96" s="4">
        <v>57</v>
      </c>
    </row>
    <row r="97" spans="1:38" x14ac:dyDescent="0.25">
      <c r="A97" s="1" t="str">
        <f t="shared" si="6"/>
        <v>ADRB2_human_4LDE_TM7</v>
      </c>
      <c r="B97" s="45" t="s">
        <v>211</v>
      </c>
      <c r="C97" s="45" t="s">
        <v>268</v>
      </c>
      <c r="D97" s="4" t="str">
        <f>VLOOKUP(B97,Classification!A:D,2,FALSE)</f>
        <v>A</v>
      </c>
      <c r="E97" s="4" t="str">
        <f>VLOOKUP(B97,Classification!A:D,3,FALSE)</f>
        <v>Aminergic</v>
      </c>
      <c r="F97" s="4" t="str">
        <f>VLOOKUP(B97,Classification!A:D,4,FALSE)</f>
        <v>Adrenoceptors</v>
      </c>
      <c r="G97" s="2">
        <v>13</v>
      </c>
      <c r="H97" s="45" t="s">
        <v>48</v>
      </c>
      <c r="I97" s="2" t="s">
        <v>1223</v>
      </c>
      <c r="J97" s="5" t="str">
        <f>VLOOKUP(B97,Seqs!A:B,2,FALSE)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7" s="4" t="str">
        <f t="shared" si="7"/>
        <v>R</v>
      </c>
      <c r="L97" s="45">
        <f>VLOOKUP(B97,'NonXtal_SegEnds_Prot#'!A:AL,33,FALSE)</f>
        <v>304</v>
      </c>
      <c r="M97" s="45">
        <f>VLOOKUP(B97,'NonXtal_SegEnds_Prot#'!A:AL,34,FALSE)</f>
        <v>323</v>
      </c>
      <c r="N97" s="45">
        <f>VLOOKUP(B97,'NonXtal_SegEnds_Prot#'!A:AL,35,FALSE)</f>
        <v>328</v>
      </c>
      <c r="O97" s="4" t="str">
        <f t="shared" si="8"/>
        <v>R</v>
      </c>
      <c r="P97" s="4"/>
      <c r="Q97" s="47" t="str">
        <f t="shared" si="9"/>
        <v>RKEVYILLNWIGYVNSGFN</v>
      </c>
      <c r="R97" s="27" t="str">
        <f t="shared" si="10"/>
        <v>P</v>
      </c>
      <c r="S97" s="19" t="str">
        <f t="shared" si="11"/>
        <v>LIYCR</v>
      </c>
      <c r="T97" s="5" t="s">
        <v>51</v>
      </c>
      <c r="Z97" s="4"/>
      <c r="AD97" s="1" t="s">
        <v>49</v>
      </c>
      <c r="AE97" s="1">
        <v>304</v>
      </c>
      <c r="AF97" s="1">
        <v>323</v>
      </c>
      <c r="AG97" s="1">
        <v>329</v>
      </c>
      <c r="AH97" s="1" t="s">
        <v>50</v>
      </c>
      <c r="AK97" s="4">
        <v>31</v>
      </c>
      <c r="AL97" s="4">
        <v>57</v>
      </c>
    </row>
    <row r="98" spans="1:38" x14ac:dyDescent="0.25">
      <c r="A98" s="1" t="str">
        <f t="shared" si="6"/>
        <v>ADRB2_human_4QKX_TM7</v>
      </c>
      <c r="B98" s="45" t="s">
        <v>211</v>
      </c>
      <c r="C98" s="45" t="s">
        <v>269</v>
      </c>
      <c r="D98" s="4" t="str">
        <f>VLOOKUP(B98,Classification!A:D,2,FALSE)</f>
        <v>A</v>
      </c>
      <c r="E98" s="4" t="str">
        <f>VLOOKUP(B98,Classification!A:D,3,FALSE)</f>
        <v>Aminergic</v>
      </c>
      <c r="F98" s="4" t="str">
        <f>VLOOKUP(B98,Classification!A:D,4,FALSE)</f>
        <v>Adrenoceptors</v>
      </c>
      <c r="G98" s="2">
        <v>13</v>
      </c>
      <c r="H98" s="45" t="s">
        <v>48</v>
      </c>
      <c r="I98" s="2" t="s">
        <v>1223</v>
      </c>
      <c r="J98" s="5" t="str">
        <f>VLOOKUP(B98,Seqs!A:B,2,FALSE)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8" s="4" t="str">
        <f t="shared" si="7"/>
        <v>R</v>
      </c>
      <c r="L98" s="45">
        <f>VLOOKUP(B98,'NonXtal_SegEnds_Prot#'!A:AL,33,FALSE)</f>
        <v>304</v>
      </c>
      <c r="M98" s="45">
        <f>VLOOKUP(B98,'NonXtal_SegEnds_Prot#'!A:AL,34,FALSE)</f>
        <v>323</v>
      </c>
      <c r="N98" s="45">
        <f>VLOOKUP(B98,'NonXtal_SegEnds_Prot#'!A:AL,35,FALSE)</f>
        <v>328</v>
      </c>
      <c r="O98" s="4" t="str">
        <f t="shared" si="8"/>
        <v>R</v>
      </c>
      <c r="P98" s="4"/>
      <c r="Q98" s="47" t="str">
        <f t="shared" si="9"/>
        <v>RKEVYILLNWIGYVNSGFN</v>
      </c>
      <c r="R98" s="27" t="str">
        <f t="shared" si="10"/>
        <v>P</v>
      </c>
      <c r="S98" s="19" t="str">
        <f t="shared" si="11"/>
        <v>LIYCR</v>
      </c>
      <c r="T98" s="5" t="s">
        <v>51</v>
      </c>
      <c r="Z98" s="4"/>
      <c r="AD98" s="1" t="s">
        <v>49</v>
      </c>
      <c r="AE98" s="1">
        <v>304</v>
      </c>
      <c r="AF98" s="1">
        <v>323</v>
      </c>
      <c r="AG98" s="1">
        <v>329</v>
      </c>
      <c r="AH98" s="1" t="s">
        <v>50</v>
      </c>
      <c r="AK98" s="4">
        <v>31</v>
      </c>
      <c r="AL98" s="4">
        <v>57</v>
      </c>
    </row>
    <row r="99" spans="1:38" x14ac:dyDescent="0.25">
      <c r="A99" s="1" t="str">
        <f t="shared" si="6"/>
        <v>AGTR1_human__wt_TM7</v>
      </c>
      <c r="B99" s="45" t="s">
        <v>212</v>
      </c>
      <c r="C99" s="45" t="s">
        <v>294</v>
      </c>
      <c r="D99" s="4" t="str">
        <f>VLOOKUP(B99,Classification!A:D,2,FALSE)</f>
        <v>A</v>
      </c>
      <c r="E99" s="4" t="str">
        <f>VLOOKUP(B99,Classification!A:D,3,FALSE)</f>
        <v>Peptide</v>
      </c>
      <c r="F99" s="4" t="str">
        <f>VLOOKUP(B99,Classification!A:D,4,FALSE)</f>
        <v>Angiotensin</v>
      </c>
      <c r="G99" s="2">
        <v>13</v>
      </c>
      <c r="H99" s="45" t="s">
        <v>48</v>
      </c>
      <c r="I99" s="2" t="s">
        <v>1223</v>
      </c>
      <c r="J99" s="5" t="str">
        <f>VLOOKUP(B99,Seqs!A:B,2,FALSE)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99" s="4" t="str">
        <f t="shared" si="7"/>
        <v>D</v>
      </c>
      <c r="L99" s="45">
        <f>VLOOKUP(B99,'NonXtal_SegEnds_Prot#'!A:AL,33,FALSE)</f>
        <v>273</v>
      </c>
      <c r="M99" s="45">
        <f>VLOOKUP(B99,'NonXtal_SegEnds_Prot#'!A:AL,34,FALSE)</f>
        <v>299</v>
      </c>
      <c r="N99" s="45">
        <f>VLOOKUP(B99,'NonXtal_SegEnds_Prot#'!A:AL,35,FALSE)</f>
        <v>305</v>
      </c>
      <c r="O99" s="4" t="str">
        <f t="shared" si="8"/>
        <v>L</v>
      </c>
      <c r="P99" s="4"/>
      <c r="Q99" s="47" t="str">
        <f t="shared" si="9"/>
        <v>DCRIADIVDTAMPITICIAYFNNCLN</v>
      </c>
      <c r="R99" s="28" t="str">
        <f t="shared" si="10"/>
        <v>P</v>
      </c>
      <c r="S99" s="20" t="str">
        <f t="shared" si="11"/>
        <v>LFYGFL</v>
      </c>
      <c r="T99" s="5" t="s">
        <v>51</v>
      </c>
      <c r="Z99" s="4"/>
      <c r="AD99" s="1" t="s">
        <v>104</v>
      </c>
      <c r="AE99" s="1">
        <v>274</v>
      </c>
      <c r="AF99" s="1">
        <v>299</v>
      </c>
      <c r="AG99" s="1">
        <v>305</v>
      </c>
      <c r="AH99" s="1" t="s">
        <v>50</v>
      </c>
      <c r="AK99" s="4">
        <v>24</v>
      </c>
      <c r="AL99" s="4">
        <v>57</v>
      </c>
    </row>
    <row r="100" spans="1:38" x14ac:dyDescent="0.25">
      <c r="A100" s="1" t="str">
        <f t="shared" si="6"/>
        <v>AGTR1_human_4YAY_TM7</v>
      </c>
      <c r="B100" s="45" t="s">
        <v>212</v>
      </c>
      <c r="C100" s="45" t="s">
        <v>260</v>
      </c>
      <c r="D100" s="4" t="str">
        <f>VLOOKUP(B100,Classification!A:D,2,FALSE)</f>
        <v>A</v>
      </c>
      <c r="E100" s="4" t="str">
        <f>VLOOKUP(B100,Classification!A:D,3,FALSE)</f>
        <v>Peptide</v>
      </c>
      <c r="F100" s="4" t="str">
        <f>VLOOKUP(B100,Classification!A:D,4,FALSE)</f>
        <v>Angiotensin</v>
      </c>
      <c r="G100" s="2">
        <v>13</v>
      </c>
      <c r="H100" s="45" t="s">
        <v>48</v>
      </c>
      <c r="I100" s="2" t="s">
        <v>1223</v>
      </c>
      <c r="J100" s="5" t="str">
        <f>VLOOKUP(B100,Seqs!A:B,2,FALSE)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00" s="4" t="str">
        <f t="shared" si="7"/>
        <v>D</v>
      </c>
      <c r="L100" s="45">
        <f>VLOOKUP(B100,'NonXtal_SegEnds_Prot#'!A:AL,33,FALSE)</f>
        <v>273</v>
      </c>
      <c r="M100" s="45">
        <f>VLOOKUP(B100,'NonXtal_SegEnds_Prot#'!A:AL,34,FALSE)</f>
        <v>299</v>
      </c>
      <c r="N100" s="45">
        <f>VLOOKUP(B100,'NonXtal_SegEnds_Prot#'!A:AL,35,FALSE)</f>
        <v>305</v>
      </c>
      <c r="O100" s="4" t="str">
        <f t="shared" si="8"/>
        <v>L</v>
      </c>
      <c r="P100" s="4"/>
      <c r="Q100" s="47" t="str">
        <f t="shared" si="9"/>
        <v>DCRIADIVDTAMPITICIAYFNNCLN</v>
      </c>
      <c r="R100" s="28" t="str">
        <f t="shared" si="10"/>
        <v>P</v>
      </c>
      <c r="S100" s="20" t="str">
        <f t="shared" si="11"/>
        <v>LFYGFL</v>
      </c>
      <c r="T100" s="5" t="s">
        <v>51</v>
      </c>
      <c r="Z100" s="4"/>
      <c r="AD100" s="1" t="s">
        <v>104</v>
      </c>
      <c r="AE100" s="1">
        <v>274</v>
      </c>
      <c r="AF100" s="1">
        <v>299</v>
      </c>
      <c r="AG100" s="1">
        <v>305</v>
      </c>
      <c r="AH100" s="1" t="s">
        <v>50</v>
      </c>
      <c r="AK100" s="4">
        <v>24</v>
      </c>
      <c r="AL100" s="4">
        <v>57</v>
      </c>
    </row>
    <row r="101" spans="1:38" x14ac:dyDescent="0.25">
      <c r="A101" s="1" t="str">
        <f t="shared" si="6"/>
        <v>CCR5_human__wt_TM7</v>
      </c>
      <c r="B101" s="45" t="s">
        <v>221</v>
      </c>
      <c r="C101" s="45" t="s">
        <v>294</v>
      </c>
      <c r="D101" s="4" t="str">
        <f>VLOOKUP(B101,Classification!A:D,2,FALSE)</f>
        <v>A</v>
      </c>
      <c r="E101" s="4" t="str">
        <f>VLOOKUP(B101,Classification!A:D,3,FALSE)</f>
        <v>Protein</v>
      </c>
      <c r="F101" s="4" t="str">
        <f>VLOOKUP(B101,Classification!A:D,4,FALSE)</f>
        <v>Chemokine</v>
      </c>
      <c r="G101" s="2">
        <v>13</v>
      </c>
      <c r="H101" s="45" t="s">
        <v>48</v>
      </c>
      <c r="I101" s="2" t="s">
        <v>1223</v>
      </c>
      <c r="J101" s="5" t="str">
        <f>VLOOKUP(B101,Seqs!A:B,2,FALSE)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1" s="4" t="str">
        <f t="shared" si="7"/>
        <v>N</v>
      </c>
      <c r="L101" s="45">
        <f>VLOOKUP(B101,'NonXtal_SegEnds_Prot#'!A:AL,33,FALSE)</f>
        <v>268</v>
      </c>
      <c r="M101" s="45">
        <f>VLOOKUP(B101,'NonXtal_SegEnds_Prot#'!A:AL,34,FALSE)</f>
        <v>294</v>
      </c>
      <c r="N101" s="45">
        <f>VLOOKUP(B101,'NonXtal_SegEnds_Prot#'!A:AL,35,FALSE)</f>
        <v>300</v>
      </c>
      <c r="O101" s="4" t="str">
        <f t="shared" si="8"/>
        <v>V</v>
      </c>
      <c r="P101" s="4"/>
      <c r="Q101" s="47" t="str">
        <f t="shared" si="9"/>
        <v>NCSSSNRLDQAMQVTETLGMTHCCIN</v>
      </c>
      <c r="R101" s="27" t="str">
        <f t="shared" si="10"/>
        <v>P</v>
      </c>
      <c r="S101" s="19" t="str">
        <f t="shared" si="11"/>
        <v>IIYAFV</v>
      </c>
      <c r="T101" s="5" t="s">
        <v>51</v>
      </c>
      <c r="Z101" s="4"/>
      <c r="AD101" s="1" t="s">
        <v>108</v>
      </c>
      <c r="AE101" s="1">
        <v>270</v>
      </c>
      <c r="AF101" s="1">
        <v>294</v>
      </c>
      <c r="AG101" s="1">
        <v>301</v>
      </c>
      <c r="AH101" s="1" t="s">
        <v>50</v>
      </c>
      <c r="AK101" s="4">
        <v>25</v>
      </c>
      <c r="AL101" s="4">
        <v>57</v>
      </c>
    </row>
    <row r="102" spans="1:38" x14ac:dyDescent="0.25">
      <c r="A102" s="1" t="str">
        <f t="shared" si="6"/>
        <v>CCR5_human_4MBS_TM7</v>
      </c>
      <c r="B102" s="45" t="s">
        <v>221</v>
      </c>
      <c r="C102" s="45" t="s">
        <v>265</v>
      </c>
      <c r="D102" s="4" t="str">
        <f>VLOOKUP(B102,Classification!A:D,2,FALSE)</f>
        <v>A</v>
      </c>
      <c r="E102" s="4" t="str">
        <f>VLOOKUP(B102,Classification!A:D,3,FALSE)</f>
        <v>Protein</v>
      </c>
      <c r="F102" s="4" t="str">
        <f>VLOOKUP(B102,Classification!A:D,4,FALSE)</f>
        <v>Chemokine</v>
      </c>
      <c r="G102" s="2">
        <v>13</v>
      </c>
      <c r="H102" s="45" t="s">
        <v>48</v>
      </c>
      <c r="I102" s="2" t="s">
        <v>1223</v>
      </c>
      <c r="J102" s="5" t="str">
        <f>VLOOKUP(B102,Seqs!A:B,2,FALSE)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2" s="4" t="str">
        <f t="shared" si="7"/>
        <v>N</v>
      </c>
      <c r="L102" s="45">
        <f>VLOOKUP(B102,'NonXtal_SegEnds_Prot#'!A:AL,33,FALSE)</f>
        <v>268</v>
      </c>
      <c r="M102" s="45">
        <f>VLOOKUP(B102,'NonXtal_SegEnds_Prot#'!A:AL,34,FALSE)</f>
        <v>294</v>
      </c>
      <c r="N102" s="45">
        <f>VLOOKUP(B102,'NonXtal_SegEnds_Prot#'!A:AL,35,FALSE)</f>
        <v>300</v>
      </c>
      <c r="O102" s="4" t="str">
        <f t="shared" si="8"/>
        <v>V</v>
      </c>
      <c r="P102" s="4"/>
      <c r="Q102" s="47" t="str">
        <f t="shared" si="9"/>
        <v>NCSSSNRLDQAMQVTETLGMTHCCIN</v>
      </c>
      <c r="R102" s="27" t="str">
        <f t="shared" si="10"/>
        <v>P</v>
      </c>
      <c r="S102" s="19" t="str">
        <f t="shared" si="11"/>
        <v>IIYAFV</v>
      </c>
      <c r="T102" s="5" t="s">
        <v>51</v>
      </c>
      <c r="Z102" s="4"/>
      <c r="AD102" s="1" t="s">
        <v>108</v>
      </c>
      <c r="AE102" s="1">
        <v>270</v>
      </c>
      <c r="AF102" s="1">
        <v>294</v>
      </c>
      <c r="AG102" s="1">
        <v>301</v>
      </c>
      <c r="AH102" s="1" t="s">
        <v>50</v>
      </c>
      <c r="AK102" s="4">
        <v>25</v>
      </c>
      <c r="AL102" s="4">
        <v>57</v>
      </c>
    </row>
    <row r="103" spans="1:38" x14ac:dyDescent="0.25">
      <c r="A103" s="1" t="str">
        <f t="shared" si="6"/>
        <v>crfr1_human__wt_TM7</v>
      </c>
      <c r="B103" s="45" t="s">
        <v>213</v>
      </c>
      <c r="C103" s="45" t="s">
        <v>294</v>
      </c>
      <c r="D103" s="4" t="str">
        <f>VLOOKUP(B103,Classification!A:D,2,FALSE)</f>
        <v>B1</v>
      </c>
      <c r="E103" s="4" t="str">
        <f>VLOOKUP(B103,Classification!A:D,3,FALSE)</f>
        <v>Peptide</v>
      </c>
      <c r="F103" s="4" t="str">
        <f>VLOOKUP(B103,Classification!A:D,4,FALSE)</f>
        <v>Corticotropin-releasingfact</v>
      </c>
      <c r="G103" s="2">
        <v>13</v>
      </c>
      <c r="H103" s="45" t="s">
        <v>48</v>
      </c>
      <c r="I103" s="2" t="s">
        <v>1223</v>
      </c>
      <c r="J103" s="5" t="str">
        <f>VLOOKUP(B103,Seqs!A:B,2,FALSE)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3" s="4" t="str">
        <f t="shared" si="7"/>
        <v>V</v>
      </c>
      <c r="L103" s="45">
        <f>VLOOKUP(B103,'NonXtal_SegEnds_Prot#'!A:AL,33,FALSE)</f>
        <v>339</v>
      </c>
      <c r="M103" s="45">
        <f>VLOOKUP(B103,'NonXtal_SegEnds_Prot#'!A:AL,34,FALSE)</f>
        <v>360</v>
      </c>
      <c r="N103" s="45">
        <f>VLOOKUP(B103,'NonXtal_SegEnds_Prot#'!A:AL,35,FALSE)</f>
        <v>366</v>
      </c>
      <c r="O103" s="4" t="str">
        <f t="shared" si="8"/>
        <v>L</v>
      </c>
      <c r="P103" s="4"/>
      <c r="Q103" s="47" t="str">
        <f t="shared" si="9"/>
        <v>VSRVVFIYFNSFLESFQGFFV</v>
      </c>
      <c r="R103" s="27" t="str">
        <f t="shared" si="10"/>
        <v>S</v>
      </c>
      <c r="S103" s="19" t="str">
        <f t="shared" si="11"/>
        <v>VFYCFL</v>
      </c>
      <c r="T103" s="5" t="s">
        <v>51</v>
      </c>
      <c r="Z103" s="4"/>
      <c r="AD103" s="1" t="s">
        <v>62</v>
      </c>
      <c r="AE103" s="1">
        <v>339</v>
      </c>
      <c r="AF103" s="1">
        <v>360</v>
      </c>
      <c r="AG103" s="1">
        <v>367</v>
      </c>
      <c r="AH103" s="1" t="s">
        <v>173</v>
      </c>
      <c r="AK103" s="4">
        <v>27</v>
      </c>
      <c r="AL103" s="4">
        <v>55</v>
      </c>
    </row>
    <row r="104" spans="1:38" x14ac:dyDescent="0.25">
      <c r="A104" s="1" t="str">
        <f t="shared" si="6"/>
        <v>crfr1_human_4K5Y_TM7</v>
      </c>
      <c r="B104" s="45" t="s">
        <v>213</v>
      </c>
      <c r="C104" s="45" t="s">
        <v>288</v>
      </c>
      <c r="D104" s="4" t="str">
        <f>VLOOKUP(B104,Classification!A:D,2,FALSE)</f>
        <v>B1</v>
      </c>
      <c r="E104" s="4" t="str">
        <f>VLOOKUP(B104,Classification!A:D,3,FALSE)</f>
        <v>Peptide</v>
      </c>
      <c r="F104" s="4" t="str">
        <f>VLOOKUP(B104,Classification!A:D,4,FALSE)</f>
        <v>Corticotropin-releasingfact</v>
      </c>
      <c r="G104" s="2">
        <v>13</v>
      </c>
      <c r="H104" s="45" t="s">
        <v>48</v>
      </c>
      <c r="I104" s="2" t="s">
        <v>1223</v>
      </c>
      <c r="J104" s="5" t="str">
        <f>VLOOKUP(B104,Seqs!A:B,2,FALSE)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4" s="4" t="str">
        <f t="shared" si="7"/>
        <v>V</v>
      </c>
      <c r="L104" s="45">
        <f>VLOOKUP(B104,'NonXtal_SegEnds_Prot#'!A:AL,33,FALSE)</f>
        <v>339</v>
      </c>
      <c r="M104" s="45">
        <f>VLOOKUP(B104,'NonXtal_SegEnds_Prot#'!A:AL,34,FALSE)</f>
        <v>360</v>
      </c>
      <c r="N104" s="45">
        <f>VLOOKUP(B104,'NonXtal_SegEnds_Prot#'!A:AL,35,FALSE)</f>
        <v>366</v>
      </c>
      <c r="O104" s="4" t="str">
        <f t="shared" si="8"/>
        <v>L</v>
      </c>
      <c r="P104" s="4"/>
      <c r="Q104" s="47" t="str">
        <f t="shared" si="9"/>
        <v>VSRVVFIYFNSFLESFQGFFV</v>
      </c>
      <c r="R104" s="27" t="str">
        <f t="shared" si="10"/>
        <v>S</v>
      </c>
      <c r="S104" s="19" t="str">
        <f t="shared" si="11"/>
        <v>VFYCFL</v>
      </c>
      <c r="T104" s="5" t="s">
        <v>51</v>
      </c>
      <c r="Z104" s="4"/>
      <c r="AD104" s="1" t="s">
        <v>62</v>
      </c>
      <c r="AE104" s="1">
        <v>339</v>
      </c>
      <c r="AF104" s="1">
        <v>360</v>
      </c>
      <c r="AG104" s="1">
        <v>367</v>
      </c>
      <c r="AH104" s="1" t="s">
        <v>173</v>
      </c>
      <c r="AK104" s="4">
        <v>27</v>
      </c>
      <c r="AL104" s="4">
        <v>55</v>
      </c>
    </row>
    <row r="105" spans="1:38" x14ac:dyDescent="0.25">
      <c r="A105" s="1" t="str">
        <f t="shared" si="6"/>
        <v>CXCR4_human__wt_TM7</v>
      </c>
      <c r="B105" s="45" t="s">
        <v>1237</v>
      </c>
      <c r="C105" s="45" t="s">
        <v>294</v>
      </c>
      <c r="D105" s="4" t="str">
        <f>VLOOKUP(B105,Classification!A:D,2,FALSE)</f>
        <v>A</v>
      </c>
      <c r="E105" s="4" t="str">
        <f>VLOOKUP(B105,Classification!A:D,3,FALSE)</f>
        <v>Protein</v>
      </c>
      <c r="F105" s="4" t="str">
        <f>VLOOKUP(B105,Classification!A:D,4,FALSE)</f>
        <v>Chemokine</v>
      </c>
      <c r="G105" s="2">
        <v>13</v>
      </c>
      <c r="H105" s="45" t="s">
        <v>48</v>
      </c>
      <c r="I105" s="2" t="s">
        <v>1223</v>
      </c>
      <c r="J105" s="5" t="str">
        <f>VLOOKUP(B105,Seqs!A:B,2,FALSE)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5" s="4" t="str">
        <f t="shared" si="7"/>
        <v>G</v>
      </c>
      <c r="L105" s="45">
        <f>VLOOKUP(B105,'NonXtal_SegEnds_Prot#'!A:AL,33,FALSE)</f>
        <v>273</v>
      </c>
      <c r="M105" s="45">
        <f>VLOOKUP(B105,'NonXtal_SegEnds_Prot#'!A:AL,34,FALSE)</f>
        <v>299</v>
      </c>
      <c r="N105" s="45">
        <f>VLOOKUP(B105,'NonXtal_SegEnds_Prot#'!A:AL,35,FALSE)</f>
        <v>305</v>
      </c>
      <c r="O105" s="4" t="str">
        <f t="shared" si="8"/>
        <v>L</v>
      </c>
      <c r="P105" s="4"/>
      <c r="Q105" s="47" t="str">
        <f t="shared" si="9"/>
        <v>GCEFENTVHKWISITEALAFFHCCLN</v>
      </c>
      <c r="R105" s="27" t="str">
        <f t="shared" si="10"/>
        <v>P</v>
      </c>
      <c r="S105" s="19" t="str">
        <f t="shared" si="11"/>
        <v>ILYAFL</v>
      </c>
      <c r="T105" s="5" t="s">
        <v>51</v>
      </c>
      <c r="Z105" s="4"/>
      <c r="AD105" s="1" t="s">
        <v>108</v>
      </c>
      <c r="AE105" s="1">
        <v>275</v>
      </c>
      <c r="AF105" s="1">
        <v>299</v>
      </c>
      <c r="AG105" s="1">
        <v>306</v>
      </c>
      <c r="AH105" s="1" t="s">
        <v>50</v>
      </c>
      <c r="AK105" s="4">
        <v>25</v>
      </c>
      <c r="AL105" s="4">
        <v>57</v>
      </c>
    </row>
    <row r="106" spans="1:38" x14ac:dyDescent="0.25">
      <c r="A106" s="1" t="str">
        <f t="shared" si="6"/>
        <v>CXCR4_human_3ODU_TM7</v>
      </c>
      <c r="B106" s="45" t="s">
        <v>1237</v>
      </c>
      <c r="C106" s="45" t="s">
        <v>254</v>
      </c>
      <c r="D106" s="4" t="str">
        <f>VLOOKUP(B106,Classification!A:D,2,FALSE)</f>
        <v>A</v>
      </c>
      <c r="E106" s="4" t="str">
        <f>VLOOKUP(B106,Classification!A:D,3,FALSE)</f>
        <v>Protein</v>
      </c>
      <c r="F106" s="4" t="str">
        <f>VLOOKUP(B106,Classification!A:D,4,FALSE)</f>
        <v>Chemokine</v>
      </c>
      <c r="G106" s="2">
        <v>13</v>
      </c>
      <c r="H106" s="45" t="s">
        <v>48</v>
      </c>
      <c r="I106" s="2" t="s">
        <v>1223</v>
      </c>
      <c r="J106" s="5" t="str">
        <f>VLOOKUP(B106,Seqs!A:B,2,FALSE)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6" s="4" t="str">
        <f t="shared" si="7"/>
        <v>G</v>
      </c>
      <c r="L106" s="45">
        <f>VLOOKUP(B106,'NonXtal_SegEnds_Prot#'!A:AL,33,FALSE)</f>
        <v>273</v>
      </c>
      <c r="M106" s="45">
        <f>VLOOKUP(B106,'NonXtal_SegEnds_Prot#'!A:AL,34,FALSE)</f>
        <v>299</v>
      </c>
      <c r="N106" s="45">
        <f>VLOOKUP(B106,'NonXtal_SegEnds_Prot#'!A:AL,35,FALSE)</f>
        <v>305</v>
      </c>
      <c r="O106" s="4" t="str">
        <f t="shared" si="8"/>
        <v>L</v>
      </c>
      <c r="P106" s="4"/>
      <c r="Q106" s="47" t="str">
        <f t="shared" si="9"/>
        <v>GCEFENTVHKWISITEALAFFHCCLN</v>
      </c>
      <c r="R106" s="27" t="str">
        <f t="shared" si="10"/>
        <v>P</v>
      </c>
      <c r="S106" s="19" t="str">
        <f t="shared" si="11"/>
        <v>ILYAFL</v>
      </c>
      <c r="T106" s="5" t="s">
        <v>51</v>
      </c>
      <c r="Z106" s="4"/>
      <c r="AD106" s="1" t="s">
        <v>108</v>
      </c>
      <c r="AE106" s="1">
        <v>275</v>
      </c>
      <c r="AF106" s="1">
        <v>299</v>
      </c>
      <c r="AG106" s="1">
        <v>300</v>
      </c>
      <c r="AH106" s="1" t="s">
        <v>114</v>
      </c>
      <c r="AK106" s="4">
        <v>25</v>
      </c>
      <c r="AL106" s="4">
        <v>51</v>
      </c>
    </row>
    <row r="107" spans="1:38" x14ac:dyDescent="0.25">
      <c r="A107" s="1" t="str">
        <f t="shared" si="6"/>
        <v>DRD3_human__wt_TM7</v>
      </c>
      <c r="B107" s="45" t="s">
        <v>222</v>
      </c>
      <c r="C107" s="45" t="s">
        <v>294</v>
      </c>
      <c r="D107" s="4" t="str">
        <f>VLOOKUP(B107,Classification!A:D,2,FALSE)</f>
        <v>A</v>
      </c>
      <c r="E107" s="4" t="str">
        <f>VLOOKUP(B107,Classification!A:D,3,FALSE)</f>
        <v>Aminergic</v>
      </c>
      <c r="F107" s="4" t="str">
        <f>VLOOKUP(B107,Classification!A:D,4,FALSE)</f>
        <v>Dopamine</v>
      </c>
      <c r="G107" s="2">
        <v>13</v>
      </c>
      <c r="H107" s="45" t="s">
        <v>48</v>
      </c>
      <c r="I107" s="2" t="s">
        <v>1223</v>
      </c>
      <c r="J107" s="5" t="str">
        <f>VLOOKUP(B107,Seqs!A:B,2,FALSE)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7" s="4" t="str">
        <f t="shared" si="7"/>
        <v>S</v>
      </c>
      <c r="L107" s="45">
        <f>VLOOKUP(B107,'NonXtal_SegEnds_Prot#'!A:AL,33,FALSE)</f>
        <v>361</v>
      </c>
      <c r="M107" s="45">
        <f>VLOOKUP(B107,'NonXtal_SegEnds_Prot#'!A:AL,34,FALSE)</f>
        <v>380</v>
      </c>
      <c r="N107" s="45">
        <f>VLOOKUP(B107,'NonXtal_SegEnds_Prot#'!A:AL,35,FALSE)</f>
        <v>386</v>
      </c>
      <c r="O107" s="4" t="str">
        <f t="shared" si="8"/>
        <v>F</v>
      </c>
      <c r="P107" s="4"/>
      <c r="Q107" s="47" t="str">
        <f t="shared" si="9"/>
        <v>SPELYSATTWLGYVNSALN</v>
      </c>
      <c r="R107" s="27" t="str">
        <f t="shared" si="10"/>
        <v>P</v>
      </c>
      <c r="S107" s="19" t="str">
        <f t="shared" si="11"/>
        <v>VIYTTF</v>
      </c>
      <c r="T107" s="5" t="s">
        <v>51</v>
      </c>
      <c r="Z107" s="4"/>
      <c r="AD107" s="1" t="s">
        <v>49</v>
      </c>
      <c r="AE107" s="1">
        <v>362</v>
      </c>
      <c r="AF107" s="1">
        <v>380</v>
      </c>
      <c r="AG107" s="1">
        <v>387</v>
      </c>
      <c r="AH107" s="1" t="s">
        <v>50</v>
      </c>
      <c r="AK107" s="4">
        <v>31</v>
      </c>
      <c r="AL107" s="4">
        <v>57</v>
      </c>
    </row>
    <row r="108" spans="1:38" x14ac:dyDescent="0.25">
      <c r="A108" s="1" t="str">
        <f t="shared" si="6"/>
        <v>DRD3_human_3PBL_TM7</v>
      </c>
      <c r="B108" s="45" t="s">
        <v>222</v>
      </c>
      <c r="C108" s="45" t="s">
        <v>263</v>
      </c>
      <c r="D108" s="4" t="str">
        <f>VLOOKUP(B108,Classification!A:D,2,FALSE)</f>
        <v>A</v>
      </c>
      <c r="E108" s="4" t="str">
        <f>VLOOKUP(B108,Classification!A:D,3,FALSE)</f>
        <v>Aminergic</v>
      </c>
      <c r="F108" s="4" t="str">
        <f>VLOOKUP(B108,Classification!A:D,4,FALSE)</f>
        <v>Dopamine</v>
      </c>
      <c r="G108" s="2">
        <v>13</v>
      </c>
      <c r="H108" s="45" t="s">
        <v>48</v>
      </c>
      <c r="I108" s="2" t="s">
        <v>1223</v>
      </c>
      <c r="J108" s="5" t="str">
        <f>VLOOKUP(B108,Seqs!A:B,2,FALSE)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8" s="4" t="str">
        <f t="shared" si="7"/>
        <v>S</v>
      </c>
      <c r="L108" s="45">
        <f>VLOOKUP(B108,'NonXtal_SegEnds_Prot#'!A:AL,33,FALSE)</f>
        <v>361</v>
      </c>
      <c r="M108" s="45">
        <f>VLOOKUP(B108,'NonXtal_SegEnds_Prot#'!A:AL,34,FALSE)</f>
        <v>380</v>
      </c>
      <c r="N108" s="45">
        <f>VLOOKUP(B108,'NonXtal_SegEnds_Prot#'!A:AL,35,FALSE)</f>
        <v>386</v>
      </c>
      <c r="O108" s="4" t="str">
        <f t="shared" si="8"/>
        <v>F</v>
      </c>
      <c r="P108" s="4"/>
      <c r="Q108" s="47" t="str">
        <f t="shared" si="9"/>
        <v>SPELYSATTWLGYVNSALN</v>
      </c>
      <c r="R108" s="27" t="str">
        <f t="shared" si="10"/>
        <v>P</v>
      </c>
      <c r="S108" s="19" t="str">
        <f t="shared" si="11"/>
        <v>VIYTTF</v>
      </c>
      <c r="T108" s="5" t="s">
        <v>51</v>
      </c>
      <c r="Z108" s="4"/>
      <c r="AD108" s="1" t="s">
        <v>49</v>
      </c>
      <c r="AE108" s="1">
        <v>362</v>
      </c>
      <c r="AF108" s="1">
        <v>380</v>
      </c>
      <c r="AG108" s="1">
        <v>387</v>
      </c>
      <c r="AH108" s="1" t="s">
        <v>50</v>
      </c>
      <c r="AK108" s="4">
        <v>31</v>
      </c>
      <c r="AL108" s="4">
        <v>57</v>
      </c>
    </row>
    <row r="109" spans="1:38" x14ac:dyDescent="0.25">
      <c r="A109" s="1" t="str">
        <f t="shared" si="6"/>
        <v>FFAR1_human__wt_TM7</v>
      </c>
      <c r="B109" s="45" t="s">
        <v>1368</v>
      </c>
      <c r="C109" s="45" t="s">
        <v>294</v>
      </c>
      <c r="D109" s="4" t="str">
        <f>VLOOKUP(B109,Classification!A:D,2,FALSE)</f>
        <v>A</v>
      </c>
      <c r="E109" s="4" t="str">
        <f>VLOOKUP(B109,Classification!A:D,3,FALSE)</f>
        <v>Lipid</v>
      </c>
      <c r="F109" s="4" t="str">
        <f>VLOOKUP(B109,Classification!A:D,4,FALSE)</f>
        <v>Freefattyacid</v>
      </c>
      <c r="G109" s="2">
        <v>13</v>
      </c>
      <c r="H109" s="45" t="s">
        <v>48</v>
      </c>
      <c r="I109" s="2" t="s">
        <v>1223</v>
      </c>
      <c r="J109" s="5" t="str">
        <f>VLOOKUP(B109,Seqs!A:B,2,FALSE)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09" s="4" t="str">
        <f t="shared" si="7"/>
        <v>G</v>
      </c>
      <c r="L109" s="45">
        <f>VLOOKUP(B109,'NonXtal_SegEnds_Prot#'!A:AL,33,FALSE)</f>
        <v>255</v>
      </c>
      <c r="M109" s="45">
        <f>VLOOKUP(B109,'NonXtal_SegEnds_Prot#'!A:AL,34,FALSE)</f>
        <v>273</v>
      </c>
      <c r="N109" s="45">
        <f>VLOOKUP(B109,'NonXtal_SegEnds_Prot#'!A:AL,35,FALSE)</f>
        <v>279</v>
      </c>
      <c r="O109" s="4" t="str">
        <f t="shared" si="8"/>
        <v>L</v>
      </c>
      <c r="P109" s="4"/>
      <c r="Q109" s="47" t="str">
        <f t="shared" si="9"/>
        <v>GSWRKLGLITGAWSVVLN</v>
      </c>
      <c r="R109" s="27" t="str">
        <f t="shared" si="10"/>
        <v>P</v>
      </c>
      <c r="S109" s="19" t="str">
        <f t="shared" si="11"/>
        <v>LVTGYL</v>
      </c>
      <c r="T109" s="5" t="s">
        <v>51</v>
      </c>
      <c r="Z109" s="4"/>
      <c r="AD109" s="1" t="s">
        <v>121</v>
      </c>
      <c r="AE109" s="1">
        <v>256</v>
      </c>
      <c r="AF109" s="1">
        <v>273</v>
      </c>
      <c r="AG109" s="1">
        <v>280</v>
      </c>
      <c r="AH109" s="1" t="s">
        <v>50</v>
      </c>
      <c r="AK109" s="4">
        <v>32</v>
      </c>
      <c r="AL109" s="4">
        <v>57</v>
      </c>
    </row>
    <row r="110" spans="1:38" x14ac:dyDescent="0.25">
      <c r="A110" s="1" t="str">
        <f t="shared" si="6"/>
        <v>FFAR1_human_4PHU_TM7</v>
      </c>
      <c r="B110" s="45" t="s">
        <v>1368</v>
      </c>
      <c r="C110" s="45" t="s">
        <v>241</v>
      </c>
      <c r="D110" s="4" t="str">
        <f>VLOOKUP(B110,Classification!A:D,2,FALSE)</f>
        <v>A</v>
      </c>
      <c r="E110" s="4" t="str">
        <f>VLOOKUP(B110,Classification!A:D,3,FALSE)</f>
        <v>Lipid</v>
      </c>
      <c r="F110" s="4" t="str">
        <f>VLOOKUP(B110,Classification!A:D,4,FALSE)</f>
        <v>Freefattyacid</v>
      </c>
      <c r="G110" s="2">
        <v>13</v>
      </c>
      <c r="H110" s="45" t="s">
        <v>48</v>
      </c>
      <c r="I110" s="2" t="s">
        <v>1223</v>
      </c>
      <c r="J110" s="5" t="str">
        <f>VLOOKUP(B110,Seqs!A:B,2,FALSE)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10" s="4" t="str">
        <f t="shared" si="7"/>
        <v>G</v>
      </c>
      <c r="L110" s="45">
        <f>VLOOKUP(B110,'NonXtal_SegEnds_Prot#'!A:AL,33,FALSE)</f>
        <v>255</v>
      </c>
      <c r="M110" s="45">
        <f>VLOOKUP(B110,'NonXtal_SegEnds_Prot#'!A:AL,34,FALSE)</f>
        <v>273</v>
      </c>
      <c r="N110" s="45">
        <f>VLOOKUP(B110,'NonXtal_SegEnds_Prot#'!A:AL,35,FALSE)</f>
        <v>279</v>
      </c>
      <c r="O110" s="4" t="str">
        <f t="shared" si="8"/>
        <v>L</v>
      </c>
      <c r="P110" s="4" t="s">
        <v>1227</v>
      </c>
      <c r="Q110" s="47" t="str">
        <f t="shared" si="9"/>
        <v>GSWRKLGLITGAWSVVLN</v>
      </c>
      <c r="R110" s="28" t="str">
        <f t="shared" si="10"/>
        <v>P</v>
      </c>
      <c r="S110" s="20" t="str">
        <f t="shared" si="11"/>
        <v>LVTGYL</v>
      </c>
      <c r="T110" s="5" t="s">
        <v>51</v>
      </c>
      <c r="Z110" s="4"/>
      <c r="AD110" s="1" t="s">
        <v>121</v>
      </c>
      <c r="AE110" s="1">
        <v>256</v>
      </c>
      <c r="AF110" s="1">
        <v>273</v>
      </c>
      <c r="AG110" s="1">
        <v>274</v>
      </c>
      <c r="AH110" s="1" t="s">
        <v>114</v>
      </c>
      <c r="AK110" s="4">
        <v>32</v>
      </c>
      <c r="AL110" s="4">
        <v>51</v>
      </c>
    </row>
    <row r="111" spans="1:38" x14ac:dyDescent="0.25">
      <c r="A111" s="3" t="str">
        <f t="shared" si="6"/>
        <v>glr_human__wt_TM7</v>
      </c>
      <c r="B111" s="45" t="s">
        <v>206</v>
      </c>
      <c r="C111" s="45" t="s">
        <v>294</v>
      </c>
      <c r="D111" s="2" t="str">
        <f>VLOOKUP(B111,Classification!A:D,2,FALSE)</f>
        <v>B1</v>
      </c>
      <c r="E111" s="2" t="str">
        <f>VLOOKUP(B111,Classification!A:D,3,FALSE)</f>
        <v>Peptide</v>
      </c>
      <c r="F111" s="2" t="str">
        <f>VLOOKUP(B111,Classification!A:D,4,FALSE)</f>
        <v>Glucagonreceptorfamily</v>
      </c>
      <c r="G111" s="2">
        <v>13</v>
      </c>
      <c r="H111" s="45" t="s">
        <v>48</v>
      </c>
      <c r="I111" s="2" t="s">
        <v>1223</v>
      </c>
      <c r="J111" s="35" t="str">
        <f>VLOOKUP(B111,Seqs!A:B,2,FALSE)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11" s="2" t="str">
        <f t="shared" si="7"/>
        <v>Q</v>
      </c>
      <c r="L111" s="45">
        <f>VLOOKUP(B111,'NonXtal_SegEnds_Prot#'!A:AL,33,FALSE)</f>
        <v>374</v>
      </c>
      <c r="M111" s="45">
        <f>VLOOKUP(B111,'NonXtal_SegEnds_Prot#'!A:AL,34,FALSE)</f>
        <v>397</v>
      </c>
      <c r="N111" s="45">
        <f>VLOOKUP(B111,'NonXtal_SegEnds_Prot#'!A:AL,35,FALSE)</f>
        <v>403</v>
      </c>
      <c r="O111" s="2" t="str">
        <f t="shared" si="8"/>
        <v>L</v>
      </c>
      <c r="P111" s="2"/>
      <c r="Q111" s="47" t="str">
        <f t="shared" si="9"/>
        <v>QGTLRSAKLFFDLFLSSFQGLLV</v>
      </c>
      <c r="R111" s="27" t="str">
        <f t="shared" si="10"/>
        <v>A</v>
      </c>
      <c r="S111" s="19" t="str">
        <f t="shared" si="11"/>
        <v>VLYCFL</v>
      </c>
      <c r="T111" s="35" t="s">
        <v>51</v>
      </c>
      <c r="U111" s="2"/>
      <c r="V111" s="3"/>
      <c r="W111" s="3"/>
      <c r="X111" s="3"/>
      <c r="Y111" s="3"/>
      <c r="Z111" s="2"/>
      <c r="AA111" s="3"/>
      <c r="AB111" s="3"/>
      <c r="AC111" s="3"/>
      <c r="AD111" s="3" t="s">
        <v>62</v>
      </c>
      <c r="AE111" s="3">
        <v>375</v>
      </c>
      <c r="AF111" s="3">
        <v>397</v>
      </c>
      <c r="AG111" s="3">
        <v>404</v>
      </c>
      <c r="AH111" s="3" t="s">
        <v>50</v>
      </c>
      <c r="AI111" s="3"/>
      <c r="AJ111" s="3"/>
      <c r="AK111" s="2">
        <v>27</v>
      </c>
      <c r="AL111" s="2">
        <v>57</v>
      </c>
    </row>
    <row r="112" spans="1:38" x14ac:dyDescent="0.25">
      <c r="A112" s="3" t="str">
        <f t="shared" si="6"/>
        <v>glr_human_4L6R_TM7</v>
      </c>
      <c r="B112" s="45" t="s">
        <v>206</v>
      </c>
      <c r="C112" s="45" t="s">
        <v>240</v>
      </c>
      <c r="D112" s="2" t="str">
        <f>VLOOKUP(B112,Classification!A:D,2,FALSE)</f>
        <v>B1</v>
      </c>
      <c r="E112" s="2" t="str">
        <f>VLOOKUP(B112,Classification!A:D,3,FALSE)</f>
        <v>Peptide</v>
      </c>
      <c r="F112" s="2" t="str">
        <f>VLOOKUP(B112,Classification!A:D,4,FALSE)</f>
        <v>Glucagonreceptorfamily</v>
      </c>
      <c r="G112" s="2">
        <v>13</v>
      </c>
      <c r="H112" s="45" t="s">
        <v>48</v>
      </c>
      <c r="I112" s="2" t="s">
        <v>1223</v>
      </c>
      <c r="J112" s="35" t="str">
        <f>VLOOKUP(B112,Seqs!A:B,2,FALSE)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12" s="2" t="str">
        <f t="shared" si="7"/>
        <v>Q</v>
      </c>
      <c r="L112" s="45">
        <f>VLOOKUP(B112,'NonXtal_SegEnds_Prot#'!A:AL,33,FALSE)</f>
        <v>374</v>
      </c>
      <c r="M112" s="45">
        <f>VLOOKUP(B112,'NonXtal_SegEnds_Prot#'!A:AL,34,FALSE)</f>
        <v>397</v>
      </c>
      <c r="N112" s="45">
        <f>VLOOKUP(B112,'NonXtal_SegEnds_Prot#'!A:AL,35,FALSE)</f>
        <v>403</v>
      </c>
      <c r="O112" s="2" t="str">
        <f t="shared" si="8"/>
        <v>L</v>
      </c>
      <c r="P112" s="2"/>
      <c r="Q112" s="47" t="str">
        <f t="shared" si="9"/>
        <v>QGTLRSAKLFFDLFLSSFQGLLV</v>
      </c>
      <c r="R112" s="27" t="str">
        <f t="shared" si="10"/>
        <v>A</v>
      </c>
      <c r="S112" s="19" t="str">
        <f t="shared" si="11"/>
        <v>VLYCFL</v>
      </c>
      <c r="T112" s="35" t="s">
        <v>51</v>
      </c>
      <c r="U112" s="2"/>
      <c r="V112" s="3"/>
      <c r="W112" s="3"/>
      <c r="X112" s="3"/>
      <c r="Y112" s="3"/>
      <c r="Z112" s="2"/>
      <c r="AA112" s="3"/>
      <c r="AB112" s="3"/>
      <c r="AC112" s="3"/>
      <c r="AD112" s="3" t="s">
        <v>62</v>
      </c>
      <c r="AE112" s="3">
        <v>375</v>
      </c>
      <c r="AF112" s="3">
        <v>397</v>
      </c>
      <c r="AG112" s="3">
        <v>404</v>
      </c>
      <c r="AH112" s="3" t="s">
        <v>50</v>
      </c>
      <c r="AI112" s="3"/>
      <c r="AJ112" s="3"/>
      <c r="AK112" s="2">
        <v>27</v>
      </c>
      <c r="AL112" s="2">
        <v>57</v>
      </c>
    </row>
    <row r="113" spans="1:38" x14ac:dyDescent="0.25">
      <c r="A113" s="1" t="str">
        <f t="shared" si="6"/>
        <v>HRH1_human__wt_TM7</v>
      </c>
      <c r="B113" s="45" t="s">
        <v>225</v>
      </c>
      <c r="C113" s="45" t="s">
        <v>294</v>
      </c>
      <c r="D113" s="4" t="str">
        <f>VLOOKUP(B113,Classification!A:D,2,FALSE)</f>
        <v>A</v>
      </c>
      <c r="E113" s="4" t="str">
        <f>VLOOKUP(B113,Classification!A:D,3,FALSE)</f>
        <v>Aminergic</v>
      </c>
      <c r="F113" s="4" t="str">
        <f>VLOOKUP(B113,Classification!A:D,4,FALSE)</f>
        <v>Histamine</v>
      </c>
      <c r="G113" s="2">
        <v>13</v>
      </c>
      <c r="H113" s="45" t="s">
        <v>48</v>
      </c>
      <c r="I113" s="2" t="s">
        <v>1223</v>
      </c>
      <c r="J113" s="5" t="str">
        <f>VLOOKUP(B113,Seqs!A:B,2,FALSE)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13" s="4" t="str">
        <f t="shared" si="7"/>
        <v>N</v>
      </c>
      <c r="L113" s="45">
        <f>VLOOKUP(B113,'NonXtal_SegEnds_Prot#'!A:AL,33,FALSE)</f>
        <v>446</v>
      </c>
      <c r="M113" s="45">
        <f>VLOOKUP(B113,'NonXtal_SegEnds_Prot#'!A:AL,34,FALSE)</f>
        <v>465</v>
      </c>
      <c r="N113" s="45">
        <f>VLOOKUP(B113,'NonXtal_SegEnds_Prot#'!A:AL,35,FALSE)</f>
        <v>471</v>
      </c>
      <c r="O113" s="4" t="str">
        <f t="shared" si="8"/>
        <v>C</v>
      </c>
      <c r="P113" s="4"/>
      <c r="Q113" s="47" t="str">
        <f t="shared" si="9"/>
        <v>NEHLHMFTIWLGYINSTLN</v>
      </c>
      <c r="R113" s="27" t="str">
        <f t="shared" si="10"/>
        <v>P</v>
      </c>
      <c r="S113" s="19" t="str">
        <f t="shared" si="11"/>
        <v>LIYPLC</v>
      </c>
      <c r="T113" s="5" t="s">
        <v>51</v>
      </c>
      <c r="Z113" s="4"/>
      <c r="AD113" s="1" t="s">
        <v>49</v>
      </c>
      <c r="AE113" s="1">
        <v>447</v>
      </c>
      <c r="AF113" s="1">
        <v>465</v>
      </c>
      <c r="AG113" s="1">
        <v>472</v>
      </c>
      <c r="AH113" s="1" t="s">
        <v>50</v>
      </c>
      <c r="AK113" s="4">
        <v>31</v>
      </c>
      <c r="AL113" s="4">
        <v>57</v>
      </c>
    </row>
    <row r="114" spans="1:38" x14ac:dyDescent="0.25">
      <c r="A114" s="1" t="str">
        <f t="shared" si="6"/>
        <v>HRH1_human_3RZE_TM7</v>
      </c>
      <c r="B114" s="45" t="s">
        <v>225</v>
      </c>
      <c r="C114" s="45" t="s">
        <v>264</v>
      </c>
      <c r="D114" s="4" t="str">
        <f>VLOOKUP(B114,Classification!A:D,2,FALSE)</f>
        <v>A</v>
      </c>
      <c r="E114" s="4" t="str">
        <f>VLOOKUP(B114,Classification!A:D,3,FALSE)</f>
        <v>Aminergic</v>
      </c>
      <c r="F114" s="4" t="str">
        <f>VLOOKUP(B114,Classification!A:D,4,FALSE)</f>
        <v>Histamine</v>
      </c>
      <c r="G114" s="2">
        <v>13</v>
      </c>
      <c r="H114" s="45" t="s">
        <v>48</v>
      </c>
      <c r="I114" s="2" t="s">
        <v>1223</v>
      </c>
      <c r="J114" s="5" t="str">
        <f>VLOOKUP(B114,Seqs!A:B,2,FALSE)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14" s="4" t="str">
        <f t="shared" si="7"/>
        <v>N</v>
      </c>
      <c r="L114" s="45">
        <f>VLOOKUP(B114,'NonXtal_SegEnds_Prot#'!A:AL,33,FALSE)</f>
        <v>446</v>
      </c>
      <c r="M114" s="45">
        <f>VLOOKUP(B114,'NonXtal_SegEnds_Prot#'!A:AL,34,FALSE)</f>
        <v>465</v>
      </c>
      <c r="N114" s="45">
        <f>VLOOKUP(B114,'NonXtal_SegEnds_Prot#'!A:AL,35,FALSE)</f>
        <v>471</v>
      </c>
      <c r="O114" s="4" t="str">
        <f t="shared" si="8"/>
        <v>C</v>
      </c>
      <c r="P114" s="4"/>
      <c r="Q114" s="47" t="str">
        <f t="shared" si="9"/>
        <v>NEHLHMFTIWLGYINSTLN</v>
      </c>
      <c r="R114" s="27" t="str">
        <f t="shared" si="10"/>
        <v>P</v>
      </c>
      <c r="S114" s="19" t="str">
        <f t="shared" si="11"/>
        <v>LIYPLC</v>
      </c>
      <c r="T114" s="5" t="s">
        <v>51</v>
      </c>
      <c r="Z114" s="4"/>
      <c r="AD114" s="1" t="s">
        <v>49</v>
      </c>
      <c r="AE114" s="1">
        <v>447</v>
      </c>
      <c r="AF114" s="1">
        <v>465</v>
      </c>
      <c r="AG114" s="1">
        <v>472</v>
      </c>
      <c r="AH114" s="1" t="s">
        <v>50</v>
      </c>
      <c r="AK114" s="4">
        <v>31</v>
      </c>
      <c r="AL114" s="4">
        <v>57</v>
      </c>
    </row>
    <row r="115" spans="1:38" x14ac:dyDescent="0.25">
      <c r="A115" s="1" t="str">
        <f t="shared" si="6"/>
        <v>LPAR1_human__wt_TM7</v>
      </c>
      <c r="B115" s="45" t="s">
        <v>214</v>
      </c>
      <c r="C115" s="45" t="s">
        <v>294</v>
      </c>
      <c r="D115" s="4" t="str">
        <f>VLOOKUP(B115,Classification!A:D,2,FALSE)</f>
        <v>A</v>
      </c>
      <c r="E115" s="4" t="str">
        <f>VLOOKUP(B115,Classification!A:D,3,FALSE)</f>
        <v>Lipid</v>
      </c>
      <c r="F115" s="4" t="str">
        <f>VLOOKUP(B115,Classification!A:D,4,FALSE)</f>
        <v>Lysophospholipid(LPA)</v>
      </c>
      <c r="G115" s="2">
        <v>13</v>
      </c>
      <c r="H115" s="45" t="s">
        <v>48</v>
      </c>
      <c r="I115" s="2" t="s">
        <v>1223</v>
      </c>
      <c r="J115" s="5" t="str">
        <f>VLOOKUP(B115,Seqs!A:B,2,FALSE)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15" s="4" t="str">
        <f t="shared" si="7"/>
        <v>D</v>
      </c>
      <c r="L115" s="45">
        <f>VLOOKUP(B115,'NonXtal_SegEnds_Prot#'!A:AL,33,FALSE)</f>
        <v>288</v>
      </c>
      <c r="M115" s="45">
        <f>VLOOKUP(B115,'NonXtal_SegEnds_Prot#'!A:AL,34,FALSE)</f>
        <v>308</v>
      </c>
      <c r="N115" s="45">
        <f>VLOOKUP(B115,'NonXtal_SegEnds_Prot#'!A:AL,35,FALSE)</f>
        <v>314</v>
      </c>
      <c r="O115" s="4" t="str">
        <f t="shared" si="8"/>
        <v>R</v>
      </c>
      <c r="P115" s="4"/>
      <c r="Q115" s="47" t="str">
        <f t="shared" si="9"/>
        <v>DVLAYEKFFLLLAEFNSAMN</v>
      </c>
      <c r="R115" s="27" t="str">
        <f t="shared" si="10"/>
        <v>P</v>
      </c>
      <c r="S115" s="19" t="str">
        <f t="shared" si="11"/>
        <v>IIYSYR</v>
      </c>
      <c r="T115" s="5" t="s">
        <v>51</v>
      </c>
      <c r="Z115" s="4"/>
      <c r="AD115" s="1" t="s">
        <v>130</v>
      </c>
      <c r="AE115" s="1">
        <v>293</v>
      </c>
      <c r="AF115" s="1">
        <v>308</v>
      </c>
      <c r="AG115" s="1">
        <v>315</v>
      </c>
      <c r="AH115" s="1" t="s">
        <v>50</v>
      </c>
      <c r="AK115" s="4">
        <v>34</v>
      </c>
      <c r="AL115" s="4">
        <v>57</v>
      </c>
    </row>
    <row r="116" spans="1:38" x14ac:dyDescent="0.25">
      <c r="A116" s="1" t="str">
        <f t="shared" si="6"/>
        <v>LPAR1_human_4Z35_TM7</v>
      </c>
      <c r="B116" s="45" t="s">
        <v>214</v>
      </c>
      <c r="C116" s="45" t="s">
        <v>281</v>
      </c>
      <c r="D116" s="4" t="str">
        <f>VLOOKUP(B116,Classification!A:D,2,FALSE)</f>
        <v>A</v>
      </c>
      <c r="E116" s="4" t="str">
        <f>VLOOKUP(B116,Classification!A:D,3,FALSE)</f>
        <v>Lipid</v>
      </c>
      <c r="F116" s="4" t="str">
        <f>VLOOKUP(B116,Classification!A:D,4,FALSE)</f>
        <v>Lysophospholipid(LPA)</v>
      </c>
      <c r="G116" s="2">
        <v>13</v>
      </c>
      <c r="H116" s="45" t="s">
        <v>48</v>
      </c>
      <c r="I116" s="2" t="s">
        <v>1223</v>
      </c>
      <c r="J116" s="5" t="str">
        <f>VLOOKUP(B116,Seqs!A:B,2,FALSE)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16" s="4" t="str">
        <f t="shared" si="7"/>
        <v>D</v>
      </c>
      <c r="L116" s="45">
        <f>VLOOKUP(B116,'NonXtal_SegEnds_Prot#'!A:AL,33,FALSE)</f>
        <v>288</v>
      </c>
      <c r="M116" s="45">
        <f>VLOOKUP(B116,'NonXtal_SegEnds_Prot#'!A:AL,34,FALSE)</f>
        <v>308</v>
      </c>
      <c r="N116" s="45">
        <f>VLOOKUP(B116,'NonXtal_SegEnds_Prot#'!A:AL,35,FALSE)</f>
        <v>314</v>
      </c>
      <c r="O116" s="4" t="str">
        <f t="shared" si="8"/>
        <v>R</v>
      </c>
      <c r="P116" s="4"/>
      <c r="Q116" s="47" t="str">
        <f t="shared" si="9"/>
        <v>DVLAYEKFFLLLAEFNSAMN</v>
      </c>
      <c r="R116" s="27" t="str">
        <f t="shared" si="10"/>
        <v>P</v>
      </c>
      <c r="S116" s="19" t="str">
        <f t="shared" si="11"/>
        <v>IIYSYR</v>
      </c>
      <c r="T116" s="5" t="s">
        <v>51</v>
      </c>
      <c r="Z116" s="4"/>
      <c r="AD116" s="1" t="s">
        <v>130</v>
      </c>
      <c r="AE116" s="1">
        <v>293</v>
      </c>
      <c r="AF116" s="1">
        <v>308</v>
      </c>
      <c r="AG116" s="1">
        <v>315</v>
      </c>
      <c r="AH116" s="1" t="s">
        <v>50</v>
      </c>
      <c r="AK116" s="4">
        <v>34</v>
      </c>
      <c r="AL116" s="4">
        <v>57</v>
      </c>
    </row>
    <row r="117" spans="1:38" x14ac:dyDescent="0.25">
      <c r="A117" s="1" t="str">
        <f t="shared" si="6"/>
        <v>NTR1_rat__wt_TM7</v>
      </c>
      <c r="B117" s="45" t="s">
        <v>234</v>
      </c>
      <c r="C117" s="45" t="s">
        <v>294</v>
      </c>
      <c r="D117" s="4" t="str">
        <f>VLOOKUP(B117,Classification!A:D,2,FALSE)</f>
        <v>A</v>
      </c>
      <c r="E117" s="4" t="str">
        <f>VLOOKUP(B117,Classification!A:D,3,FALSE)</f>
        <v>Peptide</v>
      </c>
      <c r="F117" s="4" t="str">
        <f>VLOOKUP(B117,Classification!A:D,4,FALSE)</f>
        <v>Neurotensin</v>
      </c>
      <c r="G117" s="2">
        <v>13</v>
      </c>
      <c r="H117" s="45" t="s">
        <v>48</v>
      </c>
      <c r="I117" s="2" t="s">
        <v>1223</v>
      </c>
      <c r="J117" s="5" t="str">
        <f>VLOOKUP(B117,Seqs!A:B,2,FALSE)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17" s="4" t="str">
        <f t="shared" si="7"/>
        <v>T</v>
      </c>
      <c r="L117" s="45">
        <f>VLOOKUP(B117,'NonXtal_SegEnds_Prot#'!A:AL,33,FALSE)</f>
        <v>340</v>
      </c>
      <c r="M117" s="45">
        <f>VLOOKUP(B117,'NonXtal_SegEnds_Prot#'!A:AL,34,FALSE)</f>
        <v>366</v>
      </c>
      <c r="N117" s="45">
        <f>VLOOKUP(B117,'NonXtal_SegEnds_Prot#'!A:AL,35,FALSE)</f>
        <v>372</v>
      </c>
      <c r="O117" s="4" t="str">
        <f t="shared" si="8"/>
        <v>V</v>
      </c>
      <c r="P117" s="4"/>
      <c r="Q117" s="47" t="str">
        <f t="shared" si="9"/>
        <v>TTFLFDFYHYFYMLTNALFYVSSAIN</v>
      </c>
      <c r="R117" s="27" t="str">
        <f t="shared" si="10"/>
        <v>P</v>
      </c>
      <c r="S117" s="19" t="str">
        <f t="shared" si="11"/>
        <v>ILYNLV</v>
      </c>
      <c r="T117" s="8" t="s">
        <v>51</v>
      </c>
      <c r="Z117" s="4" t="s">
        <v>78</v>
      </c>
      <c r="AD117" s="1" t="s">
        <v>104</v>
      </c>
      <c r="AE117" s="1">
        <v>340</v>
      </c>
      <c r="AF117" s="1">
        <v>366</v>
      </c>
      <c r="AG117" s="1">
        <v>373</v>
      </c>
      <c r="AH117" s="1" t="s">
        <v>50</v>
      </c>
      <c r="AK117" s="4">
        <v>24</v>
      </c>
      <c r="AL117" s="4">
        <v>57</v>
      </c>
    </row>
    <row r="118" spans="1:38" x14ac:dyDescent="0.25">
      <c r="A118" s="1" t="str">
        <f t="shared" si="6"/>
        <v>NTR1_rat_4BOU_TM7</v>
      </c>
      <c r="B118" s="45" t="s">
        <v>234</v>
      </c>
      <c r="C118" s="45" t="s">
        <v>239</v>
      </c>
      <c r="D118" s="4" t="str">
        <f>VLOOKUP(B118,Classification!A:D,2,FALSE)</f>
        <v>A</v>
      </c>
      <c r="E118" s="4" t="str">
        <f>VLOOKUP(B118,Classification!A:D,3,FALSE)</f>
        <v>Peptide</v>
      </c>
      <c r="F118" s="4" t="str">
        <f>VLOOKUP(B118,Classification!A:D,4,FALSE)</f>
        <v>Neurotensin</v>
      </c>
      <c r="G118" s="2">
        <v>13</v>
      </c>
      <c r="H118" s="45" t="s">
        <v>48</v>
      </c>
      <c r="I118" s="2" t="s">
        <v>1223</v>
      </c>
      <c r="J118" s="5" t="str">
        <f>VLOOKUP(B118,Seqs!A:B,2,FALSE)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18" s="4" t="str">
        <f t="shared" si="7"/>
        <v>T</v>
      </c>
      <c r="L118" s="45">
        <f>VLOOKUP(B118,'NonXtal_SegEnds_Prot#'!A:AL,33,FALSE)</f>
        <v>340</v>
      </c>
      <c r="M118" s="45">
        <f>VLOOKUP(B118,'NonXtal_SegEnds_Prot#'!A:AL,34,FALSE)</f>
        <v>366</v>
      </c>
      <c r="N118" s="45">
        <f>VLOOKUP(B118,'NonXtal_SegEnds_Prot#'!A:AL,35,FALSE)</f>
        <v>372</v>
      </c>
      <c r="O118" s="4" t="str">
        <f t="shared" si="8"/>
        <v>V</v>
      </c>
      <c r="P118" s="4"/>
      <c r="Q118" s="47" t="str">
        <f t="shared" si="9"/>
        <v>TTFLFDFYHYFYMLTNALFYVSSAIN</v>
      </c>
      <c r="R118" s="27" t="str">
        <f t="shared" si="10"/>
        <v>P</v>
      </c>
      <c r="S118" s="19" t="str">
        <f t="shared" si="11"/>
        <v>ILYNLV</v>
      </c>
      <c r="T118" s="8" t="s">
        <v>51</v>
      </c>
      <c r="Z118" s="4" t="s">
        <v>78</v>
      </c>
      <c r="AD118" s="1" t="s">
        <v>104</v>
      </c>
      <c r="AE118" s="1">
        <v>340</v>
      </c>
      <c r="AF118" s="1">
        <v>366</v>
      </c>
      <c r="AG118" s="1">
        <v>373</v>
      </c>
      <c r="AH118" s="1" t="s">
        <v>50</v>
      </c>
      <c r="AK118" s="4">
        <v>24</v>
      </c>
      <c r="AL118" s="4">
        <v>57</v>
      </c>
    </row>
    <row r="119" spans="1:38" x14ac:dyDescent="0.25">
      <c r="A119" s="1" t="str">
        <f t="shared" si="6"/>
        <v>NTR1_rat_4GRV_TM7</v>
      </c>
      <c r="B119" s="45" t="s">
        <v>234</v>
      </c>
      <c r="C119" s="45" t="s">
        <v>238</v>
      </c>
      <c r="D119" s="4" t="str">
        <f>VLOOKUP(B119,Classification!A:D,2,FALSE)</f>
        <v>A</v>
      </c>
      <c r="E119" s="4" t="str">
        <f>VLOOKUP(B119,Classification!A:D,3,FALSE)</f>
        <v>Peptide</v>
      </c>
      <c r="F119" s="4" t="str">
        <f>VLOOKUP(B119,Classification!A:D,4,FALSE)</f>
        <v>Neurotensin</v>
      </c>
      <c r="G119" s="2">
        <v>13</v>
      </c>
      <c r="H119" s="45" t="s">
        <v>48</v>
      </c>
      <c r="I119" s="2" t="s">
        <v>1223</v>
      </c>
      <c r="J119" s="5" t="str">
        <f>VLOOKUP(B119,Seqs!A:B,2,FALSE)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19" s="4" t="str">
        <f t="shared" si="7"/>
        <v>T</v>
      </c>
      <c r="L119" s="45">
        <f>VLOOKUP(B119,'NonXtal_SegEnds_Prot#'!A:AL,33,FALSE)</f>
        <v>340</v>
      </c>
      <c r="M119" s="45">
        <f>VLOOKUP(B119,'NonXtal_SegEnds_Prot#'!A:AL,34,FALSE)</f>
        <v>366</v>
      </c>
      <c r="N119" s="45">
        <f>VLOOKUP(B119,'NonXtal_SegEnds_Prot#'!A:AL,35,FALSE)</f>
        <v>372</v>
      </c>
      <c r="O119" s="4" t="str">
        <f t="shared" si="8"/>
        <v>V</v>
      </c>
      <c r="P119" s="4"/>
      <c r="Q119" s="47" t="str">
        <f t="shared" si="9"/>
        <v>TTFLFDFYHYFYMLTNALFYVSSAIN</v>
      </c>
      <c r="R119" s="27" t="str">
        <f t="shared" si="10"/>
        <v>P</v>
      </c>
      <c r="S119" s="19" t="str">
        <f t="shared" si="11"/>
        <v>ILYNLV</v>
      </c>
      <c r="T119" s="8" t="s">
        <v>51</v>
      </c>
      <c r="Z119" s="4"/>
      <c r="AD119" s="1" t="s">
        <v>104</v>
      </c>
      <c r="AE119" s="1">
        <v>340</v>
      </c>
      <c r="AF119" s="1">
        <v>366</v>
      </c>
      <c r="AG119" s="1">
        <v>373</v>
      </c>
      <c r="AH119" s="1" t="s">
        <v>50</v>
      </c>
      <c r="AK119" s="4">
        <v>24</v>
      </c>
      <c r="AL119" s="4">
        <v>57</v>
      </c>
    </row>
    <row r="120" spans="1:38" x14ac:dyDescent="0.25">
      <c r="A120" s="1" t="str">
        <f t="shared" si="6"/>
        <v>OPRD_human__wt_TM7</v>
      </c>
      <c r="B120" s="45" t="s">
        <v>226</v>
      </c>
      <c r="C120" s="45" t="s">
        <v>294</v>
      </c>
      <c r="D120" s="4" t="str">
        <f>VLOOKUP(B120,Classification!A:D,2,FALSE)</f>
        <v>A</v>
      </c>
      <c r="E120" s="4" t="str">
        <f>VLOOKUP(B120,Classification!A:D,3,FALSE)</f>
        <v>Peptide</v>
      </c>
      <c r="F120" s="4" t="str">
        <f>VLOOKUP(B120,Classification!A:D,4,FALSE)</f>
        <v>Opioid</v>
      </c>
      <c r="G120" s="2">
        <v>13</v>
      </c>
      <c r="H120" s="45" t="s">
        <v>48</v>
      </c>
      <c r="I120" s="2" t="s">
        <v>1223</v>
      </c>
      <c r="J120" s="5" t="str">
        <f>VLOOKUP(B120,Seqs!A:B,2,FALSE)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20" s="4" t="str">
        <f t="shared" si="7"/>
        <v>D</v>
      </c>
      <c r="L120" s="45">
        <f>VLOOKUP(B120,'NonXtal_SegEnds_Prot#'!A:AL,33,FALSE)</f>
        <v>293</v>
      </c>
      <c r="M120" s="45">
        <f>VLOOKUP(B120,'NonXtal_SegEnds_Prot#'!A:AL,34,FALSE)</f>
        <v>315</v>
      </c>
      <c r="N120" s="45">
        <f>VLOOKUP(B120,'NonXtal_SegEnds_Prot#'!A:AL,35,FALSE)</f>
        <v>321</v>
      </c>
      <c r="O120" s="4" t="str">
        <f t="shared" si="8"/>
        <v>L</v>
      </c>
      <c r="P120" s="4"/>
      <c r="Q120" s="47" t="str">
        <f t="shared" si="9"/>
        <v>DPLVVAALHLCIALGYANSSLN</v>
      </c>
      <c r="R120" s="27" t="str">
        <f t="shared" si="10"/>
        <v>P</v>
      </c>
      <c r="S120" s="19" t="str">
        <f t="shared" si="11"/>
        <v>VLYAFL</v>
      </c>
      <c r="T120" s="5" t="s">
        <v>51</v>
      </c>
      <c r="Z120" s="4"/>
      <c r="AD120" s="1" t="s">
        <v>139</v>
      </c>
      <c r="AE120" s="1">
        <v>294</v>
      </c>
      <c r="AF120" s="1">
        <v>315</v>
      </c>
      <c r="AG120" s="1">
        <v>322</v>
      </c>
      <c r="AH120" s="1" t="s">
        <v>50</v>
      </c>
      <c r="AK120" s="4">
        <v>28</v>
      </c>
      <c r="AL120" s="4">
        <v>57</v>
      </c>
    </row>
    <row r="121" spans="1:38" x14ac:dyDescent="0.25">
      <c r="A121" s="1" t="str">
        <f t="shared" si="6"/>
        <v>OPRD_human_4N6H_TM7</v>
      </c>
      <c r="B121" s="45" t="s">
        <v>226</v>
      </c>
      <c r="C121" s="45" t="s">
        <v>279</v>
      </c>
      <c r="D121" s="4" t="str">
        <f>VLOOKUP(B121,Classification!A:D,2,FALSE)</f>
        <v>A</v>
      </c>
      <c r="E121" s="4" t="str">
        <f>VLOOKUP(B121,Classification!A:D,3,FALSE)</f>
        <v>Peptide</v>
      </c>
      <c r="F121" s="4" t="str">
        <f>VLOOKUP(B121,Classification!A:D,4,FALSE)</f>
        <v>Opioid</v>
      </c>
      <c r="G121" s="2">
        <v>13</v>
      </c>
      <c r="H121" s="45" t="s">
        <v>48</v>
      </c>
      <c r="I121" s="2" t="s">
        <v>1223</v>
      </c>
      <c r="J121" s="5" t="str">
        <f>VLOOKUP(B121,Seqs!A:B,2,FALSE)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21" s="4" t="str">
        <f t="shared" si="7"/>
        <v>D</v>
      </c>
      <c r="L121" s="45">
        <f>VLOOKUP(B121,'NonXtal_SegEnds_Prot#'!A:AL,33,FALSE)</f>
        <v>293</v>
      </c>
      <c r="M121" s="45">
        <f>VLOOKUP(B121,'NonXtal_SegEnds_Prot#'!A:AL,34,FALSE)</f>
        <v>315</v>
      </c>
      <c r="N121" s="45">
        <f>VLOOKUP(B121,'NonXtal_SegEnds_Prot#'!A:AL,35,FALSE)</f>
        <v>321</v>
      </c>
      <c r="O121" s="4" t="str">
        <f t="shared" si="8"/>
        <v>L</v>
      </c>
      <c r="P121" s="4"/>
      <c r="Q121" s="47" t="str">
        <f t="shared" si="9"/>
        <v>DPLVVAALHLCIALGYANSSLN</v>
      </c>
      <c r="R121" s="27" t="str">
        <f t="shared" si="10"/>
        <v>P</v>
      </c>
      <c r="S121" s="19" t="str">
        <f t="shared" si="11"/>
        <v>VLYAFL</v>
      </c>
      <c r="T121" s="5" t="s">
        <v>51</v>
      </c>
      <c r="Z121" s="4"/>
      <c r="AD121" s="1" t="s">
        <v>139</v>
      </c>
      <c r="AE121" s="1">
        <v>294</v>
      </c>
      <c r="AF121" s="1">
        <v>315</v>
      </c>
      <c r="AG121" s="1">
        <v>322</v>
      </c>
      <c r="AH121" s="1" t="s">
        <v>50</v>
      </c>
      <c r="AK121" s="4">
        <v>28</v>
      </c>
      <c r="AL121" s="4">
        <v>57</v>
      </c>
    </row>
    <row r="122" spans="1:38" x14ac:dyDescent="0.25">
      <c r="A122" s="1" t="str">
        <f t="shared" si="6"/>
        <v>OPRD_mouse_4EJ4_TM7</v>
      </c>
      <c r="B122" s="45" t="s">
        <v>233</v>
      </c>
      <c r="C122" s="45" t="s">
        <v>255</v>
      </c>
      <c r="D122" s="4" t="str">
        <f>VLOOKUP(B122,Classification!A:D,2,FALSE)</f>
        <v>A</v>
      </c>
      <c r="E122" s="4" t="str">
        <f>VLOOKUP(B122,Classification!A:D,3,FALSE)</f>
        <v>Peptide</v>
      </c>
      <c r="F122" s="4" t="str">
        <f>VLOOKUP(B122,Classification!A:D,4,FALSE)</f>
        <v>Opioid</v>
      </c>
      <c r="G122" s="2">
        <v>13</v>
      </c>
      <c r="H122" s="45" t="s">
        <v>48</v>
      </c>
      <c r="I122" s="2" t="s">
        <v>1223</v>
      </c>
      <c r="J122" s="5" t="str">
        <f>VLOOKUP(B122,Seqs!A:B,2,FALSE)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122" s="4" t="str">
        <f t="shared" si="7"/>
        <v>D</v>
      </c>
      <c r="L122" s="45">
        <f>VLOOKUP(B122,'NonXtal_SegEnds_Prot#'!A:AL,33,FALSE)</f>
        <v>293</v>
      </c>
      <c r="M122" s="45">
        <f>VLOOKUP(B122,'NonXtal_SegEnds_Prot#'!A:AL,34,FALSE)</f>
        <v>315</v>
      </c>
      <c r="N122" s="45">
        <f>VLOOKUP(B122,'NonXtal_SegEnds_Prot#'!A:AL,35,FALSE)</f>
        <v>321</v>
      </c>
      <c r="O122" s="4" t="str">
        <f t="shared" si="8"/>
        <v>L</v>
      </c>
      <c r="P122" s="4"/>
      <c r="Q122" s="47" t="str">
        <f t="shared" si="9"/>
        <v>DPLVVAALHLCIALGYANSSLN</v>
      </c>
      <c r="R122" s="27" t="str">
        <f t="shared" si="10"/>
        <v>P</v>
      </c>
      <c r="S122" s="19" t="str">
        <f t="shared" si="11"/>
        <v>VLYAFL</v>
      </c>
      <c r="T122" s="5" t="s">
        <v>51</v>
      </c>
      <c r="Z122" s="4"/>
      <c r="AD122" s="1" t="s">
        <v>139</v>
      </c>
      <c r="AE122" s="1">
        <v>294</v>
      </c>
      <c r="AF122" s="1">
        <v>315</v>
      </c>
      <c r="AG122" s="1">
        <v>322</v>
      </c>
      <c r="AH122" s="1" t="s">
        <v>50</v>
      </c>
      <c r="AK122" s="4">
        <v>28</v>
      </c>
      <c r="AL122" s="4">
        <v>57</v>
      </c>
    </row>
    <row r="123" spans="1:38" x14ac:dyDescent="0.25">
      <c r="A123" s="1" t="str">
        <f t="shared" si="6"/>
        <v>OPRK_human__wt_TM7</v>
      </c>
      <c r="B123" s="45" t="s">
        <v>227</v>
      </c>
      <c r="C123" s="45" t="s">
        <v>294</v>
      </c>
      <c r="D123" s="4" t="str">
        <f>VLOOKUP(B123,Classification!A:D,2,FALSE)</f>
        <v>A</v>
      </c>
      <c r="E123" s="4" t="str">
        <f>VLOOKUP(B123,Classification!A:D,3,FALSE)</f>
        <v>Peptide</v>
      </c>
      <c r="F123" s="4" t="str">
        <f>VLOOKUP(B123,Classification!A:D,4,FALSE)</f>
        <v>Opioid</v>
      </c>
      <c r="G123" s="2">
        <v>13</v>
      </c>
      <c r="H123" s="45" t="s">
        <v>48</v>
      </c>
      <c r="I123" s="2" t="s">
        <v>1223</v>
      </c>
      <c r="J123" s="5" t="str">
        <f>VLOOKUP(B123,Seqs!A:B,2,FALSE)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23" s="4" t="str">
        <f t="shared" si="7"/>
        <v>S</v>
      </c>
      <c r="L123" s="45">
        <f>VLOOKUP(B123,'NonXtal_SegEnds_Prot#'!A:AL,33,FALSE)</f>
        <v>305</v>
      </c>
      <c r="M123" s="45">
        <f>VLOOKUP(B123,'NonXtal_SegEnds_Prot#'!A:AL,34,FALSE)</f>
        <v>327</v>
      </c>
      <c r="N123" s="45">
        <f>VLOOKUP(B123,'NonXtal_SegEnds_Prot#'!A:AL,35,FALSE)</f>
        <v>333</v>
      </c>
      <c r="O123" s="4" t="str">
        <f t="shared" si="8"/>
        <v>L</v>
      </c>
      <c r="P123" s="4"/>
      <c r="Q123" s="47" t="str">
        <f t="shared" si="9"/>
        <v>STAALSSYYFCIALGYTNSSLN</v>
      </c>
      <c r="R123" s="27" t="str">
        <f t="shared" si="10"/>
        <v>P</v>
      </c>
      <c r="S123" s="19" t="str">
        <f t="shared" si="11"/>
        <v>ILYAFL</v>
      </c>
      <c r="T123" s="5" t="s">
        <v>51</v>
      </c>
      <c r="Z123" s="4"/>
      <c r="AD123" s="1" t="s">
        <v>49</v>
      </c>
      <c r="AE123" s="1">
        <v>309</v>
      </c>
      <c r="AF123" s="1">
        <v>327</v>
      </c>
      <c r="AG123" s="1">
        <v>334</v>
      </c>
      <c r="AH123" s="1" t="s">
        <v>50</v>
      </c>
      <c r="AK123" s="4">
        <v>31</v>
      </c>
      <c r="AL123" s="4">
        <v>57</v>
      </c>
    </row>
    <row r="124" spans="1:38" x14ac:dyDescent="0.25">
      <c r="A124" s="1" t="str">
        <f t="shared" si="6"/>
        <v>OPRK_human_4DJH_TM7</v>
      </c>
      <c r="B124" s="45" t="s">
        <v>227</v>
      </c>
      <c r="C124" s="45" t="s">
        <v>280</v>
      </c>
      <c r="D124" s="4" t="str">
        <f>VLOOKUP(B124,Classification!A:D,2,FALSE)</f>
        <v>A</v>
      </c>
      <c r="E124" s="4" t="str">
        <f>VLOOKUP(B124,Classification!A:D,3,FALSE)</f>
        <v>Peptide</v>
      </c>
      <c r="F124" s="4" t="str">
        <f>VLOOKUP(B124,Classification!A:D,4,FALSE)</f>
        <v>Opioid</v>
      </c>
      <c r="G124" s="2">
        <v>13</v>
      </c>
      <c r="H124" s="45" t="s">
        <v>48</v>
      </c>
      <c r="I124" s="2" t="s">
        <v>1223</v>
      </c>
      <c r="J124" s="5" t="str">
        <f>VLOOKUP(B124,Seqs!A:B,2,FALSE)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24" s="4" t="str">
        <f t="shared" si="7"/>
        <v>S</v>
      </c>
      <c r="L124" s="45">
        <f>VLOOKUP(B124,'NonXtal_SegEnds_Prot#'!A:AL,33,FALSE)</f>
        <v>305</v>
      </c>
      <c r="M124" s="45">
        <f>VLOOKUP(B124,'NonXtal_SegEnds_Prot#'!A:AL,34,FALSE)</f>
        <v>327</v>
      </c>
      <c r="N124" s="45">
        <f>VLOOKUP(B124,'NonXtal_SegEnds_Prot#'!A:AL,35,FALSE)</f>
        <v>333</v>
      </c>
      <c r="O124" s="4" t="str">
        <f t="shared" si="8"/>
        <v>L</v>
      </c>
      <c r="P124" s="4"/>
      <c r="Q124" s="47" t="str">
        <f t="shared" si="9"/>
        <v>STAALSSYYFCIALGYTNSSLN</v>
      </c>
      <c r="R124" s="27" t="str">
        <f t="shared" si="10"/>
        <v>P</v>
      </c>
      <c r="S124" s="19" t="str">
        <f t="shared" si="11"/>
        <v>ILYAFL</v>
      </c>
      <c r="T124" s="5" t="s">
        <v>51</v>
      </c>
      <c r="Z124" s="4"/>
      <c r="AD124" s="1" t="s">
        <v>49</v>
      </c>
      <c r="AE124" s="1">
        <v>309</v>
      </c>
      <c r="AF124" s="1">
        <v>327</v>
      </c>
      <c r="AG124" s="1">
        <v>334</v>
      </c>
      <c r="AH124" s="1" t="s">
        <v>50</v>
      </c>
      <c r="AK124" s="4">
        <v>31</v>
      </c>
      <c r="AL124" s="4">
        <v>57</v>
      </c>
    </row>
    <row r="125" spans="1:38" x14ac:dyDescent="0.25">
      <c r="A125" s="1" t="str">
        <f t="shared" si="6"/>
        <v>OPRM_mouse__wt_TM7</v>
      </c>
      <c r="B125" s="45" t="s">
        <v>232</v>
      </c>
      <c r="C125" s="45" t="s">
        <v>294</v>
      </c>
      <c r="D125" s="4" t="str">
        <f>VLOOKUP(B125,Classification!A:D,2,FALSE)</f>
        <v>A</v>
      </c>
      <c r="E125" s="4" t="str">
        <f>VLOOKUP(B125,Classification!A:D,3,FALSE)</f>
        <v>Peptide</v>
      </c>
      <c r="F125" s="4" t="str">
        <f>VLOOKUP(B125,Classification!A:D,4,FALSE)</f>
        <v>Opioid</v>
      </c>
      <c r="G125" s="2">
        <v>13</v>
      </c>
      <c r="H125" s="45" t="s">
        <v>48</v>
      </c>
      <c r="I125" s="2" t="s">
        <v>1223</v>
      </c>
      <c r="J125" s="5" t="str">
        <f>VLOOKUP(B125,Seqs!A:B,2,FALSE)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25" s="4" t="str">
        <f t="shared" si="7"/>
        <v>T</v>
      </c>
      <c r="L125" s="45">
        <f>VLOOKUP(B125,'NonXtal_SegEnds_Prot#'!A:AL,33,FALSE)</f>
        <v>311</v>
      </c>
      <c r="M125" s="45">
        <f>VLOOKUP(B125,'NonXtal_SegEnds_Prot#'!A:AL,34,FALSE)</f>
        <v>333</v>
      </c>
      <c r="N125" s="45">
        <f>VLOOKUP(B125,'NonXtal_SegEnds_Prot#'!A:AL,35,FALSE)</f>
        <v>339</v>
      </c>
      <c r="O125" s="4" t="str">
        <f t="shared" si="8"/>
        <v>L</v>
      </c>
      <c r="P125" s="4"/>
      <c r="Q125" s="47" t="str">
        <f t="shared" si="9"/>
        <v>TTFQTVSWHFCIALGYTNSCLN</v>
      </c>
      <c r="R125" s="27" t="str">
        <f t="shared" si="10"/>
        <v>P</v>
      </c>
      <c r="S125" s="19" t="str">
        <f t="shared" si="11"/>
        <v>VLYAFL</v>
      </c>
      <c r="T125" s="5" t="s">
        <v>51</v>
      </c>
      <c r="Z125" s="4" t="s">
        <v>64</v>
      </c>
      <c r="AD125" s="1" t="s">
        <v>139</v>
      </c>
      <c r="AE125" s="1">
        <v>312</v>
      </c>
      <c r="AF125" s="1">
        <v>333</v>
      </c>
      <c r="AG125" s="1">
        <v>340</v>
      </c>
      <c r="AH125" s="1" t="s">
        <v>50</v>
      </c>
      <c r="AK125" s="4">
        <v>28</v>
      </c>
      <c r="AL125" s="4">
        <v>57</v>
      </c>
    </row>
    <row r="126" spans="1:38" x14ac:dyDescent="0.25">
      <c r="A126" s="1" t="str">
        <f t="shared" si="6"/>
        <v>OPRM_mouse_4DKL_TM7</v>
      </c>
      <c r="B126" s="45" t="s">
        <v>232</v>
      </c>
      <c r="C126" s="45" t="s">
        <v>256</v>
      </c>
      <c r="D126" s="4" t="str">
        <f>VLOOKUP(B126,Classification!A:D,2,FALSE)</f>
        <v>A</v>
      </c>
      <c r="E126" s="4" t="str">
        <f>VLOOKUP(B126,Classification!A:D,3,FALSE)</f>
        <v>Peptide</v>
      </c>
      <c r="F126" s="4" t="str">
        <f>VLOOKUP(B126,Classification!A:D,4,FALSE)</f>
        <v>Opioid</v>
      </c>
      <c r="G126" s="2">
        <v>13</v>
      </c>
      <c r="H126" s="45" t="s">
        <v>48</v>
      </c>
      <c r="I126" s="2" t="s">
        <v>1223</v>
      </c>
      <c r="J126" s="5" t="str">
        <f>VLOOKUP(B126,Seqs!A:B,2,FALSE)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26" s="4" t="str">
        <f t="shared" si="7"/>
        <v>T</v>
      </c>
      <c r="L126" s="45">
        <f>VLOOKUP(B126,'NonXtal_SegEnds_Prot#'!A:AL,33,FALSE)</f>
        <v>311</v>
      </c>
      <c r="M126" s="45">
        <f>VLOOKUP(B126,'NonXtal_SegEnds_Prot#'!A:AL,34,FALSE)</f>
        <v>333</v>
      </c>
      <c r="N126" s="45">
        <f>VLOOKUP(B126,'NonXtal_SegEnds_Prot#'!A:AL,35,FALSE)</f>
        <v>339</v>
      </c>
      <c r="O126" s="4" t="str">
        <f t="shared" si="8"/>
        <v>L</v>
      </c>
      <c r="P126" s="4"/>
      <c r="Q126" s="47" t="str">
        <f t="shared" si="9"/>
        <v>TTFQTVSWHFCIALGYTNSCLN</v>
      </c>
      <c r="R126" s="27" t="str">
        <f t="shared" si="10"/>
        <v>P</v>
      </c>
      <c r="S126" s="19" t="str">
        <f t="shared" si="11"/>
        <v>VLYAFL</v>
      </c>
      <c r="T126" s="5" t="s">
        <v>51</v>
      </c>
      <c r="Z126" s="4"/>
      <c r="AD126" s="1" t="s">
        <v>139</v>
      </c>
      <c r="AE126" s="1">
        <v>312</v>
      </c>
      <c r="AF126" s="1">
        <v>333</v>
      </c>
      <c r="AG126" s="1">
        <v>340</v>
      </c>
      <c r="AH126" s="1" t="s">
        <v>50</v>
      </c>
      <c r="AK126" s="4">
        <v>28</v>
      </c>
      <c r="AL126" s="4">
        <v>57</v>
      </c>
    </row>
    <row r="127" spans="1:38" x14ac:dyDescent="0.25">
      <c r="A127" s="1" t="str">
        <f t="shared" si="6"/>
        <v>OPRM_mouse_5C1M_TM7</v>
      </c>
      <c r="B127" s="45" t="s">
        <v>232</v>
      </c>
      <c r="C127" s="45" t="s">
        <v>276</v>
      </c>
      <c r="D127" s="4" t="str">
        <f>VLOOKUP(B127,Classification!A:D,2,FALSE)</f>
        <v>A</v>
      </c>
      <c r="E127" s="4" t="str">
        <f>VLOOKUP(B127,Classification!A:D,3,FALSE)</f>
        <v>Peptide</v>
      </c>
      <c r="F127" s="4" t="str">
        <f>VLOOKUP(B127,Classification!A:D,4,FALSE)</f>
        <v>Opioid</v>
      </c>
      <c r="G127" s="2">
        <v>13</v>
      </c>
      <c r="H127" s="45" t="s">
        <v>48</v>
      </c>
      <c r="I127" s="2" t="s">
        <v>1223</v>
      </c>
      <c r="J127" s="5" t="str">
        <f>VLOOKUP(B127,Seqs!A:B,2,FALSE)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27" s="4" t="str">
        <f t="shared" si="7"/>
        <v>T</v>
      </c>
      <c r="L127" s="45">
        <f>VLOOKUP(B127,'NonXtal_SegEnds_Prot#'!A:AL,33,FALSE)</f>
        <v>311</v>
      </c>
      <c r="M127" s="45">
        <f>VLOOKUP(B127,'NonXtal_SegEnds_Prot#'!A:AL,34,FALSE)</f>
        <v>333</v>
      </c>
      <c r="N127" s="45">
        <f>VLOOKUP(B127,'NonXtal_SegEnds_Prot#'!A:AL,35,FALSE)</f>
        <v>339</v>
      </c>
      <c r="O127" s="4" t="str">
        <f t="shared" si="8"/>
        <v>L</v>
      </c>
      <c r="P127" s="4"/>
      <c r="Q127" s="47" t="str">
        <f t="shared" si="9"/>
        <v>TTFQTVSWHFCIALGYTNSCLN</v>
      </c>
      <c r="R127" s="27" t="str">
        <f t="shared" si="10"/>
        <v>P</v>
      </c>
      <c r="S127" s="19" t="str">
        <f t="shared" si="11"/>
        <v>VLYAFL</v>
      </c>
      <c r="T127" s="5" t="s">
        <v>51</v>
      </c>
      <c r="Z127" s="4" t="s">
        <v>64</v>
      </c>
      <c r="AD127" s="1" t="s">
        <v>139</v>
      </c>
      <c r="AE127" s="1">
        <v>312</v>
      </c>
      <c r="AF127" s="1">
        <v>333</v>
      </c>
      <c r="AG127" s="1">
        <v>340</v>
      </c>
      <c r="AH127" s="1" t="s">
        <v>50</v>
      </c>
      <c r="AK127" s="4">
        <v>28</v>
      </c>
      <c r="AL127" s="4">
        <v>57</v>
      </c>
    </row>
    <row r="128" spans="1:38" x14ac:dyDescent="0.25">
      <c r="A128" s="1" t="str">
        <f t="shared" si="6"/>
        <v>OPRX_human__wt_TM7</v>
      </c>
      <c r="B128" s="45" t="s">
        <v>1373</v>
      </c>
      <c r="C128" s="45" t="s">
        <v>294</v>
      </c>
      <c r="D128" s="4" t="str">
        <f>VLOOKUP(B128,Classification!A:D,2,FALSE)</f>
        <v>A</v>
      </c>
      <c r="E128" s="4" t="str">
        <f>VLOOKUP(B128,Classification!A:D,3,FALSE)</f>
        <v>Peptide</v>
      </c>
      <c r="F128" s="4" t="str">
        <f>VLOOKUP(B128,Classification!A:D,4,FALSE)</f>
        <v>Opioid</v>
      </c>
      <c r="G128" s="2">
        <v>13</v>
      </c>
      <c r="H128" s="45" t="s">
        <v>48</v>
      </c>
      <c r="I128" s="2" t="s">
        <v>1223</v>
      </c>
      <c r="J128" s="5" t="str">
        <f>VLOOKUP(B128,Seqs!A:B,2,FALSE)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28" s="4" t="str">
        <f t="shared" si="7"/>
        <v>S</v>
      </c>
      <c r="L128" s="45">
        <f>VLOOKUP(B128,'NonXtal_SegEnds_Prot#'!A:AL,33,FALSE)</f>
        <v>294</v>
      </c>
      <c r="M128" s="45">
        <f>VLOOKUP(B128,'NonXtal_SegEnds_Prot#'!A:AL,34,FALSE)</f>
        <v>316</v>
      </c>
      <c r="N128" s="45">
        <f>VLOOKUP(B128,'NonXtal_SegEnds_Prot#'!A:AL,35,FALSE)</f>
        <v>322</v>
      </c>
      <c r="O128" s="4" t="str">
        <f t="shared" si="8"/>
        <v>L</v>
      </c>
      <c r="P128" s="4"/>
      <c r="Q128" s="47" t="str">
        <f t="shared" si="9"/>
        <v>SETAVAILRFCTALGYVNSCLN</v>
      </c>
      <c r="R128" s="27" t="str">
        <f t="shared" si="10"/>
        <v>P</v>
      </c>
      <c r="S128" s="19" t="str">
        <f t="shared" si="11"/>
        <v>ILYAFL</v>
      </c>
      <c r="T128" s="5" t="s">
        <v>51</v>
      </c>
      <c r="Z128" s="4"/>
      <c r="AD128" s="1" t="s">
        <v>139</v>
      </c>
      <c r="AE128" s="1">
        <v>295</v>
      </c>
      <c r="AF128" s="1">
        <v>316</v>
      </c>
      <c r="AG128" s="1">
        <v>323</v>
      </c>
      <c r="AH128" s="1" t="s">
        <v>50</v>
      </c>
      <c r="AK128" s="4">
        <v>28</v>
      </c>
      <c r="AL128" s="4">
        <v>57</v>
      </c>
    </row>
    <row r="129" spans="1:38" x14ac:dyDescent="0.25">
      <c r="A129" s="1" t="str">
        <f t="shared" si="6"/>
        <v>OPRX_human_4EA3_TM7</v>
      </c>
      <c r="B129" s="45" t="s">
        <v>1373</v>
      </c>
      <c r="C129" s="45" t="s">
        <v>258</v>
      </c>
      <c r="D129" s="4" t="str">
        <f>VLOOKUP(B129,Classification!A:D,2,FALSE)</f>
        <v>A</v>
      </c>
      <c r="E129" s="4" t="str">
        <f>VLOOKUP(B129,Classification!A:D,3,FALSE)</f>
        <v>Peptide</v>
      </c>
      <c r="F129" s="4" t="str">
        <f>VLOOKUP(B129,Classification!A:D,4,FALSE)</f>
        <v>Opioid</v>
      </c>
      <c r="G129" s="2">
        <v>13</v>
      </c>
      <c r="H129" s="45" t="s">
        <v>48</v>
      </c>
      <c r="I129" s="2" t="s">
        <v>1223</v>
      </c>
      <c r="J129" s="5" t="str">
        <f>VLOOKUP(B129,Seqs!A:B,2,FALSE)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29" s="4" t="str">
        <f t="shared" si="7"/>
        <v>S</v>
      </c>
      <c r="L129" s="45">
        <f>VLOOKUP(B129,'NonXtal_SegEnds_Prot#'!A:AL,33,FALSE)</f>
        <v>294</v>
      </c>
      <c r="M129" s="45">
        <f>VLOOKUP(B129,'NonXtal_SegEnds_Prot#'!A:AL,34,FALSE)</f>
        <v>316</v>
      </c>
      <c r="N129" s="45">
        <f>VLOOKUP(B129,'NonXtal_SegEnds_Prot#'!A:AL,35,FALSE)</f>
        <v>322</v>
      </c>
      <c r="O129" s="4" t="str">
        <f t="shared" si="8"/>
        <v>L</v>
      </c>
      <c r="P129" s="4"/>
      <c r="Q129" s="47" t="str">
        <f t="shared" si="9"/>
        <v>SETAVAILRFCTALGYVNSCLN</v>
      </c>
      <c r="R129" s="27" t="str">
        <f t="shared" si="10"/>
        <v>P</v>
      </c>
      <c r="S129" s="19" t="str">
        <f t="shared" si="11"/>
        <v>ILYAFL</v>
      </c>
      <c r="T129" s="5" t="s">
        <v>51</v>
      </c>
      <c r="Z129" s="4"/>
      <c r="AD129" s="1" t="s">
        <v>139</v>
      </c>
      <c r="AE129" s="1">
        <v>295</v>
      </c>
      <c r="AF129" s="1">
        <v>316</v>
      </c>
      <c r="AG129" s="1">
        <v>323</v>
      </c>
      <c r="AH129" s="1" t="s">
        <v>50</v>
      </c>
      <c r="AK129" s="4">
        <v>28</v>
      </c>
      <c r="AL129" s="4">
        <v>57</v>
      </c>
    </row>
    <row r="130" spans="1:38" x14ac:dyDescent="0.25">
      <c r="A130" s="1" t="str">
        <f t="shared" ref="A130:A193" si="12">CONCATENATE(B130,"_",C130,"_",H130)</f>
        <v>OPSD_bovin_1U19_TM7</v>
      </c>
      <c r="B130" s="45" t="s">
        <v>231</v>
      </c>
      <c r="C130" s="45" t="s">
        <v>244</v>
      </c>
      <c r="D130" s="4" t="str">
        <f>VLOOKUP(B130,Classification!A:D,2,FALSE)</f>
        <v>A</v>
      </c>
      <c r="E130" s="4" t="str">
        <f>VLOOKUP(B130,Classification!A:D,3,FALSE)</f>
        <v>Sensory</v>
      </c>
      <c r="F130" s="4" t="str">
        <f>VLOOKUP(B130,Classification!A:D,4,FALSE)</f>
        <v>Opsins</v>
      </c>
      <c r="G130" s="2">
        <v>13</v>
      </c>
      <c r="H130" s="45" t="s">
        <v>48</v>
      </c>
      <c r="I130" s="2" t="s">
        <v>1223</v>
      </c>
      <c r="J130" s="5" t="str">
        <f>VLOOKUP(B130,Seqs!A:B,2,FALSE)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30" s="4" t="str">
        <f t="shared" ref="K130:K193" si="13">MID(J130,L130,1)</f>
        <v>G</v>
      </c>
      <c r="L130" s="45">
        <f>VLOOKUP(B130,'NonXtal_SegEnds_Prot#'!A:AL,33,FALSE)</f>
        <v>284</v>
      </c>
      <c r="M130" s="45">
        <f>VLOOKUP(B130,'NonXtal_SegEnds_Prot#'!A:AL,34,FALSE)</f>
        <v>303</v>
      </c>
      <c r="N130" s="45">
        <f>VLOOKUP(B130,'NonXtal_SegEnds_Prot#'!A:AL,35,FALSE)</f>
        <v>309</v>
      </c>
      <c r="O130" s="4" t="str">
        <f t="shared" ref="O130:O193" si="14">MID(J130,N130,1)</f>
        <v>M</v>
      </c>
      <c r="P130" s="4"/>
      <c r="Q130" s="47" t="str">
        <f t="shared" ref="Q130:Q193" si="15">MID(J130,L130,M130-L130)</f>
        <v>GPIFMTIPAFFAKTSAVYN</v>
      </c>
      <c r="R130" s="27" t="str">
        <f t="shared" ref="R130:R193" si="16">MID(J130,M130,1)</f>
        <v>P</v>
      </c>
      <c r="S130" s="19" t="str">
        <f t="shared" ref="S130:S193" si="17">MID(J130,M130+1,N130-M130)</f>
        <v>VIYIMM</v>
      </c>
      <c r="T130" s="5" t="s">
        <v>51</v>
      </c>
      <c r="Z130" s="4"/>
      <c r="AD130" s="1" t="s">
        <v>121</v>
      </c>
      <c r="AE130" s="1">
        <v>286</v>
      </c>
      <c r="AF130" s="1">
        <v>303</v>
      </c>
      <c r="AG130" s="1">
        <v>310</v>
      </c>
      <c r="AH130" s="1" t="s">
        <v>50</v>
      </c>
      <c r="AK130" s="4">
        <v>32</v>
      </c>
      <c r="AL130" s="4">
        <v>57</v>
      </c>
    </row>
    <row r="131" spans="1:38" x14ac:dyDescent="0.25">
      <c r="A131" s="1" t="str">
        <f t="shared" si="12"/>
        <v>OPSD_bovin_3DQB_TM7</v>
      </c>
      <c r="B131" s="45" t="s">
        <v>231</v>
      </c>
      <c r="C131" s="45" t="s">
        <v>245</v>
      </c>
      <c r="D131" s="4" t="str">
        <f>VLOOKUP(B131,Classification!A:D,2,FALSE)</f>
        <v>A</v>
      </c>
      <c r="E131" s="4" t="str">
        <f>VLOOKUP(B131,Classification!A:D,3,FALSE)</f>
        <v>Sensory</v>
      </c>
      <c r="F131" s="4" t="str">
        <f>VLOOKUP(B131,Classification!A:D,4,FALSE)</f>
        <v>Opsins</v>
      </c>
      <c r="G131" s="2">
        <v>13</v>
      </c>
      <c r="H131" s="45" t="s">
        <v>48</v>
      </c>
      <c r="I131" s="2" t="s">
        <v>1223</v>
      </c>
      <c r="J131" s="5" t="str">
        <f>VLOOKUP(B131,Seqs!A:B,2,FALSE)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31" s="4" t="str">
        <f t="shared" si="13"/>
        <v>G</v>
      </c>
      <c r="L131" s="45">
        <f>VLOOKUP(B131,'NonXtal_SegEnds_Prot#'!A:AL,33,FALSE)</f>
        <v>284</v>
      </c>
      <c r="M131" s="45">
        <f>VLOOKUP(B131,'NonXtal_SegEnds_Prot#'!A:AL,34,FALSE)</f>
        <v>303</v>
      </c>
      <c r="N131" s="45">
        <f>VLOOKUP(B131,'NonXtal_SegEnds_Prot#'!A:AL,35,FALSE)</f>
        <v>309</v>
      </c>
      <c r="O131" s="4" t="str">
        <f t="shared" si="14"/>
        <v>M</v>
      </c>
      <c r="P131" s="4"/>
      <c r="Q131" s="47" t="str">
        <f t="shared" si="15"/>
        <v>GPIFMTIPAFFAKTSAVYN</v>
      </c>
      <c r="R131" s="27" t="str">
        <f t="shared" si="16"/>
        <v>P</v>
      </c>
      <c r="S131" s="19" t="str">
        <f t="shared" si="17"/>
        <v>VIYIMM</v>
      </c>
      <c r="T131" s="5" t="s">
        <v>51</v>
      </c>
      <c r="Z131" s="4"/>
      <c r="AD131" s="1" t="s">
        <v>121</v>
      </c>
      <c r="AE131" s="1">
        <v>286</v>
      </c>
      <c r="AF131" s="1">
        <v>303</v>
      </c>
      <c r="AG131" s="1">
        <v>310</v>
      </c>
      <c r="AH131" s="1" t="s">
        <v>50</v>
      </c>
      <c r="AK131" s="4">
        <v>32</v>
      </c>
      <c r="AL131" s="4">
        <v>57</v>
      </c>
    </row>
    <row r="132" spans="1:38" x14ac:dyDescent="0.25">
      <c r="A132" s="1" t="str">
        <f t="shared" si="12"/>
        <v>OPSD_human__wt_TM7</v>
      </c>
      <c r="B132" s="45" t="s">
        <v>228</v>
      </c>
      <c r="C132" s="45" t="s">
        <v>294</v>
      </c>
      <c r="D132" s="4" t="str">
        <f>VLOOKUP(B132,Classification!A:D,2,FALSE)</f>
        <v>A</v>
      </c>
      <c r="E132" s="4" t="str">
        <f>VLOOKUP(B132,Classification!A:D,3,FALSE)</f>
        <v>Sensory</v>
      </c>
      <c r="F132" s="4" t="str">
        <f>VLOOKUP(B132,Classification!A:D,4,FALSE)</f>
        <v>Opsins</v>
      </c>
      <c r="G132" s="2">
        <v>13</v>
      </c>
      <c r="H132" s="45" t="s">
        <v>48</v>
      </c>
      <c r="I132" s="2" t="s">
        <v>1223</v>
      </c>
      <c r="J132" s="5" t="str">
        <f>VLOOKUP(B132,Seqs!A:B,2,FALSE)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2" s="4" t="str">
        <f t="shared" si="13"/>
        <v>G</v>
      </c>
      <c r="L132" s="45">
        <f>VLOOKUP(B132,'NonXtal_SegEnds_Prot#'!A:AL,33,FALSE)</f>
        <v>284</v>
      </c>
      <c r="M132" s="45">
        <f>VLOOKUP(B132,'NonXtal_SegEnds_Prot#'!A:AL,34,FALSE)</f>
        <v>303</v>
      </c>
      <c r="N132" s="45">
        <f>VLOOKUP(B132,'NonXtal_SegEnds_Prot#'!A:AL,35,FALSE)</f>
        <v>309</v>
      </c>
      <c r="O132" s="4" t="str">
        <f t="shared" si="14"/>
        <v>M</v>
      </c>
      <c r="P132" s="4"/>
      <c r="Q132" s="47" t="str">
        <f t="shared" si="15"/>
        <v>GPIFMTIPAFFAKSAAIYN</v>
      </c>
      <c r="R132" s="27" t="str">
        <f t="shared" si="16"/>
        <v>P</v>
      </c>
      <c r="S132" s="19" t="str">
        <f t="shared" si="17"/>
        <v>VIYIMM</v>
      </c>
      <c r="T132" s="5" t="s">
        <v>51</v>
      </c>
      <c r="Z132" s="4"/>
      <c r="AD132" s="1" t="s">
        <v>121</v>
      </c>
      <c r="AE132" s="1">
        <v>286</v>
      </c>
      <c r="AF132" s="1">
        <v>303</v>
      </c>
      <c r="AG132" s="1">
        <v>310</v>
      </c>
      <c r="AH132" s="1" t="s">
        <v>50</v>
      </c>
      <c r="AK132" s="4">
        <v>32</v>
      </c>
      <c r="AL132" s="4">
        <v>57</v>
      </c>
    </row>
    <row r="133" spans="1:38" x14ac:dyDescent="0.25">
      <c r="A133" s="1" t="str">
        <f t="shared" si="12"/>
        <v>OPSD_human__wt_TM7</v>
      </c>
      <c r="B133" s="45" t="s">
        <v>228</v>
      </c>
      <c r="C133" s="45" t="s">
        <v>294</v>
      </c>
      <c r="D133" s="4" t="str">
        <f>VLOOKUP(B133,Classification!A:D,2,FALSE)</f>
        <v>A</v>
      </c>
      <c r="E133" s="4" t="str">
        <f>VLOOKUP(B133,Classification!A:D,3,FALSE)</f>
        <v>Sensory</v>
      </c>
      <c r="F133" s="4" t="str">
        <f>VLOOKUP(B133,Classification!A:D,4,FALSE)</f>
        <v>Opsins</v>
      </c>
      <c r="G133" s="2">
        <v>13</v>
      </c>
      <c r="H133" s="45" t="s">
        <v>48</v>
      </c>
      <c r="I133" s="2" t="s">
        <v>1223</v>
      </c>
      <c r="J133" s="5" t="str">
        <f>VLOOKUP(B133,Seqs!A:B,2,FALSE)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3" s="4" t="str">
        <f t="shared" si="13"/>
        <v>G</v>
      </c>
      <c r="L133" s="45">
        <f>VLOOKUP(B133,'NonXtal_SegEnds_Prot#'!A:AL,33,FALSE)</f>
        <v>284</v>
      </c>
      <c r="M133" s="45">
        <f>VLOOKUP(B133,'NonXtal_SegEnds_Prot#'!A:AL,34,FALSE)</f>
        <v>303</v>
      </c>
      <c r="N133" s="45">
        <f>VLOOKUP(B133,'NonXtal_SegEnds_Prot#'!A:AL,35,FALSE)</f>
        <v>309</v>
      </c>
      <c r="O133" s="4" t="str">
        <f t="shared" si="14"/>
        <v>M</v>
      </c>
      <c r="P133" s="4"/>
      <c r="Q133" s="47" t="str">
        <f t="shared" si="15"/>
        <v>GPIFMTIPAFFAKSAAIYN</v>
      </c>
      <c r="R133" s="27" t="str">
        <f t="shared" si="16"/>
        <v>P</v>
      </c>
      <c r="S133" s="19" t="str">
        <f t="shared" si="17"/>
        <v>VIYIMM</v>
      </c>
      <c r="T133" s="5" t="s">
        <v>51</v>
      </c>
      <c r="Z133" s="4" t="s">
        <v>64</v>
      </c>
      <c r="AD133" s="1" t="s">
        <v>121</v>
      </c>
      <c r="AE133" s="1">
        <v>286</v>
      </c>
      <c r="AF133" s="1">
        <v>303</v>
      </c>
      <c r="AG133" s="1">
        <v>310</v>
      </c>
      <c r="AH133" s="1" t="s">
        <v>50</v>
      </c>
      <c r="AK133" s="4">
        <v>32</v>
      </c>
      <c r="AL133" s="4">
        <v>57</v>
      </c>
    </row>
    <row r="134" spans="1:38" x14ac:dyDescent="0.25">
      <c r="A134" s="1" t="str">
        <f t="shared" si="12"/>
        <v>OPSD_human_4ZWJ_TM7</v>
      </c>
      <c r="B134" s="45" t="s">
        <v>228</v>
      </c>
      <c r="C134" s="45" t="s">
        <v>246</v>
      </c>
      <c r="D134" s="4" t="str">
        <f>VLOOKUP(B134,Classification!A:D,2,FALSE)</f>
        <v>A</v>
      </c>
      <c r="E134" s="4" t="str">
        <f>VLOOKUP(B134,Classification!A:D,3,FALSE)</f>
        <v>Sensory</v>
      </c>
      <c r="F134" s="4" t="str">
        <f>VLOOKUP(B134,Classification!A:D,4,FALSE)</f>
        <v>Opsins</v>
      </c>
      <c r="G134" s="2">
        <v>13</v>
      </c>
      <c r="H134" s="45" t="s">
        <v>48</v>
      </c>
      <c r="I134" s="2" t="s">
        <v>1223</v>
      </c>
      <c r="J134" s="5" t="str">
        <f>VLOOKUP(B134,Seqs!A:B,2,FALSE)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4" s="4" t="str">
        <f t="shared" si="13"/>
        <v>G</v>
      </c>
      <c r="L134" s="45">
        <f>VLOOKUP(B134,'NonXtal_SegEnds_Prot#'!A:AL,33,FALSE)</f>
        <v>284</v>
      </c>
      <c r="M134" s="45">
        <f>VLOOKUP(B134,'NonXtal_SegEnds_Prot#'!A:AL,34,FALSE)</f>
        <v>303</v>
      </c>
      <c r="N134" s="45">
        <f>VLOOKUP(B134,'NonXtal_SegEnds_Prot#'!A:AL,35,FALSE)</f>
        <v>309</v>
      </c>
      <c r="O134" s="4" t="str">
        <f t="shared" si="14"/>
        <v>M</v>
      </c>
      <c r="P134" s="4"/>
      <c r="Q134" s="47" t="str">
        <f t="shared" si="15"/>
        <v>GPIFMTIPAFFAKSAAIYN</v>
      </c>
      <c r="R134" s="27" t="str">
        <f t="shared" si="16"/>
        <v>P</v>
      </c>
      <c r="S134" s="19" t="str">
        <f t="shared" si="17"/>
        <v>VIYIMM</v>
      </c>
      <c r="T134" s="5" t="s">
        <v>51</v>
      </c>
      <c r="Z134" s="4"/>
      <c r="AD134" s="1" t="s">
        <v>121</v>
      </c>
      <c r="AE134" s="1">
        <v>286</v>
      </c>
      <c r="AF134" s="1">
        <v>303</v>
      </c>
      <c r="AG134" s="1">
        <v>310</v>
      </c>
      <c r="AH134" s="1" t="s">
        <v>50</v>
      </c>
      <c r="AK134" s="4">
        <v>32</v>
      </c>
      <c r="AL134" s="4">
        <v>57</v>
      </c>
    </row>
    <row r="135" spans="1:38" x14ac:dyDescent="0.25">
      <c r="A135" s="1" t="str">
        <f t="shared" si="12"/>
        <v>OPSD_human_4ZWJ_TM7</v>
      </c>
      <c r="B135" s="45" t="s">
        <v>228</v>
      </c>
      <c r="C135" s="45" t="s">
        <v>246</v>
      </c>
      <c r="D135" s="4" t="str">
        <f>VLOOKUP(B135,Classification!A:D,2,FALSE)</f>
        <v>A</v>
      </c>
      <c r="E135" s="4" t="str">
        <f>VLOOKUP(B135,Classification!A:D,3,FALSE)</f>
        <v>Sensory</v>
      </c>
      <c r="F135" s="4" t="str">
        <f>VLOOKUP(B135,Classification!A:D,4,FALSE)</f>
        <v>Opsins</v>
      </c>
      <c r="G135" s="2">
        <v>13</v>
      </c>
      <c r="H135" s="45" t="s">
        <v>48</v>
      </c>
      <c r="I135" s="2" t="s">
        <v>1223</v>
      </c>
      <c r="J135" s="5" t="str">
        <f>VLOOKUP(B135,Seqs!A:B,2,FALSE)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5" s="4" t="str">
        <f t="shared" si="13"/>
        <v>G</v>
      </c>
      <c r="L135" s="45">
        <f>VLOOKUP(B135,'NonXtal_SegEnds_Prot#'!A:AL,33,FALSE)</f>
        <v>284</v>
      </c>
      <c r="M135" s="45">
        <f>VLOOKUP(B135,'NonXtal_SegEnds_Prot#'!A:AL,34,FALSE)</f>
        <v>303</v>
      </c>
      <c r="N135" s="45">
        <f>VLOOKUP(B135,'NonXtal_SegEnds_Prot#'!A:AL,35,FALSE)</f>
        <v>309</v>
      </c>
      <c r="O135" s="4" t="str">
        <f t="shared" si="14"/>
        <v>M</v>
      </c>
      <c r="P135" s="4"/>
      <c r="Q135" s="47" t="str">
        <f t="shared" si="15"/>
        <v>GPIFMTIPAFFAKSAAIYN</v>
      </c>
      <c r="R135" s="27" t="str">
        <f t="shared" si="16"/>
        <v>P</v>
      </c>
      <c r="S135" s="19" t="str">
        <f t="shared" si="17"/>
        <v>VIYIMM</v>
      </c>
      <c r="T135" s="5" t="s">
        <v>51</v>
      </c>
      <c r="Z135" s="4" t="s">
        <v>64</v>
      </c>
      <c r="AD135" s="1" t="s">
        <v>121</v>
      </c>
      <c r="AE135" s="1">
        <v>286</v>
      </c>
      <c r="AF135" s="1">
        <v>303</v>
      </c>
      <c r="AG135" s="1">
        <v>310</v>
      </c>
      <c r="AH135" s="1" t="s">
        <v>50</v>
      </c>
      <c r="AK135" s="4">
        <v>32</v>
      </c>
      <c r="AL135" s="4">
        <v>57</v>
      </c>
    </row>
    <row r="136" spans="1:38" x14ac:dyDescent="0.25">
      <c r="A136" s="1" t="str">
        <f t="shared" si="12"/>
        <v>OPSD_todpa__wt_TM7</v>
      </c>
      <c r="B136" s="45" t="s">
        <v>291</v>
      </c>
      <c r="C136" s="45" t="s">
        <v>294</v>
      </c>
      <c r="D136" s="4" t="str">
        <f>VLOOKUP(B136,Classification!A:D,2,FALSE)</f>
        <v>A</v>
      </c>
      <c r="E136" s="4" t="str">
        <f>VLOOKUP(B136,Classification!A:D,3,FALSE)</f>
        <v>Sensory</v>
      </c>
      <c r="F136" s="4" t="str">
        <f>VLOOKUP(B136,Classification!A:D,4,FALSE)</f>
        <v>Opsins</v>
      </c>
      <c r="G136" s="2">
        <v>13</v>
      </c>
      <c r="H136" s="45" t="s">
        <v>48</v>
      </c>
      <c r="I136" s="2" t="s">
        <v>1223</v>
      </c>
      <c r="J136" s="5" t="str">
        <f>VLOOKUP(B136,Seqs!A:B,2,FALSE)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36" s="4" t="str">
        <f t="shared" si="13"/>
        <v>T</v>
      </c>
      <c r="L136" s="45">
        <f>VLOOKUP(B136,'NonXtal_SegEnds_Prot#'!A:AL,33,FALSE)</f>
        <v>293</v>
      </c>
      <c r="M136" s="45">
        <f>VLOOKUP(B136,'NonXtal_SegEnds_Prot#'!A:AL,34,FALSE)</f>
        <v>312</v>
      </c>
      <c r="N136" s="45">
        <f>VLOOKUP(B136,'NonXtal_SegEnds_Prot#'!A:AL,35,FALSE)</f>
        <v>318</v>
      </c>
      <c r="O136" s="4" t="str">
        <f t="shared" si="14"/>
        <v>S</v>
      </c>
      <c r="P136" s="4"/>
      <c r="Q136" s="47" t="str">
        <f t="shared" si="15"/>
        <v>TPYAAQLPVMFAKASAIHN</v>
      </c>
      <c r="R136" s="27" t="str">
        <f t="shared" si="16"/>
        <v>P</v>
      </c>
      <c r="S136" s="19" t="str">
        <f t="shared" si="17"/>
        <v>MIYSVS</v>
      </c>
      <c r="T136" s="5" t="s">
        <v>51</v>
      </c>
      <c r="Z136" s="4"/>
      <c r="AD136" s="1" t="s">
        <v>121</v>
      </c>
      <c r="AE136" s="1">
        <v>295</v>
      </c>
      <c r="AF136" s="1">
        <v>312</v>
      </c>
      <c r="AG136" s="1">
        <v>319</v>
      </c>
      <c r="AH136" s="1" t="s">
        <v>50</v>
      </c>
      <c r="AK136" s="4">
        <v>32</v>
      </c>
      <c r="AL136" s="4">
        <v>57</v>
      </c>
    </row>
    <row r="137" spans="1:38" x14ac:dyDescent="0.25">
      <c r="A137" s="1" t="str">
        <f t="shared" si="12"/>
        <v>OPSD_todpa_2Z73_TM7</v>
      </c>
      <c r="B137" s="45" t="s">
        <v>291</v>
      </c>
      <c r="C137" s="45" t="s">
        <v>290</v>
      </c>
      <c r="D137" s="4" t="str">
        <f>VLOOKUP(B137,Classification!A:D,2,FALSE)</f>
        <v>A</v>
      </c>
      <c r="E137" s="4" t="str">
        <f>VLOOKUP(B137,Classification!A:D,3,FALSE)</f>
        <v>Sensory</v>
      </c>
      <c r="F137" s="4" t="str">
        <f>VLOOKUP(B137,Classification!A:D,4,FALSE)</f>
        <v>Opsins</v>
      </c>
      <c r="G137" s="2">
        <v>13</v>
      </c>
      <c r="H137" s="45" t="s">
        <v>48</v>
      </c>
      <c r="I137" s="2" t="s">
        <v>1223</v>
      </c>
      <c r="J137" s="5" t="str">
        <f>VLOOKUP(B137,Seqs!A:B,2,FALSE)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37" s="4" t="str">
        <f t="shared" si="13"/>
        <v>T</v>
      </c>
      <c r="L137" s="45">
        <f>VLOOKUP(B137,'NonXtal_SegEnds_Prot#'!A:AL,33,FALSE)</f>
        <v>293</v>
      </c>
      <c r="M137" s="45">
        <f>VLOOKUP(B137,'NonXtal_SegEnds_Prot#'!A:AL,34,FALSE)</f>
        <v>312</v>
      </c>
      <c r="N137" s="45">
        <f>VLOOKUP(B137,'NonXtal_SegEnds_Prot#'!A:AL,35,FALSE)</f>
        <v>318</v>
      </c>
      <c r="O137" s="4" t="str">
        <f t="shared" si="14"/>
        <v>S</v>
      </c>
      <c r="P137" s="4"/>
      <c r="Q137" s="47" t="str">
        <f t="shared" si="15"/>
        <v>TPYAAQLPVMFAKASAIHN</v>
      </c>
      <c r="R137" s="27" t="str">
        <f t="shared" si="16"/>
        <v>P</v>
      </c>
      <c r="S137" s="19" t="str">
        <f t="shared" si="17"/>
        <v>MIYSVS</v>
      </c>
      <c r="T137" s="5" t="s">
        <v>51</v>
      </c>
      <c r="Z137" s="4"/>
      <c r="AD137" s="1" t="s">
        <v>121</v>
      </c>
      <c r="AE137" s="1">
        <v>295</v>
      </c>
      <c r="AF137" s="1">
        <v>312</v>
      </c>
      <c r="AG137" s="1">
        <v>319</v>
      </c>
      <c r="AH137" s="1" t="s">
        <v>50</v>
      </c>
      <c r="AK137" s="4">
        <v>32</v>
      </c>
      <c r="AL137" s="4">
        <v>57</v>
      </c>
    </row>
    <row r="138" spans="1:38" x14ac:dyDescent="0.25">
      <c r="A138" s="1" t="str">
        <f t="shared" si="12"/>
        <v>OX1R_human__wt_TM7</v>
      </c>
      <c r="B138" s="45" t="s">
        <v>1374</v>
      </c>
      <c r="C138" s="45" t="s">
        <v>294</v>
      </c>
      <c r="D138" s="4" t="str">
        <f>VLOOKUP(B138,Classification!A:D,2,FALSE)</f>
        <v>A</v>
      </c>
      <c r="E138" s="4" t="str">
        <f>VLOOKUP(B138,Classification!A:D,3,FALSE)</f>
        <v>Peptide</v>
      </c>
      <c r="F138" s="4" t="str">
        <f>VLOOKUP(B138,Classification!A:D,4,FALSE)</f>
        <v>Orexin</v>
      </c>
      <c r="G138" s="2">
        <v>13</v>
      </c>
      <c r="H138" s="45" t="s">
        <v>48</v>
      </c>
      <c r="I138" s="2" t="s">
        <v>1223</v>
      </c>
      <c r="J138" s="5" t="str">
        <f>VLOOKUP(B138,Seqs!A:B,2,FALSE)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38" s="4" t="str">
        <f t="shared" si="13"/>
        <v>R</v>
      </c>
      <c r="L138" s="45">
        <f>VLOOKUP(B138,'NonXtal_SegEnds_Prot#'!A:AL,33,FALSE)</f>
        <v>333</v>
      </c>
      <c r="M138" s="45">
        <f>VLOOKUP(B138,'NonXtal_SegEnds_Prot#'!A:AL,34,FALSE)</f>
        <v>355</v>
      </c>
      <c r="N138" s="45">
        <f>VLOOKUP(B138,'NonXtal_SegEnds_Prot#'!A:AL,35,FALSE)</f>
        <v>361</v>
      </c>
      <c r="O138" s="4" t="str">
        <f t="shared" si="14"/>
        <v>L</v>
      </c>
      <c r="P138" s="4"/>
      <c r="Q138" s="47" t="str">
        <f t="shared" si="15"/>
        <v>REAVYACFTFSHWLVYANSAAN</v>
      </c>
      <c r="R138" s="27" t="str">
        <f t="shared" si="16"/>
        <v>P</v>
      </c>
      <c r="S138" s="19" t="str">
        <f t="shared" si="17"/>
        <v>IIYNFL</v>
      </c>
      <c r="T138" s="5" t="s">
        <v>51</v>
      </c>
      <c r="Z138" s="4" t="s">
        <v>78</v>
      </c>
      <c r="AD138" s="1" t="s">
        <v>62</v>
      </c>
      <c r="AE138" s="1">
        <v>333</v>
      </c>
      <c r="AF138" s="1">
        <v>355</v>
      </c>
      <c r="AG138" s="1">
        <v>362</v>
      </c>
      <c r="AH138" s="1" t="s">
        <v>50</v>
      </c>
      <c r="AK138" s="4">
        <v>27</v>
      </c>
      <c r="AL138" s="4">
        <v>57</v>
      </c>
    </row>
    <row r="139" spans="1:38" x14ac:dyDescent="0.25">
      <c r="A139" s="1" t="str">
        <f t="shared" si="12"/>
        <v>OX1R_human_4ZJ8_TM7</v>
      </c>
      <c r="B139" s="45" t="s">
        <v>1374</v>
      </c>
      <c r="C139" s="45" t="s">
        <v>282</v>
      </c>
      <c r="D139" s="4" t="str">
        <f>VLOOKUP(B139,Classification!A:D,2,FALSE)</f>
        <v>A</v>
      </c>
      <c r="E139" s="4" t="str">
        <f>VLOOKUP(B139,Classification!A:D,3,FALSE)</f>
        <v>Peptide</v>
      </c>
      <c r="F139" s="4" t="str">
        <f>VLOOKUP(B139,Classification!A:D,4,FALSE)</f>
        <v>Orexin</v>
      </c>
      <c r="G139" s="2">
        <v>13</v>
      </c>
      <c r="H139" s="45" t="s">
        <v>48</v>
      </c>
      <c r="I139" s="2" t="s">
        <v>1223</v>
      </c>
      <c r="J139" s="5" t="str">
        <f>VLOOKUP(B139,Seqs!A:B,2,FALSE)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39" s="4" t="str">
        <f t="shared" si="13"/>
        <v>R</v>
      </c>
      <c r="L139" s="45">
        <f>VLOOKUP(B139,'NonXtal_SegEnds_Prot#'!A:AL,33,FALSE)</f>
        <v>333</v>
      </c>
      <c r="M139" s="45">
        <f>VLOOKUP(B139,'NonXtal_SegEnds_Prot#'!A:AL,34,FALSE)</f>
        <v>355</v>
      </c>
      <c r="N139" s="45">
        <f>VLOOKUP(B139,'NonXtal_SegEnds_Prot#'!A:AL,35,FALSE)</f>
        <v>361</v>
      </c>
      <c r="O139" s="4" t="str">
        <f t="shared" si="14"/>
        <v>L</v>
      </c>
      <c r="P139" s="4"/>
      <c r="Q139" s="47" t="str">
        <f t="shared" si="15"/>
        <v>REAVYACFTFSHWLVYANSAAN</v>
      </c>
      <c r="R139" s="27" t="str">
        <f t="shared" si="16"/>
        <v>P</v>
      </c>
      <c r="S139" s="19" t="str">
        <f t="shared" si="17"/>
        <v>IIYNFL</v>
      </c>
      <c r="T139" s="5" t="s">
        <v>51</v>
      </c>
      <c r="Z139" s="4" t="s">
        <v>78</v>
      </c>
      <c r="AD139" s="1" t="s">
        <v>62</v>
      </c>
      <c r="AE139" s="1">
        <v>333</v>
      </c>
      <c r="AF139" s="1">
        <v>355</v>
      </c>
      <c r="AG139" s="1">
        <v>362</v>
      </c>
      <c r="AH139" s="1" t="s">
        <v>50</v>
      </c>
      <c r="AK139" s="4">
        <v>27</v>
      </c>
      <c r="AL139" s="4">
        <v>57</v>
      </c>
    </row>
    <row r="140" spans="1:38" x14ac:dyDescent="0.25">
      <c r="A140" s="1" t="str">
        <f t="shared" si="12"/>
        <v>OX1R_human_4ZJC_TM7</v>
      </c>
      <c r="B140" s="45" t="s">
        <v>1374</v>
      </c>
      <c r="C140" s="45" t="s">
        <v>283</v>
      </c>
      <c r="D140" s="4" t="str">
        <f>VLOOKUP(B140,Classification!A:D,2,FALSE)</f>
        <v>A</v>
      </c>
      <c r="E140" s="4" t="str">
        <f>VLOOKUP(B140,Classification!A:D,3,FALSE)</f>
        <v>Peptide</v>
      </c>
      <c r="F140" s="4" t="str">
        <f>VLOOKUP(B140,Classification!A:D,4,FALSE)</f>
        <v>Orexin</v>
      </c>
      <c r="G140" s="2">
        <v>13</v>
      </c>
      <c r="H140" s="45" t="s">
        <v>48</v>
      </c>
      <c r="I140" s="2" t="s">
        <v>1223</v>
      </c>
      <c r="J140" s="5" t="str">
        <f>VLOOKUP(B140,Seqs!A:B,2,FALSE)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40" s="4" t="str">
        <f t="shared" si="13"/>
        <v>R</v>
      </c>
      <c r="L140" s="45">
        <f>VLOOKUP(B140,'NonXtal_SegEnds_Prot#'!A:AL,33,FALSE)</f>
        <v>333</v>
      </c>
      <c r="M140" s="45">
        <f>VLOOKUP(B140,'NonXtal_SegEnds_Prot#'!A:AL,34,FALSE)</f>
        <v>355</v>
      </c>
      <c r="N140" s="45">
        <f>VLOOKUP(B140,'NonXtal_SegEnds_Prot#'!A:AL,35,FALSE)</f>
        <v>361</v>
      </c>
      <c r="O140" s="4" t="str">
        <f t="shared" si="14"/>
        <v>L</v>
      </c>
      <c r="P140" s="4"/>
      <c r="Q140" s="47" t="str">
        <f t="shared" si="15"/>
        <v>REAVYACFTFSHWLVYANSAAN</v>
      </c>
      <c r="R140" s="27" t="str">
        <f t="shared" si="16"/>
        <v>P</v>
      </c>
      <c r="S140" s="19" t="str">
        <f t="shared" si="17"/>
        <v>IIYNFL</v>
      </c>
      <c r="T140" s="5" t="s">
        <v>51</v>
      </c>
      <c r="Z140" s="4"/>
      <c r="AD140" s="1" t="s">
        <v>62</v>
      </c>
      <c r="AE140" s="1">
        <v>333</v>
      </c>
      <c r="AF140" s="1">
        <v>355</v>
      </c>
      <c r="AG140" s="1">
        <v>362</v>
      </c>
      <c r="AH140" s="1" t="s">
        <v>50</v>
      </c>
      <c r="AK140" s="4">
        <v>27</v>
      </c>
      <c r="AL140" s="4">
        <v>57</v>
      </c>
    </row>
    <row r="141" spans="1:38" x14ac:dyDescent="0.25">
      <c r="A141" s="1" t="str">
        <f t="shared" si="12"/>
        <v>OX2R_human__wt_TM7</v>
      </c>
      <c r="B141" s="45" t="s">
        <v>1375</v>
      </c>
      <c r="C141" s="45" t="s">
        <v>294</v>
      </c>
      <c r="D141" s="4" t="str">
        <f>VLOOKUP(B141,Classification!A:D,2,FALSE)</f>
        <v>A</v>
      </c>
      <c r="E141" s="4" t="str">
        <f>VLOOKUP(B141,Classification!A:D,3,FALSE)</f>
        <v>Peptide</v>
      </c>
      <c r="F141" s="4" t="str">
        <f>VLOOKUP(B141,Classification!A:D,4,FALSE)</f>
        <v>Orexin</v>
      </c>
      <c r="G141" s="2">
        <v>13</v>
      </c>
      <c r="H141" s="45" t="s">
        <v>48</v>
      </c>
      <c r="I141" s="2" t="s">
        <v>1223</v>
      </c>
      <c r="J141" s="5" t="str">
        <f>VLOOKUP(B141,Seqs!A:B,2,FALSE)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41" s="4" t="str">
        <f t="shared" si="13"/>
        <v>R</v>
      </c>
      <c r="L141" s="45">
        <f>VLOOKUP(B141,'NonXtal_SegEnds_Prot#'!A:AL,33,FALSE)</f>
        <v>339</v>
      </c>
      <c r="M141" s="45">
        <f>VLOOKUP(B141,'NonXtal_SegEnds_Prot#'!A:AL,34,FALSE)</f>
        <v>361</v>
      </c>
      <c r="N141" s="45">
        <f>VLOOKUP(B141,'NonXtal_SegEnds_Prot#'!A:AL,35,FALSE)</f>
        <v>367</v>
      </c>
      <c r="O141" s="4" t="str">
        <f t="shared" si="14"/>
        <v>L</v>
      </c>
      <c r="P141" s="4"/>
      <c r="Q141" s="47" t="str">
        <f t="shared" si="15"/>
        <v>RETVYAWFTFSHWLVYANSAAN</v>
      </c>
      <c r="R141" s="27" t="str">
        <f t="shared" si="16"/>
        <v>P</v>
      </c>
      <c r="S141" s="19" t="str">
        <f t="shared" si="17"/>
        <v>IIYNFL</v>
      </c>
      <c r="T141" s="5" t="s">
        <v>51</v>
      </c>
      <c r="Z141" s="4"/>
      <c r="AD141" s="1" t="s">
        <v>62</v>
      </c>
      <c r="AE141" s="1">
        <v>339</v>
      </c>
      <c r="AF141" s="1">
        <v>361</v>
      </c>
      <c r="AG141" s="1">
        <v>368</v>
      </c>
      <c r="AH141" s="1" t="s">
        <v>50</v>
      </c>
      <c r="AK141" s="4">
        <v>27</v>
      </c>
      <c r="AL141" s="4">
        <v>57</v>
      </c>
    </row>
    <row r="142" spans="1:38" x14ac:dyDescent="0.25">
      <c r="A142" s="1" t="str">
        <f t="shared" si="12"/>
        <v>OX2R_human_4S0V_TM7</v>
      </c>
      <c r="B142" s="45" t="s">
        <v>1375</v>
      </c>
      <c r="C142" s="45" t="s">
        <v>284</v>
      </c>
      <c r="D142" s="4" t="str">
        <f>VLOOKUP(B142,Classification!A:D,2,FALSE)</f>
        <v>A</v>
      </c>
      <c r="E142" s="4" t="str">
        <f>VLOOKUP(B142,Classification!A:D,3,FALSE)</f>
        <v>Peptide</v>
      </c>
      <c r="F142" s="4" t="str">
        <f>VLOOKUP(B142,Classification!A:D,4,FALSE)</f>
        <v>Orexin</v>
      </c>
      <c r="G142" s="2">
        <v>13</v>
      </c>
      <c r="H142" s="45" t="s">
        <v>48</v>
      </c>
      <c r="I142" s="2" t="s">
        <v>1223</v>
      </c>
      <c r="J142" s="5" t="str">
        <f>VLOOKUP(B142,Seqs!A:B,2,FALSE)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42" s="4" t="str">
        <f t="shared" si="13"/>
        <v>R</v>
      </c>
      <c r="L142" s="45">
        <f>VLOOKUP(B142,'NonXtal_SegEnds_Prot#'!A:AL,33,FALSE)</f>
        <v>339</v>
      </c>
      <c r="M142" s="45">
        <f>VLOOKUP(B142,'NonXtal_SegEnds_Prot#'!A:AL,34,FALSE)</f>
        <v>361</v>
      </c>
      <c r="N142" s="45">
        <f>VLOOKUP(B142,'NonXtal_SegEnds_Prot#'!A:AL,35,FALSE)</f>
        <v>367</v>
      </c>
      <c r="O142" s="4" t="str">
        <f t="shared" si="14"/>
        <v>L</v>
      </c>
      <c r="P142" s="4"/>
      <c r="Q142" s="47" t="str">
        <f t="shared" si="15"/>
        <v>RETVYAWFTFSHWLVYANSAAN</v>
      </c>
      <c r="R142" s="27" t="str">
        <f t="shared" si="16"/>
        <v>P</v>
      </c>
      <c r="S142" s="19" t="str">
        <f t="shared" si="17"/>
        <v>IIYNFL</v>
      </c>
      <c r="T142" s="5" t="s">
        <v>51</v>
      </c>
      <c r="Z142" s="4"/>
      <c r="AD142" s="1" t="s">
        <v>62</v>
      </c>
      <c r="AE142" s="1">
        <v>339</v>
      </c>
      <c r="AF142" s="1">
        <v>361</v>
      </c>
      <c r="AG142" s="1">
        <v>368</v>
      </c>
      <c r="AH142" s="1" t="s">
        <v>50</v>
      </c>
      <c r="AK142" s="4">
        <v>27</v>
      </c>
      <c r="AL142" s="4">
        <v>57</v>
      </c>
    </row>
    <row r="143" spans="1:38" x14ac:dyDescent="0.25">
      <c r="A143" s="1" t="str">
        <f t="shared" si="12"/>
        <v>P2RY1_human__wt_TM7</v>
      </c>
      <c r="B143" s="45" t="s">
        <v>215</v>
      </c>
      <c r="C143" s="45" t="s">
        <v>294</v>
      </c>
      <c r="D143" s="4" t="str">
        <f>VLOOKUP(B143,Classification!A:D,2,FALSE)</f>
        <v>A</v>
      </c>
      <c r="E143" s="4" t="str">
        <f>VLOOKUP(B143,Classification!A:D,3,FALSE)</f>
        <v>Nucleotide</v>
      </c>
      <c r="F143" s="4" t="str">
        <f>VLOOKUP(B143,Classification!A:D,4,FALSE)</f>
        <v>P2Y</v>
      </c>
      <c r="G143" s="2">
        <v>13</v>
      </c>
      <c r="H143" s="45" t="s">
        <v>48</v>
      </c>
      <c r="I143" s="2" t="s">
        <v>1223</v>
      </c>
      <c r="J143" s="5" t="str">
        <f>VLOOKUP(B143,Seqs!A:B,2,FALSE)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43" s="4" t="str">
        <f t="shared" si="13"/>
        <v>M</v>
      </c>
      <c r="L143" s="45">
        <f>VLOOKUP(B143,'NonXtal_SegEnds_Prot#'!A:AL,33,FALSE)</f>
        <v>295</v>
      </c>
      <c r="M143" s="45">
        <f>VLOOKUP(B143,'NonXtal_SegEnds_Prot#'!A:AL,34,FALSE)</f>
        <v>321</v>
      </c>
      <c r="N143" s="45">
        <f>VLOOKUP(B143,'NonXtal_SegEnds_Prot#'!A:AL,35,FALSE)</f>
        <v>327</v>
      </c>
      <c r="O143" s="4" t="str">
        <f t="shared" si="14"/>
        <v>A</v>
      </c>
      <c r="P143" s="4"/>
      <c r="Q143" s="47" t="str">
        <f t="shared" si="15"/>
        <v>MCAFNDRVYATYQVTRGLASLNSCVD</v>
      </c>
      <c r="R143" s="27" t="str">
        <f t="shared" si="16"/>
        <v>P</v>
      </c>
      <c r="S143" s="19" t="str">
        <f t="shared" si="17"/>
        <v>ILYFLA</v>
      </c>
      <c r="T143" s="5" t="s">
        <v>51</v>
      </c>
      <c r="Z143" s="4"/>
      <c r="AD143" s="1" t="s">
        <v>104</v>
      </c>
      <c r="AE143" s="1">
        <v>296</v>
      </c>
      <c r="AF143" s="1">
        <v>321</v>
      </c>
      <c r="AG143" s="1">
        <v>328</v>
      </c>
      <c r="AH143" s="1" t="s">
        <v>50</v>
      </c>
      <c r="AK143" s="4">
        <v>24</v>
      </c>
      <c r="AL143" s="4">
        <v>57</v>
      </c>
    </row>
    <row r="144" spans="1:38" x14ac:dyDescent="0.25">
      <c r="A144" s="1" t="str">
        <f t="shared" si="12"/>
        <v>P2RY1_human_4xNV_TM7</v>
      </c>
      <c r="B144" s="45" t="s">
        <v>215</v>
      </c>
      <c r="C144" s="45" t="s">
        <v>274</v>
      </c>
      <c r="D144" s="4" t="str">
        <f>VLOOKUP(B144,Classification!A:D,2,FALSE)</f>
        <v>A</v>
      </c>
      <c r="E144" s="4" t="str">
        <f>VLOOKUP(B144,Classification!A:D,3,FALSE)</f>
        <v>Nucleotide</v>
      </c>
      <c r="F144" s="4" t="str">
        <f>VLOOKUP(B144,Classification!A:D,4,FALSE)</f>
        <v>P2Y</v>
      </c>
      <c r="G144" s="2">
        <v>13</v>
      </c>
      <c r="H144" s="45" t="s">
        <v>48</v>
      </c>
      <c r="I144" s="2" t="s">
        <v>1223</v>
      </c>
      <c r="J144" s="5" t="str">
        <f>VLOOKUP(B144,Seqs!A:B,2,FALSE)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44" s="4" t="str">
        <f t="shared" si="13"/>
        <v>M</v>
      </c>
      <c r="L144" s="45">
        <f>VLOOKUP(B144,'NonXtal_SegEnds_Prot#'!A:AL,33,FALSE)</f>
        <v>295</v>
      </c>
      <c r="M144" s="45">
        <f>VLOOKUP(B144,'NonXtal_SegEnds_Prot#'!A:AL,34,FALSE)</f>
        <v>321</v>
      </c>
      <c r="N144" s="45">
        <f>VLOOKUP(B144,'NonXtal_SegEnds_Prot#'!A:AL,35,FALSE)</f>
        <v>327</v>
      </c>
      <c r="O144" s="4" t="str">
        <f t="shared" si="14"/>
        <v>A</v>
      </c>
      <c r="P144" s="4"/>
      <c r="Q144" s="47" t="str">
        <f t="shared" si="15"/>
        <v>MCAFNDRVYATYQVTRGLASLNSCVD</v>
      </c>
      <c r="R144" s="27" t="str">
        <f t="shared" si="16"/>
        <v>P</v>
      </c>
      <c r="S144" s="19" t="str">
        <f t="shared" si="17"/>
        <v>ILYFLA</v>
      </c>
      <c r="T144" s="5" t="s">
        <v>51</v>
      </c>
      <c r="Z144" s="4"/>
      <c r="AD144" s="1" t="s">
        <v>104</v>
      </c>
      <c r="AE144" s="1">
        <v>296</v>
      </c>
      <c r="AF144" s="1">
        <v>321</v>
      </c>
      <c r="AG144" s="1">
        <v>327</v>
      </c>
      <c r="AH144" s="1" t="s">
        <v>155</v>
      </c>
      <c r="AK144" s="4">
        <v>24</v>
      </c>
      <c r="AL144" s="4">
        <v>56</v>
      </c>
    </row>
    <row r="145" spans="1:38" x14ac:dyDescent="0.25">
      <c r="A145" s="1" t="str">
        <f t="shared" si="12"/>
        <v>P2Y12_human__wt_TM7</v>
      </c>
      <c r="B145" s="45" t="s">
        <v>216</v>
      </c>
      <c r="C145" s="45" t="s">
        <v>294</v>
      </c>
      <c r="D145" s="4" t="str">
        <f>VLOOKUP(B145,Classification!A:D,2,FALSE)</f>
        <v>A</v>
      </c>
      <c r="E145" s="4" t="str">
        <f>VLOOKUP(B145,Classification!A:D,3,FALSE)</f>
        <v>Nucleotide</v>
      </c>
      <c r="F145" s="4" t="str">
        <f>VLOOKUP(B145,Classification!A:D,4,FALSE)</f>
        <v>P2Y</v>
      </c>
      <c r="G145" s="2">
        <v>13</v>
      </c>
      <c r="H145" s="45" t="s">
        <v>48</v>
      </c>
      <c r="I145" s="2" t="s">
        <v>1223</v>
      </c>
      <c r="J145" s="5" t="str">
        <f>VLOOKUP(B145,Seqs!A:B,2,FALSE)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45" s="4" t="str">
        <f t="shared" si="13"/>
        <v>D</v>
      </c>
      <c r="L145" s="45">
        <f>VLOOKUP(B145,'NonXtal_SegEnds_Prot#'!A:AL,33,FALSE)</f>
        <v>269</v>
      </c>
      <c r="M145" s="45">
        <f>VLOOKUP(B145,'NonXtal_SegEnds_Prot#'!A:AL,34,FALSE)</f>
        <v>295</v>
      </c>
      <c r="N145" s="45">
        <f>VLOOKUP(B145,'NonXtal_SegEnds_Prot#'!A:AL,35,FALSE)</f>
        <v>301</v>
      </c>
      <c r="O145" s="4" t="str">
        <f t="shared" si="14"/>
        <v>L</v>
      </c>
      <c r="P145" s="4"/>
      <c r="Q145" s="47" t="str">
        <f t="shared" si="15"/>
        <v>DCTAENTLFYVKESTLWLTSLNACLD</v>
      </c>
      <c r="R145" s="27" t="str">
        <f t="shared" si="16"/>
        <v>P</v>
      </c>
      <c r="S145" s="19" t="str">
        <f t="shared" si="17"/>
        <v>FIYFFL</v>
      </c>
      <c r="T145" s="5" t="s">
        <v>51</v>
      </c>
      <c r="Z145" s="4"/>
      <c r="AD145" s="1" t="s">
        <v>104</v>
      </c>
      <c r="AE145" s="1">
        <v>270</v>
      </c>
      <c r="AF145" s="1">
        <v>295</v>
      </c>
      <c r="AG145" s="1">
        <v>302</v>
      </c>
      <c r="AH145" s="1" t="s">
        <v>50</v>
      </c>
      <c r="AK145" s="4">
        <v>24</v>
      </c>
      <c r="AL145" s="4">
        <v>57</v>
      </c>
    </row>
    <row r="146" spans="1:38" x14ac:dyDescent="0.25">
      <c r="A146" s="1" t="str">
        <f t="shared" si="12"/>
        <v>P2Y12_human_4PxZ_TM7</v>
      </c>
      <c r="B146" s="45" t="s">
        <v>216</v>
      </c>
      <c r="C146" s="45" t="s">
        <v>242</v>
      </c>
      <c r="D146" s="4" t="str">
        <f>VLOOKUP(B146,Classification!A:D,2,FALSE)</f>
        <v>A</v>
      </c>
      <c r="E146" s="4" t="str">
        <f>VLOOKUP(B146,Classification!A:D,3,FALSE)</f>
        <v>Nucleotide</v>
      </c>
      <c r="F146" s="4" t="str">
        <f>VLOOKUP(B146,Classification!A:D,4,FALSE)</f>
        <v>P2Y</v>
      </c>
      <c r="G146" s="2">
        <v>13</v>
      </c>
      <c r="H146" s="45" t="s">
        <v>48</v>
      </c>
      <c r="I146" s="2" t="s">
        <v>1223</v>
      </c>
      <c r="J146" s="5" t="str">
        <f>VLOOKUP(B146,Seqs!A:B,2,FALSE)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46" s="4" t="str">
        <f t="shared" si="13"/>
        <v>D</v>
      </c>
      <c r="L146" s="45">
        <f>VLOOKUP(B146,'NonXtal_SegEnds_Prot#'!A:AL,33,FALSE)</f>
        <v>269</v>
      </c>
      <c r="M146" s="45">
        <f>VLOOKUP(B146,'NonXtal_SegEnds_Prot#'!A:AL,34,FALSE)</f>
        <v>295</v>
      </c>
      <c r="N146" s="45">
        <f>VLOOKUP(B146,'NonXtal_SegEnds_Prot#'!A:AL,35,FALSE)</f>
        <v>301</v>
      </c>
      <c r="O146" s="4" t="str">
        <f t="shared" si="14"/>
        <v>L</v>
      </c>
      <c r="P146" s="4"/>
      <c r="Q146" s="47" t="str">
        <f t="shared" si="15"/>
        <v>DCTAENTLFYVKESTLWLTSLNACLD</v>
      </c>
      <c r="R146" s="27" t="str">
        <f t="shared" si="16"/>
        <v>P</v>
      </c>
      <c r="S146" s="19" t="str">
        <f t="shared" si="17"/>
        <v>FIYFFL</v>
      </c>
      <c r="T146" s="5" t="s">
        <v>51</v>
      </c>
      <c r="Z146" s="4"/>
      <c r="AD146" s="1" t="s">
        <v>104</v>
      </c>
      <c r="AE146" s="1">
        <v>270</v>
      </c>
      <c r="AF146" s="1">
        <v>295</v>
      </c>
      <c r="AG146" s="1">
        <v>298</v>
      </c>
      <c r="AH146" s="1" t="s">
        <v>160</v>
      </c>
      <c r="AK146" s="4">
        <v>24</v>
      </c>
      <c r="AL146" s="4">
        <v>53</v>
      </c>
    </row>
    <row r="147" spans="1:38" x14ac:dyDescent="0.25">
      <c r="A147" s="1" t="str">
        <f t="shared" si="12"/>
        <v>PAR1_human__wt_TM7</v>
      </c>
      <c r="B147" s="45" t="s">
        <v>229</v>
      </c>
      <c r="C147" s="45" t="s">
        <v>294</v>
      </c>
      <c r="D147" s="4" t="str">
        <f>VLOOKUP(B147,Classification!A:D,2,FALSE)</f>
        <v>A</v>
      </c>
      <c r="E147" s="4" t="str">
        <f>VLOOKUP(B147,Classification!A:D,3,FALSE)</f>
        <v>Peptide</v>
      </c>
      <c r="F147" s="4" t="str">
        <f>VLOOKUP(B147,Classification!A:D,4,FALSE)</f>
        <v>Proteinase-activated</v>
      </c>
      <c r="G147" s="2">
        <v>13</v>
      </c>
      <c r="H147" s="45" t="s">
        <v>48</v>
      </c>
      <c r="I147" s="2" t="s">
        <v>1223</v>
      </c>
      <c r="J147" s="5" t="str">
        <f>VLOOKUP(B147,Seqs!A:B,2,FALSE)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47" s="4" t="str">
        <f t="shared" si="13"/>
        <v>T</v>
      </c>
      <c r="L147" s="45">
        <f>VLOOKUP(B147,'NonXtal_SegEnds_Prot#'!A:AL,33,FALSE)</f>
        <v>346</v>
      </c>
      <c r="M147" s="45">
        <f>VLOOKUP(B147,'NonXtal_SegEnds_Prot#'!A:AL,34,FALSE)</f>
        <v>368</v>
      </c>
      <c r="N147" s="45">
        <f>VLOOKUP(B147,'NonXtal_SegEnds_Prot#'!A:AL,35,FALSE)</f>
        <v>374</v>
      </c>
      <c r="O147" s="4" t="str">
        <f t="shared" si="14"/>
        <v>A</v>
      </c>
      <c r="P147" s="4"/>
      <c r="Q147" s="47" t="str">
        <f t="shared" si="15"/>
        <v>TEAAYFAYLLCVCVSSISCCID</v>
      </c>
      <c r="R147" s="27" t="str">
        <f t="shared" si="16"/>
        <v>P</v>
      </c>
      <c r="S147" s="19" t="str">
        <f t="shared" si="17"/>
        <v>LIYYYA</v>
      </c>
      <c r="T147" s="5" t="s">
        <v>51</v>
      </c>
      <c r="Z147" s="4"/>
      <c r="AD147" s="1" t="s">
        <v>139</v>
      </c>
      <c r="AE147" s="1">
        <v>347</v>
      </c>
      <c r="AF147" s="1">
        <v>368</v>
      </c>
      <c r="AG147" s="1">
        <v>375</v>
      </c>
      <c r="AH147" s="1" t="s">
        <v>50</v>
      </c>
      <c r="AK147" s="4">
        <v>28</v>
      </c>
      <c r="AL147" s="4">
        <v>57</v>
      </c>
    </row>
    <row r="148" spans="1:38" x14ac:dyDescent="0.25">
      <c r="A148" s="1" t="str">
        <f t="shared" si="12"/>
        <v>PAR1_human_3VW7_TM7</v>
      </c>
      <c r="B148" s="45" t="s">
        <v>229</v>
      </c>
      <c r="C148" s="45" t="s">
        <v>285</v>
      </c>
      <c r="D148" s="4" t="str">
        <f>VLOOKUP(B148,Classification!A:D,2,FALSE)</f>
        <v>A</v>
      </c>
      <c r="E148" s="4" t="str">
        <f>VLOOKUP(B148,Classification!A:D,3,FALSE)</f>
        <v>Peptide</v>
      </c>
      <c r="F148" s="4" t="str">
        <f>VLOOKUP(B148,Classification!A:D,4,FALSE)</f>
        <v>Proteinase-activated</v>
      </c>
      <c r="G148" s="2">
        <v>13</v>
      </c>
      <c r="H148" s="45" t="s">
        <v>48</v>
      </c>
      <c r="I148" s="2" t="s">
        <v>1223</v>
      </c>
      <c r="J148" s="5" t="str">
        <f>VLOOKUP(B148,Seqs!A:B,2,FALSE)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48" s="4" t="str">
        <f t="shared" si="13"/>
        <v>T</v>
      </c>
      <c r="L148" s="45">
        <f>VLOOKUP(B148,'NonXtal_SegEnds_Prot#'!A:AL,33,FALSE)</f>
        <v>346</v>
      </c>
      <c r="M148" s="45">
        <f>VLOOKUP(B148,'NonXtal_SegEnds_Prot#'!A:AL,34,FALSE)</f>
        <v>368</v>
      </c>
      <c r="N148" s="45">
        <f>VLOOKUP(B148,'NonXtal_SegEnds_Prot#'!A:AL,35,FALSE)</f>
        <v>374</v>
      </c>
      <c r="O148" s="4" t="str">
        <f t="shared" si="14"/>
        <v>A</v>
      </c>
      <c r="P148" s="4"/>
      <c r="Q148" s="47" t="str">
        <f t="shared" si="15"/>
        <v>TEAAYFAYLLCVCVSSISCCID</v>
      </c>
      <c r="R148" s="27" t="str">
        <f t="shared" si="16"/>
        <v>P</v>
      </c>
      <c r="S148" s="19" t="str">
        <f t="shared" si="17"/>
        <v>LIYYYA</v>
      </c>
      <c r="T148" s="5" t="s">
        <v>51</v>
      </c>
      <c r="Z148" s="4"/>
      <c r="AD148" s="1" t="s">
        <v>139</v>
      </c>
      <c r="AE148" s="1">
        <v>347</v>
      </c>
      <c r="AF148" s="1">
        <v>368</v>
      </c>
      <c r="AG148" s="1">
        <v>375</v>
      </c>
      <c r="AH148" s="1" t="s">
        <v>50</v>
      </c>
      <c r="AK148" s="4">
        <v>28</v>
      </c>
      <c r="AL148" s="4">
        <v>57</v>
      </c>
    </row>
    <row r="149" spans="1:38" x14ac:dyDescent="0.25">
      <c r="A149" s="1" t="str">
        <f t="shared" si="12"/>
        <v>S1PR1_human__wt_TM7</v>
      </c>
      <c r="B149" s="45" t="s">
        <v>217</v>
      </c>
      <c r="C149" s="45" t="s">
        <v>294</v>
      </c>
      <c r="D149" s="4" t="str">
        <f>VLOOKUP(B149,Classification!A:D,2,FALSE)</f>
        <v>A</v>
      </c>
      <c r="E149" s="4" t="str">
        <f>VLOOKUP(B149,Classification!A:D,3,FALSE)</f>
        <v>Lipid</v>
      </c>
      <c r="F149" s="4" t="str">
        <f>VLOOKUP(B149,Classification!A:D,4,FALSE)</f>
        <v>Lysophospholipid(S1P)</v>
      </c>
      <c r="G149" s="2">
        <v>13</v>
      </c>
      <c r="H149" s="45" t="s">
        <v>48</v>
      </c>
      <c r="I149" s="2" t="s">
        <v>1223</v>
      </c>
      <c r="J149" s="5" t="str">
        <f>VLOOKUP(B149,Seqs!A:B,2,FALSE)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49" s="4" t="str">
        <f t="shared" si="13"/>
        <v>D</v>
      </c>
      <c r="L149" s="45">
        <f>VLOOKUP(B149,'NonXtal_SegEnds_Prot#'!A:AL,33,FALSE)</f>
        <v>288</v>
      </c>
      <c r="M149" s="45">
        <f>VLOOKUP(B149,'NonXtal_SegEnds_Prot#'!A:AL,34,FALSE)</f>
        <v>308</v>
      </c>
      <c r="N149" s="45">
        <f>VLOOKUP(B149,'NonXtal_SegEnds_Prot#'!A:AL,35,FALSE)</f>
        <v>314</v>
      </c>
      <c r="O149" s="4" t="str">
        <f t="shared" si="14"/>
        <v>T</v>
      </c>
      <c r="P149" s="4"/>
      <c r="Q149" s="47" t="str">
        <f t="shared" si="15"/>
        <v>DILFRAEYFLVLAVLNSGTN</v>
      </c>
      <c r="R149" s="27" t="str">
        <f t="shared" si="16"/>
        <v>P</v>
      </c>
      <c r="S149" s="19" t="str">
        <f t="shared" si="17"/>
        <v>IIYTLT</v>
      </c>
      <c r="T149" s="5" t="s">
        <v>51</v>
      </c>
      <c r="Z149" s="4"/>
      <c r="AD149" s="1" t="s">
        <v>130</v>
      </c>
      <c r="AE149" s="1">
        <v>293</v>
      </c>
      <c r="AF149" s="1">
        <v>308</v>
      </c>
      <c r="AG149" s="1">
        <v>315</v>
      </c>
      <c r="AH149" s="1" t="s">
        <v>50</v>
      </c>
      <c r="AK149" s="4">
        <v>34</v>
      </c>
      <c r="AL149" s="4">
        <v>57</v>
      </c>
    </row>
    <row r="150" spans="1:38" x14ac:dyDescent="0.25">
      <c r="A150" s="1" t="str">
        <f t="shared" si="12"/>
        <v>S1PR1_human_3V2Y_TM7</v>
      </c>
      <c r="B150" s="45" t="s">
        <v>217</v>
      </c>
      <c r="C150" s="45" t="s">
        <v>286</v>
      </c>
      <c r="D150" s="4" t="str">
        <f>VLOOKUP(B150,Classification!A:D,2,FALSE)</f>
        <v>A</v>
      </c>
      <c r="E150" s="4" t="str">
        <f>VLOOKUP(B150,Classification!A:D,3,FALSE)</f>
        <v>Lipid</v>
      </c>
      <c r="F150" s="4" t="str">
        <f>VLOOKUP(B150,Classification!A:D,4,FALSE)</f>
        <v>Lysophospholipid(S1P)</v>
      </c>
      <c r="G150" s="2">
        <v>13</v>
      </c>
      <c r="H150" s="45" t="s">
        <v>48</v>
      </c>
      <c r="I150" s="2" t="s">
        <v>1223</v>
      </c>
      <c r="J150" s="5" t="str">
        <f>VLOOKUP(B150,Seqs!A:B,2,FALSE)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50" s="4" t="str">
        <f t="shared" si="13"/>
        <v>D</v>
      </c>
      <c r="L150" s="45">
        <f>VLOOKUP(B150,'NonXtal_SegEnds_Prot#'!A:AL,33,FALSE)</f>
        <v>288</v>
      </c>
      <c r="M150" s="45">
        <f>VLOOKUP(B150,'NonXtal_SegEnds_Prot#'!A:AL,34,FALSE)</f>
        <v>308</v>
      </c>
      <c r="N150" s="45">
        <f>VLOOKUP(B150,'NonXtal_SegEnds_Prot#'!A:AL,35,FALSE)</f>
        <v>314</v>
      </c>
      <c r="O150" s="4" t="str">
        <f t="shared" si="14"/>
        <v>T</v>
      </c>
      <c r="P150" s="4"/>
      <c r="Q150" s="47" t="str">
        <f t="shared" si="15"/>
        <v>DILFRAEYFLVLAVLNSGTN</v>
      </c>
      <c r="R150" s="27" t="str">
        <f t="shared" si="16"/>
        <v>P</v>
      </c>
      <c r="S150" s="19" t="str">
        <f t="shared" si="17"/>
        <v>IIYTLT</v>
      </c>
      <c r="T150" s="5" t="s">
        <v>51</v>
      </c>
      <c r="Z150" s="4"/>
      <c r="AD150" s="1" t="s">
        <v>130</v>
      </c>
      <c r="AE150" s="1">
        <v>293</v>
      </c>
      <c r="AF150" s="1">
        <v>308</v>
      </c>
      <c r="AG150" s="1">
        <v>315</v>
      </c>
      <c r="AH150" s="1" t="s">
        <v>50</v>
      </c>
      <c r="AK150" s="4">
        <v>34</v>
      </c>
      <c r="AL150" s="4">
        <v>57</v>
      </c>
    </row>
    <row r="151" spans="1:38" x14ac:dyDescent="0.25">
      <c r="A151" s="1" t="str">
        <f t="shared" si="12"/>
        <v>US28_hcmva__wt_TM7</v>
      </c>
      <c r="B151" s="45" t="s">
        <v>230</v>
      </c>
      <c r="C151" s="45" t="s">
        <v>294</v>
      </c>
      <c r="D151" s="4" t="str">
        <f>VLOOKUP(B151,Classification!A:D,2,FALSE)</f>
        <v>A</v>
      </c>
      <c r="E151" s="4" t="str">
        <f>VLOOKUP(B151,Classification!A:D,3,FALSE)</f>
        <v>Peptide</v>
      </c>
      <c r="F151" s="4" t="str">
        <f>VLOOKUP(B151,Classification!A:D,4,FALSE)</f>
        <v>Chemokine</v>
      </c>
      <c r="G151" s="2">
        <v>13</v>
      </c>
      <c r="H151" s="45" t="s">
        <v>48</v>
      </c>
      <c r="I151" s="2" t="s">
        <v>1223</v>
      </c>
      <c r="J151" s="5" t="str">
        <f>VLOOKUP(B151,Seqs!A:B,2,FALSE)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51" s="4" t="str">
        <f t="shared" si="13"/>
        <v>S</v>
      </c>
      <c r="L151" s="45">
        <f>VLOOKUP(B151,'NonXtal_SegEnds_Prot#'!A:AL,33,FALSE)</f>
        <v>262</v>
      </c>
      <c r="M151" s="45">
        <f>VLOOKUP(B151,'NonXtal_SegEnds_Prot#'!A:AL,34,FALSE)</f>
        <v>288</v>
      </c>
      <c r="N151" s="45">
        <f>VLOOKUP(B151,'NonXtal_SegEnds_Prot#'!A:AL,35,FALSE)</f>
        <v>294</v>
      </c>
      <c r="O151" s="4" t="str">
        <f t="shared" si="14"/>
        <v>V</v>
      </c>
      <c r="P151" s="4"/>
      <c r="Q151" s="47" t="str">
        <f t="shared" si="15"/>
        <v>SCEFERSLKRALILTESLAFCHCCLN</v>
      </c>
      <c r="R151" s="27" t="str">
        <f t="shared" si="16"/>
        <v>P</v>
      </c>
      <c r="S151" s="19" t="str">
        <f t="shared" si="17"/>
        <v>LLYVFV</v>
      </c>
      <c r="T151" s="5" t="s">
        <v>51</v>
      </c>
      <c r="Z151" s="4" t="s">
        <v>64</v>
      </c>
      <c r="AD151" s="1" t="s">
        <v>104</v>
      </c>
      <c r="AE151" s="1">
        <v>263</v>
      </c>
      <c r="AF151" s="1">
        <v>288</v>
      </c>
      <c r="AG151" s="1">
        <v>295</v>
      </c>
      <c r="AH151" s="1" t="s">
        <v>50</v>
      </c>
      <c r="AK151" s="4">
        <v>24</v>
      </c>
      <c r="AL151" s="4">
        <v>57</v>
      </c>
    </row>
    <row r="152" spans="1:38" x14ac:dyDescent="0.25">
      <c r="A152" s="1" t="str">
        <f t="shared" si="12"/>
        <v>US28_hcmva_4xT1_TM7</v>
      </c>
      <c r="B152" s="45" t="s">
        <v>230</v>
      </c>
      <c r="C152" s="45" t="s">
        <v>287</v>
      </c>
      <c r="D152" s="4" t="str">
        <f>VLOOKUP(B152,Classification!A:D,2,FALSE)</f>
        <v>A</v>
      </c>
      <c r="E152" s="4" t="str">
        <f>VLOOKUP(B152,Classification!A:D,3,FALSE)</f>
        <v>Peptide</v>
      </c>
      <c r="F152" s="4" t="str">
        <f>VLOOKUP(B152,Classification!A:D,4,FALSE)</f>
        <v>Chemokine</v>
      </c>
      <c r="G152" s="2">
        <v>13</v>
      </c>
      <c r="H152" s="45" t="s">
        <v>48</v>
      </c>
      <c r="I152" s="2" t="s">
        <v>1223</v>
      </c>
      <c r="J152" s="5" t="str">
        <f>VLOOKUP(B152,Seqs!A:B,2,FALSE)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52" s="4" t="str">
        <f t="shared" si="13"/>
        <v>S</v>
      </c>
      <c r="L152" s="45">
        <f>VLOOKUP(B152,'NonXtal_SegEnds_Prot#'!A:AL,33,FALSE)</f>
        <v>262</v>
      </c>
      <c r="M152" s="45">
        <f>VLOOKUP(B152,'NonXtal_SegEnds_Prot#'!A:AL,34,FALSE)</f>
        <v>288</v>
      </c>
      <c r="N152" s="45">
        <f>VLOOKUP(B152,'NonXtal_SegEnds_Prot#'!A:AL,35,FALSE)</f>
        <v>294</v>
      </c>
      <c r="O152" s="4" t="str">
        <f t="shared" si="14"/>
        <v>V</v>
      </c>
      <c r="P152" s="4"/>
      <c r="Q152" s="47" t="str">
        <f t="shared" si="15"/>
        <v>SCEFERSLKRALILTESLAFCHCCLN</v>
      </c>
      <c r="R152" s="27" t="str">
        <f t="shared" si="16"/>
        <v>P</v>
      </c>
      <c r="S152" s="19" t="str">
        <f t="shared" si="17"/>
        <v>LLYVFV</v>
      </c>
      <c r="T152" s="5" t="s">
        <v>51</v>
      </c>
      <c r="Z152" s="4" t="s">
        <v>64</v>
      </c>
      <c r="AD152" s="1" t="s">
        <v>104</v>
      </c>
      <c r="AE152" s="1">
        <v>263</v>
      </c>
      <c r="AF152" s="1">
        <v>288</v>
      </c>
      <c r="AG152" s="1">
        <v>295</v>
      </c>
      <c r="AH152" s="1" t="s">
        <v>50</v>
      </c>
      <c r="AK152" s="4">
        <v>24</v>
      </c>
      <c r="AL152" s="4">
        <v>57</v>
      </c>
    </row>
    <row r="153" spans="1:38" x14ac:dyDescent="0.25">
      <c r="A153" s="1" t="str">
        <f t="shared" si="12"/>
        <v>grm1_human__wt_TM7</v>
      </c>
      <c r="B153" s="45" t="s">
        <v>223</v>
      </c>
      <c r="C153" s="45" t="s">
        <v>294</v>
      </c>
      <c r="D153" s="4" t="str">
        <f>VLOOKUP(B153,Classification!A:D,2,FALSE)</f>
        <v>C</v>
      </c>
      <c r="E153" s="4" t="str">
        <f>VLOOKUP(B153,Classification!A:D,3,FALSE)</f>
        <v>Aminoacid</v>
      </c>
      <c r="F153" s="4" t="str">
        <f>VLOOKUP(B153,Classification!A:D,4,FALSE)</f>
        <v>Metabotropicglutamate</v>
      </c>
      <c r="G153" s="2">
        <v>13</v>
      </c>
      <c r="H153" s="45" t="s">
        <v>48</v>
      </c>
      <c r="I153" s="2" t="s">
        <v>1223</v>
      </c>
      <c r="J153" s="5" t="str">
        <f>VLOOKUP(B153,Seqs!A:B,2,FALSE)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53" s="4" t="str">
        <f t="shared" si="13"/>
        <v>K</v>
      </c>
      <c r="L153" s="45">
        <f>VLOOKUP(B153,'NonXtal_SegEnds_Prot#'!A:AL,33,FALSE)</f>
        <v>811</v>
      </c>
      <c r="M153" s="45">
        <f>VLOOKUP(B153,'NonXtal_SegEnds_Prot#'!A:AL,34,FALSE)</f>
        <v>827</v>
      </c>
      <c r="N153" s="45">
        <f>VLOOKUP(B153,'NonXtal_SegEnds_Prot#'!A:AL,35,FALSE)</f>
        <v>840</v>
      </c>
      <c r="O153" s="4" t="str">
        <f t="shared" si="14"/>
        <v>A</v>
      </c>
      <c r="P153" s="4"/>
      <c r="Q153" s="47" t="str">
        <f t="shared" si="15"/>
        <v>KIITTCFAVSLSVTVA</v>
      </c>
      <c r="R153" s="27" t="str">
        <f t="shared" si="16"/>
        <v>L</v>
      </c>
      <c r="S153" s="19" t="str">
        <f t="shared" si="17"/>
        <v>GCMFTPKMYIIIA</v>
      </c>
      <c r="U153" s="4" t="s">
        <v>194</v>
      </c>
      <c r="Z153" s="4"/>
      <c r="AD153" s="1" t="s">
        <v>192</v>
      </c>
      <c r="AE153" s="1">
        <v>811</v>
      </c>
      <c r="AF153" s="1">
        <v>827</v>
      </c>
      <c r="AG153" s="1">
        <v>841</v>
      </c>
      <c r="AH153" s="1" t="s">
        <v>193</v>
      </c>
      <c r="AK153" s="4">
        <v>35</v>
      </c>
      <c r="AL153" s="4">
        <v>64</v>
      </c>
    </row>
    <row r="154" spans="1:38" x14ac:dyDescent="0.25">
      <c r="A154" s="1" t="str">
        <f t="shared" si="12"/>
        <v>grm1_human_4OR2_TM7</v>
      </c>
      <c r="B154" s="45" t="s">
        <v>223</v>
      </c>
      <c r="C154" s="45" t="s">
        <v>289</v>
      </c>
      <c r="D154" s="4" t="str">
        <f>VLOOKUP(B154,Classification!A:D,2,FALSE)</f>
        <v>C</v>
      </c>
      <c r="E154" s="4" t="str">
        <f>VLOOKUP(B154,Classification!A:D,3,FALSE)</f>
        <v>Aminoacid</v>
      </c>
      <c r="F154" s="4" t="str">
        <f>VLOOKUP(B154,Classification!A:D,4,FALSE)</f>
        <v>Metabotropicglutamate</v>
      </c>
      <c r="G154" s="2">
        <v>13</v>
      </c>
      <c r="H154" s="45" t="s">
        <v>48</v>
      </c>
      <c r="I154" s="2" t="s">
        <v>1223</v>
      </c>
      <c r="J154" s="5" t="str">
        <f>VLOOKUP(B154,Seqs!A:B,2,FALSE)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54" s="4" t="str">
        <f t="shared" si="13"/>
        <v>K</v>
      </c>
      <c r="L154" s="45">
        <f>VLOOKUP(B154,'NonXtal_SegEnds_Prot#'!A:AL,33,FALSE)</f>
        <v>811</v>
      </c>
      <c r="M154" s="45">
        <f>VLOOKUP(B154,'NonXtal_SegEnds_Prot#'!A:AL,34,FALSE)</f>
        <v>827</v>
      </c>
      <c r="N154" s="45">
        <f>VLOOKUP(B154,'NonXtal_SegEnds_Prot#'!A:AL,35,FALSE)</f>
        <v>840</v>
      </c>
      <c r="O154" s="4" t="str">
        <f t="shared" si="14"/>
        <v>A</v>
      </c>
      <c r="P154" s="4"/>
      <c r="Q154" s="47" t="str">
        <f t="shared" si="15"/>
        <v>KIITTCFAVSLSVTVA</v>
      </c>
      <c r="R154" s="27" t="str">
        <f t="shared" si="16"/>
        <v>L</v>
      </c>
      <c r="S154" s="19" t="str">
        <f t="shared" si="17"/>
        <v>GCMFTPKMYIIIA</v>
      </c>
      <c r="U154" s="4" t="s">
        <v>194</v>
      </c>
      <c r="Z154" s="4"/>
      <c r="AD154" s="1" t="s">
        <v>192</v>
      </c>
      <c r="AE154" s="1">
        <v>811</v>
      </c>
      <c r="AF154" s="1">
        <v>827</v>
      </c>
      <c r="AG154" s="1">
        <v>841</v>
      </c>
      <c r="AH154" s="1" t="s">
        <v>193</v>
      </c>
      <c r="AK154" s="4">
        <v>35</v>
      </c>
      <c r="AL154" s="4">
        <v>64</v>
      </c>
    </row>
    <row r="155" spans="1:38" x14ac:dyDescent="0.25">
      <c r="A155" s="1" t="str">
        <f t="shared" si="12"/>
        <v>grm5_human__wt_TM7</v>
      </c>
      <c r="B155" s="45" t="s">
        <v>224</v>
      </c>
      <c r="C155" s="45" t="s">
        <v>294</v>
      </c>
      <c r="D155" s="4" t="str">
        <f>VLOOKUP(B155,Classification!A:D,2,FALSE)</f>
        <v>C</v>
      </c>
      <c r="E155" s="4" t="str">
        <f>VLOOKUP(B155,Classification!A:D,3,FALSE)</f>
        <v>Aminoacid</v>
      </c>
      <c r="F155" s="4" t="str">
        <f>VLOOKUP(B155,Classification!A:D,4,FALSE)</f>
        <v>Metabotropicglutamate</v>
      </c>
      <c r="G155" s="2">
        <v>13</v>
      </c>
      <c r="H155" s="45" t="s">
        <v>48</v>
      </c>
      <c r="I155" s="2" t="s">
        <v>1223</v>
      </c>
      <c r="J155" s="5" t="str">
        <f>VLOOKUP(B155,Seqs!A:B,2,FALSE)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5" s="4" t="str">
        <f t="shared" si="13"/>
        <v>K</v>
      </c>
      <c r="L155" s="45">
        <f>VLOOKUP(B155,'NonXtal_SegEnds_Prot#'!A:AL,33,FALSE)</f>
        <v>798</v>
      </c>
      <c r="M155" s="45">
        <f>VLOOKUP(B155,'NonXtal_SegEnds_Prot#'!A:AL,34,FALSE)</f>
        <v>814</v>
      </c>
      <c r="N155" s="45">
        <f>VLOOKUP(B155,'NonXtal_SegEnds_Prot#'!A:AL,35,FALSE)</f>
        <v>827</v>
      </c>
      <c r="O155" s="4" t="str">
        <f t="shared" si="14"/>
        <v>A</v>
      </c>
      <c r="P155" s="4"/>
      <c r="Q155" s="47" t="str">
        <f t="shared" si="15"/>
        <v>KIITMCFSVSLSATVA</v>
      </c>
      <c r="R155" s="27" t="str">
        <f t="shared" si="16"/>
        <v>L</v>
      </c>
      <c r="S155" s="19" t="str">
        <f t="shared" si="17"/>
        <v>GCMFVPKVYIILA</v>
      </c>
      <c r="U155" s="4" t="s">
        <v>194</v>
      </c>
      <c r="Z155" s="4"/>
      <c r="AD155" s="1" t="s">
        <v>192</v>
      </c>
      <c r="AE155" s="1">
        <v>798</v>
      </c>
      <c r="AF155" s="1">
        <v>814</v>
      </c>
      <c r="AG155" s="1">
        <v>828</v>
      </c>
      <c r="AH155" s="1" t="s">
        <v>193</v>
      </c>
      <c r="AK155" s="4">
        <v>35</v>
      </c>
      <c r="AL155" s="4">
        <v>64</v>
      </c>
    </row>
    <row r="156" spans="1:38" x14ac:dyDescent="0.25">
      <c r="A156" s="1" t="str">
        <f t="shared" si="12"/>
        <v>grm5_human_4OO9_TM7</v>
      </c>
      <c r="B156" s="45" t="s">
        <v>224</v>
      </c>
      <c r="C156" s="45" t="s">
        <v>248</v>
      </c>
      <c r="D156" s="4" t="str">
        <f>VLOOKUP(B156,Classification!A:D,2,FALSE)</f>
        <v>C</v>
      </c>
      <c r="E156" s="4" t="str">
        <f>VLOOKUP(B156,Classification!A:D,3,FALSE)</f>
        <v>Aminoacid</v>
      </c>
      <c r="F156" s="4" t="str">
        <f>VLOOKUP(B156,Classification!A:D,4,FALSE)</f>
        <v>Metabotropicglutamate</v>
      </c>
      <c r="G156" s="2">
        <v>13</v>
      </c>
      <c r="H156" s="45" t="s">
        <v>48</v>
      </c>
      <c r="I156" s="2" t="s">
        <v>1223</v>
      </c>
      <c r="J156" s="5" t="str">
        <f>VLOOKUP(B156,Seqs!A:B,2,FALSE)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6" s="4" t="str">
        <f t="shared" si="13"/>
        <v>K</v>
      </c>
      <c r="L156" s="45">
        <f>VLOOKUP(B156,'NonXtal_SegEnds_Prot#'!A:AL,33,FALSE)</f>
        <v>798</v>
      </c>
      <c r="M156" s="45">
        <f>VLOOKUP(B156,'NonXtal_SegEnds_Prot#'!A:AL,34,FALSE)</f>
        <v>814</v>
      </c>
      <c r="N156" s="45">
        <f>VLOOKUP(B156,'NonXtal_SegEnds_Prot#'!A:AL,35,FALSE)</f>
        <v>827</v>
      </c>
      <c r="O156" s="4" t="str">
        <f t="shared" si="14"/>
        <v>A</v>
      </c>
      <c r="P156" s="4"/>
      <c r="Q156" s="47" t="str">
        <f t="shared" si="15"/>
        <v>KIITMCFSVSLSATVA</v>
      </c>
      <c r="R156" s="27" t="str">
        <f t="shared" si="16"/>
        <v>L</v>
      </c>
      <c r="S156" s="19" t="str">
        <f t="shared" si="17"/>
        <v>GCMFVPKVYIILA</v>
      </c>
      <c r="U156" s="4" t="s">
        <v>194</v>
      </c>
      <c r="Z156" s="4"/>
      <c r="AD156" s="1" t="s">
        <v>192</v>
      </c>
      <c r="AE156" s="1">
        <v>798</v>
      </c>
      <c r="AF156" s="1">
        <v>814</v>
      </c>
      <c r="AG156" s="1">
        <v>828</v>
      </c>
      <c r="AH156" s="1" t="s">
        <v>193</v>
      </c>
      <c r="AK156" s="4">
        <v>35</v>
      </c>
      <c r="AL156" s="4">
        <v>64</v>
      </c>
    </row>
    <row r="157" spans="1:38" x14ac:dyDescent="0.25">
      <c r="A157" s="1" t="str">
        <f t="shared" si="12"/>
        <v>grm5_human_5CGC_TM7</v>
      </c>
      <c r="B157" s="45" t="s">
        <v>224</v>
      </c>
      <c r="C157" s="45" t="s">
        <v>249</v>
      </c>
      <c r="D157" s="4" t="str">
        <f>VLOOKUP(B157,Classification!A:D,2,FALSE)</f>
        <v>C</v>
      </c>
      <c r="E157" s="4" t="str">
        <f>VLOOKUP(B157,Classification!A:D,3,FALSE)</f>
        <v>Aminoacid</v>
      </c>
      <c r="F157" s="4" t="str">
        <f>VLOOKUP(B157,Classification!A:D,4,FALSE)</f>
        <v>Metabotropicglutamate</v>
      </c>
      <c r="G157" s="2">
        <v>13</v>
      </c>
      <c r="H157" s="45" t="s">
        <v>48</v>
      </c>
      <c r="I157" s="2" t="s">
        <v>1223</v>
      </c>
      <c r="J157" s="5" t="str">
        <f>VLOOKUP(B157,Seqs!A:B,2,FALSE)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7" s="4" t="str">
        <f t="shared" si="13"/>
        <v>K</v>
      </c>
      <c r="L157" s="45">
        <f>VLOOKUP(B157,'NonXtal_SegEnds_Prot#'!A:AL,33,FALSE)</f>
        <v>798</v>
      </c>
      <c r="M157" s="45">
        <f>VLOOKUP(B157,'NonXtal_SegEnds_Prot#'!A:AL,34,FALSE)</f>
        <v>814</v>
      </c>
      <c r="N157" s="45">
        <f>VLOOKUP(B157,'NonXtal_SegEnds_Prot#'!A:AL,35,FALSE)</f>
        <v>827</v>
      </c>
      <c r="O157" s="4" t="str">
        <f t="shared" si="14"/>
        <v>A</v>
      </c>
      <c r="P157" s="4"/>
      <c r="Q157" s="47" t="str">
        <f t="shared" si="15"/>
        <v>KIITMCFSVSLSATVA</v>
      </c>
      <c r="R157" s="27" t="str">
        <f t="shared" si="16"/>
        <v>L</v>
      </c>
      <c r="S157" s="19" t="str">
        <f t="shared" si="17"/>
        <v>GCMFVPKVYIILA</v>
      </c>
      <c r="U157" s="4" t="s">
        <v>194</v>
      </c>
      <c r="Z157" s="4"/>
      <c r="AD157" s="1" t="s">
        <v>192</v>
      </c>
      <c r="AE157" s="1">
        <v>798</v>
      </c>
      <c r="AF157" s="1">
        <v>814</v>
      </c>
      <c r="AG157" s="1">
        <v>828</v>
      </c>
      <c r="AH157" s="1" t="s">
        <v>193</v>
      </c>
      <c r="AK157" s="4">
        <v>35</v>
      </c>
      <c r="AL157" s="4">
        <v>64</v>
      </c>
    </row>
    <row r="158" spans="1:38" x14ac:dyDescent="0.25">
      <c r="A158" s="1" t="str">
        <f t="shared" si="12"/>
        <v>grm5_human_5CGD_TM7</v>
      </c>
      <c r="B158" s="45" t="s">
        <v>224</v>
      </c>
      <c r="C158" s="45" t="s">
        <v>250</v>
      </c>
      <c r="D158" s="4" t="str">
        <f>VLOOKUP(B158,Classification!A:D,2,FALSE)</f>
        <v>C</v>
      </c>
      <c r="E158" s="4" t="str">
        <f>VLOOKUP(B158,Classification!A:D,3,FALSE)</f>
        <v>Aminoacid</v>
      </c>
      <c r="F158" s="4" t="str">
        <f>VLOOKUP(B158,Classification!A:D,4,FALSE)</f>
        <v>Metabotropicglutamate</v>
      </c>
      <c r="G158" s="2">
        <v>13</v>
      </c>
      <c r="H158" s="45" t="s">
        <v>48</v>
      </c>
      <c r="I158" s="2" t="s">
        <v>1223</v>
      </c>
      <c r="J158" s="5" t="str">
        <f>VLOOKUP(B158,Seqs!A:B,2,FALSE)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8" s="4" t="str">
        <f t="shared" si="13"/>
        <v>K</v>
      </c>
      <c r="L158" s="45">
        <f>VLOOKUP(B158,'NonXtal_SegEnds_Prot#'!A:AL,33,FALSE)</f>
        <v>798</v>
      </c>
      <c r="M158" s="45">
        <f>VLOOKUP(B158,'NonXtal_SegEnds_Prot#'!A:AL,34,FALSE)</f>
        <v>814</v>
      </c>
      <c r="N158" s="45">
        <f>VLOOKUP(B158,'NonXtal_SegEnds_Prot#'!A:AL,35,FALSE)</f>
        <v>827</v>
      </c>
      <c r="O158" s="4" t="str">
        <f t="shared" si="14"/>
        <v>A</v>
      </c>
      <c r="P158" s="4"/>
      <c r="Q158" s="47" t="str">
        <f t="shared" si="15"/>
        <v>KIITMCFSVSLSATVA</v>
      </c>
      <c r="R158" s="27" t="str">
        <f t="shared" si="16"/>
        <v>L</v>
      </c>
      <c r="S158" s="19" t="str">
        <f t="shared" si="17"/>
        <v>GCMFVPKVYIILA</v>
      </c>
      <c r="U158" s="4" t="s">
        <v>194</v>
      </c>
      <c r="Z158" s="4"/>
      <c r="AD158" s="1" t="s">
        <v>192</v>
      </c>
      <c r="AE158" s="1">
        <v>798</v>
      </c>
      <c r="AF158" s="1">
        <v>814</v>
      </c>
      <c r="AG158" s="1">
        <v>828</v>
      </c>
      <c r="AH158" s="1" t="s">
        <v>193</v>
      </c>
      <c r="AK158" s="4">
        <v>35</v>
      </c>
      <c r="AL158" s="4">
        <v>64</v>
      </c>
    </row>
    <row r="159" spans="1:38" x14ac:dyDescent="0.25">
      <c r="A159" s="1" t="str">
        <f t="shared" si="12"/>
        <v>HRH1_human__wt_TM4</v>
      </c>
      <c r="B159" s="45" t="s">
        <v>225</v>
      </c>
      <c r="C159" s="45" t="s">
        <v>294</v>
      </c>
      <c r="D159" s="4" t="str">
        <f>VLOOKUP(B159,Classification!A:D,2,FALSE)</f>
        <v>A</v>
      </c>
      <c r="E159" s="4" t="str">
        <f>VLOOKUP(B159,Classification!A:D,3,FALSE)</f>
        <v>Aminergic</v>
      </c>
      <c r="F159" s="4" t="str">
        <f>VLOOKUP(B159,Classification!A:D,4,FALSE)</f>
        <v>Histamine</v>
      </c>
      <c r="G159" s="2">
        <v>7</v>
      </c>
      <c r="H159" s="45" t="s">
        <v>31</v>
      </c>
      <c r="I159" s="2" t="s">
        <v>1223</v>
      </c>
      <c r="J159" s="5" t="str">
        <f>VLOOKUP(B159,Seqs!A:B,2,FALSE)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59" s="4" t="str">
        <f t="shared" si="13"/>
        <v>K</v>
      </c>
      <c r="L159" s="45">
        <f>VLOOKUP(B159,'NonXtal_SegEnds_Prot#'!A:AL,21,FALSE)</f>
        <v>141</v>
      </c>
      <c r="M159" s="45">
        <f>VLOOKUP(B159,'NonXtal_SegEnds_Prot#'!A:AL,22,FALSE)</f>
        <v>152</v>
      </c>
      <c r="N159" s="45">
        <f>VLOOKUP(B159,'NonXtal_SegEnds_Prot#'!A:AL,23,FALSE)</f>
        <v>164</v>
      </c>
      <c r="O159" s="4" t="str">
        <f t="shared" si="14"/>
        <v>G</v>
      </c>
      <c r="P159" s="4"/>
      <c r="Q159" s="47" t="str">
        <f t="shared" si="15"/>
        <v>KTRASATILGA</v>
      </c>
      <c r="R159" s="27" t="str">
        <f t="shared" si="16"/>
        <v>W</v>
      </c>
      <c r="S159" s="19" t="str">
        <f t="shared" si="17"/>
        <v>FLSFLWVIPILG</v>
      </c>
      <c r="V159" s="1" t="s">
        <v>122</v>
      </c>
      <c r="Z159" s="4"/>
      <c r="AD159" s="1" t="s">
        <v>32</v>
      </c>
      <c r="AE159" s="1">
        <v>141</v>
      </c>
      <c r="AF159" s="1">
        <v>152</v>
      </c>
      <c r="AG159" s="1">
        <v>164</v>
      </c>
      <c r="AH159" s="1" t="s">
        <v>81</v>
      </c>
      <c r="AK159" s="4">
        <v>39</v>
      </c>
      <c r="AL159" s="4">
        <v>63</v>
      </c>
    </row>
    <row r="160" spans="1:38" x14ac:dyDescent="0.25">
      <c r="A160" s="1" t="str">
        <f t="shared" si="12"/>
        <v>HRH1_human_3RZE_TM4</v>
      </c>
      <c r="B160" s="45" t="s">
        <v>225</v>
      </c>
      <c r="C160" s="45" t="s">
        <v>264</v>
      </c>
      <c r="D160" s="4" t="str">
        <f>VLOOKUP(B160,Classification!A:D,2,FALSE)</f>
        <v>A</v>
      </c>
      <c r="E160" s="4" t="str">
        <f>VLOOKUP(B160,Classification!A:D,3,FALSE)</f>
        <v>Aminergic</v>
      </c>
      <c r="F160" s="4" t="str">
        <f>VLOOKUP(B160,Classification!A:D,4,FALSE)</f>
        <v>Histamine</v>
      </c>
      <c r="G160" s="2">
        <v>7</v>
      </c>
      <c r="H160" s="45" t="s">
        <v>31</v>
      </c>
      <c r="I160" s="2" t="s">
        <v>1223</v>
      </c>
      <c r="J160" s="5" t="str">
        <f>VLOOKUP(B160,Seqs!A:B,2,FALSE)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60" s="4" t="str">
        <f t="shared" si="13"/>
        <v>K</v>
      </c>
      <c r="L160" s="45">
        <f>VLOOKUP(B160,'NonXtal_SegEnds_Prot#'!A:AL,21,FALSE)</f>
        <v>141</v>
      </c>
      <c r="M160" s="45">
        <f>VLOOKUP(B160,'NonXtal_SegEnds_Prot#'!A:AL,22,FALSE)</f>
        <v>152</v>
      </c>
      <c r="N160" s="45">
        <f>VLOOKUP(B160,'NonXtal_SegEnds_Prot#'!A:AL,23,FALSE)</f>
        <v>164</v>
      </c>
      <c r="O160" s="4" t="str">
        <f t="shared" si="14"/>
        <v>G</v>
      </c>
      <c r="P160" s="4"/>
      <c r="Q160" s="47" t="str">
        <f t="shared" si="15"/>
        <v>KTRASATILGA</v>
      </c>
      <c r="R160" s="28" t="str">
        <f t="shared" si="16"/>
        <v>W</v>
      </c>
      <c r="S160" s="20" t="str">
        <f t="shared" si="17"/>
        <v>FLSFLWVIPILG</v>
      </c>
      <c r="V160" s="1" t="s">
        <v>122</v>
      </c>
      <c r="Z160" s="4"/>
      <c r="AD160" s="1" t="s">
        <v>32</v>
      </c>
      <c r="AE160" s="1">
        <v>141</v>
      </c>
      <c r="AF160" s="1">
        <v>152</v>
      </c>
      <c r="AG160" s="1">
        <v>164</v>
      </c>
      <c r="AH160" s="1" t="s">
        <v>81</v>
      </c>
      <c r="AK160" s="4">
        <v>39</v>
      </c>
      <c r="AL160" s="4">
        <v>63</v>
      </c>
    </row>
    <row r="161" spans="1:38" x14ac:dyDescent="0.25">
      <c r="A161" s="1" t="str">
        <f t="shared" si="12"/>
        <v>5ht1b_human__wt_TM5</v>
      </c>
      <c r="B161" s="45" t="s">
        <v>208</v>
      </c>
      <c r="C161" s="45" t="s">
        <v>294</v>
      </c>
      <c r="D161" s="4" t="str">
        <f>VLOOKUP(B161,Classification!A:D,2,FALSE)</f>
        <v>A</v>
      </c>
      <c r="E161" s="4" t="str">
        <f>VLOOKUP(B161,Classification!A:D,3,FALSE)</f>
        <v>Aminergic</v>
      </c>
      <c r="F161" s="4" t="str">
        <f>VLOOKUP(B161,Classification!A:D,4,FALSE)</f>
        <v>5-Hydroxytryptamine</v>
      </c>
      <c r="G161" s="2">
        <v>9</v>
      </c>
      <c r="H161" s="45" t="s">
        <v>39</v>
      </c>
      <c r="I161" s="2" t="s">
        <v>1223</v>
      </c>
      <c r="J161" s="5" t="str">
        <f>VLOOKUP(B161,Seqs!A:B,2,FALSE)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61" s="4" t="str">
        <f t="shared" si="13"/>
        <v>H</v>
      </c>
      <c r="L161" s="45">
        <f>VLOOKUP(B161,'NonXtal_SegEnds_Prot#'!A:AL,27,FALSE)</f>
        <v>205</v>
      </c>
      <c r="M161" s="45">
        <f>VLOOKUP(B161,'NonXtal_SegEnds_Prot#'!A:AL,28,FALSE)</f>
        <v>220</v>
      </c>
      <c r="N161" s="45">
        <f>VLOOKUP(B161,'NonXtal_SegEnds_Prot#'!A:AL,29,FALSE)</f>
        <v>244</v>
      </c>
      <c r="O161" s="4" t="str">
        <f t="shared" si="14"/>
        <v>P</v>
      </c>
      <c r="P161" s="4"/>
      <c r="Q161" s="47" t="str">
        <f t="shared" si="15"/>
        <v>HILYTVYSTVGAFYF</v>
      </c>
      <c r="R161" s="27" t="str">
        <f t="shared" si="16"/>
        <v>P</v>
      </c>
      <c r="S161" s="19" t="str">
        <f t="shared" si="17"/>
        <v>TLLLIALYGRIYVEARSRILKQTP</v>
      </c>
      <c r="V161" s="1" t="s">
        <v>43</v>
      </c>
      <c r="Z161" s="4"/>
      <c r="AD161" s="1" t="s">
        <v>40</v>
      </c>
      <c r="AE161" s="1">
        <v>206</v>
      </c>
      <c r="AF161" s="1">
        <v>220</v>
      </c>
      <c r="AG161" s="1">
        <v>246</v>
      </c>
      <c r="AH161" s="1" t="s">
        <v>41</v>
      </c>
      <c r="AK161" s="4">
        <v>37</v>
      </c>
      <c r="AL161" s="4">
        <v>76</v>
      </c>
    </row>
    <row r="162" spans="1:38" x14ac:dyDescent="0.25">
      <c r="A162" s="1" t="str">
        <f t="shared" si="12"/>
        <v>5ht1b_human_4IAQ_TM5</v>
      </c>
      <c r="B162" s="45" t="s">
        <v>208</v>
      </c>
      <c r="C162" s="53" t="s">
        <v>1249</v>
      </c>
      <c r="D162" s="4" t="str">
        <f>VLOOKUP(B162,Classification!A:D,2,FALSE)</f>
        <v>A</v>
      </c>
      <c r="E162" s="4" t="str">
        <f>VLOOKUP(B162,Classification!A:D,3,FALSE)</f>
        <v>Aminergic</v>
      </c>
      <c r="F162" s="4" t="str">
        <f>VLOOKUP(B162,Classification!A:D,4,FALSE)</f>
        <v>5-Hydroxytryptamine</v>
      </c>
      <c r="G162" s="2">
        <v>9</v>
      </c>
      <c r="H162" s="45" t="s">
        <v>39</v>
      </c>
      <c r="I162" s="2" t="s">
        <v>1223</v>
      </c>
      <c r="J162" s="5" t="str">
        <f>VLOOKUP(B162,Seqs!A:B,2,FALSE)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62" s="4" t="str">
        <f t="shared" si="13"/>
        <v>H</v>
      </c>
      <c r="L162" s="45">
        <f>VLOOKUP(B162,'NonXtal_SegEnds_Prot#'!A:AL,27,FALSE)</f>
        <v>205</v>
      </c>
      <c r="M162" s="45">
        <f>VLOOKUP(B162,'NonXtal_SegEnds_Prot#'!A:AL,28,FALSE)</f>
        <v>220</v>
      </c>
      <c r="N162" s="45">
        <f>VLOOKUP(B162,'NonXtal_SegEnds_Prot#'!A:AL,29,FALSE)</f>
        <v>244</v>
      </c>
      <c r="O162" s="4" t="str">
        <f t="shared" si="14"/>
        <v>P</v>
      </c>
      <c r="P162" s="4"/>
      <c r="Q162" s="47" t="str">
        <f t="shared" si="15"/>
        <v>HILYTVYSTVGAFYF</v>
      </c>
      <c r="R162" s="27" t="str">
        <f t="shared" si="16"/>
        <v>P</v>
      </c>
      <c r="S162" s="19" t="str">
        <f t="shared" si="17"/>
        <v>TLLLIALYGRIYVEARSRILKQTP</v>
      </c>
      <c r="V162" s="1" t="s">
        <v>43</v>
      </c>
      <c r="Z162" s="4"/>
      <c r="AD162" s="1" t="s">
        <v>40</v>
      </c>
      <c r="AE162" s="1">
        <v>206</v>
      </c>
      <c r="AF162" s="1">
        <v>220</v>
      </c>
      <c r="AG162" s="1">
        <v>238</v>
      </c>
      <c r="AH162" s="1" t="s">
        <v>101</v>
      </c>
      <c r="AK162" s="4">
        <v>37</v>
      </c>
      <c r="AL162" s="4">
        <v>68</v>
      </c>
    </row>
    <row r="163" spans="1:38" x14ac:dyDescent="0.25">
      <c r="A163" s="1" t="str">
        <f t="shared" si="12"/>
        <v>5ht1b_human_4IAR_TM5</v>
      </c>
      <c r="B163" s="45" t="s">
        <v>208</v>
      </c>
      <c r="C163" s="45" t="s">
        <v>251</v>
      </c>
      <c r="D163" s="4" t="str">
        <f>VLOOKUP(B163,Classification!A:D,2,FALSE)</f>
        <v>A</v>
      </c>
      <c r="E163" s="4" t="str">
        <f>VLOOKUP(B163,Classification!A:D,3,FALSE)</f>
        <v>Aminergic</v>
      </c>
      <c r="F163" s="4" t="str">
        <f>VLOOKUP(B163,Classification!A:D,4,FALSE)</f>
        <v>5-Hydroxytryptamine</v>
      </c>
      <c r="G163" s="2">
        <v>9</v>
      </c>
      <c r="H163" s="45" t="s">
        <v>39</v>
      </c>
      <c r="I163" s="2" t="s">
        <v>1223</v>
      </c>
      <c r="J163" s="5" t="str">
        <f>VLOOKUP(B163,Seqs!A:B,2,FALSE)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63" s="4" t="str">
        <f t="shared" si="13"/>
        <v>H</v>
      </c>
      <c r="L163" s="45">
        <f>VLOOKUP(B163,'NonXtal_SegEnds_Prot#'!A:AL,27,FALSE)</f>
        <v>205</v>
      </c>
      <c r="M163" s="45">
        <f>VLOOKUP(B163,'NonXtal_SegEnds_Prot#'!A:AL,28,FALSE)</f>
        <v>220</v>
      </c>
      <c r="N163" s="45">
        <f>VLOOKUP(B163,'NonXtal_SegEnds_Prot#'!A:AL,29,FALSE)</f>
        <v>244</v>
      </c>
      <c r="O163" s="4" t="str">
        <f t="shared" si="14"/>
        <v>P</v>
      </c>
      <c r="P163" s="4"/>
      <c r="Q163" s="47" t="str">
        <f t="shared" si="15"/>
        <v>HILYTVYSTVGAFYF</v>
      </c>
      <c r="R163" s="27" t="str">
        <f t="shared" si="16"/>
        <v>P</v>
      </c>
      <c r="S163" s="19" t="str">
        <f t="shared" si="17"/>
        <v>TLLLIALYGRIYVEARSRILKQTP</v>
      </c>
      <c r="V163" s="1" t="s">
        <v>43</v>
      </c>
      <c r="Z163" s="4"/>
      <c r="AD163" s="1" t="s">
        <v>40</v>
      </c>
      <c r="AE163" s="1">
        <v>206</v>
      </c>
      <c r="AF163" s="1">
        <v>220</v>
      </c>
      <c r="AG163" s="1">
        <v>239</v>
      </c>
      <c r="AH163" s="1" t="s">
        <v>73</v>
      </c>
      <c r="AK163" s="4">
        <v>37</v>
      </c>
      <c r="AL163" s="4">
        <v>69</v>
      </c>
    </row>
    <row r="164" spans="1:38" x14ac:dyDescent="0.25">
      <c r="A164" s="1" t="str">
        <f t="shared" si="12"/>
        <v>5ht2b_human__wt_TM5</v>
      </c>
      <c r="B164" s="45" t="s">
        <v>209</v>
      </c>
      <c r="C164" s="45" t="s">
        <v>294</v>
      </c>
      <c r="D164" s="4" t="str">
        <f>VLOOKUP(B164,Classification!A:D,2,FALSE)</f>
        <v>A</v>
      </c>
      <c r="E164" s="4" t="str">
        <f>VLOOKUP(B164,Classification!A:D,3,FALSE)</f>
        <v>Aminergic</v>
      </c>
      <c r="F164" s="4" t="str">
        <f>VLOOKUP(B164,Classification!A:D,4,FALSE)</f>
        <v>5-Hydroxytryptamine</v>
      </c>
      <c r="G164" s="2">
        <v>9</v>
      </c>
      <c r="H164" s="45" t="s">
        <v>39</v>
      </c>
      <c r="I164" s="2" t="s">
        <v>1223</v>
      </c>
      <c r="J164" s="5" t="str">
        <f>VLOOKUP(B164,Seqs!A:B,2,FALSE)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64" s="4" t="str">
        <f t="shared" si="13"/>
        <v>F</v>
      </c>
      <c r="L164" s="45">
        <f>VLOOKUP(B164,'NonXtal_SegEnds_Prot#'!A:AL,27,FALSE)</f>
        <v>214</v>
      </c>
      <c r="M164" s="45">
        <f>VLOOKUP(B164,'NonXtal_SegEnds_Prot#'!A:AL,28,FALSE)</f>
        <v>229</v>
      </c>
      <c r="N164" s="45">
        <f>VLOOKUP(B164,'NonXtal_SegEnds_Prot#'!A:AL,29,FALSE)</f>
        <v>255</v>
      </c>
      <c r="O164" s="4" t="str">
        <f t="shared" si="14"/>
        <v>P</v>
      </c>
      <c r="P164" s="4"/>
      <c r="Q164" s="47" t="str">
        <f t="shared" si="15"/>
        <v>FGDFMLFGSLAAFFT</v>
      </c>
      <c r="R164" s="27" t="str">
        <f t="shared" si="16"/>
        <v>P</v>
      </c>
      <c r="S164" s="19" t="str">
        <f t="shared" si="17"/>
        <v>LAIMIVTYFLTIHALQKKAYLVKNKP</v>
      </c>
      <c r="V164" s="1" t="s">
        <v>43</v>
      </c>
      <c r="Z164" s="4"/>
      <c r="AD164" s="1" t="s">
        <v>40</v>
      </c>
      <c r="AE164" s="1">
        <v>215</v>
      </c>
      <c r="AF164" s="1">
        <v>229</v>
      </c>
      <c r="AG164" s="1">
        <v>255</v>
      </c>
      <c r="AH164" s="1" t="s">
        <v>41</v>
      </c>
      <c r="AK164" s="4">
        <v>37</v>
      </c>
      <c r="AL164" s="4">
        <v>76</v>
      </c>
    </row>
    <row r="165" spans="1:38" x14ac:dyDescent="0.25">
      <c r="A165" s="1" t="str">
        <f t="shared" si="12"/>
        <v>5ht2b_human_4IB4_TM5</v>
      </c>
      <c r="B165" s="45" t="s">
        <v>209</v>
      </c>
      <c r="C165" s="45" t="s">
        <v>261</v>
      </c>
      <c r="D165" s="4" t="str">
        <f>VLOOKUP(B165,Classification!A:D,2,FALSE)</f>
        <v>A</v>
      </c>
      <c r="E165" s="4" t="str">
        <f>VLOOKUP(B165,Classification!A:D,3,FALSE)</f>
        <v>Aminergic</v>
      </c>
      <c r="F165" s="4" t="str">
        <f>VLOOKUP(B165,Classification!A:D,4,FALSE)</f>
        <v>5-Hydroxytryptamine</v>
      </c>
      <c r="G165" s="2">
        <v>9</v>
      </c>
      <c r="H165" s="45" t="s">
        <v>39</v>
      </c>
      <c r="I165" s="2" t="s">
        <v>1223</v>
      </c>
      <c r="J165" s="5" t="str">
        <f>VLOOKUP(B165,Seqs!A:B,2,FALSE)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65" s="4" t="str">
        <f t="shared" si="13"/>
        <v>F</v>
      </c>
      <c r="L165" s="45">
        <f>VLOOKUP(B165,'NonXtal_SegEnds_Prot#'!A:AL,27,FALSE)</f>
        <v>214</v>
      </c>
      <c r="M165" s="45">
        <f>VLOOKUP(B165,'NonXtal_SegEnds_Prot#'!A:AL,28,FALSE)</f>
        <v>229</v>
      </c>
      <c r="N165" s="45">
        <f>VLOOKUP(B165,'NonXtal_SegEnds_Prot#'!A:AL,29,FALSE)</f>
        <v>255</v>
      </c>
      <c r="O165" s="4" t="str">
        <f t="shared" si="14"/>
        <v>P</v>
      </c>
      <c r="P165" s="4"/>
      <c r="Q165" s="47" t="str">
        <f t="shared" si="15"/>
        <v>FGDFMLFGSLAAFFT</v>
      </c>
      <c r="R165" s="27" t="str">
        <f t="shared" si="16"/>
        <v>P</v>
      </c>
      <c r="S165" s="19" t="str">
        <f t="shared" si="17"/>
        <v>LAIMIVTYFLTIHALQKKAYLVKNKP</v>
      </c>
      <c r="V165" s="1" t="s">
        <v>43</v>
      </c>
      <c r="Z165" s="4"/>
      <c r="AD165" s="1" t="s">
        <v>40</v>
      </c>
      <c r="AE165" s="1">
        <v>215</v>
      </c>
      <c r="AF165" s="1">
        <v>229</v>
      </c>
      <c r="AG165" s="1">
        <v>246</v>
      </c>
      <c r="AH165" s="1" t="s">
        <v>42</v>
      </c>
      <c r="AK165" s="4">
        <v>37</v>
      </c>
      <c r="AL165" s="4">
        <v>67</v>
      </c>
    </row>
    <row r="166" spans="1:38" x14ac:dyDescent="0.25">
      <c r="A166" s="1" t="str">
        <f t="shared" si="12"/>
        <v>ACM1_human__wt_TM5</v>
      </c>
      <c r="B166" s="45" t="s">
        <v>218</v>
      </c>
      <c r="C166" s="45" t="s">
        <v>294</v>
      </c>
      <c r="D166" s="4" t="str">
        <f>VLOOKUP(B166,Classification!A:D,2,FALSE)</f>
        <v>A</v>
      </c>
      <c r="E166" s="4" t="str">
        <f>VLOOKUP(B166,Classification!A:D,3,FALSE)</f>
        <v>Aminergic</v>
      </c>
      <c r="F166" s="4" t="str">
        <f>VLOOKUP(B166,Classification!A:D,4,FALSE)</f>
        <v>Acetylcholine(muscarinic)</v>
      </c>
      <c r="G166" s="2">
        <v>9</v>
      </c>
      <c r="H166" s="45" t="s">
        <v>39</v>
      </c>
      <c r="I166" s="2" t="s">
        <v>1223</v>
      </c>
      <c r="J166" s="5" t="str">
        <f>VLOOKUP(B166,Seqs!A:B,2,FALSE)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66" s="4" t="str">
        <f t="shared" si="13"/>
        <v>Q</v>
      </c>
      <c r="L166" s="45">
        <f>VLOOKUP(B166,'NonXtal_SegEnds_Prot#'!A:AL,27,FALSE)</f>
        <v>185</v>
      </c>
      <c r="M166" s="45">
        <f>VLOOKUP(B166,'NonXtal_SegEnds_Prot#'!A:AL,28,FALSE)</f>
        <v>200</v>
      </c>
      <c r="N166" s="45">
        <f>VLOOKUP(B166,'NonXtal_SegEnds_Prot#'!A:AL,29,FALSE)</f>
        <v>225</v>
      </c>
      <c r="O166" s="4" t="str">
        <f t="shared" si="14"/>
        <v>L</v>
      </c>
      <c r="P166" s="4"/>
      <c r="Q166" s="47" t="str">
        <f t="shared" si="15"/>
        <v>QPIITFGTAMAAFYL</v>
      </c>
      <c r="R166" s="27" t="str">
        <f t="shared" si="16"/>
        <v>P</v>
      </c>
      <c r="S166" s="19" t="str">
        <f t="shared" si="17"/>
        <v>VTVMCTLYWRIYRETENRARELAAL</v>
      </c>
      <c r="V166" s="1" t="s">
        <v>43</v>
      </c>
      <c r="Z166" s="4" t="s">
        <v>78</v>
      </c>
      <c r="AD166" s="1" t="s">
        <v>40</v>
      </c>
      <c r="AE166" s="1">
        <v>186</v>
      </c>
      <c r="AF166" s="1">
        <v>200</v>
      </c>
      <c r="AG166" s="1">
        <v>225</v>
      </c>
      <c r="AH166" s="1" t="s">
        <v>82</v>
      </c>
      <c r="AK166" s="4">
        <v>37</v>
      </c>
      <c r="AL166" s="4">
        <v>75</v>
      </c>
    </row>
    <row r="167" spans="1:38" x14ac:dyDescent="0.25">
      <c r="A167" s="1" t="str">
        <f t="shared" si="12"/>
        <v>ACM1_human_5CXV_TM5</v>
      </c>
      <c r="B167" s="45" t="s">
        <v>218</v>
      </c>
      <c r="C167" s="45" t="s">
        <v>253</v>
      </c>
      <c r="D167" s="4" t="str">
        <f>VLOOKUP(B167,Classification!A:D,2,FALSE)</f>
        <v>A</v>
      </c>
      <c r="E167" s="4" t="str">
        <f>VLOOKUP(B167,Classification!A:D,3,FALSE)</f>
        <v>Aminergic</v>
      </c>
      <c r="F167" s="4" t="str">
        <f>VLOOKUP(B167,Classification!A:D,4,FALSE)</f>
        <v>Acetylcholine(muscarinic)</v>
      </c>
      <c r="G167" s="2">
        <v>9</v>
      </c>
      <c r="H167" s="45" t="s">
        <v>39</v>
      </c>
      <c r="I167" s="2" t="s">
        <v>1223</v>
      </c>
      <c r="J167" s="5" t="str">
        <f>VLOOKUP(B167,Seqs!A:B,2,FALSE)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67" s="4" t="str">
        <f t="shared" si="13"/>
        <v>Q</v>
      </c>
      <c r="L167" s="45">
        <f>VLOOKUP(B167,'NonXtal_SegEnds_Prot#'!A:AL,27,FALSE)</f>
        <v>185</v>
      </c>
      <c r="M167" s="45">
        <f>VLOOKUP(B167,'NonXtal_SegEnds_Prot#'!A:AL,28,FALSE)</f>
        <v>200</v>
      </c>
      <c r="N167" s="45">
        <f>VLOOKUP(B167,'NonXtal_SegEnds_Prot#'!A:AL,29,FALSE)</f>
        <v>225</v>
      </c>
      <c r="O167" s="4" t="str">
        <f t="shared" si="14"/>
        <v>L</v>
      </c>
      <c r="P167" s="4"/>
      <c r="Q167" s="47" t="str">
        <f t="shared" si="15"/>
        <v>QPIITFGTAMAAFYL</v>
      </c>
      <c r="R167" s="27" t="str">
        <f t="shared" si="16"/>
        <v>P</v>
      </c>
      <c r="S167" s="19" t="str">
        <f t="shared" si="17"/>
        <v>VTVMCTLYWRIYRETENRARELAAL</v>
      </c>
      <c r="V167" s="1" t="s">
        <v>43</v>
      </c>
      <c r="Z167" s="4" t="s">
        <v>78</v>
      </c>
      <c r="AD167" s="1" t="s">
        <v>40</v>
      </c>
      <c r="AE167" s="1">
        <v>186</v>
      </c>
      <c r="AF167" s="1">
        <v>200</v>
      </c>
      <c r="AG167" s="1">
        <v>213</v>
      </c>
      <c r="AH167" s="1" t="s">
        <v>83</v>
      </c>
      <c r="AK167" s="4">
        <v>37</v>
      </c>
      <c r="AL167" s="4">
        <v>63</v>
      </c>
    </row>
    <row r="168" spans="1:38" x14ac:dyDescent="0.25">
      <c r="A168" s="1" t="str">
        <f t="shared" si="12"/>
        <v>ACM2_human__wt_TM5</v>
      </c>
      <c r="B168" s="45" t="s">
        <v>219</v>
      </c>
      <c r="C168" s="45" t="s">
        <v>294</v>
      </c>
      <c r="D168" s="4" t="str">
        <f>VLOOKUP(B168,Classification!A:D,2,FALSE)</f>
        <v>A</v>
      </c>
      <c r="E168" s="4" t="str">
        <f>VLOOKUP(B168,Classification!A:D,3,FALSE)</f>
        <v>Aminergic</v>
      </c>
      <c r="F168" s="4" t="str">
        <f>VLOOKUP(B168,Classification!A:D,4,FALSE)</f>
        <v>Acetylcholine(muscarinic)</v>
      </c>
      <c r="G168" s="2">
        <v>9</v>
      </c>
      <c r="H168" s="45" t="s">
        <v>39</v>
      </c>
      <c r="I168" s="2" t="s">
        <v>1223</v>
      </c>
      <c r="J168" s="5" t="str">
        <f>VLOOKUP(B168,Seqs!A:B,2,FALSE)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68" s="4" t="str">
        <f t="shared" si="13"/>
        <v>N</v>
      </c>
      <c r="L168" s="45">
        <f>VLOOKUP(B168,'NonXtal_SegEnds_Prot#'!A:AL,27,FALSE)</f>
        <v>183</v>
      </c>
      <c r="M168" s="45">
        <f>VLOOKUP(B168,'NonXtal_SegEnds_Prot#'!A:AL,28,FALSE)</f>
        <v>198</v>
      </c>
      <c r="N168" s="45">
        <f>VLOOKUP(B168,'NonXtal_SegEnds_Prot#'!A:AL,29,FALSE)</f>
        <v>223</v>
      </c>
      <c r="O168" s="4" t="str">
        <f t="shared" si="14"/>
        <v>E</v>
      </c>
      <c r="P168" s="4"/>
      <c r="Q168" s="47" t="str">
        <f t="shared" si="15"/>
        <v>NAAVTFGTAIAAFYL</v>
      </c>
      <c r="R168" s="27" t="str">
        <f t="shared" si="16"/>
        <v>P</v>
      </c>
      <c r="S168" s="19" t="str">
        <f t="shared" si="17"/>
        <v>VIIMTVLYWHISRASKSRIKKDKKE</v>
      </c>
      <c r="V168" s="1" t="s">
        <v>43</v>
      </c>
      <c r="Z168" s="4" t="s">
        <v>78</v>
      </c>
      <c r="AD168" s="1" t="s">
        <v>40</v>
      </c>
      <c r="AE168" s="1">
        <v>184</v>
      </c>
      <c r="AF168" s="1">
        <v>198</v>
      </c>
      <c r="AG168" s="1">
        <v>223</v>
      </c>
      <c r="AH168" s="1" t="s">
        <v>82</v>
      </c>
      <c r="AK168" s="4">
        <v>37</v>
      </c>
      <c r="AL168" s="4">
        <v>75</v>
      </c>
    </row>
    <row r="169" spans="1:38" x14ac:dyDescent="0.25">
      <c r="A169" s="1" t="str">
        <f t="shared" si="12"/>
        <v>ACM2_human_3UON_TM5</v>
      </c>
      <c r="B169" s="45" t="s">
        <v>219</v>
      </c>
      <c r="C169" s="45" t="s">
        <v>270</v>
      </c>
      <c r="D169" s="4" t="str">
        <f>VLOOKUP(B169,Classification!A:D,2,FALSE)</f>
        <v>A</v>
      </c>
      <c r="E169" s="4" t="str">
        <f>VLOOKUP(B169,Classification!A:D,3,FALSE)</f>
        <v>Aminergic</v>
      </c>
      <c r="F169" s="4" t="str">
        <f>VLOOKUP(B169,Classification!A:D,4,FALSE)</f>
        <v>Acetylcholine(muscarinic)</v>
      </c>
      <c r="G169" s="2">
        <v>9</v>
      </c>
      <c r="H169" s="45" t="s">
        <v>39</v>
      </c>
      <c r="I169" s="2" t="s">
        <v>1223</v>
      </c>
      <c r="J169" s="5" t="str">
        <f>VLOOKUP(B169,Seqs!A:B,2,FALSE)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69" s="4" t="str">
        <f t="shared" si="13"/>
        <v>N</v>
      </c>
      <c r="L169" s="45">
        <f>VLOOKUP(B169,'NonXtal_SegEnds_Prot#'!A:AL,27,FALSE)</f>
        <v>183</v>
      </c>
      <c r="M169" s="45">
        <f>VLOOKUP(B169,'NonXtal_SegEnds_Prot#'!A:AL,28,FALSE)</f>
        <v>198</v>
      </c>
      <c r="N169" s="45">
        <f>VLOOKUP(B169,'NonXtal_SegEnds_Prot#'!A:AL,29,FALSE)</f>
        <v>223</v>
      </c>
      <c r="O169" s="4" t="str">
        <f t="shared" si="14"/>
        <v>E</v>
      </c>
      <c r="P169" s="4"/>
      <c r="Q169" s="47" t="str">
        <f t="shared" si="15"/>
        <v>NAAVTFGTAIAAFYL</v>
      </c>
      <c r="R169" s="27" t="str">
        <f t="shared" si="16"/>
        <v>P</v>
      </c>
      <c r="S169" s="19" t="str">
        <f t="shared" si="17"/>
        <v>VIIMTVLYWHISRASKSRIKKDKKE</v>
      </c>
      <c r="V169" s="1" t="s">
        <v>43</v>
      </c>
      <c r="Z169" s="4" t="s">
        <v>78</v>
      </c>
      <c r="AD169" s="1" t="s">
        <v>40</v>
      </c>
      <c r="AE169" s="1">
        <v>184</v>
      </c>
      <c r="AF169" s="1">
        <v>198</v>
      </c>
      <c r="AG169" s="1">
        <v>215</v>
      </c>
      <c r="AH169" s="1" t="s">
        <v>42</v>
      </c>
      <c r="AK169" s="4">
        <v>37</v>
      </c>
      <c r="AL169" s="4">
        <v>67</v>
      </c>
    </row>
    <row r="170" spans="1:38" x14ac:dyDescent="0.25">
      <c r="A170" s="1" t="str">
        <f t="shared" si="12"/>
        <v>ACM2_human_4MQS_TM5</v>
      </c>
      <c r="B170" s="45" t="s">
        <v>219</v>
      </c>
      <c r="C170" s="45" t="s">
        <v>259</v>
      </c>
      <c r="D170" s="4" t="str">
        <f>VLOOKUP(B170,Classification!A:D,2,FALSE)</f>
        <v>A</v>
      </c>
      <c r="E170" s="4" t="str">
        <f>VLOOKUP(B170,Classification!A:D,3,FALSE)</f>
        <v>Aminergic</v>
      </c>
      <c r="F170" s="4" t="str">
        <f>VLOOKUP(B170,Classification!A:D,4,FALSE)</f>
        <v>Acetylcholine(muscarinic)</v>
      </c>
      <c r="G170" s="2">
        <v>9</v>
      </c>
      <c r="H170" s="45" t="s">
        <v>39</v>
      </c>
      <c r="I170" s="2" t="s">
        <v>1223</v>
      </c>
      <c r="J170" s="5" t="str">
        <f>VLOOKUP(B170,Seqs!A:B,2,FALSE)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70" s="4" t="str">
        <f t="shared" si="13"/>
        <v>N</v>
      </c>
      <c r="L170" s="45">
        <f>VLOOKUP(B170,'NonXtal_SegEnds_Prot#'!A:AL,27,FALSE)</f>
        <v>183</v>
      </c>
      <c r="M170" s="45">
        <f>VLOOKUP(B170,'NonXtal_SegEnds_Prot#'!A:AL,28,FALSE)</f>
        <v>198</v>
      </c>
      <c r="N170" s="45">
        <f>VLOOKUP(B170,'NonXtal_SegEnds_Prot#'!A:AL,29,FALSE)</f>
        <v>223</v>
      </c>
      <c r="O170" s="4" t="str">
        <f t="shared" si="14"/>
        <v>E</v>
      </c>
      <c r="P170" s="4"/>
      <c r="Q170" s="47" t="str">
        <f t="shared" si="15"/>
        <v>NAAVTFGTAIAAFYL</v>
      </c>
      <c r="R170" s="27" t="str">
        <f t="shared" si="16"/>
        <v>P</v>
      </c>
      <c r="S170" s="19" t="str">
        <f t="shared" si="17"/>
        <v>VIIMTVLYWHISRASKSRIKKDKKE</v>
      </c>
      <c r="V170" s="1" t="s">
        <v>43</v>
      </c>
      <c r="Z170" s="4" t="s">
        <v>64</v>
      </c>
      <c r="AD170" s="1" t="s">
        <v>40</v>
      </c>
      <c r="AE170" s="1">
        <v>184</v>
      </c>
      <c r="AF170" s="1">
        <v>198</v>
      </c>
      <c r="AG170" s="1">
        <v>214</v>
      </c>
      <c r="AH170" s="1" t="s">
        <v>88</v>
      </c>
      <c r="AK170" s="4">
        <v>37</v>
      </c>
      <c r="AL170" s="4">
        <v>66</v>
      </c>
    </row>
    <row r="171" spans="1:38" x14ac:dyDescent="0.25">
      <c r="A171" s="1" t="str">
        <f t="shared" si="12"/>
        <v>ACM3_rat__wt_TM5</v>
      </c>
      <c r="B171" s="45" t="s">
        <v>236</v>
      </c>
      <c r="C171" s="45" t="s">
        <v>294</v>
      </c>
      <c r="D171" s="4" t="str">
        <f>VLOOKUP(B171,Classification!A:D,2,FALSE)</f>
        <v>A</v>
      </c>
      <c r="E171" s="4" t="str">
        <f>VLOOKUP(B171,Classification!A:D,3,FALSE)</f>
        <v>Aminergic</v>
      </c>
      <c r="F171" s="4" t="str">
        <f>VLOOKUP(B171,Classification!A:D,4,FALSE)</f>
        <v>Acetylcholine(muscarinic)</v>
      </c>
      <c r="G171" s="2">
        <v>9</v>
      </c>
      <c r="H171" s="45" t="s">
        <v>39</v>
      </c>
      <c r="I171" s="2" t="s">
        <v>1223</v>
      </c>
      <c r="J171" s="5" t="str">
        <f>VLOOKUP(B171,Seqs!A:B,2,FALSE)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71" s="4" t="str">
        <f t="shared" si="13"/>
        <v>E</v>
      </c>
      <c r="L171" s="45">
        <f>VLOOKUP(B171,'NonXtal_SegEnds_Prot#'!A:AL,27,FALSE)</f>
        <v>227</v>
      </c>
      <c r="M171" s="45">
        <f>VLOOKUP(B171,'NonXtal_SegEnds_Prot#'!A:AL,28,FALSE)</f>
        <v>242</v>
      </c>
      <c r="N171" s="45">
        <f>VLOOKUP(B171,'NonXtal_SegEnds_Prot#'!A:AL,29,FALSE)</f>
        <v>267</v>
      </c>
      <c r="O171" s="4" t="str">
        <f t="shared" si="14"/>
        <v>L</v>
      </c>
      <c r="P171" s="4"/>
      <c r="Q171" s="47" t="str">
        <f t="shared" si="15"/>
        <v>EPTITFGTAIAAFYM</v>
      </c>
      <c r="R171" s="27" t="str">
        <f t="shared" si="16"/>
        <v>P</v>
      </c>
      <c r="S171" s="19" t="str">
        <f t="shared" si="17"/>
        <v>VTIMTILYWRIYKETEKRTKELAGL</v>
      </c>
      <c r="V171" s="1" t="s">
        <v>43</v>
      </c>
      <c r="Z171" s="4"/>
      <c r="AD171" s="1" t="s">
        <v>40</v>
      </c>
      <c r="AE171" s="1">
        <v>228</v>
      </c>
      <c r="AF171" s="1">
        <v>242</v>
      </c>
      <c r="AG171" s="1">
        <v>267</v>
      </c>
      <c r="AH171" s="1" t="s">
        <v>82</v>
      </c>
      <c r="AK171" s="4">
        <v>37</v>
      </c>
      <c r="AL171" s="4">
        <v>75</v>
      </c>
    </row>
    <row r="172" spans="1:38" x14ac:dyDescent="0.25">
      <c r="A172" s="1" t="str">
        <f t="shared" si="12"/>
        <v>ACM3_rat_4U15_TM5</v>
      </c>
      <c r="B172" s="45" t="s">
        <v>236</v>
      </c>
      <c r="C172" s="45" t="s">
        <v>262</v>
      </c>
      <c r="D172" s="4" t="str">
        <f>VLOOKUP(B172,Classification!A:D,2,FALSE)</f>
        <v>A</v>
      </c>
      <c r="E172" s="4" t="str">
        <f>VLOOKUP(B172,Classification!A:D,3,FALSE)</f>
        <v>Aminergic</v>
      </c>
      <c r="F172" s="4" t="str">
        <f>VLOOKUP(B172,Classification!A:D,4,FALSE)</f>
        <v>Acetylcholine(muscarinic)</v>
      </c>
      <c r="G172" s="2">
        <v>9</v>
      </c>
      <c r="H172" s="45" t="s">
        <v>39</v>
      </c>
      <c r="I172" s="2" t="s">
        <v>1223</v>
      </c>
      <c r="J172" s="5" t="str">
        <f>VLOOKUP(B172,Seqs!A:B,2,FALSE)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72" s="4" t="str">
        <f t="shared" si="13"/>
        <v>E</v>
      </c>
      <c r="L172" s="45">
        <f>VLOOKUP(B172,'NonXtal_SegEnds_Prot#'!A:AL,27,FALSE)</f>
        <v>227</v>
      </c>
      <c r="M172" s="45">
        <f>VLOOKUP(B172,'NonXtal_SegEnds_Prot#'!A:AL,28,FALSE)</f>
        <v>242</v>
      </c>
      <c r="N172" s="45">
        <f>VLOOKUP(B172,'NonXtal_SegEnds_Prot#'!A:AL,29,FALSE)</f>
        <v>267</v>
      </c>
      <c r="O172" s="4" t="str">
        <f t="shared" si="14"/>
        <v>L</v>
      </c>
      <c r="P172" s="4"/>
      <c r="Q172" s="47" t="str">
        <f t="shared" si="15"/>
        <v>EPTITFGTAIAAFYM</v>
      </c>
      <c r="R172" s="27" t="str">
        <f t="shared" si="16"/>
        <v>P</v>
      </c>
      <c r="S172" s="19" t="str">
        <f t="shared" si="17"/>
        <v>VTIMTILYWRIYKETEKRTKELAGL</v>
      </c>
      <c r="V172" s="1" t="s">
        <v>43</v>
      </c>
      <c r="Z172" s="4"/>
      <c r="AD172" s="1" t="s">
        <v>40</v>
      </c>
      <c r="AE172" s="1">
        <v>228</v>
      </c>
      <c r="AF172" s="1">
        <v>242</v>
      </c>
      <c r="AG172" s="1">
        <v>259</v>
      </c>
      <c r="AH172" s="1" t="s">
        <v>42</v>
      </c>
      <c r="AK172" s="4">
        <v>37</v>
      </c>
      <c r="AL172" s="4">
        <v>67</v>
      </c>
    </row>
    <row r="173" spans="1:38" x14ac:dyDescent="0.25">
      <c r="A173" s="1" t="str">
        <f t="shared" si="12"/>
        <v>ACM4_human__wt_TM5</v>
      </c>
      <c r="B173" s="45" t="s">
        <v>220</v>
      </c>
      <c r="C173" s="45" t="s">
        <v>294</v>
      </c>
      <c r="D173" s="4" t="str">
        <f>VLOOKUP(B173,Classification!A:D,2,FALSE)</f>
        <v>A</v>
      </c>
      <c r="E173" s="4" t="str">
        <f>VLOOKUP(B173,Classification!A:D,3,FALSE)</f>
        <v>Aminergic</v>
      </c>
      <c r="F173" s="4" t="str">
        <f>VLOOKUP(B173,Classification!A:D,4,FALSE)</f>
        <v>Acetylcholine(muscarinic)</v>
      </c>
      <c r="G173" s="2">
        <v>9</v>
      </c>
      <c r="H173" s="45" t="s">
        <v>39</v>
      </c>
      <c r="I173" s="2" t="s">
        <v>1223</v>
      </c>
      <c r="J173" s="5" t="str">
        <f>VLOOKUP(B173,Seqs!A:B,2,FALSE)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73" s="4" t="str">
        <f t="shared" si="13"/>
        <v>N</v>
      </c>
      <c r="L173" s="45">
        <f>VLOOKUP(B173,'NonXtal_SegEnds_Prot#'!A:AL,27,FALSE)</f>
        <v>192</v>
      </c>
      <c r="M173" s="45">
        <f>VLOOKUP(B173,'NonXtal_SegEnds_Prot#'!A:AL,28,FALSE)</f>
        <v>207</v>
      </c>
      <c r="N173" s="45">
        <f>VLOOKUP(B173,'NonXtal_SegEnds_Prot#'!A:AL,29,FALSE)</f>
        <v>232</v>
      </c>
      <c r="O173" s="4" t="str">
        <f t="shared" si="14"/>
        <v>E</v>
      </c>
      <c r="P173" s="4"/>
      <c r="Q173" s="47" t="str">
        <f t="shared" si="15"/>
        <v>NPAVTFGTAIAAFYL</v>
      </c>
      <c r="R173" s="27" t="str">
        <f t="shared" si="16"/>
        <v>P</v>
      </c>
      <c r="S173" s="19" t="str">
        <f t="shared" si="17"/>
        <v>VVIMTVLYIHISLASRSRVHKHRPE</v>
      </c>
      <c r="V173" s="1" t="s">
        <v>43</v>
      </c>
      <c r="Z173" s="4" t="s">
        <v>78</v>
      </c>
      <c r="AD173" s="1" t="s">
        <v>40</v>
      </c>
      <c r="AE173" s="1">
        <v>193</v>
      </c>
      <c r="AF173" s="1">
        <v>207</v>
      </c>
      <c r="AG173" s="1">
        <v>232</v>
      </c>
      <c r="AH173" s="1" t="s">
        <v>82</v>
      </c>
      <c r="AK173" s="4">
        <v>37</v>
      </c>
      <c r="AL173" s="4">
        <v>75</v>
      </c>
    </row>
    <row r="174" spans="1:38" x14ac:dyDescent="0.25">
      <c r="A174" s="1" t="str">
        <f t="shared" si="12"/>
        <v>ACM4_human_5DSG_TM5</v>
      </c>
      <c r="B174" s="45" t="s">
        <v>220</v>
      </c>
      <c r="C174" s="45" t="s">
        <v>252</v>
      </c>
      <c r="D174" s="4" t="str">
        <f>VLOOKUP(B174,Classification!A:D,2,FALSE)</f>
        <v>A</v>
      </c>
      <c r="E174" s="4" t="str">
        <f>VLOOKUP(B174,Classification!A:D,3,FALSE)</f>
        <v>Aminergic</v>
      </c>
      <c r="F174" s="4" t="str">
        <f>VLOOKUP(B174,Classification!A:D,4,FALSE)</f>
        <v>Acetylcholine(muscarinic)</v>
      </c>
      <c r="G174" s="2">
        <v>9</v>
      </c>
      <c r="H174" s="45" t="s">
        <v>39</v>
      </c>
      <c r="I174" s="2" t="s">
        <v>1223</v>
      </c>
      <c r="J174" s="5" t="str">
        <f>VLOOKUP(B174,Seqs!A:B,2,FALSE)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74" s="4" t="str">
        <f t="shared" si="13"/>
        <v>N</v>
      </c>
      <c r="L174" s="45">
        <f>VLOOKUP(B174,'NonXtal_SegEnds_Prot#'!A:AL,27,FALSE)</f>
        <v>192</v>
      </c>
      <c r="M174" s="45">
        <f>VLOOKUP(B174,'NonXtal_SegEnds_Prot#'!A:AL,28,FALSE)</f>
        <v>207</v>
      </c>
      <c r="N174" s="45">
        <f>VLOOKUP(B174,'NonXtal_SegEnds_Prot#'!A:AL,29,FALSE)</f>
        <v>232</v>
      </c>
      <c r="O174" s="4" t="str">
        <f t="shared" si="14"/>
        <v>E</v>
      </c>
      <c r="P174" s="4"/>
      <c r="Q174" s="47" t="str">
        <f t="shared" si="15"/>
        <v>NPAVTFGTAIAAFYL</v>
      </c>
      <c r="R174" s="27" t="str">
        <f t="shared" si="16"/>
        <v>P</v>
      </c>
      <c r="S174" s="19" t="str">
        <f t="shared" si="17"/>
        <v>VVIMTVLYIHISLASRSRVHKHRPE</v>
      </c>
      <c r="V174" s="1" t="s">
        <v>43</v>
      </c>
      <c r="Z174" s="4" t="s">
        <v>78</v>
      </c>
      <c r="AD174" s="1" t="s">
        <v>40</v>
      </c>
      <c r="AE174" s="1">
        <v>193</v>
      </c>
      <c r="AF174" s="1">
        <v>207</v>
      </c>
      <c r="AG174" s="1">
        <v>220</v>
      </c>
      <c r="AH174" s="1" t="s">
        <v>83</v>
      </c>
      <c r="AK174" s="4">
        <v>37</v>
      </c>
      <c r="AL174" s="4">
        <v>63</v>
      </c>
    </row>
    <row r="175" spans="1:38" x14ac:dyDescent="0.25">
      <c r="A175" s="1" t="str">
        <f t="shared" si="12"/>
        <v>ADRB1_melga__wt_TM5</v>
      </c>
      <c r="B175" s="45" t="s">
        <v>235</v>
      </c>
      <c r="C175" s="45" t="s">
        <v>294</v>
      </c>
      <c r="D175" s="4" t="str">
        <f>VLOOKUP(B175,Classification!A:D,2,FALSE)</f>
        <v>A</v>
      </c>
      <c r="E175" s="4" t="str">
        <f>VLOOKUP(B175,Classification!A:D,3,FALSE)</f>
        <v>Aminergic</v>
      </c>
      <c r="F175" s="4" t="str">
        <f>VLOOKUP(B175,Classification!A:D,4,FALSE)</f>
        <v>Adrenoceptors</v>
      </c>
      <c r="G175" s="2">
        <v>9</v>
      </c>
      <c r="H175" s="45" t="s">
        <v>39</v>
      </c>
      <c r="I175" s="2" t="s">
        <v>1223</v>
      </c>
      <c r="J175" s="5" t="str">
        <f>VLOOKUP(B175,Seqs!A:B,2,FALSE)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5" s="4" t="str">
        <f t="shared" si="13"/>
        <v>N</v>
      </c>
      <c r="L175" s="45">
        <f>VLOOKUP(B175,'NonXtal_SegEnds_Prot#'!A:AL,27,FALSE)</f>
        <v>204</v>
      </c>
      <c r="M175" s="45">
        <f>VLOOKUP(B175,'NonXtal_SegEnds_Prot#'!A:AL,28,FALSE)</f>
        <v>219</v>
      </c>
      <c r="N175" s="45">
        <f>VLOOKUP(B175,'NonXtal_SegEnds_Prot#'!A:AL,29,FALSE)</f>
        <v>245</v>
      </c>
      <c r="O175" s="4" t="str">
        <f t="shared" si="14"/>
        <v>E</v>
      </c>
      <c r="P175" s="4"/>
      <c r="Q175" s="47" t="str">
        <f t="shared" si="15"/>
        <v>NRAYAIASSIISFYI</v>
      </c>
      <c r="R175" s="27" t="str">
        <f t="shared" si="16"/>
        <v>P</v>
      </c>
      <c r="S175" s="19" t="str">
        <f t="shared" si="17"/>
        <v>LLIMIFVYLRVYREAKEQIRKIDRCE</v>
      </c>
      <c r="V175" s="1" t="s">
        <v>43</v>
      </c>
      <c r="Z175" s="4"/>
      <c r="AD175" s="1" t="s">
        <v>40</v>
      </c>
      <c r="AE175" s="1">
        <v>205</v>
      </c>
      <c r="AF175" s="1">
        <v>219</v>
      </c>
      <c r="AG175" s="1">
        <v>245</v>
      </c>
      <c r="AH175" s="1" t="s">
        <v>41</v>
      </c>
      <c r="AK175" s="4">
        <v>37</v>
      </c>
      <c r="AL175" s="25">
        <v>76</v>
      </c>
    </row>
    <row r="176" spans="1:38" x14ac:dyDescent="0.25">
      <c r="A176" s="1" t="str">
        <f t="shared" si="12"/>
        <v>ADRB1_melga_2Y02_TM5</v>
      </c>
      <c r="B176" s="45" t="s">
        <v>235</v>
      </c>
      <c r="C176" s="45" t="s">
        <v>1230</v>
      </c>
      <c r="D176" s="4" t="str">
        <f>VLOOKUP(B176,Classification!A:D,2,FALSE)</f>
        <v>A</v>
      </c>
      <c r="E176" s="4" t="str">
        <f>VLOOKUP(B176,Classification!A:D,3,FALSE)</f>
        <v>Aminergic</v>
      </c>
      <c r="F176" s="4" t="str">
        <f>VLOOKUP(B176,Classification!A:D,4,FALSE)</f>
        <v>Adrenoceptors</v>
      </c>
      <c r="G176" s="2">
        <v>9</v>
      </c>
      <c r="H176" s="45" t="s">
        <v>39</v>
      </c>
      <c r="I176" s="2" t="s">
        <v>1223</v>
      </c>
      <c r="J176" s="5" t="str">
        <f>VLOOKUP(B176,Seqs!A:B,2,FALSE)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6" s="4" t="str">
        <f t="shared" si="13"/>
        <v>N</v>
      </c>
      <c r="L176" s="45">
        <f>VLOOKUP(B176,'NonXtal_SegEnds_Prot#'!A:AL,27,FALSE)</f>
        <v>204</v>
      </c>
      <c r="M176" s="45">
        <f>VLOOKUP(B176,'NonXtal_SegEnds_Prot#'!A:AL,28,FALSE)</f>
        <v>219</v>
      </c>
      <c r="N176" s="45">
        <f>VLOOKUP(B176,'NonXtal_SegEnds_Prot#'!A:AL,29,FALSE)</f>
        <v>245</v>
      </c>
      <c r="O176" s="4" t="str">
        <f t="shared" si="14"/>
        <v>E</v>
      </c>
      <c r="P176" s="4"/>
      <c r="Q176" s="47" t="str">
        <f t="shared" si="15"/>
        <v>NRAYAIASSIISFYI</v>
      </c>
      <c r="R176" s="28" t="str">
        <f t="shared" si="16"/>
        <v>P</v>
      </c>
      <c r="S176" s="20" t="str">
        <f t="shared" si="17"/>
        <v>LLIMIFVYLRVYREAKEQIRKIDRCE</v>
      </c>
      <c r="V176" s="1" t="s">
        <v>43</v>
      </c>
      <c r="Z176" s="4"/>
      <c r="AD176" s="1" t="s">
        <v>40</v>
      </c>
      <c r="AE176" s="1">
        <v>205</v>
      </c>
      <c r="AF176" s="1">
        <v>219</v>
      </c>
      <c r="AG176" s="1">
        <v>239</v>
      </c>
      <c r="AH176" s="1" t="s">
        <v>90</v>
      </c>
      <c r="AK176" s="4">
        <v>37</v>
      </c>
      <c r="AL176" s="4">
        <v>69</v>
      </c>
    </row>
    <row r="177" spans="1:38" x14ac:dyDescent="0.25">
      <c r="A177" s="1" t="str">
        <f t="shared" si="12"/>
        <v>ADRB1_melga_2YCW_TM5</v>
      </c>
      <c r="B177" s="45" t="s">
        <v>235</v>
      </c>
      <c r="C177" s="45" t="s">
        <v>1233</v>
      </c>
      <c r="D177" s="4" t="str">
        <f>VLOOKUP(B177,Classification!A:D,2,FALSE)</f>
        <v>A</v>
      </c>
      <c r="E177" s="4" t="str">
        <f>VLOOKUP(B177,Classification!A:D,3,FALSE)</f>
        <v>Aminergic</v>
      </c>
      <c r="F177" s="4" t="str">
        <f>VLOOKUP(B177,Classification!A:D,4,FALSE)</f>
        <v>Adrenoceptors</v>
      </c>
      <c r="G177" s="2">
        <v>9</v>
      </c>
      <c r="H177" s="45" t="s">
        <v>39</v>
      </c>
      <c r="I177" s="2" t="s">
        <v>1223</v>
      </c>
      <c r="J177" s="5" t="str">
        <f>VLOOKUP(B177,Seqs!A:B,2,FALSE)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7" s="4" t="str">
        <f t="shared" si="13"/>
        <v>N</v>
      </c>
      <c r="L177" s="45">
        <f>VLOOKUP(B177,'NonXtal_SegEnds_Prot#'!A:AL,27,FALSE)</f>
        <v>204</v>
      </c>
      <c r="M177" s="45">
        <f>VLOOKUP(B177,'NonXtal_SegEnds_Prot#'!A:AL,28,FALSE)</f>
        <v>219</v>
      </c>
      <c r="N177" s="45">
        <f>VLOOKUP(B177,'NonXtal_SegEnds_Prot#'!A:AL,29,FALSE)</f>
        <v>245</v>
      </c>
      <c r="O177" s="4" t="str">
        <f t="shared" si="14"/>
        <v>E</v>
      </c>
      <c r="P177" s="4"/>
      <c r="Q177" s="47" t="str">
        <f t="shared" si="15"/>
        <v>NRAYAIASSIISFYI</v>
      </c>
      <c r="R177" s="28" t="str">
        <f t="shared" si="16"/>
        <v>P</v>
      </c>
      <c r="S177" s="20" t="str">
        <f t="shared" si="17"/>
        <v>LLIMIFVYLRVYREAKEQIRKIDRCE</v>
      </c>
      <c r="V177" s="1" t="s">
        <v>43</v>
      </c>
      <c r="Z177" s="4"/>
      <c r="AD177" s="1" t="s">
        <v>40</v>
      </c>
      <c r="AE177" s="1">
        <v>205</v>
      </c>
      <c r="AF177" s="1">
        <v>219</v>
      </c>
      <c r="AG177" s="1">
        <v>239</v>
      </c>
      <c r="AH177" s="1" t="s">
        <v>90</v>
      </c>
      <c r="AK177" s="4">
        <v>37</v>
      </c>
      <c r="AL177" s="4">
        <v>71</v>
      </c>
    </row>
    <row r="178" spans="1:38" x14ac:dyDescent="0.25">
      <c r="A178" s="1" t="str">
        <f t="shared" si="12"/>
        <v>ADRB1_melga_4BVN_TM5</v>
      </c>
      <c r="B178" s="45" t="s">
        <v>235</v>
      </c>
      <c r="C178" s="45" t="s">
        <v>273</v>
      </c>
      <c r="D178" s="4" t="str">
        <f>VLOOKUP(B178,Classification!A:D,2,FALSE)</f>
        <v>A</v>
      </c>
      <c r="E178" s="4" t="str">
        <f>VLOOKUP(B178,Classification!A:D,3,FALSE)</f>
        <v>Aminergic</v>
      </c>
      <c r="F178" s="4" t="str">
        <f>VLOOKUP(B178,Classification!A:D,4,FALSE)</f>
        <v>Adrenoceptors</v>
      </c>
      <c r="G178" s="2">
        <v>9</v>
      </c>
      <c r="H178" s="45" t="s">
        <v>39</v>
      </c>
      <c r="I178" s="2" t="s">
        <v>1223</v>
      </c>
      <c r="J178" s="5" t="str">
        <f>VLOOKUP(B178,Seqs!A:B,2,FALSE)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8" s="4" t="str">
        <f t="shared" si="13"/>
        <v>N</v>
      </c>
      <c r="L178" s="45">
        <f>VLOOKUP(B178,'NonXtal_SegEnds_Prot#'!A:AL,27,FALSE)</f>
        <v>204</v>
      </c>
      <c r="M178" s="45">
        <f>VLOOKUP(B178,'NonXtal_SegEnds_Prot#'!A:AL,28,FALSE)</f>
        <v>219</v>
      </c>
      <c r="N178" s="45">
        <f>VLOOKUP(B178,'NonXtal_SegEnds_Prot#'!A:AL,29,FALSE)</f>
        <v>245</v>
      </c>
      <c r="O178" s="4" t="str">
        <f t="shared" si="14"/>
        <v>E</v>
      </c>
      <c r="P178" s="4"/>
      <c r="Q178" s="47" t="str">
        <f t="shared" si="15"/>
        <v>NRAYAIASSIISFYI</v>
      </c>
      <c r="R178" s="28" t="str">
        <f t="shared" si="16"/>
        <v>P</v>
      </c>
      <c r="S178" s="20" t="str">
        <f t="shared" si="17"/>
        <v>LLIMIFVYLRVYREAKEQIRKIDRCE</v>
      </c>
      <c r="V178" s="1" t="s">
        <v>43</v>
      </c>
      <c r="Z178" s="4"/>
      <c r="AD178" s="1" t="s">
        <v>40</v>
      </c>
      <c r="AE178" s="1">
        <v>205</v>
      </c>
      <c r="AF178" s="1">
        <v>219</v>
      </c>
      <c r="AG178" s="1">
        <v>239</v>
      </c>
      <c r="AH178" s="1" t="s">
        <v>90</v>
      </c>
      <c r="AK178" s="4">
        <v>37</v>
      </c>
      <c r="AL178" s="4">
        <v>70</v>
      </c>
    </row>
    <row r="179" spans="1:38" x14ac:dyDescent="0.25">
      <c r="A179" s="1" t="str">
        <f t="shared" si="12"/>
        <v>ADRB2_human__wt_TM5</v>
      </c>
      <c r="B179" s="45" t="s">
        <v>211</v>
      </c>
      <c r="C179" s="54" t="s">
        <v>294</v>
      </c>
      <c r="D179" s="4" t="str">
        <f>VLOOKUP(B179,Classification!A:D,2,FALSE)</f>
        <v>A</v>
      </c>
      <c r="E179" s="4" t="str">
        <f>VLOOKUP(B179,Classification!A:D,3,FALSE)</f>
        <v>Aminergic</v>
      </c>
      <c r="F179" s="4" t="str">
        <f>VLOOKUP(B179,Classification!A:D,4,FALSE)</f>
        <v>Adrenoceptors</v>
      </c>
      <c r="G179" s="2">
        <v>9</v>
      </c>
      <c r="H179" s="45" t="s">
        <v>39</v>
      </c>
      <c r="I179" s="2" t="s">
        <v>1223</v>
      </c>
      <c r="J179" s="35" t="str">
        <f>VLOOKUP(B179,Seqs!A:B,2,FALSE)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79" s="4" t="str">
        <f t="shared" si="13"/>
        <v>N</v>
      </c>
      <c r="L179" s="45">
        <f>VLOOKUP(B179,'NonXtal_SegEnds_Prot#'!A:AL,27,FALSE)</f>
        <v>196</v>
      </c>
      <c r="M179" s="45">
        <f>VLOOKUP(B179,'NonXtal_SegEnds_Prot#'!A:AL,28,FALSE)</f>
        <v>211</v>
      </c>
      <c r="N179" s="45">
        <f>VLOOKUP(B179,'NonXtal_SegEnds_Prot#'!A:AL,29,FALSE)</f>
        <v>237</v>
      </c>
      <c r="O179" s="4" t="str">
        <f t="shared" si="14"/>
        <v>E</v>
      </c>
      <c r="P179" s="2"/>
      <c r="Q179" s="47" t="str">
        <f t="shared" si="15"/>
        <v>NQAYAIASSIVSFYV</v>
      </c>
      <c r="R179" s="28" t="str">
        <f t="shared" si="16"/>
        <v>P</v>
      </c>
      <c r="S179" s="20" t="str">
        <f t="shared" si="17"/>
        <v>LVIMVFVYSRVFQEAKRQLQKIDKSE</v>
      </c>
      <c r="V179" s="1" t="s">
        <v>43</v>
      </c>
      <c r="Z179" s="4" t="s">
        <v>64</v>
      </c>
      <c r="AD179" s="1" t="s">
        <v>40</v>
      </c>
      <c r="AE179" s="1">
        <v>198</v>
      </c>
      <c r="AF179" s="1">
        <v>211</v>
      </c>
      <c r="AG179" s="1">
        <v>237</v>
      </c>
      <c r="AH179" s="1" t="s">
        <v>41</v>
      </c>
      <c r="AK179" s="2">
        <v>37</v>
      </c>
      <c r="AL179" s="2">
        <v>76</v>
      </c>
    </row>
    <row r="180" spans="1:38" x14ac:dyDescent="0.25">
      <c r="A180" s="1" t="str">
        <f t="shared" si="12"/>
        <v>ADRB2_human_3D4S_TM5</v>
      </c>
      <c r="B180" s="45" t="s">
        <v>211</v>
      </c>
      <c r="C180" s="45" t="s">
        <v>267</v>
      </c>
      <c r="D180" s="4" t="str">
        <f>VLOOKUP(B180,Classification!A:D,2,FALSE)</f>
        <v>A</v>
      </c>
      <c r="E180" s="4" t="str">
        <f>VLOOKUP(B180,Classification!A:D,3,FALSE)</f>
        <v>Aminergic</v>
      </c>
      <c r="F180" s="4" t="str">
        <f>VLOOKUP(B180,Classification!A:D,4,FALSE)</f>
        <v>Adrenoceptors</v>
      </c>
      <c r="G180" s="2">
        <v>9</v>
      </c>
      <c r="H180" s="45" t="s">
        <v>39</v>
      </c>
      <c r="I180" s="2" t="s">
        <v>1223</v>
      </c>
      <c r="J180" s="35" t="str">
        <f>VLOOKUP(B180,Seqs!A:B,2,FALSE)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0" s="4" t="str">
        <f t="shared" si="13"/>
        <v>N</v>
      </c>
      <c r="L180" s="45">
        <f>VLOOKUP(B180,'NonXtal_SegEnds_Prot#'!A:AL,27,FALSE)</f>
        <v>196</v>
      </c>
      <c r="M180" s="45">
        <f>VLOOKUP(B180,'NonXtal_SegEnds_Prot#'!A:AL,28,FALSE)</f>
        <v>211</v>
      </c>
      <c r="N180" s="45">
        <f>VLOOKUP(B180,'NonXtal_SegEnds_Prot#'!A:AL,29,FALSE)</f>
        <v>237</v>
      </c>
      <c r="O180" s="4" t="str">
        <f t="shared" si="14"/>
        <v>E</v>
      </c>
      <c r="P180" s="2"/>
      <c r="Q180" s="47" t="str">
        <f t="shared" si="15"/>
        <v>NQAYAIASSIVSFYV</v>
      </c>
      <c r="R180" s="27" t="str">
        <f t="shared" si="16"/>
        <v>P</v>
      </c>
      <c r="S180" s="19" t="str">
        <f t="shared" si="17"/>
        <v>LVIMVFVYSRVFQEAKRQLQKIDKSE</v>
      </c>
      <c r="V180" s="1" t="s">
        <v>43</v>
      </c>
      <c r="Z180" s="4"/>
      <c r="AD180" s="1" t="s">
        <v>40</v>
      </c>
      <c r="AE180" s="1">
        <v>198</v>
      </c>
      <c r="AF180" s="1">
        <v>211</v>
      </c>
      <c r="AG180" s="1">
        <v>228</v>
      </c>
      <c r="AH180" s="1" t="s">
        <v>42</v>
      </c>
      <c r="AK180" s="2">
        <v>37</v>
      </c>
      <c r="AL180" s="2">
        <v>67</v>
      </c>
    </row>
    <row r="181" spans="1:38" x14ac:dyDescent="0.25">
      <c r="A181" s="1" t="str">
        <f t="shared" si="12"/>
        <v>ADRB2_human_3P0G_TM5</v>
      </c>
      <c r="B181" s="45" t="s">
        <v>211</v>
      </c>
      <c r="C181" s="45" t="s">
        <v>257</v>
      </c>
      <c r="D181" s="4" t="str">
        <f>VLOOKUP(B181,Classification!A:D,2,FALSE)</f>
        <v>A</v>
      </c>
      <c r="E181" s="4" t="str">
        <f>VLOOKUP(B181,Classification!A:D,3,FALSE)</f>
        <v>Aminergic</v>
      </c>
      <c r="F181" s="4" t="str">
        <f>VLOOKUP(B181,Classification!A:D,4,FALSE)</f>
        <v>Adrenoceptors</v>
      </c>
      <c r="G181" s="2">
        <v>9</v>
      </c>
      <c r="H181" s="45" t="s">
        <v>39</v>
      </c>
      <c r="I181" s="2" t="s">
        <v>1223</v>
      </c>
      <c r="J181" s="35" t="str">
        <f>VLOOKUP(B181,Seqs!A:B,2,FALSE)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1" s="4" t="str">
        <f t="shared" si="13"/>
        <v>N</v>
      </c>
      <c r="L181" s="45">
        <f>VLOOKUP(B181,'NonXtal_SegEnds_Prot#'!A:AL,27,FALSE)</f>
        <v>196</v>
      </c>
      <c r="M181" s="45">
        <f>VLOOKUP(B181,'NonXtal_SegEnds_Prot#'!A:AL,28,FALSE)</f>
        <v>211</v>
      </c>
      <c r="N181" s="45">
        <f>VLOOKUP(B181,'NonXtal_SegEnds_Prot#'!A:AL,29,FALSE)</f>
        <v>237</v>
      </c>
      <c r="O181" s="4" t="str">
        <f t="shared" si="14"/>
        <v>E</v>
      </c>
      <c r="P181" s="2"/>
      <c r="Q181" s="47" t="str">
        <f t="shared" si="15"/>
        <v>NQAYAIASSIVSFYV</v>
      </c>
      <c r="R181" s="28" t="str">
        <f t="shared" si="16"/>
        <v>P</v>
      </c>
      <c r="S181" s="20" t="str">
        <f t="shared" si="17"/>
        <v>LVIMVFVYSRVFQEAKRQLQKIDKSE</v>
      </c>
      <c r="V181" s="1" t="s">
        <v>43</v>
      </c>
      <c r="Z181" s="4"/>
      <c r="AD181" s="1" t="s">
        <v>40</v>
      </c>
      <c r="AE181" s="1">
        <v>197</v>
      </c>
      <c r="AF181" s="1">
        <v>211</v>
      </c>
      <c r="AG181" s="1">
        <v>226</v>
      </c>
      <c r="AH181" s="1" t="s">
        <v>93</v>
      </c>
      <c r="AK181" s="2">
        <v>37</v>
      </c>
      <c r="AL181" s="2">
        <v>65</v>
      </c>
    </row>
    <row r="182" spans="1:38" x14ac:dyDescent="0.25">
      <c r="A182" s="1" t="str">
        <f t="shared" si="12"/>
        <v>ADRB2_human_3SN6_TM5</v>
      </c>
      <c r="B182" s="45" t="s">
        <v>211</v>
      </c>
      <c r="C182" s="45" t="s">
        <v>277</v>
      </c>
      <c r="D182" s="4" t="str">
        <f>VLOOKUP(B182,Classification!A:D,2,FALSE)</f>
        <v>A</v>
      </c>
      <c r="E182" s="4" t="str">
        <f>VLOOKUP(B182,Classification!A:D,3,FALSE)</f>
        <v>Aminergic</v>
      </c>
      <c r="F182" s="4" t="str">
        <f>VLOOKUP(B182,Classification!A:D,4,FALSE)</f>
        <v>Adrenoceptors</v>
      </c>
      <c r="G182" s="2">
        <v>9</v>
      </c>
      <c r="H182" s="45" t="s">
        <v>39</v>
      </c>
      <c r="I182" s="2" t="s">
        <v>1223</v>
      </c>
      <c r="J182" s="35" t="str">
        <f>VLOOKUP(B182,Seqs!A:B,2,FALSE)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2" s="4" t="str">
        <f t="shared" si="13"/>
        <v>N</v>
      </c>
      <c r="L182" s="45">
        <f>VLOOKUP(B182,'NonXtal_SegEnds_Prot#'!A:AL,27,FALSE)</f>
        <v>196</v>
      </c>
      <c r="M182" s="45">
        <f>VLOOKUP(B182,'NonXtal_SegEnds_Prot#'!A:AL,28,FALSE)</f>
        <v>211</v>
      </c>
      <c r="N182" s="45">
        <f>VLOOKUP(B182,'NonXtal_SegEnds_Prot#'!A:AL,29,FALSE)</f>
        <v>237</v>
      </c>
      <c r="O182" s="4" t="str">
        <f t="shared" si="14"/>
        <v>E</v>
      </c>
      <c r="P182" s="2"/>
      <c r="Q182" s="47" t="str">
        <f t="shared" si="15"/>
        <v>NQAYAIASSIVSFYV</v>
      </c>
      <c r="R182" s="28" t="str">
        <f t="shared" si="16"/>
        <v>P</v>
      </c>
      <c r="S182" s="20" t="str">
        <f t="shared" si="17"/>
        <v>LVIMVFVYSRVFQEAKRQLQKIDKSE</v>
      </c>
      <c r="V182" s="1" t="s">
        <v>43</v>
      </c>
      <c r="Z182" s="4" t="s">
        <v>64</v>
      </c>
      <c r="AD182" s="1" t="s">
        <v>40</v>
      </c>
      <c r="AE182" s="1">
        <v>198</v>
      </c>
      <c r="AF182" s="1">
        <v>211</v>
      </c>
      <c r="AG182" s="1">
        <v>237</v>
      </c>
      <c r="AH182" s="1" t="s">
        <v>41</v>
      </c>
      <c r="AK182" s="2">
        <v>37</v>
      </c>
      <c r="AL182" s="2">
        <v>76</v>
      </c>
    </row>
    <row r="183" spans="1:38" x14ac:dyDescent="0.25">
      <c r="A183" s="1" t="str">
        <f t="shared" si="12"/>
        <v>ADRB2_human_4LDE_TM5</v>
      </c>
      <c r="B183" s="45" t="s">
        <v>211</v>
      </c>
      <c r="C183" s="45" t="s">
        <v>268</v>
      </c>
      <c r="D183" s="4" t="str">
        <f>VLOOKUP(B183,Classification!A:D,2,FALSE)</f>
        <v>A</v>
      </c>
      <c r="E183" s="4" t="str">
        <f>VLOOKUP(B183,Classification!A:D,3,FALSE)</f>
        <v>Aminergic</v>
      </c>
      <c r="F183" s="4" t="str">
        <f>VLOOKUP(B183,Classification!A:D,4,FALSE)</f>
        <v>Adrenoceptors</v>
      </c>
      <c r="G183" s="2">
        <v>9</v>
      </c>
      <c r="H183" s="45" t="s">
        <v>39</v>
      </c>
      <c r="I183" s="2" t="s">
        <v>1223</v>
      </c>
      <c r="J183" s="35" t="str">
        <f>VLOOKUP(B183,Seqs!A:B,2,FALSE)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3" s="4" t="str">
        <f t="shared" si="13"/>
        <v>N</v>
      </c>
      <c r="L183" s="45">
        <f>VLOOKUP(B183,'NonXtal_SegEnds_Prot#'!A:AL,27,FALSE)</f>
        <v>196</v>
      </c>
      <c r="M183" s="45">
        <f>VLOOKUP(B183,'NonXtal_SegEnds_Prot#'!A:AL,28,FALSE)</f>
        <v>211</v>
      </c>
      <c r="N183" s="45">
        <f>VLOOKUP(B183,'NonXtal_SegEnds_Prot#'!A:AL,29,FALSE)</f>
        <v>237</v>
      </c>
      <c r="O183" s="4" t="str">
        <f t="shared" si="14"/>
        <v>E</v>
      </c>
      <c r="P183" s="2"/>
      <c r="Q183" s="47" t="str">
        <f t="shared" si="15"/>
        <v>NQAYAIASSIVSFYV</v>
      </c>
      <c r="R183" s="28" t="str">
        <f t="shared" si="16"/>
        <v>P</v>
      </c>
      <c r="S183" s="20" t="str">
        <f t="shared" si="17"/>
        <v>LVIMVFVYSRVFQEAKRQLQKIDKSE</v>
      </c>
      <c r="V183" s="1" t="s">
        <v>43</v>
      </c>
      <c r="Z183" s="4"/>
      <c r="AD183" s="1" t="s">
        <v>40</v>
      </c>
      <c r="AE183" s="1">
        <v>198</v>
      </c>
      <c r="AF183" s="1">
        <v>211</v>
      </c>
      <c r="AG183" s="1">
        <v>228</v>
      </c>
      <c r="AH183" s="1" t="s">
        <v>42</v>
      </c>
      <c r="AK183" s="2">
        <v>37</v>
      </c>
      <c r="AL183" s="2">
        <v>67</v>
      </c>
    </row>
    <row r="184" spans="1:38" x14ac:dyDescent="0.25">
      <c r="A184" s="1" t="str">
        <f t="shared" si="12"/>
        <v>ADRB2_human_4QKX_TM5</v>
      </c>
      <c r="B184" s="45" t="s">
        <v>211</v>
      </c>
      <c r="C184" s="45" t="s">
        <v>269</v>
      </c>
      <c r="D184" s="4" t="str">
        <f>VLOOKUP(B184,Classification!A:D,2,FALSE)</f>
        <v>A</v>
      </c>
      <c r="E184" s="4" t="str">
        <f>VLOOKUP(B184,Classification!A:D,3,FALSE)</f>
        <v>Aminergic</v>
      </c>
      <c r="F184" s="4" t="str">
        <f>VLOOKUP(B184,Classification!A:D,4,FALSE)</f>
        <v>Adrenoceptors</v>
      </c>
      <c r="G184" s="2">
        <v>9</v>
      </c>
      <c r="H184" s="45" t="s">
        <v>39</v>
      </c>
      <c r="I184" s="2" t="s">
        <v>1223</v>
      </c>
      <c r="J184" s="35" t="str">
        <f>VLOOKUP(B184,Seqs!A:B,2,FALSE)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4" s="4" t="str">
        <f t="shared" si="13"/>
        <v>N</v>
      </c>
      <c r="L184" s="45">
        <f>VLOOKUP(B184,'NonXtal_SegEnds_Prot#'!A:AL,27,FALSE)</f>
        <v>196</v>
      </c>
      <c r="M184" s="45">
        <f>VLOOKUP(B184,'NonXtal_SegEnds_Prot#'!A:AL,28,FALSE)</f>
        <v>211</v>
      </c>
      <c r="N184" s="45">
        <f>VLOOKUP(B184,'NonXtal_SegEnds_Prot#'!A:AL,29,FALSE)</f>
        <v>237</v>
      </c>
      <c r="O184" s="4" t="str">
        <f t="shared" si="14"/>
        <v>E</v>
      </c>
      <c r="P184" s="2"/>
      <c r="Q184" s="47" t="str">
        <f t="shared" si="15"/>
        <v>NQAYAIASSIVSFYV</v>
      </c>
      <c r="R184" s="28" t="str">
        <f t="shared" si="16"/>
        <v>P</v>
      </c>
      <c r="S184" s="20" t="str">
        <f t="shared" si="17"/>
        <v>LVIMVFVYSRVFQEAKRQLQKIDKSE</v>
      </c>
      <c r="V184" s="1" t="s">
        <v>43</v>
      </c>
      <c r="Z184" s="4"/>
      <c r="AD184" s="1" t="s">
        <v>40</v>
      </c>
      <c r="AE184" s="1">
        <v>198</v>
      </c>
      <c r="AF184" s="1">
        <v>211</v>
      </c>
      <c r="AG184" s="1">
        <v>228</v>
      </c>
      <c r="AH184" s="1" t="s">
        <v>42</v>
      </c>
      <c r="AK184" s="2">
        <v>37</v>
      </c>
      <c r="AL184" s="2">
        <v>67</v>
      </c>
    </row>
    <row r="185" spans="1:38" x14ac:dyDescent="0.25">
      <c r="A185" s="1" t="str">
        <f t="shared" si="12"/>
        <v>AGTR1_human__wt_TM5</v>
      </c>
      <c r="B185" s="45" t="s">
        <v>212</v>
      </c>
      <c r="C185" s="45" t="s">
        <v>294</v>
      </c>
      <c r="D185" s="4" t="str">
        <f>VLOOKUP(B185,Classification!A:D,2,FALSE)</f>
        <v>A</v>
      </c>
      <c r="E185" s="4" t="str">
        <f>VLOOKUP(B185,Classification!A:D,3,FALSE)</f>
        <v>Peptide</v>
      </c>
      <c r="F185" s="4" t="str">
        <f>VLOOKUP(B185,Classification!A:D,4,FALSE)</f>
        <v>Angiotensin</v>
      </c>
      <c r="G185" s="2">
        <v>9</v>
      </c>
      <c r="H185" s="45" t="s">
        <v>39</v>
      </c>
      <c r="I185" s="2" t="s">
        <v>1223</v>
      </c>
      <c r="J185" s="5" t="str">
        <f>VLOOKUP(B185,Seqs!A:B,2,FALSE)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85" s="4" t="str">
        <f t="shared" si="13"/>
        <v>L</v>
      </c>
      <c r="L185" s="45">
        <f>VLOOKUP(B185,'NonXtal_SegEnds_Prot#'!A:AL,27,FALSE)</f>
        <v>191</v>
      </c>
      <c r="M185" s="45">
        <f>VLOOKUP(B185,'NonXtal_SegEnds_Prot#'!A:AL,28,FALSE)</f>
        <v>207</v>
      </c>
      <c r="N185" s="45">
        <f>VLOOKUP(B185,'NonXtal_SegEnds_Prot#'!A:AL,29,FALSE)</f>
        <v>225</v>
      </c>
      <c r="O185" s="4" t="str">
        <f t="shared" si="14"/>
        <v>A</v>
      </c>
      <c r="P185" s="4"/>
      <c r="Q185" s="47" t="str">
        <f t="shared" si="15"/>
        <v>LPIGLGLTKNILGFLF</v>
      </c>
      <c r="R185" s="27" t="str">
        <f t="shared" si="16"/>
        <v>P</v>
      </c>
      <c r="S185" s="19" t="str">
        <f t="shared" si="17"/>
        <v>FLIILTSYTLIWKALKKA</v>
      </c>
      <c r="V185" s="1" t="s">
        <v>43</v>
      </c>
      <c r="Z185" s="4"/>
      <c r="AD185" s="1" t="s">
        <v>99</v>
      </c>
      <c r="AE185" s="1">
        <v>190</v>
      </c>
      <c r="AF185" s="1">
        <v>207</v>
      </c>
      <c r="AG185" s="1">
        <v>222</v>
      </c>
      <c r="AH185" s="1" t="s">
        <v>93</v>
      </c>
      <c r="AK185" s="4">
        <v>32</v>
      </c>
      <c r="AL185" s="4">
        <v>65</v>
      </c>
    </row>
    <row r="186" spans="1:38" x14ac:dyDescent="0.25">
      <c r="A186" s="1" t="str">
        <f t="shared" si="12"/>
        <v>AGTR1_human_4YAY_TM5</v>
      </c>
      <c r="B186" s="45" t="s">
        <v>212</v>
      </c>
      <c r="C186" s="45" t="s">
        <v>260</v>
      </c>
      <c r="D186" s="4" t="str">
        <f>VLOOKUP(B186,Classification!A:D,2,FALSE)</f>
        <v>A</v>
      </c>
      <c r="E186" s="4" t="str">
        <f>VLOOKUP(B186,Classification!A:D,3,FALSE)</f>
        <v>Peptide</v>
      </c>
      <c r="F186" s="4" t="str">
        <f>VLOOKUP(B186,Classification!A:D,4,FALSE)</f>
        <v>Angiotensin</v>
      </c>
      <c r="G186" s="2">
        <v>9</v>
      </c>
      <c r="H186" s="45" t="s">
        <v>39</v>
      </c>
      <c r="I186" s="2" t="s">
        <v>1223</v>
      </c>
      <c r="J186" s="5" t="str">
        <f>VLOOKUP(B186,Seqs!A:B,2,FALSE)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86" s="4" t="str">
        <f t="shared" si="13"/>
        <v>L</v>
      </c>
      <c r="L186" s="45">
        <f>VLOOKUP(B186,'NonXtal_SegEnds_Prot#'!A:AL,27,FALSE)</f>
        <v>191</v>
      </c>
      <c r="M186" s="45">
        <f>VLOOKUP(B186,'NonXtal_SegEnds_Prot#'!A:AL,28,FALSE)</f>
        <v>207</v>
      </c>
      <c r="N186" s="45">
        <f>VLOOKUP(B186,'NonXtal_SegEnds_Prot#'!A:AL,29,FALSE)</f>
        <v>225</v>
      </c>
      <c r="O186" s="4" t="str">
        <f t="shared" si="14"/>
        <v>A</v>
      </c>
      <c r="P186" s="4"/>
      <c r="Q186" s="47" t="str">
        <f t="shared" si="15"/>
        <v>LPIGLGLTKNILGFLF</v>
      </c>
      <c r="R186" s="28" t="str">
        <f t="shared" si="16"/>
        <v>P</v>
      </c>
      <c r="S186" s="20" t="str">
        <f t="shared" si="17"/>
        <v>FLIILTSYTLIWKALKKA</v>
      </c>
      <c r="V186" s="1" t="s">
        <v>43</v>
      </c>
      <c r="Z186" s="4"/>
      <c r="AD186" s="1" t="s">
        <v>100</v>
      </c>
      <c r="AE186" s="1">
        <v>190</v>
      </c>
      <c r="AF186" s="1">
        <v>207</v>
      </c>
      <c r="AG186" s="1">
        <v>222</v>
      </c>
      <c r="AH186" s="1" t="s">
        <v>93</v>
      </c>
      <c r="AK186" s="4">
        <v>35</v>
      </c>
      <c r="AL186" s="4">
        <v>65</v>
      </c>
    </row>
    <row r="187" spans="1:38" x14ac:dyDescent="0.25">
      <c r="A187" s="1" t="str">
        <f t="shared" si="12"/>
        <v>CCR5_human__wt_TM5</v>
      </c>
      <c r="B187" s="45" t="s">
        <v>221</v>
      </c>
      <c r="C187" s="45" t="s">
        <v>294</v>
      </c>
      <c r="D187" s="4" t="str">
        <f>VLOOKUP(B187,Classification!A:D,2,FALSE)</f>
        <v>A</v>
      </c>
      <c r="E187" s="4" t="str">
        <f>VLOOKUP(B187,Classification!A:D,3,FALSE)</f>
        <v>Protein</v>
      </c>
      <c r="F187" s="4" t="str">
        <f>VLOOKUP(B187,Classification!A:D,4,FALSE)</f>
        <v>Chemokine</v>
      </c>
      <c r="G187" s="2">
        <v>9</v>
      </c>
      <c r="H187" s="45" t="s">
        <v>39</v>
      </c>
      <c r="I187" s="2" t="s">
        <v>1223</v>
      </c>
      <c r="J187" s="5" t="str">
        <f>VLOOKUP(B187,Seqs!A:B,2,FALSE)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87" s="4" t="str">
        <f t="shared" si="13"/>
        <v>Y</v>
      </c>
      <c r="L187" s="45">
        <f>VLOOKUP(B187,'NonXtal_SegEnds_Prot#'!A:AL,27,FALSE)</f>
        <v>187</v>
      </c>
      <c r="M187" s="45">
        <f>VLOOKUP(B187,'NonXtal_SegEnds_Prot#'!A:AL,28,FALSE)</f>
        <v>206</v>
      </c>
      <c r="N187" s="45">
        <f>VLOOKUP(B187,'NonXtal_SegEnds_Prot#'!A:AL,29,FALSE)</f>
        <v>224</v>
      </c>
      <c r="O187" s="4" t="str">
        <f t="shared" si="14"/>
        <v>C</v>
      </c>
      <c r="P187" s="4"/>
      <c r="Q187" s="47" t="str">
        <f t="shared" si="15"/>
        <v>YQFWKNFQTLKIVILGLVL</v>
      </c>
      <c r="R187" s="27" t="str">
        <f t="shared" si="16"/>
        <v>P</v>
      </c>
      <c r="S187" s="19" t="str">
        <f t="shared" si="17"/>
        <v>LLVMVICYSGILKTLLRC</v>
      </c>
      <c r="V187" s="1" t="s">
        <v>43</v>
      </c>
      <c r="Z187" s="4"/>
      <c r="AD187" s="1" t="s">
        <v>99</v>
      </c>
      <c r="AE187" s="1">
        <v>187</v>
      </c>
      <c r="AF187" s="1">
        <v>206</v>
      </c>
      <c r="AG187" s="1">
        <v>224</v>
      </c>
      <c r="AH187" s="1" t="s">
        <v>101</v>
      </c>
      <c r="AK187" s="4">
        <v>32</v>
      </c>
      <c r="AL187" s="4">
        <v>68</v>
      </c>
    </row>
    <row r="188" spans="1:38" x14ac:dyDescent="0.25">
      <c r="A188" s="1" t="str">
        <f t="shared" si="12"/>
        <v>CCR5_human_4MBS_TM5</v>
      </c>
      <c r="B188" s="45" t="s">
        <v>221</v>
      </c>
      <c r="C188" s="45" t="s">
        <v>265</v>
      </c>
      <c r="D188" s="4" t="str">
        <f>VLOOKUP(B188,Classification!A:D,2,FALSE)</f>
        <v>A</v>
      </c>
      <c r="E188" s="4" t="str">
        <f>VLOOKUP(B188,Classification!A:D,3,FALSE)</f>
        <v>Protein</v>
      </c>
      <c r="F188" s="4" t="str">
        <f>VLOOKUP(B188,Classification!A:D,4,FALSE)</f>
        <v>Chemokine</v>
      </c>
      <c r="G188" s="2">
        <v>9</v>
      </c>
      <c r="H188" s="45" t="s">
        <v>39</v>
      </c>
      <c r="I188" s="2" t="s">
        <v>1223</v>
      </c>
      <c r="J188" s="5" t="str">
        <f>VLOOKUP(B188,Seqs!A:B,2,FALSE)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88" s="4" t="str">
        <f t="shared" si="13"/>
        <v>Y</v>
      </c>
      <c r="L188" s="45">
        <f>VLOOKUP(B188,'NonXtal_SegEnds_Prot#'!A:AL,27,FALSE)</f>
        <v>187</v>
      </c>
      <c r="M188" s="45">
        <f>VLOOKUP(B188,'NonXtal_SegEnds_Prot#'!A:AL,28,FALSE)</f>
        <v>206</v>
      </c>
      <c r="N188" s="45">
        <f>VLOOKUP(B188,'NonXtal_SegEnds_Prot#'!A:AL,29,FALSE)</f>
        <v>224</v>
      </c>
      <c r="O188" s="4" t="str">
        <f t="shared" si="14"/>
        <v>C</v>
      </c>
      <c r="P188" s="4"/>
      <c r="Q188" s="47" t="str">
        <f t="shared" si="15"/>
        <v>YQFWKNFQTLKIVILGLVL</v>
      </c>
      <c r="R188" s="27" t="str">
        <f t="shared" si="16"/>
        <v>P</v>
      </c>
      <c r="S188" s="19" t="str">
        <f t="shared" si="17"/>
        <v>LLVMVICYSGILKTLLRC</v>
      </c>
      <c r="V188" s="1" t="s">
        <v>43</v>
      </c>
      <c r="Z188" s="4"/>
      <c r="AD188" s="1" t="s">
        <v>99</v>
      </c>
      <c r="AE188" s="1">
        <v>187</v>
      </c>
      <c r="AF188" s="1">
        <v>206</v>
      </c>
      <c r="AG188" s="1">
        <v>223</v>
      </c>
      <c r="AH188" s="1" t="s">
        <v>42</v>
      </c>
      <c r="AK188" s="4">
        <v>32</v>
      </c>
      <c r="AL188" s="4">
        <v>67</v>
      </c>
    </row>
    <row r="189" spans="1:38" x14ac:dyDescent="0.25">
      <c r="A189" s="1" t="str">
        <f t="shared" si="12"/>
        <v>CXCR4_human__wt_TM5</v>
      </c>
      <c r="B189" s="45" t="s">
        <v>1237</v>
      </c>
      <c r="C189" s="45" t="s">
        <v>294</v>
      </c>
      <c r="D189" s="4" t="str">
        <f>VLOOKUP(B189,Classification!A:D,2,FALSE)</f>
        <v>A</v>
      </c>
      <c r="E189" s="4" t="str">
        <f>VLOOKUP(B189,Classification!A:D,3,FALSE)</f>
        <v>Protein</v>
      </c>
      <c r="F189" s="4" t="str">
        <f>VLOOKUP(B189,Classification!A:D,4,FALSE)</f>
        <v>Chemokine</v>
      </c>
      <c r="G189" s="2">
        <v>9</v>
      </c>
      <c r="H189" s="45" t="s">
        <v>39</v>
      </c>
      <c r="I189" s="2" t="s">
        <v>1223</v>
      </c>
      <c r="J189" s="5" t="str">
        <f>VLOOKUP(B189,Seqs!A:B,2,FALSE)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89" s="4" t="str">
        <f t="shared" si="13"/>
        <v>D</v>
      </c>
      <c r="L189" s="45">
        <f>VLOOKUP(B189,'NonXtal_SegEnds_Prot#'!A:AL,27,FALSE)</f>
        <v>193</v>
      </c>
      <c r="M189" s="45">
        <f>VLOOKUP(B189,'NonXtal_SegEnds_Prot#'!A:AL,28,FALSE)</f>
        <v>211</v>
      </c>
      <c r="N189" s="45">
        <f>VLOOKUP(B189,'NonXtal_SegEnds_Prot#'!A:AL,29,FALSE)</f>
        <v>229</v>
      </c>
      <c r="O189" s="4" t="str">
        <f t="shared" si="14"/>
        <v>S</v>
      </c>
      <c r="P189" s="4"/>
      <c r="Q189" s="47" t="str">
        <f t="shared" si="15"/>
        <v>DLWVVVFQFQHIMVGLIL</v>
      </c>
      <c r="R189" s="27" t="str">
        <f t="shared" si="16"/>
        <v>P</v>
      </c>
      <c r="S189" s="19" t="str">
        <f t="shared" si="17"/>
        <v>GIVILSCYCIIISKLSHS</v>
      </c>
      <c r="V189" s="1" t="s">
        <v>43</v>
      </c>
      <c r="Z189" s="4"/>
      <c r="AD189" s="1" t="s">
        <v>111</v>
      </c>
      <c r="AE189" s="1">
        <v>193</v>
      </c>
      <c r="AF189" s="1">
        <v>211</v>
      </c>
      <c r="AG189" s="1">
        <v>229</v>
      </c>
      <c r="AH189" s="1" t="s">
        <v>101</v>
      </c>
      <c r="AK189" s="4">
        <v>33</v>
      </c>
      <c r="AL189" s="4">
        <v>68</v>
      </c>
    </row>
    <row r="190" spans="1:38" x14ac:dyDescent="0.25">
      <c r="A190" s="1" t="str">
        <f t="shared" si="12"/>
        <v>CXCR4_human_3ODU_TM5</v>
      </c>
      <c r="B190" s="45" t="s">
        <v>1237</v>
      </c>
      <c r="C190" s="45" t="s">
        <v>254</v>
      </c>
      <c r="D190" s="4" t="str">
        <f>VLOOKUP(B190,Classification!A:D,2,FALSE)</f>
        <v>A</v>
      </c>
      <c r="E190" s="4" t="str">
        <f>VLOOKUP(B190,Classification!A:D,3,FALSE)</f>
        <v>Protein</v>
      </c>
      <c r="F190" s="4" t="str">
        <f>VLOOKUP(B190,Classification!A:D,4,FALSE)</f>
        <v>Chemokine</v>
      </c>
      <c r="G190" s="2">
        <v>9</v>
      </c>
      <c r="H190" s="45" t="s">
        <v>39</v>
      </c>
      <c r="I190" s="2" t="s">
        <v>1223</v>
      </c>
      <c r="J190" s="5" t="str">
        <f>VLOOKUP(B190,Seqs!A:B,2,FALSE)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90" s="4" t="str">
        <f t="shared" si="13"/>
        <v>D</v>
      </c>
      <c r="L190" s="45">
        <f>VLOOKUP(B190,'NonXtal_SegEnds_Prot#'!A:AL,27,FALSE)</f>
        <v>193</v>
      </c>
      <c r="M190" s="45">
        <f>VLOOKUP(B190,'NonXtal_SegEnds_Prot#'!A:AL,28,FALSE)</f>
        <v>211</v>
      </c>
      <c r="N190" s="45">
        <f>VLOOKUP(B190,'NonXtal_SegEnds_Prot#'!A:AL,29,FALSE)</f>
        <v>229</v>
      </c>
      <c r="O190" s="4" t="str">
        <f t="shared" si="14"/>
        <v>S</v>
      </c>
      <c r="P190" s="4"/>
      <c r="Q190" s="47" t="str">
        <f t="shared" si="15"/>
        <v>DLWVVVFQFQHIMVGLIL</v>
      </c>
      <c r="R190" s="27" t="str">
        <f t="shared" si="16"/>
        <v>P</v>
      </c>
      <c r="S190" s="19" t="str">
        <f t="shared" si="17"/>
        <v>GIVILSCYCIIISKLSHS</v>
      </c>
      <c r="V190" s="1" t="s">
        <v>43</v>
      </c>
      <c r="Z190" s="4"/>
      <c r="AD190" s="1" t="s">
        <v>111</v>
      </c>
      <c r="AE190" s="1">
        <v>193</v>
      </c>
      <c r="AF190" s="1">
        <v>211</v>
      </c>
      <c r="AG190" s="1">
        <v>225</v>
      </c>
      <c r="AH190" s="1" t="s">
        <v>112</v>
      </c>
      <c r="AK190" s="4">
        <v>33</v>
      </c>
      <c r="AL190" s="4">
        <v>64</v>
      </c>
    </row>
    <row r="191" spans="1:38" x14ac:dyDescent="0.25">
      <c r="A191" s="1" t="str">
        <f t="shared" si="12"/>
        <v>DRD3_human__wt_TM5</v>
      </c>
      <c r="B191" s="45" t="s">
        <v>222</v>
      </c>
      <c r="C191" s="45" t="s">
        <v>294</v>
      </c>
      <c r="D191" s="4" t="str">
        <f>VLOOKUP(B191,Classification!A:D,2,FALSE)</f>
        <v>A</v>
      </c>
      <c r="E191" s="4" t="str">
        <f>VLOOKUP(B191,Classification!A:D,3,FALSE)</f>
        <v>Aminergic</v>
      </c>
      <c r="F191" s="4" t="str">
        <f>VLOOKUP(B191,Classification!A:D,4,FALSE)</f>
        <v>Dopamine</v>
      </c>
      <c r="G191" s="2">
        <v>9</v>
      </c>
      <c r="H191" s="45" t="s">
        <v>39</v>
      </c>
      <c r="I191" s="2" t="s">
        <v>1223</v>
      </c>
      <c r="J191" s="5" t="str">
        <f>VLOOKUP(B191,Seqs!A:B,2,FALSE)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91" s="4" t="str">
        <f t="shared" si="13"/>
        <v>N</v>
      </c>
      <c r="L191" s="45">
        <f>VLOOKUP(B191,'NonXtal_SegEnds_Prot#'!A:AL,27,FALSE)</f>
        <v>185</v>
      </c>
      <c r="M191" s="45">
        <f>VLOOKUP(B191,'NonXtal_SegEnds_Prot#'!A:AL,28,FALSE)</f>
        <v>200</v>
      </c>
      <c r="N191" s="45">
        <f>VLOOKUP(B191,'NonXtal_SegEnds_Prot#'!A:AL,29,FALSE)</f>
        <v>226</v>
      </c>
      <c r="O191" s="4" t="str">
        <f t="shared" si="14"/>
        <v>R</v>
      </c>
      <c r="P191" s="4"/>
      <c r="Q191" s="47" t="str">
        <f t="shared" si="15"/>
        <v>NPDFVIYSSVVSFYL</v>
      </c>
      <c r="R191" s="27" t="str">
        <f t="shared" si="16"/>
        <v>P</v>
      </c>
      <c r="S191" s="19" t="str">
        <f t="shared" si="17"/>
        <v>FGVTVLVYARIYVVLKQRRRKRILTR</v>
      </c>
      <c r="V191" s="1" t="s">
        <v>43</v>
      </c>
      <c r="Z191" s="4"/>
      <c r="AD191" s="1" t="s">
        <v>40</v>
      </c>
      <c r="AE191" s="1">
        <v>186</v>
      </c>
      <c r="AF191" s="1">
        <v>200</v>
      </c>
      <c r="AG191" s="1">
        <v>226</v>
      </c>
      <c r="AH191" s="1" t="s">
        <v>41</v>
      </c>
      <c r="AK191" s="4">
        <v>37</v>
      </c>
      <c r="AL191" s="4">
        <v>76</v>
      </c>
    </row>
    <row r="192" spans="1:38" x14ac:dyDescent="0.25">
      <c r="A192" s="1" t="str">
        <f t="shared" si="12"/>
        <v>DRD3_human_3PBL_TM5</v>
      </c>
      <c r="B192" s="45" t="s">
        <v>222</v>
      </c>
      <c r="C192" s="45" t="s">
        <v>263</v>
      </c>
      <c r="D192" s="4" t="str">
        <f>VLOOKUP(B192,Classification!A:D,2,FALSE)</f>
        <v>A</v>
      </c>
      <c r="E192" s="4" t="str">
        <f>VLOOKUP(B192,Classification!A:D,3,FALSE)</f>
        <v>Aminergic</v>
      </c>
      <c r="F192" s="4" t="str">
        <f>VLOOKUP(B192,Classification!A:D,4,FALSE)</f>
        <v>Dopamine</v>
      </c>
      <c r="G192" s="2">
        <v>9</v>
      </c>
      <c r="H192" s="45" t="s">
        <v>39</v>
      </c>
      <c r="I192" s="2" t="s">
        <v>1223</v>
      </c>
      <c r="J192" s="5" t="str">
        <f>VLOOKUP(B192,Seqs!A:B,2,FALSE)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92" s="4" t="str">
        <f t="shared" si="13"/>
        <v>N</v>
      </c>
      <c r="L192" s="45">
        <f>VLOOKUP(B192,'NonXtal_SegEnds_Prot#'!A:AL,27,FALSE)</f>
        <v>185</v>
      </c>
      <c r="M192" s="45">
        <f>VLOOKUP(B192,'NonXtal_SegEnds_Prot#'!A:AL,28,FALSE)</f>
        <v>200</v>
      </c>
      <c r="N192" s="45">
        <f>VLOOKUP(B192,'NonXtal_SegEnds_Prot#'!A:AL,29,FALSE)</f>
        <v>226</v>
      </c>
      <c r="O192" s="4" t="str">
        <f t="shared" si="14"/>
        <v>R</v>
      </c>
      <c r="P192" s="4"/>
      <c r="Q192" s="47" t="str">
        <f t="shared" si="15"/>
        <v>NPDFVIYSSVVSFYL</v>
      </c>
      <c r="R192" s="27" t="str">
        <f t="shared" si="16"/>
        <v>P</v>
      </c>
      <c r="S192" s="19" t="str">
        <f t="shared" si="17"/>
        <v>FGVTVLVYARIYVVLKQRRRKRILTR</v>
      </c>
      <c r="V192" s="1" t="s">
        <v>43</v>
      </c>
      <c r="Z192" s="4"/>
      <c r="AD192" s="1" t="s">
        <v>40</v>
      </c>
      <c r="AE192" s="1">
        <v>186</v>
      </c>
      <c r="AF192" s="1">
        <v>200</v>
      </c>
      <c r="AG192" s="1">
        <v>217</v>
      </c>
      <c r="AH192" s="1" t="s">
        <v>42</v>
      </c>
      <c r="AK192" s="4">
        <v>37</v>
      </c>
      <c r="AL192" s="4">
        <v>67</v>
      </c>
    </row>
    <row r="193" spans="1:38" x14ac:dyDescent="0.25">
      <c r="A193" s="1" t="str">
        <f t="shared" si="12"/>
        <v>FFAR1_human__wt_TM5</v>
      </c>
      <c r="B193" s="45" t="s">
        <v>1368</v>
      </c>
      <c r="C193" s="45" t="s">
        <v>294</v>
      </c>
      <c r="D193" s="4" t="str">
        <f>VLOOKUP(B193,Classification!A:D,2,FALSE)</f>
        <v>A</v>
      </c>
      <c r="E193" s="4" t="str">
        <f>VLOOKUP(B193,Classification!A:D,3,FALSE)</f>
        <v>Lipid</v>
      </c>
      <c r="F193" s="4" t="str">
        <f>VLOOKUP(B193,Classification!A:D,4,FALSE)</f>
        <v>Freefattyacid</v>
      </c>
      <c r="G193" s="2">
        <v>9</v>
      </c>
      <c r="H193" s="45" t="s">
        <v>39</v>
      </c>
      <c r="I193" s="2" t="s">
        <v>1223</v>
      </c>
      <c r="J193" s="5" t="str">
        <f>VLOOKUP(B193,Seqs!A:B,2,FALSE)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93" s="4" t="str">
        <f t="shared" si="13"/>
        <v>P</v>
      </c>
      <c r="L193" s="45">
        <f>VLOOKUP(B193,'NonXtal_SegEnds_Prot#'!A:AL,27,FALSE)</f>
        <v>176</v>
      </c>
      <c r="M193" s="45">
        <f>VLOOKUP(B193,'NonXtal_SegEnds_Prot#'!A:AL,28,FALSE)</f>
        <v>194</v>
      </c>
      <c r="N193" s="45">
        <f>VLOOKUP(B193,'NonXtal_SegEnds_Prot#'!A:AL,29,FALSE)</f>
        <v>211</v>
      </c>
      <c r="O193" s="4" t="str">
        <f t="shared" si="14"/>
        <v>R</v>
      </c>
      <c r="P193" s="4"/>
      <c r="Q193" s="47" t="str">
        <f t="shared" si="15"/>
        <v>PASAGPARFSLSLLLFFL</v>
      </c>
      <c r="R193" s="27" t="str">
        <f t="shared" si="16"/>
        <v>P</v>
      </c>
      <c r="S193" s="19" t="str">
        <f t="shared" si="17"/>
        <v>LAITAFCYVGCLRALAR</v>
      </c>
      <c r="V193" s="1" t="s">
        <v>43</v>
      </c>
      <c r="Z193" s="4"/>
      <c r="AD193" s="1" t="s">
        <v>111</v>
      </c>
      <c r="AE193" s="1">
        <v>176</v>
      </c>
      <c r="AF193" s="1">
        <v>194</v>
      </c>
      <c r="AG193" s="1">
        <v>212</v>
      </c>
      <c r="AH193" s="1" t="s">
        <v>101</v>
      </c>
      <c r="AK193" s="4">
        <v>33</v>
      </c>
      <c r="AL193" s="4">
        <v>68</v>
      </c>
    </row>
    <row r="194" spans="1:38" x14ac:dyDescent="0.25">
      <c r="A194" s="1" t="str">
        <f t="shared" ref="A194:A257" si="18">CONCATENATE(B194,"_",C194,"_",H194)</f>
        <v>FFAR1_human_4PHU_TM5</v>
      </c>
      <c r="B194" s="45" t="s">
        <v>1368</v>
      </c>
      <c r="C194" s="45" t="s">
        <v>241</v>
      </c>
      <c r="D194" s="4" t="str">
        <f>VLOOKUP(B194,Classification!A:D,2,FALSE)</f>
        <v>A</v>
      </c>
      <c r="E194" s="4" t="str">
        <f>VLOOKUP(B194,Classification!A:D,3,FALSE)</f>
        <v>Lipid</v>
      </c>
      <c r="F194" s="4" t="str">
        <f>VLOOKUP(B194,Classification!A:D,4,FALSE)</f>
        <v>Freefattyacid</v>
      </c>
      <c r="G194" s="2">
        <v>9</v>
      </c>
      <c r="H194" s="45" t="s">
        <v>39</v>
      </c>
      <c r="I194" s="2" t="s">
        <v>1223</v>
      </c>
      <c r="J194" s="5" t="str">
        <f>VLOOKUP(B194,Seqs!A:B,2,FALSE)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94" s="4" t="str">
        <f t="shared" ref="K194:K257" si="19">MID(J194,L194,1)</f>
        <v>P</v>
      </c>
      <c r="L194" s="45">
        <f>VLOOKUP(B194,'NonXtal_SegEnds_Prot#'!A:AL,27,FALSE)</f>
        <v>176</v>
      </c>
      <c r="M194" s="45">
        <f>VLOOKUP(B194,'NonXtal_SegEnds_Prot#'!A:AL,28,FALSE)</f>
        <v>194</v>
      </c>
      <c r="N194" s="45">
        <f>VLOOKUP(B194,'NonXtal_SegEnds_Prot#'!A:AL,29,FALSE)</f>
        <v>211</v>
      </c>
      <c r="O194" s="4" t="str">
        <f t="shared" ref="O194:O257" si="20">MID(J194,N194,1)</f>
        <v>R</v>
      </c>
      <c r="P194" s="4"/>
      <c r="Q194" s="47" t="str">
        <f t="shared" ref="Q194:Q257" si="21">MID(J194,L194,M194-L194)</f>
        <v>PASAGPARFSLSLLLFFL</v>
      </c>
      <c r="R194" s="27" t="str">
        <f t="shared" ref="R194:R257" si="22">MID(J194,M194,1)</f>
        <v>P</v>
      </c>
      <c r="S194" s="19" t="str">
        <f t="shared" ref="S194:S257" si="23">MID(J194,M194+1,N194-M194)</f>
        <v>LAITAFCYVGCLRALAR</v>
      </c>
      <c r="V194" s="1" t="s">
        <v>43</v>
      </c>
      <c r="Z194" s="4"/>
      <c r="AD194" s="1" t="s">
        <v>111</v>
      </c>
      <c r="AE194" s="1">
        <v>176</v>
      </c>
      <c r="AF194" s="1">
        <v>194</v>
      </c>
      <c r="AG194" s="1">
        <v>211</v>
      </c>
      <c r="AH194" s="1" t="s">
        <v>42</v>
      </c>
      <c r="AK194" s="4">
        <v>33</v>
      </c>
      <c r="AL194" s="4">
        <v>67</v>
      </c>
    </row>
    <row r="195" spans="1:38" x14ac:dyDescent="0.25">
      <c r="A195" s="1" t="str">
        <f t="shared" si="18"/>
        <v>HRH1_human__wt_TM5</v>
      </c>
      <c r="B195" s="45" t="s">
        <v>225</v>
      </c>
      <c r="C195" s="45" t="s">
        <v>294</v>
      </c>
      <c r="D195" s="4" t="str">
        <f>VLOOKUP(B195,Classification!A:D,2,FALSE)</f>
        <v>A</v>
      </c>
      <c r="E195" s="4" t="str">
        <f>VLOOKUP(B195,Classification!A:D,3,FALSE)</f>
        <v>Aminergic</v>
      </c>
      <c r="F195" s="4" t="str">
        <f>VLOOKUP(B195,Classification!A:D,4,FALSE)</f>
        <v>Histamine</v>
      </c>
      <c r="G195" s="2">
        <v>9</v>
      </c>
      <c r="H195" s="45" t="s">
        <v>39</v>
      </c>
      <c r="I195" s="2" t="s">
        <v>1223</v>
      </c>
      <c r="J195" s="5" t="str">
        <f>VLOOKUP(B195,Seqs!A:B,2,FALSE)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95" s="4" t="str">
        <f t="shared" si="19"/>
        <v>V</v>
      </c>
      <c r="L195" s="45">
        <f>VLOOKUP(B195,'NonXtal_SegEnds_Prot#'!A:AL,27,FALSE)</f>
        <v>187</v>
      </c>
      <c r="M195" s="45">
        <f>VLOOKUP(B195,'NonXtal_SegEnds_Prot#'!A:AL,28,FALSE)</f>
        <v>202</v>
      </c>
      <c r="N195" s="45">
        <f>VLOOKUP(B195,'NonXtal_SegEnds_Prot#'!A:AL,29,FALSE)</f>
        <v>228</v>
      </c>
      <c r="O195" s="4" t="str">
        <f t="shared" si="20"/>
        <v>N</v>
      </c>
      <c r="P195" s="4"/>
      <c r="Q195" s="47" t="str">
        <f t="shared" si="21"/>
        <v>VTWFKVMTAIINFYL</v>
      </c>
      <c r="R195" s="27" t="str">
        <f t="shared" si="22"/>
        <v>P</v>
      </c>
      <c r="S195" s="19" t="str">
        <f t="shared" si="23"/>
        <v>TLLMLWFYAKIYKAVRQHCQHRELIN</v>
      </c>
      <c r="V195" s="1" t="s">
        <v>43</v>
      </c>
      <c r="Z195" s="4"/>
      <c r="AD195" s="1" t="s">
        <v>40</v>
      </c>
      <c r="AE195" s="1">
        <v>188</v>
      </c>
      <c r="AF195" s="1">
        <v>202</v>
      </c>
      <c r="AG195" s="1">
        <v>228</v>
      </c>
      <c r="AH195" s="1" t="s">
        <v>41</v>
      </c>
      <c r="AK195" s="4">
        <v>37</v>
      </c>
      <c r="AL195" s="4">
        <v>76</v>
      </c>
    </row>
    <row r="196" spans="1:38" x14ac:dyDescent="0.25">
      <c r="A196" s="1" t="str">
        <f t="shared" si="18"/>
        <v>HRH1_human_3RZE_TM5</v>
      </c>
      <c r="B196" s="45" t="s">
        <v>225</v>
      </c>
      <c r="C196" s="45" t="s">
        <v>264</v>
      </c>
      <c r="D196" s="4" t="str">
        <f>VLOOKUP(B196,Classification!A:D,2,FALSE)</f>
        <v>A</v>
      </c>
      <c r="E196" s="4" t="str">
        <f>VLOOKUP(B196,Classification!A:D,3,FALSE)</f>
        <v>Aminergic</v>
      </c>
      <c r="F196" s="4" t="str">
        <f>VLOOKUP(B196,Classification!A:D,4,FALSE)</f>
        <v>Histamine</v>
      </c>
      <c r="G196" s="2">
        <v>9</v>
      </c>
      <c r="H196" s="45" t="s">
        <v>39</v>
      </c>
      <c r="I196" s="2" t="s">
        <v>1223</v>
      </c>
      <c r="J196" s="5" t="str">
        <f>VLOOKUP(B196,Seqs!A:B,2,FALSE)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96" s="4" t="str">
        <f t="shared" si="19"/>
        <v>V</v>
      </c>
      <c r="L196" s="45">
        <f>VLOOKUP(B196,'NonXtal_SegEnds_Prot#'!A:AL,27,FALSE)</f>
        <v>187</v>
      </c>
      <c r="M196" s="45">
        <f>VLOOKUP(B196,'NonXtal_SegEnds_Prot#'!A:AL,28,FALSE)</f>
        <v>202</v>
      </c>
      <c r="N196" s="45">
        <f>VLOOKUP(B196,'NonXtal_SegEnds_Prot#'!A:AL,29,FALSE)</f>
        <v>228</v>
      </c>
      <c r="O196" s="4" t="str">
        <f t="shared" si="20"/>
        <v>N</v>
      </c>
      <c r="P196" s="4"/>
      <c r="Q196" s="47" t="str">
        <f t="shared" si="21"/>
        <v>VTWFKVMTAIINFYL</v>
      </c>
      <c r="R196" s="27" t="str">
        <f t="shared" si="22"/>
        <v>P</v>
      </c>
      <c r="S196" s="19" t="str">
        <f t="shared" si="23"/>
        <v>TLLMLWFYAKIYKAVRQHCQHRELIN</v>
      </c>
      <c r="V196" s="1" t="s">
        <v>43</v>
      </c>
      <c r="Z196" s="4"/>
      <c r="AD196" s="1" t="s">
        <v>40</v>
      </c>
      <c r="AE196" s="1">
        <v>188</v>
      </c>
      <c r="AF196" s="1">
        <v>202</v>
      </c>
      <c r="AG196" s="1">
        <v>219</v>
      </c>
      <c r="AH196" s="1" t="s">
        <v>42</v>
      </c>
      <c r="AK196" s="4">
        <v>37</v>
      </c>
      <c r="AL196" s="4">
        <v>67</v>
      </c>
    </row>
    <row r="197" spans="1:38" x14ac:dyDescent="0.25">
      <c r="A197" s="1" t="str">
        <f t="shared" si="18"/>
        <v>OPRD_human__wt_TM5</v>
      </c>
      <c r="B197" s="45" t="s">
        <v>226</v>
      </c>
      <c r="C197" s="45" t="s">
        <v>294</v>
      </c>
      <c r="D197" s="4" t="str">
        <f>VLOOKUP(B197,Classification!A:D,2,FALSE)</f>
        <v>A</v>
      </c>
      <c r="E197" s="4" t="str">
        <f>VLOOKUP(B197,Classification!A:D,3,FALSE)</f>
        <v>Peptide</v>
      </c>
      <c r="F197" s="4" t="str">
        <f>VLOOKUP(B197,Classification!A:D,4,FALSE)</f>
        <v>Opioid</v>
      </c>
      <c r="G197" s="2">
        <v>9</v>
      </c>
      <c r="H197" s="45" t="s">
        <v>39</v>
      </c>
      <c r="I197" s="2" t="s">
        <v>1223</v>
      </c>
      <c r="J197" s="5" t="str">
        <f>VLOOKUP(B197,Seqs!A:B,2,FALSE)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97" s="4" t="str">
        <f t="shared" si="19"/>
        <v>S</v>
      </c>
      <c r="L197" s="45">
        <f>VLOOKUP(B197,'NonXtal_SegEnds_Prot#'!A:AL,27,FALSE)</f>
        <v>206</v>
      </c>
      <c r="M197" s="45">
        <f>VLOOKUP(B197,'NonXtal_SegEnds_Prot#'!A:AL,28,FALSE)</f>
        <v>225</v>
      </c>
      <c r="N197" s="45">
        <f>VLOOKUP(B197,'NonXtal_SegEnds_Prot#'!A:AL,29,FALSE)</f>
        <v>243</v>
      </c>
      <c r="O197" s="4" t="str">
        <f t="shared" si="20"/>
        <v>V</v>
      </c>
      <c r="P197" s="4"/>
      <c r="Q197" s="47" t="str">
        <f t="shared" si="21"/>
        <v>SWYWDTVTKICVFLFAFVV</v>
      </c>
      <c r="R197" s="27" t="str">
        <f t="shared" si="22"/>
        <v>P</v>
      </c>
      <c r="S197" s="19" t="str">
        <f t="shared" si="23"/>
        <v>ILIITVCYGLMLLRLRSV</v>
      </c>
      <c r="V197" s="1" t="s">
        <v>43</v>
      </c>
      <c r="Z197" s="4"/>
      <c r="AD197" s="1" t="s">
        <v>99</v>
      </c>
      <c r="AE197" s="1">
        <v>206</v>
      </c>
      <c r="AF197" s="1">
        <v>225</v>
      </c>
      <c r="AG197" s="1">
        <v>243</v>
      </c>
      <c r="AH197" s="1" t="s">
        <v>101</v>
      </c>
      <c r="AK197" s="4">
        <v>32</v>
      </c>
      <c r="AL197" s="4">
        <v>68</v>
      </c>
    </row>
    <row r="198" spans="1:38" x14ac:dyDescent="0.25">
      <c r="A198" s="1" t="str">
        <f t="shared" si="18"/>
        <v>OPRD_human_4N6H_TM5</v>
      </c>
      <c r="B198" s="45" t="s">
        <v>226</v>
      </c>
      <c r="C198" s="45" t="s">
        <v>279</v>
      </c>
      <c r="D198" s="4" t="str">
        <f>VLOOKUP(B198,Classification!A:D,2,FALSE)</f>
        <v>A</v>
      </c>
      <c r="E198" s="4" t="str">
        <f>VLOOKUP(B198,Classification!A:D,3,FALSE)</f>
        <v>Peptide</v>
      </c>
      <c r="F198" s="4" t="str">
        <f>VLOOKUP(B198,Classification!A:D,4,FALSE)</f>
        <v>Opioid</v>
      </c>
      <c r="G198" s="2">
        <v>9</v>
      </c>
      <c r="H198" s="45" t="s">
        <v>39</v>
      </c>
      <c r="I198" s="2" t="s">
        <v>1223</v>
      </c>
      <c r="J198" s="5" t="str">
        <f>VLOOKUP(B198,Seqs!A:B,2,FALSE)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98" s="4" t="str">
        <f t="shared" si="19"/>
        <v>S</v>
      </c>
      <c r="L198" s="45">
        <f>VLOOKUP(B198,'NonXtal_SegEnds_Prot#'!A:AL,27,FALSE)</f>
        <v>206</v>
      </c>
      <c r="M198" s="45">
        <f>VLOOKUP(B198,'NonXtal_SegEnds_Prot#'!A:AL,28,FALSE)</f>
        <v>225</v>
      </c>
      <c r="N198" s="45">
        <f>VLOOKUP(B198,'NonXtal_SegEnds_Prot#'!A:AL,29,FALSE)</f>
        <v>243</v>
      </c>
      <c r="O198" s="4" t="str">
        <f t="shared" si="20"/>
        <v>V</v>
      </c>
      <c r="P198" s="4"/>
      <c r="Q198" s="47" t="str">
        <f t="shared" si="21"/>
        <v>SWYWDTVTKICVFLFAFVV</v>
      </c>
      <c r="R198" s="27" t="str">
        <f t="shared" si="22"/>
        <v>P</v>
      </c>
      <c r="S198" s="19" t="str">
        <f t="shared" si="23"/>
        <v>ILIITVCYGLMLLRLRSV</v>
      </c>
      <c r="V198" s="1" t="s">
        <v>43</v>
      </c>
      <c r="Z198" s="4"/>
      <c r="AD198" s="1" t="s">
        <v>99</v>
      </c>
      <c r="AE198" s="1">
        <v>206</v>
      </c>
      <c r="AF198" s="1">
        <v>225</v>
      </c>
      <c r="AG198" s="1">
        <v>243</v>
      </c>
      <c r="AH198" s="1" t="s">
        <v>101</v>
      </c>
      <c r="AK198" s="4">
        <v>32</v>
      </c>
      <c r="AL198" s="4">
        <v>68</v>
      </c>
    </row>
    <row r="199" spans="1:38" x14ac:dyDescent="0.25">
      <c r="A199" s="1" t="str">
        <f t="shared" si="18"/>
        <v>OPRD_mouse_4EJ4_TM5</v>
      </c>
      <c r="B199" s="45" t="s">
        <v>233</v>
      </c>
      <c r="C199" s="45" t="s">
        <v>255</v>
      </c>
      <c r="D199" s="4" t="str">
        <f>VLOOKUP(B199,Classification!A:D,2,FALSE)</f>
        <v>A</v>
      </c>
      <c r="E199" s="4" t="str">
        <f>VLOOKUP(B199,Classification!A:D,3,FALSE)</f>
        <v>Peptide</v>
      </c>
      <c r="F199" s="4" t="str">
        <f>VLOOKUP(B199,Classification!A:D,4,FALSE)</f>
        <v>Opioid</v>
      </c>
      <c r="G199" s="2">
        <v>9</v>
      </c>
      <c r="H199" s="45" t="s">
        <v>39</v>
      </c>
      <c r="I199" s="2" t="s">
        <v>1223</v>
      </c>
      <c r="J199" s="5" t="str">
        <f>VLOOKUP(B199,Seqs!A:B,2,FALSE)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199" s="4" t="str">
        <f t="shared" si="19"/>
        <v>S</v>
      </c>
      <c r="L199" s="45">
        <f>VLOOKUP(B199,'NonXtal_SegEnds_Prot#'!A:AL,27,FALSE)</f>
        <v>206</v>
      </c>
      <c r="M199" s="45">
        <f>VLOOKUP(B199,'NonXtal_SegEnds_Prot#'!A:AL,28,FALSE)</f>
        <v>225</v>
      </c>
      <c r="N199" s="45">
        <f>VLOOKUP(B199,'NonXtal_SegEnds_Prot#'!A:AL,29,FALSE)</f>
        <v>243</v>
      </c>
      <c r="O199" s="4" t="str">
        <f t="shared" si="20"/>
        <v>V</v>
      </c>
      <c r="P199" s="4"/>
      <c r="Q199" s="47" t="str">
        <f t="shared" si="21"/>
        <v>SWYWDTVTKICVFLFAFVV</v>
      </c>
      <c r="R199" s="27" t="str">
        <f t="shared" si="22"/>
        <v>P</v>
      </c>
      <c r="S199" s="19" t="str">
        <f t="shared" si="23"/>
        <v>ILIITVCYGLMLLRLRSV</v>
      </c>
      <c r="V199" s="1" t="s">
        <v>43</v>
      </c>
      <c r="Z199" s="4"/>
      <c r="AD199" s="1" t="s">
        <v>99</v>
      </c>
      <c r="AE199" s="1">
        <v>206</v>
      </c>
      <c r="AF199" s="1">
        <v>225</v>
      </c>
      <c r="AG199" s="1">
        <v>239</v>
      </c>
      <c r="AH199" s="1" t="s">
        <v>112</v>
      </c>
      <c r="AK199" s="4">
        <v>32</v>
      </c>
      <c r="AL199" s="4">
        <v>64</v>
      </c>
    </row>
    <row r="200" spans="1:38" x14ac:dyDescent="0.25">
      <c r="A200" s="1" t="str">
        <f t="shared" si="18"/>
        <v>OPRK_human__wt_TM5</v>
      </c>
      <c r="B200" s="45" t="s">
        <v>227</v>
      </c>
      <c r="C200" s="45" t="s">
        <v>294</v>
      </c>
      <c r="D200" s="4" t="str">
        <f>VLOOKUP(B200,Classification!A:D,2,FALSE)</f>
        <v>A</v>
      </c>
      <c r="E200" s="4" t="str">
        <f>VLOOKUP(B200,Classification!A:D,3,FALSE)</f>
        <v>Peptide</v>
      </c>
      <c r="F200" s="4" t="str">
        <f>VLOOKUP(B200,Classification!A:D,4,FALSE)</f>
        <v>Opioid</v>
      </c>
      <c r="G200" s="2">
        <v>9</v>
      </c>
      <c r="H200" s="45" t="s">
        <v>39</v>
      </c>
      <c r="I200" s="2" t="s">
        <v>1223</v>
      </c>
      <c r="J200" s="5" t="str">
        <f>VLOOKUP(B200,Seqs!A:B,2,FALSE)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200" s="4" t="str">
        <f t="shared" si="19"/>
        <v>Y</v>
      </c>
      <c r="L200" s="45">
        <f>VLOOKUP(B200,'NonXtal_SegEnds_Prot#'!A:AL,27,FALSE)</f>
        <v>219</v>
      </c>
      <c r="M200" s="45">
        <f>VLOOKUP(B200,'NonXtal_SegEnds_Prot#'!A:AL,28,FALSE)</f>
        <v>238</v>
      </c>
      <c r="N200" s="45">
        <f>VLOOKUP(B200,'NonXtal_SegEnds_Prot#'!A:AL,29,FALSE)</f>
        <v>256</v>
      </c>
      <c r="O200" s="4" t="str">
        <f t="shared" si="20"/>
        <v>V</v>
      </c>
      <c r="P200" s="4"/>
      <c r="Q200" s="47" t="str">
        <f t="shared" si="21"/>
        <v>YSWWDLFMKICVFIFAFVI</v>
      </c>
      <c r="R200" s="27" t="str">
        <f t="shared" si="22"/>
        <v>P</v>
      </c>
      <c r="S200" s="19" t="str">
        <f t="shared" si="23"/>
        <v>VLIIIVCYTLMILRLKSV</v>
      </c>
      <c r="V200" s="1" t="s">
        <v>43</v>
      </c>
      <c r="Z200" s="4"/>
      <c r="AD200" s="1" t="s">
        <v>99</v>
      </c>
      <c r="AE200" s="1">
        <v>219</v>
      </c>
      <c r="AF200" s="1">
        <v>238</v>
      </c>
      <c r="AG200" s="1">
        <v>256</v>
      </c>
      <c r="AH200" s="1" t="s">
        <v>101</v>
      </c>
      <c r="AK200" s="4">
        <v>32</v>
      </c>
      <c r="AL200" s="4">
        <v>68</v>
      </c>
    </row>
    <row r="201" spans="1:38" x14ac:dyDescent="0.25">
      <c r="A201" s="1" t="str">
        <f t="shared" si="18"/>
        <v>OPRK_human_4DJH_TM5</v>
      </c>
      <c r="B201" s="45" t="s">
        <v>227</v>
      </c>
      <c r="C201" s="45" t="s">
        <v>280</v>
      </c>
      <c r="D201" s="4" t="str">
        <f>VLOOKUP(B201,Classification!A:D,2,FALSE)</f>
        <v>A</v>
      </c>
      <c r="E201" s="4" t="str">
        <f>VLOOKUP(B201,Classification!A:D,3,FALSE)</f>
        <v>Peptide</v>
      </c>
      <c r="F201" s="4" t="str">
        <f>VLOOKUP(B201,Classification!A:D,4,FALSE)</f>
        <v>Opioid</v>
      </c>
      <c r="G201" s="2">
        <v>9</v>
      </c>
      <c r="H201" s="45" t="s">
        <v>39</v>
      </c>
      <c r="I201" s="2" t="s">
        <v>1223</v>
      </c>
      <c r="J201" s="5" t="str">
        <f>VLOOKUP(B201,Seqs!A:B,2,FALSE)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201" s="4" t="str">
        <f t="shared" si="19"/>
        <v>Y</v>
      </c>
      <c r="L201" s="45">
        <f>VLOOKUP(B201,'NonXtal_SegEnds_Prot#'!A:AL,27,FALSE)</f>
        <v>219</v>
      </c>
      <c r="M201" s="45">
        <f>VLOOKUP(B201,'NonXtal_SegEnds_Prot#'!A:AL,28,FALSE)</f>
        <v>238</v>
      </c>
      <c r="N201" s="45">
        <f>VLOOKUP(B201,'NonXtal_SegEnds_Prot#'!A:AL,29,FALSE)</f>
        <v>256</v>
      </c>
      <c r="O201" s="4" t="str">
        <f t="shared" si="20"/>
        <v>V</v>
      </c>
      <c r="P201" s="4"/>
      <c r="Q201" s="47" t="str">
        <f t="shared" si="21"/>
        <v>YSWWDLFMKICVFIFAFVI</v>
      </c>
      <c r="R201" s="27" t="str">
        <f t="shared" si="22"/>
        <v>P</v>
      </c>
      <c r="S201" s="19" t="str">
        <f t="shared" si="23"/>
        <v>VLIIIVCYTLMILRLKSV</v>
      </c>
      <c r="V201" s="1" t="s">
        <v>43</v>
      </c>
      <c r="Z201" s="4"/>
      <c r="AD201" s="1" t="s">
        <v>99</v>
      </c>
      <c r="AE201" s="1">
        <v>219</v>
      </c>
      <c r="AF201" s="1">
        <v>238</v>
      </c>
      <c r="AG201" s="1">
        <v>256</v>
      </c>
      <c r="AH201" s="1" t="s">
        <v>101</v>
      </c>
      <c r="AK201" s="4">
        <v>32</v>
      </c>
      <c r="AL201" s="4">
        <v>68</v>
      </c>
    </row>
    <row r="202" spans="1:38" x14ac:dyDescent="0.25">
      <c r="A202" s="1" t="str">
        <f t="shared" si="18"/>
        <v>OPRM_mouse__wt_TM5</v>
      </c>
      <c r="B202" s="45" t="s">
        <v>232</v>
      </c>
      <c r="C202" s="45" t="s">
        <v>294</v>
      </c>
      <c r="D202" s="4" t="str">
        <f>VLOOKUP(B202,Classification!A:D,2,FALSE)</f>
        <v>A</v>
      </c>
      <c r="E202" s="4" t="str">
        <f>VLOOKUP(B202,Classification!A:D,3,FALSE)</f>
        <v>Peptide</v>
      </c>
      <c r="F202" s="4" t="str">
        <f>VLOOKUP(B202,Classification!A:D,4,FALSE)</f>
        <v>Opioid</v>
      </c>
      <c r="G202" s="2">
        <v>9</v>
      </c>
      <c r="H202" s="45" t="s">
        <v>39</v>
      </c>
      <c r="I202" s="2" t="s">
        <v>1223</v>
      </c>
      <c r="J202" s="5" t="str">
        <f>VLOOKUP(B202,Seqs!A:B,2,FALSE)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202" s="4" t="str">
        <f t="shared" si="19"/>
        <v>T</v>
      </c>
      <c r="L202" s="45">
        <f>VLOOKUP(B202,'NonXtal_SegEnds_Prot#'!A:AL,27,FALSE)</f>
        <v>225</v>
      </c>
      <c r="M202" s="45">
        <f>VLOOKUP(B202,'NonXtal_SegEnds_Prot#'!A:AL,28,FALSE)</f>
        <v>244</v>
      </c>
      <c r="N202" s="45">
        <f>VLOOKUP(B202,'NonXtal_SegEnds_Prot#'!A:AL,29,FALSE)</f>
        <v>262</v>
      </c>
      <c r="O202" s="4" t="str">
        <f t="shared" si="20"/>
        <v>V</v>
      </c>
      <c r="P202" s="4"/>
      <c r="Q202" s="47" t="str">
        <f t="shared" si="21"/>
        <v>TWYWENLLKICVFIFAFIM</v>
      </c>
      <c r="R202" s="27" t="str">
        <f t="shared" si="22"/>
        <v>P</v>
      </c>
      <c r="S202" s="19" t="str">
        <f t="shared" si="23"/>
        <v>VLIITVCYGLMILRLKSV</v>
      </c>
      <c r="V202" s="1" t="s">
        <v>43</v>
      </c>
      <c r="Z202" s="4" t="s">
        <v>64</v>
      </c>
      <c r="AD202" s="1" t="s">
        <v>99</v>
      </c>
      <c r="AE202" s="1">
        <v>225</v>
      </c>
      <c r="AF202" s="1">
        <v>244</v>
      </c>
      <c r="AG202" s="1">
        <v>262</v>
      </c>
      <c r="AH202" s="1" t="s">
        <v>101</v>
      </c>
      <c r="AK202" s="4">
        <v>32</v>
      </c>
      <c r="AL202" s="4">
        <v>68</v>
      </c>
    </row>
    <row r="203" spans="1:38" x14ac:dyDescent="0.25">
      <c r="A203" s="1" t="str">
        <f t="shared" si="18"/>
        <v>OPRM_mouse_4DKL_TM5</v>
      </c>
      <c r="B203" s="45" t="s">
        <v>232</v>
      </c>
      <c r="C203" s="45" t="s">
        <v>256</v>
      </c>
      <c r="D203" s="4" t="str">
        <f>VLOOKUP(B203,Classification!A:D,2,FALSE)</f>
        <v>A</v>
      </c>
      <c r="E203" s="4" t="str">
        <f>VLOOKUP(B203,Classification!A:D,3,FALSE)</f>
        <v>Peptide</v>
      </c>
      <c r="F203" s="4" t="str">
        <f>VLOOKUP(B203,Classification!A:D,4,FALSE)</f>
        <v>Opioid</v>
      </c>
      <c r="G203" s="2">
        <v>9</v>
      </c>
      <c r="H203" s="45" t="s">
        <v>39</v>
      </c>
      <c r="I203" s="2" t="s">
        <v>1223</v>
      </c>
      <c r="J203" s="5" t="str">
        <f>VLOOKUP(B203,Seqs!A:B,2,FALSE)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203" s="4" t="str">
        <f t="shared" si="19"/>
        <v>T</v>
      </c>
      <c r="L203" s="45">
        <f>VLOOKUP(B203,'NonXtal_SegEnds_Prot#'!A:AL,27,FALSE)</f>
        <v>225</v>
      </c>
      <c r="M203" s="45">
        <f>VLOOKUP(B203,'NonXtal_SegEnds_Prot#'!A:AL,28,FALSE)</f>
        <v>244</v>
      </c>
      <c r="N203" s="45">
        <f>VLOOKUP(B203,'NonXtal_SegEnds_Prot#'!A:AL,29,FALSE)</f>
        <v>262</v>
      </c>
      <c r="O203" s="4" t="str">
        <f t="shared" si="20"/>
        <v>V</v>
      </c>
      <c r="P203" s="4"/>
      <c r="Q203" s="47" t="str">
        <f t="shared" si="21"/>
        <v>TWYWENLLKICVFIFAFIM</v>
      </c>
      <c r="R203" s="27" t="str">
        <f t="shared" si="22"/>
        <v>P</v>
      </c>
      <c r="S203" s="19" t="str">
        <f t="shared" si="23"/>
        <v>VLIITVCYGLMILRLKSV</v>
      </c>
      <c r="V203" s="1" t="s">
        <v>43</v>
      </c>
      <c r="Z203" s="4"/>
      <c r="AD203" s="1" t="s">
        <v>99</v>
      </c>
      <c r="AE203" s="1">
        <v>225</v>
      </c>
      <c r="AF203" s="1">
        <v>244</v>
      </c>
      <c r="AG203" s="1">
        <v>258</v>
      </c>
      <c r="AH203" s="1" t="s">
        <v>112</v>
      </c>
      <c r="AK203" s="4">
        <v>32</v>
      </c>
      <c r="AL203" s="4">
        <v>64</v>
      </c>
    </row>
    <row r="204" spans="1:38" x14ac:dyDescent="0.25">
      <c r="A204" s="1" t="str">
        <f t="shared" si="18"/>
        <v>OPRM_mouse_5C1M_TM5</v>
      </c>
      <c r="B204" s="45" t="s">
        <v>232</v>
      </c>
      <c r="C204" s="45" t="s">
        <v>276</v>
      </c>
      <c r="D204" s="4" t="str">
        <f>VLOOKUP(B204,Classification!A:D,2,FALSE)</f>
        <v>A</v>
      </c>
      <c r="E204" s="4" t="str">
        <f>VLOOKUP(B204,Classification!A:D,3,FALSE)</f>
        <v>Peptide</v>
      </c>
      <c r="F204" s="4" t="str">
        <f>VLOOKUP(B204,Classification!A:D,4,FALSE)</f>
        <v>Opioid</v>
      </c>
      <c r="G204" s="2">
        <v>9</v>
      </c>
      <c r="H204" s="45" t="s">
        <v>39</v>
      </c>
      <c r="I204" s="2" t="s">
        <v>1223</v>
      </c>
      <c r="J204" s="5" t="str">
        <f>VLOOKUP(B204,Seqs!A:B,2,FALSE)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204" s="4" t="str">
        <f t="shared" si="19"/>
        <v>T</v>
      </c>
      <c r="L204" s="45">
        <f>VLOOKUP(B204,'NonXtal_SegEnds_Prot#'!A:AL,27,FALSE)</f>
        <v>225</v>
      </c>
      <c r="M204" s="45">
        <f>VLOOKUP(B204,'NonXtal_SegEnds_Prot#'!A:AL,28,FALSE)</f>
        <v>244</v>
      </c>
      <c r="N204" s="45">
        <f>VLOOKUP(B204,'NonXtal_SegEnds_Prot#'!A:AL,29,FALSE)</f>
        <v>262</v>
      </c>
      <c r="O204" s="4" t="str">
        <f t="shared" si="20"/>
        <v>V</v>
      </c>
      <c r="P204" s="4"/>
      <c r="Q204" s="47" t="str">
        <f t="shared" si="21"/>
        <v>TWYWENLLKICVFIFAFIM</v>
      </c>
      <c r="R204" s="27" t="str">
        <f t="shared" si="22"/>
        <v>P</v>
      </c>
      <c r="S204" s="19" t="str">
        <f t="shared" si="23"/>
        <v>VLIITVCYGLMILRLKSV</v>
      </c>
      <c r="V204" s="1" t="s">
        <v>43</v>
      </c>
      <c r="Z204" s="4" t="s">
        <v>64</v>
      </c>
      <c r="AD204" s="1" t="s">
        <v>99</v>
      </c>
      <c r="AE204" s="1">
        <v>225</v>
      </c>
      <c r="AF204" s="1">
        <v>244</v>
      </c>
      <c r="AG204" s="1">
        <v>262</v>
      </c>
      <c r="AH204" s="1" t="s">
        <v>101</v>
      </c>
      <c r="AK204" s="4">
        <v>32</v>
      </c>
      <c r="AL204" s="4">
        <v>68</v>
      </c>
    </row>
    <row r="205" spans="1:38" x14ac:dyDescent="0.25">
      <c r="A205" s="1" t="str">
        <f t="shared" si="18"/>
        <v>OPRX_human__wt_TM5</v>
      </c>
      <c r="B205" s="45" t="s">
        <v>1373</v>
      </c>
      <c r="C205" s="45" t="s">
        <v>294</v>
      </c>
      <c r="D205" s="4" t="str">
        <f>VLOOKUP(B205,Classification!A:D,2,FALSE)</f>
        <v>A</v>
      </c>
      <c r="E205" s="4" t="str">
        <f>VLOOKUP(B205,Classification!A:D,3,FALSE)</f>
        <v>Peptide</v>
      </c>
      <c r="F205" s="4" t="str">
        <f>VLOOKUP(B205,Classification!A:D,4,FALSE)</f>
        <v>Opioid</v>
      </c>
      <c r="G205" s="2">
        <v>9</v>
      </c>
      <c r="H205" s="45" t="s">
        <v>39</v>
      </c>
      <c r="I205" s="2" t="s">
        <v>1223</v>
      </c>
      <c r="J205" s="5" t="str">
        <f>VLOOKUP(B205,Seqs!A:B,2,FALSE)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205" s="4" t="str">
        <f t="shared" si="19"/>
        <v>Q</v>
      </c>
      <c r="L205" s="45">
        <f>VLOOKUP(B205,'NonXtal_SegEnds_Prot#'!A:AL,27,FALSE)</f>
        <v>208</v>
      </c>
      <c r="M205" s="45">
        <f>VLOOKUP(B205,'NonXtal_SegEnds_Prot#'!A:AL,28,FALSE)</f>
        <v>227</v>
      </c>
      <c r="N205" s="45">
        <f>VLOOKUP(B205,'NonXtal_SegEnds_Prot#'!A:AL,29,FALSE)</f>
        <v>245</v>
      </c>
      <c r="O205" s="4" t="str">
        <f t="shared" si="20"/>
        <v>V</v>
      </c>
      <c r="P205" s="4"/>
      <c r="Q205" s="47" t="str">
        <f t="shared" si="21"/>
        <v>QDYWGPVFAICIFLFSFIV</v>
      </c>
      <c r="R205" s="27" t="str">
        <f t="shared" si="22"/>
        <v>P</v>
      </c>
      <c r="S205" s="19" t="str">
        <f t="shared" si="23"/>
        <v>VLVISVCYSLMIRRLRGV</v>
      </c>
      <c r="V205" s="1" t="s">
        <v>43</v>
      </c>
      <c r="Z205" s="4"/>
      <c r="AD205" s="1" t="s">
        <v>99</v>
      </c>
      <c r="AE205" s="1">
        <v>208</v>
      </c>
      <c r="AF205" s="1">
        <v>227</v>
      </c>
      <c r="AG205" s="1">
        <v>245</v>
      </c>
      <c r="AH205" s="1" t="s">
        <v>101</v>
      </c>
      <c r="AK205" s="4">
        <v>32</v>
      </c>
      <c r="AL205" s="4">
        <v>68</v>
      </c>
    </row>
    <row r="206" spans="1:38" x14ac:dyDescent="0.25">
      <c r="A206" s="1" t="str">
        <f t="shared" si="18"/>
        <v>OPRX_human_4EA3_TM5</v>
      </c>
      <c r="B206" s="45" t="s">
        <v>1373</v>
      </c>
      <c r="C206" s="45" t="s">
        <v>258</v>
      </c>
      <c r="D206" s="4" t="str">
        <f>VLOOKUP(B206,Classification!A:D,2,FALSE)</f>
        <v>A</v>
      </c>
      <c r="E206" s="4" t="str">
        <f>VLOOKUP(B206,Classification!A:D,3,FALSE)</f>
        <v>Peptide</v>
      </c>
      <c r="F206" s="4" t="str">
        <f>VLOOKUP(B206,Classification!A:D,4,FALSE)</f>
        <v>Opioid</v>
      </c>
      <c r="G206" s="2">
        <v>9</v>
      </c>
      <c r="H206" s="45" t="s">
        <v>39</v>
      </c>
      <c r="I206" s="2" t="s">
        <v>1223</v>
      </c>
      <c r="J206" s="5" t="str">
        <f>VLOOKUP(B206,Seqs!A:B,2,FALSE)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206" s="4" t="str">
        <f t="shared" si="19"/>
        <v>Q</v>
      </c>
      <c r="L206" s="45">
        <f>VLOOKUP(B206,'NonXtal_SegEnds_Prot#'!A:AL,27,FALSE)</f>
        <v>208</v>
      </c>
      <c r="M206" s="45">
        <f>VLOOKUP(B206,'NonXtal_SegEnds_Prot#'!A:AL,28,FALSE)</f>
        <v>227</v>
      </c>
      <c r="N206" s="45">
        <f>VLOOKUP(B206,'NonXtal_SegEnds_Prot#'!A:AL,29,FALSE)</f>
        <v>245</v>
      </c>
      <c r="O206" s="4" t="str">
        <f t="shared" si="20"/>
        <v>V</v>
      </c>
      <c r="P206" s="4"/>
      <c r="Q206" s="47" t="str">
        <f t="shared" si="21"/>
        <v>QDYWGPVFAICIFLFSFIV</v>
      </c>
      <c r="R206" s="27" t="str">
        <f t="shared" si="22"/>
        <v>P</v>
      </c>
      <c r="S206" s="19" t="str">
        <f t="shared" si="23"/>
        <v>VLVISVCYSLMIRRLRGV</v>
      </c>
      <c r="V206" s="1" t="s">
        <v>43</v>
      </c>
      <c r="Z206" s="4"/>
      <c r="AD206" s="1" t="s">
        <v>99</v>
      </c>
      <c r="AE206" s="1">
        <v>208</v>
      </c>
      <c r="AF206" s="1">
        <v>227</v>
      </c>
      <c r="AG206" s="1">
        <v>242</v>
      </c>
      <c r="AH206" s="1" t="s">
        <v>93</v>
      </c>
      <c r="AK206" s="4">
        <v>32</v>
      </c>
      <c r="AL206" s="4">
        <v>65</v>
      </c>
    </row>
    <row r="207" spans="1:38" x14ac:dyDescent="0.25">
      <c r="A207" s="1" t="str">
        <f t="shared" si="18"/>
        <v>OPSD_bovin_1U19_TM5</v>
      </c>
      <c r="B207" s="45" t="s">
        <v>231</v>
      </c>
      <c r="C207" s="45" t="s">
        <v>244</v>
      </c>
      <c r="D207" s="4" t="str">
        <f>VLOOKUP(B207,Classification!A:D,2,FALSE)</f>
        <v>A</v>
      </c>
      <c r="E207" s="4" t="str">
        <f>VLOOKUP(B207,Classification!A:D,3,FALSE)</f>
        <v>Sensory</v>
      </c>
      <c r="F207" s="4" t="str">
        <f>VLOOKUP(B207,Classification!A:D,4,FALSE)</f>
        <v>Opsins</v>
      </c>
      <c r="G207" s="2">
        <v>9</v>
      </c>
      <c r="H207" s="45" t="s">
        <v>39</v>
      </c>
      <c r="I207" s="2" t="s">
        <v>1223</v>
      </c>
      <c r="J207" s="5" t="str">
        <f>VLOOKUP(B207,Seqs!A:B,2,FALSE)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207" s="4" t="str">
        <f t="shared" si="19"/>
        <v>N</v>
      </c>
      <c r="L207" s="45">
        <f>VLOOKUP(B207,'NonXtal_SegEnds_Prot#'!A:AL,27,FALSE)</f>
        <v>199</v>
      </c>
      <c r="M207" s="45">
        <f>VLOOKUP(B207,'NonXtal_SegEnds_Prot#'!A:AL,28,FALSE)</f>
        <v>215</v>
      </c>
      <c r="N207" s="45">
        <f>VLOOKUP(B207,'NonXtal_SegEnds_Prot#'!A:AL,29,FALSE)</f>
        <v>237</v>
      </c>
      <c r="O207" s="4" t="str">
        <f t="shared" si="20"/>
        <v>Q</v>
      </c>
      <c r="P207" s="4"/>
      <c r="Q207" s="47" t="str">
        <f t="shared" si="21"/>
        <v>NNESFVIYMFVVHFII</v>
      </c>
      <c r="R207" s="27" t="str">
        <f t="shared" si="22"/>
        <v>P</v>
      </c>
      <c r="S207" s="19" t="str">
        <f t="shared" si="23"/>
        <v>LIVIFFCYGQLVFTVKEAAAQQ</v>
      </c>
      <c r="V207" s="1" t="s">
        <v>43</v>
      </c>
      <c r="Z207" s="4"/>
      <c r="AD207" s="1" t="s">
        <v>100</v>
      </c>
      <c r="AE207" s="1">
        <v>200</v>
      </c>
      <c r="AF207" s="1">
        <v>215</v>
      </c>
      <c r="AG207" s="1">
        <v>226</v>
      </c>
      <c r="AH207" s="1" t="s">
        <v>146</v>
      </c>
      <c r="AK207" s="4">
        <v>35</v>
      </c>
      <c r="AL207" s="4">
        <v>61</v>
      </c>
    </row>
    <row r="208" spans="1:38" x14ac:dyDescent="0.25">
      <c r="A208" s="1" t="str">
        <f t="shared" si="18"/>
        <v>OPSD_bovin_3DQB_TM5</v>
      </c>
      <c r="B208" s="45" t="s">
        <v>231</v>
      </c>
      <c r="C208" s="45" t="s">
        <v>245</v>
      </c>
      <c r="D208" s="4" t="str">
        <f>VLOOKUP(B208,Classification!A:D,2,FALSE)</f>
        <v>A</v>
      </c>
      <c r="E208" s="4" t="str">
        <f>VLOOKUP(B208,Classification!A:D,3,FALSE)</f>
        <v>Sensory</v>
      </c>
      <c r="F208" s="4" t="str">
        <f>VLOOKUP(B208,Classification!A:D,4,FALSE)</f>
        <v>Opsins</v>
      </c>
      <c r="G208" s="2">
        <v>9</v>
      </c>
      <c r="H208" s="45" t="s">
        <v>39</v>
      </c>
      <c r="I208" s="2" t="s">
        <v>1223</v>
      </c>
      <c r="J208" s="5" t="str">
        <f>VLOOKUP(B208,Seqs!A:B,2,FALSE)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208" s="4" t="str">
        <f t="shared" si="19"/>
        <v>N</v>
      </c>
      <c r="L208" s="45">
        <f>VLOOKUP(B208,'NonXtal_SegEnds_Prot#'!A:AL,27,FALSE)</f>
        <v>199</v>
      </c>
      <c r="M208" s="45">
        <f>VLOOKUP(B208,'NonXtal_SegEnds_Prot#'!A:AL,28,FALSE)</f>
        <v>215</v>
      </c>
      <c r="N208" s="45">
        <f>VLOOKUP(B208,'NonXtal_SegEnds_Prot#'!A:AL,29,FALSE)</f>
        <v>237</v>
      </c>
      <c r="O208" s="4" t="str">
        <f t="shared" si="20"/>
        <v>Q</v>
      </c>
      <c r="P208" s="4"/>
      <c r="Q208" s="47" t="str">
        <f t="shared" si="21"/>
        <v>NNESFVIYMFVVHFII</v>
      </c>
      <c r="R208" s="27" t="str">
        <f t="shared" si="22"/>
        <v>P</v>
      </c>
      <c r="S208" s="19" t="str">
        <f t="shared" si="23"/>
        <v>LIVIFFCYGQLVFTVKEAAAQQ</v>
      </c>
      <c r="V208" s="1" t="s">
        <v>43</v>
      </c>
      <c r="Z208" s="4"/>
      <c r="AD208" s="1" t="s">
        <v>100</v>
      </c>
      <c r="AE208" s="1">
        <v>200</v>
      </c>
      <c r="AF208" s="1">
        <v>215</v>
      </c>
      <c r="AG208" s="1">
        <v>237</v>
      </c>
      <c r="AH208" s="1" t="s">
        <v>145</v>
      </c>
      <c r="AK208" s="4">
        <v>35</v>
      </c>
      <c r="AL208" s="4">
        <v>72</v>
      </c>
    </row>
    <row r="209" spans="1:38" x14ac:dyDescent="0.25">
      <c r="A209" s="1" t="str">
        <f t="shared" si="18"/>
        <v>OPSD_human__wt_TM5</v>
      </c>
      <c r="B209" s="45" t="s">
        <v>228</v>
      </c>
      <c r="C209" s="45" t="s">
        <v>294</v>
      </c>
      <c r="D209" s="4" t="str">
        <f>VLOOKUP(B209,Classification!A:D,2,FALSE)</f>
        <v>A</v>
      </c>
      <c r="E209" s="4" t="str">
        <f>VLOOKUP(B209,Classification!A:D,3,FALSE)</f>
        <v>Sensory</v>
      </c>
      <c r="F209" s="4" t="str">
        <f>VLOOKUP(B209,Classification!A:D,4,FALSE)</f>
        <v>Opsins</v>
      </c>
      <c r="G209" s="2">
        <v>9</v>
      </c>
      <c r="H209" s="45" t="s">
        <v>39</v>
      </c>
      <c r="I209" s="2" t="s">
        <v>1223</v>
      </c>
      <c r="J209" s="5" t="str">
        <f>VLOOKUP(B209,Seqs!A:B,2,FALSE)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09" s="4" t="str">
        <f t="shared" si="19"/>
        <v>N</v>
      </c>
      <c r="L209" s="45">
        <f>VLOOKUP(B209,'NonXtal_SegEnds_Prot#'!A:AL,27,FALSE)</f>
        <v>199</v>
      </c>
      <c r="M209" s="45">
        <f>VLOOKUP(B209,'NonXtal_SegEnds_Prot#'!A:AL,28,FALSE)</f>
        <v>215</v>
      </c>
      <c r="N209" s="45">
        <f>VLOOKUP(B209,'NonXtal_SegEnds_Prot#'!A:AL,29,FALSE)</f>
        <v>237</v>
      </c>
      <c r="O209" s="4" t="str">
        <f t="shared" si="20"/>
        <v>Q</v>
      </c>
      <c r="P209" s="4"/>
      <c r="Q209" s="47" t="str">
        <f t="shared" si="21"/>
        <v>NNESFVIYMFVVHFTI</v>
      </c>
      <c r="R209" s="27" t="str">
        <f t="shared" si="22"/>
        <v>P</v>
      </c>
      <c r="S209" s="19" t="str">
        <f t="shared" si="23"/>
        <v>MIIIFFCYGQLVFTVKEAAAQQ</v>
      </c>
      <c r="V209" s="1" t="s">
        <v>43</v>
      </c>
      <c r="Z209" s="4"/>
      <c r="AD209" s="1" t="s">
        <v>100</v>
      </c>
      <c r="AE209" s="1">
        <v>200</v>
      </c>
      <c r="AF209" s="1">
        <v>215</v>
      </c>
      <c r="AG209" s="1">
        <v>237</v>
      </c>
      <c r="AH209" s="1" t="s">
        <v>145</v>
      </c>
      <c r="AK209" s="4">
        <v>35</v>
      </c>
      <c r="AL209" s="4">
        <v>72</v>
      </c>
    </row>
    <row r="210" spans="1:38" x14ac:dyDescent="0.25">
      <c r="A210" s="1" t="str">
        <f t="shared" si="18"/>
        <v>OPSD_human__wt_TM5</v>
      </c>
      <c r="B210" s="45" t="s">
        <v>228</v>
      </c>
      <c r="C210" s="45" t="s">
        <v>294</v>
      </c>
      <c r="D210" s="4" t="str">
        <f>VLOOKUP(B210,Classification!A:D,2,FALSE)</f>
        <v>A</v>
      </c>
      <c r="E210" s="4" t="str">
        <f>VLOOKUP(B210,Classification!A:D,3,FALSE)</f>
        <v>Sensory</v>
      </c>
      <c r="F210" s="4" t="str">
        <f>VLOOKUP(B210,Classification!A:D,4,FALSE)</f>
        <v>Opsins</v>
      </c>
      <c r="G210" s="2">
        <v>9</v>
      </c>
      <c r="H210" s="45" t="s">
        <v>39</v>
      </c>
      <c r="I210" s="2" t="s">
        <v>1223</v>
      </c>
      <c r="J210" s="5" t="str">
        <f>VLOOKUP(B210,Seqs!A:B,2,FALSE)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10" s="4" t="str">
        <f t="shared" si="19"/>
        <v>N</v>
      </c>
      <c r="L210" s="45">
        <f>VLOOKUP(B210,'NonXtal_SegEnds_Prot#'!A:AL,27,FALSE)</f>
        <v>199</v>
      </c>
      <c r="M210" s="45">
        <f>VLOOKUP(B210,'NonXtal_SegEnds_Prot#'!A:AL,28,FALSE)</f>
        <v>215</v>
      </c>
      <c r="N210" s="45">
        <f>VLOOKUP(B210,'NonXtal_SegEnds_Prot#'!A:AL,29,FALSE)</f>
        <v>237</v>
      </c>
      <c r="O210" s="4" t="str">
        <f t="shared" si="20"/>
        <v>Q</v>
      </c>
      <c r="P210" s="4"/>
      <c r="Q210" s="47" t="str">
        <f t="shared" si="21"/>
        <v>NNESFVIYMFVVHFTI</v>
      </c>
      <c r="R210" s="27" t="str">
        <f t="shared" si="22"/>
        <v>P</v>
      </c>
      <c r="S210" s="19" t="str">
        <f t="shared" si="23"/>
        <v>MIIIFFCYGQLVFTVKEAAAQQ</v>
      </c>
      <c r="V210" s="1" t="s">
        <v>43</v>
      </c>
      <c r="Z210" s="4" t="s">
        <v>64</v>
      </c>
      <c r="AD210" s="1" t="s">
        <v>100</v>
      </c>
      <c r="AE210" s="1">
        <v>200</v>
      </c>
      <c r="AF210" s="1">
        <v>215</v>
      </c>
      <c r="AG210" s="1">
        <v>237</v>
      </c>
      <c r="AH210" s="1" t="s">
        <v>145</v>
      </c>
      <c r="AK210" s="4">
        <v>35</v>
      </c>
      <c r="AL210" s="4">
        <v>72</v>
      </c>
    </row>
    <row r="211" spans="1:38" x14ac:dyDescent="0.25">
      <c r="A211" s="1" t="str">
        <f t="shared" si="18"/>
        <v>OPSD_human_4ZWJ_TM5</v>
      </c>
      <c r="B211" s="45" t="s">
        <v>228</v>
      </c>
      <c r="C211" s="45" t="s">
        <v>246</v>
      </c>
      <c r="D211" s="4" t="str">
        <f>VLOOKUP(B211,Classification!A:D,2,FALSE)</f>
        <v>A</v>
      </c>
      <c r="E211" s="4" t="str">
        <f>VLOOKUP(B211,Classification!A:D,3,FALSE)</f>
        <v>Sensory</v>
      </c>
      <c r="F211" s="4" t="str">
        <f>VLOOKUP(B211,Classification!A:D,4,FALSE)</f>
        <v>Opsins</v>
      </c>
      <c r="G211" s="2">
        <v>9</v>
      </c>
      <c r="H211" s="45" t="s">
        <v>39</v>
      </c>
      <c r="I211" s="2" t="s">
        <v>1223</v>
      </c>
      <c r="J211" s="5" t="str">
        <f>VLOOKUP(B211,Seqs!A:B,2,FALSE)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11" s="4" t="str">
        <f t="shared" si="19"/>
        <v>N</v>
      </c>
      <c r="L211" s="45">
        <f>VLOOKUP(B211,'NonXtal_SegEnds_Prot#'!A:AL,27,FALSE)</f>
        <v>199</v>
      </c>
      <c r="M211" s="45">
        <f>VLOOKUP(B211,'NonXtal_SegEnds_Prot#'!A:AL,28,FALSE)</f>
        <v>215</v>
      </c>
      <c r="N211" s="45">
        <f>VLOOKUP(B211,'NonXtal_SegEnds_Prot#'!A:AL,29,FALSE)</f>
        <v>237</v>
      </c>
      <c r="O211" s="4" t="str">
        <f t="shared" si="20"/>
        <v>Q</v>
      </c>
      <c r="P211" s="4"/>
      <c r="Q211" s="47" t="str">
        <f t="shared" si="21"/>
        <v>NNESFVIYMFVVHFTI</v>
      </c>
      <c r="R211" s="27" t="str">
        <f t="shared" si="22"/>
        <v>P</v>
      </c>
      <c r="S211" s="19" t="str">
        <f t="shared" si="23"/>
        <v>MIIIFFCYGQLVFTVKEAAAQQ</v>
      </c>
      <c r="V211" s="1" t="s">
        <v>43</v>
      </c>
      <c r="Z211" s="4"/>
      <c r="AD211" s="1" t="s">
        <v>100</v>
      </c>
      <c r="AE211" s="1">
        <v>200</v>
      </c>
      <c r="AF211" s="1">
        <v>215</v>
      </c>
      <c r="AG211" s="1">
        <v>237</v>
      </c>
      <c r="AH211" s="1" t="s">
        <v>145</v>
      </c>
      <c r="AK211" s="4">
        <v>35</v>
      </c>
      <c r="AL211" s="4">
        <v>72</v>
      </c>
    </row>
    <row r="212" spans="1:38" x14ac:dyDescent="0.25">
      <c r="A212" s="1" t="str">
        <f t="shared" si="18"/>
        <v>OPSD_human_4ZWJ_TM5</v>
      </c>
      <c r="B212" s="45" t="s">
        <v>228</v>
      </c>
      <c r="C212" s="45" t="s">
        <v>246</v>
      </c>
      <c r="D212" s="4" t="str">
        <f>VLOOKUP(B212,Classification!A:D,2,FALSE)</f>
        <v>A</v>
      </c>
      <c r="E212" s="4" t="str">
        <f>VLOOKUP(B212,Classification!A:D,3,FALSE)</f>
        <v>Sensory</v>
      </c>
      <c r="F212" s="4" t="str">
        <f>VLOOKUP(B212,Classification!A:D,4,FALSE)</f>
        <v>Opsins</v>
      </c>
      <c r="G212" s="2">
        <v>9</v>
      </c>
      <c r="H212" s="45" t="s">
        <v>39</v>
      </c>
      <c r="I212" s="2" t="s">
        <v>1223</v>
      </c>
      <c r="J212" s="5" t="str">
        <f>VLOOKUP(B212,Seqs!A:B,2,FALSE)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12" s="4" t="str">
        <f t="shared" si="19"/>
        <v>N</v>
      </c>
      <c r="L212" s="45">
        <f>VLOOKUP(B212,'NonXtal_SegEnds_Prot#'!A:AL,27,FALSE)</f>
        <v>199</v>
      </c>
      <c r="M212" s="45">
        <f>VLOOKUP(B212,'NonXtal_SegEnds_Prot#'!A:AL,28,FALSE)</f>
        <v>215</v>
      </c>
      <c r="N212" s="45">
        <f>VLOOKUP(B212,'NonXtal_SegEnds_Prot#'!A:AL,29,FALSE)</f>
        <v>237</v>
      </c>
      <c r="O212" s="4" t="str">
        <f t="shared" si="20"/>
        <v>Q</v>
      </c>
      <c r="P212" s="4"/>
      <c r="Q212" s="47" t="str">
        <f t="shared" si="21"/>
        <v>NNESFVIYMFVVHFTI</v>
      </c>
      <c r="R212" s="27" t="str">
        <f t="shared" si="22"/>
        <v>P</v>
      </c>
      <c r="S212" s="19" t="str">
        <f t="shared" si="23"/>
        <v>MIIIFFCYGQLVFTVKEAAAQQ</v>
      </c>
      <c r="V212" s="1" t="s">
        <v>43</v>
      </c>
      <c r="Z212" s="4" t="s">
        <v>64</v>
      </c>
      <c r="AD212" s="1" t="s">
        <v>100</v>
      </c>
      <c r="AE212" s="1">
        <v>200</v>
      </c>
      <c r="AF212" s="1">
        <v>215</v>
      </c>
      <c r="AG212" s="1">
        <v>237</v>
      </c>
      <c r="AH212" s="1" t="s">
        <v>145</v>
      </c>
      <c r="AK212" s="4">
        <v>35</v>
      </c>
      <c r="AL212" s="4">
        <v>72</v>
      </c>
    </row>
    <row r="213" spans="1:38" x14ac:dyDescent="0.25">
      <c r="A213" s="1" t="str">
        <f t="shared" si="18"/>
        <v>OPSD_todpa__wt_TM5</v>
      </c>
      <c r="B213" s="45" t="s">
        <v>291</v>
      </c>
      <c r="C213" s="45" t="s">
        <v>294</v>
      </c>
      <c r="D213" s="4" t="str">
        <f>VLOOKUP(B213,Classification!A:D,2,FALSE)</f>
        <v>A</v>
      </c>
      <c r="E213" s="4" t="str">
        <f>VLOOKUP(B213,Classification!A:D,3,FALSE)</f>
        <v>Sensory</v>
      </c>
      <c r="F213" s="4" t="str">
        <f>VLOOKUP(B213,Classification!A:D,4,FALSE)</f>
        <v>Opsins</v>
      </c>
      <c r="G213" s="2">
        <v>9</v>
      </c>
      <c r="H213" s="45" t="s">
        <v>39</v>
      </c>
      <c r="I213" s="2" t="s">
        <v>1223</v>
      </c>
      <c r="J213" s="5" t="str">
        <f>VLOOKUP(B213,Seqs!A:B,2,FALSE)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13" s="4" t="str">
        <f t="shared" si="19"/>
        <v>D</v>
      </c>
      <c r="L213" s="45">
        <f>VLOOKUP(B213,'NonXtal_SegEnds_Prot#'!A:AL,27,FALSE)</f>
        <v>194</v>
      </c>
      <c r="M213" s="45">
        <f>VLOOKUP(B213,'NonXtal_SegEnds_Prot#'!A:AL,28,FALSE)</f>
        <v>212</v>
      </c>
      <c r="N213" s="45">
        <f>VLOOKUP(B213,'NonXtal_SegEnds_Prot#'!A:AL,29,FALSE)</f>
        <v>239</v>
      </c>
      <c r="O213" s="4" t="str">
        <f t="shared" si="20"/>
        <v>K</v>
      </c>
      <c r="P213" s="4"/>
      <c r="Q213" s="47" t="str">
        <f t="shared" si="21"/>
        <v>DSTTRSNILCMFILGFFG</v>
      </c>
      <c r="R213" s="27" t="str">
        <f t="shared" si="22"/>
        <v>P</v>
      </c>
      <c r="S213" s="19" t="str">
        <f t="shared" si="23"/>
        <v>ILIIFFCYFNIVMSVSNHEKEMAAMAK</v>
      </c>
      <c r="V213" s="1" t="s">
        <v>43</v>
      </c>
      <c r="Z213" s="4"/>
      <c r="AD213" s="1" t="s">
        <v>111</v>
      </c>
      <c r="AE213" s="1">
        <v>195</v>
      </c>
      <c r="AF213" s="1">
        <v>212</v>
      </c>
      <c r="AG213" s="1">
        <v>240</v>
      </c>
      <c r="AH213" s="1" t="s">
        <v>150</v>
      </c>
      <c r="AK213" s="4">
        <v>33</v>
      </c>
      <c r="AL213" s="4">
        <v>77</v>
      </c>
    </row>
    <row r="214" spans="1:38" x14ac:dyDescent="0.25">
      <c r="A214" s="1" t="str">
        <f t="shared" si="18"/>
        <v>OPSD_todpa_2Z73_TM5</v>
      </c>
      <c r="B214" s="45" t="s">
        <v>291</v>
      </c>
      <c r="C214" s="45" t="s">
        <v>290</v>
      </c>
      <c r="D214" s="4" t="str">
        <f>VLOOKUP(B214,Classification!A:D,2,FALSE)</f>
        <v>A</v>
      </c>
      <c r="E214" s="4" t="str">
        <f>VLOOKUP(B214,Classification!A:D,3,FALSE)</f>
        <v>Sensory</v>
      </c>
      <c r="F214" s="4" t="str">
        <f>VLOOKUP(B214,Classification!A:D,4,FALSE)</f>
        <v>Opsins</v>
      </c>
      <c r="G214" s="2">
        <v>9</v>
      </c>
      <c r="H214" s="45" t="s">
        <v>39</v>
      </c>
      <c r="I214" s="2" t="s">
        <v>1223</v>
      </c>
      <c r="J214" s="5" t="str">
        <f>VLOOKUP(B214,Seqs!A:B,2,FALSE)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14" s="4" t="str">
        <f t="shared" si="19"/>
        <v>D</v>
      </c>
      <c r="L214" s="45">
        <f>VLOOKUP(B214,'NonXtal_SegEnds_Prot#'!A:AL,27,FALSE)</f>
        <v>194</v>
      </c>
      <c r="M214" s="45">
        <f>VLOOKUP(B214,'NonXtal_SegEnds_Prot#'!A:AL,28,FALSE)</f>
        <v>212</v>
      </c>
      <c r="N214" s="45">
        <f>VLOOKUP(B214,'NonXtal_SegEnds_Prot#'!A:AL,29,FALSE)</f>
        <v>239</v>
      </c>
      <c r="O214" s="4" t="str">
        <f t="shared" si="20"/>
        <v>K</v>
      </c>
      <c r="P214" s="4"/>
      <c r="Q214" s="47" t="str">
        <f t="shared" si="21"/>
        <v>DSTTRSNILCMFILGFFG</v>
      </c>
      <c r="R214" s="27" t="str">
        <f t="shared" si="22"/>
        <v>P</v>
      </c>
      <c r="S214" s="19" t="str">
        <f t="shared" si="23"/>
        <v>ILIIFFCYFNIVMSVSNHEKEMAAMAK</v>
      </c>
      <c r="V214" s="1" t="s">
        <v>43</v>
      </c>
      <c r="Z214" s="4"/>
      <c r="AD214" s="1" t="s">
        <v>111</v>
      </c>
      <c r="AE214" s="1">
        <v>195</v>
      </c>
      <c r="AF214" s="1">
        <v>212</v>
      </c>
      <c r="AG214" s="1">
        <v>240</v>
      </c>
      <c r="AH214" s="1" t="s">
        <v>150</v>
      </c>
      <c r="AK214" s="4">
        <v>33</v>
      </c>
      <c r="AL214" s="4">
        <v>77</v>
      </c>
    </row>
    <row r="215" spans="1:38" x14ac:dyDescent="0.25">
      <c r="A215" s="1" t="str">
        <f t="shared" si="18"/>
        <v>OX1R_human__wt_TM5</v>
      </c>
      <c r="B215" s="45" t="s">
        <v>1374</v>
      </c>
      <c r="C215" s="45" t="s">
        <v>294</v>
      </c>
      <c r="D215" s="4" t="str">
        <f>VLOOKUP(B215,Classification!A:D,2,FALSE)</f>
        <v>A</v>
      </c>
      <c r="E215" s="4" t="str">
        <f>VLOOKUP(B215,Classification!A:D,3,FALSE)</f>
        <v>Peptide</v>
      </c>
      <c r="F215" s="4" t="str">
        <f>VLOOKUP(B215,Classification!A:D,4,FALSE)</f>
        <v>Orexin</v>
      </c>
      <c r="G215" s="2">
        <v>9</v>
      </c>
      <c r="H215" s="45" t="s">
        <v>39</v>
      </c>
      <c r="I215" s="2" t="s">
        <v>1223</v>
      </c>
      <c r="J215" s="5" t="str">
        <f>VLOOKUP(B215,Seqs!A:B,2,FALSE)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15" s="4" t="str">
        <f t="shared" si="19"/>
        <v>D</v>
      </c>
      <c r="L215" s="45">
        <f>VLOOKUP(B215,'NonXtal_SegEnds_Prot#'!A:AL,27,FALSE)</f>
        <v>209</v>
      </c>
      <c r="M215" s="45">
        <f>VLOOKUP(B215,'NonXtal_SegEnds_Prot#'!A:AL,28,FALSE)</f>
        <v>227</v>
      </c>
      <c r="N215" s="45">
        <f>VLOOKUP(B215,'NonXtal_SegEnds_Prot#'!A:AL,29,FALSE)</f>
        <v>248</v>
      </c>
      <c r="O215" s="4" t="str">
        <f t="shared" si="20"/>
        <v>P</v>
      </c>
      <c r="P215" s="4"/>
      <c r="Q215" s="47" t="str">
        <f t="shared" si="21"/>
        <v>DLYPKIYHSCFFIVTYLA</v>
      </c>
      <c r="R215" s="27" t="str">
        <f t="shared" si="22"/>
        <v>P</v>
      </c>
      <c r="S215" s="19" t="str">
        <f t="shared" si="23"/>
        <v>LGLMAMAYFQIFRKLWGRQIP</v>
      </c>
      <c r="V215" s="1" t="s">
        <v>43</v>
      </c>
      <c r="Z215" s="4" t="s">
        <v>78</v>
      </c>
      <c r="AD215" s="1" t="s">
        <v>111</v>
      </c>
      <c r="AE215" s="1">
        <v>209</v>
      </c>
      <c r="AF215" s="1">
        <v>227</v>
      </c>
      <c r="AG215" s="1">
        <v>246</v>
      </c>
      <c r="AH215" s="1" t="s">
        <v>73</v>
      </c>
      <c r="AK215" s="4">
        <v>33</v>
      </c>
      <c r="AL215" s="4">
        <v>69</v>
      </c>
    </row>
    <row r="216" spans="1:38" x14ac:dyDescent="0.25">
      <c r="A216" s="1" t="str">
        <f t="shared" si="18"/>
        <v>OX1R_human_4ZJ8_TM5</v>
      </c>
      <c r="B216" s="45" t="s">
        <v>1374</v>
      </c>
      <c r="C216" s="45" t="s">
        <v>282</v>
      </c>
      <c r="D216" s="4" t="str">
        <f>VLOOKUP(B216,Classification!A:D,2,FALSE)</f>
        <v>A</v>
      </c>
      <c r="E216" s="4" t="str">
        <f>VLOOKUP(B216,Classification!A:D,3,FALSE)</f>
        <v>Peptide</v>
      </c>
      <c r="F216" s="4" t="str">
        <f>VLOOKUP(B216,Classification!A:D,4,FALSE)</f>
        <v>Orexin</v>
      </c>
      <c r="G216" s="2">
        <v>9</v>
      </c>
      <c r="H216" s="45" t="s">
        <v>39</v>
      </c>
      <c r="I216" s="2" t="s">
        <v>1223</v>
      </c>
      <c r="J216" s="5" t="str">
        <f>VLOOKUP(B216,Seqs!A:B,2,FALSE)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16" s="4" t="str">
        <f t="shared" si="19"/>
        <v>D</v>
      </c>
      <c r="L216" s="45">
        <f>VLOOKUP(B216,'NonXtal_SegEnds_Prot#'!A:AL,27,FALSE)</f>
        <v>209</v>
      </c>
      <c r="M216" s="45">
        <f>VLOOKUP(B216,'NonXtal_SegEnds_Prot#'!A:AL,28,FALSE)</f>
        <v>227</v>
      </c>
      <c r="N216" s="45">
        <f>VLOOKUP(B216,'NonXtal_SegEnds_Prot#'!A:AL,29,FALSE)</f>
        <v>248</v>
      </c>
      <c r="O216" s="4" t="str">
        <f t="shared" si="20"/>
        <v>P</v>
      </c>
      <c r="P216" s="4"/>
      <c r="Q216" s="47" t="str">
        <f t="shared" si="21"/>
        <v>DLYPKIYHSCFFIVTYLA</v>
      </c>
      <c r="R216" s="27" t="str">
        <f t="shared" si="22"/>
        <v>P</v>
      </c>
      <c r="S216" s="19" t="str">
        <f t="shared" si="23"/>
        <v>LGLMAMAYFQIFRKLWGRQIP</v>
      </c>
      <c r="V216" s="1" t="s">
        <v>43</v>
      </c>
      <c r="Z216" s="4" t="s">
        <v>78</v>
      </c>
      <c r="AD216" s="1" t="s">
        <v>111</v>
      </c>
      <c r="AE216" s="1">
        <v>209</v>
      </c>
      <c r="AF216" s="1">
        <v>227</v>
      </c>
      <c r="AG216" s="1">
        <v>246</v>
      </c>
      <c r="AH216" s="1" t="s">
        <v>73</v>
      </c>
      <c r="AK216" s="4">
        <v>33</v>
      </c>
      <c r="AL216" s="4">
        <v>69</v>
      </c>
    </row>
    <row r="217" spans="1:38" x14ac:dyDescent="0.25">
      <c r="A217" s="1" t="str">
        <f t="shared" si="18"/>
        <v>OX1R_human_4ZJC_TM5</v>
      </c>
      <c r="B217" s="45" t="s">
        <v>1374</v>
      </c>
      <c r="C217" s="45" t="s">
        <v>283</v>
      </c>
      <c r="D217" s="4" t="str">
        <f>VLOOKUP(B217,Classification!A:D,2,FALSE)</f>
        <v>A</v>
      </c>
      <c r="E217" s="4" t="str">
        <f>VLOOKUP(B217,Classification!A:D,3,FALSE)</f>
        <v>Peptide</v>
      </c>
      <c r="F217" s="4" t="str">
        <f>VLOOKUP(B217,Classification!A:D,4,FALSE)</f>
        <v>Orexin</v>
      </c>
      <c r="G217" s="2">
        <v>9</v>
      </c>
      <c r="H217" s="45" t="s">
        <v>39</v>
      </c>
      <c r="I217" s="2" t="s">
        <v>1223</v>
      </c>
      <c r="J217" s="5" t="str">
        <f>VLOOKUP(B217,Seqs!A:B,2,FALSE)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17" s="4" t="str">
        <f t="shared" si="19"/>
        <v>D</v>
      </c>
      <c r="L217" s="45">
        <f>VLOOKUP(B217,'NonXtal_SegEnds_Prot#'!A:AL,27,FALSE)</f>
        <v>209</v>
      </c>
      <c r="M217" s="45">
        <f>VLOOKUP(B217,'NonXtal_SegEnds_Prot#'!A:AL,28,FALSE)</f>
        <v>227</v>
      </c>
      <c r="N217" s="45">
        <f>VLOOKUP(B217,'NonXtal_SegEnds_Prot#'!A:AL,29,FALSE)</f>
        <v>248</v>
      </c>
      <c r="O217" s="4" t="str">
        <f t="shared" si="20"/>
        <v>P</v>
      </c>
      <c r="P217" s="4"/>
      <c r="Q217" s="47" t="str">
        <f t="shared" si="21"/>
        <v>DLYPKIYHSCFFIVTYLA</v>
      </c>
      <c r="R217" s="27" t="str">
        <f t="shared" si="22"/>
        <v>P</v>
      </c>
      <c r="S217" s="19" t="str">
        <f t="shared" si="23"/>
        <v>LGLMAMAYFQIFRKLWGRQIP</v>
      </c>
      <c r="V217" s="1" t="s">
        <v>43</v>
      </c>
      <c r="Z217" s="4"/>
      <c r="AD217" s="1" t="s">
        <v>111</v>
      </c>
      <c r="AE217" s="1">
        <v>209</v>
      </c>
      <c r="AF217" s="1">
        <v>227</v>
      </c>
      <c r="AG217" s="1">
        <v>246</v>
      </c>
      <c r="AH217" s="1" t="s">
        <v>73</v>
      </c>
      <c r="AK217" s="4">
        <v>33</v>
      </c>
      <c r="AL217" s="4">
        <v>69</v>
      </c>
    </row>
    <row r="218" spans="1:38" x14ac:dyDescent="0.25">
      <c r="A218" s="1" t="str">
        <f t="shared" si="18"/>
        <v>OX2R_human__wt_TM5</v>
      </c>
      <c r="B218" s="45" t="s">
        <v>1375</v>
      </c>
      <c r="C218" s="45" t="s">
        <v>294</v>
      </c>
      <c r="D218" s="4" t="str">
        <f>VLOOKUP(B218,Classification!A:D,2,FALSE)</f>
        <v>A</v>
      </c>
      <c r="E218" s="4" t="str">
        <f>VLOOKUP(B218,Classification!A:D,3,FALSE)</f>
        <v>Peptide</v>
      </c>
      <c r="F218" s="4" t="str">
        <f>VLOOKUP(B218,Classification!A:D,4,FALSE)</f>
        <v>Orexin</v>
      </c>
      <c r="G218" s="2">
        <v>9</v>
      </c>
      <c r="H218" s="45" t="s">
        <v>39</v>
      </c>
      <c r="I218" s="2" t="s">
        <v>1223</v>
      </c>
      <c r="J218" s="5" t="str">
        <f>VLOOKUP(B218,Seqs!A:B,2,FALSE)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18" s="4" t="str">
        <f t="shared" si="19"/>
        <v>E</v>
      </c>
      <c r="L218" s="45">
        <f>VLOOKUP(B218,'NonXtal_SegEnds_Prot#'!A:AL,27,FALSE)</f>
        <v>217</v>
      </c>
      <c r="M218" s="45">
        <f>VLOOKUP(B218,'NonXtal_SegEnds_Prot#'!A:AL,28,FALSE)</f>
        <v>235</v>
      </c>
      <c r="N218" s="45">
        <f>VLOOKUP(B218,'NonXtal_SegEnds_Prot#'!A:AL,29,FALSE)</f>
        <v>256</v>
      </c>
      <c r="O218" s="4" t="str">
        <f t="shared" si="20"/>
        <v>P</v>
      </c>
      <c r="P218" s="4"/>
      <c r="Q218" s="47" t="str">
        <f t="shared" si="21"/>
        <v>EIYPKMYHICFFLVTYMA</v>
      </c>
      <c r="R218" s="27" t="str">
        <f t="shared" si="22"/>
        <v>P</v>
      </c>
      <c r="S218" s="19" t="str">
        <f t="shared" si="23"/>
        <v>LCLMVLAYLQIFRKLWCRQIP</v>
      </c>
      <c r="V218" s="1" t="s">
        <v>43</v>
      </c>
      <c r="Z218" s="4"/>
      <c r="AD218" s="1" t="s">
        <v>111</v>
      </c>
      <c r="AE218" s="1">
        <v>217</v>
      </c>
      <c r="AF218" s="1">
        <v>235</v>
      </c>
      <c r="AG218" s="1">
        <v>254</v>
      </c>
      <c r="AH218" s="1" t="s">
        <v>73</v>
      </c>
      <c r="AK218" s="4">
        <v>33</v>
      </c>
      <c r="AL218" s="4">
        <v>69</v>
      </c>
    </row>
    <row r="219" spans="1:38" x14ac:dyDescent="0.25">
      <c r="A219" s="1" t="str">
        <f t="shared" si="18"/>
        <v>OX2R_human_4S0V_TM5</v>
      </c>
      <c r="B219" s="45" t="s">
        <v>1375</v>
      </c>
      <c r="C219" s="45" t="s">
        <v>284</v>
      </c>
      <c r="D219" s="4" t="str">
        <f>VLOOKUP(B219,Classification!A:D,2,FALSE)</f>
        <v>A</v>
      </c>
      <c r="E219" s="4" t="str">
        <f>VLOOKUP(B219,Classification!A:D,3,FALSE)</f>
        <v>Peptide</v>
      </c>
      <c r="F219" s="4" t="str">
        <f>VLOOKUP(B219,Classification!A:D,4,FALSE)</f>
        <v>Orexin</v>
      </c>
      <c r="G219" s="2">
        <v>9</v>
      </c>
      <c r="H219" s="45" t="s">
        <v>39</v>
      </c>
      <c r="I219" s="2" t="s">
        <v>1223</v>
      </c>
      <c r="J219" s="5" t="str">
        <f>VLOOKUP(B219,Seqs!A:B,2,FALSE)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19" s="4" t="str">
        <f t="shared" si="19"/>
        <v>E</v>
      </c>
      <c r="L219" s="45">
        <f>VLOOKUP(B219,'NonXtal_SegEnds_Prot#'!A:AL,27,FALSE)</f>
        <v>217</v>
      </c>
      <c r="M219" s="45">
        <f>VLOOKUP(B219,'NonXtal_SegEnds_Prot#'!A:AL,28,FALSE)</f>
        <v>235</v>
      </c>
      <c r="N219" s="45">
        <f>VLOOKUP(B219,'NonXtal_SegEnds_Prot#'!A:AL,29,FALSE)</f>
        <v>256</v>
      </c>
      <c r="O219" s="4" t="str">
        <f t="shared" si="20"/>
        <v>P</v>
      </c>
      <c r="P219" s="4"/>
      <c r="Q219" s="47" t="str">
        <f t="shared" si="21"/>
        <v>EIYPKMYHICFFLVTYMA</v>
      </c>
      <c r="R219" s="27" t="str">
        <f t="shared" si="22"/>
        <v>P</v>
      </c>
      <c r="S219" s="19" t="str">
        <f t="shared" si="23"/>
        <v>LCLMVLAYLQIFRKLWCRQIP</v>
      </c>
      <c r="V219" s="1" t="s">
        <v>43</v>
      </c>
      <c r="Z219" s="4"/>
      <c r="AD219" s="1" t="s">
        <v>111</v>
      </c>
      <c r="AE219" s="1">
        <v>217</v>
      </c>
      <c r="AF219" s="1">
        <v>235</v>
      </c>
      <c r="AG219" s="1">
        <v>254</v>
      </c>
      <c r="AH219" s="1" t="s">
        <v>73</v>
      </c>
      <c r="AK219" s="4">
        <v>33</v>
      </c>
      <c r="AL219" s="4">
        <v>69</v>
      </c>
    </row>
    <row r="220" spans="1:38" x14ac:dyDescent="0.25">
      <c r="A220" s="1" t="str">
        <f t="shared" si="18"/>
        <v>P2RY1_human__wt_TM5</v>
      </c>
      <c r="B220" s="45" t="s">
        <v>215</v>
      </c>
      <c r="C220" s="45" t="s">
        <v>294</v>
      </c>
      <c r="D220" s="4" t="str">
        <f>VLOOKUP(B220,Classification!A:D,2,FALSE)</f>
        <v>A</v>
      </c>
      <c r="E220" s="4" t="str">
        <f>VLOOKUP(B220,Classification!A:D,3,FALSE)</f>
        <v>Nucleotide</v>
      </c>
      <c r="F220" s="4" t="str">
        <f>VLOOKUP(B220,Classification!A:D,4,FALSE)</f>
        <v>P2Y</v>
      </c>
      <c r="G220" s="2">
        <v>9</v>
      </c>
      <c r="H220" s="45" t="s">
        <v>39</v>
      </c>
      <c r="I220" s="2" t="s">
        <v>1223</v>
      </c>
      <c r="J220" s="5" t="str">
        <f>VLOOKUP(B220,Seqs!A:B,2,FALSE)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20" s="4" t="str">
        <f t="shared" si="19"/>
        <v>L</v>
      </c>
      <c r="L220" s="45">
        <f>VLOOKUP(B220,'NonXtal_SegEnds_Prot#'!A:AL,27,FALSE)</f>
        <v>211</v>
      </c>
      <c r="M220" s="45">
        <f>VLOOKUP(B220,'NonXtal_SegEnds_Prot#'!A:AL,28,FALSE)</f>
        <v>229</v>
      </c>
      <c r="N220" s="45">
        <f>VLOOKUP(B220,'NonXtal_SegEnds_Prot#'!A:AL,29,FALSE)</f>
        <v>247</v>
      </c>
      <c r="O220" s="4" t="str">
        <f t="shared" si="20"/>
        <v>K</v>
      </c>
      <c r="P220" s="4"/>
      <c r="Q220" s="47" t="str">
        <f t="shared" si="21"/>
        <v>LRSYFIYSMCTTVAMFCV</v>
      </c>
      <c r="R220" s="27" t="str">
        <f t="shared" si="22"/>
        <v>P</v>
      </c>
      <c r="S220" s="19" t="str">
        <f t="shared" si="23"/>
        <v>LVLILGCYGLIVRALIYK</v>
      </c>
      <c r="V220" s="1" t="s">
        <v>43</v>
      </c>
      <c r="Z220" s="4"/>
      <c r="AD220" s="1" t="s">
        <v>111</v>
      </c>
      <c r="AE220" s="1">
        <v>211</v>
      </c>
      <c r="AF220" s="1">
        <v>229</v>
      </c>
      <c r="AG220" s="1">
        <v>247</v>
      </c>
      <c r="AH220" s="1" t="s">
        <v>101</v>
      </c>
      <c r="AK220" s="4">
        <v>33</v>
      </c>
      <c r="AL220" s="4">
        <v>68</v>
      </c>
    </row>
    <row r="221" spans="1:38" x14ac:dyDescent="0.25">
      <c r="A221" s="1" t="str">
        <f t="shared" si="18"/>
        <v>P2RY1_human_4xNV_TM5</v>
      </c>
      <c r="B221" s="45" t="s">
        <v>215</v>
      </c>
      <c r="C221" s="45" t="s">
        <v>274</v>
      </c>
      <c r="D221" s="4" t="str">
        <f>VLOOKUP(B221,Classification!A:D,2,FALSE)</f>
        <v>A</v>
      </c>
      <c r="E221" s="4" t="str">
        <f>VLOOKUP(B221,Classification!A:D,3,FALSE)</f>
        <v>Nucleotide</v>
      </c>
      <c r="F221" s="4" t="str">
        <f>VLOOKUP(B221,Classification!A:D,4,FALSE)</f>
        <v>P2Y</v>
      </c>
      <c r="G221" s="2">
        <v>9</v>
      </c>
      <c r="H221" s="45" t="s">
        <v>39</v>
      </c>
      <c r="I221" s="2" t="s">
        <v>1223</v>
      </c>
      <c r="J221" s="5" t="str">
        <f>VLOOKUP(B221,Seqs!A:B,2,FALSE)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21" s="4" t="str">
        <f t="shared" si="19"/>
        <v>L</v>
      </c>
      <c r="L221" s="45">
        <f>VLOOKUP(B221,'NonXtal_SegEnds_Prot#'!A:AL,27,FALSE)</f>
        <v>211</v>
      </c>
      <c r="M221" s="45">
        <f>VLOOKUP(B221,'NonXtal_SegEnds_Prot#'!A:AL,28,FALSE)</f>
        <v>229</v>
      </c>
      <c r="N221" s="45">
        <f>VLOOKUP(B221,'NonXtal_SegEnds_Prot#'!A:AL,29,FALSE)</f>
        <v>247</v>
      </c>
      <c r="O221" s="4" t="str">
        <f t="shared" si="20"/>
        <v>K</v>
      </c>
      <c r="P221" s="4"/>
      <c r="Q221" s="47" t="str">
        <f t="shared" si="21"/>
        <v>LRSYFIYSMCTTVAMFCV</v>
      </c>
      <c r="R221" s="27" t="str">
        <f t="shared" si="22"/>
        <v>P</v>
      </c>
      <c r="S221" s="19" t="str">
        <f t="shared" si="23"/>
        <v>LVLILGCYGLIVRALIYK</v>
      </c>
      <c r="V221" s="1" t="s">
        <v>43</v>
      </c>
      <c r="Z221" s="4"/>
      <c r="AD221" s="1" t="s">
        <v>111</v>
      </c>
      <c r="AE221" s="1">
        <v>211</v>
      </c>
      <c r="AF221" s="1">
        <v>229</v>
      </c>
      <c r="AG221" s="1">
        <v>247</v>
      </c>
      <c r="AH221" s="1" t="s">
        <v>101</v>
      </c>
      <c r="AK221" s="4">
        <v>33</v>
      </c>
      <c r="AL221" s="4">
        <v>68</v>
      </c>
    </row>
    <row r="222" spans="1:38" x14ac:dyDescent="0.25">
      <c r="A222" s="1" t="str">
        <f t="shared" si="18"/>
        <v>smo_human__wt_TM5</v>
      </c>
      <c r="B222" s="45" t="s">
        <v>207</v>
      </c>
      <c r="C222" s="45" t="s">
        <v>294</v>
      </c>
      <c r="D222" s="4" t="str">
        <f>VLOOKUP(B222,Classification!A:D,2,FALSE)</f>
        <v>F</v>
      </c>
      <c r="E222" s="4" t="str">
        <f>VLOOKUP(B222,Classification!A:D,3,FALSE)</f>
        <v>Protein</v>
      </c>
      <c r="F222" s="4" t="str">
        <f>VLOOKUP(B222,Classification!A:D,4,FALSE)</f>
        <v>Frizzled</v>
      </c>
      <c r="G222" s="2">
        <v>9</v>
      </c>
      <c r="H222" s="45" t="s">
        <v>39</v>
      </c>
      <c r="I222" s="2" t="s">
        <v>1223</v>
      </c>
      <c r="J222" s="5" t="str">
        <f>VLOOKUP(B222,Seqs!A:B,2,FALSE)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222" s="4" t="str">
        <f t="shared" si="19"/>
        <v>Y</v>
      </c>
      <c r="L222" s="45">
        <f>VLOOKUP(B222,'NonXtal_SegEnds_Prot#'!A:AL,27,FALSE)</f>
        <v>397</v>
      </c>
      <c r="M222" s="45">
        <f>VLOOKUP(B222,'NonXtal_SegEnds_Prot#'!A:AL,28,FALSE)</f>
        <v>411</v>
      </c>
      <c r="N222" s="45">
        <f>VLOOKUP(B222,'NonXtal_SegEnds_Prot#'!A:AL,29,FALSE)</f>
        <v>433</v>
      </c>
      <c r="O222" s="4" t="str">
        <f t="shared" si="20"/>
        <v>H</v>
      </c>
      <c r="P222" s="4"/>
      <c r="Q222" s="47" t="str">
        <f t="shared" si="21"/>
        <v>YRYRAGFVLAPIGL</v>
      </c>
      <c r="R222" s="27" t="str">
        <f t="shared" si="22"/>
        <v>V</v>
      </c>
      <c r="S222" s="19" t="str">
        <f t="shared" si="23"/>
        <v>LIVGGYFLIRGVMTLFSIKSNH</v>
      </c>
      <c r="V222" s="1" t="s">
        <v>43</v>
      </c>
      <c r="Z222" s="4"/>
      <c r="AD222" s="1" t="s">
        <v>178</v>
      </c>
      <c r="AE222" s="1">
        <v>397</v>
      </c>
      <c r="AF222" s="1">
        <v>411</v>
      </c>
      <c r="AG222" s="1">
        <v>433</v>
      </c>
      <c r="AH222" s="1" t="s">
        <v>145</v>
      </c>
      <c r="AK222" s="4">
        <v>36</v>
      </c>
      <c r="AL222" s="4">
        <v>72</v>
      </c>
    </row>
    <row r="223" spans="1:38" x14ac:dyDescent="0.25">
      <c r="A223" s="1" t="str">
        <f t="shared" si="18"/>
        <v>smo_human_4JKV_TM5</v>
      </c>
      <c r="B223" s="45" t="s">
        <v>207</v>
      </c>
      <c r="C223" s="45" t="s">
        <v>278</v>
      </c>
      <c r="D223" s="4" t="str">
        <f>VLOOKUP(B223,Classification!A:D,2,FALSE)</f>
        <v>F</v>
      </c>
      <c r="E223" s="4" t="str">
        <f>VLOOKUP(B223,Classification!A:D,3,FALSE)</f>
        <v>Protein</v>
      </c>
      <c r="F223" s="4" t="str">
        <f>VLOOKUP(B223,Classification!A:D,4,FALSE)</f>
        <v>Frizzled</v>
      </c>
      <c r="G223" s="2">
        <v>9</v>
      </c>
      <c r="H223" s="45" t="s">
        <v>39</v>
      </c>
      <c r="I223" s="2" t="s">
        <v>1223</v>
      </c>
      <c r="J223" s="5" t="str">
        <f>VLOOKUP(B223,Seqs!A:B,2,FALSE)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223" s="4" t="str">
        <f t="shared" si="19"/>
        <v>Y</v>
      </c>
      <c r="L223" s="45">
        <f>VLOOKUP(B223,'NonXtal_SegEnds_Prot#'!A:AL,27,FALSE)</f>
        <v>397</v>
      </c>
      <c r="M223" s="45">
        <f>VLOOKUP(B223,'NonXtal_SegEnds_Prot#'!A:AL,28,FALSE)</f>
        <v>411</v>
      </c>
      <c r="N223" s="45">
        <f>VLOOKUP(B223,'NonXtal_SegEnds_Prot#'!A:AL,29,FALSE)</f>
        <v>433</v>
      </c>
      <c r="O223" s="4" t="str">
        <f t="shared" si="20"/>
        <v>H</v>
      </c>
      <c r="P223" s="4"/>
      <c r="Q223" s="47" t="str">
        <f t="shared" si="21"/>
        <v>YRYRAGFVLAPIGL</v>
      </c>
      <c r="R223" s="27" t="str">
        <f t="shared" si="22"/>
        <v>V</v>
      </c>
      <c r="S223" s="19" t="str">
        <f t="shared" si="23"/>
        <v>LIVGGYFLIRGVMTLFSIKSNH</v>
      </c>
      <c r="V223" s="1" t="s">
        <v>43</v>
      </c>
      <c r="Z223" s="4"/>
      <c r="AD223" s="1" t="s">
        <v>178</v>
      </c>
      <c r="AE223" s="1">
        <v>397</v>
      </c>
      <c r="AF223" s="1">
        <v>411</v>
      </c>
      <c r="AG223" s="1">
        <v>433</v>
      </c>
      <c r="AH223" s="1" t="s">
        <v>145</v>
      </c>
      <c r="AK223" s="4">
        <v>36</v>
      </c>
      <c r="AL223" s="4">
        <v>72</v>
      </c>
    </row>
    <row r="224" spans="1:38" x14ac:dyDescent="0.25">
      <c r="A224" s="1" t="str">
        <f t="shared" si="18"/>
        <v>smo_human_4QIN_TM5</v>
      </c>
      <c r="B224" s="45" t="s">
        <v>207</v>
      </c>
      <c r="C224" s="45" t="s">
        <v>247</v>
      </c>
      <c r="D224" s="4" t="str">
        <f>VLOOKUP(B224,Classification!A:D,2,FALSE)</f>
        <v>F</v>
      </c>
      <c r="E224" s="4" t="str">
        <f>VLOOKUP(B224,Classification!A:D,3,FALSE)</f>
        <v>Protein</v>
      </c>
      <c r="F224" s="4" t="str">
        <f>VLOOKUP(B224,Classification!A:D,4,FALSE)</f>
        <v>Frizzled</v>
      </c>
      <c r="G224" s="2">
        <v>9</v>
      </c>
      <c r="H224" s="45" t="s">
        <v>39</v>
      </c>
      <c r="I224" s="2" t="s">
        <v>1223</v>
      </c>
      <c r="J224" s="5" t="str">
        <f>VLOOKUP(B224,Seqs!A:B,2,FALSE)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224" s="4" t="str">
        <f t="shared" si="19"/>
        <v>Y</v>
      </c>
      <c r="L224" s="45">
        <f>VLOOKUP(B224,'NonXtal_SegEnds_Prot#'!A:AL,27,FALSE)</f>
        <v>397</v>
      </c>
      <c r="M224" s="45">
        <f>VLOOKUP(B224,'NonXtal_SegEnds_Prot#'!A:AL,28,FALSE)</f>
        <v>411</v>
      </c>
      <c r="N224" s="45">
        <f>VLOOKUP(B224,'NonXtal_SegEnds_Prot#'!A:AL,29,FALSE)</f>
        <v>433</v>
      </c>
      <c r="O224" s="4" t="str">
        <f t="shared" si="20"/>
        <v>H</v>
      </c>
      <c r="P224" s="4"/>
      <c r="Q224" s="47" t="str">
        <f t="shared" si="21"/>
        <v>YRYRAGFVLAPIGL</v>
      </c>
      <c r="R224" s="27" t="str">
        <f t="shared" si="22"/>
        <v>V</v>
      </c>
      <c r="S224" s="19" t="str">
        <f t="shared" si="23"/>
        <v>LIVGGYFLIRGVMTLFSIKSNH</v>
      </c>
      <c r="V224" s="1" t="s">
        <v>43</v>
      </c>
      <c r="Z224" s="4"/>
      <c r="AD224" s="1" t="s">
        <v>178</v>
      </c>
      <c r="AE224" s="1">
        <v>397</v>
      </c>
      <c r="AF224" s="1">
        <v>411</v>
      </c>
      <c r="AG224" s="1">
        <v>433</v>
      </c>
      <c r="AH224" s="1" t="s">
        <v>145</v>
      </c>
      <c r="AK224" s="4">
        <v>36</v>
      </c>
      <c r="AL224" s="4">
        <v>72</v>
      </c>
    </row>
    <row r="225" spans="1:38" x14ac:dyDescent="0.25">
      <c r="A225" s="1" t="str">
        <f t="shared" si="18"/>
        <v>US28_hcmva__wt_TM5</v>
      </c>
      <c r="B225" s="45" t="s">
        <v>230</v>
      </c>
      <c r="C225" s="45" t="s">
        <v>294</v>
      </c>
      <c r="D225" s="4" t="str">
        <f>VLOOKUP(B225,Classification!A:D,2,FALSE)</f>
        <v>A</v>
      </c>
      <c r="E225" s="4" t="str">
        <f>VLOOKUP(B225,Classification!A:D,3,FALSE)</f>
        <v>Peptide</v>
      </c>
      <c r="F225" s="4" t="str">
        <f>VLOOKUP(B225,Classification!A:D,4,FALSE)</f>
        <v>Chemokine</v>
      </c>
      <c r="G225" s="2">
        <v>9</v>
      </c>
      <c r="H225" s="45" t="s">
        <v>39</v>
      </c>
      <c r="I225" s="2" t="s">
        <v>1223</v>
      </c>
      <c r="J225" s="5" t="str">
        <f>VLOOKUP(B225,Seqs!A:B,2,FALSE)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25" s="4" t="str">
        <f t="shared" si="19"/>
        <v>V</v>
      </c>
      <c r="L225" s="45">
        <f>VLOOKUP(B225,'NonXtal_SegEnds_Prot#'!A:AL,27,FALSE)</f>
        <v>182</v>
      </c>
      <c r="M225" s="45">
        <f>VLOOKUP(B225,'NonXtal_SegEnds_Prot#'!A:AL,28,FALSE)</f>
        <v>200</v>
      </c>
      <c r="N225" s="45">
        <f>VLOOKUP(B225,'NonXtal_SegEnds_Prot#'!A:AL,29,FALSE)</f>
        <v>218</v>
      </c>
      <c r="O225" s="4" t="str">
        <f t="shared" si="20"/>
        <v>S</v>
      </c>
      <c r="P225" s="4"/>
      <c r="Q225" s="47" t="str">
        <f t="shared" si="21"/>
        <v>VSYPIILNVELMLGAFVI</v>
      </c>
      <c r="R225" s="27" t="str">
        <f t="shared" si="22"/>
        <v>P</v>
      </c>
      <c r="S225" s="19" t="str">
        <f t="shared" si="23"/>
        <v>LSVISYCYYRISRIVAVS</v>
      </c>
      <c r="V225" s="1" t="s">
        <v>43</v>
      </c>
      <c r="Z225" s="4" t="s">
        <v>64</v>
      </c>
      <c r="AD225" s="1" t="s">
        <v>165</v>
      </c>
      <c r="AE225" s="1">
        <v>183</v>
      </c>
      <c r="AF225" s="1">
        <v>200</v>
      </c>
      <c r="AG225" s="1">
        <v>218</v>
      </c>
      <c r="AH225" s="1" t="s">
        <v>101</v>
      </c>
      <c r="AK225" s="4">
        <v>34</v>
      </c>
      <c r="AL225" s="4">
        <v>68</v>
      </c>
    </row>
    <row r="226" spans="1:38" x14ac:dyDescent="0.25">
      <c r="A226" s="1" t="str">
        <f t="shared" si="18"/>
        <v>US28_hcmva_4xT1_TM5</v>
      </c>
      <c r="B226" s="45" t="s">
        <v>230</v>
      </c>
      <c r="C226" s="45" t="s">
        <v>287</v>
      </c>
      <c r="D226" s="4" t="str">
        <f>VLOOKUP(B226,Classification!A:D,2,FALSE)</f>
        <v>A</v>
      </c>
      <c r="E226" s="4" t="str">
        <f>VLOOKUP(B226,Classification!A:D,3,FALSE)</f>
        <v>Peptide</v>
      </c>
      <c r="F226" s="4" t="str">
        <f>VLOOKUP(B226,Classification!A:D,4,FALSE)</f>
        <v>Chemokine</v>
      </c>
      <c r="G226" s="2">
        <v>9</v>
      </c>
      <c r="H226" s="45" t="s">
        <v>39</v>
      </c>
      <c r="I226" s="2" t="s">
        <v>1223</v>
      </c>
      <c r="J226" s="5" t="str">
        <f>VLOOKUP(B226,Seqs!A:B,2,FALSE)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26" s="4" t="str">
        <f t="shared" si="19"/>
        <v>V</v>
      </c>
      <c r="L226" s="45">
        <f>VLOOKUP(B226,'NonXtal_SegEnds_Prot#'!A:AL,27,FALSE)</f>
        <v>182</v>
      </c>
      <c r="M226" s="45">
        <f>VLOOKUP(B226,'NonXtal_SegEnds_Prot#'!A:AL,28,FALSE)</f>
        <v>200</v>
      </c>
      <c r="N226" s="45">
        <f>VLOOKUP(B226,'NonXtal_SegEnds_Prot#'!A:AL,29,FALSE)</f>
        <v>218</v>
      </c>
      <c r="O226" s="4" t="str">
        <f t="shared" si="20"/>
        <v>S</v>
      </c>
      <c r="P226" s="4"/>
      <c r="Q226" s="47" t="str">
        <f t="shared" si="21"/>
        <v>VSYPIILNVELMLGAFVI</v>
      </c>
      <c r="R226" s="27" t="str">
        <f t="shared" si="22"/>
        <v>P</v>
      </c>
      <c r="S226" s="19" t="str">
        <f t="shared" si="23"/>
        <v>LSVISYCYYRISRIVAVS</v>
      </c>
      <c r="V226" s="1" t="s">
        <v>43</v>
      </c>
      <c r="Z226" s="4" t="s">
        <v>64</v>
      </c>
      <c r="AD226" s="1" t="s">
        <v>165</v>
      </c>
      <c r="AE226" s="1">
        <v>183</v>
      </c>
      <c r="AF226" s="1">
        <v>200</v>
      </c>
      <c r="AG226" s="1">
        <v>218</v>
      </c>
      <c r="AH226" s="1" t="s">
        <v>101</v>
      </c>
      <c r="AK226" s="4">
        <v>34</v>
      </c>
      <c r="AL226" s="4">
        <v>68</v>
      </c>
    </row>
    <row r="227" spans="1:38" x14ac:dyDescent="0.25">
      <c r="A227" s="1" t="str">
        <f t="shared" si="18"/>
        <v>AGTR1_human__wt_TM4</v>
      </c>
      <c r="B227" s="45" t="s">
        <v>212</v>
      </c>
      <c r="C227" s="45" t="s">
        <v>294</v>
      </c>
      <c r="D227" s="4" t="str">
        <f>VLOOKUP(B227,Classification!A:D,2,FALSE)</f>
        <v>A</v>
      </c>
      <c r="E227" s="4" t="str">
        <f>VLOOKUP(B227,Classification!A:D,3,FALSE)</f>
        <v>Peptide</v>
      </c>
      <c r="F227" s="4" t="str">
        <f>VLOOKUP(B227,Classification!A:D,4,FALSE)</f>
        <v>Angiotensin</v>
      </c>
      <c r="G227" s="2">
        <v>7</v>
      </c>
      <c r="H227" s="45" t="s">
        <v>31</v>
      </c>
      <c r="I227" s="2" t="s">
        <v>1223</v>
      </c>
      <c r="J227" s="5" t="str">
        <f>VLOOKUP(B227,Seqs!A:B,2,FALSE)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27" s="4" t="str">
        <f t="shared" si="19"/>
        <v>M</v>
      </c>
      <c r="L227" s="45">
        <f>VLOOKUP(B227,'NonXtal_SegEnds_Prot#'!A:AL,21,FALSE)</f>
        <v>142</v>
      </c>
      <c r="M227" s="45">
        <f>VLOOKUP(B227,'NonXtal_SegEnds_Prot#'!A:AL,22,FALSE)</f>
        <v>153</v>
      </c>
      <c r="N227" s="45">
        <f>VLOOKUP(B227,'NonXtal_SegEnds_Prot#'!A:AL,23,FALSE)</f>
        <v>167</v>
      </c>
      <c r="O227" s="4" t="str">
        <f t="shared" si="20"/>
        <v>R</v>
      </c>
      <c r="P227" s="4"/>
      <c r="Q227" s="47" t="str">
        <f t="shared" si="21"/>
        <v>MLVAKVTCIII</v>
      </c>
      <c r="R227" s="27" t="str">
        <f t="shared" si="22"/>
        <v>W</v>
      </c>
      <c r="S227" s="19" t="str">
        <f t="shared" si="23"/>
        <v>LLAGLASLPAIIHR</v>
      </c>
      <c r="W227" s="1" t="s">
        <v>98</v>
      </c>
      <c r="Z227" s="4"/>
      <c r="AD227" s="1" t="s">
        <v>97</v>
      </c>
      <c r="AE227" s="1">
        <v>138</v>
      </c>
      <c r="AF227" s="1">
        <v>153</v>
      </c>
      <c r="AG227" s="1">
        <v>165</v>
      </c>
      <c r="AH227" s="1" t="s">
        <v>81</v>
      </c>
      <c r="AK227" s="4">
        <v>35</v>
      </c>
      <c r="AL227" s="4">
        <v>63</v>
      </c>
    </row>
    <row r="228" spans="1:38" x14ac:dyDescent="0.25">
      <c r="A228" s="1" t="str">
        <f t="shared" si="18"/>
        <v>AGTR1_human_4YAY_TM4</v>
      </c>
      <c r="B228" s="45" t="s">
        <v>212</v>
      </c>
      <c r="C228" s="45" t="s">
        <v>260</v>
      </c>
      <c r="D228" s="4" t="str">
        <f>VLOOKUP(B228,Classification!A:D,2,FALSE)</f>
        <v>A</v>
      </c>
      <c r="E228" s="4" t="str">
        <f>VLOOKUP(B228,Classification!A:D,3,FALSE)</f>
        <v>Peptide</v>
      </c>
      <c r="F228" s="4" t="str">
        <f>VLOOKUP(B228,Classification!A:D,4,FALSE)</f>
        <v>Angiotensin</v>
      </c>
      <c r="G228" s="2">
        <v>7</v>
      </c>
      <c r="H228" s="45" t="s">
        <v>31</v>
      </c>
      <c r="I228" s="2" t="s">
        <v>1223</v>
      </c>
      <c r="J228" s="5" t="str">
        <f>VLOOKUP(B228,Seqs!A:B,2,FALSE)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28" s="4" t="str">
        <f t="shared" si="19"/>
        <v>M</v>
      </c>
      <c r="L228" s="45">
        <f>VLOOKUP(B228,'NonXtal_SegEnds_Prot#'!A:AL,21,FALSE)</f>
        <v>142</v>
      </c>
      <c r="M228" s="45">
        <f>VLOOKUP(B228,'NonXtal_SegEnds_Prot#'!A:AL,22,FALSE)</f>
        <v>153</v>
      </c>
      <c r="N228" s="45">
        <f>VLOOKUP(B228,'NonXtal_SegEnds_Prot#'!A:AL,23,FALSE)</f>
        <v>167</v>
      </c>
      <c r="O228" s="4" t="str">
        <f t="shared" si="20"/>
        <v>R</v>
      </c>
      <c r="P228" s="4"/>
      <c r="Q228" s="47" t="str">
        <f t="shared" si="21"/>
        <v>MLVAKVTCIII</v>
      </c>
      <c r="R228" s="28" t="str">
        <f t="shared" si="22"/>
        <v>W</v>
      </c>
      <c r="S228" s="20" t="str">
        <f t="shared" si="23"/>
        <v>LLAGLASLPAIIHR</v>
      </c>
      <c r="W228" s="1" t="s">
        <v>98</v>
      </c>
      <c r="Z228" s="4"/>
      <c r="AD228" s="1" t="s">
        <v>97</v>
      </c>
      <c r="AE228" s="1">
        <v>138</v>
      </c>
      <c r="AF228" s="1">
        <v>153</v>
      </c>
      <c r="AG228" s="1">
        <v>165</v>
      </c>
      <c r="AH228" s="1" t="s">
        <v>81</v>
      </c>
      <c r="AK228" s="4">
        <v>35</v>
      </c>
      <c r="AL228" s="4">
        <v>63</v>
      </c>
    </row>
    <row r="229" spans="1:38" x14ac:dyDescent="0.25">
      <c r="A229" s="1" t="str">
        <f t="shared" si="18"/>
        <v>5ht2b_human__wt_TM4</v>
      </c>
      <c r="B229" s="45" t="s">
        <v>209</v>
      </c>
      <c r="C229" s="45" t="s">
        <v>294</v>
      </c>
      <c r="D229" s="4" t="str">
        <f>VLOOKUP(B229,Classification!A:D,2,FALSE)</f>
        <v>A</v>
      </c>
      <c r="E229" s="4" t="str">
        <f>VLOOKUP(B229,Classification!A:D,3,FALSE)</f>
        <v>Aminergic</v>
      </c>
      <c r="F229" s="4" t="str">
        <f>VLOOKUP(B229,Classification!A:D,4,FALSE)</f>
        <v>5-Hydroxytryptamine</v>
      </c>
      <c r="G229" s="2">
        <v>7</v>
      </c>
      <c r="H229" s="45" t="s">
        <v>31</v>
      </c>
      <c r="I229" s="2" t="s">
        <v>1223</v>
      </c>
      <c r="J229" s="5" t="str">
        <f>VLOOKUP(B229,Seqs!A:B,2,FALSE)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229" s="4" t="str">
        <f t="shared" si="19"/>
        <v>R</v>
      </c>
      <c r="L229" s="45">
        <f>VLOOKUP(B229,'NonXtal_SegEnds_Prot#'!A:AL,21,FALSE)</f>
        <v>169</v>
      </c>
      <c r="M229" s="45">
        <f>VLOOKUP(B229,'NonXtal_SegEnds_Prot#'!A:AL,22,FALSE)</f>
        <v>180</v>
      </c>
      <c r="N229" s="45">
        <f>VLOOKUP(B229,'NonXtal_SegEnds_Prot#'!A:AL,23,FALSE)</f>
        <v>194</v>
      </c>
      <c r="O229" s="4" t="str">
        <f t="shared" si="20"/>
        <v>G</v>
      </c>
      <c r="P229" s="4"/>
      <c r="Q229" s="47" t="str">
        <f t="shared" si="21"/>
        <v>RATAFIKITVV</v>
      </c>
      <c r="R229" s="28" t="str">
        <f t="shared" si="22"/>
        <v>W</v>
      </c>
      <c r="S229" s="20" t="str">
        <f t="shared" si="23"/>
        <v>LISIGIAIPVPIKG</v>
      </c>
      <c r="X229" s="1" t="s">
        <v>59</v>
      </c>
      <c r="Z229" s="4"/>
      <c r="AD229" s="1" t="s">
        <v>97</v>
      </c>
      <c r="AE229" s="1">
        <v>165</v>
      </c>
      <c r="AF229" s="1">
        <v>180</v>
      </c>
      <c r="AG229" s="1">
        <v>193</v>
      </c>
      <c r="AH229" s="1" t="s">
        <v>33</v>
      </c>
      <c r="AK229" s="4">
        <v>35</v>
      </c>
      <c r="AL229" s="4">
        <v>64</v>
      </c>
    </row>
    <row r="230" spans="1:38" x14ac:dyDescent="0.25">
      <c r="A230" s="1" t="str">
        <f t="shared" si="18"/>
        <v>5ht2b_human_4IB4_TM4</v>
      </c>
      <c r="B230" s="45" t="s">
        <v>209</v>
      </c>
      <c r="C230" s="45" t="s">
        <v>261</v>
      </c>
      <c r="D230" s="4" t="str">
        <f>VLOOKUP(B230,Classification!A:D,2,FALSE)</f>
        <v>A</v>
      </c>
      <c r="E230" s="4" t="str">
        <f>VLOOKUP(B230,Classification!A:D,3,FALSE)</f>
        <v>Aminergic</v>
      </c>
      <c r="F230" s="4" t="str">
        <f>VLOOKUP(B230,Classification!A:D,4,FALSE)</f>
        <v>5-Hydroxytryptamine</v>
      </c>
      <c r="G230" s="2">
        <v>7</v>
      </c>
      <c r="H230" s="45" t="s">
        <v>31</v>
      </c>
      <c r="I230" s="2" t="s">
        <v>1223</v>
      </c>
      <c r="J230" s="5" t="str">
        <f>VLOOKUP(B230,Seqs!A:B,2,FALSE)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230" s="4" t="str">
        <f t="shared" si="19"/>
        <v>R</v>
      </c>
      <c r="L230" s="45">
        <f>VLOOKUP(B230,'NonXtal_SegEnds_Prot#'!A:AL,21,FALSE)</f>
        <v>169</v>
      </c>
      <c r="M230" s="45">
        <f>VLOOKUP(B230,'NonXtal_SegEnds_Prot#'!A:AL,22,FALSE)</f>
        <v>180</v>
      </c>
      <c r="N230" s="45">
        <f>VLOOKUP(B230,'NonXtal_SegEnds_Prot#'!A:AL,23,FALSE)</f>
        <v>194</v>
      </c>
      <c r="O230" s="4" t="str">
        <f t="shared" si="20"/>
        <v>G</v>
      </c>
      <c r="P230" s="4"/>
      <c r="Q230" s="47" t="str">
        <f t="shared" si="21"/>
        <v>RATAFIKITVV</v>
      </c>
      <c r="R230" s="28" t="str">
        <f t="shared" si="22"/>
        <v>W</v>
      </c>
      <c r="S230" s="20" t="str">
        <f t="shared" si="23"/>
        <v>LISIGIAIPVPIKG</v>
      </c>
      <c r="X230" s="1" t="s">
        <v>59</v>
      </c>
      <c r="Z230" s="4"/>
      <c r="AD230" s="1" t="s">
        <v>97</v>
      </c>
      <c r="AE230" s="1">
        <v>165</v>
      </c>
      <c r="AF230" s="1">
        <v>180</v>
      </c>
      <c r="AG230" s="1">
        <v>193</v>
      </c>
      <c r="AH230" s="1" t="s">
        <v>33</v>
      </c>
      <c r="AK230" s="4">
        <v>35</v>
      </c>
      <c r="AL230" s="4">
        <v>64</v>
      </c>
    </row>
    <row r="231" spans="1:38" x14ac:dyDescent="0.25">
      <c r="A231" s="1" t="str">
        <f t="shared" si="18"/>
        <v>CCR5_human__wt_TM4</v>
      </c>
      <c r="B231" s="45" t="s">
        <v>221</v>
      </c>
      <c r="C231" s="45" t="s">
        <v>294</v>
      </c>
      <c r="D231" s="4" t="str">
        <f>VLOOKUP(B231,Classification!A:D,2,FALSE)</f>
        <v>A</v>
      </c>
      <c r="E231" s="4" t="str">
        <f>VLOOKUP(B231,Classification!A:D,3,FALSE)</f>
        <v>Protein</v>
      </c>
      <c r="F231" s="4" t="str">
        <f>VLOOKUP(B231,Classification!A:D,4,FALSE)</f>
        <v>Chemokine</v>
      </c>
      <c r="G231" s="2">
        <v>7</v>
      </c>
      <c r="H231" s="45" t="s">
        <v>31</v>
      </c>
      <c r="I231" s="2" t="s">
        <v>1223</v>
      </c>
      <c r="J231" s="5" t="str">
        <f>VLOOKUP(B231,Seqs!A:B,2,FALSE)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31" s="4" t="str">
        <f t="shared" si="19"/>
        <v>V</v>
      </c>
      <c r="L231" s="45">
        <f>VLOOKUP(B231,'NonXtal_SegEnds_Prot#'!A:AL,21,FALSE)</f>
        <v>142</v>
      </c>
      <c r="M231" s="45">
        <f>VLOOKUP(B231,'NonXtal_SegEnds_Prot#'!A:AL,22,FALSE)</f>
        <v>153</v>
      </c>
      <c r="N231" s="45">
        <f>VLOOKUP(B231,'NonXtal_SegEnds_Prot#'!A:AL,23,FALSE)</f>
        <v>167</v>
      </c>
      <c r="O231" s="4" t="str">
        <f t="shared" si="20"/>
        <v>T</v>
      </c>
      <c r="P231" s="4"/>
      <c r="Q231" s="47" t="str">
        <f t="shared" si="21"/>
        <v>VTFGVVTSVIT</v>
      </c>
      <c r="R231" s="27" t="str">
        <f t="shared" si="22"/>
        <v>W</v>
      </c>
      <c r="S231" s="19" t="str">
        <f t="shared" si="23"/>
        <v>VVAVFASLPGIIFT</v>
      </c>
      <c r="X231" s="1" t="s">
        <v>59</v>
      </c>
      <c r="Z231" s="4"/>
      <c r="AD231" s="1" t="s">
        <v>32</v>
      </c>
      <c r="AE231" s="1">
        <v>141</v>
      </c>
      <c r="AF231" s="1">
        <v>153</v>
      </c>
      <c r="AG231" s="1">
        <v>166</v>
      </c>
      <c r="AH231" s="1" t="s">
        <v>33</v>
      </c>
      <c r="AK231" s="4">
        <v>39</v>
      </c>
      <c r="AL231" s="4">
        <v>64</v>
      </c>
    </row>
    <row r="232" spans="1:38" x14ac:dyDescent="0.25">
      <c r="A232" s="1" t="str">
        <f t="shared" si="18"/>
        <v>CCR5_human_4MBS_TM4</v>
      </c>
      <c r="B232" s="45" t="s">
        <v>221</v>
      </c>
      <c r="C232" s="45" t="s">
        <v>265</v>
      </c>
      <c r="D232" s="4" t="str">
        <f>VLOOKUP(B232,Classification!A:D,2,FALSE)</f>
        <v>A</v>
      </c>
      <c r="E232" s="4" t="str">
        <f>VLOOKUP(B232,Classification!A:D,3,FALSE)</f>
        <v>Protein</v>
      </c>
      <c r="F232" s="4" t="str">
        <f>VLOOKUP(B232,Classification!A:D,4,FALSE)</f>
        <v>Chemokine</v>
      </c>
      <c r="G232" s="2">
        <v>7</v>
      </c>
      <c r="H232" s="45" t="s">
        <v>31</v>
      </c>
      <c r="I232" s="2" t="s">
        <v>1223</v>
      </c>
      <c r="J232" s="5" t="str">
        <f>VLOOKUP(B232,Seqs!A:B,2,FALSE)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32" s="4" t="str">
        <f t="shared" si="19"/>
        <v>V</v>
      </c>
      <c r="L232" s="45">
        <f>VLOOKUP(B232,'NonXtal_SegEnds_Prot#'!A:AL,21,FALSE)</f>
        <v>142</v>
      </c>
      <c r="M232" s="45">
        <f>VLOOKUP(B232,'NonXtal_SegEnds_Prot#'!A:AL,22,FALSE)</f>
        <v>153</v>
      </c>
      <c r="N232" s="45">
        <f>VLOOKUP(B232,'NonXtal_SegEnds_Prot#'!A:AL,23,FALSE)</f>
        <v>167</v>
      </c>
      <c r="O232" s="4" t="str">
        <f t="shared" si="20"/>
        <v>T</v>
      </c>
      <c r="P232" s="4"/>
      <c r="Q232" s="47" t="str">
        <f t="shared" si="21"/>
        <v>VTFGVVTSVIT</v>
      </c>
      <c r="R232" s="27" t="str">
        <f t="shared" si="22"/>
        <v>W</v>
      </c>
      <c r="S232" s="19" t="str">
        <f t="shared" si="23"/>
        <v>VVAVFASLPGIIFT</v>
      </c>
      <c r="X232" s="1" t="s">
        <v>59</v>
      </c>
      <c r="Z232" s="4"/>
      <c r="AD232" s="1" t="s">
        <v>32</v>
      </c>
      <c r="AE232" s="1">
        <v>141</v>
      </c>
      <c r="AF232" s="1">
        <v>153</v>
      </c>
      <c r="AG232" s="1">
        <v>166</v>
      </c>
      <c r="AH232" s="1" t="s">
        <v>33</v>
      </c>
      <c r="AK232" s="4">
        <v>39</v>
      </c>
      <c r="AL232" s="4">
        <v>64</v>
      </c>
    </row>
    <row r="233" spans="1:38" x14ac:dyDescent="0.25">
      <c r="A233" s="1" t="str">
        <f t="shared" si="18"/>
        <v>CXCR4_human__wt_TM4</v>
      </c>
      <c r="B233" s="45" t="s">
        <v>1237</v>
      </c>
      <c r="C233" s="45" t="s">
        <v>294</v>
      </c>
      <c r="D233" s="4" t="str">
        <f>VLOOKUP(B233,Classification!A:D,2,FALSE)</f>
        <v>A</v>
      </c>
      <c r="E233" s="4" t="str">
        <f>VLOOKUP(B233,Classification!A:D,3,FALSE)</f>
        <v>Protein</v>
      </c>
      <c r="F233" s="4" t="str">
        <f>VLOOKUP(B233,Classification!A:D,4,FALSE)</f>
        <v>Chemokine</v>
      </c>
      <c r="G233" s="2">
        <v>7</v>
      </c>
      <c r="H233" s="45" t="s">
        <v>31</v>
      </c>
      <c r="I233" s="2" t="s">
        <v>1223</v>
      </c>
      <c r="J233" s="5" t="str">
        <f>VLOOKUP(B233,Seqs!A:B,2,FALSE)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33" s="4" t="str">
        <f t="shared" si="19"/>
        <v>L</v>
      </c>
      <c r="L233" s="45">
        <f>VLOOKUP(B233,'NonXtal_SegEnds_Prot#'!A:AL,21,FALSE)</f>
        <v>150</v>
      </c>
      <c r="M233" s="45">
        <f>VLOOKUP(B233,'NonXtal_SegEnds_Prot#'!A:AL,22,FALSE)</f>
        <v>161</v>
      </c>
      <c r="N233" s="45">
        <f>VLOOKUP(B233,'NonXtal_SegEnds_Prot#'!A:AL,23,FALSE)</f>
        <v>175</v>
      </c>
      <c r="O233" s="4" t="str">
        <f t="shared" si="20"/>
        <v>A</v>
      </c>
      <c r="P233" s="4"/>
      <c r="Q233" s="47" t="str">
        <f t="shared" si="21"/>
        <v>LLAEKVVYVGV</v>
      </c>
      <c r="R233" s="27" t="str">
        <f t="shared" si="22"/>
        <v>W</v>
      </c>
      <c r="S233" s="19" t="str">
        <f t="shared" si="23"/>
        <v>IPALLLTIPDFIFA</v>
      </c>
      <c r="X233" s="1" t="s">
        <v>59</v>
      </c>
      <c r="Z233" s="4"/>
      <c r="AD233" s="1" t="s">
        <v>110</v>
      </c>
      <c r="AE233" s="1">
        <v>154</v>
      </c>
      <c r="AF233" s="1">
        <v>161</v>
      </c>
      <c r="AG233" s="1">
        <v>174</v>
      </c>
      <c r="AH233" s="1" t="s">
        <v>33</v>
      </c>
      <c r="AK233" s="4">
        <v>43</v>
      </c>
      <c r="AL233" s="4">
        <v>64</v>
      </c>
    </row>
    <row r="234" spans="1:38" x14ac:dyDescent="0.25">
      <c r="A234" s="1" t="str">
        <f t="shared" si="18"/>
        <v>CXCR4_human_3ODU_TM4</v>
      </c>
      <c r="B234" s="45" t="s">
        <v>1237</v>
      </c>
      <c r="C234" s="45" t="s">
        <v>254</v>
      </c>
      <c r="D234" s="4" t="str">
        <f>VLOOKUP(B234,Classification!A:D,2,FALSE)</f>
        <v>A</v>
      </c>
      <c r="E234" s="4" t="str">
        <f>VLOOKUP(B234,Classification!A:D,3,FALSE)</f>
        <v>Protein</v>
      </c>
      <c r="F234" s="4" t="str">
        <f>VLOOKUP(B234,Classification!A:D,4,FALSE)</f>
        <v>Chemokine</v>
      </c>
      <c r="G234" s="2">
        <v>7</v>
      </c>
      <c r="H234" s="45" t="s">
        <v>31</v>
      </c>
      <c r="I234" s="2" t="s">
        <v>1223</v>
      </c>
      <c r="J234" s="5" t="str">
        <f>VLOOKUP(B234,Seqs!A:B,2,FALSE)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34" s="4" t="str">
        <f t="shared" si="19"/>
        <v>L</v>
      </c>
      <c r="L234" s="45">
        <f>VLOOKUP(B234,'NonXtal_SegEnds_Prot#'!A:AL,21,FALSE)</f>
        <v>150</v>
      </c>
      <c r="M234" s="45">
        <f>VLOOKUP(B234,'NonXtal_SegEnds_Prot#'!A:AL,22,FALSE)</f>
        <v>161</v>
      </c>
      <c r="N234" s="45">
        <f>VLOOKUP(B234,'NonXtal_SegEnds_Prot#'!A:AL,23,FALSE)</f>
        <v>175</v>
      </c>
      <c r="O234" s="4" t="str">
        <f t="shared" si="20"/>
        <v>A</v>
      </c>
      <c r="P234" s="4"/>
      <c r="Q234" s="47" t="str">
        <f t="shared" si="21"/>
        <v>LLAEKVVYVGV</v>
      </c>
      <c r="R234" s="27" t="str">
        <f t="shared" si="22"/>
        <v>W</v>
      </c>
      <c r="S234" s="19" t="str">
        <f t="shared" si="23"/>
        <v>IPALLLTIPDFIFA</v>
      </c>
      <c r="X234" s="1" t="s">
        <v>59</v>
      </c>
      <c r="Z234" s="4"/>
      <c r="AD234" s="1" t="s">
        <v>110</v>
      </c>
      <c r="AE234" s="1">
        <v>154</v>
      </c>
      <c r="AF234" s="1">
        <v>161</v>
      </c>
      <c r="AG234" s="1">
        <v>174</v>
      </c>
      <c r="AH234" s="1" t="s">
        <v>33</v>
      </c>
      <c r="AK234" s="4">
        <v>43</v>
      </c>
      <c r="AL234" s="4">
        <v>64</v>
      </c>
    </row>
    <row r="235" spans="1:38" x14ac:dyDescent="0.25">
      <c r="A235" s="1" t="str">
        <f t="shared" si="18"/>
        <v>DRD3_human__wt_TM4</v>
      </c>
      <c r="B235" s="45" t="s">
        <v>222</v>
      </c>
      <c r="C235" s="45" t="s">
        <v>294</v>
      </c>
      <c r="D235" s="4" t="str">
        <f>VLOOKUP(B235,Classification!A:D,2,FALSE)</f>
        <v>A</v>
      </c>
      <c r="E235" s="4" t="str">
        <f>VLOOKUP(B235,Classification!A:D,3,FALSE)</f>
        <v>Aminergic</v>
      </c>
      <c r="F235" s="4" t="str">
        <f>VLOOKUP(B235,Classification!A:D,4,FALSE)</f>
        <v>Dopamine</v>
      </c>
      <c r="G235" s="2">
        <v>7</v>
      </c>
      <c r="H235" s="45" t="s">
        <v>31</v>
      </c>
      <c r="I235" s="2" t="s">
        <v>1223</v>
      </c>
      <c r="J235" s="5" t="str">
        <f>VLOOKUP(B235,Seqs!A:B,2,FALSE)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35" s="4" t="str">
        <f t="shared" si="19"/>
        <v>S</v>
      </c>
      <c r="L235" s="45">
        <f>VLOOKUP(B235,'NonXtal_SegEnds_Prot#'!A:AL,21,FALSE)</f>
        <v>146</v>
      </c>
      <c r="M235" s="45">
        <f>VLOOKUP(B235,'NonXtal_SegEnds_Prot#'!A:AL,22,FALSE)</f>
        <v>158</v>
      </c>
      <c r="N235" s="45">
        <f>VLOOKUP(B235,'NonXtal_SegEnds_Prot#'!A:AL,23,FALSE)</f>
        <v>171</v>
      </c>
      <c r="O235" s="4" t="str">
        <f t="shared" si="20"/>
        <v>G</v>
      </c>
      <c r="P235" s="4"/>
      <c r="Q235" s="47" t="str">
        <f t="shared" si="21"/>
        <v>SCRRVALMITAV</v>
      </c>
      <c r="R235" s="27" t="str">
        <f t="shared" si="22"/>
        <v>W</v>
      </c>
      <c r="S235" s="19" t="str">
        <f t="shared" si="23"/>
        <v>VLAFAVSCPLLFG</v>
      </c>
      <c r="X235" s="1" t="s">
        <v>59</v>
      </c>
      <c r="Z235" s="4"/>
      <c r="AD235" s="1" t="s">
        <v>32</v>
      </c>
      <c r="AE235" s="1">
        <v>147</v>
      </c>
      <c r="AF235" s="1">
        <v>158</v>
      </c>
      <c r="AG235" s="1">
        <v>170</v>
      </c>
      <c r="AH235" s="1" t="s">
        <v>81</v>
      </c>
      <c r="AK235" s="4">
        <v>39</v>
      </c>
      <c r="AL235" s="4">
        <v>63</v>
      </c>
    </row>
    <row r="236" spans="1:38" x14ac:dyDescent="0.25">
      <c r="A236" s="1" t="str">
        <f t="shared" si="18"/>
        <v>DRD3_human_3PBL_TM4</v>
      </c>
      <c r="B236" s="45" t="s">
        <v>222</v>
      </c>
      <c r="C236" s="45" t="s">
        <v>263</v>
      </c>
      <c r="D236" s="4" t="str">
        <f>VLOOKUP(B236,Classification!A:D,2,FALSE)</f>
        <v>A</v>
      </c>
      <c r="E236" s="4" t="str">
        <f>VLOOKUP(B236,Classification!A:D,3,FALSE)</f>
        <v>Aminergic</v>
      </c>
      <c r="F236" s="4" t="str">
        <f>VLOOKUP(B236,Classification!A:D,4,FALSE)</f>
        <v>Dopamine</v>
      </c>
      <c r="G236" s="2">
        <v>7</v>
      </c>
      <c r="H236" s="45" t="s">
        <v>31</v>
      </c>
      <c r="I236" s="2" t="s">
        <v>1223</v>
      </c>
      <c r="J236" s="5" t="str">
        <f>VLOOKUP(B236,Seqs!A:B,2,FALSE)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36" s="4" t="str">
        <f t="shared" si="19"/>
        <v>S</v>
      </c>
      <c r="L236" s="45">
        <f>VLOOKUP(B236,'NonXtal_SegEnds_Prot#'!A:AL,21,FALSE)</f>
        <v>146</v>
      </c>
      <c r="M236" s="45">
        <f>VLOOKUP(B236,'NonXtal_SegEnds_Prot#'!A:AL,22,FALSE)</f>
        <v>158</v>
      </c>
      <c r="N236" s="45">
        <f>VLOOKUP(B236,'NonXtal_SegEnds_Prot#'!A:AL,23,FALSE)</f>
        <v>171</v>
      </c>
      <c r="O236" s="4" t="str">
        <f t="shared" si="20"/>
        <v>G</v>
      </c>
      <c r="P236" s="4"/>
      <c r="Q236" s="47" t="str">
        <f t="shared" si="21"/>
        <v>SCRRVALMITAV</v>
      </c>
      <c r="R236" s="27" t="str">
        <f t="shared" si="22"/>
        <v>W</v>
      </c>
      <c r="S236" s="19" t="str">
        <f t="shared" si="23"/>
        <v>VLAFAVSCPLLFG</v>
      </c>
      <c r="X236" s="1" t="s">
        <v>59</v>
      </c>
      <c r="Z236" s="4"/>
      <c r="AD236" s="1" t="s">
        <v>32</v>
      </c>
      <c r="AE236" s="1">
        <v>147</v>
      </c>
      <c r="AF236" s="1">
        <v>158</v>
      </c>
      <c r="AG236" s="1">
        <v>170</v>
      </c>
      <c r="AH236" s="1" t="s">
        <v>81</v>
      </c>
      <c r="AK236" s="4">
        <v>39</v>
      </c>
      <c r="AL236" s="4">
        <v>63</v>
      </c>
    </row>
    <row r="237" spans="1:38" x14ac:dyDescent="0.25">
      <c r="A237" s="1" t="str">
        <f t="shared" si="18"/>
        <v>NTR1_rat__wt_TM4</v>
      </c>
      <c r="B237" s="45" t="s">
        <v>234</v>
      </c>
      <c r="C237" s="45" t="s">
        <v>294</v>
      </c>
      <c r="D237" s="4" t="str">
        <f>VLOOKUP(B237,Classification!A:D,2,FALSE)</f>
        <v>A</v>
      </c>
      <c r="E237" s="4" t="str">
        <f>VLOOKUP(B237,Classification!A:D,3,FALSE)</f>
        <v>Peptide</v>
      </c>
      <c r="F237" s="4" t="str">
        <f>VLOOKUP(B237,Classification!A:D,4,FALSE)</f>
        <v>Neurotensin</v>
      </c>
      <c r="G237" s="2">
        <v>7</v>
      </c>
      <c r="H237" s="45" t="s">
        <v>31</v>
      </c>
      <c r="I237" s="2" t="s">
        <v>1223</v>
      </c>
      <c r="J237" s="5" t="str">
        <f>VLOOKUP(B237,Seqs!A:B,2,FALSE)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237" s="4" t="str">
        <f t="shared" si="19"/>
        <v>R</v>
      </c>
      <c r="L237" s="45">
        <f>VLOOKUP(B237,'NonXtal_SegEnds_Prot#'!A:AL,21,FALSE)</f>
        <v>183</v>
      </c>
      <c r="M237" s="45">
        <f>VLOOKUP(B237,'NonXtal_SegEnds_Prot#'!A:AL,22,FALSE)</f>
        <v>194</v>
      </c>
      <c r="N237" s="45">
        <f>VLOOKUP(B237,'NonXtal_SegEnds_Prot#'!A:AL,23,FALSE)</f>
        <v>208</v>
      </c>
      <c r="O237" s="4" t="str">
        <f t="shared" si="20"/>
        <v>M</v>
      </c>
      <c r="P237" s="4"/>
      <c r="Q237" s="47" t="str">
        <f t="shared" si="21"/>
        <v>RSRTKKFISAI</v>
      </c>
      <c r="R237" s="27" t="str">
        <f t="shared" si="22"/>
        <v>W</v>
      </c>
      <c r="S237" s="19" t="str">
        <f t="shared" si="23"/>
        <v>LASALLAIPMLFTM</v>
      </c>
      <c r="X237" s="1" t="s">
        <v>59</v>
      </c>
      <c r="Z237" s="4" t="s">
        <v>78</v>
      </c>
      <c r="AD237" s="1" t="s">
        <v>32</v>
      </c>
      <c r="AE237" s="1">
        <v>183</v>
      </c>
      <c r="AF237" s="1">
        <v>194</v>
      </c>
      <c r="AG237" s="1">
        <v>207</v>
      </c>
      <c r="AH237" s="1" t="s">
        <v>81</v>
      </c>
      <c r="AK237" s="4">
        <v>39</v>
      </c>
      <c r="AL237" s="4">
        <v>63</v>
      </c>
    </row>
    <row r="238" spans="1:38" x14ac:dyDescent="0.25">
      <c r="A238" s="1" t="str">
        <f t="shared" si="18"/>
        <v>NTR1_rat_4BOU_TM4</v>
      </c>
      <c r="B238" s="45" t="s">
        <v>234</v>
      </c>
      <c r="C238" s="45" t="s">
        <v>239</v>
      </c>
      <c r="D238" s="4" t="str">
        <f>VLOOKUP(B238,Classification!A:D,2,FALSE)</f>
        <v>A</v>
      </c>
      <c r="E238" s="4" t="str">
        <f>VLOOKUP(B238,Classification!A:D,3,FALSE)</f>
        <v>Peptide</v>
      </c>
      <c r="F238" s="4" t="str">
        <f>VLOOKUP(B238,Classification!A:D,4,FALSE)</f>
        <v>Neurotensin</v>
      </c>
      <c r="G238" s="2">
        <v>7</v>
      </c>
      <c r="H238" s="45" t="s">
        <v>31</v>
      </c>
      <c r="I238" s="2" t="s">
        <v>1223</v>
      </c>
      <c r="J238" s="5" t="str">
        <f>VLOOKUP(B238,Seqs!A:B,2,FALSE)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238" s="4" t="str">
        <f t="shared" si="19"/>
        <v>R</v>
      </c>
      <c r="L238" s="45">
        <f>VLOOKUP(B238,'NonXtal_SegEnds_Prot#'!A:AL,21,FALSE)</f>
        <v>183</v>
      </c>
      <c r="M238" s="45">
        <f>VLOOKUP(B238,'NonXtal_SegEnds_Prot#'!A:AL,22,FALSE)</f>
        <v>194</v>
      </c>
      <c r="N238" s="45">
        <f>VLOOKUP(B238,'NonXtal_SegEnds_Prot#'!A:AL,23,FALSE)</f>
        <v>208</v>
      </c>
      <c r="O238" s="4" t="str">
        <f t="shared" si="20"/>
        <v>M</v>
      </c>
      <c r="P238" s="4"/>
      <c r="Q238" s="47" t="str">
        <f t="shared" si="21"/>
        <v>RSRTKKFISAI</v>
      </c>
      <c r="R238" s="27" t="str">
        <f t="shared" si="22"/>
        <v>W</v>
      </c>
      <c r="S238" s="19" t="str">
        <f t="shared" si="23"/>
        <v>LASALLAIPMLFTM</v>
      </c>
      <c r="X238" s="1" t="s">
        <v>59</v>
      </c>
      <c r="Z238" s="4" t="s">
        <v>78</v>
      </c>
      <c r="AD238" s="1" t="s">
        <v>32</v>
      </c>
      <c r="AE238" s="1">
        <v>183</v>
      </c>
      <c r="AF238" s="1">
        <v>194</v>
      </c>
      <c r="AG238" s="1">
        <v>207</v>
      </c>
      <c r="AH238" s="1" t="s">
        <v>81</v>
      </c>
      <c r="AK238" s="4">
        <v>39</v>
      </c>
      <c r="AL238" s="4">
        <v>63</v>
      </c>
    </row>
    <row r="239" spans="1:38" x14ac:dyDescent="0.25">
      <c r="A239" s="1" t="str">
        <f t="shared" si="18"/>
        <v>NTR1_rat_4GRV_TM4</v>
      </c>
      <c r="B239" s="45" t="s">
        <v>234</v>
      </c>
      <c r="C239" s="45" t="s">
        <v>238</v>
      </c>
      <c r="D239" s="4" t="str">
        <f>VLOOKUP(B239,Classification!A:D,2,FALSE)</f>
        <v>A</v>
      </c>
      <c r="E239" s="4" t="str">
        <f>VLOOKUP(B239,Classification!A:D,3,FALSE)</f>
        <v>Peptide</v>
      </c>
      <c r="F239" s="4" t="str">
        <f>VLOOKUP(B239,Classification!A:D,4,FALSE)</f>
        <v>Neurotensin</v>
      </c>
      <c r="G239" s="2">
        <v>7</v>
      </c>
      <c r="H239" s="45" t="s">
        <v>31</v>
      </c>
      <c r="I239" s="2" t="s">
        <v>1223</v>
      </c>
      <c r="J239" s="5" t="str">
        <f>VLOOKUP(B239,Seqs!A:B,2,FALSE)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239" s="4" t="str">
        <f t="shared" si="19"/>
        <v>R</v>
      </c>
      <c r="L239" s="45">
        <f>VLOOKUP(B239,'NonXtal_SegEnds_Prot#'!A:AL,21,FALSE)</f>
        <v>183</v>
      </c>
      <c r="M239" s="45">
        <f>VLOOKUP(B239,'NonXtal_SegEnds_Prot#'!A:AL,22,FALSE)</f>
        <v>194</v>
      </c>
      <c r="N239" s="45">
        <f>VLOOKUP(B239,'NonXtal_SegEnds_Prot#'!A:AL,23,FALSE)</f>
        <v>208</v>
      </c>
      <c r="O239" s="4" t="str">
        <f t="shared" si="20"/>
        <v>M</v>
      </c>
      <c r="P239" s="4" t="s">
        <v>58</v>
      </c>
      <c r="Q239" s="47" t="str">
        <f t="shared" si="21"/>
        <v>RSRTKKFISAI</v>
      </c>
      <c r="R239" s="28" t="str">
        <f t="shared" si="22"/>
        <v>W</v>
      </c>
      <c r="S239" s="20" t="str">
        <f t="shared" si="23"/>
        <v>LASALLAIPMLFTM</v>
      </c>
      <c r="X239" s="1" t="s">
        <v>59</v>
      </c>
      <c r="Z239" s="4"/>
      <c r="AD239" s="1" t="s">
        <v>136</v>
      </c>
      <c r="AE239" s="1">
        <v>186</v>
      </c>
      <c r="AF239" s="1">
        <v>194</v>
      </c>
      <c r="AG239" s="1">
        <v>207</v>
      </c>
      <c r="AH239" s="1" t="s">
        <v>81</v>
      </c>
      <c r="AK239" s="4">
        <v>42</v>
      </c>
      <c r="AL239" s="4">
        <v>63</v>
      </c>
    </row>
    <row r="240" spans="1:38" x14ac:dyDescent="0.25">
      <c r="A240" s="1" t="str">
        <f t="shared" si="18"/>
        <v>OX1R_human__wt_TM4</v>
      </c>
      <c r="B240" s="45" t="s">
        <v>1374</v>
      </c>
      <c r="C240" s="45" t="s">
        <v>294</v>
      </c>
      <c r="D240" s="4" t="str">
        <f>VLOOKUP(B240,Classification!A:D,2,FALSE)</f>
        <v>A</v>
      </c>
      <c r="E240" s="4" t="str">
        <f>VLOOKUP(B240,Classification!A:D,3,FALSE)</f>
        <v>Peptide</v>
      </c>
      <c r="F240" s="4" t="str">
        <f>VLOOKUP(B240,Classification!A:D,4,FALSE)</f>
        <v>Orexin</v>
      </c>
      <c r="G240" s="2">
        <v>7</v>
      </c>
      <c r="H240" s="45" t="s">
        <v>31</v>
      </c>
      <c r="I240" s="2" t="s">
        <v>1223</v>
      </c>
      <c r="J240" s="5" t="str">
        <f>VLOOKUP(B240,Seqs!A:B,2,FALSE)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40" s="4" t="str">
        <f t="shared" si="19"/>
        <v>A</v>
      </c>
      <c r="L240" s="45">
        <f>VLOOKUP(B240,'NonXtal_SegEnds_Prot#'!A:AL,21,FALSE)</f>
        <v>158</v>
      </c>
      <c r="M240" s="45">
        <f>VLOOKUP(B240,'NonXtal_SegEnds_Prot#'!A:AL,22,FALSE)</f>
        <v>169</v>
      </c>
      <c r="N240" s="45">
        <f>VLOOKUP(B240,'NonXtal_SegEnds_Prot#'!A:AL,23,FALSE)</f>
        <v>183</v>
      </c>
      <c r="O240" s="4" t="str">
        <f t="shared" si="20"/>
        <v>M</v>
      </c>
      <c r="P240" s="4"/>
      <c r="Q240" s="47" t="str">
        <f t="shared" si="21"/>
        <v>ARRARGSILGI</v>
      </c>
      <c r="R240" s="28" t="str">
        <f t="shared" si="22"/>
        <v>W</v>
      </c>
      <c r="S240" s="20" t="str">
        <f t="shared" si="23"/>
        <v>AVSLAIMVPQAAVM</v>
      </c>
      <c r="X240" s="1" t="s">
        <v>59</v>
      </c>
      <c r="Z240" s="4" t="s">
        <v>78</v>
      </c>
      <c r="AD240" s="1" t="s">
        <v>32</v>
      </c>
      <c r="AE240" s="1">
        <v>158</v>
      </c>
      <c r="AF240" s="1">
        <v>169</v>
      </c>
      <c r="AG240" s="1">
        <v>183</v>
      </c>
      <c r="AH240" s="1" t="s">
        <v>152</v>
      </c>
      <c r="AK240" s="4">
        <v>39</v>
      </c>
      <c r="AL240" s="4">
        <v>65</v>
      </c>
    </row>
    <row r="241" spans="1:38" x14ac:dyDescent="0.25">
      <c r="A241" s="1" t="str">
        <f t="shared" si="18"/>
        <v>OX1R_human_4ZJ8_TM4</v>
      </c>
      <c r="B241" s="45" t="s">
        <v>1374</v>
      </c>
      <c r="C241" s="45" t="s">
        <v>282</v>
      </c>
      <c r="D241" s="4" t="str">
        <f>VLOOKUP(B241,Classification!A:D,2,FALSE)</f>
        <v>A</v>
      </c>
      <c r="E241" s="4" t="str">
        <f>VLOOKUP(B241,Classification!A:D,3,FALSE)</f>
        <v>Peptide</v>
      </c>
      <c r="F241" s="4" t="str">
        <f>VLOOKUP(B241,Classification!A:D,4,FALSE)</f>
        <v>Orexin</v>
      </c>
      <c r="G241" s="2">
        <v>7</v>
      </c>
      <c r="H241" s="45" t="s">
        <v>31</v>
      </c>
      <c r="I241" s="2" t="s">
        <v>1223</v>
      </c>
      <c r="J241" s="5" t="str">
        <f>VLOOKUP(B241,Seqs!A:B,2,FALSE)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41" s="4" t="str">
        <f t="shared" si="19"/>
        <v>A</v>
      </c>
      <c r="L241" s="45">
        <f>VLOOKUP(B241,'NonXtal_SegEnds_Prot#'!A:AL,21,FALSE)</f>
        <v>158</v>
      </c>
      <c r="M241" s="45">
        <f>VLOOKUP(B241,'NonXtal_SegEnds_Prot#'!A:AL,22,FALSE)</f>
        <v>169</v>
      </c>
      <c r="N241" s="45">
        <f>VLOOKUP(B241,'NonXtal_SegEnds_Prot#'!A:AL,23,FALSE)</f>
        <v>183</v>
      </c>
      <c r="O241" s="4" t="str">
        <f t="shared" si="20"/>
        <v>M</v>
      </c>
      <c r="P241" s="4"/>
      <c r="Q241" s="47" t="str">
        <f t="shared" si="21"/>
        <v>ARRARGSILGI</v>
      </c>
      <c r="R241" s="27" t="str">
        <f t="shared" si="22"/>
        <v>W</v>
      </c>
      <c r="S241" s="19" t="str">
        <f t="shared" si="23"/>
        <v>AVSLAIMVPQAAVM</v>
      </c>
      <c r="X241" s="1" t="s">
        <v>59</v>
      </c>
      <c r="Z241" s="4" t="s">
        <v>78</v>
      </c>
      <c r="AD241" s="1" t="s">
        <v>32</v>
      </c>
      <c r="AE241" s="1">
        <v>158</v>
      </c>
      <c r="AF241" s="1">
        <v>169</v>
      </c>
      <c r="AG241" s="1">
        <v>183</v>
      </c>
      <c r="AH241" s="1" t="s">
        <v>152</v>
      </c>
      <c r="AK241" s="4">
        <v>39</v>
      </c>
      <c r="AL241" s="4">
        <v>65</v>
      </c>
    </row>
    <row r="242" spans="1:38" x14ac:dyDescent="0.25">
      <c r="A242" s="1" t="str">
        <f t="shared" si="18"/>
        <v>OX1R_human_4ZJC_TM4</v>
      </c>
      <c r="B242" s="45" t="s">
        <v>1374</v>
      </c>
      <c r="C242" s="45" t="s">
        <v>283</v>
      </c>
      <c r="D242" s="4" t="str">
        <f>VLOOKUP(B242,Classification!A:D,2,FALSE)</f>
        <v>A</v>
      </c>
      <c r="E242" s="4" t="str">
        <f>VLOOKUP(B242,Classification!A:D,3,FALSE)</f>
        <v>Peptide</v>
      </c>
      <c r="F242" s="4" t="str">
        <f>VLOOKUP(B242,Classification!A:D,4,FALSE)</f>
        <v>Orexin</v>
      </c>
      <c r="G242" s="2">
        <v>7</v>
      </c>
      <c r="H242" s="45" t="s">
        <v>31</v>
      </c>
      <c r="I242" s="2" t="s">
        <v>1223</v>
      </c>
      <c r="J242" s="5" t="str">
        <f>VLOOKUP(B242,Seqs!A:B,2,FALSE)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42" s="4" t="str">
        <f t="shared" si="19"/>
        <v>A</v>
      </c>
      <c r="L242" s="45">
        <f>VLOOKUP(B242,'NonXtal_SegEnds_Prot#'!A:AL,21,FALSE)</f>
        <v>158</v>
      </c>
      <c r="M242" s="45">
        <f>VLOOKUP(B242,'NonXtal_SegEnds_Prot#'!A:AL,22,FALSE)</f>
        <v>169</v>
      </c>
      <c r="N242" s="45">
        <f>VLOOKUP(B242,'NonXtal_SegEnds_Prot#'!A:AL,23,FALSE)</f>
        <v>183</v>
      </c>
      <c r="O242" s="4" t="str">
        <f t="shared" si="20"/>
        <v>M</v>
      </c>
      <c r="P242" s="4"/>
      <c r="Q242" s="47" t="str">
        <f t="shared" si="21"/>
        <v>ARRARGSILGI</v>
      </c>
      <c r="R242" s="27" t="str">
        <f t="shared" si="22"/>
        <v>W</v>
      </c>
      <c r="S242" s="19" t="str">
        <f t="shared" si="23"/>
        <v>AVSLAIMVPQAAVM</v>
      </c>
      <c r="X242" s="1" t="s">
        <v>59</v>
      </c>
      <c r="Z242" s="4"/>
      <c r="AD242" s="1" t="s">
        <v>32</v>
      </c>
      <c r="AE242" s="1">
        <v>158</v>
      </c>
      <c r="AF242" s="1">
        <v>169</v>
      </c>
      <c r="AG242" s="1">
        <v>183</v>
      </c>
      <c r="AH242" s="1" t="s">
        <v>152</v>
      </c>
      <c r="AK242" s="4">
        <v>39</v>
      </c>
      <c r="AL242" s="4">
        <v>65</v>
      </c>
    </row>
    <row r="243" spans="1:38" x14ac:dyDescent="0.25">
      <c r="A243" s="1" t="str">
        <f t="shared" si="18"/>
        <v>OX2R_human__wt_TM4</v>
      </c>
      <c r="B243" s="45" t="s">
        <v>1375</v>
      </c>
      <c r="C243" s="45" t="s">
        <v>294</v>
      </c>
      <c r="D243" s="4" t="str">
        <f>VLOOKUP(B243,Classification!A:D,2,FALSE)</f>
        <v>A</v>
      </c>
      <c r="E243" s="4" t="str">
        <f>VLOOKUP(B243,Classification!A:D,3,FALSE)</f>
        <v>Peptide</v>
      </c>
      <c r="F243" s="4" t="str">
        <f>VLOOKUP(B243,Classification!A:D,4,FALSE)</f>
        <v>Orexin</v>
      </c>
      <c r="G243" s="2">
        <v>7</v>
      </c>
      <c r="H243" s="45" t="s">
        <v>31</v>
      </c>
      <c r="I243" s="2" t="s">
        <v>1223</v>
      </c>
      <c r="J243" s="5" t="str">
        <f>VLOOKUP(B243,Seqs!A:B,2,FALSE)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43" s="4" t="str">
        <f t="shared" si="19"/>
        <v>A</v>
      </c>
      <c r="L243" s="45">
        <f>VLOOKUP(B243,'NonXtal_SegEnds_Prot#'!A:AL,21,FALSE)</f>
        <v>166</v>
      </c>
      <c r="M243" s="45">
        <f>VLOOKUP(B243,'NonXtal_SegEnds_Prot#'!A:AL,22,FALSE)</f>
        <v>177</v>
      </c>
      <c r="N243" s="45">
        <f>VLOOKUP(B243,'NonXtal_SegEnds_Prot#'!A:AL,23,FALSE)</f>
        <v>191</v>
      </c>
      <c r="O243" s="4" t="str">
        <f t="shared" si="20"/>
        <v>M</v>
      </c>
      <c r="P243" s="4"/>
      <c r="Q243" s="47" t="str">
        <f t="shared" si="21"/>
        <v>AKRARNSIVII</v>
      </c>
      <c r="R243" s="28" t="str">
        <f t="shared" si="22"/>
        <v>W</v>
      </c>
      <c r="S243" s="20" t="str">
        <f t="shared" si="23"/>
        <v>IVSCIIMIPQAIVM</v>
      </c>
      <c r="X243" s="1" t="s">
        <v>59</v>
      </c>
      <c r="Z243" s="4"/>
      <c r="AD243" s="1" t="s">
        <v>32</v>
      </c>
      <c r="AE243" s="1">
        <v>166</v>
      </c>
      <c r="AF243" s="1">
        <v>177</v>
      </c>
      <c r="AG243" s="1">
        <v>191</v>
      </c>
      <c r="AH243" s="1" t="s">
        <v>152</v>
      </c>
      <c r="AK243" s="4">
        <v>39</v>
      </c>
      <c r="AL243" s="4">
        <v>65</v>
      </c>
    </row>
    <row r="244" spans="1:38" x14ac:dyDescent="0.25">
      <c r="A244" s="1" t="str">
        <f t="shared" si="18"/>
        <v>OX2R_human_4S0V_TM4</v>
      </c>
      <c r="B244" s="45" t="s">
        <v>1375</v>
      </c>
      <c r="C244" s="45" t="s">
        <v>284</v>
      </c>
      <c r="D244" s="4" t="str">
        <f>VLOOKUP(B244,Classification!A:D,2,FALSE)</f>
        <v>A</v>
      </c>
      <c r="E244" s="4" t="str">
        <f>VLOOKUP(B244,Classification!A:D,3,FALSE)</f>
        <v>Peptide</v>
      </c>
      <c r="F244" s="4" t="str">
        <f>VLOOKUP(B244,Classification!A:D,4,FALSE)</f>
        <v>Orexin</v>
      </c>
      <c r="G244" s="2">
        <v>7</v>
      </c>
      <c r="H244" s="45" t="s">
        <v>31</v>
      </c>
      <c r="I244" s="2" t="s">
        <v>1223</v>
      </c>
      <c r="J244" s="5" t="str">
        <f>VLOOKUP(B244,Seqs!A:B,2,FALSE)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44" s="4" t="str">
        <f t="shared" si="19"/>
        <v>A</v>
      </c>
      <c r="L244" s="45">
        <f>VLOOKUP(B244,'NonXtal_SegEnds_Prot#'!A:AL,21,FALSE)</f>
        <v>166</v>
      </c>
      <c r="M244" s="45">
        <f>VLOOKUP(B244,'NonXtal_SegEnds_Prot#'!A:AL,22,FALSE)</f>
        <v>177</v>
      </c>
      <c r="N244" s="45">
        <f>VLOOKUP(B244,'NonXtal_SegEnds_Prot#'!A:AL,23,FALSE)</f>
        <v>191</v>
      </c>
      <c r="O244" s="4" t="str">
        <f t="shared" si="20"/>
        <v>M</v>
      </c>
      <c r="P244" s="4"/>
      <c r="Q244" s="47" t="str">
        <f t="shared" si="21"/>
        <v>AKRARNSIVII</v>
      </c>
      <c r="R244" s="28" t="str">
        <f t="shared" si="22"/>
        <v>W</v>
      </c>
      <c r="S244" s="20" t="str">
        <f t="shared" si="23"/>
        <v>IVSCIIMIPQAIVM</v>
      </c>
      <c r="X244" s="1" t="s">
        <v>59</v>
      </c>
      <c r="Z244" s="4"/>
      <c r="AD244" s="1" t="s">
        <v>32</v>
      </c>
      <c r="AE244" s="1">
        <v>166</v>
      </c>
      <c r="AF244" s="1">
        <v>177</v>
      </c>
      <c r="AG244" s="1">
        <v>191</v>
      </c>
      <c r="AH244" s="1" t="s">
        <v>152</v>
      </c>
      <c r="AK244" s="4">
        <v>39</v>
      </c>
      <c r="AL244" s="4">
        <v>65</v>
      </c>
    </row>
    <row r="245" spans="1:38" x14ac:dyDescent="0.25">
      <c r="A245" s="1" t="str">
        <f t="shared" si="18"/>
        <v>P2RY1_human__wt_TM4</v>
      </c>
      <c r="B245" s="45" t="s">
        <v>215</v>
      </c>
      <c r="C245" s="45" t="s">
        <v>294</v>
      </c>
      <c r="D245" s="4" t="str">
        <f>VLOOKUP(B245,Classification!A:D,2,FALSE)</f>
        <v>A</v>
      </c>
      <c r="E245" s="4" t="str">
        <f>VLOOKUP(B245,Classification!A:D,3,FALSE)</f>
        <v>Nucleotide</v>
      </c>
      <c r="F245" s="4" t="str">
        <f>VLOOKUP(B245,Classification!A:D,4,FALSE)</f>
        <v>P2Y</v>
      </c>
      <c r="G245" s="2">
        <v>7</v>
      </c>
      <c r="H245" s="45" t="s">
        <v>31</v>
      </c>
      <c r="I245" s="2" t="s">
        <v>1223</v>
      </c>
      <c r="J245" s="5" t="str">
        <f>VLOOKUP(B245,Seqs!A:B,2,FALSE)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45" s="4" t="str">
        <f t="shared" si="19"/>
        <v>K</v>
      </c>
      <c r="L245" s="45">
        <f>VLOOKUP(B245,'NonXtal_SegEnds_Prot#'!A:AL,21,FALSE)</f>
        <v>165</v>
      </c>
      <c r="M245" s="45">
        <f>VLOOKUP(B245,'NonXtal_SegEnds_Prot#'!A:AL,22,FALSE)</f>
        <v>176</v>
      </c>
      <c r="N245" s="45">
        <f>VLOOKUP(B245,'NonXtal_SegEnds_Prot#'!A:AL,23,FALSE)</f>
        <v>190</v>
      </c>
      <c r="O245" s="4" t="str">
        <f t="shared" si="20"/>
        <v>S</v>
      </c>
      <c r="P245" s="4"/>
      <c r="Q245" s="47" t="str">
        <f t="shared" si="21"/>
        <v>KKNAICISVLV</v>
      </c>
      <c r="R245" s="27" t="str">
        <f t="shared" si="22"/>
        <v>W</v>
      </c>
      <c r="S245" s="19" t="str">
        <f t="shared" si="23"/>
        <v>LIVVVAISPILFYS</v>
      </c>
      <c r="X245" s="1" t="s">
        <v>59</v>
      </c>
      <c r="Z245" s="4"/>
      <c r="AD245" s="1" t="s">
        <v>32</v>
      </c>
      <c r="AE245" s="1">
        <v>161</v>
      </c>
      <c r="AF245" s="1">
        <v>176</v>
      </c>
      <c r="AG245" s="1">
        <v>189</v>
      </c>
      <c r="AH245" s="1" t="s">
        <v>33</v>
      </c>
      <c r="AK245" s="4">
        <v>39</v>
      </c>
      <c r="AL245" s="4">
        <v>64</v>
      </c>
    </row>
    <row r="246" spans="1:38" x14ac:dyDescent="0.25">
      <c r="A246" s="1" t="str">
        <f t="shared" si="18"/>
        <v>P2RY1_human_4xNV_TM4</v>
      </c>
      <c r="B246" s="45" t="s">
        <v>215</v>
      </c>
      <c r="C246" s="45" t="s">
        <v>274</v>
      </c>
      <c r="D246" s="4" t="str">
        <f>VLOOKUP(B246,Classification!A:D,2,FALSE)</f>
        <v>A</v>
      </c>
      <c r="E246" s="4" t="str">
        <f>VLOOKUP(B246,Classification!A:D,3,FALSE)</f>
        <v>Nucleotide</v>
      </c>
      <c r="F246" s="4" t="str">
        <f>VLOOKUP(B246,Classification!A:D,4,FALSE)</f>
        <v>P2Y</v>
      </c>
      <c r="G246" s="2">
        <v>7</v>
      </c>
      <c r="H246" s="45" t="s">
        <v>31</v>
      </c>
      <c r="I246" s="2" t="s">
        <v>1223</v>
      </c>
      <c r="J246" s="5" t="str">
        <f>VLOOKUP(B246,Seqs!A:B,2,FALSE)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46" s="4" t="str">
        <f t="shared" si="19"/>
        <v>K</v>
      </c>
      <c r="L246" s="45">
        <f>VLOOKUP(B246,'NonXtal_SegEnds_Prot#'!A:AL,21,FALSE)</f>
        <v>165</v>
      </c>
      <c r="M246" s="45">
        <f>VLOOKUP(B246,'NonXtal_SegEnds_Prot#'!A:AL,22,FALSE)</f>
        <v>176</v>
      </c>
      <c r="N246" s="45">
        <f>VLOOKUP(B246,'NonXtal_SegEnds_Prot#'!A:AL,23,FALSE)</f>
        <v>190</v>
      </c>
      <c r="O246" s="4" t="str">
        <f t="shared" si="20"/>
        <v>S</v>
      </c>
      <c r="P246" s="4"/>
      <c r="Q246" s="47" t="str">
        <f t="shared" si="21"/>
        <v>KKNAICISVLV</v>
      </c>
      <c r="R246" s="27" t="str">
        <f t="shared" si="22"/>
        <v>W</v>
      </c>
      <c r="S246" s="19" t="str">
        <f t="shared" si="23"/>
        <v>LIVVVAISPILFYS</v>
      </c>
      <c r="X246" s="1" t="s">
        <v>59</v>
      </c>
      <c r="Z246" s="4"/>
      <c r="AD246" s="1" t="s">
        <v>32</v>
      </c>
      <c r="AE246" s="1">
        <v>161</v>
      </c>
      <c r="AF246" s="1">
        <v>176</v>
      </c>
      <c r="AG246" s="1">
        <v>189</v>
      </c>
      <c r="AH246" s="1" t="s">
        <v>33</v>
      </c>
      <c r="AK246" s="4">
        <v>39</v>
      </c>
      <c r="AL246" s="4">
        <v>64</v>
      </c>
    </row>
    <row r="247" spans="1:38" x14ac:dyDescent="0.25">
      <c r="A247" s="1" t="str">
        <f t="shared" si="18"/>
        <v>PAR1_human__wt_TM4</v>
      </c>
      <c r="B247" s="45" t="s">
        <v>229</v>
      </c>
      <c r="C247" s="45" t="s">
        <v>294</v>
      </c>
      <c r="D247" s="4" t="str">
        <f>VLOOKUP(B247,Classification!A:D,2,FALSE)</f>
        <v>A</v>
      </c>
      <c r="E247" s="4" t="str">
        <f>VLOOKUP(B247,Classification!A:D,3,FALSE)</f>
        <v>Peptide</v>
      </c>
      <c r="F247" s="4" t="str">
        <f>VLOOKUP(B247,Classification!A:D,4,FALSE)</f>
        <v>Proteinase-activated</v>
      </c>
      <c r="G247" s="2">
        <v>7</v>
      </c>
      <c r="H247" s="45" t="s">
        <v>31</v>
      </c>
      <c r="I247" s="2" t="s">
        <v>1223</v>
      </c>
      <c r="J247" s="5" t="str">
        <f>VLOOKUP(B247,Seqs!A:B,2,FALSE)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247" s="4" t="str">
        <f t="shared" si="19"/>
        <v>L</v>
      </c>
      <c r="L247" s="45">
        <f>VLOOKUP(B247,'NonXtal_SegEnds_Prot#'!A:AL,21,FALSE)</f>
        <v>216</v>
      </c>
      <c r="M247" s="45">
        <f>VLOOKUP(B247,'NonXtal_SegEnds_Prot#'!A:AL,22,FALSE)</f>
        <v>227</v>
      </c>
      <c r="N247" s="45">
        <f>VLOOKUP(B247,'NonXtal_SegEnds_Prot#'!A:AL,23,FALSE)</f>
        <v>240</v>
      </c>
      <c r="O247" s="4" t="str">
        <f t="shared" si="20"/>
        <v>K</v>
      </c>
      <c r="P247" s="4"/>
      <c r="Q247" s="47" t="str">
        <f t="shared" si="21"/>
        <v>LGRASFTCLAI</v>
      </c>
      <c r="R247" s="27" t="str">
        <f t="shared" si="22"/>
        <v>W</v>
      </c>
      <c r="S247" s="19" t="str">
        <f t="shared" si="23"/>
        <v>ALAIAGVVPLLLK</v>
      </c>
      <c r="X247" s="1" t="s">
        <v>59</v>
      </c>
      <c r="Z247" s="4"/>
      <c r="AD247" s="1" t="s">
        <v>32</v>
      </c>
      <c r="AE247" s="1">
        <v>216</v>
      </c>
      <c r="AF247" s="1">
        <v>227</v>
      </c>
      <c r="AG247" s="1">
        <v>239</v>
      </c>
      <c r="AH247" s="1" t="s">
        <v>81</v>
      </c>
      <c r="AK247" s="4">
        <v>39</v>
      </c>
      <c r="AL247" s="4">
        <v>63</v>
      </c>
    </row>
    <row r="248" spans="1:38" x14ac:dyDescent="0.25">
      <c r="A248" s="1" t="str">
        <f t="shared" si="18"/>
        <v>PAR1_human_3VW7_TM4</v>
      </c>
      <c r="B248" s="45" t="s">
        <v>229</v>
      </c>
      <c r="C248" s="45" t="s">
        <v>285</v>
      </c>
      <c r="D248" s="4" t="str">
        <f>VLOOKUP(B248,Classification!A:D,2,FALSE)</f>
        <v>A</v>
      </c>
      <c r="E248" s="4" t="str">
        <f>VLOOKUP(B248,Classification!A:D,3,FALSE)</f>
        <v>Peptide</v>
      </c>
      <c r="F248" s="4" t="str">
        <f>VLOOKUP(B248,Classification!A:D,4,FALSE)</f>
        <v>Proteinase-activated</v>
      </c>
      <c r="G248" s="2">
        <v>7</v>
      </c>
      <c r="H248" s="45" t="s">
        <v>31</v>
      </c>
      <c r="I248" s="2" t="s">
        <v>1223</v>
      </c>
      <c r="J248" s="5" t="str">
        <f>VLOOKUP(B248,Seqs!A:B,2,FALSE)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248" s="4" t="str">
        <f t="shared" si="19"/>
        <v>L</v>
      </c>
      <c r="L248" s="45">
        <f>VLOOKUP(B248,'NonXtal_SegEnds_Prot#'!A:AL,21,FALSE)</f>
        <v>216</v>
      </c>
      <c r="M248" s="45">
        <f>VLOOKUP(B248,'NonXtal_SegEnds_Prot#'!A:AL,22,FALSE)</f>
        <v>227</v>
      </c>
      <c r="N248" s="45">
        <f>VLOOKUP(B248,'NonXtal_SegEnds_Prot#'!A:AL,23,FALSE)</f>
        <v>240</v>
      </c>
      <c r="O248" s="4" t="str">
        <f t="shared" si="20"/>
        <v>K</v>
      </c>
      <c r="P248" s="4"/>
      <c r="Q248" s="47" t="str">
        <f t="shared" si="21"/>
        <v>LGRASFTCLAI</v>
      </c>
      <c r="R248" s="27" t="str">
        <f t="shared" si="22"/>
        <v>W</v>
      </c>
      <c r="S248" s="19" t="str">
        <f t="shared" si="23"/>
        <v>ALAIAGVVPLLLK</v>
      </c>
      <c r="X248" s="1" t="s">
        <v>59</v>
      </c>
      <c r="Z248" s="4"/>
      <c r="AD248" s="1" t="s">
        <v>32</v>
      </c>
      <c r="AE248" s="1">
        <v>216</v>
      </c>
      <c r="AF248" s="1">
        <v>227</v>
      </c>
      <c r="AG248" s="1">
        <v>239</v>
      </c>
      <c r="AH248" s="1" t="s">
        <v>81</v>
      </c>
      <c r="AK248" s="4">
        <v>39</v>
      </c>
      <c r="AL248" s="4">
        <v>63</v>
      </c>
    </row>
    <row r="249" spans="1:38" x14ac:dyDescent="0.25">
      <c r="A249" s="1" t="str">
        <f t="shared" si="18"/>
        <v>US28_hcmva__wt_TM4</v>
      </c>
      <c r="B249" s="45" t="s">
        <v>230</v>
      </c>
      <c r="C249" s="45" t="s">
        <v>294</v>
      </c>
      <c r="D249" s="4" t="str">
        <f>VLOOKUP(B249,Classification!A:D,2,FALSE)</f>
        <v>A</v>
      </c>
      <c r="E249" s="4" t="str">
        <f>VLOOKUP(B249,Classification!A:D,3,FALSE)</f>
        <v>Peptide</v>
      </c>
      <c r="F249" s="4" t="str">
        <f>VLOOKUP(B249,Classification!A:D,4,FALSE)</f>
        <v>Chemokine</v>
      </c>
      <c r="G249" s="2">
        <v>7</v>
      </c>
      <c r="H249" s="45" t="s">
        <v>31</v>
      </c>
      <c r="I249" s="2" t="s">
        <v>1223</v>
      </c>
      <c r="J249" s="5" t="str">
        <f>VLOOKUP(B249,Seqs!A:B,2,FALSE)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49" s="4" t="str">
        <f t="shared" si="19"/>
        <v>V</v>
      </c>
      <c r="L249" s="45">
        <f>VLOOKUP(B249,'NonXtal_SegEnds_Prot#'!A:AL,21,FALSE)</f>
        <v>141</v>
      </c>
      <c r="M249" s="45">
        <f>VLOOKUP(B249,'NonXtal_SegEnds_Prot#'!A:AL,22,FALSE)</f>
        <v>152</v>
      </c>
      <c r="N249" s="45">
        <f>VLOOKUP(B249,'NonXtal_SegEnds_Prot#'!A:AL,23,FALSE)</f>
        <v>165</v>
      </c>
      <c r="O249" s="4" t="str">
        <f t="shared" si="20"/>
        <v>V</v>
      </c>
      <c r="P249" s="4"/>
      <c r="Q249" s="47" t="str">
        <f t="shared" si="21"/>
        <v>VKQACLFSIFW</v>
      </c>
      <c r="R249" s="27" t="str">
        <f t="shared" si="22"/>
        <v>W</v>
      </c>
      <c r="S249" s="19" t="str">
        <f t="shared" si="23"/>
        <v>IFAVIIAIPHFMV</v>
      </c>
      <c r="X249" s="1" t="s">
        <v>59</v>
      </c>
      <c r="Z249" s="4" t="s">
        <v>64</v>
      </c>
      <c r="AD249" s="1" t="s">
        <v>32</v>
      </c>
      <c r="AE249" s="1">
        <v>141</v>
      </c>
      <c r="AF249" s="1">
        <v>152</v>
      </c>
      <c r="AG249" s="1">
        <v>164</v>
      </c>
      <c r="AH249" s="1" t="s">
        <v>81</v>
      </c>
      <c r="AK249" s="4">
        <v>39</v>
      </c>
      <c r="AL249" s="4">
        <v>63</v>
      </c>
    </row>
    <row r="250" spans="1:38" x14ac:dyDescent="0.25">
      <c r="A250" s="1" t="str">
        <f t="shared" si="18"/>
        <v>US28_hcmva_4xT1_TM4</v>
      </c>
      <c r="B250" s="45" t="s">
        <v>230</v>
      </c>
      <c r="C250" s="45" t="s">
        <v>287</v>
      </c>
      <c r="D250" s="4" t="str">
        <f>VLOOKUP(B250,Classification!A:D,2,FALSE)</f>
        <v>A</v>
      </c>
      <c r="E250" s="4" t="str">
        <f>VLOOKUP(B250,Classification!A:D,3,FALSE)</f>
        <v>Peptide</v>
      </c>
      <c r="F250" s="4" t="str">
        <f>VLOOKUP(B250,Classification!A:D,4,FALSE)</f>
        <v>Chemokine</v>
      </c>
      <c r="G250" s="2">
        <v>7</v>
      </c>
      <c r="H250" s="45" t="s">
        <v>31</v>
      </c>
      <c r="I250" s="2" t="s">
        <v>1223</v>
      </c>
      <c r="J250" s="5" t="str">
        <f>VLOOKUP(B250,Seqs!A:B,2,FALSE)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50" s="4" t="str">
        <f t="shared" si="19"/>
        <v>V</v>
      </c>
      <c r="L250" s="45">
        <f>VLOOKUP(B250,'NonXtal_SegEnds_Prot#'!A:AL,21,FALSE)</f>
        <v>141</v>
      </c>
      <c r="M250" s="45">
        <f>VLOOKUP(B250,'NonXtal_SegEnds_Prot#'!A:AL,22,FALSE)</f>
        <v>152</v>
      </c>
      <c r="N250" s="45">
        <f>VLOOKUP(B250,'NonXtal_SegEnds_Prot#'!A:AL,23,FALSE)</f>
        <v>165</v>
      </c>
      <c r="O250" s="4" t="str">
        <f t="shared" si="20"/>
        <v>V</v>
      </c>
      <c r="P250" s="4"/>
      <c r="Q250" s="47" t="str">
        <f t="shared" si="21"/>
        <v>VKQACLFSIFW</v>
      </c>
      <c r="R250" s="27" t="str">
        <f t="shared" si="22"/>
        <v>W</v>
      </c>
      <c r="S250" s="19" t="str">
        <f t="shared" si="23"/>
        <v>IFAVIIAIPHFMV</v>
      </c>
      <c r="X250" s="1" t="s">
        <v>59</v>
      </c>
      <c r="Z250" s="4" t="s">
        <v>64</v>
      </c>
      <c r="AD250" s="1" t="s">
        <v>32</v>
      </c>
      <c r="AE250" s="1">
        <v>141</v>
      </c>
      <c r="AF250" s="1">
        <v>152</v>
      </c>
      <c r="AG250" s="1">
        <v>164</v>
      </c>
      <c r="AH250" s="1" t="s">
        <v>81</v>
      </c>
      <c r="AK250" s="4">
        <v>39</v>
      </c>
      <c r="AL250" s="4">
        <v>63</v>
      </c>
    </row>
    <row r="251" spans="1:38" x14ac:dyDescent="0.25">
      <c r="A251" s="1" t="str">
        <f t="shared" si="18"/>
        <v>OPSD_todpa__wt_TM4</v>
      </c>
      <c r="B251" s="45" t="s">
        <v>291</v>
      </c>
      <c r="C251" s="45" t="s">
        <v>294</v>
      </c>
      <c r="D251" s="4" t="str">
        <f>VLOOKUP(B251,Classification!A:D,2,FALSE)</f>
        <v>A</v>
      </c>
      <c r="E251" s="4" t="str">
        <f>VLOOKUP(B251,Classification!A:D,3,FALSE)</f>
        <v>Sensory</v>
      </c>
      <c r="F251" s="4" t="str">
        <f>VLOOKUP(B251,Classification!A:D,4,FALSE)</f>
        <v>Opsins</v>
      </c>
      <c r="G251" s="2">
        <v>7</v>
      </c>
      <c r="H251" s="45" t="s">
        <v>31</v>
      </c>
      <c r="I251" s="2" t="s">
        <v>1223</v>
      </c>
      <c r="J251" s="5" t="str">
        <f>VLOOKUP(B251,Seqs!A:B,2,FALSE)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51" s="4" t="str">
        <f t="shared" si="19"/>
        <v>H</v>
      </c>
      <c r="L251" s="45">
        <f>VLOOKUP(B251,'NonXtal_SegEnds_Prot#'!A:AL,21,FALSE)</f>
        <v>149</v>
      </c>
      <c r="M251" s="45">
        <f>VLOOKUP(B251,'NonXtal_SegEnds_Prot#'!A:AL,22,FALSE)</f>
        <v>160</v>
      </c>
      <c r="N251" s="45">
        <f>VLOOKUP(B251,'NonXtal_SegEnds_Prot#'!A:AL,23,FALSE)</f>
        <v>172</v>
      </c>
      <c r="O251" s="4" t="str">
        <f t="shared" si="20"/>
        <v>F</v>
      </c>
      <c r="P251" s="4"/>
      <c r="Q251" s="47" t="str">
        <f t="shared" si="21"/>
        <v>HRRAFIMIIFV</v>
      </c>
      <c r="R251" s="27" t="str">
        <f t="shared" si="22"/>
        <v>W</v>
      </c>
      <c r="S251" s="19" t="str">
        <f t="shared" si="23"/>
        <v>LWSVLWAIGPIF</v>
      </c>
      <c r="Y251" s="1" t="s">
        <v>149</v>
      </c>
      <c r="Z251" s="4"/>
      <c r="AD251" s="1" t="s">
        <v>32</v>
      </c>
      <c r="AE251" s="1">
        <v>149</v>
      </c>
      <c r="AF251" s="1">
        <v>160</v>
      </c>
      <c r="AG251" s="1">
        <v>172</v>
      </c>
      <c r="AH251" s="1" t="s">
        <v>70</v>
      </c>
      <c r="AK251" s="4">
        <v>39</v>
      </c>
      <c r="AL251" s="4">
        <v>62</v>
      </c>
    </row>
    <row r="252" spans="1:38" x14ac:dyDescent="0.25">
      <c r="A252" s="1" t="str">
        <f t="shared" si="18"/>
        <v>OPSD_todpa_2Z73_TM4</v>
      </c>
      <c r="B252" s="45" t="s">
        <v>291</v>
      </c>
      <c r="C252" s="45" t="s">
        <v>290</v>
      </c>
      <c r="D252" s="4" t="str">
        <f>VLOOKUP(B252,Classification!A:D,2,FALSE)</f>
        <v>A</v>
      </c>
      <c r="E252" s="4" t="str">
        <f>VLOOKUP(B252,Classification!A:D,3,FALSE)</f>
        <v>Sensory</v>
      </c>
      <c r="F252" s="4" t="str">
        <f>VLOOKUP(B252,Classification!A:D,4,FALSE)</f>
        <v>Opsins</v>
      </c>
      <c r="G252" s="2">
        <v>7</v>
      </c>
      <c r="H252" s="45" t="s">
        <v>31</v>
      </c>
      <c r="I252" s="2" t="s">
        <v>1223</v>
      </c>
      <c r="J252" s="5" t="str">
        <f>VLOOKUP(B252,Seqs!A:B,2,FALSE)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52" s="4" t="str">
        <f t="shared" si="19"/>
        <v>H</v>
      </c>
      <c r="L252" s="45">
        <f>VLOOKUP(B252,'NonXtal_SegEnds_Prot#'!A:AL,21,FALSE)</f>
        <v>149</v>
      </c>
      <c r="M252" s="45">
        <f>VLOOKUP(B252,'NonXtal_SegEnds_Prot#'!A:AL,22,FALSE)</f>
        <v>160</v>
      </c>
      <c r="N252" s="45">
        <f>VLOOKUP(B252,'NonXtal_SegEnds_Prot#'!A:AL,23,FALSE)</f>
        <v>172</v>
      </c>
      <c r="O252" s="4" t="str">
        <f t="shared" si="20"/>
        <v>F</v>
      </c>
      <c r="P252" s="4"/>
      <c r="Q252" s="47" t="str">
        <f t="shared" si="21"/>
        <v>HRRAFIMIIFV</v>
      </c>
      <c r="R252" s="27" t="str">
        <f t="shared" si="22"/>
        <v>W</v>
      </c>
      <c r="S252" s="19" t="str">
        <f t="shared" si="23"/>
        <v>LWSVLWAIGPIF</v>
      </c>
      <c r="Y252" s="1" t="s">
        <v>149</v>
      </c>
      <c r="Z252" s="4"/>
      <c r="AD252" s="1" t="s">
        <v>32</v>
      </c>
      <c r="AE252" s="1">
        <v>149</v>
      </c>
      <c r="AF252" s="1">
        <v>160</v>
      </c>
      <c r="AG252" s="1">
        <v>172</v>
      </c>
      <c r="AH252" s="1" t="s">
        <v>70</v>
      </c>
      <c r="AK252" s="4">
        <v>39</v>
      </c>
      <c r="AL252" s="4">
        <v>62</v>
      </c>
    </row>
    <row r="253" spans="1:38" x14ac:dyDescent="0.25">
      <c r="A253" s="1" t="str">
        <f t="shared" si="18"/>
        <v>P2Y12_human__wt_TM4</v>
      </c>
      <c r="B253" s="45" t="s">
        <v>216</v>
      </c>
      <c r="C253" s="45" t="s">
        <v>294</v>
      </c>
      <c r="D253" s="4" t="str">
        <f>VLOOKUP(B253,Classification!A:D,2,FALSE)</f>
        <v>A</v>
      </c>
      <c r="E253" s="4" t="str">
        <f>VLOOKUP(B253,Classification!A:D,3,FALSE)</f>
        <v>Nucleotide</v>
      </c>
      <c r="F253" s="4" t="str">
        <f>VLOOKUP(B253,Classification!A:D,4,FALSE)</f>
        <v>P2Y</v>
      </c>
      <c r="G253" s="2">
        <v>7</v>
      </c>
      <c r="H253" s="45" t="s">
        <v>31</v>
      </c>
      <c r="I253" s="2" t="s">
        <v>1223</v>
      </c>
      <c r="J253" s="5" t="str">
        <f>VLOOKUP(B253,Seqs!A:B,2,FALSE)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253" s="4" t="str">
        <f t="shared" si="19"/>
        <v>L</v>
      </c>
      <c r="L253" s="45">
        <f>VLOOKUP(B253,'NonXtal_SegEnds_Prot#'!A:AL,21,FALSE)</f>
        <v>138</v>
      </c>
      <c r="M253" s="45">
        <f>VLOOKUP(B253,'NonXtal_SegEnds_Prot#'!A:AL,22,FALSE)</f>
        <v>149</v>
      </c>
      <c r="N253" s="45">
        <f>VLOOKUP(B253,'NonXtal_SegEnds_Prot#'!A:AL,23,FALSE)</f>
        <v>163</v>
      </c>
      <c r="O253" s="4" t="str">
        <f t="shared" si="20"/>
        <v>T</v>
      </c>
      <c r="P253" s="4"/>
      <c r="Q253" s="47" t="str">
        <f t="shared" si="21"/>
        <v>LLGAKILSVVI</v>
      </c>
      <c r="R253" s="27" t="str">
        <f t="shared" si="22"/>
        <v>W</v>
      </c>
      <c r="S253" s="19" t="str">
        <f t="shared" si="23"/>
        <v>AFMFLLSLPNMILT</v>
      </c>
      <c r="Y253" s="1" t="s">
        <v>149</v>
      </c>
      <c r="Z253" s="4"/>
      <c r="AD253" s="1" t="s">
        <v>32</v>
      </c>
      <c r="AE253" s="1">
        <v>135</v>
      </c>
      <c r="AF253" s="1">
        <v>149</v>
      </c>
      <c r="AG253" s="1">
        <v>162</v>
      </c>
      <c r="AH253" s="1" t="s">
        <v>33</v>
      </c>
      <c r="AK253" s="4">
        <v>39</v>
      </c>
      <c r="AL253" s="4">
        <v>64</v>
      </c>
    </row>
    <row r="254" spans="1:38" x14ac:dyDescent="0.25">
      <c r="A254" s="1" t="str">
        <f t="shared" si="18"/>
        <v>P2Y12_human_4PxZ_TM4</v>
      </c>
      <c r="B254" s="45" t="s">
        <v>216</v>
      </c>
      <c r="C254" s="45" t="s">
        <v>242</v>
      </c>
      <c r="D254" s="4" t="str">
        <f>VLOOKUP(B254,Classification!A:D,2,FALSE)</f>
        <v>A</v>
      </c>
      <c r="E254" s="4" t="str">
        <f>VLOOKUP(B254,Classification!A:D,3,FALSE)</f>
        <v>Nucleotide</v>
      </c>
      <c r="F254" s="4" t="str">
        <f>VLOOKUP(B254,Classification!A:D,4,FALSE)</f>
        <v>P2Y</v>
      </c>
      <c r="G254" s="2">
        <v>7</v>
      </c>
      <c r="H254" s="45" t="s">
        <v>31</v>
      </c>
      <c r="I254" s="2" t="s">
        <v>1223</v>
      </c>
      <c r="J254" s="5" t="str">
        <f>VLOOKUP(B254,Seqs!A:B,2,FALSE)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254" s="4" t="str">
        <f t="shared" si="19"/>
        <v>L</v>
      </c>
      <c r="L254" s="45">
        <f>VLOOKUP(B254,'NonXtal_SegEnds_Prot#'!A:AL,21,FALSE)</f>
        <v>138</v>
      </c>
      <c r="M254" s="45">
        <f>VLOOKUP(B254,'NonXtal_SegEnds_Prot#'!A:AL,22,FALSE)</f>
        <v>149</v>
      </c>
      <c r="N254" s="45">
        <f>VLOOKUP(B254,'NonXtal_SegEnds_Prot#'!A:AL,23,FALSE)</f>
        <v>163</v>
      </c>
      <c r="O254" s="4" t="str">
        <f t="shared" si="20"/>
        <v>T</v>
      </c>
      <c r="P254" s="4"/>
      <c r="Q254" s="47" t="str">
        <f t="shared" si="21"/>
        <v>LLGAKILSVVI</v>
      </c>
      <c r="R254" s="28" t="str">
        <f t="shared" si="22"/>
        <v>W</v>
      </c>
      <c r="S254" s="20" t="str">
        <f t="shared" si="23"/>
        <v>AFMFLLSLPNMILT</v>
      </c>
      <c r="Y254" s="1" t="s">
        <v>149</v>
      </c>
      <c r="Z254" s="4"/>
      <c r="AD254" s="1" t="s">
        <v>143</v>
      </c>
      <c r="AE254" s="1">
        <v>136</v>
      </c>
      <c r="AF254" s="1">
        <v>149</v>
      </c>
      <c r="AG254" s="1">
        <v>162</v>
      </c>
      <c r="AH254" s="1" t="s">
        <v>33</v>
      </c>
      <c r="AK254" s="4">
        <v>37</v>
      </c>
      <c r="AL254" s="4">
        <v>64</v>
      </c>
    </row>
    <row r="255" spans="1:38" x14ac:dyDescent="0.25">
      <c r="A255" s="1" t="str">
        <f t="shared" si="18"/>
        <v>5ht1b_human__wt_TM1</v>
      </c>
      <c r="B255" s="45" t="s">
        <v>208</v>
      </c>
      <c r="C255" s="45" t="s">
        <v>294</v>
      </c>
      <c r="D255" s="4" t="str">
        <f>VLOOKUP(B255,Classification!A:D,2,FALSE)</f>
        <v>A</v>
      </c>
      <c r="E255" s="4" t="str">
        <f>VLOOKUP(B255,Classification!A:D,3,FALSE)</f>
        <v>Aminergic</v>
      </c>
      <c r="F255" s="4" t="str">
        <f>VLOOKUP(B255,Classification!A:D,4,FALSE)</f>
        <v>5-Hydroxytryptamine</v>
      </c>
      <c r="G255" s="2">
        <v>1</v>
      </c>
      <c r="H255" s="45" t="s">
        <v>11</v>
      </c>
      <c r="I255" s="2" t="s">
        <v>1223</v>
      </c>
      <c r="J255" s="5" t="str">
        <f>VLOOKUP(B255,Seqs!A:B,2,FALSE)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255" s="4" t="str">
        <f t="shared" si="19"/>
        <v>L</v>
      </c>
      <c r="L255" s="45">
        <f>VLOOKUP(B255,'NonXtal_SegEnds_Prot#'!A:AL,3,FALSE)</f>
        <v>46</v>
      </c>
      <c r="M255" s="45">
        <f>VLOOKUP(B255,'NonXtal_SegEnds_Prot#'!A:AL,4,FALSE)</f>
        <v>67</v>
      </c>
      <c r="N255" s="45">
        <f>VLOOKUP(B255,'NonXtal_SegEnds_Prot#'!A:AL,5,FALSE)</f>
        <v>77</v>
      </c>
      <c r="O255" s="4" t="str">
        <f t="shared" si="20"/>
        <v>T</v>
      </c>
      <c r="P255" s="4"/>
      <c r="Q255" s="47" t="str">
        <f t="shared" si="21"/>
        <v>LPWKVLLVMLLALITLATTLS</v>
      </c>
      <c r="R255" s="27" t="str">
        <f t="shared" si="22"/>
        <v>N</v>
      </c>
      <c r="S255" s="19" t="str">
        <f t="shared" si="23"/>
        <v>AFVIATVYRT</v>
      </c>
      <c r="Z255" s="4"/>
      <c r="AD255" s="1" t="s">
        <v>12</v>
      </c>
      <c r="AE255" s="1">
        <v>46</v>
      </c>
      <c r="AF255" s="1">
        <v>67</v>
      </c>
      <c r="AG255" s="1">
        <v>77</v>
      </c>
      <c r="AH255" s="1" t="s">
        <v>13</v>
      </c>
      <c r="AK255" s="4">
        <v>29</v>
      </c>
      <c r="AL255" s="4">
        <v>60</v>
      </c>
    </row>
    <row r="256" spans="1:38" x14ac:dyDescent="0.25">
      <c r="A256" s="1" t="str">
        <f t="shared" si="18"/>
        <v>5ht1b_human_4IAQ_TM1</v>
      </c>
      <c r="B256" s="45" t="s">
        <v>208</v>
      </c>
      <c r="C256" s="53" t="s">
        <v>1249</v>
      </c>
      <c r="D256" s="4" t="str">
        <f>VLOOKUP(B256,Classification!A:D,2,FALSE)</f>
        <v>A</v>
      </c>
      <c r="E256" s="4" t="str">
        <f>VLOOKUP(B256,Classification!A:D,3,FALSE)</f>
        <v>Aminergic</v>
      </c>
      <c r="F256" s="4" t="str">
        <f>VLOOKUP(B256,Classification!A:D,4,FALSE)</f>
        <v>5-Hydroxytryptamine</v>
      </c>
      <c r="G256" s="2">
        <v>1</v>
      </c>
      <c r="H256" s="45" t="s">
        <v>11</v>
      </c>
      <c r="I256" s="2" t="s">
        <v>1223</v>
      </c>
      <c r="J256" s="5" t="str">
        <f>VLOOKUP(B256,Seqs!A:B,2,FALSE)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256" s="4" t="str">
        <f t="shared" si="19"/>
        <v>L</v>
      </c>
      <c r="L256" s="45">
        <f>VLOOKUP(B256,'NonXtal_SegEnds_Prot#'!A:AL,3,FALSE)</f>
        <v>46</v>
      </c>
      <c r="M256" s="45">
        <f>VLOOKUP(B256,'NonXtal_SegEnds_Prot#'!A:AL,4,FALSE)</f>
        <v>67</v>
      </c>
      <c r="N256" s="45">
        <f>VLOOKUP(B256,'NonXtal_SegEnds_Prot#'!A:AL,5,FALSE)</f>
        <v>77</v>
      </c>
      <c r="O256" s="4" t="str">
        <f t="shared" si="20"/>
        <v>T</v>
      </c>
      <c r="P256" s="4"/>
      <c r="Q256" s="47" t="str">
        <f t="shared" si="21"/>
        <v>LPWKVLLVMLLALITLATTLS</v>
      </c>
      <c r="R256" s="27" t="str">
        <f t="shared" si="22"/>
        <v>N</v>
      </c>
      <c r="S256" s="19" t="str">
        <f t="shared" si="23"/>
        <v>AFVIATVYRT</v>
      </c>
      <c r="Z256" s="4"/>
      <c r="AD256" s="1" t="s">
        <v>12</v>
      </c>
      <c r="AE256" s="1">
        <v>46</v>
      </c>
      <c r="AF256" s="1">
        <v>67</v>
      </c>
      <c r="AG256" s="1">
        <v>77</v>
      </c>
      <c r="AH256" s="1" t="s">
        <v>13</v>
      </c>
      <c r="AK256" s="4">
        <v>29</v>
      </c>
      <c r="AL256" s="4">
        <v>60</v>
      </c>
    </row>
    <row r="257" spans="1:38" x14ac:dyDescent="0.25">
      <c r="A257" s="1" t="str">
        <f t="shared" si="18"/>
        <v>5ht1b_human_4IAR_TM1</v>
      </c>
      <c r="B257" s="45" t="s">
        <v>208</v>
      </c>
      <c r="C257" s="45" t="s">
        <v>251</v>
      </c>
      <c r="D257" s="4" t="str">
        <f>VLOOKUP(B257,Classification!A:D,2,FALSE)</f>
        <v>A</v>
      </c>
      <c r="E257" s="4" t="str">
        <f>VLOOKUP(B257,Classification!A:D,3,FALSE)</f>
        <v>Aminergic</v>
      </c>
      <c r="F257" s="4" t="str">
        <f>VLOOKUP(B257,Classification!A:D,4,FALSE)</f>
        <v>5-Hydroxytryptamine</v>
      </c>
      <c r="G257" s="2">
        <v>1</v>
      </c>
      <c r="H257" s="45" t="s">
        <v>11</v>
      </c>
      <c r="I257" s="2" t="s">
        <v>1223</v>
      </c>
      <c r="J257" s="5" t="str">
        <f>VLOOKUP(B257,Seqs!A:B,2,FALSE)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257" s="4" t="str">
        <f t="shared" si="19"/>
        <v>L</v>
      </c>
      <c r="L257" s="45">
        <f>VLOOKUP(B257,'NonXtal_SegEnds_Prot#'!A:AL,3,FALSE)</f>
        <v>46</v>
      </c>
      <c r="M257" s="45">
        <f>VLOOKUP(B257,'NonXtal_SegEnds_Prot#'!A:AL,4,FALSE)</f>
        <v>67</v>
      </c>
      <c r="N257" s="45">
        <f>VLOOKUP(B257,'NonXtal_SegEnds_Prot#'!A:AL,5,FALSE)</f>
        <v>77</v>
      </c>
      <c r="O257" s="4" t="str">
        <f t="shared" si="20"/>
        <v>T</v>
      </c>
      <c r="P257" s="4"/>
      <c r="Q257" s="47" t="str">
        <f t="shared" si="21"/>
        <v>LPWKVLLVMLLALITLATTLS</v>
      </c>
      <c r="R257" s="27" t="str">
        <f t="shared" si="22"/>
        <v>N</v>
      </c>
      <c r="S257" s="19" t="str">
        <f t="shared" si="23"/>
        <v>AFVIATVYRT</v>
      </c>
      <c r="Z257" s="4"/>
      <c r="AD257" s="1" t="s">
        <v>12</v>
      </c>
      <c r="AE257" s="1">
        <v>46</v>
      </c>
      <c r="AF257" s="1">
        <v>67</v>
      </c>
      <c r="AG257" s="1">
        <v>77</v>
      </c>
      <c r="AH257" s="1" t="s">
        <v>13</v>
      </c>
      <c r="AK257" s="4">
        <v>29</v>
      </c>
      <c r="AL257" s="4">
        <v>60</v>
      </c>
    </row>
    <row r="258" spans="1:38" x14ac:dyDescent="0.25">
      <c r="A258" s="1" t="str">
        <f t="shared" ref="A258:A321" si="24">CONCATENATE(B258,"_",C258,"_",H258)</f>
        <v>AA2AR_human__wt_TM1</v>
      </c>
      <c r="B258" s="45" t="s">
        <v>210</v>
      </c>
      <c r="C258" s="45" t="s">
        <v>294</v>
      </c>
      <c r="D258" s="4" t="str">
        <f>VLOOKUP(B258,Classification!A:D,2,FALSE)</f>
        <v>A</v>
      </c>
      <c r="E258" s="4" t="str">
        <f>VLOOKUP(B258,Classification!A:D,3,FALSE)</f>
        <v>Nucleotide</v>
      </c>
      <c r="F258" s="4" t="str">
        <f>VLOOKUP(B258,Classification!A:D,4,FALSE)</f>
        <v>Adenosine</v>
      </c>
      <c r="G258" s="2">
        <v>1</v>
      </c>
      <c r="H258" s="45" t="s">
        <v>11</v>
      </c>
      <c r="I258" s="2" t="s">
        <v>1223</v>
      </c>
      <c r="J258" s="5" t="str">
        <f>VLOOKUP(B258,Seqs!A:B,2,FALSE)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58" s="4" t="str">
        <f t="shared" ref="K258:K270" si="25">MID(J258,L258,1)</f>
        <v>P</v>
      </c>
      <c r="L258" s="45">
        <f>VLOOKUP(B258,'NonXtal_SegEnds_Prot#'!A:AL,3,FALSE)</f>
        <v>2</v>
      </c>
      <c r="M258" s="45">
        <f>VLOOKUP(B258,'NonXtal_SegEnds_Prot#'!A:AL,4,FALSE)</f>
        <v>24</v>
      </c>
      <c r="N258" s="45">
        <f>VLOOKUP(B258,'NonXtal_SegEnds_Prot#'!A:AL,5,FALSE)</f>
        <v>34</v>
      </c>
      <c r="O258" s="4" t="str">
        <f t="shared" ref="O258:O321" si="26">MID(J258,N258,1)</f>
        <v>N</v>
      </c>
      <c r="P258" s="4"/>
      <c r="Q258" s="47" t="str">
        <f t="shared" ref="Q258:Q321" si="27">MID(J258,L258,M258-L258)</f>
        <v>PIMGSSVYITVELAIAVLAILG</v>
      </c>
      <c r="R258" s="27" t="str">
        <f t="shared" ref="R258:R321" si="28">MID(J258,M258,1)</f>
        <v>N</v>
      </c>
      <c r="S258" s="19" t="str">
        <f t="shared" ref="S258:S321" si="29">MID(J258,M258+1,N258-M258)</f>
        <v>VLVCWAVWLN</v>
      </c>
      <c r="Z258" s="4" t="s">
        <v>64</v>
      </c>
      <c r="AD258" s="1" t="s">
        <v>65</v>
      </c>
      <c r="AE258" s="1">
        <v>2</v>
      </c>
      <c r="AF258" s="1">
        <v>24</v>
      </c>
      <c r="AG258" s="1">
        <v>34</v>
      </c>
      <c r="AH258" s="1" t="s">
        <v>13</v>
      </c>
      <c r="AK258" s="4">
        <v>28</v>
      </c>
      <c r="AL258" s="4">
        <v>60</v>
      </c>
    </row>
    <row r="259" spans="1:38" x14ac:dyDescent="0.25">
      <c r="A259" s="1" t="str">
        <f t="shared" si="24"/>
        <v>AA2AR_human_2YDV_TM1</v>
      </c>
      <c r="B259" s="45" t="s">
        <v>210</v>
      </c>
      <c r="C259" s="45" t="s">
        <v>271</v>
      </c>
      <c r="D259" s="4" t="str">
        <f>VLOOKUP(B259,Classification!A:D,2,FALSE)</f>
        <v>A</v>
      </c>
      <c r="E259" s="4" t="str">
        <f>VLOOKUP(B259,Classification!A:D,3,FALSE)</f>
        <v>Nucleotide</v>
      </c>
      <c r="F259" s="4" t="str">
        <f>VLOOKUP(B259,Classification!A:D,4,FALSE)</f>
        <v>Adenosine</v>
      </c>
      <c r="G259" s="2">
        <v>1</v>
      </c>
      <c r="H259" s="45" t="s">
        <v>11</v>
      </c>
      <c r="I259" s="2" t="s">
        <v>1223</v>
      </c>
      <c r="J259" s="5" t="str">
        <f>VLOOKUP(B259,Seqs!A:B,2,FALSE)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59" s="4" t="str">
        <f t="shared" si="25"/>
        <v>P</v>
      </c>
      <c r="L259" s="45">
        <f>VLOOKUP(B259,'NonXtal_SegEnds_Prot#'!A:AL,3,FALSE)</f>
        <v>2</v>
      </c>
      <c r="M259" s="45">
        <f>VLOOKUP(B259,'NonXtal_SegEnds_Prot#'!A:AL,4,FALSE)</f>
        <v>24</v>
      </c>
      <c r="N259" s="45">
        <f>VLOOKUP(B259,'NonXtal_SegEnds_Prot#'!A:AL,5,FALSE)</f>
        <v>34</v>
      </c>
      <c r="O259" s="4" t="str">
        <f t="shared" si="26"/>
        <v>N</v>
      </c>
      <c r="P259" s="4"/>
      <c r="Q259" s="47" t="str">
        <f t="shared" si="27"/>
        <v>PIMGSSVYITVELAIAVLAILG</v>
      </c>
      <c r="R259" s="27" t="str">
        <f t="shared" si="28"/>
        <v>N</v>
      </c>
      <c r="S259" s="19" t="str">
        <f t="shared" si="29"/>
        <v>VLVCWAVWLN</v>
      </c>
      <c r="Z259" s="4" t="s">
        <v>64</v>
      </c>
      <c r="AD259" s="1" t="s">
        <v>55</v>
      </c>
      <c r="AE259" s="1">
        <v>7</v>
      </c>
      <c r="AF259" s="1">
        <v>24</v>
      </c>
      <c r="AG259" s="1">
        <v>34</v>
      </c>
      <c r="AH259" s="1" t="s">
        <v>13</v>
      </c>
      <c r="AK259" s="4">
        <v>33</v>
      </c>
      <c r="AL259" s="4">
        <v>60</v>
      </c>
    </row>
    <row r="260" spans="1:38" x14ac:dyDescent="0.25">
      <c r="A260" s="1" t="str">
        <f t="shared" si="24"/>
        <v>AA2AR_human_3REY_TM1</v>
      </c>
      <c r="B260" s="45" t="s">
        <v>210</v>
      </c>
      <c r="C260" s="45" t="s">
        <v>275</v>
      </c>
      <c r="D260" s="4" t="str">
        <f>VLOOKUP(B260,Classification!A:D,2,FALSE)</f>
        <v>A</v>
      </c>
      <c r="E260" s="4" t="str">
        <f>VLOOKUP(B260,Classification!A:D,3,FALSE)</f>
        <v>Nucleotide</v>
      </c>
      <c r="F260" s="4" t="str">
        <f>VLOOKUP(B260,Classification!A:D,4,FALSE)</f>
        <v>Adenosine</v>
      </c>
      <c r="G260" s="2">
        <v>1</v>
      </c>
      <c r="H260" s="45" t="s">
        <v>11</v>
      </c>
      <c r="I260" s="2" t="s">
        <v>1223</v>
      </c>
      <c r="J260" s="5" t="str">
        <f>VLOOKUP(B260,Seqs!A:B,2,FALSE)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60" s="4" t="str">
        <f t="shared" si="25"/>
        <v>P</v>
      </c>
      <c r="L260" s="45">
        <f>VLOOKUP(B260,'NonXtal_SegEnds_Prot#'!A:AL,3,FALSE)</f>
        <v>2</v>
      </c>
      <c r="M260" s="45">
        <f>VLOOKUP(B260,'NonXtal_SegEnds_Prot#'!A:AL,4,FALSE)</f>
        <v>24</v>
      </c>
      <c r="N260" s="45">
        <f>VLOOKUP(B260,'NonXtal_SegEnds_Prot#'!A:AL,5,FALSE)</f>
        <v>34</v>
      </c>
      <c r="O260" s="4" t="str">
        <f t="shared" si="26"/>
        <v>N</v>
      </c>
      <c r="P260" s="4"/>
      <c r="Q260" s="47" t="str">
        <f t="shared" si="27"/>
        <v>PIMGSSVYITVELAIAVLAILG</v>
      </c>
      <c r="R260" s="27" t="str">
        <f t="shared" si="28"/>
        <v>N</v>
      </c>
      <c r="S260" s="19" t="str">
        <f t="shared" si="29"/>
        <v>VLVCWAVWLN</v>
      </c>
      <c r="Z260" s="4" t="s">
        <v>78</v>
      </c>
      <c r="AD260" s="1" t="s">
        <v>55</v>
      </c>
      <c r="AE260" s="1">
        <v>7</v>
      </c>
      <c r="AF260" s="1">
        <v>24</v>
      </c>
      <c r="AG260" s="1">
        <v>34</v>
      </c>
      <c r="AH260" s="1" t="s">
        <v>13</v>
      </c>
      <c r="AK260" s="4">
        <v>33</v>
      </c>
      <c r="AL260" s="4">
        <v>60</v>
      </c>
    </row>
    <row r="261" spans="1:38" x14ac:dyDescent="0.25">
      <c r="A261" s="1" t="str">
        <f t="shared" si="24"/>
        <v>AA2AR_human_4EIY_TM1</v>
      </c>
      <c r="B261" s="45" t="s">
        <v>210</v>
      </c>
      <c r="C261" s="45" t="s">
        <v>272</v>
      </c>
      <c r="D261" s="4" t="str">
        <f>VLOOKUP(B261,Classification!A:D,2,FALSE)</f>
        <v>A</v>
      </c>
      <c r="E261" s="4" t="str">
        <f>VLOOKUP(B261,Classification!A:D,3,FALSE)</f>
        <v>Nucleotide</v>
      </c>
      <c r="F261" s="4" t="str">
        <f>VLOOKUP(B261,Classification!A:D,4,FALSE)</f>
        <v>Adenosine</v>
      </c>
      <c r="G261" s="2">
        <v>1</v>
      </c>
      <c r="H261" s="45" t="s">
        <v>11</v>
      </c>
      <c r="I261" s="2" t="s">
        <v>1223</v>
      </c>
      <c r="J261" s="5" t="str">
        <f>VLOOKUP(B261,Seqs!A:B,2,FALSE)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61" s="4" t="str">
        <f t="shared" si="25"/>
        <v>P</v>
      </c>
      <c r="L261" s="45">
        <f>VLOOKUP(B261,'NonXtal_SegEnds_Prot#'!A:AL,3,FALSE)</f>
        <v>2</v>
      </c>
      <c r="M261" s="45">
        <f>VLOOKUP(B261,'NonXtal_SegEnds_Prot#'!A:AL,4,FALSE)</f>
        <v>24</v>
      </c>
      <c r="N261" s="45">
        <f>VLOOKUP(B261,'NonXtal_SegEnds_Prot#'!A:AL,5,FALSE)</f>
        <v>34</v>
      </c>
      <c r="O261" s="4" t="str">
        <f t="shared" si="26"/>
        <v>N</v>
      </c>
      <c r="P261" s="4"/>
      <c r="Q261" s="47" t="str">
        <f t="shared" si="27"/>
        <v>PIMGSSVYITVELAIAVLAILG</v>
      </c>
      <c r="R261" s="27" t="str">
        <f t="shared" si="28"/>
        <v>N</v>
      </c>
      <c r="S261" s="19" t="str">
        <f t="shared" si="29"/>
        <v>VLVCWAVWLN</v>
      </c>
      <c r="Z261" s="4"/>
      <c r="AD261" s="1" t="s">
        <v>65</v>
      </c>
      <c r="AE261" s="1">
        <v>2</v>
      </c>
      <c r="AF261" s="1">
        <v>24</v>
      </c>
      <c r="AG261" s="1">
        <v>34</v>
      </c>
      <c r="AH261" s="1" t="s">
        <v>13</v>
      </c>
      <c r="AK261" s="4">
        <v>28</v>
      </c>
      <c r="AL261" s="4">
        <v>60</v>
      </c>
    </row>
    <row r="262" spans="1:38" x14ac:dyDescent="0.25">
      <c r="A262" s="1" t="str">
        <f t="shared" si="24"/>
        <v>ACM1_human__wt_TM1</v>
      </c>
      <c r="B262" s="45" t="s">
        <v>218</v>
      </c>
      <c r="C262" s="45" t="s">
        <v>294</v>
      </c>
      <c r="D262" s="4" t="str">
        <f>VLOOKUP(B262,Classification!A:D,2,FALSE)</f>
        <v>A</v>
      </c>
      <c r="E262" s="4" t="str">
        <f>VLOOKUP(B262,Classification!A:D,3,FALSE)</f>
        <v>Aminergic</v>
      </c>
      <c r="F262" s="4" t="str">
        <f>VLOOKUP(B262,Classification!A:D,4,FALSE)</f>
        <v>Acetylcholine(muscarinic)</v>
      </c>
      <c r="G262" s="2">
        <v>1</v>
      </c>
      <c r="H262" s="45" t="s">
        <v>11</v>
      </c>
      <c r="I262" s="2" t="s">
        <v>1223</v>
      </c>
      <c r="J262" s="5" t="str">
        <f>VLOOKUP(B262,Seqs!A:B,2,FALSE)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62" s="4" t="str">
        <f t="shared" si="25"/>
        <v>P</v>
      </c>
      <c r="L262" s="45">
        <f>VLOOKUP(B262,'NonXtal_SegEnds_Prot#'!A:AL,3,FALSE)</f>
        <v>22</v>
      </c>
      <c r="M262" s="45">
        <f>VLOOKUP(B262,'NonXtal_SegEnds_Prot#'!A:AL,4,FALSE)</f>
        <v>43</v>
      </c>
      <c r="N262" s="45">
        <f>VLOOKUP(B262,'NonXtal_SegEnds_Prot#'!A:AL,5,FALSE)</f>
        <v>53</v>
      </c>
      <c r="O262" s="4" t="str">
        <f t="shared" si="26"/>
        <v>N</v>
      </c>
      <c r="P262" s="4"/>
      <c r="Q262" s="47" t="str">
        <f t="shared" si="27"/>
        <v>PWQVAFIGITTGLLSLATVTG</v>
      </c>
      <c r="R262" s="28" t="str">
        <f t="shared" si="28"/>
        <v>N</v>
      </c>
      <c r="S262" s="20" t="str">
        <f t="shared" si="29"/>
        <v>LLVLISFKVN</v>
      </c>
      <c r="Z262" s="4" t="s">
        <v>78</v>
      </c>
      <c r="AD262" s="1" t="s">
        <v>12</v>
      </c>
      <c r="AE262" s="1">
        <v>22</v>
      </c>
      <c r="AF262" s="1">
        <v>43</v>
      </c>
      <c r="AG262" s="1">
        <v>53</v>
      </c>
      <c r="AH262" s="1" t="s">
        <v>13</v>
      </c>
      <c r="AK262" s="4">
        <v>29</v>
      </c>
      <c r="AL262" s="4">
        <v>60</v>
      </c>
    </row>
    <row r="263" spans="1:38" x14ac:dyDescent="0.25">
      <c r="A263" s="1" t="str">
        <f t="shared" si="24"/>
        <v>ACM1_human_5CXV_TM1</v>
      </c>
      <c r="B263" s="45" t="s">
        <v>218</v>
      </c>
      <c r="C263" s="45" t="s">
        <v>253</v>
      </c>
      <c r="D263" s="4" t="str">
        <f>VLOOKUP(B263,Classification!A:D,2,FALSE)</f>
        <v>A</v>
      </c>
      <c r="E263" s="4" t="str">
        <f>VLOOKUP(B263,Classification!A:D,3,FALSE)</f>
        <v>Aminergic</v>
      </c>
      <c r="F263" s="4" t="str">
        <f>VLOOKUP(B263,Classification!A:D,4,FALSE)</f>
        <v>Acetylcholine(muscarinic)</v>
      </c>
      <c r="G263" s="2">
        <v>1</v>
      </c>
      <c r="H263" s="45" t="s">
        <v>11</v>
      </c>
      <c r="I263" s="2" t="s">
        <v>1223</v>
      </c>
      <c r="J263" s="5" t="str">
        <f>VLOOKUP(B263,Seqs!A:B,2,FALSE)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63" s="4" t="str">
        <f t="shared" si="25"/>
        <v>P</v>
      </c>
      <c r="L263" s="45">
        <f>VLOOKUP(B263,'NonXtal_SegEnds_Prot#'!A:AL,3,FALSE)</f>
        <v>22</v>
      </c>
      <c r="M263" s="45">
        <f>VLOOKUP(B263,'NonXtal_SegEnds_Prot#'!A:AL,4,FALSE)</f>
        <v>43</v>
      </c>
      <c r="N263" s="45">
        <f>VLOOKUP(B263,'NonXtal_SegEnds_Prot#'!A:AL,5,FALSE)</f>
        <v>53</v>
      </c>
      <c r="O263" s="4" t="str">
        <f t="shared" si="26"/>
        <v>N</v>
      </c>
      <c r="P263" s="4"/>
      <c r="Q263" s="47" t="str">
        <f t="shared" si="27"/>
        <v>PWQVAFIGITTGLLSLATVTG</v>
      </c>
      <c r="R263" s="28" t="str">
        <f t="shared" si="28"/>
        <v>N</v>
      </c>
      <c r="S263" s="20" t="str">
        <f t="shared" si="29"/>
        <v>LLVLISFKVN</v>
      </c>
      <c r="Z263" s="4" t="s">
        <v>78</v>
      </c>
      <c r="AD263" s="1" t="s">
        <v>12</v>
      </c>
      <c r="AE263" s="1">
        <v>22</v>
      </c>
      <c r="AF263" s="1">
        <v>43</v>
      </c>
      <c r="AG263" s="1">
        <v>53</v>
      </c>
      <c r="AH263" s="1" t="s">
        <v>13</v>
      </c>
      <c r="AK263" s="4">
        <v>29</v>
      </c>
      <c r="AL263" s="4">
        <v>60</v>
      </c>
    </row>
    <row r="264" spans="1:38" x14ac:dyDescent="0.25">
      <c r="A264" s="1" t="str">
        <f t="shared" si="24"/>
        <v>ACM2_human__wt_TM1</v>
      </c>
      <c r="B264" s="45" t="s">
        <v>219</v>
      </c>
      <c r="C264" s="45" t="s">
        <v>294</v>
      </c>
      <c r="D264" s="4" t="str">
        <f>VLOOKUP(B264,Classification!A:D,2,FALSE)</f>
        <v>A</v>
      </c>
      <c r="E264" s="4" t="str">
        <f>VLOOKUP(B264,Classification!A:D,3,FALSE)</f>
        <v>Aminergic</v>
      </c>
      <c r="F264" s="4" t="str">
        <f>VLOOKUP(B264,Classification!A:D,4,FALSE)</f>
        <v>Acetylcholine(muscarinic)</v>
      </c>
      <c r="G264" s="2">
        <v>1</v>
      </c>
      <c r="H264" s="45" t="s">
        <v>11</v>
      </c>
      <c r="I264" s="2" t="s">
        <v>1223</v>
      </c>
      <c r="J264" s="5" t="str">
        <f>VLOOKUP(B264,Seqs!A:B,2,FALSE)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64" s="4" t="str">
        <f t="shared" si="25"/>
        <v>K</v>
      </c>
      <c r="L264" s="45">
        <f>VLOOKUP(B264,'NonXtal_SegEnds_Prot#'!A:AL,3,FALSE)</f>
        <v>19</v>
      </c>
      <c r="M264" s="45">
        <f>VLOOKUP(B264,'NonXtal_SegEnds_Prot#'!A:AL,4,FALSE)</f>
        <v>41</v>
      </c>
      <c r="N264" s="45">
        <f>VLOOKUP(B264,'NonXtal_SegEnds_Prot#'!A:AL,5,FALSE)</f>
        <v>51</v>
      </c>
      <c r="O264" s="4" t="str">
        <f t="shared" si="26"/>
        <v>N</v>
      </c>
      <c r="P264" s="4"/>
      <c r="Q264" s="47" t="str">
        <f t="shared" si="27"/>
        <v>KTFEVVFIVLVAGSLSLVTIIG</v>
      </c>
      <c r="R264" s="27" t="str">
        <f t="shared" si="28"/>
        <v>N</v>
      </c>
      <c r="S264" s="19" t="str">
        <f t="shared" si="29"/>
        <v>ILVMVSIKVN</v>
      </c>
      <c r="Z264" s="4" t="s">
        <v>78</v>
      </c>
      <c r="AD264" s="1" t="s">
        <v>65</v>
      </c>
      <c r="AE264" s="1">
        <v>19</v>
      </c>
      <c r="AF264" s="1">
        <v>41</v>
      </c>
      <c r="AG264" s="1">
        <v>51</v>
      </c>
      <c r="AH264" s="1" t="s">
        <v>13</v>
      </c>
      <c r="AK264" s="4">
        <v>28</v>
      </c>
      <c r="AL264" s="4">
        <v>60</v>
      </c>
    </row>
    <row r="265" spans="1:38" x14ac:dyDescent="0.25">
      <c r="A265" s="1" t="str">
        <f t="shared" si="24"/>
        <v>ACM2_human_3UON_TM1</v>
      </c>
      <c r="B265" s="45" t="s">
        <v>219</v>
      </c>
      <c r="C265" s="45" t="s">
        <v>270</v>
      </c>
      <c r="D265" s="4" t="str">
        <f>VLOOKUP(B265,Classification!A:D,2,FALSE)</f>
        <v>A</v>
      </c>
      <c r="E265" s="4" t="str">
        <f>VLOOKUP(B265,Classification!A:D,3,FALSE)</f>
        <v>Aminergic</v>
      </c>
      <c r="F265" s="4" t="str">
        <f>VLOOKUP(B265,Classification!A:D,4,FALSE)</f>
        <v>Acetylcholine(muscarinic)</v>
      </c>
      <c r="G265" s="2">
        <v>1</v>
      </c>
      <c r="H265" s="45" t="s">
        <v>11</v>
      </c>
      <c r="I265" s="2" t="s">
        <v>1223</v>
      </c>
      <c r="J265" s="5" t="str">
        <f>VLOOKUP(B265,Seqs!A:B,2,FALSE)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65" s="4" t="str">
        <f t="shared" si="25"/>
        <v>K</v>
      </c>
      <c r="L265" s="45">
        <f>VLOOKUP(B265,'NonXtal_SegEnds_Prot#'!A:AL,3,FALSE)</f>
        <v>19</v>
      </c>
      <c r="M265" s="45">
        <f>VLOOKUP(B265,'NonXtal_SegEnds_Prot#'!A:AL,4,FALSE)</f>
        <v>41</v>
      </c>
      <c r="N265" s="45">
        <f>VLOOKUP(B265,'NonXtal_SegEnds_Prot#'!A:AL,5,FALSE)</f>
        <v>51</v>
      </c>
      <c r="O265" s="4" t="str">
        <f t="shared" si="26"/>
        <v>N</v>
      </c>
      <c r="P265" s="26" t="s">
        <v>1227</v>
      </c>
      <c r="Q265" s="47" t="str">
        <f t="shared" si="27"/>
        <v>KTFEVVFIVLVAGSLSLVTIIG</v>
      </c>
      <c r="R265" s="28" t="str">
        <f t="shared" si="28"/>
        <v>N</v>
      </c>
      <c r="S265" s="20" t="str">
        <f t="shared" si="29"/>
        <v>ILVMVSIKVN</v>
      </c>
      <c r="Z265" s="4" t="s">
        <v>78</v>
      </c>
      <c r="AD265" s="1" t="s">
        <v>86</v>
      </c>
      <c r="AE265" s="1">
        <v>23</v>
      </c>
      <c r="AF265" s="1">
        <v>41</v>
      </c>
      <c r="AG265" s="1">
        <v>51</v>
      </c>
      <c r="AH265" s="1" t="s">
        <v>13</v>
      </c>
      <c r="AK265" s="4">
        <v>32</v>
      </c>
      <c r="AL265" s="4">
        <v>60</v>
      </c>
    </row>
    <row r="266" spans="1:38" x14ac:dyDescent="0.25">
      <c r="A266" s="1" t="str">
        <f t="shared" si="24"/>
        <v>ACM2_human_4MQS_TM1</v>
      </c>
      <c r="B266" s="45" t="s">
        <v>219</v>
      </c>
      <c r="C266" s="45" t="s">
        <v>259</v>
      </c>
      <c r="D266" s="4" t="str">
        <f>VLOOKUP(B266,Classification!A:D,2,FALSE)</f>
        <v>A</v>
      </c>
      <c r="E266" s="4" t="str">
        <f>VLOOKUP(B266,Classification!A:D,3,FALSE)</f>
        <v>Aminergic</v>
      </c>
      <c r="F266" s="4" t="str">
        <f>VLOOKUP(B266,Classification!A:D,4,FALSE)</f>
        <v>Acetylcholine(muscarinic)</v>
      </c>
      <c r="G266" s="2">
        <v>1</v>
      </c>
      <c r="H266" s="45" t="s">
        <v>11</v>
      </c>
      <c r="I266" s="2" t="s">
        <v>1223</v>
      </c>
      <c r="J266" s="5" t="str">
        <f>VLOOKUP(B266,Seqs!A:B,2,FALSE)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66" s="4" t="str">
        <f t="shared" si="25"/>
        <v>K</v>
      </c>
      <c r="L266" s="45">
        <f>VLOOKUP(B266,'NonXtal_SegEnds_Prot#'!A:AL,3,FALSE)</f>
        <v>19</v>
      </c>
      <c r="M266" s="45">
        <f>VLOOKUP(B266,'NonXtal_SegEnds_Prot#'!A:AL,4,FALSE)</f>
        <v>41</v>
      </c>
      <c r="N266" s="45">
        <f>VLOOKUP(B266,'NonXtal_SegEnds_Prot#'!A:AL,5,FALSE)</f>
        <v>51</v>
      </c>
      <c r="O266" s="4" t="str">
        <f t="shared" si="26"/>
        <v>N</v>
      </c>
      <c r="P266" s="4"/>
      <c r="Q266" s="47" t="str">
        <f t="shared" si="27"/>
        <v>KTFEVVFIVLVAGSLSLVTIIG</v>
      </c>
      <c r="R266" s="28" t="str">
        <f t="shared" si="28"/>
        <v>N</v>
      </c>
      <c r="S266" s="20" t="str">
        <f t="shared" si="29"/>
        <v>ILVMVSIKVN</v>
      </c>
      <c r="Z266" s="4" t="s">
        <v>64</v>
      </c>
      <c r="AD266" s="1" t="s">
        <v>65</v>
      </c>
      <c r="AE266" s="1">
        <v>19</v>
      </c>
      <c r="AF266" s="1">
        <v>41</v>
      </c>
      <c r="AG266" s="1">
        <v>51</v>
      </c>
      <c r="AH266" s="1" t="s">
        <v>13</v>
      </c>
      <c r="AK266" s="4">
        <v>28</v>
      </c>
      <c r="AL266" s="4">
        <v>60</v>
      </c>
    </row>
    <row r="267" spans="1:38" x14ac:dyDescent="0.25">
      <c r="A267" s="1" t="str">
        <f t="shared" si="24"/>
        <v>ACM3_rat__wt_TM1</v>
      </c>
      <c r="B267" s="45" t="s">
        <v>236</v>
      </c>
      <c r="C267" s="45" t="s">
        <v>294</v>
      </c>
      <c r="D267" s="4" t="str">
        <f>VLOOKUP(B267,Classification!A:D,2,FALSE)</f>
        <v>A</v>
      </c>
      <c r="E267" s="4" t="str">
        <f>VLOOKUP(B267,Classification!A:D,3,FALSE)</f>
        <v>Aminergic</v>
      </c>
      <c r="F267" s="4" t="str">
        <f>VLOOKUP(B267,Classification!A:D,4,FALSE)</f>
        <v>Acetylcholine(muscarinic)</v>
      </c>
      <c r="G267" s="2">
        <v>1</v>
      </c>
      <c r="H267" s="45" t="s">
        <v>11</v>
      </c>
      <c r="I267" s="2" t="s">
        <v>1223</v>
      </c>
      <c r="J267" s="5" t="str">
        <f>VLOOKUP(B267,Seqs!A:B,2,FALSE)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67" s="4" t="str">
        <f t="shared" si="25"/>
        <v>I</v>
      </c>
      <c r="L267" s="45">
        <f>VLOOKUP(B267,'NonXtal_SegEnds_Prot#'!A:AL,3,FALSE)</f>
        <v>64</v>
      </c>
      <c r="M267" s="45">
        <f>VLOOKUP(B267,'NonXtal_SegEnds_Prot#'!A:AL,4,FALSE)</f>
        <v>85</v>
      </c>
      <c r="N267" s="45">
        <f>VLOOKUP(B267,'NonXtal_SegEnds_Prot#'!A:AL,5,FALSE)</f>
        <v>95</v>
      </c>
      <c r="O267" s="4" t="str">
        <f t="shared" si="26"/>
        <v>N</v>
      </c>
      <c r="P267" s="4"/>
      <c r="Q267" s="47" t="str">
        <f t="shared" si="27"/>
        <v>IWQVVFIAFLTGFLALVTIIG</v>
      </c>
      <c r="R267" s="28" t="str">
        <f t="shared" si="28"/>
        <v>N</v>
      </c>
      <c r="S267" s="20" t="str">
        <f t="shared" si="29"/>
        <v>ILVIVAFKVN</v>
      </c>
      <c r="Z267" s="4"/>
      <c r="AD267" s="1" t="s">
        <v>12</v>
      </c>
      <c r="AE267" s="1">
        <v>64</v>
      </c>
      <c r="AF267" s="1">
        <v>85</v>
      </c>
      <c r="AG267" s="1">
        <v>95</v>
      </c>
      <c r="AH267" s="1" t="s">
        <v>13</v>
      </c>
      <c r="AK267" s="4">
        <v>29</v>
      </c>
      <c r="AL267" s="4">
        <v>60</v>
      </c>
    </row>
    <row r="268" spans="1:38" x14ac:dyDescent="0.25">
      <c r="A268" s="1" t="str">
        <f t="shared" si="24"/>
        <v>ACM3_rat_4U15_TM1</v>
      </c>
      <c r="B268" s="45" t="s">
        <v>236</v>
      </c>
      <c r="C268" s="45" t="s">
        <v>262</v>
      </c>
      <c r="D268" s="4" t="str">
        <f>VLOOKUP(B268,Classification!A:D,2,FALSE)</f>
        <v>A</v>
      </c>
      <c r="E268" s="4" t="str">
        <f>VLOOKUP(B268,Classification!A:D,3,FALSE)</f>
        <v>Aminergic</v>
      </c>
      <c r="F268" s="4" t="str">
        <f>VLOOKUP(B268,Classification!A:D,4,FALSE)</f>
        <v>Acetylcholine(muscarinic)</v>
      </c>
      <c r="G268" s="2">
        <v>1</v>
      </c>
      <c r="H268" s="45" t="s">
        <v>11</v>
      </c>
      <c r="I268" s="2" t="s">
        <v>1223</v>
      </c>
      <c r="J268" s="5" t="str">
        <f>VLOOKUP(B268,Seqs!A:B,2,FALSE)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68" s="4" t="str">
        <f t="shared" si="25"/>
        <v>I</v>
      </c>
      <c r="L268" s="45">
        <f>VLOOKUP(B268,'NonXtal_SegEnds_Prot#'!A:AL,3,FALSE)</f>
        <v>64</v>
      </c>
      <c r="M268" s="45">
        <f>VLOOKUP(B268,'NonXtal_SegEnds_Prot#'!A:AL,4,FALSE)</f>
        <v>85</v>
      </c>
      <c r="N268" s="45">
        <f>VLOOKUP(B268,'NonXtal_SegEnds_Prot#'!A:AL,5,FALSE)</f>
        <v>95</v>
      </c>
      <c r="O268" s="4" t="str">
        <f t="shared" si="26"/>
        <v>N</v>
      </c>
      <c r="P268" s="4"/>
      <c r="Q268" s="47" t="str">
        <f t="shared" si="27"/>
        <v>IWQVVFIAFLTGFLALVTIIG</v>
      </c>
      <c r="R268" s="28" t="str">
        <f t="shared" si="28"/>
        <v>N</v>
      </c>
      <c r="S268" s="20" t="str">
        <f t="shared" si="29"/>
        <v>ILVIVAFKVN</v>
      </c>
      <c r="Z268" s="4"/>
      <c r="AD268" s="1" t="s">
        <v>12</v>
      </c>
      <c r="AE268" s="1">
        <v>64</v>
      </c>
      <c r="AF268" s="1">
        <v>85</v>
      </c>
      <c r="AG268" s="1">
        <v>95</v>
      </c>
      <c r="AH268" s="1" t="s">
        <v>13</v>
      </c>
      <c r="AK268" s="4">
        <v>29</v>
      </c>
      <c r="AL268" s="4">
        <v>60</v>
      </c>
    </row>
    <row r="269" spans="1:38" x14ac:dyDescent="0.25">
      <c r="A269" s="1" t="str">
        <f t="shared" si="24"/>
        <v>ACM4_human__wt_TM1</v>
      </c>
      <c r="B269" s="45" t="s">
        <v>220</v>
      </c>
      <c r="C269" s="45" t="s">
        <v>294</v>
      </c>
      <c r="D269" s="4" t="str">
        <f>VLOOKUP(B269,Classification!A:D,2,FALSE)</f>
        <v>A</v>
      </c>
      <c r="E269" s="4" t="str">
        <f>VLOOKUP(B269,Classification!A:D,3,FALSE)</f>
        <v>Aminergic</v>
      </c>
      <c r="F269" s="4" t="str">
        <f>VLOOKUP(B269,Classification!A:D,4,FALSE)</f>
        <v>Acetylcholine(muscarinic)</v>
      </c>
      <c r="G269" s="2">
        <v>1</v>
      </c>
      <c r="H269" s="45" t="s">
        <v>11</v>
      </c>
      <c r="I269" s="2" t="s">
        <v>1223</v>
      </c>
      <c r="J269" s="5" t="str">
        <f>VLOOKUP(B269,Seqs!A:B,2,FALSE)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69" s="4" t="str">
        <f t="shared" si="25"/>
        <v>R</v>
      </c>
      <c r="L269" s="45">
        <f>VLOOKUP(B269,'NonXtal_SegEnds_Prot#'!A:AL,3,FALSE)</f>
        <v>26</v>
      </c>
      <c r="M269" s="45">
        <f>VLOOKUP(B269,'NonXtal_SegEnds_Prot#'!A:AL,4,FALSE)</f>
        <v>50</v>
      </c>
      <c r="N269" s="45">
        <f>VLOOKUP(B269,'NonXtal_SegEnds_Prot#'!A:AL,5,FALSE)</f>
        <v>60</v>
      </c>
      <c r="O269" s="4" t="str">
        <f t="shared" si="26"/>
        <v>N</v>
      </c>
      <c r="P269" s="4"/>
      <c r="Q269" s="47" t="str">
        <f t="shared" si="27"/>
        <v>RYETVEMVFIATVTGSLSLVTVVG</v>
      </c>
      <c r="R269" s="28" t="str">
        <f t="shared" si="28"/>
        <v>N</v>
      </c>
      <c r="S269" s="20" t="str">
        <f t="shared" si="29"/>
        <v>ILVMLSIKVN</v>
      </c>
      <c r="Z269" s="4" t="s">
        <v>78</v>
      </c>
      <c r="AD269" s="1" t="s">
        <v>89</v>
      </c>
      <c r="AE269" s="1">
        <v>26</v>
      </c>
      <c r="AF269" s="1">
        <v>50</v>
      </c>
      <c r="AG269" s="1">
        <v>60</v>
      </c>
      <c r="AH269" s="1" t="s">
        <v>13</v>
      </c>
      <c r="AK269" s="4">
        <v>26</v>
      </c>
      <c r="AL269" s="4">
        <v>60</v>
      </c>
    </row>
    <row r="270" spans="1:38" x14ac:dyDescent="0.25">
      <c r="A270" s="1" t="str">
        <f t="shared" si="24"/>
        <v>ACM4_human_5DSG_TM1</v>
      </c>
      <c r="B270" s="45" t="s">
        <v>220</v>
      </c>
      <c r="C270" s="45" t="s">
        <v>252</v>
      </c>
      <c r="D270" s="4" t="str">
        <f>VLOOKUP(B270,Classification!A:D,2,FALSE)</f>
        <v>A</v>
      </c>
      <c r="E270" s="4" t="str">
        <f>VLOOKUP(B270,Classification!A:D,3,FALSE)</f>
        <v>Aminergic</v>
      </c>
      <c r="F270" s="4" t="str">
        <f>VLOOKUP(B270,Classification!A:D,4,FALSE)</f>
        <v>Acetylcholine(muscarinic)</v>
      </c>
      <c r="G270" s="2">
        <v>1</v>
      </c>
      <c r="H270" s="45" t="s">
        <v>11</v>
      </c>
      <c r="I270" s="2" t="s">
        <v>1223</v>
      </c>
      <c r="J270" s="5" t="str">
        <f>VLOOKUP(B270,Seqs!A:B,2,FALSE)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70" s="4" t="str">
        <f t="shared" si="25"/>
        <v>R</v>
      </c>
      <c r="L270" s="45">
        <f>VLOOKUP(B270,'NonXtal_SegEnds_Prot#'!A:AL,3,FALSE)</f>
        <v>26</v>
      </c>
      <c r="M270" s="45">
        <f>VLOOKUP(B270,'NonXtal_SegEnds_Prot#'!A:AL,4,FALSE)</f>
        <v>50</v>
      </c>
      <c r="N270" s="45">
        <f>VLOOKUP(B270,'NonXtal_SegEnds_Prot#'!A:AL,5,FALSE)</f>
        <v>60</v>
      </c>
      <c r="O270" s="4" t="str">
        <f t="shared" si="26"/>
        <v>N</v>
      </c>
      <c r="P270" s="4"/>
      <c r="Q270" s="47" t="str">
        <f t="shared" si="27"/>
        <v>RYETVEMVFIATVTGSLSLVTVVG</v>
      </c>
      <c r="R270" s="28" t="str">
        <f t="shared" si="28"/>
        <v>N</v>
      </c>
      <c r="S270" s="20" t="str">
        <f t="shared" si="29"/>
        <v>ILVMLSIKVN</v>
      </c>
      <c r="Z270" s="4" t="s">
        <v>78</v>
      </c>
      <c r="AD270" s="1" t="s">
        <v>89</v>
      </c>
      <c r="AE270" s="1">
        <v>26</v>
      </c>
      <c r="AF270" s="1">
        <v>50</v>
      </c>
      <c r="AG270" s="1">
        <v>60</v>
      </c>
      <c r="AH270" s="1" t="s">
        <v>13</v>
      </c>
      <c r="AK270" s="4">
        <v>26</v>
      </c>
      <c r="AL270" s="4">
        <v>60</v>
      </c>
    </row>
    <row r="271" spans="1:38" x14ac:dyDescent="0.25">
      <c r="A271" s="1" t="str">
        <f t="shared" si="24"/>
        <v>ADRB1_melga__wt_TM1</v>
      </c>
      <c r="B271" s="45" t="s">
        <v>235</v>
      </c>
      <c r="C271" s="45" t="s">
        <v>294</v>
      </c>
      <c r="D271" s="4" t="str">
        <f>VLOOKUP(B271,Classification!A:D,2,FALSE)</f>
        <v>A</v>
      </c>
      <c r="E271" s="4" t="str">
        <f>VLOOKUP(B271,Classification!A:D,3,FALSE)</f>
        <v>Aminergic</v>
      </c>
      <c r="F271" s="4" t="str">
        <f>VLOOKUP(B271,Classification!A:D,4,FALSE)</f>
        <v>Adrenoceptors</v>
      </c>
      <c r="G271" s="2">
        <v>1</v>
      </c>
      <c r="H271" s="45" t="s">
        <v>11</v>
      </c>
      <c r="I271" s="2" t="s">
        <v>1223</v>
      </c>
      <c r="J271" s="5" t="str">
        <f>VLOOKUP(B271,Seqs!A:B,2,FALSE)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1" s="4" t="s">
        <v>1221</v>
      </c>
      <c r="L271" s="45">
        <f>VLOOKUP(B271,'NonXtal_SegEnds_Prot#'!A:AL,3,FALSE)</f>
        <v>33</v>
      </c>
      <c r="M271" s="45">
        <f>VLOOKUP(B271,'NonXtal_SegEnds_Prot#'!A:AL,4,FALSE)</f>
        <v>59</v>
      </c>
      <c r="N271" s="45">
        <f>VLOOKUP(B271,'NonXtal_SegEnds_Prot#'!A:AL,5,FALSE)</f>
        <v>69</v>
      </c>
      <c r="O271" s="4" t="str">
        <f t="shared" si="26"/>
        <v>T</v>
      </c>
      <c r="P271" s="4"/>
      <c r="Q271" s="47" t="str">
        <f t="shared" si="27"/>
        <v>AELLSQQWEAGMSLLMALVVLLIVAG</v>
      </c>
      <c r="R271" s="27" t="str">
        <f t="shared" si="28"/>
        <v>N</v>
      </c>
      <c r="S271" s="19" t="str">
        <f t="shared" si="29"/>
        <v>VLVIAAIGRT</v>
      </c>
      <c r="Z271" s="4"/>
      <c r="AD271" s="1" t="s">
        <v>65</v>
      </c>
      <c r="AE271" s="1">
        <v>32</v>
      </c>
      <c r="AF271" s="1">
        <v>59</v>
      </c>
      <c r="AG271" s="1">
        <v>69</v>
      </c>
      <c r="AH271" s="1" t="s">
        <v>13</v>
      </c>
      <c r="AK271" s="4">
        <v>28</v>
      </c>
      <c r="AL271" s="4">
        <v>60</v>
      </c>
    </row>
    <row r="272" spans="1:38" x14ac:dyDescent="0.25">
      <c r="A272" s="1" t="str">
        <f t="shared" si="24"/>
        <v>ADRB1_melga_2Y02_TM1</v>
      </c>
      <c r="B272" s="45" t="s">
        <v>235</v>
      </c>
      <c r="C272" s="45" t="s">
        <v>1230</v>
      </c>
      <c r="D272" s="4" t="str">
        <f>VLOOKUP(B272,Classification!A:D,2,FALSE)</f>
        <v>A</v>
      </c>
      <c r="E272" s="4" t="str">
        <f>VLOOKUP(B272,Classification!A:D,3,FALSE)</f>
        <v>Aminergic</v>
      </c>
      <c r="F272" s="4" t="str">
        <f>VLOOKUP(B272,Classification!A:D,4,FALSE)</f>
        <v>Adrenoceptors</v>
      </c>
      <c r="G272" s="2">
        <v>1</v>
      </c>
      <c r="H272" s="45" t="s">
        <v>11</v>
      </c>
      <c r="I272" s="2" t="s">
        <v>1223</v>
      </c>
      <c r="J272" s="5" t="str">
        <f>VLOOKUP(B272,Seqs!A:B,2,FALSE)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2" s="4" t="str">
        <f t="shared" ref="K272:K335" si="30">MID(J272,L272,1)</f>
        <v>A</v>
      </c>
      <c r="L272" s="45">
        <f>VLOOKUP(B272,'NonXtal_SegEnds_Prot#'!A:AL,3,FALSE)</f>
        <v>33</v>
      </c>
      <c r="M272" s="45">
        <f>VLOOKUP(B272,'NonXtal_SegEnds_Prot#'!A:AL,4,FALSE)</f>
        <v>59</v>
      </c>
      <c r="N272" s="45">
        <f>VLOOKUP(B272,'NonXtal_SegEnds_Prot#'!A:AL,5,FALSE)</f>
        <v>69</v>
      </c>
      <c r="O272" s="4" t="str">
        <f t="shared" si="26"/>
        <v>T</v>
      </c>
      <c r="P272" s="4"/>
      <c r="Q272" s="47" t="str">
        <f t="shared" si="27"/>
        <v>AELLSQQWEAGMSLLMALVVLLIVAG</v>
      </c>
      <c r="R272" s="27" t="str">
        <f t="shared" si="28"/>
        <v>N</v>
      </c>
      <c r="S272" s="19" t="str">
        <f t="shared" si="29"/>
        <v>VLVIAAIGRT</v>
      </c>
      <c r="Z272" s="4"/>
      <c r="AD272" s="1" t="s">
        <v>65</v>
      </c>
      <c r="AE272" s="1">
        <v>37</v>
      </c>
      <c r="AF272" s="1">
        <v>59</v>
      </c>
      <c r="AG272" s="1">
        <v>69</v>
      </c>
      <c r="AH272" s="1" t="s">
        <v>13</v>
      </c>
      <c r="AK272" s="4">
        <v>28</v>
      </c>
      <c r="AL272" s="4">
        <v>60</v>
      </c>
    </row>
    <row r="273" spans="1:38" x14ac:dyDescent="0.25">
      <c r="A273" s="1" t="str">
        <f t="shared" si="24"/>
        <v>ADRB1_melga_2YCW_TM1</v>
      </c>
      <c r="B273" s="45" t="s">
        <v>235</v>
      </c>
      <c r="C273" s="45" t="s">
        <v>1233</v>
      </c>
      <c r="D273" s="4" t="str">
        <f>VLOOKUP(B273,Classification!A:D,2,FALSE)</f>
        <v>A</v>
      </c>
      <c r="E273" s="4" t="str">
        <f>VLOOKUP(B273,Classification!A:D,3,FALSE)</f>
        <v>Aminergic</v>
      </c>
      <c r="F273" s="4" t="str">
        <f>VLOOKUP(B273,Classification!A:D,4,FALSE)</f>
        <v>Adrenoceptors</v>
      </c>
      <c r="G273" s="2">
        <v>1</v>
      </c>
      <c r="H273" s="45" t="s">
        <v>11</v>
      </c>
      <c r="I273" s="2" t="s">
        <v>1223</v>
      </c>
      <c r="J273" s="5" t="str">
        <f>VLOOKUP(B273,Seqs!A:B,2,FALSE)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3" s="4" t="str">
        <f t="shared" si="30"/>
        <v>A</v>
      </c>
      <c r="L273" s="45">
        <f>VLOOKUP(B273,'NonXtal_SegEnds_Prot#'!A:AL,3,FALSE)</f>
        <v>33</v>
      </c>
      <c r="M273" s="45">
        <f>VLOOKUP(B273,'NonXtal_SegEnds_Prot#'!A:AL,4,FALSE)</f>
        <v>59</v>
      </c>
      <c r="N273" s="45">
        <f>VLOOKUP(B273,'NonXtal_SegEnds_Prot#'!A:AL,5,FALSE)</f>
        <v>69</v>
      </c>
      <c r="O273" s="4" t="str">
        <f t="shared" si="26"/>
        <v>T</v>
      </c>
      <c r="P273" s="4"/>
      <c r="Q273" s="47" t="str">
        <f t="shared" si="27"/>
        <v>AELLSQQWEAGMSLLMALVVLLIVAG</v>
      </c>
      <c r="R273" s="27" t="str">
        <f t="shared" si="28"/>
        <v>N</v>
      </c>
      <c r="S273" s="19" t="str">
        <f t="shared" si="29"/>
        <v>VLVIAAIGRT</v>
      </c>
      <c r="Z273" s="4"/>
      <c r="AD273" s="1" t="s">
        <v>65</v>
      </c>
      <c r="AE273" s="1">
        <v>37</v>
      </c>
      <c r="AF273" s="1">
        <v>59</v>
      </c>
      <c r="AG273" s="1">
        <v>69</v>
      </c>
      <c r="AH273" s="1" t="s">
        <v>13</v>
      </c>
      <c r="AK273" s="4">
        <v>28</v>
      </c>
      <c r="AL273" s="4">
        <v>60</v>
      </c>
    </row>
    <row r="274" spans="1:38" x14ac:dyDescent="0.25">
      <c r="A274" s="1" t="str">
        <f t="shared" si="24"/>
        <v>ADRB1_melga_4BVN_TM1</v>
      </c>
      <c r="B274" s="45" t="s">
        <v>235</v>
      </c>
      <c r="C274" s="45" t="s">
        <v>273</v>
      </c>
      <c r="D274" s="4" t="str">
        <f>VLOOKUP(B274,Classification!A:D,2,FALSE)</f>
        <v>A</v>
      </c>
      <c r="E274" s="4" t="str">
        <f>VLOOKUP(B274,Classification!A:D,3,FALSE)</f>
        <v>Aminergic</v>
      </c>
      <c r="F274" s="4" t="str">
        <f>VLOOKUP(B274,Classification!A:D,4,FALSE)</f>
        <v>Adrenoceptors</v>
      </c>
      <c r="G274" s="2">
        <v>1</v>
      </c>
      <c r="H274" s="45" t="s">
        <v>11</v>
      </c>
      <c r="I274" s="2" t="s">
        <v>1223</v>
      </c>
      <c r="J274" s="5" t="str">
        <f>VLOOKUP(B274,Seqs!A:B,2,FALSE)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4" s="4" t="str">
        <f t="shared" si="30"/>
        <v>A</v>
      </c>
      <c r="L274" s="45">
        <f>VLOOKUP(B274,'NonXtal_SegEnds_Prot#'!A:AL,3,FALSE)</f>
        <v>33</v>
      </c>
      <c r="M274" s="45">
        <f>VLOOKUP(B274,'NonXtal_SegEnds_Prot#'!A:AL,4,FALSE)</f>
        <v>59</v>
      </c>
      <c r="N274" s="45">
        <f>VLOOKUP(B274,'NonXtal_SegEnds_Prot#'!A:AL,5,FALSE)</f>
        <v>69</v>
      </c>
      <c r="O274" s="4" t="str">
        <f t="shared" si="26"/>
        <v>T</v>
      </c>
      <c r="P274" s="4"/>
      <c r="Q274" s="47" t="str">
        <f t="shared" si="27"/>
        <v>AELLSQQWEAGMSLLMALVVLLIVAG</v>
      </c>
      <c r="R274" s="27" t="str">
        <f t="shared" si="28"/>
        <v>N</v>
      </c>
      <c r="S274" s="19" t="str">
        <f t="shared" si="29"/>
        <v>VLVIAAIGRT</v>
      </c>
      <c r="Z274" s="4"/>
      <c r="AD274" s="1" t="s">
        <v>65</v>
      </c>
      <c r="AE274" s="1">
        <v>37</v>
      </c>
      <c r="AF274" s="1">
        <v>59</v>
      </c>
      <c r="AG274" s="1">
        <v>69</v>
      </c>
      <c r="AH274" s="1" t="s">
        <v>13</v>
      </c>
      <c r="AK274" s="4">
        <v>28</v>
      </c>
      <c r="AL274" s="4">
        <v>60</v>
      </c>
    </row>
    <row r="275" spans="1:38" x14ac:dyDescent="0.25">
      <c r="A275" s="1" t="str">
        <f t="shared" si="24"/>
        <v>ADRB2_human__wt_TM1</v>
      </c>
      <c r="B275" s="54" t="s">
        <v>211</v>
      </c>
      <c r="C275" s="54" t="s">
        <v>294</v>
      </c>
      <c r="D275" s="4" t="str">
        <f>VLOOKUP(B275,Classification!A:D,2,FALSE)</f>
        <v>A</v>
      </c>
      <c r="E275" s="4" t="str">
        <f>VLOOKUP(B275,Classification!A:D,3,FALSE)</f>
        <v>Aminergic</v>
      </c>
      <c r="F275" s="4" t="str">
        <f>VLOOKUP(B275,Classification!A:D,4,FALSE)</f>
        <v>Adrenoceptors</v>
      </c>
      <c r="G275" s="2">
        <v>1</v>
      </c>
      <c r="H275" s="45" t="s">
        <v>11</v>
      </c>
      <c r="I275" s="2" t="s">
        <v>1223</v>
      </c>
      <c r="J275" s="5" t="str">
        <f>VLOOKUP(B275,Seqs!A:B,2,FALSE)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5" s="4" t="str">
        <f t="shared" si="30"/>
        <v>Q</v>
      </c>
      <c r="L275" s="45">
        <f>VLOOKUP(B275,'NonXtal_SegEnds_Prot#'!A:AL,3,FALSE)</f>
        <v>26</v>
      </c>
      <c r="M275" s="45">
        <f>VLOOKUP(B275,'NonXtal_SegEnds_Prot#'!A:AL,4,FALSE)</f>
        <v>51</v>
      </c>
      <c r="N275" s="45">
        <f>VLOOKUP(B275,'NonXtal_SegEnds_Prot#'!A:AL,5,FALSE)</f>
        <v>61</v>
      </c>
      <c r="O275" s="4" t="str">
        <f t="shared" si="26"/>
        <v>F</v>
      </c>
      <c r="P275" s="4"/>
      <c r="Q275" s="47" t="str">
        <f t="shared" si="27"/>
        <v>QERDEVWVVGMGIVMSLIVLAIVFG</v>
      </c>
      <c r="R275" s="28" t="str">
        <f t="shared" si="28"/>
        <v>N</v>
      </c>
      <c r="S275" s="20" t="str">
        <f t="shared" si="29"/>
        <v>VLVITAIAKF</v>
      </c>
      <c r="Z275" s="4" t="s">
        <v>64</v>
      </c>
      <c r="AD275" s="1" t="s">
        <v>92</v>
      </c>
      <c r="AE275" s="1">
        <v>32</v>
      </c>
      <c r="AF275" s="1">
        <v>51</v>
      </c>
      <c r="AG275" s="1">
        <v>61</v>
      </c>
      <c r="AH275" s="1" t="s">
        <v>13</v>
      </c>
      <c r="AK275" s="4">
        <v>31</v>
      </c>
      <c r="AL275" s="4">
        <v>60</v>
      </c>
    </row>
    <row r="276" spans="1:38" x14ac:dyDescent="0.25">
      <c r="A276" s="1" t="str">
        <f t="shared" si="24"/>
        <v>ADRB2_human_3D4S_TM1</v>
      </c>
      <c r="B276" s="45" t="s">
        <v>211</v>
      </c>
      <c r="C276" s="45" t="s">
        <v>267</v>
      </c>
      <c r="D276" s="4" t="str">
        <f>VLOOKUP(B276,Classification!A:D,2,FALSE)</f>
        <v>A</v>
      </c>
      <c r="E276" s="4" t="str">
        <f>VLOOKUP(B276,Classification!A:D,3,FALSE)</f>
        <v>Aminergic</v>
      </c>
      <c r="F276" s="4" t="str">
        <f>VLOOKUP(B276,Classification!A:D,4,FALSE)</f>
        <v>Adrenoceptors</v>
      </c>
      <c r="G276" s="2">
        <v>1</v>
      </c>
      <c r="H276" s="45" t="s">
        <v>11</v>
      </c>
      <c r="I276" s="2" t="s">
        <v>1223</v>
      </c>
      <c r="J276" s="5" t="str">
        <f>VLOOKUP(B276,Seqs!A:B,2,FALSE)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6" s="4" t="str">
        <f t="shared" si="30"/>
        <v>Q</v>
      </c>
      <c r="L276" s="45">
        <f>VLOOKUP(B276,'NonXtal_SegEnds_Prot#'!A:AL,3,FALSE)</f>
        <v>26</v>
      </c>
      <c r="M276" s="45">
        <f>VLOOKUP(B276,'NonXtal_SegEnds_Prot#'!A:AL,4,FALSE)</f>
        <v>51</v>
      </c>
      <c r="N276" s="45">
        <f>VLOOKUP(B276,'NonXtal_SegEnds_Prot#'!A:AL,5,FALSE)</f>
        <v>61</v>
      </c>
      <c r="O276" s="4" t="str">
        <f t="shared" si="26"/>
        <v>F</v>
      </c>
      <c r="P276" s="4"/>
      <c r="Q276" s="47" t="str">
        <f t="shared" si="27"/>
        <v>QERDEVWVVGMGIVMSLIVLAIVFG</v>
      </c>
      <c r="R276" s="28" t="str">
        <f t="shared" si="28"/>
        <v>N</v>
      </c>
      <c r="S276" s="20" t="str">
        <f t="shared" si="29"/>
        <v>VLVITAIAKF</v>
      </c>
      <c r="Z276" s="4"/>
      <c r="AD276" s="1" t="s">
        <v>92</v>
      </c>
      <c r="AE276" s="1">
        <v>32</v>
      </c>
      <c r="AF276" s="1">
        <v>51</v>
      </c>
      <c r="AG276" s="1">
        <v>61</v>
      </c>
      <c r="AH276" s="1" t="s">
        <v>13</v>
      </c>
      <c r="AK276" s="4">
        <v>31</v>
      </c>
      <c r="AL276" s="4">
        <v>60</v>
      </c>
    </row>
    <row r="277" spans="1:38" x14ac:dyDescent="0.25">
      <c r="A277" s="1" t="str">
        <f t="shared" si="24"/>
        <v>ADRB2_human_3P0G_TM1</v>
      </c>
      <c r="B277" s="45" t="s">
        <v>211</v>
      </c>
      <c r="C277" s="45" t="s">
        <v>257</v>
      </c>
      <c r="D277" s="4" t="str">
        <f>VLOOKUP(B277,Classification!A:D,2,FALSE)</f>
        <v>A</v>
      </c>
      <c r="E277" s="4" t="str">
        <f>VLOOKUP(B277,Classification!A:D,3,FALSE)</f>
        <v>Aminergic</v>
      </c>
      <c r="F277" s="4" t="str">
        <f>VLOOKUP(B277,Classification!A:D,4,FALSE)</f>
        <v>Adrenoceptors</v>
      </c>
      <c r="G277" s="2">
        <v>1</v>
      </c>
      <c r="H277" s="45" t="s">
        <v>11</v>
      </c>
      <c r="I277" s="2" t="s">
        <v>1223</v>
      </c>
      <c r="J277" s="5" t="str">
        <f>VLOOKUP(B277,Seqs!A:B,2,FALSE)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7" s="4" t="str">
        <f t="shared" si="30"/>
        <v>Q</v>
      </c>
      <c r="L277" s="45">
        <f>VLOOKUP(B277,'NonXtal_SegEnds_Prot#'!A:AL,3,FALSE)</f>
        <v>26</v>
      </c>
      <c r="M277" s="45">
        <f>VLOOKUP(B277,'NonXtal_SegEnds_Prot#'!A:AL,4,FALSE)</f>
        <v>51</v>
      </c>
      <c r="N277" s="45">
        <f>VLOOKUP(B277,'NonXtal_SegEnds_Prot#'!A:AL,5,FALSE)</f>
        <v>61</v>
      </c>
      <c r="O277" s="4" t="str">
        <f t="shared" si="26"/>
        <v>F</v>
      </c>
      <c r="P277" s="4"/>
      <c r="Q277" s="47" t="str">
        <f t="shared" si="27"/>
        <v>QERDEVWVVGMGIVMSLIVLAIVFG</v>
      </c>
      <c r="R277" s="28" t="str">
        <f t="shared" si="28"/>
        <v>N</v>
      </c>
      <c r="S277" s="20" t="str">
        <f t="shared" si="29"/>
        <v>VLVITAIAKF</v>
      </c>
      <c r="Z277" s="4"/>
      <c r="AD277" s="1" t="s">
        <v>65</v>
      </c>
      <c r="AE277" s="1">
        <v>29</v>
      </c>
      <c r="AF277" s="1">
        <v>51</v>
      </c>
      <c r="AG277" s="1">
        <v>61</v>
      </c>
      <c r="AH277" s="1" t="s">
        <v>13</v>
      </c>
      <c r="AK277" s="4">
        <v>28</v>
      </c>
      <c r="AL277" s="4">
        <v>60</v>
      </c>
    </row>
    <row r="278" spans="1:38" x14ac:dyDescent="0.25">
      <c r="A278" s="1" t="str">
        <f t="shared" si="24"/>
        <v>ADRB2_human_3SN6_TM1</v>
      </c>
      <c r="B278" s="54" t="s">
        <v>211</v>
      </c>
      <c r="C278" s="54" t="s">
        <v>277</v>
      </c>
      <c r="D278" s="4" t="str">
        <f>VLOOKUP(B278,Classification!A:D,2,FALSE)</f>
        <v>A</v>
      </c>
      <c r="E278" s="4" t="str">
        <f>VLOOKUP(B278,Classification!A:D,3,FALSE)</f>
        <v>Aminergic</v>
      </c>
      <c r="F278" s="4" t="str">
        <f>VLOOKUP(B278,Classification!A:D,4,FALSE)</f>
        <v>Adrenoceptors</v>
      </c>
      <c r="G278" s="2">
        <v>1</v>
      </c>
      <c r="H278" s="45" t="s">
        <v>11</v>
      </c>
      <c r="I278" s="2" t="s">
        <v>1223</v>
      </c>
      <c r="J278" s="5" t="str">
        <f>VLOOKUP(B278,Seqs!A:B,2,FALSE)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8" s="4" t="str">
        <f t="shared" si="30"/>
        <v>Q</v>
      </c>
      <c r="L278" s="45">
        <f>VLOOKUP(B278,'NonXtal_SegEnds_Prot#'!A:AL,3,FALSE)</f>
        <v>26</v>
      </c>
      <c r="M278" s="45">
        <f>VLOOKUP(B278,'NonXtal_SegEnds_Prot#'!A:AL,4,FALSE)</f>
        <v>51</v>
      </c>
      <c r="N278" s="45">
        <f>VLOOKUP(B278,'NonXtal_SegEnds_Prot#'!A:AL,5,FALSE)</f>
        <v>61</v>
      </c>
      <c r="O278" s="4" t="str">
        <f t="shared" si="26"/>
        <v>F</v>
      </c>
      <c r="P278" s="4"/>
      <c r="Q278" s="47" t="str">
        <f t="shared" si="27"/>
        <v>QERDEVWVVGMGIVMSLIVLAIVFG</v>
      </c>
      <c r="R278" s="27" t="str">
        <f t="shared" si="28"/>
        <v>N</v>
      </c>
      <c r="S278" s="19" t="str">
        <f t="shared" si="29"/>
        <v>VLVITAIAKF</v>
      </c>
      <c r="Z278" s="4" t="s">
        <v>64</v>
      </c>
      <c r="AD278" s="1" t="s">
        <v>92</v>
      </c>
      <c r="AE278" s="1">
        <v>32</v>
      </c>
      <c r="AF278" s="1">
        <v>51</v>
      </c>
      <c r="AG278" s="1">
        <v>61</v>
      </c>
      <c r="AH278" s="1" t="s">
        <v>13</v>
      </c>
      <c r="AK278" s="4">
        <v>31</v>
      </c>
      <c r="AL278" s="4">
        <v>60</v>
      </c>
    </row>
    <row r="279" spans="1:38" x14ac:dyDescent="0.25">
      <c r="A279" s="1" t="str">
        <f t="shared" si="24"/>
        <v>ADRB2_human_4LDE_TM1</v>
      </c>
      <c r="B279" s="45" t="s">
        <v>211</v>
      </c>
      <c r="C279" s="45" t="s">
        <v>268</v>
      </c>
      <c r="D279" s="4" t="str">
        <f>VLOOKUP(B279,Classification!A:D,2,FALSE)</f>
        <v>A</v>
      </c>
      <c r="E279" s="4" t="str">
        <f>VLOOKUP(B279,Classification!A:D,3,FALSE)</f>
        <v>Aminergic</v>
      </c>
      <c r="F279" s="4" t="str">
        <f>VLOOKUP(B279,Classification!A:D,4,FALSE)</f>
        <v>Adrenoceptors</v>
      </c>
      <c r="G279" s="2">
        <v>1</v>
      </c>
      <c r="H279" s="45" t="s">
        <v>11</v>
      </c>
      <c r="I279" s="2" t="s">
        <v>1223</v>
      </c>
      <c r="J279" s="5" t="str">
        <f>VLOOKUP(B279,Seqs!A:B,2,FALSE)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9" s="4" t="str">
        <f t="shared" si="30"/>
        <v>Q</v>
      </c>
      <c r="L279" s="45">
        <f>VLOOKUP(B279,'NonXtal_SegEnds_Prot#'!A:AL,3,FALSE)</f>
        <v>26</v>
      </c>
      <c r="M279" s="45">
        <f>VLOOKUP(B279,'NonXtal_SegEnds_Prot#'!A:AL,4,FALSE)</f>
        <v>51</v>
      </c>
      <c r="N279" s="45">
        <f>VLOOKUP(B279,'NonXtal_SegEnds_Prot#'!A:AL,5,FALSE)</f>
        <v>61</v>
      </c>
      <c r="O279" s="4" t="str">
        <f t="shared" si="26"/>
        <v>F</v>
      </c>
      <c r="P279" s="4"/>
      <c r="Q279" s="47" t="str">
        <f t="shared" si="27"/>
        <v>QERDEVWVVGMGIVMSLIVLAIVFG</v>
      </c>
      <c r="R279" s="27" t="str">
        <f t="shared" si="28"/>
        <v>N</v>
      </c>
      <c r="S279" s="19" t="str">
        <f t="shared" si="29"/>
        <v>VLVITAIAKF</v>
      </c>
      <c r="Z279" s="4"/>
      <c r="AD279" s="1" t="s">
        <v>65</v>
      </c>
      <c r="AE279" s="1">
        <v>29</v>
      </c>
      <c r="AF279" s="1">
        <v>51</v>
      </c>
      <c r="AG279" s="1">
        <v>61</v>
      </c>
      <c r="AH279" s="1" t="s">
        <v>13</v>
      </c>
      <c r="AK279" s="4">
        <v>28</v>
      </c>
      <c r="AL279" s="4">
        <v>60</v>
      </c>
    </row>
    <row r="280" spans="1:38" x14ac:dyDescent="0.25">
      <c r="A280" s="1" t="str">
        <f t="shared" si="24"/>
        <v>ADRB2_human_4QKX_TM1</v>
      </c>
      <c r="B280" s="45" t="s">
        <v>211</v>
      </c>
      <c r="C280" s="45" t="s">
        <v>269</v>
      </c>
      <c r="D280" s="4" t="str">
        <f>VLOOKUP(B280,Classification!A:D,2,FALSE)</f>
        <v>A</v>
      </c>
      <c r="E280" s="4" t="str">
        <f>VLOOKUP(B280,Classification!A:D,3,FALSE)</f>
        <v>Aminergic</v>
      </c>
      <c r="F280" s="4" t="str">
        <f>VLOOKUP(B280,Classification!A:D,4,FALSE)</f>
        <v>Adrenoceptors</v>
      </c>
      <c r="G280" s="2">
        <v>1</v>
      </c>
      <c r="H280" s="45" t="s">
        <v>11</v>
      </c>
      <c r="I280" s="2" t="s">
        <v>1223</v>
      </c>
      <c r="J280" s="5" t="str">
        <f>VLOOKUP(B280,Seqs!A:B,2,FALSE)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80" s="4" t="str">
        <f t="shared" si="30"/>
        <v>Q</v>
      </c>
      <c r="L280" s="45">
        <f>VLOOKUP(B280,'NonXtal_SegEnds_Prot#'!A:AL,3,FALSE)</f>
        <v>26</v>
      </c>
      <c r="M280" s="45">
        <f>VLOOKUP(B280,'NonXtal_SegEnds_Prot#'!A:AL,4,FALSE)</f>
        <v>51</v>
      </c>
      <c r="N280" s="45">
        <f>VLOOKUP(B280,'NonXtal_SegEnds_Prot#'!A:AL,5,FALSE)</f>
        <v>61</v>
      </c>
      <c r="O280" s="4" t="str">
        <f t="shared" si="26"/>
        <v>F</v>
      </c>
      <c r="P280" s="4"/>
      <c r="Q280" s="47" t="str">
        <f t="shared" si="27"/>
        <v>QERDEVWVVGMGIVMSLIVLAIVFG</v>
      </c>
      <c r="R280" s="27" t="str">
        <f t="shared" si="28"/>
        <v>N</v>
      </c>
      <c r="S280" s="19" t="str">
        <f t="shared" si="29"/>
        <v>VLVITAIAKF</v>
      </c>
      <c r="Z280" s="4"/>
      <c r="AD280" s="1" t="s">
        <v>65</v>
      </c>
      <c r="AE280" s="1">
        <v>29</v>
      </c>
      <c r="AF280" s="1">
        <v>51</v>
      </c>
      <c r="AG280" s="1">
        <v>61</v>
      </c>
      <c r="AH280" s="1" t="s">
        <v>13</v>
      </c>
      <c r="AK280" s="4">
        <v>28</v>
      </c>
      <c r="AL280" s="4">
        <v>60</v>
      </c>
    </row>
    <row r="281" spans="1:38" x14ac:dyDescent="0.25">
      <c r="A281" s="1" t="str">
        <f t="shared" si="24"/>
        <v>AGTR1_human__wt_TM1</v>
      </c>
      <c r="B281" s="45" t="s">
        <v>212</v>
      </c>
      <c r="C281" s="45" t="s">
        <v>294</v>
      </c>
      <c r="D281" s="4" t="str">
        <f>VLOOKUP(B281,Classification!A:D,2,FALSE)</f>
        <v>A</v>
      </c>
      <c r="E281" s="4" t="str">
        <f>VLOOKUP(B281,Classification!A:D,3,FALSE)</f>
        <v>Peptide</v>
      </c>
      <c r="F281" s="4" t="str">
        <f>VLOOKUP(B281,Classification!A:D,4,FALSE)</f>
        <v>Angiotensin</v>
      </c>
      <c r="G281" s="2">
        <v>1</v>
      </c>
      <c r="H281" s="45" t="s">
        <v>11</v>
      </c>
      <c r="I281" s="2" t="s">
        <v>1223</v>
      </c>
      <c r="J281" s="5" t="str">
        <f>VLOOKUP(B281,Seqs!A:B,2,FALSE)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81" s="4" t="str">
        <f t="shared" si="30"/>
        <v>Y</v>
      </c>
      <c r="L281" s="45">
        <f>VLOOKUP(B281,'NonXtal_SegEnds_Prot#'!A:AL,3,FALSE)</f>
        <v>26</v>
      </c>
      <c r="M281" s="45">
        <f>VLOOKUP(B281,'NonXtal_SegEnds_Prot#'!A:AL,4,FALSE)</f>
        <v>46</v>
      </c>
      <c r="N281" s="45">
        <f>VLOOKUP(B281,'NonXtal_SegEnds_Prot#'!A:AL,5,FALSE)</f>
        <v>56</v>
      </c>
      <c r="O281" s="4" t="str">
        <f t="shared" si="26"/>
        <v>Y</v>
      </c>
      <c r="P281" s="4"/>
      <c r="Q281" s="47" t="str">
        <f t="shared" si="27"/>
        <v>YIFVMIPTLYSIIFVVGIFG</v>
      </c>
      <c r="R281" s="27" t="str">
        <f t="shared" si="28"/>
        <v>N</v>
      </c>
      <c r="S281" s="19" t="str">
        <f t="shared" si="29"/>
        <v>SLVVIVIYFY</v>
      </c>
      <c r="Z281" s="4"/>
      <c r="AD281" s="1" t="s">
        <v>96</v>
      </c>
      <c r="AE281" s="1">
        <v>26</v>
      </c>
      <c r="AF281" s="1">
        <v>46</v>
      </c>
      <c r="AG281" s="1">
        <v>56</v>
      </c>
      <c r="AH281" s="1" t="s">
        <v>13</v>
      </c>
      <c r="AK281" s="4">
        <v>30</v>
      </c>
      <c r="AL281" s="4">
        <v>60</v>
      </c>
    </row>
    <row r="282" spans="1:38" x14ac:dyDescent="0.25">
      <c r="A282" s="1" t="str">
        <f t="shared" si="24"/>
        <v>AGTR1_human_4YAY_TM1</v>
      </c>
      <c r="B282" s="45" t="s">
        <v>212</v>
      </c>
      <c r="C282" s="45" t="s">
        <v>260</v>
      </c>
      <c r="D282" s="4" t="str">
        <f>VLOOKUP(B282,Classification!A:D,2,FALSE)</f>
        <v>A</v>
      </c>
      <c r="E282" s="4" t="str">
        <f>VLOOKUP(B282,Classification!A:D,3,FALSE)</f>
        <v>Peptide</v>
      </c>
      <c r="F282" s="4" t="str">
        <f>VLOOKUP(B282,Classification!A:D,4,FALSE)</f>
        <v>Angiotensin</v>
      </c>
      <c r="G282" s="2">
        <v>1</v>
      </c>
      <c r="H282" s="45" t="s">
        <v>11</v>
      </c>
      <c r="I282" s="2" t="s">
        <v>1223</v>
      </c>
      <c r="J282" s="5" t="str">
        <f>VLOOKUP(B282,Seqs!A:B,2,FALSE)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82" s="4" t="str">
        <f t="shared" si="30"/>
        <v>Y</v>
      </c>
      <c r="L282" s="45">
        <f>VLOOKUP(B282,'NonXtal_SegEnds_Prot#'!A:AL,3,FALSE)</f>
        <v>26</v>
      </c>
      <c r="M282" s="45">
        <f>VLOOKUP(B282,'NonXtal_SegEnds_Prot#'!A:AL,4,FALSE)</f>
        <v>46</v>
      </c>
      <c r="N282" s="45">
        <f>VLOOKUP(B282,'NonXtal_SegEnds_Prot#'!A:AL,5,FALSE)</f>
        <v>56</v>
      </c>
      <c r="O282" s="4" t="str">
        <f t="shared" si="26"/>
        <v>Y</v>
      </c>
      <c r="P282" s="4"/>
      <c r="Q282" s="47" t="str">
        <f t="shared" si="27"/>
        <v>YIFVMIPTLYSIIFVVGIFG</v>
      </c>
      <c r="R282" s="27" t="str">
        <f t="shared" si="28"/>
        <v>N</v>
      </c>
      <c r="S282" s="19" t="str">
        <f t="shared" si="29"/>
        <v>SLVVIVIYFY</v>
      </c>
      <c r="Z282" s="4"/>
      <c r="AD282" s="1" t="s">
        <v>96</v>
      </c>
      <c r="AE282" s="1">
        <v>26</v>
      </c>
      <c r="AF282" s="1">
        <v>46</v>
      </c>
      <c r="AG282" s="1">
        <v>56</v>
      </c>
      <c r="AH282" s="1" t="s">
        <v>13</v>
      </c>
      <c r="AK282" s="4">
        <v>30</v>
      </c>
      <c r="AL282" s="4">
        <v>60</v>
      </c>
    </row>
    <row r="283" spans="1:38" x14ac:dyDescent="0.25">
      <c r="A283" s="1" t="str">
        <f t="shared" si="24"/>
        <v>CCR5_human__wt_TM1</v>
      </c>
      <c r="B283" s="45" t="s">
        <v>221</v>
      </c>
      <c r="C283" s="45" t="s">
        <v>294</v>
      </c>
      <c r="D283" s="4" t="str">
        <f>VLOOKUP(B283,Classification!A:D,2,FALSE)</f>
        <v>A</v>
      </c>
      <c r="E283" s="4" t="str">
        <f>VLOOKUP(B283,Classification!A:D,3,FALSE)</f>
        <v>Protein</v>
      </c>
      <c r="F283" s="4" t="str">
        <f>VLOOKUP(B283,Classification!A:D,4,FALSE)</f>
        <v>Chemokine</v>
      </c>
      <c r="G283" s="2">
        <v>1</v>
      </c>
      <c r="H283" s="45" t="s">
        <v>11</v>
      </c>
      <c r="I283" s="2" t="s">
        <v>1223</v>
      </c>
      <c r="J283" s="5" t="str">
        <f>VLOOKUP(B283,Seqs!A:B,2,FALSE)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83" s="4" t="str">
        <f t="shared" si="30"/>
        <v>V</v>
      </c>
      <c r="L283" s="45">
        <f>VLOOKUP(B283,'NonXtal_SegEnds_Prot#'!A:AL,3,FALSE)</f>
        <v>25</v>
      </c>
      <c r="M283" s="45">
        <f>VLOOKUP(B283,'NonXtal_SegEnds_Prot#'!A:AL,4,FALSE)</f>
        <v>48</v>
      </c>
      <c r="N283" s="45">
        <f>VLOOKUP(B283,'NonXtal_SegEnds_Prot#'!A:AL,5,FALSE)</f>
        <v>58</v>
      </c>
      <c r="O283" s="4" t="str">
        <f t="shared" si="26"/>
        <v>C</v>
      </c>
      <c r="P283" s="4"/>
      <c r="Q283" s="47" t="str">
        <f t="shared" si="27"/>
        <v>VKQIAARLLPPLYSLVFIFGFVG</v>
      </c>
      <c r="R283" s="28" t="str">
        <f t="shared" si="28"/>
        <v>N</v>
      </c>
      <c r="S283" s="20" t="str">
        <f t="shared" si="29"/>
        <v>MLVILILINC</v>
      </c>
      <c r="Z283" s="4"/>
      <c r="AD283" s="1" t="s">
        <v>106</v>
      </c>
      <c r="AE283" s="1">
        <v>25</v>
      </c>
      <c r="AF283" s="1">
        <v>48</v>
      </c>
      <c r="AG283" s="1">
        <v>58</v>
      </c>
      <c r="AH283" s="1" t="s">
        <v>13</v>
      </c>
      <c r="AK283" s="4">
        <v>27</v>
      </c>
      <c r="AL283" s="4">
        <v>60</v>
      </c>
    </row>
    <row r="284" spans="1:38" x14ac:dyDescent="0.25">
      <c r="A284" s="1" t="str">
        <f t="shared" si="24"/>
        <v>CCR5_human_4MBS_TM1</v>
      </c>
      <c r="B284" s="45" t="s">
        <v>221</v>
      </c>
      <c r="C284" s="45" t="s">
        <v>265</v>
      </c>
      <c r="D284" s="4" t="str">
        <f>VLOOKUP(B284,Classification!A:D,2,FALSE)</f>
        <v>A</v>
      </c>
      <c r="E284" s="4" t="str">
        <f>VLOOKUP(B284,Classification!A:D,3,FALSE)</f>
        <v>Protein</v>
      </c>
      <c r="F284" s="4" t="str">
        <f>VLOOKUP(B284,Classification!A:D,4,FALSE)</f>
        <v>Chemokine</v>
      </c>
      <c r="G284" s="2">
        <v>1</v>
      </c>
      <c r="H284" s="45" t="s">
        <v>11</v>
      </c>
      <c r="I284" s="2" t="s">
        <v>1223</v>
      </c>
      <c r="J284" s="5" t="str">
        <f>VLOOKUP(B284,Seqs!A:B,2,FALSE)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84" s="4" t="str">
        <f t="shared" si="30"/>
        <v>V</v>
      </c>
      <c r="L284" s="45">
        <f>VLOOKUP(B284,'NonXtal_SegEnds_Prot#'!A:AL,3,FALSE)</f>
        <v>25</v>
      </c>
      <c r="M284" s="45">
        <f>VLOOKUP(B284,'NonXtal_SegEnds_Prot#'!A:AL,4,FALSE)</f>
        <v>48</v>
      </c>
      <c r="N284" s="45">
        <f>VLOOKUP(B284,'NonXtal_SegEnds_Prot#'!A:AL,5,FALSE)</f>
        <v>58</v>
      </c>
      <c r="O284" s="4" t="str">
        <f t="shared" si="26"/>
        <v>C</v>
      </c>
      <c r="P284" s="4"/>
      <c r="Q284" s="47" t="str">
        <f t="shared" si="27"/>
        <v>VKQIAARLLPPLYSLVFIFGFVG</v>
      </c>
      <c r="R284" s="28" t="str">
        <f t="shared" si="28"/>
        <v>N</v>
      </c>
      <c r="S284" s="20" t="str">
        <f t="shared" si="29"/>
        <v>MLVILILINC</v>
      </c>
      <c r="Z284" s="4"/>
      <c r="AD284" s="1" t="s">
        <v>106</v>
      </c>
      <c r="AE284" s="1">
        <v>25</v>
      </c>
      <c r="AF284" s="1">
        <v>48</v>
      </c>
      <c r="AG284" s="1">
        <v>58</v>
      </c>
      <c r="AH284" s="1" t="s">
        <v>13</v>
      </c>
      <c r="AK284" s="4">
        <v>27</v>
      </c>
      <c r="AL284" s="4">
        <v>60</v>
      </c>
    </row>
    <row r="285" spans="1:38" x14ac:dyDescent="0.25">
      <c r="A285" s="1" t="str">
        <f t="shared" si="24"/>
        <v>crfr1_human__wt_TM1</v>
      </c>
      <c r="B285" s="45" t="s">
        <v>213</v>
      </c>
      <c r="C285" s="45" t="s">
        <v>294</v>
      </c>
      <c r="D285" s="4" t="str">
        <f>VLOOKUP(B285,Classification!A:D,2,FALSE)</f>
        <v>B1</v>
      </c>
      <c r="E285" s="4" t="str">
        <f>VLOOKUP(B285,Classification!A:D,3,FALSE)</f>
        <v>Peptide</v>
      </c>
      <c r="F285" s="4" t="str">
        <f>VLOOKUP(B285,Classification!A:D,4,FALSE)</f>
        <v>Corticotropin-releasingfact</v>
      </c>
      <c r="G285" s="2">
        <v>1</v>
      </c>
      <c r="H285" s="45" t="s">
        <v>11</v>
      </c>
      <c r="I285" s="2" t="s">
        <v>1223</v>
      </c>
      <c r="J285" s="5" t="str">
        <f>VLOOKUP(B285,Seqs!A:B,2,FALSE)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285" s="4" t="str">
        <f t="shared" si="30"/>
        <v>Q</v>
      </c>
      <c r="L285" s="45">
        <f>VLOOKUP(B285,'NonXtal_SegEnds_Prot#'!A:AL,3,FALSE)</f>
        <v>103</v>
      </c>
      <c r="M285" s="45">
        <f>VLOOKUP(B285,'NonXtal_SegEnds_Prot#'!A:AL,4,FALSE)</f>
        <v>134</v>
      </c>
      <c r="N285" s="45">
        <f>VLOOKUP(B285,'NonXtal_SegEnds_Prot#'!A:AL,5,FALSE)</f>
        <v>144</v>
      </c>
      <c r="O285" s="4" t="str">
        <f t="shared" si="26"/>
        <v>L</v>
      </c>
      <c r="P285" s="4"/>
      <c r="Q285" s="47" t="str">
        <f t="shared" si="27"/>
        <v>QEILNEEKKSKVHYHVAVIINYLGHCISLVA</v>
      </c>
      <c r="R285" s="27" t="str">
        <f t="shared" si="28"/>
        <v>L</v>
      </c>
      <c r="S285" s="19" t="str">
        <f t="shared" si="29"/>
        <v>LVAFVLFLRL</v>
      </c>
      <c r="Z285" s="4"/>
      <c r="AD285" s="1" t="s">
        <v>55</v>
      </c>
      <c r="AE285" s="1">
        <v>117</v>
      </c>
      <c r="AF285" s="1">
        <v>134</v>
      </c>
      <c r="AG285" s="1">
        <v>144</v>
      </c>
      <c r="AH285" s="1" t="s">
        <v>13</v>
      </c>
      <c r="AK285" s="4">
        <v>33</v>
      </c>
      <c r="AL285" s="4">
        <v>60</v>
      </c>
    </row>
    <row r="286" spans="1:38" x14ac:dyDescent="0.25">
      <c r="A286" s="1" t="str">
        <f t="shared" si="24"/>
        <v>crfr1_human_4K5Y_TM1</v>
      </c>
      <c r="B286" s="45" t="s">
        <v>213</v>
      </c>
      <c r="C286" s="45" t="s">
        <v>288</v>
      </c>
      <c r="D286" s="4" t="str">
        <f>VLOOKUP(B286,Classification!A:D,2,FALSE)</f>
        <v>B1</v>
      </c>
      <c r="E286" s="4" t="str">
        <f>VLOOKUP(B286,Classification!A:D,3,FALSE)</f>
        <v>Peptide</v>
      </c>
      <c r="F286" s="4" t="str">
        <f>VLOOKUP(B286,Classification!A:D,4,FALSE)</f>
        <v>Corticotropin-releasingfact</v>
      </c>
      <c r="G286" s="2">
        <v>1</v>
      </c>
      <c r="H286" s="45" t="s">
        <v>11</v>
      </c>
      <c r="I286" s="2" t="s">
        <v>1223</v>
      </c>
      <c r="J286" s="5" t="str">
        <f>VLOOKUP(B286,Seqs!A:B,2,FALSE)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286" s="4" t="str">
        <f t="shared" si="30"/>
        <v>Q</v>
      </c>
      <c r="L286" s="45">
        <f>VLOOKUP(B286,'NonXtal_SegEnds_Prot#'!A:AL,3,FALSE)</f>
        <v>103</v>
      </c>
      <c r="M286" s="45">
        <f>VLOOKUP(B286,'NonXtal_SegEnds_Prot#'!A:AL,4,FALSE)</f>
        <v>134</v>
      </c>
      <c r="N286" s="45">
        <f>VLOOKUP(B286,'NonXtal_SegEnds_Prot#'!A:AL,5,FALSE)</f>
        <v>144</v>
      </c>
      <c r="O286" s="4" t="str">
        <f t="shared" si="26"/>
        <v>L</v>
      </c>
      <c r="P286" s="4"/>
      <c r="Q286" s="47" t="str">
        <f t="shared" si="27"/>
        <v>QEILNEEKKSKVHYHVAVIINYLGHCISLVA</v>
      </c>
      <c r="R286" s="27" t="str">
        <f t="shared" si="28"/>
        <v>L</v>
      </c>
      <c r="S286" s="19" t="str">
        <f t="shared" si="29"/>
        <v>LVAFVLFLRL</v>
      </c>
      <c r="Z286" s="4"/>
      <c r="AD286" s="1" t="s">
        <v>55</v>
      </c>
      <c r="AE286" s="1">
        <v>117</v>
      </c>
      <c r="AF286" s="1">
        <v>134</v>
      </c>
      <c r="AG286" s="1">
        <v>144</v>
      </c>
      <c r="AH286" s="1" t="s">
        <v>13</v>
      </c>
      <c r="AK286" s="4">
        <v>33</v>
      </c>
      <c r="AL286" s="4">
        <v>60</v>
      </c>
    </row>
    <row r="287" spans="1:38" x14ac:dyDescent="0.25">
      <c r="A287" s="1" t="str">
        <f t="shared" si="24"/>
        <v>CXCR4_human__wt_TM1</v>
      </c>
      <c r="B287" s="45" t="s">
        <v>1237</v>
      </c>
      <c r="C287" s="45" t="s">
        <v>294</v>
      </c>
      <c r="D287" s="4" t="str">
        <f>VLOOKUP(B287,Classification!A:D,2,FALSE)</f>
        <v>A</v>
      </c>
      <c r="E287" s="4" t="str">
        <f>VLOOKUP(B287,Classification!A:D,3,FALSE)</f>
        <v>Protein</v>
      </c>
      <c r="F287" s="4" t="str">
        <f>VLOOKUP(B287,Classification!A:D,4,FALSE)</f>
        <v>Chemokine</v>
      </c>
      <c r="G287" s="2">
        <v>1</v>
      </c>
      <c r="H287" s="45" t="s">
        <v>11</v>
      </c>
      <c r="I287" s="2" t="s">
        <v>1223</v>
      </c>
      <c r="J287" s="5" t="str">
        <f>VLOOKUP(B287,Seqs!A:B,2,FALSE)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87" s="4" t="str">
        <f t="shared" si="30"/>
        <v>R</v>
      </c>
      <c r="L287" s="45">
        <f>VLOOKUP(B287,'NonXtal_SegEnds_Prot#'!A:AL,3,FALSE)</f>
        <v>30</v>
      </c>
      <c r="M287" s="45">
        <f>VLOOKUP(B287,'NonXtal_SegEnds_Prot#'!A:AL,4,FALSE)</f>
        <v>56</v>
      </c>
      <c r="N287" s="45">
        <f>VLOOKUP(B287,'NonXtal_SegEnds_Prot#'!A:AL,5,FALSE)</f>
        <v>66</v>
      </c>
      <c r="O287" s="4" t="str">
        <f t="shared" si="26"/>
        <v>Q</v>
      </c>
      <c r="P287" s="4"/>
      <c r="Q287" s="47" t="str">
        <f t="shared" si="27"/>
        <v>REENANFNKIFLPTIYSIIFLTGIVG</v>
      </c>
      <c r="R287" s="27" t="str">
        <f t="shared" si="28"/>
        <v>N</v>
      </c>
      <c r="S287" s="19" t="str">
        <f t="shared" si="29"/>
        <v>GLVILVMGYQ</v>
      </c>
      <c r="Z287" s="4"/>
      <c r="AD287" s="1" t="s">
        <v>96</v>
      </c>
      <c r="AE287" s="1">
        <v>36</v>
      </c>
      <c r="AF287" s="1">
        <v>56</v>
      </c>
      <c r="AG287" s="1">
        <v>66</v>
      </c>
      <c r="AH287" s="1" t="s">
        <v>13</v>
      </c>
      <c r="AK287" s="4">
        <v>30</v>
      </c>
      <c r="AL287" s="4">
        <v>60</v>
      </c>
    </row>
    <row r="288" spans="1:38" x14ac:dyDescent="0.25">
      <c r="A288" s="1" t="str">
        <f t="shared" si="24"/>
        <v>CXCR4_human_3ODU_TM1</v>
      </c>
      <c r="B288" s="45" t="s">
        <v>1237</v>
      </c>
      <c r="C288" s="45" t="s">
        <v>254</v>
      </c>
      <c r="D288" s="4" t="str">
        <f>VLOOKUP(B288,Classification!A:D,2,FALSE)</f>
        <v>A</v>
      </c>
      <c r="E288" s="4" t="str">
        <f>VLOOKUP(B288,Classification!A:D,3,FALSE)</f>
        <v>Protein</v>
      </c>
      <c r="F288" s="4" t="str">
        <f>VLOOKUP(B288,Classification!A:D,4,FALSE)</f>
        <v>Chemokine</v>
      </c>
      <c r="G288" s="2">
        <v>1</v>
      </c>
      <c r="H288" s="45" t="s">
        <v>11</v>
      </c>
      <c r="I288" s="2" t="s">
        <v>1223</v>
      </c>
      <c r="J288" s="5" t="str">
        <f>VLOOKUP(B288,Seqs!A:B,2,FALSE)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88" s="4" t="str">
        <f t="shared" si="30"/>
        <v>R</v>
      </c>
      <c r="L288" s="45">
        <f>VLOOKUP(B288,'NonXtal_SegEnds_Prot#'!A:AL,3,FALSE)</f>
        <v>30</v>
      </c>
      <c r="M288" s="45">
        <f>VLOOKUP(B288,'NonXtal_SegEnds_Prot#'!A:AL,4,FALSE)</f>
        <v>56</v>
      </c>
      <c r="N288" s="45">
        <f>VLOOKUP(B288,'NonXtal_SegEnds_Prot#'!A:AL,5,FALSE)</f>
        <v>66</v>
      </c>
      <c r="O288" s="4" t="str">
        <f t="shared" si="26"/>
        <v>Q</v>
      </c>
      <c r="P288" s="4"/>
      <c r="Q288" s="47" t="str">
        <f t="shared" si="27"/>
        <v>REENANFNKIFLPTIYSIIFLTGIVG</v>
      </c>
      <c r="R288" s="27" t="str">
        <f t="shared" si="28"/>
        <v>N</v>
      </c>
      <c r="S288" s="19" t="str">
        <f t="shared" si="29"/>
        <v>GLVILVMGYQ</v>
      </c>
      <c r="Z288" s="4"/>
      <c r="AD288" s="1" t="s">
        <v>96</v>
      </c>
      <c r="AE288" s="1">
        <v>36</v>
      </c>
      <c r="AF288" s="1">
        <v>56</v>
      </c>
      <c r="AG288" s="1">
        <v>66</v>
      </c>
      <c r="AH288" s="1" t="s">
        <v>13</v>
      </c>
      <c r="AK288" s="4">
        <v>30</v>
      </c>
      <c r="AL288" s="4">
        <v>60</v>
      </c>
    </row>
    <row r="289" spans="1:38" x14ac:dyDescent="0.25">
      <c r="A289" s="1" t="str">
        <f t="shared" si="24"/>
        <v>DRD3_human__wt_TM1</v>
      </c>
      <c r="B289" s="45" t="s">
        <v>222</v>
      </c>
      <c r="C289" s="45" t="s">
        <v>294</v>
      </c>
      <c r="D289" s="4" t="str">
        <f>VLOOKUP(B289,Classification!A:D,2,FALSE)</f>
        <v>A</v>
      </c>
      <c r="E289" s="4" t="str">
        <f>VLOOKUP(B289,Classification!A:D,3,FALSE)</f>
        <v>Aminergic</v>
      </c>
      <c r="F289" s="4" t="str">
        <f>VLOOKUP(B289,Classification!A:D,4,FALSE)</f>
        <v>Dopamine</v>
      </c>
      <c r="G289" s="2">
        <v>1</v>
      </c>
      <c r="H289" s="45" t="s">
        <v>11</v>
      </c>
      <c r="I289" s="2" t="s">
        <v>1223</v>
      </c>
      <c r="J289" s="5" t="str">
        <f>VLOOKUP(B289,Seqs!A:B,2,FALSE)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89" s="4" t="str">
        <f t="shared" si="30"/>
        <v>A</v>
      </c>
      <c r="L289" s="45">
        <f>VLOOKUP(B289,'NonXtal_SegEnds_Prot#'!A:AL,3,FALSE)</f>
        <v>26</v>
      </c>
      <c r="M289" s="45">
        <f>VLOOKUP(B289,'NonXtal_SegEnds_Prot#'!A:AL,4,FALSE)</f>
        <v>47</v>
      </c>
      <c r="N289" s="45">
        <f>VLOOKUP(B289,'NonXtal_SegEnds_Prot#'!A:AL,5,FALSE)</f>
        <v>57</v>
      </c>
      <c r="O289" s="4" t="str">
        <f t="shared" si="26"/>
        <v>E</v>
      </c>
      <c r="P289" s="4"/>
      <c r="Q289" s="47" t="str">
        <f t="shared" si="27"/>
        <v>ARPHAYYALSYCALILAIVFG</v>
      </c>
      <c r="R289" s="27" t="str">
        <f t="shared" si="28"/>
        <v>N</v>
      </c>
      <c r="S289" s="19" t="str">
        <f t="shared" si="29"/>
        <v>GLVCMAVLKE</v>
      </c>
      <c r="Z289" s="4"/>
      <c r="AD289" s="1" t="s">
        <v>12</v>
      </c>
      <c r="AE289" s="1">
        <v>26</v>
      </c>
      <c r="AF289" s="1">
        <v>47</v>
      </c>
      <c r="AG289" s="1">
        <v>57</v>
      </c>
      <c r="AH289" s="1" t="s">
        <v>13</v>
      </c>
      <c r="AK289" s="4">
        <v>29</v>
      </c>
      <c r="AL289" s="4">
        <v>60</v>
      </c>
    </row>
    <row r="290" spans="1:38" x14ac:dyDescent="0.25">
      <c r="A290" s="1" t="str">
        <f t="shared" si="24"/>
        <v>DRD3_human_3PBL_TM1</v>
      </c>
      <c r="B290" s="45" t="s">
        <v>222</v>
      </c>
      <c r="C290" s="45" t="s">
        <v>263</v>
      </c>
      <c r="D290" s="4" t="str">
        <f>VLOOKUP(B290,Classification!A:D,2,FALSE)</f>
        <v>A</v>
      </c>
      <c r="E290" s="4" t="str">
        <f>VLOOKUP(B290,Classification!A:D,3,FALSE)</f>
        <v>Aminergic</v>
      </c>
      <c r="F290" s="4" t="str">
        <f>VLOOKUP(B290,Classification!A:D,4,FALSE)</f>
        <v>Dopamine</v>
      </c>
      <c r="G290" s="2">
        <v>1</v>
      </c>
      <c r="H290" s="45" t="s">
        <v>11</v>
      </c>
      <c r="I290" s="2" t="s">
        <v>1223</v>
      </c>
      <c r="J290" s="5" t="str">
        <f>VLOOKUP(B290,Seqs!A:B,2,FALSE)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90" s="4" t="str">
        <f t="shared" si="30"/>
        <v>A</v>
      </c>
      <c r="L290" s="45">
        <f>VLOOKUP(B290,'NonXtal_SegEnds_Prot#'!A:AL,3,FALSE)</f>
        <v>26</v>
      </c>
      <c r="M290" s="45">
        <f>VLOOKUP(B290,'NonXtal_SegEnds_Prot#'!A:AL,4,FALSE)</f>
        <v>47</v>
      </c>
      <c r="N290" s="45">
        <f>VLOOKUP(B290,'NonXtal_SegEnds_Prot#'!A:AL,5,FALSE)</f>
        <v>57</v>
      </c>
      <c r="O290" s="4" t="str">
        <f t="shared" si="26"/>
        <v>E</v>
      </c>
      <c r="P290" s="4" t="s">
        <v>1227</v>
      </c>
      <c r="Q290" s="47" t="str">
        <f t="shared" si="27"/>
        <v>ARPHAYYALSYCALILAIVFG</v>
      </c>
      <c r="R290" s="28" t="str">
        <f t="shared" si="28"/>
        <v>N</v>
      </c>
      <c r="S290" s="20" t="str">
        <f t="shared" si="29"/>
        <v>GLVCMAVLKE</v>
      </c>
      <c r="Z290" s="4"/>
      <c r="AD290" s="1" t="s">
        <v>115</v>
      </c>
      <c r="AE290" s="1">
        <v>34</v>
      </c>
      <c r="AF290" s="1">
        <v>47</v>
      </c>
      <c r="AG290" s="1">
        <v>57</v>
      </c>
      <c r="AH290" s="1" t="s">
        <v>13</v>
      </c>
      <c r="AK290" s="4">
        <v>37</v>
      </c>
      <c r="AL290" s="4">
        <v>60</v>
      </c>
    </row>
    <row r="291" spans="1:38" x14ac:dyDescent="0.25">
      <c r="A291" s="1" t="str">
        <f t="shared" si="24"/>
        <v>FFAR1_human__wt_TM1</v>
      </c>
      <c r="B291" s="45" t="s">
        <v>1368</v>
      </c>
      <c r="C291" s="45" t="s">
        <v>294</v>
      </c>
      <c r="D291" s="4" t="str">
        <f>VLOOKUP(B291,Classification!A:D,2,FALSE)</f>
        <v>A</v>
      </c>
      <c r="E291" s="4" t="str">
        <f>VLOOKUP(B291,Classification!A:D,3,FALSE)</f>
        <v>Lipid</v>
      </c>
      <c r="F291" s="4" t="str">
        <f>VLOOKUP(B291,Classification!A:D,4,FALSE)</f>
        <v>Freefattyacid</v>
      </c>
      <c r="G291" s="2">
        <v>1</v>
      </c>
      <c r="H291" s="45" t="s">
        <v>11</v>
      </c>
      <c r="I291" s="2" t="s">
        <v>1223</v>
      </c>
      <c r="J291" s="5" t="str">
        <f>VLOOKUP(B291,Seqs!A:B,2,FALSE)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291" s="4" t="str">
        <f t="shared" si="30"/>
        <v>Q</v>
      </c>
      <c r="L291" s="45">
        <f>VLOOKUP(B291,'NonXtal_SegEnds_Prot#'!A:AL,3,FALSE)</f>
        <v>6</v>
      </c>
      <c r="M291" s="45">
        <f>VLOOKUP(B291,'NonXtal_SegEnds_Prot#'!A:AL,4,FALSE)</f>
        <v>23</v>
      </c>
      <c r="N291" s="45">
        <f>VLOOKUP(B291,'NonXtal_SegEnds_Prot#'!A:AL,5,FALSE)</f>
        <v>37</v>
      </c>
      <c r="O291" s="4" t="str">
        <f t="shared" si="26"/>
        <v>R</v>
      </c>
      <c r="P291" s="4"/>
      <c r="Q291" s="47" t="str">
        <f t="shared" si="27"/>
        <v>QLSFGLYVAAFALGFPL</v>
      </c>
      <c r="R291" s="27" t="str">
        <f t="shared" si="28"/>
        <v>N</v>
      </c>
      <c r="S291" s="19" t="str">
        <f t="shared" si="29"/>
        <v>VLAIRGATAHARLR</v>
      </c>
      <c r="U291" s="6"/>
      <c r="V291" s="6"/>
      <c r="Z291" s="4"/>
      <c r="AD291" s="1" t="s">
        <v>55</v>
      </c>
      <c r="AE291" s="1">
        <v>6</v>
      </c>
      <c r="AF291" s="1">
        <v>23</v>
      </c>
      <c r="AG291" s="1">
        <v>33</v>
      </c>
      <c r="AH291" s="1" t="s">
        <v>13</v>
      </c>
      <c r="AK291" s="4">
        <v>33</v>
      </c>
      <c r="AL291" s="4">
        <v>60</v>
      </c>
    </row>
    <row r="292" spans="1:38" x14ac:dyDescent="0.25">
      <c r="A292" s="1" t="str">
        <f t="shared" si="24"/>
        <v>FFAR1_human_4PHU_TM1</v>
      </c>
      <c r="B292" s="45" t="s">
        <v>1368</v>
      </c>
      <c r="C292" s="45" t="s">
        <v>241</v>
      </c>
      <c r="D292" s="4" t="str">
        <f>VLOOKUP(B292,Classification!A:D,2,FALSE)</f>
        <v>A</v>
      </c>
      <c r="E292" s="4" t="str">
        <f>VLOOKUP(B292,Classification!A:D,3,FALSE)</f>
        <v>Lipid</v>
      </c>
      <c r="F292" s="4" t="str">
        <f>VLOOKUP(B292,Classification!A:D,4,FALSE)</f>
        <v>Freefattyacid</v>
      </c>
      <c r="G292" s="2">
        <v>1</v>
      </c>
      <c r="H292" s="45" t="s">
        <v>11</v>
      </c>
      <c r="I292" s="2" t="s">
        <v>1223</v>
      </c>
      <c r="J292" s="5" t="str">
        <f>VLOOKUP(B292,Seqs!A:B,2,FALSE)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292" s="4" t="str">
        <f t="shared" si="30"/>
        <v>Q</v>
      </c>
      <c r="L292" s="45">
        <f>VLOOKUP(B292,'NonXtal_SegEnds_Prot#'!A:AL,3,FALSE)</f>
        <v>6</v>
      </c>
      <c r="M292" s="45">
        <f>VLOOKUP(B292,'NonXtal_SegEnds_Prot#'!A:AL,4,FALSE)</f>
        <v>23</v>
      </c>
      <c r="N292" s="45">
        <f>VLOOKUP(B292,'NonXtal_SegEnds_Prot#'!A:AL,5,FALSE)</f>
        <v>37</v>
      </c>
      <c r="O292" s="4" t="str">
        <f t="shared" si="26"/>
        <v>R</v>
      </c>
      <c r="P292" s="4"/>
      <c r="Q292" s="47" t="str">
        <f t="shared" si="27"/>
        <v>QLSFGLYVAAFALGFPL</v>
      </c>
      <c r="R292" s="27" t="str">
        <f t="shared" si="28"/>
        <v>N</v>
      </c>
      <c r="S292" s="19" t="str">
        <f t="shared" si="29"/>
        <v>VLAIRGATAHARLR</v>
      </c>
      <c r="U292" s="6"/>
      <c r="V292" s="6"/>
      <c r="Z292" s="4"/>
      <c r="AD292" s="1" t="s">
        <v>55</v>
      </c>
      <c r="AE292" s="1">
        <v>6</v>
      </c>
      <c r="AF292" s="1">
        <v>23</v>
      </c>
      <c r="AG292" s="1">
        <v>36</v>
      </c>
      <c r="AH292" s="1" t="s">
        <v>118</v>
      </c>
      <c r="AK292" s="4">
        <v>33</v>
      </c>
      <c r="AL292" s="4">
        <v>63</v>
      </c>
    </row>
    <row r="293" spans="1:38" x14ac:dyDescent="0.25">
      <c r="A293" s="1" t="str">
        <f t="shared" si="24"/>
        <v>glr_human__wt_TM1</v>
      </c>
      <c r="B293" s="45" t="s">
        <v>206</v>
      </c>
      <c r="C293" s="45" t="s">
        <v>294</v>
      </c>
      <c r="D293" s="4" t="str">
        <f>VLOOKUP(B293,Classification!A:D,2,FALSE)</f>
        <v>B1</v>
      </c>
      <c r="E293" s="4" t="str">
        <f>VLOOKUP(B293,Classification!A:D,3,FALSE)</f>
        <v>Peptide</v>
      </c>
      <c r="F293" s="4" t="str">
        <f>VLOOKUP(B293,Classification!A:D,4,FALSE)</f>
        <v>Glucagonreceptorfamily</v>
      </c>
      <c r="G293" s="2">
        <v>1</v>
      </c>
      <c r="H293" s="45" t="s">
        <v>11</v>
      </c>
      <c r="I293" s="2" t="s">
        <v>1223</v>
      </c>
      <c r="J293" s="5" t="str">
        <f>VLOOKUP(B293,Seqs!A:B,2,FALSE)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293" s="4" t="str">
        <f t="shared" si="30"/>
        <v>G</v>
      </c>
      <c r="L293" s="45">
        <f>VLOOKUP(B293,'NonXtal_SegEnds_Prot#'!A:AL,3,FALSE)</f>
        <v>125</v>
      </c>
      <c r="M293" s="45">
        <f>VLOOKUP(B293,'NonXtal_SegEnds_Prot#'!A:AL,4,FALSE)</f>
        <v>156</v>
      </c>
      <c r="N293" s="45">
        <f>VLOOKUP(B293,'NonXtal_SegEnds_Prot#'!A:AL,5,FALSE)</f>
        <v>166</v>
      </c>
      <c r="O293" s="4" t="str">
        <f t="shared" si="26"/>
        <v>L</v>
      </c>
      <c r="P293" s="4"/>
      <c r="Q293" s="47" t="str">
        <f t="shared" si="27"/>
        <v>GEEIEVQKEVAKMYSSFQVMYTVGYSLSLGA</v>
      </c>
      <c r="R293" s="27" t="str">
        <f t="shared" si="28"/>
        <v>L</v>
      </c>
      <c r="S293" s="19" t="str">
        <f t="shared" si="29"/>
        <v>LLALAILGGL</v>
      </c>
      <c r="Z293" s="4"/>
      <c r="AD293" s="1" t="s">
        <v>175</v>
      </c>
      <c r="AE293" s="1">
        <v>125</v>
      </c>
      <c r="AF293" s="1">
        <v>156</v>
      </c>
      <c r="AG293" s="1">
        <v>166</v>
      </c>
      <c r="AH293" s="1" t="s">
        <v>13</v>
      </c>
      <c r="AK293" s="4">
        <v>19</v>
      </c>
      <c r="AL293" s="4">
        <v>60</v>
      </c>
    </row>
    <row r="294" spans="1:38" x14ac:dyDescent="0.25">
      <c r="A294" s="1" t="str">
        <f t="shared" si="24"/>
        <v>glr_human_4L6R_TM1</v>
      </c>
      <c r="B294" s="45" t="s">
        <v>206</v>
      </c>
      <c r="C294" s="45" t="s">
        <v>240</v>
      </c>
      <c r="D294" s="4" t="str">
        <f>VLOOKUP(B294,Classification!A:D,2,FALSE)</f>
        <v>B1</v>
      </c>
      <c r="E294" s="4" t="str">
        <f>VLOOKUP(B294,Classification!A:D,3,FALSE)</f>
        <v>Peptide</v>
      </c>
      <c r="F294" s="4" t="str">
        <f>VLOOKUP(B294,Classification!A:D,4,FALSE)</f>
        <v>Glucagonreceptorfamily</v>
      </c>
      <c r="G294" s="2">
        <v>1</v>
      </c>
      <c r="H294" s="45" t="s">
        <v>11</v>
      </c>
      <c r="I294" s="2" t="s">
        <v>1223</v>
      </c>
      <c r="J294" s="5" t="str">
        <f>VLOOKUP(B294,Seqs!A:B,2,FALSE)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294" s="4" t="str">
        <f t="shared" si="30"/>
        <v>G</v>
      </c>
      <c r="L294" s="45">
        <f>VLOOKUP(B294,'NonXtal_SegEnds_Prot#'!A:AL,3,FALSE)</f>
        <v>125</v>
      </c>
      <c r="M294" s="45">
        <f>VLOOKUP(B294,'NonXtal_SegEnds_Prot#'!A:AL,4,FALSE)</f>
        <v>156</v>
      </c>
      <c r="N294" s="45">
        <f>VLOOKUP(B294,'NonXtal_SegEnds_Prot#'!A:AL,5,FALSE)</f>
        <v>166</v>
      </c>
      <c r="O294" s="4" t="str">
        <f t="shared" si="26"/>
        <v>L</v>
      </c>
      <c r="P294" s="4"/>
      <c r="Q294" s="47" t="str">
        <f t="shared" si="27"/>
        <v>GEEIEVQKEVAKMYSSFQVMYTVGYSLSLGA</v>
      </c>
      <c r="R294" s="27" t="str">
        <f t="shared" si="28"/>
        <v>L</v>
      </c>
      <c r="S294" s="19" t="str">
        <f t="shared" si="29"/>
        <v>LLALAILGGL</v>
      </c>
      <c r="Z294" s="4"/>
      <c r="AD294" s="1" t="s">
        <v>175</v>
      </c>
      <c r="AE294" s="1">
        <v>125</v>
      </c>
      <c r="AF294" s="1">
        <v>156</v>
      </c>
      <c r="AG294" s="1">
        <v>164</v>
      </c>
      <c r="AH294" s="1" t="s">
        <v>131</v>
      </c>
      <c r="AK294" s="4">
        <v>19</v>
      </c>
      <c r="AL294" s="4">
        <v>58</v>
      </c>
    </row>
    <row r="295" spans="1:38" x14ac:dyDescent="0.25">
      <c r="A295" s="1" t="str">
        <f t="shared" si="24"/>
        <v>glr_human_5EE7_TM1</v>
      </c>
      <c r="B295" s="45" t="s">
        <v>206</v>
      </c>
      <c r="C295" s="45" t="s">
        <v>237</v>
      </c>
      <c r="D295" s="4" t="str">
        <f>VLOOKUP(B295,Classification!A:D,2,FALSE)</f>
        <v>B1</v>
      </c>
      <c r="E295" s="4" t="str">
        <f>VLOOKUP(B295,Classification!A:D,3,FALSE)</f>
        <v>Peptide</v>
      </c>
      <c r="F295" s="4" t="str">
        <f>VLOOKUP(B295,Classification!A:D,4,FALSE)</f>
        <v>Glucagonreceptorfamily</v>
      </c>
      <c r="G295" s="2">
        <v>1</v>
      </c>
      <c r="H295" s="45" t="s">
        <v>11</v>
      </c>
      <c r="I295" s="2" t="s">
        <v>1223</v>
      </c>
      <c r="J295" s="5" t="str">
        <f>VLOOKUP(B295,Seqs!A:B,2,FALSE)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295" s="4" t="str">
        <f t="shared" si="30"/>
        <v>G</v>
      </c>
      <c r="L295" s="45">
        <f>VLOOKUP(B295,'NonXtal_SegEnds_Prot#'!A:AL,3,FALSE)</f>
        <v>125</v>
      </c>
      <c r="M295" s="45">
        <f>VLOOKUP(B295,'NonXtal_SegEnds_Prot#'!A:AL,4,FALSE)</f>
        <v>156</v>
      </c>
      <c r="N295" s="45">
        <f>VLOOKUP(B295,'NonXtal_SegEnds_Prot#'!A:AL,5,FALSE)</f>
        <v>166</v>
      </c>
      <c r="O295" s="4" t="str">
        <f t="shared" si="26"/>
        <v>L</v>
      </c>
      <c r="P295" s="4" t="s">
        <v>1227</v>
      </c>
      <c r="Q295" s="47" t="str">
        <f t="shared" si="27"/>
        <v>GEEIEVQKEVAKMYSSFQVMYTVGYSLSLGA</v>
      </c>
      <c r="R295" s="28" t="str">
        <f t="shared" si="28"/>
        <v>L</v>
      </c>
      <c r="S295" s="20" t="str">
        <f t="shared" si="29"/>
        <v>LLALAILGGL</v>
      </c>
      <c r="Z295" s="4"/>
      <c r="AD295" s="1" t="s">
        <v>86</v>
      </c>
      <c r="AE295" s="1">
        <v>138</v>
      </c>
      <c r="AF295" s="1">
        <v>156</v>
      </c>
      <c r="AG295" s="1">
        <v>166</v>
      </c>
      <c r="AH295" s="1" t="s">
        <v>13</v>
      </c>
      <c r="AK295" s="7">
        <v>32</v>
      </c>
      <c r="AL295" s="4">
        <v>60</v>
      </c>
    </row>
    <row r="296" spans="1:38" x14ac:dyDescent="0.25">
      <c r="A296" s="1" t="str">
        <f t="shared" si="24"/>
        <v>grm1_human__wt_TM1</v>
      </c>
      <c r="B296" s="45" t="s">
        <v>223</v>
      </c>
      <c r="C296" s="45" t="s">
        <v>294</v>
      </c>
      <c r="D296" s="4" t="str">
        <f>VLOOKUP(B296,Classification!A:D,2,FALSE)</f>
        <v>C</v>
      </c>
      <c r="E296" s="4" t="str">
        <f>VLOOKUP(B296,Classification!A:D,3,FALSE)</f>
        <v>Aminoacid</v>
      </c>
      <c r="F296" s="4" t="str">
        <f>VLOOKUP(B296,Classification!A:D,4,FALSE)</f>
        <v>Metabotropicglutamate</v>
      </c>
      <c r="G296" s="2">
        <v>1</v>
      </c>
      <c r="H296" s="45" t="s">
        <v>11</v>
      </c>
      <c r="I296" s="2" t="s">
        <v>1223</v>
      </c>
      <c r="J296" s="5" t="str">
        <f>VLOOKUP(B296,Seqs!A:B,2,FALSE)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296" s="4" t="str">
        <f t="shared" si="30"/>
        <v>I</v>
      </c>
      <c r="L296" s="45">
        <f>VLOOKUP(B296,'NonXtal_SegEnds_Prot#'!A:AL,3,FALSE)</f>
        <v>591</v>
      </c>
      <c r="M296" s="45">
        <f>VLOOKUP(B296,'NonXtal_SegEnds_Prot#'!A:AL,4,FALSE)</f>
        <v>607</v>
      </c>
      <c r="N296" s="45">
        <f>VLOOKUP(B296,'NonXtal_SegEnds_Prot#'!A:AL,5,FALSE)</f>
        <v>617</v>
      </c>
      <c r="O296" s="4" t="str">
        <f t="shared" si="26"/>
        <v>Y</v>
      </c>
      <c r="P296" s="4"/>
      <c r="Q296" s="47" t="str">
        <f t="shared" si="27"/>
        <v>IESIIAIAFSCLGILV</v>
      </c>
      <c r="R296" s="27" t="str">
        <f t="shared" si="28"/>
        <v>T</v>
      </c>
      <c r="S296" s="19" t="str">
        <f t="shared" si="29"/>
        <v>LFVTLIFVLY</v>
      </c>
      <c r="Z296" s="4"/>
      <c r="AD296" s="1" t="s">
        <v>185</v>
      </c>
      <c r="AE296" s="1">
        <v>591</v>
      </c>
      <c r="AF296" s="1">
        <v>607</v>
      </c>
      <c r="AG296" s="1">
        <v>617</v>
      </c>
      <c r="AH296" s="1" t="s">
        <v>13</v>
      </c>
      <c r="AK296" s="4">
        <v>34</v>
      </c>
      <c r="AL296" s="4">
        <v>60</v>
      </c>
    </row>
    <row r="297" spans="1:38" x14ac:dyDescent="0.25">
      <c r="A297" s="1" t="str">
        <f t="shared" si="24"/>
        <v>grm1_human_4OR2_TM1</v>
      </c>
      <c r="B297" s="45" t="s">
        <v>223</v>
      </c>
      <c r="C297" s="45" t="s">
        <v>289</v>
      </c>
      <c r="D297" s="4" t="str">
        <f>VLOOKUP(B297,Classification!A:D,2,FALSE)</f>
        <v>C</v>
      </c>
      <c r="E297" s="4" t="str">
        <f>VLOOKUP(B297,Classification!A:D,3,FALSE)</f>
        <v>Aminoacid</v>
      </c>
      <c r="F297" s="4" t="str">
        <f>VLOOKUP(B297,Classification!A:D,4,FALSE)</f>
        <v>Metabotropicglutamate</v>
      </c>
      <c r="G297" s="2">
        <v>1</v>
      </c>
      <c r="H297" s="45" t="s">
        <v>11</v>
      </c>
      <c r="I297" s="2" t="s">
        <v>1223</v>
      </c>
      <c r="J297" s="5" t="str">
        <f>VLOOKUP(B297,Seqs!A:B,2,FALSE)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297" s="4" t="str">
        <f t="shared" si="30"/>
        <v>I</v>
      </c>
      <c r="L297" s="45">
        <f>VLOOKUP(B297,'NonXtal_SegEnds_Prot#'!A:AL,3,FALSE)</f>
        <v>591</v>
      </c>
      <c r="M297" s="45">
        <f>VLOOKUP(B297,'NonXtal_SegEnds_Prot#'!A:AL,4,FALSE)</f>
        <v>607</v>
      </c>
      <c r="N297" s="45">
        <f>VLOOKUP(B297,'NonXtal_SegEnds_Prot#'!A:AL,5,FALSE)</f>
        <v>617</v>
      </c>
      <c r="O297" s="4" t="str">
        <f t="shared" si="26"/>
        <v>Y</v>
      </c>
      <c r="P297" s="4"/>
      <c r="Q297" s="47" t="str">
        <f t="shared" si="27"/>
        <v>IESIIAIAFSCLGILV</v>
      </c>
      <c r="R297" s="27" t="str">
        <f t="shared" si="28"/>
        <v>T</v>
      </c>
      <c r="S297" s="19" t="str">
        <f t="shared" si="29"/>
        <v>LFVTLIFVLY</v>
      </c>
      <c r="Z297" s="4"/>
      <c r="AD297" s="1" t="s">
        <v>185</v>
      </c>
      <c r="AE297" s="1">
        <v>591</v>
      </c>
      <c r="AF297" s="1">
        <v>607</v>
      </c>
      <c r="AG297" s="1">
        <v>617</v>
      </c>
      <c r="AH297" s="1" t="s">
        <v>13</v>
      </c>
      <c r="AK297" s="4">
        <v>34</v>
      </c>
      <c r="AL297" s="4">
        <v>60</v>
      </c>
    </row>
    <row r="298" spans="1:38" x14ac:dyDescent="0.25">
      <c r="A298" s="1" t="str">
        <f t="shared" si="24"/>
        <v>grm5_human__wt_TM1</v>
      </c>
      <c r="B298" s="45" t="s">
        <v>224</v>
      </c>
      <c r="C298" s="45" t="s">
        <v>294</v>
      </c>
      <c r="D298" s="4" t="str">
        <f>VLOOKUP(B298,Classification!A:D,2,FALSE)</f>
        <v>C</v>
      </c>
      <c r="E298" s="4" t="str">
        <f>VLOOKUP(B298,Classification!A:D,3,FALSE)</f>
        <v>Aminoacid</v>
      </c>
      <c r="F298" s="4" t="str">
        <f>VLOOKUP(B298,Classification!A:D,4,FALSE)</f>
        <v>Metabotropicglutamate</v>
      </c>
      <c r="G298" s="2">
        <v>1</v>
      </c>
      <c r="H298" s="45" t="s">
        <v>11</v>
      </c>
      <c r="I298" s="2" t="s">
        <v>1223</v>
      </c>
      <c r="J298" s="5" t="str">
        <f>VLOOKUP(B298,Seqs!A:B,2,FALSE)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298" s="4" t="str">
        <f t="shared" si="30"/>
        <v>P</v>
      </c>
      <c r="L298" s="45">
        <f>VLOOKUP(B298,'NonXtal_SegEnds_Prot#'!A:AL,3,FALSE)</f>
        <v>578</v>
      </c>
      <c r="M298" s="45">
        <f>VLOOKUP(B298,'NonXtal_SegEnds_Prot#'!A:AL,4,FALSE)</f>
        <v>594</v>
      </c>
      <c r="N298" s="45">
        <f>VLOOKUP(B298,'NonXtal_SegEnds_Prot#'!A:AL,5,FALSE)</f>
        <v>604</v>
      </c>
      <c r="O298" s="4" t="str">
        <f t="shared" si="26"/>
        <v>Y</v>
      </c>
      <c r="P298" s="4"/>
      <c r="Q298" s="47" t="str">
        <f t="shared" si="27"/>
        <v>PEPIAAVVFACLGLLA</v>
      </c>
      <c r="R298" s="27" t="str">
        <f t="shared" si="28"/>
        <v>T</v>
      </c>
      <c r="S298" s="19" t="str">
        <f t="shared" si="29"/>
        <v>LFVTVVFIIY</v>
      </c>
      <c r="Z298" s="4"/>
      <c r="AD298" s="1" t="s">
        <v>185</v>
      </c>
      <c r="AE298" s="1">
        <v>578</v>
      </c>
      <c r="AF298" s="1">
        <v>594</v>
      </c>
      <c r="AG298" s="1">
        <v>604</v>
      </c>
      <c r="AH298" s="1" t="s">
        <v>13</v>
      </c>
      <c r="AK298" s="4">
        <v>34</v>
      </c>
      <c r="AL298" s="4">
        <v>60</v>
      </c>
    </row>
    <row r="299" spans="1:38" x14ac:dyDescent="0.25">
      <c r="A299" s="1" t="str">
        <f t="shared" si="24"/>
        <v>grm5_human_4OO9_TM1</v>
      </c>
      <c r="B299" s="45" t="s">
        <v>224</v>
      </c>
      <c r="C299" s="45" t="s">
        <v>248</v>
      </c>
      <c r="D299" s="4" t="str">
        <f>VLOOKUP(B299,Classification!A:D,2,FALSE)</f>
        <v>C</v>
      </c>
      <c r="E299" s="4" t="str">
        <f>VLOOKUP(B299,Classification!A:D,3,FALSE)</f>
        <v>Aminoacid</v>
      </c>
      <c r="F299" s="4" t="str">
        <f>VLOOKUP(B299,Classification!A:D,4,FALSE)</f>
        <v>Metabotropicglutamate</v>
      </c>
      <c r="G299" s="2">
        <v>1</v>
      </c>
      <c r="H299" s="45" t="s">
        <v>11</v>
      </c>
      <c r="I299" s="2" t="s">
        <v>1223</v>
      </c>
      <c r="J299" s="5" t="str">
        <f>VLOOKUP(B299,Seqs!A:B,2,FALSE)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299" s="4" t="str">
        <f t="shared" si="30"/>
        <v>P</v>
      </c>
      <c r="L299" s="45">
        <f>VLOOKUP(B299,'NonXtal_SegEnds_Prot#'!A:AL,3,FALSE)</f>
        <v>578</v>
      </c>
      <c r="M299" s="45">
        <f>VLOOKUP(B299,'NonXtal_SegEnds_Prot#'!A:AL,4,FALSE)</f>
        <v>594</v>
      </c>
      <c r="N299" s="45">
        <f>VLOOKUP(B299,'NonXtal_SegEnds_Prot#'!A:AL,5,FALSE)</f>
        <v>604</v>
      </c>
      <c r="O299" s="4" t="str">
        <f t="shared" si="26"/>
        <v>Y</v>
      </c>
      <c r="P299" s="4"/>
      <c r="Q299" s="47" t="str">
        <f t="shared" si="27"/>
        <v>PEPIAAVVFACLGLLA</v>
      </c>
      <c r="R299" s="27" t="str">
        <f t="shared" si="28"/>
        <v>T</v>
      </c>
      <c r="S299" s="19" t="str">
        <f t="shared" si="29"/>
        <v>LFVTVVFIIY</v>
      </c>
      <c r="Z299" s="4"/>
      <c r="AD299" s="1" t="s">
        <v>185</v>
      </c>
      <c r="AE299" s="1">
        <v>578</v>
      </c>
      <c r="AF299" s="1">
        <v>594</v>
      </c>
      <c r="AG299" s="1">
        <v>604</v>
      </c>
      <c r="AH299" s="1" t="s">
        <v>13</v>
      </c>
      <c r="AK299" s="4">
        <v>34</v>
      </c>
      <c r="AL299" s="4">
        <v>60</v>
      </c>
    </row>
    <row r="300" spans="1:38" x14ac:dyDescent="0.25">
      <c r="A300" s="1" t="str">
        <f t="shared" si="24"/>
        <v>grm5_human_5CGC_TM1</v>
      </c>
      <c r="B300" s="45" t="s">
        <v>224</v>
      </c>
      <c r="C300" s="45" t="s">
        <v>249</v>
      </c>
      <c r="D300" s="4" t="str">
        <f>VLOOKUP(B300,Classification!A:D,2,FALSE)</f>
        <v>C</v>
      </c>
      <c r="E300" s="4" t="str">
        <f>VLOOKUP(B300,Classification!A:D,3,FALSE)</f>
        <v>Aminoacid</v>
      </c>
      <c r="F300" s="4" t="str">
        <f>VLOOKUP(B300,Classification!A:D,4,FALSE)</f>
        <v>Metabotropicglutamate</v>
      </c>
      <c r="G300" s="2">
        <v>1</v>
      </c>
      <c r="H300" s="45" t="s">
        <v>11</v>
      </c>
      <c r="I300" s="2" t="s">
        <v>1223</v>
      </c>
      <c r="J300" s="5" t="str">
        <f>VLOOKUP(B300,Seqs!A:B,2,FALSE)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00" s="4" t="str">
        <f t="shared" si="30"/>
        <v>P</v>
      </c>
      <c r="L300" s="45">
        <f>VLOOKUP(B300,'NonXtal_SegEnds_Prot#'!A:AL,3,FALSE)</f>
        <v>578</v>
      </c>
      <c r="M300" s="45">
        <f>VLOOKUP(B300,'NonXtal_SegEnds_Prot#'!A:AL,4,FALSE)</f>
        <v>594</v>
      </c>
      <c r="N300" s="45">
        <f>VLOOKUP(B300,'NonXtal_SegEnds_Prot#'!A:AL,5,FALSE)</f>
        <v>604</v>
      </c>
      <c r="O300" s="4" t="str">
        <f t="shared" si="26"/>
        <v>Y</v>
      </c>
      <c r="P300" s="4"/>
      <c r="Q300" s="47" t="str">
        <f t="shared" si="27"/>
        <v>PEPIAAVVFACLGLLA</v>
      </c>
      <c r="R300" s="27" t="str">
        <f t="shared" si="28"/>
        <v>T</v>
      </c>
      <c r="S300" s="19" t="str">
        <f t="shared" si="29"/>
        <v>LFVTVVFIIY</v>
      </c>
      <c r="Z300" s="4"/>
      <c r="AD300" s="1" t="s">
        <v>185</v>
      </c>
      <c r="AE300" s="1">
        <v>578</v>
      </c>
      <c r="AF300" s="1">
        <v>594</v>
      </c>
      <c r="AG300" s="1">
        <v>604</v>
      </c>
      <c r="AH300" s="1" t="s">
        <v>13</v>
      </c>
      <c r="AK300" s="4">
        <v>34</v>
      </c>
      <c r="AL300" s="4">
        <v>60</v>
      </c>
    </row>
    <row r="301" spans="1:38" x14ac:dyDescent="0.25">
      <c r="A301" s="1" t="str">
        <f t="shared" si="24"/>
        <v>grm5_human_5CGD_TM1</v>
      </c>
      <c r="B301" s="45" t="s">
        <v>224</v>
      </c>
      <c r="C301" s="45" t="s">
        <v>250</v>
      </c>
      <c r="D301" s="4" t="str">
        <f>VLOOKUP(B301,Classification!A:D,2,FALSE)</f>
        <v>C</v>
      </c>
      <c r="E301" s="4" t="str">
        <f>VLOOKUP(B301,Classification!A:D,3,FALSE)</f>
        <v>Aminoacid</v>
      </c>
      <c r="F301" s="4" t="str">
        <f>VLOOKUP(B301,Classification!A:D,4,FALSE)</f>
        <v>Metabotropicglutamate</v>
      </c>
      <c r="G301" s="2">
        <v>1</v>
      </c>
      <c r="H301" s="45" t="s">
        <v>11</v>
      </c>
      <c r="I301" s="2" t="s">
        <v>1223</v>
      </c>
      <c r="J301" s="5" t="str">
        <f>VLOOKUP(B301,Seqs!A:B,2,FALSE)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01" s="4" t="str">
        <f t="shared" si="30"/>
        <v>P</v>
      </c>
      <c r="L301" s="45">
        <f>VLOOKUP(B301,'NonXtal_SegEnds_Prot#'!A:AL,3,FALSE)</f>
        <v>578</v>
      </c>
      <c r="M301" s="45">
        <f>VLOOKUP(B301,'NonXtal_SegEnds_Prot#'!A:AL,4,FALSE)</f>
        <v>594</v>
      </c>
      <c r="N301" s="45">
        <f>VLOOKUP(B301,'NonXtal_SegEnds_Prot#'!A:AL,5,FALSE)</f>
        <v>604</v>
      </c>
      <c r="O301" s="4" t="str">
        <f t="shared" si="26"/>
        <v>Y</v>
      </c>
      <c r="P301" s="4"/>
      <c r="Q301" s="47" t="str">
        <f t="shared" si="27"/>
        <v>PEPIAAVVFACLGLLA</v>
      </c>
      <c r="R301" s="27" t="str">
        <f t="shared" si="28"/>
        <v>T</v>
      </c>
      <c r="S301" s="19" t="str">
        <f t="shared" si="29"/>
        <v>LFVTVVFIIY</v>
      </c>
      <c r="Z301" s="4"/>
      <c r="AD301" s="1" t="s">
        <v>185</v>
      </c>
      <c r="AE301" s="1">
        <v>578</v>
      </c>
      <c r="AF301" s="1">
        <v>594</v>
      </c>
      <c r="AG301" s="1">
        <v>604</v>
      </c>
      <c r="AH301" s="1" t="s">
        <v>13</v>
      </c>
      <c r="AK301" s="4">
        <v>34</v>
      </c>
      <c r="AL301" s="4">
        <v>60</v>
      </c>
    </row>
    <row r="302" spans="1:38" x14ac:dyDescent="0.25">
      <c r="A302" s="1" t="str">
        <f t="shared" si="24"/>
        <v>HRH1_human__wt_TM1</v>
      </c>
      <c r="B302" s="45" t="s">
        <v>225</v>
      </c>
      <c r="C302" s="45" t="s">
        <v>294</v>
      </c>
      <c r="D302" s="4" t="str">
        <f>VLOOKUP(B302,Classification!A:D,2,FALSE)</f>
        <v>A</v>
      </c>
      <c r="E302" s="4" t="str">
        <f>VLOOKUP(B302,Classification!A:D,3,FALSE)</f>
        <v>Aminergic</v>
      </c>
      <c r="F302" s="4" t="str">
        <f>VLOOKUP(B302,Classification!A:D,4,FALSE)</f>
        <v>Histamine</v>
      </c>
      <c r="G302" s="2">
        <v>1</v>
      </c>
      <c r="H302" s="45" t="s">
        <v>11</v>
      </c>
      <c r="I302" s="2" t="s">
        <v>1223</v>
      </c>
      <c r="J302" s="5" t="str">
        <f>VLOOKUP(B302,Seqs!A:B,2,FALSE)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02" s="4" t="str">
        <f t="shared" si="30"/>
        <v>P</v>
      </c>
      <c r="L302" s="45">
        <f>VLOOKUP(B302,'NonXtal_SegEnds_Prot#'!A:AL,3,FALSE)</f>
        <v>29</v>
      </c>
      <c r="M302" s="45">
        <f>VLOOKUP(B302,'NonXtal_SegEnds_Prot#'!A:AL,4,FALSE)</f>
        <v>45</v>
      </c>
      <c r="N302" s="45">
        <f>VLOOKUP(B302,'NonXtal_SegEnds_Prot#'!A:AL,5,FALSE)</f>
        <v>55</v>
      </c>
      <c r="O302" s="4" t="str">
        <f t="shared" si="26"/>
        <v>E</v>
      </c>
      <c r="P302" s="4"/>
      <c r="Q302" s="47" t="str">
        <f t="shared" si="27"/>
        <v>PLVVVLSTICLVTVGL</v>
      </c>
      <c r="R302" s="27" t="str">
        <f t="shared" si="28"/>
        <v>N</v>
      </c>
      <c r="S302" s="19" t="str">
        <f t="shared" si="29"/>
        <v>LLVLYAVRSE</v>
      </c>
      <c r="Z302" s="4"/>
      <c r="AD302" s="1" t="s">
        <v>12</v>
      </c>
      <c r="AE302" s="1">
        <v>24</v>
      </c>
      <c r="AF302" s="1">
        <v>45</v>
      </c>
      <c r="AG302" s="1">
        <v>55</v>
      </c>
      <c r="AH302" s="1" t="s">
        <v>13</v>
      </c>
      <c r="AK302" s="4">
        <v>29</v>
      </c>
      <c r="AL302" s="4">
        <v>60</v>
      </c>
    </row>
    <row r="303" spans="1:38" x14ac:dyDescent="0.25">
      <c r="A303" s="1" t="str">
        <f t="shared" si="24"/>
        <v>HRH1_human_3RZE_TM1</v>
      </c>
      <c r="B303" s="45" t="s">
        <v>225</v>
      </c>
      <c r="C303" s="45" t="s">
        <v>264</v>
      </c>
      <c r="D303" s="4" t="str">
        <f>VLOOKUP(B303,Classification!A:D,2,FALSE)</f>
        <v>A</v>
      </c>
      <c r="E303" s="4" t="str">
        <f>VLOOKUP(B303,Classification!A:D,3,FALSE)</f>
        <v>Aminergic</v>
      </c>
      <c r="F303" s="4" t="str">
        <f>VLOOKUP(B303,Classification!A:D,4,FALSE)</f>
        <v>Histamine</v>
      </c>
      <c r="G303" s="2">
        <v>1</v>
      </c>
      <c r="H303" s="45" t="s">
        <v>11</v>
      </c>
      <c r="I303" s="2" t="s">
        <v>1223</v>
      </c>
      <c r="J303" s="5" t="str">
        <f>VLOOKUP(B303,Seqs!A:B,2,FALSE)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03" s="4" t="str">
        <f t="shared" si="30"/>
        <v>P</v>
      </c>
      <c r="L303" s="45">
        <f>VLOOKUP(B303,'NonXtal_SegEnds_Prot#'!A:AL,3,FALSE)</f>
        <v>29</v>
      </c>
      <c r="M303" s="45">
        <f>VLOOKUP(B303,'NonXtal_SegEnds_Prot#'!A:AL,4,FALSE)</f>
        <v>45</v>
      </c>
      <c r="N303" s="45">
        <f>VLOOKUP(B303,'NonXtal_SegEnds_Prot#'!A:AL,5,FALSE)</f>
        <v>55</v>
      </c>
      <c r="O303" s="4" t="str">
        <f t="shared" si="26"/>
        <v>E</v>
      </c>
      <c r="P303" s="4"/>
      <c r="Q303" s="47" t="str">
        <f t="shared" si="27"/>
        <v>PLVVVLSTICLVTVGL</v>
      </c>
      <c r="R303" s="28" t="str">
        <f t="shared" si="28"/>
        <v>N</v>
      </c>
      <c r="S303" s="20" t="str">
        <f t="shared" si="29"/>
        <v>LLVLYAVRSE</v>
      </c>
      <c r="Z303" s="4"/>
      <c r="AD303" s="1" t="s">
        <v>115</v>
      </c>
      <c r="AE303" s="1">
        <v>32</v>
      </c>
      <c r="AF303" s="1">
        <v>45</v>
      </c>
      <c r="AG303" s="1">
        <v>55</v>
      </c>
      <c r="AH303" s="1" t="s">
        <v>13</v>
      </c>
      <c r="AK303" s="4">
        <v>37</v>
      </c>
      <c r="AL303" s="4">
        <v>60</v>
      </c>
    </row>
    <row r="304" spans="1:38" x14ac:dyDescent="0.25">
      <c r="A304" s="1" t="str">
        <f t="shared" si="24"/>
        <v>LPAR1_human__wt_TM1</v>
      </c>
      <c r="B304" s="45" t="s">
        <v>214</v>
      </c>
      <c r="C304" s="45" t="s">
        <v>294</v>
      </c>
      <c r="D304" s="4" t="str">
        <f>VLOOKUP(B304,Classification!A:D,2,FALSE)</f>
        <v>A</v>
      </c>
      <c r="E304" s="4" t="str">
        <f>VLOOKUP(B304,Classification!A:D,3,FALSE)</f>
        <v>Lipid</v>
      </c>
      <c r="F304" s="4" t="str">
        <f>VLOOKUP(B304,Classification!A:D,4,FALSE)</f>
        <v>Lysophospholipid(LPA)</v>
      </c>
      <c r="G304" s="2">
        <v>1</v>
      </c>
      <c r="H304" s="45" t="s">
        <v>11</v>
      </c>
      <c r="I304" s="2" t="s">
        <v>1223</v>
      </c>
      <c r="J304" s="5" t="str">
        <f>VLOOKUP(B304,Seqs!A:B,2,FALSE)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04" s="4" t="str">
        <f t="shared" si="30"/>
        <v>T</v>
      </c>
      <c r="L304" s="45">
        <f>VLOOKUP(B304,'NonXtal_SegEnds_Prot#'!A:AL,3,FALSE)</f>
        <v>47</v>
      </c>
      <c r="M304" s="45">
        <f>VLOOKUP(B304,'NonXtal_SegEnds_Prot#'!A:AL,4,FALSE)</f>
        <v>67</v>
      </c>
      <c r="N304" s="45">
        <f>VLOOKUP(B304,'NonXtal_SegEnds_Prot#'!A:AL,5,FALSE)</f>
        <v>77</v>
      </c>
      <c r="O304" s="4" t="str">
        <f t="shared" si="26"/>
        <v>N</v>
      </c>
      <c r="P304" s="4"/>
      <c r="Q304" s="47" t="str">
        <f t="shared" si="27"/>
        <v>TVSKLVMGLGITVCIFIMLA</v>
      </c>
      <c r="R304" s="27" t="str">
        <f t="shared" si="28"/>
        <v>N</v>
      </c>
      <c r="S304" s="19" t="str">
        <f t="shared" si="29"/>
        <v>LLVMVAIYVN</v>
      </c>
      <c r="Z304" s="4"/>
      <c r="AD304" s="1" t="s">
        <v>96</v>
      </c>
      <c r="AE304" s="1">
        <v>47</v>
      </c>
      <c r="AF304" s="1">
        <v>67</v>
      </c>
      <c r="AG304" s="1">
        <v>77</v>
      </c>
      <c r="AH304" s="1" t="s">
        <v>13</v>
      </c>
      <c r="AK304" s="4">
        <v>30</v>
      </c>
      <c r="AL304" s="4">
        <v>60</v>
      </c>
    </row>
    <row r="305" spans="1:38" x14ac:dyDescent="0.25">
      <c r="A305" s="1" t="str">
        <f t="shared" si="24"/>
        <v>LPAR1_human_4Z35_TM1</v>
      </c>
      <c r="B305" s="45" t="s">
        <v>214</v>
      </c>
      <c r="C305" s="45" t="s">
        <v>281</v>
      </c>
      <c r="D305" s="4" t="str">
        <f>VLOOKUP(B305,Classification!A:D,2,FALSE)</f>
        <v>A</v>
      </c>
      <c r="E305" s="4" t="str">
        <f>VLOOKUP(B305,Classification!A:D,3,FALSE)</f>
        <v>Lipid</v>
      </c>
      <c r="F305" s="4" t="str">
        <f>VLOOKUP(B305,Classification!A:D,4,FALSE)</f>
        <v>Lysophospholipid(LPA)</v>
      </c>
      <c r="G305" s="2">
        <v>1</v>
      </c>
      <c r="H305" s="45" t="s">
        <v>11</v>
      </c>
      <c r="I305" s="2" t="s">
        <v>1223</v>
      </c>
      <c r="J305" s="5" t="str">
        <f>VLOOKUP(B305,Seqs!A:B,2,FALSE)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05" s="4" t="str">
        <f t="shared" si="30"/>
        <v>T</v>
      </c>
      <c r="L305" s="45">
        <f>VLOOKUP(B305,'NonXtal_SegEnds_Prot#'!A:AL,3,FALSE)</f>
        <v>47</v>
      </c>
      <c r="M305" s="45">
        <f>VLOOKUP(B305,'NonXtal_SegEnds_Prot#'!A:AL,4,FALSE)</f>
        <v>67</v>
      </c>
      <c r="N305" s="45">
        <f>VLOOKUP(B305,'NonXtal_SegEnds_Prot#'!A:AL,5,FALSE)</f>
        <v>77</v>
      </c>
      <c r="O305" s="4" t="str">
        <f t="shared" si="26"/>
        <v>N</v>
      </c>
      <c r="P305" s="4"/>
      <c r="Q305" s="47" t="str">
        <f t="shared" si="27"/>
        <v>TVSKLVMGLGITVCIFIMLA</v>
      </c>
      <c r="R305" s="27" t="str">
        <f t="shared" si="28"/>
        <v>N</v>
      </c>
      <c r="S305" s="19" t="str">
        <f t="shared" si="29"/>
        <v>LLVMVAIYVN</v>
      </c>
      <c r="Z305" s="4"/>
      <c r="AD305" s="1" t="s">
        <v>96</v>
      </c>
      <c r="AE305" s="1">
        <v>47</v>
      </c>
      <c r="AF305" s="1">
        <v>67</v>
      </c>
      <c r="AG305" s="1">
        <v>77</v>
      </c>
      <c r="AH305" s="1" t="s">
        <v>13</v>
      </c>
      <c r="AK305" s="4">
        <v>30</v>
      </c>
      <c r="AL305" s="4">
        <v>60</v>
      </c>
    </row>
    <row r="306" spans="1:38" x14ac:dyDescent="0.25">
      <c r="A306" s="1" t="str">
        <f t="shared" si="24"/>
        <v>NTR1_rat__wt_TM1</v>
      </c>
      <c r="B306" s="45" t="s">
        <v>234</v>
      </c>
      <c r="C306" s="45" t="s">
        <v>294</v>
      </c>
      <c r="D306" s="4" t="str">
        <f>VLOOKUP(B306,Classification!A:D,2,FALSE)</f>
        <v>A</v>
      </c>
      <c r="E306" s="4" t="str">
        <f>VLOOKUP(B306,Classification!A:D,3,FALSE)</f>
        <v>Peptide</v>
      </c>
      <c r="F306" s="4" t="str">
        <f>VLOOKUP(B306,Classification!A:D,4,FALSE)</f>
        <v>Neurotensin</v>
      </c>
      <c r="G306" s="2">
        <v>1</v>
      </c>
      <c r="H306" s="45" t="s">
        <v>11</v>
      </c>
      <c r="I306" s="2" t="s">
        <v>1223</v>
      </c>
      <c r="J306" s="5" t="str">
        <f>VLOOKUP(B306,Seqs!A:B,2,FALSE)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06" s="4" t="str">
        <f t="shared" si="30"/>
        <v>I</v>
      </c>
      <c r="L306" s="45">
        <f>VLOOKUP(B306,'NonXtal_SegEnds_Prot#'!A:AL,3,FALSE)</f>
        <v>61</v>
      </c>
      <c r="M306" s="45">
        <f>VLOOKUP(B306,'NonXtal_SegEnds_Prot#'!A:AL,4,FALSE)</f>
        <v>82</v>
      </c>
      <c r="N306" s="45">
        <f>VLOOKUP(B306,'NonXtal_SegEnds_Prot#'!A:AL,5,FALSE)</f>
        <v>92</v>
      </c>
      <c r="O306" s="4" t="str">
        <f t="shared" si="26"/>
        <v>K</v>
      </c>
      <c r="P306" s="4"/>
      <c r="Q306" s="47" t="str">
        <f t="shared" si="27"/>
        <v>IYSKVLVTAIYLALFVVGTVG</v>
      </c>
      <c r="R306" s="27" t="str">
        <f t="shared" si="28"/>
        <v>N</v>
      </c>
      <c r="S306" s="19" t="str">
        <f t="shared" si="29"/>
        <v>SVTAFTLARK</v>
      </c>
      <c r="Z306" s="4" t="s">
        <v>78</v>
      </c>
      <c r="AD306" s="1" t="s">
        <v>12</v>
      </c>
      <c r="AE306" s="1">
        <v>61</v>
      </c>
      <c r="AF306" s="1">
        <v>82</v>
      </c>
      <c r="AG306" s="1">
        <v>92</v>
      </c>
      <c r="AH306" s="1" t="s">
        <v>13</v>
      </c>
      <c r="AK306" s="4">
        <v>29</v>
      </c>
      <c r="AL306" s="4">
        <v>60</v>
      </c>
    </row>
    <row r="307" spans="1:38" x14ac:dyDescent="0.25">
      <c r="A307" s="1" t="str">
        <f t="shared" si="24"/>
        <v>NTR1_rat_4BOU_TM1</v>
      </c>
      <c r="B307" s="45" t="s">
        <v>234</v>
      </c>
      <c r="C307" s="45" t="s">
        <v>239</v>
      </c>
      <c r="D307" s="4" t="str">
        <f>VLOOKUP(B307,Classification!A:D,2,FALSE)</f>
        <v>A</v>
      </c>
      <c r="E307" s="4" t="str">
        <f>VLOOKUP(B307,Classification!A:D,3,FALSE)</f>
        <v>Peptide</v>
      </c>
      <c r="F307" s="4" t="str">
        <f>VLOOKUP(B307,Classification!A:D,4,FALSE)</f>
        <v>Neurotensin</v>
      </c>
      <c r="G307" s="2">
        <v>1</v>
      </c>
      <c r="H307" s="45" t="s">
        <v>11</v>
      </c>
      <c r="I307" s="2" t="s">
        <v>1223</v>
      </c>
      <c r="J307" s="5" t="str">
        <f>VLOOKUP(B307,Seqs!A:B,2,FALSE)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07" s="4" t="str">
        <f t="shared" si="30"/>
        <v>I</v>
      </c>
      <c r="L307" s="45">
        <f>VLOOKUP(B307,'NonXtal_SegEnds_Prot#'!A:AL,3,FALSE)</f>
        <v>61</v>
      </c>
      <c r="M307" s="45">
        <f>VLOOKUP(B307,'NonXtal_SegEnds_Prot#'!A:AL,4,FALSE)</f>
        <v>82</v>
      </c>
      <c r="N307" s="45">
        <f>VLOOKUP(B307,'NonXtal_SegEnds_Prot#'!A:AL,5,FALSE)</f>
        <v>92</v>
      </c>
      <c r="O307" s="4" t="str">
        <f t="shared" si="26"/>
        <v>K</v>
      </c>
      <c r="P307" s="4"/>
      <c r="Q307" s="47" t="str">
        <f t="shared" si="27"/>
        <v>IYSKVLVTAIYLALFVVGTVG</v>
      </c>
      <c r="R307" s="27" t="str">
        <f t="shared" si="28"/>
        <v>N</v>
      </c>
      <c r="S307" s="19" t="str">
        <f t="shared" si="29"/>
        <v>SVTAFTLARK</v>
      </c>
      <c r="Z307" s="4" t="s">
        <v>78</v>
      </c>
      <c r="AD307" s="1" t="s">
        <v>12</v>
      </c>
      <c r="AE307" s="1">
        <v>61</v>
      </c>
      <c r="AF307" s="1">
        <v>82</v>
      </c>
      <c r="AG307" s="1">
        <v>90</v>
      </c>
      <c r="AH307" s="1" t="s">
        <v>131</v>
      </c>
      <c r="AK307" s="4">
        <v>29</v>
      </c>
      <c r="AL307" s="4">
        <v>58</v>
      </c>
    </row>
    <row r="308" spans="1:38" x14ac:dyDescent="0.25">
      <c r="A308" s="1" t="str">
        <f t="shared" si="24"/>
        <v>NTR1_rat_4GRV_TM1</v>
      </c>
      <c r="B308" s="45" t="s">
        <v>234</v>
      </c>
      <c r="C308" s="45" t="s">
        <v>238</v>
      </c>
      <c r="D308" s="4" t="str">
        <f>VLOOKUP(B308,Classification!A:D,2,FALSE)</f>
        <v>A</v>
      </c>
      <c r="E308" s="4" t="str">
        <f>VLOOKUP(B308,Classification!A:D,3,FALSE)</f>
        <v>Peptide</v>
      </c>
      <c r="F308" s="4" t="str">
        <f>VLOOKUP(B308,Classification!A:D,4,FALSE)</f>
        <v>Neurotensin</v>
      </c>
      <c r="G308" s="2">
        <v>1</v>
      </c>
      <c r="H308" s="45" t="s">
        <v>11</v>
      </c>
      <c r="I308" s="2" t="s">
        <v>1223</v>
      </c>
      <c r="J308" s="5" t="str">
        <f>VLOOKUP(B308,Seqs!A:B,2,FALSE)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08" s="4" t="str">
        <f t="shared" si="30"/>
        <v>I</v>
      </c>
      <c r="L308" s="45">
        <f>VLOOKUP(B308,'NonXtal_SegEnds_Prot#'!A:AL,3,FALSE)</f>
        <v>61</v>
      </c>
      <c r="M308" s="45">
        <f>VLOOKUP(B308,'NonXtal_SegEnds_Prot#'!A:AL,4,FALSE)</f>
        <v>82</v>
      </c>
      <c r="N308" s="45">
        <f>VLOOKUP(B308,'NonXtal_SegEnds_Prot#'!A:AL,5,FALSE)</f>
        <v>92</v>
      </c>
      <c r="O308" s="4" t="str">
        <f t="shared" si="26"/>
        <v>K</v>
      </c>
      <c r="P308" s="4"/>
      <c r="Q308" s="47" t="str">
        <f t="shared" si="27"/>
        <v>IYSKVLVTAIYLALFVVGTVG</v>
      </c>
      <c r="R308" s="27" t="str">
        <f t="shared" si="28"/>
        <v>N</v>
      </c>
      <c r="S308" s="19" t="str">
        <f t="shared" si="29"/>
        <v>SVTAFTLARK</v>
      </c>
      <c r="Z308" s="4"/>
      <c r="AD308" s="1" t="s">
        <v>12</v>
      </c>
      <c r="AE308" s="1">
        <v>61</v>
      </c>
      <c r="AF308" s="1">
        <v>82</v>
      </c>
      <c r="AG308" s="1">
        <v>89</v>
      </c>
      <c r="AH308" s="1" t="s">
        <v>135</v>
      </c>
      <c r="AK308" s="4">
        <v>29</v>
      </c>
      <c r="AL308" s="4">
        <v>57</v>
      </c>
    </row>
    <row r="309" spans="1:38" x14ac:dyDescent="0.25">
      <c r="A309" s="1" t="str">
        <f t="shared" si="24"/>
        <v>OPRD_human__wt_TM1</v>
      </c>
      <c r="B309" s="45" t="s">
        <v>226</v>
      </c>
      <c r="C309" s="45" t="s">
        <v>294</v>
      </c>
      <c r="D309" s="4" t="str">
        <f>VLOOKUP(B309,Classification!A:D,2,FALSE)</f>
        <v>A</v>
      </c>
      <c r="E309" s="4" t="str">
        <f>VLOOKUP(B309,Classification!A:D,3,FALSE)</f>
        <v>Peptide</v>
      </c>
      <c r="F309" s="4" t="str">
        <f>VLOOKUP(B309,Classification!A:D,4,FALSE)</f>
        <v>Opioid</v>
      </c>
      <c r="G309" s="2">
        <v>1</v>
      </c>
      <c r="H309" s="45" t="s">
        <v>11</v>
      </c>
      <c r="I309" s="2" t="s">
        <v>1223</v>
      </c>
      <c r="J309" s="5" t="str">
        <f>VLOOKUP(B309,Seqs!A:B,2,FALSE)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309" s="4" t="str">
        <f t="shared" si="30"/>
        <v>G</v>
      </c>
      <c r="L309" s="45">
        <f>VLOOKUP(B309,'NonXtal_SegEnds_Prot#'!A:AL,3,FALSE)</f>
        <v>39</v>
      </c>
      <c r="M309" s="45">
        <f>VLOOKUP(B309,'NonXtal_SegEnds_Prot#'!A:AL,4,FALSE)</f>
        <v>67</v>
      </c>
      <c r="N309" s="45">
        <f>VLOOKUP(B309,'NonXtal_SegEnds_Prot#'!A:AL,5,FALSE)</f>
        <v>77</v>
      </c>
      <c r="O309" s="4" t="str">
        <f t="shared" si="26"/>
        <v>Y</v>
      </c>
      <c r="P309" s="4"/>
      <c r="Q309" s="47" t="str">
        <f t="shared" si="27"/>
        <v>GARSASSLALAIAITALYSAVCAVGLLG</v>
      </c>
      <c r="R309" s="27" t="str">
        <f t="shared" si="28"/>
        <v>N</v>
      </c>
      <c r="S309" s="19" t="str">
        <f t="shared" si="29"/>
        <v>VLVMFGIVRY</v>
      </c>
      <c r="Z309" s="4"/>
      <c r="AD309" s="1" t="s">
        <v>137</v>
      </c>
      <c r="AE309" s="1">
        <v>40</v>
      </c>
      <c r="AF309" s="1">
        <v>67</v>
      </c>
      <c r="AG309" s="1">
        <v>77</v>
      </c>
      <c r="AH309" s="1" t="s">
        <v>13</v>
      </c>
      <c r="AK309" s="4">
        <v>23</v>
      </c>
      <c r="AL309" s="4">
        <v>60</v>
      </c>
    </row>
    <row r="310" spans="1:38" x14ac:dyDescent="0.25">
      <c r="A310" s="1" t="str">
        <f t="shared" si="24"/>
        <v>OPRD_human_4N6H_TM1</v>
      </c>
      <c r="B310" s="45" t="s">
        <v>226</v>
      </c>
      <c r="C310" s="45" t="s">
        <v>279</v>
      </c>
      <c r="D310" s="4" t="str">
        <f>VLOOKUP(B310,Classification!A:D,2,FALSE)</f>
        <v>A</v>
      </c>
      <c r="E310" s="4" t="str">
        <f>VLOOKUP(B310,Classification!A:D,3,FALSE)</f>
        <v>Peptide</v>
      </c>
      <c r="F310" s="4" t="str">
        <f>VLOOKUP(B310,Classification!A:D,4,FALSE)</f>
        <v>Opioid</v>
      </c>
      <c r="G310" s="2">
        <v>1</v>
      </c>
      <c r="H310" s="45" t="s">
        <v>11</v>
      </c>
      <c r="I310" s="2" t="s">
        <v>1223</v>
      </c>
      <c r="J310" s="5" t="str">
        <f>VLOOKUP(B310,Seqs!A:B,2,FALSE)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310" s="4" t="str">
        <f t="shared" si="30"/>
        <v>G</v>
      </c>
      <c r="L310" s="45">
        <f>VLOOKUP(B310,'NonXtal_SegEnds_Prot#'!A:AL,3,FALSE)</f>
        <v>39</v>
      </c>
      <c r="M310" s="45">
        <f>VLOOKUP(B310,'NonXtal_SegEnds_Prot#'!A:AL,4,FALSE)</f>
        <v>67</v>
      </c>
      <c r="N310" s="45">
        <f>VLOOKUP(B310,'NonXtal_SegEnds_Prot#'!A:AL,5,FALSE)</f>
        <v>77</v>
      </c>
      <c r="O310" s="4" t="str">
        <f t="shared" si="26"/>
        <v>Y</v>
      </c>
      <c r="P310" s="4"/>
      <c r="Q310" s="47" t="str">
        <f t="shared" si="27"/>
        <v>GARSASSLALAIAITALYSAVCAVGLLG</v>
      </c>
      <c r="R310" s="27" t="str">
        <f t="shared" si="28"/>
        <v>N</v>
      </c>
      <c r="S310" s="19" t="str">
        <f t="shared" si="29"/>
        <v>VLVMFGIVRY</v>
      </c>
      <c r="Z310" s="4"/>
      <c r="AD310" s="1" t="s">
        <v>137</v>
      </c>
      <c r="AE310" s="1">
        <v>40</v>
      </c>
      <c r="AF310" s="1">
        <v>67</v>
      </c>
      <c r="AG310" s="1">
        <v>77</v>
      </c>
      <c r="AH310" s="1" t="s">
        <v>13</v>
      </c>
      <c r="AK310" s="4">
        <v>23</v>
      </c>
      <c r="AL310" s="4">
        <v>60</v>
      </c>
    </row>
    <row r="311" spans="1:38" x14ac:dyDescent="0.25">
      <c r="A311" s="1" t="str">
        <f t="shared" si="24"/>
        <v>OPRD_mouse_4EJ4_TM1</v>
      </c>
      <c r="B311" s="45" t="s">
        <v>233</v>
      </c>
      <c r="C311" s="45" t="s">
        <v>255</v>
      </c>
      <c r="D311" s="4" t="str">
        <f>VLOOKUP(B311,Classification!A:D,2,FALSE)</f>
        <v>A</v>
      </c>
      <c r="E311" s="4" t="str">
        <f>VLOOKUP(B311,Classification!A:D,3,FALSE)</f>
        <v>Peptide</v>
      </c>
      <c r="F311" s="4" t="str">
        <f>VLOOKUP(B311,Classification!A:D,4,FALSE)</f>
        <v>Opioid</v>
      </c>
      <c r="G311" s="2">
        <v>1</v>
      </c>
      <c r="H311" s="45" t="s">
        <v>11</v>
      </c>
      <c r="I311" s="2" t="s">
        <v>1223</v>
      </c>
      <c r="J311" s="5" t="str">
        <f>VLOOKUP(B311,Seqs!A:B,2,FALSE)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311" s="4" t="str">
        <f t="shared" si="30"/>
        <v>R</v>
      </c>
      <c r="L311" s="45">
        <f>VLOOKUP(B311,'NonXtal_SegEnds_Prot#'!A:AL,3,FALSE)</f>
        <v>41</v>
      </c>
      <c r="M311" s="45">
        <f>VLOOKUP(B311,'NonXtal_SegEnds_Prot#'!A:AL,4,FALSE)</f>
        <v>67</v>
      </c>
      <c r="N311" s="45">
        <f>VLOOKUP(B311,'NonXtal_SegEnds_Prot#'!A:AL,5,FALSE)</f>
        <v>77</v>
      </c>
      <c r="O311" s="4" t="str">
        <f t="shared" si="26"/>
        <v>Y</v>
      </c>
      <c r="P311" s="4"/>
      <c r="Q311" s="47" t="str">
        <f t="shared" si="27"/>
        <v>RSASSLALAIAITALYSAVCAVGLLG</v>
      </c>
      <c r="R311" s="27" t="str">
        <f t="shared" si="28"/>
        <v>N</v>
      </c>
      <c r="S311" s="19" t="str">
        <f t="shared" si="29"/>
        <v>VLVMFGIVRY</v>
      </c>
      <c r="Z311" s="4"/>
      <c r="AD311" s="1" t="s">
        <v>140</v>
      </c>
      <c r="AE311" s="1">
        <v>41</v>
      </c>
      <c r="AF311" s="1">
        <v>67</v>
      </c>
      <c r="AG311" s="1">
        <v>77</v>
      </c>
      <c r="AH311" s="1" t="s">
        <v>13</v>
      </c>
      <c r="AK311" s="4">
        <v>24</v>
      </c>
      <c r="AL311" s="4">
        <v>60</v>
      </c>
    </row>
    <row r="312" spans="1:38" x14ac:dyDescent="0.25">
      <c r="A312" s="1" t="str">
        <f t="shared" si="24"/>
        <v>OPRK_human__wt_TM1</v>
      </c>
      <c r="B312" s="45" t="s">
        <v>227</v>
      </c>
      <c r="C312" s="45" t="s">
        <v>294</v>
      </c>
      <c r="D312" s="4" t="str">
        <f>VLOOKUP(B312,Classification!A:D,2,FALSE)</f>
        <v>A</v>
      </c>
      <c r="E312" s="4" t="str">
        <f>VLOOKUP(B312,Classification!A:D,3,FALSE)</f>
        <v>Peptide</v>
      </c>
      <c r="F312" s="4" t="str">
        <f>VLOOKUP(B312,Classification!A:D,4,FALSE)</f>
        <v>Opioid</v>
      </c>
      <c r="G312" s="2">
        <v>1</v>
      </c>
      <c r="H312" s="45" t="s">
        <v>11</v>
      </c>
      <c r="I312" s="2" t="s">
        <v>1223</v>
      </c>
      <c r="J312" s="5" t="str">
        <f>VLOOKUP(B312,Seqs!A:B,2,FALSE)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312" s="4" t="str">
        <f t="shared" si="30"/>
        <v>A</v>
      </c>
      <c r="L312" s="45">
        <f>VLOOKUP(B312,'NonXtal_SegEnds_Prot#'!A:AL,3,FALSE)</f>
        <v>57</v>
      </c>
      <c r="M312" s="45">
        <f>VLOOKUP(B312,'NonXtal_SegEnds_Prot#'!A:AL,4,FALSE)</f>
        <v>77</v>
      </c>
      <c r="N312" s="45">
        <f>VLOOKUP(B312,'NonXtal_SegEnds_Prot#'!A:AL,5,FALSE)</f>
        <v>87</v>
      </c>
      <c r="O312" s="4" t="str">
        <f t="shared" si="26"/>
        <v>Y</v>
      </c>
      <c r="P312" s="4"/>
      <c r="Q312" s="47" t="str">
        <f t="shared" si="27"/>
        <v>AIPVIITAVYSVVFVVGLVG</v>
      </c>
      <c r="R312" s="27" t="str">
        <f t="shared" si="28"/>
        <v>N</v>
      </c>
      <c r="S312" s="19" t="str">
        <f t="shared" si="29"/>
        <v>SLVMFVIIRY</v>
      </c>
      <c r="Z312" s="4"/>
      <c r="AD312" s="1" t="s">
        <v>96</v>
      </c>
      <c r="AE312" s="1">
        <v>57</v>
      </c>
      <c r="AF312" s="1">
        <v>77</v>
      </c>
      <c r="AG312" s="1">
        <v>87</v>
      </c>
      <c r="AH312" s="1" t="s">
        <v>13</v>
      </c>
      <c r="AK312" s="4">
        <v>30</v>
      </c>
      <c r="AL312" s="4">
        <v>60</v>
      </c>
    </row>
    <row r="313" spans="1:38" x14ac:dyDescent="0.25">
      <c r="A313" s="1" t="str">
        <f t="shared" si="24"/>
        <v>OPRK_human_4DJH_TM1</v>
      </c>
      <c r="B313" s="45" t="s">
        <v>227</v>
      </c>
      <c r="C313" s="45" t="s">
        <v>280</v>
      </c>
      <c r="D313" s="4" t="str">
        <f>VLOOKUP(B313,Classification!A:D,2,FALSE)</f>
        <v>A</v>
      </c>
      <c r="E313" s="4" t="str">
        <f>VLOOKUP(B313,Classification!A:D,3,FALSE)</f>
        <v>Peptide</v>
      </c>
      <c r="F313" s="4" t="str">
        <f>VLOOKUP(B313,Classification!A:D,4,FALSE)</f>
        <v>Opioid</v>
      </c>
      <c r="G313" s="2">
        <v>1</v>
      </c>
      <c r="H313" s="45" t="s">
        <v>11</v>
      </c>
      <c r="I313" s="2" t="s">
        <v>1223</v>
      </c>
      <c r="J313" s="5" t="str">
        <f>VLOOKUP(B313,Seqs!A:B,2,FALSE)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313" s="4" t="str">
        <f t="shared" si="30"/>
        <v>A</v>
      </c>
      <c r="L313" s="45">
        <f>VLOOKUP(B313,'NonXtal_SegEnds_Prot#'!A:AL,3,FALSE)</f>
        <v>57</v>
      </c>
      <c r="M313" s="45">
        <f>VLOOKUP(B313,'NonXtal_SegEnds_Prot#'!A:AL,4,FALSE)</f>
        <v>77</v>
      </c>
      <c r="N313" s="45">
        <f>VLOOKUP(B313,'NonXtal_SegEnds_Prot#'!A:AL,5,FALSE)</f>
        <v>87</v>
      </c>
      <c r="O313" s="4" t="str">
        <f t="shared" si="26"/>
        <v>Y</v>
      </c>
      <c r="P313" s="4"/>
      <c r="Q313" s="47" t="str">
        <f t="shared" si="27"/>
        <v>AIPVIITAVYSVVFVVGLVG</v>
      </c>
      <c r="R313" s="27" t="str">
        <f t="shared" si="28"/>
        <v>N</v>
      </c>
      <c r="S313" s="19" t="str">
        <f t="shared" si="29"/>
        <v>SLVMFVIIRY</v>
      </c>
      <c r="Z313" s="4"/>
      <c r="AD313" s="1" t="s">
        <v>96</v>
      </c>
      <c r="AE313" s="1">
        <v>57</v>
      </c>
      <c r="AF313" s="1">
        <v>77</v>
      </c>
      <c r="AG313" s="1">
        <v>87</v>
      </c>
      <c r="AH313" s="1" t="s">
        <v>13</v>
      </c>
      <c r="AK313" s="4">
        <v>30</v>
      </c>
      <c r="AL313" s="4">
        <v>60</v>
      </c>
    </row>
    <row r="314" spans="1:38" x14ac:dyDescent="0.25">
      <c r="A314" s="1" t="str">
        <f t="shared" si="24"/>
        <v>OPRM_mouse__wt_TM1</v>
      </c>
      <c r="B314" s="45" t="s">
        <v>232</v>
      </c>
      <c r="C314" s="45" t="s">
        <v>294</v>
      </c>
      <c r="D314" s="4" t="str">
        <f>VLOOKUP(B314,Classification!A:D,2,FALSE)</f>
        <v>A</v>
      </c>
      <c r="E314" s="4" t="str">
        <f>VLOOKUP(B314,Classification!A:D,3,FALSE)</f>
        <v>Peptide</v>
      </c>
      <c r="F314" s="4" t="str">
        <f>VLOOKUP(B314,Classification!A:D,4,FALSE)</f>
        <v>Opioid</v>
      </c>
      <c r="G314" s="2">
        <v>1</v>
      </c>
      <c r="H314" s="45" t="s">
        <v>11</v>
      </c>
      <c r="I314" s="2" t="s">
        <v>1223</v>
      </c>
      <c r="J314" s="5" t="str">
        <f>VLOOKUP(B314,Seqs!A:B,2,FALSE)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314" s="4" t="str">
        <f t="shared" si="30"/>
        <v>M</v>
      </c>
      <c r="L314" s="45">
        <f>VLOOKUP(B314,'NonXtal_SegEnds_Prot#'!A:AL,3,FALSE)</f>
        <v>65</v>
      </c>
      <c r="M314" s="45">
        <f>VLOOKUP(B314,'NonXtal_SegEnds_Prot#'!A:AL,4,FALSE)</f>
        <v>86</v>
      </c>
      <c r="N314" s="45">
        <f>VLOOKUP(B314,'NonXtal_SegEnds_Prot#'!A:AL,5,FALSE)</f>
        <v>96</v>
      </c>
      <c r="O314" s="4" t="str">
        <f t="shared" si="26"/>
        <v>Y</v>
      </c>
      <c r="P314" s="4"/>
      <c r="Q314" s="47" t="str">
        <f t="shared" si="27"/>
        <v>MVTAITIMALYSIVCVVGLFG</v>
      </c>
      <c r="R314" s="27" t="str">
        <f t="shared" si="28"/>
        <v>N</v>
      </c>
      <c r="S314" s="19" t="str">
        <f t="shared" si="29"/>
        <v>FLVMYVIVRY</v>
      </c>
      <c r="Z314" s="4" t="s">
        <v>64</v>
      </c>
      <c r="AD314" s="1" t="s">
        <v>65</v>
      </c>
      <c r="AE314" s="1">
        <v>64</v>
      </c>
      <c r="AF314" s="1">
        <v>86</v>
      </c>
      <c r="AG314" s="1">
        <v>96</v>
      </c>
      <c r="AH314" s="1" t="s">
        <v>13</v>
      </c>
      <c r="AK314" s="4">
        <v>28</v>
      </c>
      <c r="AL314" s="4">
        <v>60</v>
      </c>
    </row>
    <row r="315" spans="1:38" x14ac:dyDescent="0.25">
      <c r="A315" s="1" t="str">
        <f t="shared" si="24"/>
        <v>OPRM_mouse_4DKL_TM1</v>
      </c>
      <c r="B315" s="45" t="s">
        <v>232</v>
      </c>
      <c r="C315" s="45" t="s">
        <v>256</v>
      </c>
      <c r="D315" s="4" t="str">
        <f>VLOOKUP(B315,Classification!A:D,2,FALSE)</f>
        <v>A</v>
      </c>
      <c r="E315" s="4" t="str">
        <f>VLOOKUP(B315,Classification!A:D,3,FALSE)</f>
        <v>Peptide</v>
      </c>
      <c r="F315" s="4" t="str">
        <f>VLOOKUP(B315,Classification!A:D,4,FALSE)</f>
        <v>Opioid</v>
      </c>
      <c r="G315" s="2">
        <v>1</v>
      </c>
      <c r="H315" s="45" t="s">
        <v>11</v>
      </c>
      <c r="I315" s="2" t="s">
        <v>1223</v>
      </c>
      <c r="J315" s="5" t="str">
        <f>VLOOKUP(B315,Seqs!A:B,2,FALSE)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315" s="4" t="str">
        <f t="shared" si="30"/>
        <v>M</v>
      </c>
      <c r="L315" s="45">
        <f>VLOOKUP(B315,'NonXtal_SegEnds_Prot#'!A:AL,3,FALSE)</f>
        <v>65</v>
      </c>
      <c r="M315" s="45">
        <f>VLOOKUP(B315,'NonXtal_SegEnds_Prot#'!A:AL,4,FALSE)</f>
        <v>86</v>
      </c>
      <c r="N315" s="45">
        <f>VLOOKUP(B315,'NonXtal_SegEnds_Prot#'!A:AL,5,FALSE)</f>
        <v>96</v>
      </c>
      <c r="O315" s="4" t="str">
        <f t="shared" si="26"/>
        <v>Y</v>
      </c>
      <c r="P315" s="4"/>
      <c r="Q315" s="47" t="str">
        <f t="shared" si="27"/>
        <v>MVTAITIMALYSIVCVVGLFG</v>
      </c>
      <c r="R315" s="28" t="str">
        <f t="shared" si="28"/>
        <v>N</v>
      </c>
      <c r="S315" s="20" t="str">
        <f t="shared" si="29"/>
        <v>FLVMYVIVRY</v>
      </c>
      <c r="Z315" s="4"/>
      <c r="AD315" s="1" t="s">
        <v>96</v>
      </c>
      <c r="AE315" s="1">
        <v>66</v>
      </c>
      <c r="AF315" s="1">
        <v>86</v>
      </c>
      <c r="AG315" s="1">
        <v>96</v>
      </c>
      <c r="AH315" s="1" t="s">
        <v>13</v>
      </c>
      <c r="AK315" s="4">
        <v>30</v>
      </c>
      <c r="AL315" s="4">
        <v>60</v>
      </c>
    </row>
    <row r="316" spans="1:38" x14ac:dyDescent="0.25">
      <c r="A316" s="1" t="str">
        <f t="shared" si="24"/>
        <v>OPRM_mouse_5C1M_TM1</v>
      </c>
      <c r="B316" s="45" t="s">
        <v>232</v>
      </c>
      <c r="C316" s="45" t="s">
        <v>276</v>
      </c>
      <c r="D316" s="4" t="str">
        <f>VLOOKUP(B316,Classification!A:D,2,FALSE)</f>
        <v>A</v>
      </c>
      <c r="E316" s="4" t="str">
        <f>VLOOKUP(B316,Classification!A:D,3,FALSE)</f>
        <v>Peptide</v>
      </c>
      <c r="F316" s="4" t="str">
        <f>VLOOKUP(B316,Classification!A:D,4,FALSE)</f>
        <v>Opioid</v>
      </c>
      <c r="G316" s="2">
        <v>1</v>
      </c>
      <c r="H316" s="45" t="s">
        <v>11</v>
      </c>
      <c r="I316" s="2" t="s">
        <v>1223</v>
      </c>
      <c r="J316" s="5" t="str">
        <f>VLOOKUP(B316,Seqs!A:B,2,FALSE)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316" s="4" t="str">
        <f t="shared" si="30"/>
        <v>M</v>
      </c>
      <c r="L316" s="45">
        <f>VLOOKUP(B316,'NonXtal_SegEnds_Prot#'!A:AL,3,FALSE)</f>
        <v>65</v>
      </c>
      <c r="M316" s="45">
        <f>VLOOKUP(B316,'NonXtal_SegEnds_Prot#'!A:AL,4,FALSE)</f>
        <v>86</v>
      </c>
      <c r="N316" s="45">
        <f>VLOOKUP(B316,'NonXtal_SegEnds_Prot#'!A:AL,5,FALSE)</f>
        <v>96</v>
      </c>
      <c r="O316" s="4" t="str">
        <f t="shared" si="26"/>
        <v>Y</v>
      </c>
      <c r="P316" s="4"/>
      <c r="Q316" s="47" t="str">
        <f t="shared" si="27"/>
        <v>MVTAITIMALYSIVCVVGLFG</v>
      </c>
      <c r="R316" s="28" t="str">
        <f t="shared" si="28"/>
        <v>N</v>
      </c>
      <c r="S316" s="20" t="str">
        <f t="shared" si="29"/>
        <v>FLVMYVIVRY</v>
      </c>
      <c r="Z316" s="4" t="s">
        <v>64</v>
      </c>
      <c r="AD316" s="1" t="s">
        <v>96</v>
      </c>
      <c r="AE316" s="1">
        <v>66</v>
      </c>
      <c r="AF316" s="1">
        <v>86</v>
      </c>
      <c r="AG316" s="1">
        <v>96</v>
      </c>
      <c r="AH316" s="1" t="s">
        <v>13</v>
      </c>
      <c r="AK316" s="4">
        <v>30</v>
      </c>
      <c r="AL316" s="4">
        <v>60</v>
      </c>
    </row>
    <row r="317" spans="1:38" x14ac:dyDescent="0.25">
      <c r="A317" s="1" t="str">
        <f t="shared" si="24"/>
        <v>OPRX_human__wt_TM1</v>
      </c>
      <c r="B317" s="45" t="s">
        <v>1373</v>
      </c>
      <c r="C317" s="45" t="s">
        <v>294</v>
      </c>
      <c r="D317" s="4" t="str">
        <f>VLOOKUP(B317,Classification!A:D,2,FALSE)</f>
        <v>A</v>
      </c>
      <c r="E317" s="4" t="str">
        <f>VLOOKUP(B317,Classification!A:D,3,FALSE)</f>
        <v>Peptide</v>
      </c>
      <c r="F317" s="4" t="str">
        <f>VLOOKUP(B317,Classification!A:D,4,FALSE)</f>
        <v>Opioid</v>
      </c>
      <c r="G317" s="2">
        <v>1</v>
      </c>
      <c r="H317" s="45" t="s">
        <v>11</v>
      </c>
      <c r="I317" s="2" t="s">
        <v>1223</v>
      </c>
      <c r="J317" s="5" t="str">
        <f>VLOOKUP(B317,Seqs!A:B,2,FALSE)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317" s="4" t="str">
        <f t="shared" si="30"/>
        <v>L</v>
      </c>
      <c r="L317" s="45">
        <f>VLOOKUP(B317,'NonXtal_SegEnds_Prot#'!A:AL,3,FALSE)</f>
        <v>48</v>
      </c>
      <c r="M317" s="45">
        <f>VLOOKUP(B317,'NonXtal_SegEnds_Prot#'!A:AL,4,FALSE)</f>
        <v>69</v>
      </c>
      <c r="N317" s="45">
        <f>VLOOKUP(B317,'NonXtal_SegEnds_Prot#'!A:AL,5,FALSE)</f>
        <v>79</v>
      </c>
      <c r="O317" s="4" t="str">
        <f t="shared" si="26"/>
        <v>H</v>
      </c>
      <c r="P317" s="4"/>
      <c r="Q317" s="47" t="str">
        <f t="shared" si="27"/>
        <v>LGLKVTIVGLYLAVCVGGLLG</v>
      </c>
      <c r="R317" s="27" t="str">
        <f t="shared" si="28"/>
        <v>N</v>
      </c>
      <c r="S317" s="19" t="str">
        <f t="shared" si="29"/>
        <v>CLVMYVILRH</v>
      </c>
      <c r="Z317" s="4"/>
      <c r="AD317" s="1" t="s">
        <v>12</v>
      </c>
      <c r="AE317" s="1">
        <v>48</v>
      </c>
      <c r="AF317" s="1">
        <v>69</v>
      </c>
      <c r="AG317" s="1">
        <v>79</v>
      </c>
      <c r="AH317" s="1" t="s">
        <v>13</v>
      </c>
      <c r="AK317" s="4">
        <v>29</v>
      </c>
      <c r="AL317" s="4">
        <v>60</v>
      </c>
    </row>
    <row r="318" spans="1:38" x14ac:dyDescent="0.25">
      <c r="A318" s="1" t="str">
        <f t="shared" si="24"/>
        <v>OPRX_human_4EA3_TM1</v>
      </c>
      <c r="B318" s="45" t="s">
        <v>1373</v>
      </c>
      <c r="C318" s="45" t="s">
        <v>258</v>
      </c>
      <c r="D318" s="4" t="str">
        <f>VLOOKUP(B318,Classification!A:D,2,FALSE)</f>
        <v>A</v>
      </c>
      <c r="E318" s="4" t="str">
        <f>VLOOKUP(B318,Classification!A:D,3,FALSE)</f>
        <v>Peptide</v>
      </c>
      <c r="F318" s="4" t="str">
        <f>VLOOKUP(B318,Classification!A:D,4,FALSE)</f>
        <v>Opioid</v>
      </c>
      <c r="G318" s="2">
        <v>1</v>
      </c>
      <c r="H318" s="45" t="s">
        <v>11</v>
      </c>
      <c r="I318" s="2" t="s">
        <v>1223</v>
      </c>
      <c r="J318" s="5" t="str">
        <f>VLOOKUP(B318,Seqs!A:B,2,FALSE)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318" s="4" t="str">
        <f t="shared" si="30"/>
        <v>L</v>
      </c>
      <c r="L318" s="45">
        <f>VLOOKUP(B318,'NonXtal_SegEnds_Prot#'!A:AL,3,FALSE)</f>
        <v>48</v>
      </c>
      <c r="M318" s="45">
        <f>VLOOKUP(B318,'NonXtal_SegEnds_Prot#'!A:AL,4,FALSE)</f>
        <v>69</v>
      </c>
      <c r="N318" s="45">
        <f>VLOOKUP(B318,'NonXtal_SegEnds_Prot#'!A:AL,5,FALSE)</f>
        <v>79</v>
      </c>
      <c r="O318" s="4" t="str">
        <f t="shared" si="26"/>
        <v>H</v>
      </c>
      <c r="P318" s="4"/>
      <c r="Q318" s="47" t="str">
        <f t="shared" si="27"/>
        <v>LGLKVTIVGLYLAVCVGGLLG</v>
      </c>
      <c r="R318" s="27" t="str">
        <f t="shared" si="28"/>
        <v>N</v>
      </c>
      <c r="S318" s="19" t="str">
        <f t="shared" si="29"/>
        <v>CLVMYVILRH</v>
      </c>
      <c r="Z318" s="4"/>
      <c r="AD318" s="1" t="s">
        <v>12</v>
      </c>
      <c r="AE318" s="1">
        <v>48</v>
      </c>
      <c r="AF318" s="1">
        <v>69</v>
      </c>
      <c r="AG318" s="1">
        <v>79</v>
      </c>
      <c r="AH318" s="1" t="s">
        <v>13</v>
      </c>
      <c r="AK318" s="4">
        <v>29</v>
      </c>
      <c r="AL318" s="4">
        <v>60</v>
      </c>
    </row>
    <row r="319" spans="1:38" x14ac:dyDescent="0.25">
      <c r="A319" s="1" t="str">
        <f t="shared" si="24"/>
        <v>OPSD_bovin_1U19_TM1</v>
      </c>
      <c r="B319" s="45" t="s">
        <v>231</v>
      </c>
      <c r="C319" s="45" t="s">
        <v>244</v>
      </c>
      <c r="D319" s="4" t="str">
        <f>VLOOKUP(B319,Classification!A:D,2,FALSE)</f>
        <v>A</v>
      </c>
      <c r="E319" s="4" t="str">
        <f>VLOOKUP(B319,Classification!A:D,3,FALSE)</f>
        <v>Sensory</v>
      </c>
      <c r="F319" s="4" t="str">
        <f>VLOOKUP(B319,Classification!A:D,4,FALSE)</f>
        <v>Opsins</v>
      </c>
      <c r="G319" s="2">
        <v>1</v>
      </c>
      <c r="H319" s="45" t="s">
        <v>11</v>
      </c>
      <c r="I319" s="2" t="s">
        <v>1223</v>
      </c>
      <c r="J319" s="5" t="str">
        <f>VLOOKUP(B319,Seqs!A:B,2,FALSE)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319" s="4" t="str">
        <f t="shared" si="30"/>
        <v>P</v>
      </c>
      <c r="L319" s="45">
        <f>VLOOKUP(B319,'NonXtal_SegEnds_Prot#'!A:AL,3,FALSE)</f>
        <v>34</v>
      </c>
      <c r="M319" s="45">
        <f>VLOOKUP(B319,'NonXtal_SegEnds_Prot#'!A:AL,4,FALSE)</f>
        <v>55</v>
      </c>
      <c r="N319" s="45">
        <f>VLOOKUP(B319,'NonXtal_SegEnds_Prot#'!A:AL,5,FALSE)</f>
        <v>65</v>
      </c>
      <c r="O319" s="4" t="str">
        <f t="shared" si="26"/>
        <v>H</v>
      </c>
      <c r="P319" s="4"/>
      <c r="Q319" s="47" t="str">
        <f t="shared" si="27"/>
        <v>PWQFSMLAAYMFLLIMLGFPI</v>
      </c>
      <c r="R319" s="27" t="str">
        <f t="shared" si="28"/>
        <v>N</v>
      </c>
      <c r="S319" s="19" t="str">
        <f t="shared" si="29"/>
        <v>FLTLYVTVQH</v>
      </c>
      <c r="Z319" s="4"/>
      <c r="AD319" s="1" t="s">
        <v>12</v>
      </c>
      <c r="AE319" s="1">
        <v>34</v>
      </c>
      <c r="AF319" s="1">
        <v>55</v>
      </c>
      <c r="AG319" s="1">
        <v>65</v>
      </c>
      <c r="AH319" s="1" t="s">
        <v>13</v>
      </c>
      <c r="AK319" s="4">
        <v>29</v>
      </c>
      <c r="AL319" s="4">
        <v>60</v>
      </c>
    </row>
    <row r="320" spans="1:38" x14ac:dyDescent="0.25">
      <c r="A320" s="1" t="str">
        <f t="shared" si="24"/>
        <v>OPSD_bovin_3DQB_TM1</v>
      </c>
      <c r="B320" s="45" t="s">
        <v>231</v>
      </c>
      <c r="C320" s="45" t="s">
        <v>245</v>
      </c>
      <c r="D320" s="4" t="str">
        <f>VLOOKUP(B320,Classification!A:D,2,FALSE)</f>
        <v>A</v>
      </c>
      <c r="E320" s="4" t="str">
        <f>VLOOKUP(B320,Classification!A:D,3,FALSE)</f>
        <v>Sensory</v>
      </c>
      <c r="F320" s="4" t="str">
        <f>VLOOKUP(B320,Classification!A:D,4,FALSE)</f>
        <v>Opsins</v>
      </c>
      <c r="G320" s="2">
        <v>1</v>
      </c>
      <c r="H320" s="45" t="s">
        <v>11</v>
      </c>
      <c r="I320" s="2" t="s">
        <v>1223</v>
      </c>
      <c r="J320" s="5" t="str">
        <f>VLOOKUP(B320,Seqs!A:B,2,FALSE)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320" s="4" t="str">
        <f t="shared" si="30"/>
        <v>P</v>
      </c>
      <c r="L320" s="45">
        <f>VLOOKUP(B320,'NonXtal_SegEnds_Prot#'!A:AL,3,FALSE)</f>
        <v>34</v>
      </c>
      <c r="M320" s="45">
        <f>VLOOKUP(B320,'NonXtal_SegEnds_Prot#'!A:AL,4,FALSE)</f>
        <v>55</v>
      </c>
      <c r="N320" s="45">
        <f>VLOOKUP(B320,'NonXtal_SegEnds_Prot#'!A:AL,5,FALSE)</f>
        <v>65</v>
      </c>
      <c r="O320" s="4" t="str">
        <f t="shared" si="26"/>
        <v>H</v>
      </c>
      <c r="P320" s="4"/>
      <c r="Q320" s="47" t="str">
        <f t="shared" si="27"/>
        <v>PWQFSMLAAYMFLLIMLGFPI</v>
      </c>
      <c r="R320" s="27" t="str">
        <f t="shared" si="28"/>
        <v>N</v>
      </c>
      <c r="S320" s="19" t="str">
        <f t="shared" si="29"/>
        <v>FLTLYVTVQH</v>
      </c>
      <c r="Z320" s="4"/>
      <c r="AD320" s="1" t="s">
        <v>12</v>
      </c>
      <c r="AE320" s="1">
        <v>34</v>
      </c>
      <c r="AF320" s="1">
        <v>55</v>
      </c>
      <c r="AG320" s="1">
        <v>65</v>
      </c>
      <c r="AH320" s="1" t="s">
        <v>13</v>
      </c>
      <c r="AK320" s="4">
        <v>29</v>
      </c>
      <c r="AL320" s="4">
        <v>60</v>
      </c>
    </row>
    <row r="321" spans="1:38" x14ac:dyDescent="0.25">
      <c r="A321" s="1" t="str">
        <f t="shared" si="24"/>
        <v>OPSD_human__wt_TM1</v>
      </c>
      <c r="B321" s="45" t="s">
        <v>228</v>
      </c>
      <c r="C321" s="45" t="s">
        <v>294</v>
      </c>
      <c r="D321" s="4" t="str">
        <f>VLOOKUP(B321,Classification!A:D,2,FALSE)</f>
        <v>A</v>
      </c>
      <c r="E321" s="4" t="str">
        <f>VLOOKUP(B321,Classification!A:D,3,FALSE)</f>
        <v>Sensory</v>
      </c>
      <c r="F321" s="4" t="str">
        <f>VLOOKUP(B321,Classification!A:D,4,FALSE)</f>
        <v>Opsins</v>
      </c>
      <c r="G321" s="2">
        <v>1</v>
      </c>
      <c r="H321" s="45" t="s">
        <v>11</v>
      </c>
      <c r="I321" s="2" t="s">
        <v>1223</v>
      </c>
      <c r="J321" s="5" t="str">
        <f>VLOOKUP(B321,Seqs!A:B,2,FALSE)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1" s="4" t="str">
        <f t="shared" si="30"/>
        <v>P</v>
      </c>
      <c r="L321" s="45">
        <f>VLOOKUP(B321,'NonXtal_SegEnds_Prot#'!A:AL,3,FALSE)</f>
        <v>34</v>
      </c>
      <c r="M321" s="45">
        <f>VLOOKUP(B321,'NonXtal_SegEnds_Prot#'!A:AL,4,FALSE)</f>
        <v>55</v>
      </c>
      <c r="N321" s="45">
        <f>VLOOKUP(B321,'NonXtal_SegEnds_Prot#'!A:AL,5,FALSE)</f>
        <v>65</v>
      </c>
      <c r="O321" s="4" t="str">
        <f t="shared" si="26"/>
        <v>H</v>
      </c>
      <c r="P321" s="4"/>
      <c r="Q321" s="47" t="str">
        <f t="shared" si="27"/>
        <v>PWQFSMLAAYMFLLIVLGFPI</v>
      </c>
      <c r="R321" s="27" t="str">
        <f t="shared" si="28"/>
        <v>N</v>
      </c>
      <c r="S321" s="19" t="str">
        <f t="shared" si="29"/>
        <v>FLTLYVTVQH</v>
      </c>
      <c r="Z321" s="4"/>
      <c r="AD321" s="1" t="s">
        <v>12</v>
      </c>
      <c r="AE321" s="1">
        <v>34</v>
      </c>
      <c r="AF321" s="1">
        <v>55</v>
      </c>
      <c r="AG321" s="1">
        <v>65</v>
      </c>
      <c r="AH321" s="1" t="s">
        <v>13</v>
      </c>
      <c r="AK321" s="4">
        <v>29</v>
      </c>
      <c r="AL321" s="4">
        <v>60</v>
      </c>
    </row>
    <row r="322" spans="1:38" x14ac:dyDescent="0.25">
      <c r="A322" s="1" t="str">
        <f t="shared" ref="A322:A385" si="31">CONCATENATE(B322,"_",C322,"_",H322)</f>
        <v>OPSD_human__wt_TM1</v>
      </c>
      <c r="B322" s="45" t="s">
        <v>228</v>
      </c>
      <c r="C322" s="45" t="s">
        <v>294</v>
      </c>
      <c r="D322" s="4" t="str">
        <f>VLOOKUP(B322,Classification!A:D,2,FALSE)</f>
        <v>A</v>
      </c>
      <c r="E322" s="4" t="str">
        <f>VLOOKUP(B322,Classification!A:D,3,FALSE)</f>
        <v>Sensory</v>
      </c>
      <c r="F322" s="4" t="str">
        <f>VLOOKUP(B322,Classification!A:D,4,FALSE)</f>
        <v>Opsins</v>
      </c>
      <c r="G322" s="2">
        <v>1</v>
      </c>
      <c r="H322" s="45" t="s">
        <v>11</v>
      </c>
      <c r="I322" s="2" t="s">
        <v>1223</v>
      </c>
      <c r="J322" s="5" t="str">
        <f>VLOOKUP(B322,Seqs!A:B,2,FALSE)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2" s="4" t="str">
        <f t="shared" si="30"/>
        <v>P</v>
      </c>
      <c r="L322" s="45">
        <f>VLOOKUP(B322,'NonXtal_SegEnds_Prot#'!A:AL,3,FALSE)</f>
        <v>34</v>
      </c>
      <c r="M322" s="45">
        <f>VLOOKUP(B322,'NonXtal_SegEnds_Prot#'!A:AL,4,FALSE)</f>
        <v>55</v>
      </c>
      <c r="N322" s="45">
        <f>VLOOKUP(B322,'NonXtal_SegEnds_Prot#'!A:AL,5,FALSE)</f>
        <v>65</v>
      </c>
      <c r="O322" s="4" t="str">
        <f t="shared" ref="O322:O385" si="32">MID(J322,N322,1)</f>
        <v>H</v>
      </c>
      <c r="P322" s="4"/>
      <c r="Q322" s="47" t="str">
        <f t="shared" ref="Q322:Q385" si="33">MID(J322,L322,M322-L322)</f>
        <v>PWQFSMLAAYMFLLIVLGFPI</v>
      </c>
      <c r="R322" s="27" t="str">
        <f t="shared" ref="R322:R385" si="34">MID(J322,M322,1)</f>
        <v>N</v>
      </c>
      <c r="S322" s="19" t="str">
        <f t="shared" ref="S322:S385" si="35">MID(J322,M322+1,N322-M322)</f>
        <v>FLTLYVTVQH</v>
      </c>
      <c r="Z322" s="4" t="s">
        <v>64</v>
      </c>
      <c r="AD322" s="1" t="s">
        <v>12</v>
      </c>
      <c r="AE322" s="1">
        <v>34</v>
      </c>
      <c r="AF322" s="1">
        <v>55</v>
      </c>
      <c r="AG322" s="1">
        <v>65</v>
      </c>
      <c r="AH322" s="1" t="s">
        <v>13</v>
      </c>
      <c r="AK322" s="4">
        <v>29</v>
      </c>
      <c r="AL322" s="4">
        <v>60</v>
      </c>
    </row>
    <row r="323" spans="1:38" x14ac:dyDescent="0.25">
      <c r="A323" s="1" t="str">
        <f t="shared" si="31"/>
        <v>OPSD_human_4ZWJ_TM1</v>
      </c>
      <c r="B323" s="45" t="s">
        <v>228</v>
      </c>
      <c r="C323" s="45" t="s">
        <v>246</v>
      </c>
      <c r="D323" s="4" t="str">
        <f>VLOOKUP(B323,Classification!A:D,2,FALSE)</f>
        <v>A</v>
      </c>
      <c r="E323" s="4" t="str">
        <f>VLOOKUP(B323,Classification!A:D,3,FALSE)</f>
        <v>Sensory</v>
      </c>
      <c r="F323" s="4" t="str">
        <f>VLOOKUP(B323,Classification!A:D,4,FALSE)</f>
        <v>Opsins</v>
      </c>
      <c r="G323" s="2">
        <v>1</v>
      </c>
      <c r="H323" s="45" t="s">
        <v>11</v>
      </c>
      <c r="I323" s="2" t="s">
        <v>1223</v>
      </c>
      <c r="J323" s="5" t="str">
        <f>VLOOKUP(B323,Seqs!A:B,2,FALSE)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3" s="4" t="str">
        <f t="shared" si="30"/>
        <v>P</v>
      </c>
      <c r="L323" s="45">
        <f>VLOOKUP(B323,'NonXtal_SegEnds_Prot#'!A:AL,3,FALSE)</f>
        <v>34</v>
      </c>
      <c r="M323" s="45">
        <f>VLOOKUP(B323,'NonXtal_SegEnds_Prot#'!A:AL,4,FALSE)</f>
        <v>55</v>
      </c>
      <c r="N323" s="45">
        <f>VLOOKUP(B323,'NonXtal_SegEnds_Prot#'!A:AL,5,FALSE)</f>
        <v>65</v>
      </c>
      <c r="O323" s="4" t="str">
        <f t="shared" si="32"/>
        <v>H</v>
      </c>
      <c r="P323" s="4"/>
      <c r="Q323" s="47" t="str">
        <f t="shared" si="33"/>
        <v>PWQFSMLAAYMFLLIVLGFPI</v>
      </c>
      <c r="R323" s="27" t="str">
        <f t="shared" si="34"/>
        <v>N</v>
      </c>
      <c r="S323" s="19" t="str">
        <f t="shared" si="35"/>
        <v>FLTLYVTVQH</v>
      </c>
      <c r="Z323" s="4"/>
      <c r="AD323" s="1" t="s">
        <v>12</v>
      </c>
      <c r="AE323" s="1">
        <v>34</v>
      </c>
      <c r="AF323" s="1">
        <v>55</v>
      </c>
      <c r="AG323" s="1">
        <v>65</v>
      </c>
      <c r="AH323" s="1" t="s">
        <v>13</v>
      </c>
      <c r="AK323" s="4">
        <v>29</v>
      </c>
      <c r="AL323" s="4">
        <v>60</v>
      </c>
    </row>
    <row r="324" spans="1:38" x14ac:dyDescent="0.25">
      <c r="A324" s="1" t="str">
        <f t="shared" si="31"/>
        <v>OPSD_human_4ZWJ_TM1</v>
      </c>
      <c r="B324" s="45" t="s">
        <v>228</v>
      </c>
      <c r="C324" s="45" t="s">
        <v>246</v>
      </c>
      <c r="D324" s="4" t="str">
        <f>VLOOKUP(B324,Classification!A:D,2,FALSE)</f>
        <v>A</v>
      </c>
      <c r="E324" s="4" t="str">
        <f>VLOOKUP(B324,Classification!A:D,3,FALSE)</f>
        <v>Sensory</v>
      </c>
      <c r="F324" s="4" t="str">
        <f>VLOOKUP(B324,Classification!A:D,4,FALSE)</f>
        <v>Opsins</v>
      </c>
      <c r="G324" s="2">
        <v>1</v>
      </c>
      <c r="H324" s="45" t="s">
        <v>11</v>
      </c>
      <c r="I324" s="2" t="s">
        <v>1223</v>
      </c>
      <c r="J324" s="5" t="str">
        <f>VLOOKUP(B324,Seqs!A:B,2,FALSE)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4" s="4" t="str">
        <f t="shared" si="30"/>
        <v>P</v>
      </c>
      <c r="L324" s="45">
        <f>VLOOKUP(B324,'NonXtal_SegEnds_Prot#'!A:AL,3,FALSE)</f>
        <v>34</v>
      </c>
      <c r="M324" s="45">
        <f>VLOOKUP(B324,'NonXtal_SegEnds_Prot#'!A:AL,4,FALSE)</f>
        <v>55</v>
      </c>
      <c r="N324" s="45">
        <f>VLOOKUP(B324,'NonXtal_SegEnds_Prot#'!A:AL,5,FALSE)</f>
        <v>65</v>
      </c>
      <c r="O324" s="4" t="str">
        <f t="shared" si="32"/>
        <v>H</v>
      </c>
      <c r="P324" s="4"/>
      <c r="Q324" s="47" t="str">
        <f t="shared" si="33"/>
        <v>PWQFSMLAAYMFLLIVLGFPI</v>
      </c>
      <c r="R324" s="27" t="str">
        <f t="shared" si="34"/>
        <v>N</v>
      </c>
      <c r="S324" s="19" t="str">
        <f t="shared" si="35"/>
        <v>FLTLYVTVQH</v>
      </c>
      <c r="Z324" s="4" t="s">
        <v>64</v>
      </c>
      <c r="AD324" s="1" t="s">
        <v>12</v>
      </c>
      <c r="AE324" s="1">
        <v>34</v>
      </c>
      <c r="AF324" s="1">
        <v>55</v>
      </c>
      <c r="AG324" s="1">
        <v>65</v>
      </c>
      <c r="AH324" s="1" t="s">
        <v>13</v>
      </c>
      <c r="AK324" s="4">
        <v>29</v>
      </c>
      <c r="AL324" s="4">
        <v>60</v>
      </c>
    </row>
    <row r="325" spans="1:38" x14ac:dyDescent="0.25">
      <c r="A325" s="1" t="str">
        <f t="shared" si="31"/>
        <v>OPSD_todpa__wt_TM1</v>
      </c>
      <c r="B325" s="45" t="s">
        <v>291</v>
      </c>
      <c r="C325" s="45" t="s">
        <v>294</v>
      </c>
      <c r="D325" s="4" t="str">
        <f>VLOOKUP(B325,Classification!A:D,2,FALSE)</f>
        <v>A</v>
      </c>
      <c r="E325" s="4" t="str">
        <f>VLOOKUP(B325,Classification!A:D,3,FALSE)</f>
        <v>Sensory</v>
      </c>
      <c r="F325" s="4" t="str">
        <f>VLOOKUP(B325,Classification!A:D,4,FALSE)</f>
        <v>Opsins</v>
      </c>
      <c r="G325" s="2">
        <v>1</v>
      </c>
      <c r="H325" s="45" t="s">
        <v>11</v>
      </c>
      <c r="I325" s="2" t="s">
        <v>1223</v>
      </c>
      <c r="J325" s="5" t="str">
        <f>VLOOKUP(B325,Seqs!A:B,2,FALSE)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325" s="4" t="str">
        <f t="shared" si="30"/>
        <v>D</v>
      </c>
      <c r="L325" s="45">
        <f>VLOOKUP(B325,'NonXtal_SegEnds_Prot#'!A:AL,3,FALSE)</f>
        <v>31</v>
      </c>
      <c r="M325" s="45">
        <f>VLOOKUP(B325,'NonXtal_SegEnds_Prot#'!A:AL,4,FALSE)</f>
        <v>52</v>
      </c>
      <c r="N325" s="45">
        <f>VLOOKUP(B325,'NonXtal_SegEnds_Prot#'!A:AL,5,FALSE)</f>
        <v>62</v>
      </c>
      <c r="O325" s="4" t="str">
        <f t="shared" si="32"/>
        <v>T</v>
      </c>
      <c r="P325" s="4"/>
      <c r="Q325" s="47" t="str">
        <f t="shared" si="33"/>
        <v>DAVYYSLGIFIGICGIIGCGG</v>
      </c>
      <c r="R325" s="27" t="str">
        <f t="shared" si="34"/>
        <v>N</v>
      </c>
      <c r="S325" s="19" t="str">
        <f t="shared" si="35"/>
        <v>GIVIYLFTKT</v>
      </c>
      <c r="Z325" s="4"/>
      <c r="AD325" s="1" t="s">
        <v>12</v>
      </c>
      <c r="AE325" s="1">
        <v>31</v>
      </c>
      <c r="AF325" s="1">
        <v>52</v>
      </c>
      <c r="AG325" s="1">
        <v>62</v>
      </c>
      <c r="AH325" s="1" t="s">
        <v>13</v>
      </c>
      <c r="AK325" s="4">
        <v>29</v>
      </c>
      <c r="AL325" s="4">
        <v>60</v>
      </c>
    </row>
    <row r="326" spans="1:38" x14ac:dyDescent="0.25">
      <c r="A326" s="1" t="str">
        <f t="shared" si="31"/>
        <v>OPSD_todpa_2Z73_TM1</v>
      </c>
      <c r="B326" s="45" t="s">
        <v>291</v>
      </c>
      <c r="C326" s="45" t="s">
        <v>290</v>
      </c>
      <c r="D326" s="4" t="str">
        <f>VLOOKUP(B326,Classification!A:D,2,FALSE)</f>
        <v>A</v>
      </c>
      <c r="E326" s="4" t="str">
        <f>VLOOKUP(B326,Classification!A:D,3,FALSE)</f>
        <v>Sensory</v>
      </c>
      <c r="F326" s="4" t="str">
        <f>VLOOKUP(B326,Classification!A:D,4,FALSE)</f>
        <v>Opsins</v>
      </c>
      <c r="G326" s="2">
        <v>1</v>
      </c>
      <c r="H326" s="45" t="s">
        <v>11</v>
      </c>
      <c r="I326" s="2" t="s">
        <v>1223</v>
      </c>
      <c r="J326" s="5" t="str">
        <f>VLOOKUP(B326,Seqs!A:B,2,FALSE)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326" s="4" t="str">
        <f t="shared" si="30"/>
        <v>D</v>
      </c>
      <c r="L326" s="45">
        <f>VLOOKUP(B326,'NonXtal_SegEnds_Prot#'!A:AL,3,FALSE)</f>
        <v>31</v>
      </c>
      <c r="M326" s="45">
        <f>VLOOKUP(B326,'NonXtal_SegEnds_Prot#'!A:AL,4,FALSE)</f>
        <v>52</v>
      </c>
      <c r="N326" s="45">
        <f>VLOOKUP(B326,'NonXtal_SegEnds_Prot#'!A:AL,5,FALSE)</f>
        <v>62</v>
      </c>
      <c r="O326" s="4" t="str">
        <f t="shared" si="32"/>
        <v>T</v>
      </c>
      <c r="P326" s="4"/>
      <c r="Q326" s="47" t="str">
        <f t="shared" si="33"/>
        <v>DAVYYSLGIFIGICGIIGCGG</v>
      </c>
      <c r="R326" s="27" t="str">
        <f t="shared" si="34"/>
        <v>N</v>
      </c>
      <c r="S326" s="19" t="str">
        <f t="shared" si="35"/>
        <v>GIVIYLFTKT</v>
      </c>
      <c r="Z326" s="4"/>
      <c r="AD326" s="1" t="s">
        <v>12</v>
      </c>
      <c r="AE326" s="1">
        <v>31</v>
      </c>
      <c r="AF326" s="1">
        <v>52</v>
      </c>
      <c r="AG326" s="1">
        <v>62</v>
      </c>
      <c r="AH326" s="1" t="s">
        <v>13</v>
      </c>
      <c r="AK326" s="4">
        <v>29</v>
      </c>
      <c r="AL326" s="4">
        <v>60</v>
      </c>
    </row>
    <row r="327" spans="1:38" x14ac:dyDescent="0.25">
      <c r="A327" s="1" t="str">
        <f t="shared" si="31"/>
        <v>OX1R_human__wt_TM1</v>
      </c>
      <c r="B327" s="45" t="s">
        <v>1374</v>
      </c>
      <c r="C327" s="45" t="s">
        <v>294</v>
      </c>
      <c r="D327" s="4" t="str">
        <f>VLOOKUP(B327,Classification!A:D,2,FALSE)</f>
        <v>A</v>
      </c>
      <c r="E327" s="4" t="str">
        <f>VLOOKUP(B327,Classification!A:D,3,FALSE)</f>
        <v>Peptide</v>
      </c>
      <c r="F327" s="4" t="str">
        <f>VLOOKUP(B327,Classification!A:D,4,FALSE)</f>
        <v>Orexin</v>
      </c>
      <c r="G327" s="2">
        <v>1</v>
      </c>
      <c r="H327" s="45" t="s">
        <v>11</v>
      </c>
      <c r="I327" s="2" t="s">
        <v>1223</v>
      </c>
      <c r="J327" s="5" t="str">
        <f>VLOOKUP(B327,Seqs!A:B,2,FALSE)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327" s="4" t="str">
        <f t="shared" si="30"/>
        <v>E</v>
      </c>
      <c r="L327" s="45">
        <f>VLOOKUP(B327,'NonXtal_SegEnds_Prot#'!A:AL,3,FALSE)</f>
        <v>46</v>
      </c>
      <c r="M327" s="45">
        <f>VLOOKUP(B327,'NonXtal_SegEnds_Prot#'!A:AL,4,FALSE)</f>
        <v>64</v>
      </c>
      <c r="N327" s="45">
        <f>VLOOKUP(B327,'NonXtal_SegEnds_Prot#'!A:AL,5,FALSE)</f>
        <v>74</v>
      </c>
      <c r="O327" s="4" t="str">
        <f t="shared" si="32"/>
        <v>N</v>
      </c>
      <c r="P327" s="4"/>
      <c r="Q327" s="47" t="str">
        <f t="shared" si="33"/>
        <v>EWVLIAAYVAVFVVALVG</v>
      </c>
      <c r="R327" s="27" t="str">
        <f t="shared" si="34"/>
        <v>N</v>
      </c>
      <c r="S327" s="19" t="str">
        <f t="shared" si="35"/>
        <v>TLVCLAVWRN</v>
      </c>
      <c r="Z327" s="4" t="s">
        <v>78</v>
      </c>
      <c r="AD327" s="1" t="s">
        <v>92</v>
      </c>
      <c r="AE327" s="1">
        <v>45</v>
      </c>
      <c r="AF327" s="1">
        <v>64</v>
      </c>
      <c r="AG327" s="1">
        <v>74</v>
      </c>
      <c r="AH327" s="1" t="s">
        <v>13</v>
      </c>
      <c r="AK327" s="4">
        <v>31</v>
      </c>
      <c r="AL327" s="4">
        <v>60</v>
      </c>
    </row>
    <row r="328" spans="1:38" x14ac:dyDescent="0.25">
      <c r="A328" s="1" t="str">
        <f t="shared" si="31"/>
        <v>OX1R_human_4ZJ8_TM1</v>
      </c>
      <c r="B328" s="45" t="s">
        <v>1374</v>
      </c>
      <c r="C328" s="45" t="s">
        <v>282</v>
      </c>
      <c r="D328" s="4" t="str">
        <f>VLOOKUP(B328,Classification!A:D,2,FALSE)</f>
        <v>A</v>
      </c>
      <c r="E328" s="4" t="str">
        <f>VLOOKUP(B328,Classification!A:D,3,FALSE)</f>
        <v>Peptide</v>
      </c>
      <c r="F328" s="4" t="str">
        <f>VLOOKUP(B328,Classification!A:D,4,FALSE)</f>
        <v>Orexin</v>
      </c>
      <c r="G328" s="2">
        <v>1</v>
      </c>
      <c r="H328" s="45" t="s">
        <v>11</v>
      </c>
      <c r="I328" s="2" t="s">
        <v>1223</v>
      </c>
      <c r="J328" s="5" t="str">
        <f>VLOOKUP(B328,Seqs!A:B,2,FALSE)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328" s="4" t="str">
        <f t="shared" si="30"/>
        <v>E</v>
      </c>
      <c r="L328" s="45">
        <f>VLOOKUP(B328,'NonXtal_SegEnds_Prot#'!A:AL,3,FALSE)</f>
        <v>46</v>
      </c>
      <c r="M328" s="45">
        <f>VLOOKUP(B328,'NonXtal_SegEnds_Prot#'!A:AL,4,FALSE)</f>
        <v>64</v>
      </c>
      <c r="N328" s="45">
        <f>VLOOKUP(B328,'NonXtal_SegEnds_Prot#'!A:AL,5,FALSE)</f>
        <v>74</v>
      </c>
      <c r="O328" s="4" t="str">
        <f t="shared" si="32"/>
        <v>N</v>
      </c>
      <c r="P328" s="4"/>
      <c r="Q328" s="47" t="str">
        <f t="shared" si="33"/>
        <v>EWVLIAAYVAVFVVALVG</v>
      </c>
      <c r="R328" s="28" t="str">
        <f t="shared" si="34"/>
        <v>N</v>
      </c>
      <c r="S328" s="20" t="str">
        <f t="shared" si="35"/>
        <v>TLVCLAVWRN</v>
      </c>
      <c r="Z328" s="4" t="s">
        <v>78</v>
      </c>
      <c r="AD328" s="1" t="s">
        <v>92</v>
      </c>
      <c r="AE328" s="1">
        <v>45</v>
      </c>
      <c r="AF328" s="1">
        <v>64</v>
      </c>
      <c r="AG328" s="1">
        <v>74</v>
      </c>
      <c r="AH328" s="1" t="s">
        <v>13</v>
      </c>
      <c r="AK328" s="4">
        <v>31</v>
      </c>
      <c r="AL328" s="4">
        <v>60</v>
      </c>
    </row>
    <row r="329" spans="1:38" x14ac:dyDescent="0.25">
      <c r="A329" s="1" t="str">
        <f t="shared" si="31"/>
        <v>OX1R_human_4ZJC_TM1</v>
      </c>
      <c r="B329" s="45" t="s">
        <v>1374</v>
      </c>
      <c r="C329" s="45" t="s">
        <v>283</v>
      </c>
      <c r="D329" s="4" t="str">
        <f>VLOOKUP(B329,Classification!A:D,2,FALSE)</f>
        <v>A</v>
      </c>
      <c r="E329" s="4" t="str">
        <f>VLOOKUP(B329,Classification!A:D,3,FALSE)</f>
        <v>Peptide</v>
      </c>
      <c r="F329" s="4" t="str">
        <f>VLOOKUP(B329,Classification!A:D,4,FALSE)</f>
        <v>Orexin</v>
      </c>
      <c r="G329" s="2">
        <v>1</v>
      </c>
      <c r="H329" s="45" t="s">
        <v>11</v>
      </c>
      <c r="I329" s="2" t="s">
        <v>1223</v>
      </c>
      <c r="J329" s="5" t="str">
        <f>VLOOKUP(B329,Seqs!A:B,2,FALSE)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329" s="4" t="str">
        <f t="shared" si="30"/>
        <v>E</v>
      </c>
      <c r="L329" s="45">
        <f>VLOOKUP(B329,'NonXtal_SegEnds_Prot#'!A:AL,3,FALSE)</f>
        <v>46</v>
      </c>
      <c r="M329" s="45">
        <f>VLOOKUP(B329,'NonXtal_SegEnds_Prot#'!A:AL,4,FALSE)</f>
        <v>64</v>
      </c>
      <c r="N329" s="45">
        <f>VLOOKUP(B329,'NonXtal_SegEnds_Prot#'!A:AL,5,FALSE)</f>
        <v>74</v>
      </c>
      <c r="O329" s="4" t="str">
        <f t="shared" si="32"/>
        <v>N</v>
      </c>
      <c r="P329" s="4"/>
      <c r="Q329" s="47" t="str">
        <f t="shared" si="33"/>
        <v>EWVLIAAYVAVFVVALVG</v>
      </c>
      <c r="R329" s="28" t="str">
        <f t="shared" si="34"/>
        <v>N</v>
      </c>
      <c r="S329" s="20" t="str">
        <f t="shared" si="35"/>
        <v>TLVCLAVWRN</v>
      </c>
      <c r="Z329" s="4"/>
      <c r="AD329" s="1" t="s">
        <v>92</v>
      </c>
      <c r="AE329" s="1">
        <v>45</v>
      </c>
      <c r="AF329" s="1">
        <v>64</v>
      </c>
      <c r="AG329" s="1">
        <v>74</v>
      </c>
      <c r="AH329" s="1" t="s">
        <v>13</v>
      </c>
      <c r="AK329" s="4">
        <v>31</v>
      </c>
      <c r="AL329" s="4">
        <v>60</v>
      </c>
    </row>
    <row r="330" spans="1:38" x14ac:dyDescent="0.25">
      <c r="A330" s="1" t="str">
        <f t="shared" si="31"/>
        <v>OX2R_human__wt_TM1</v>
      </c>
      <c r="B330" s="45" t="s">
        <v>1375</v>
      </c>
      <c r="C330" s="45" t="s">
        <v>294</v>
      </c>
      <c r="D330" s="4" t="str">
        <f>VLOOKUP(B330,Classification!A:D,2,FALSE)</f>
        <v>A</v>
      </c>
      <c r="E330" s="4" t="str">
        <f>VLOOKUP(B330,Classification!A:D,3,FALSE)</f>
        <v>Peptide</v>
      </c>
      <c r="F330" s="4" t="str">
        <f>VLOOKUP(B330,Classification!A:D,4,FALSE)</f>
        <v>Orexin</v>
      </c>
      <c r="G330" s="2">
        <v>1</v>
      </c>
      <c r="H330" s="45" t="s">
        <v>11</v>
      </c>
      <c r="I330" s="2" t="s">
        <v>1223</v>
      </c>
      <c r="J330" s="5" t="str">
        <f>VLOOKUP(B330,Seqs!A:B,2,FALSE)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330" s="4" t="str">
        <f t="shared" si="30"/>
        <v>Y</v>
      </c>
      <c r="L330" s="45">
        <f>VLOOKUP(B330,'NonXtal_SegEnds_Prot#'!A:AL,3,FALSE)</f>
        <v>53</v>
      </c>
      <c r="M330" s="45">
        <f>VLOOKUP(B330,'NonXtal_SegEnds_Prot#'!A:AL,4,FALSE)</f>
        <v>72</v>
      </c>
      <c r="N330" s="45">
        <f>VLOOKUP(B330,'NonXtal_SegEnds_Prot#'!A:AL,5,FALSE)</f>
        <v>82</v>
      </c>
      <c r="O330" s="4" t="str">
        <f t="shared" si="32"/>
        <v>N</v>
      </c>
      <c r="P330" s="4"/>
      <c r="Q330" s="47" t="str">
        <f t="shared" si="33"/>
        <v>YEWVLIAGYIIVFVVALIG</v>
      </c>
      <c r="R330" s="27" t="str">
        <f t="shared" si="34"/>
        <v>N</v>
      </c>
      <c r="S330" s="19" t="str">
        <f t="shared" si="35"/>
        <v>VLVCVAVWKN</v>
      </c>
      <c r="Z330" s="4"/>
      <c r="AD330" s="1" t="s">
        <v>92</v>
      </c>
      <c r="AE330" s="1">
        <v>53</v>
      </c>
      <c r="AF330" s="1">
        <v>72</v>
      </c>
      <c r="AG330" s="1">
        <v>82</v>
      </c>
      <c r="AH330" s="1" t="s">
        <v>13</v>
      </c>
      <c r="AK330" s="4">
        <v>31</v>
      </c>
      <c r="AL330" s="4">
        <v>60</v>
      </c>
    </row>
    <row r="331" spans="1:38" x14ac:dyDescent="0.25">
      <c r="A331" s="1" t="str">
        <f t="shared" si="31"/>
        <v>OX2R_human_4S0V_TM1</v>
      </c>
      <c r="B331" s="45" t="s">
        <v>1375</v>
      </c>
      <c r="C331" s="45" t="s">
        <v>284</v>
      </c>
      <c r="D331" s="4" t="str">
        <f>VLOOKUP(B331,Classification!A:D,2,FALSE)</f>
        <v>A</v>
      </c>
      <c r="E331" s="4" t="str">
        <f>VLOOKUP(B331,Classification!A:D,3,FALSE)</f>
        <v>Peptide</v>
      </c>
      <c r="F331" s="4" t="str">
        <f>VLOOKUP(B331,Classification!A:D,4,FALSE)</f>
        <v>Orexin</v>
      </c>
      <c r="G331" s="2">
        <v>1</v>
      </c>
      <c r="H331" s="45" t="s">
        <v>11</v>
      </c>
      <c r="I331" s="2" t="s">
        <v>1223</v>
      </c>
      <c r="J331" s="5" t="str">
        <f>VLOOKUP(B331,Seqs!A:B,2,FALSE)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331" s="4" t="str">
        <f t="shared" si="30"/>
        <v>Y</v>
      </c>
      <c r="L331" s="45">
        <f>VLOOKUP(B331,'NonXtal_SegEnds_Prot#'!A:AL,3,FALSE)</f>
        <v>53</v>
      </c>
      <c r="M331" s="45">
        <f>VLOOKUP(B331,'NonXtal_SegEnds_Prot#'!A:AL,4,FALSE)</f>
        <v>72</v>
      </c>
      <c r="N331" s="45">
        <f>VLOOKUP(B331,'NonXtal_SegEnds_Prot#'!A:AL,5,FALSE)</f>
        <v>82</v>
      </c>
      <c r="O331" s="4" t="str">
        <f t="shared" si="32"/>
        <v>N</v>
      </c>
      <c r="P331" s="4"/>
      <c r="Q331" s="47" t="str">
        <f t="shared" si="33"/>
        <v>YEWVLIAGYIIVFVVALIG</v>
      </c>
      <c r="R331" s="28" t="str">
        <f t="shared" si="34"/>
        <v>N</v>
      </c>
      <c r="S331" s="20" t="str">
        <f t="shared" si="35"/>
        <v>VLVCVAVWKN</v>
      </c>
      <c r="Z331" s="4"/>
      <c r="AD331" s="1" t="s">
        <v>92</v>
      </c>
      <c r="AE331" s="1">
        <v>53</v>
      </c>
      <c r="AF331" s="1">
        <v>72</v>
      </c>
      <c r="AG331" s="1">
        <v>82</v>
      </c>
      <c r="AH331" s="1" t="s">
        <v>13</v>
      </c>
      <c r="AK331" s="4">
        <v>31</v>
      </c>
      <c r="AL331" s="4">
        <v>60</v>
      </c>
    </row>
    <row r="332" spans="1:38" x14ac:dyDescent="0.25">
      <c r="A332" s="1" t="str">
        <f t="shared" si="31"/>
        <v>P2RY1_human__wt_TM1</v>
      </c>
      <c r="B332" s="45" t="s">
        <v>215</v>
      </c>
      <c r="C332" s="45" t="s">
        <v>294</v>
      </c>
      <c r="D332" s="4" t="str">
        <f>VLOOKUP(B332,Classification!A:D,2,FALSE)</f>
        <v>A</v>
      </c>
      <c r="E332" s="4" t="str">
        <f>VLOOKUP(B332,Classification!A:D,3,FALSE)</f>
        <v>Nucleotide</v>
      </c>
      <c r="F332" s="4" t="str">
        <f>VLOOKUP(B332,Classification!A:D,4,FALSE)</f>
        <v>P2Y</v>
      </c>
      <c r="G332" s="2">
        <v>1</v>
      </c>
      <c r="H332" s="45" t="s">
        <v>11</v>
      </c>
      <c r="I332" s="2" t="s">
        <v>1223</v>
      </c>
      <c r="J332" s="5" t="str">
        <f>VLOOKUP(B332,Seqs!A:B,2,FALSE)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332" s="4" t="str">
        <f t="shared" si="30"/>
        <v>F</v>
      </c>
      <c r="L332" s="45">
        <f>VLOOKUP(B332,'NonXtal_SegEnds_Prot#'!A:AL,3,FALSE)</f>
        <v>49</v>
      </c>
      <c r="M332" s="45">
        <f>VLOOKUP(B332,'NonXtal_SegEnds_Prot#'!A:AL,4,FALSE)</f>
        <v>69</v>
      </c>
      <c r="N332" s="45">
        <f>VLOOKUP(B332,'NonXtal_SegEnds_Prot#'!A:AL,5,FALSE)</f>
        <v>79</v>
      </c>
      <c r="O332" s="4" t="str">
        <f t="shared" si="32"/>
        <v>H</v>
      </c>
      <c r="P332" s="4"/>
      <c r="Q332" s="47" t="str">
        <f t="shared" si="33"/>
        <v>FQFYYLPAVYILVFIIGFLG</v>
      </c>
      <c r="R332" s="27" t="str">
        <f t="shared" si="34"/>
        <v>N</v>
      </c>
      <c r="S332" s="19" t="str">
        <f t="shared" si="35"/>
        <v>SVAIWMFVFH</v>
      </c>
      <c r="Z332" s="4"/>
      <c r="AD332" s="1" t="s">
        <v>96</v>
      </c>
      <c r="AE332" s="1">
        <v>49</v>
      </c>
      <c r="AF332" s="1">
        <v>69</v>
      </c>
      <c r="AG332" s="1">
        <v>79</v>
      </c>
      <c r="AH332" s="1" t="s">
        <v>13</v>
      </c>
      <c r="AK332" s="4">
        <v>30</v>
      </c>
      <c r="AL332" s="4">
        <v>60</v>
      </c>
    </row>
    <row r="333" spans="1:38" x14ac:dyDescent="0.25">
      <c r="A333" s="1" t="str">
        <f t="shared" si="31"/>
        <v>P2RY1_human_4xNV_TM1</v>
      </c>
      <c r="B333" s="45" t="s">
        <v>215</v>
      </c>
      <c r="C333" s="45" t="s">
        <v>274</v>
      </c>
      <c r="D333" s="4" t="str">
        <f>VLOOKUP(B333,Classification!A:D,2,FALSE)</f>
        <v>A</v>
      </c>
      <c r="E333" s="4" t="str">
        <f>VLOOKUP(B333,Classification!A:D,3,FALSE)</f>
        <v>Nucleotide</v>
      </c>
      <c r="F333" s="4" t="str">
        <f>VLOOKUP(B333,Classification!A:D,4,FALSE)</f>
        <v>P2Y</v>
      </c>
      <c r="G333" s="2">
        <v>1</v>
      </c>
      <c r="H333" s="45" t="s">
        <v>11</v>
      </c>
      <c r="I333" s="2" t="s">
        <v>1223</v>
      </c>
      <c r="J333" s="5" t="str">
        <f>VLOOKUP(B333,Seqs!A:B,2,FALSE)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333" s="4" t="str">
        <f t="shared" si="30"/>
        <v>F</v>
      </c>
      <c r="L333" s="45">
        <f>VLOOKUP(B333,'NonXtal_SegEnds_Prot#'!A:AL,3,FALSE)</f>
        <v>49</v>
      </c>
      <c r="M333" s="45">
        <f>VLOOKUP(B333,'NonXtal_SegEnds_Prot#'!A:AL,4,FALSE)</f>
        <v>69</v>
      </c>
      <c r="N333" s="45">
        <f>VLOOKUP(B333,'NonXtal_SegEnds_Prot#'!A:AL,5,FALSE)</f>
        <v>79</v>
      </c>
      <c r="O333" s="4" t="str">
        <f t="shared" si="32"/>
        <v>H</v>
      </c>
      <c r="P333" s="4"/>
      <c r="Q333" s="47" t="str">
        <f t="shared" si="33"/>
        <v>FQFYYLPAVYILVFIIGFLG</v>
      </c>
      <c r="R333" s="27" t="str">
        <f t="shared" si="34"/>
        <v>N</v>
      </c>
      <c r="S333" s="19" t="str">
        <f t="shared" si="35"/>
        <v>SVAIWMFVFH</v>
      </c>
      <c r="Z333" s="4"/>
      <c r="AD333" s="1" t="s">
        <v>96</v>
      </c>
      <c r="AE333" s="1">
        <v>49</v>
      </c>
      <c r="AF333" s="1">
        <v>69</v>
      </c>
      <c r="AG333" s="1">
        <v>79</v>
      </c>
      <c r="AH333" s="1" t="s">
        <v>13</v>
      </c>
      <c r="AK333" s="4">
        <v>30</v>
      </c>
      <c r="AL333" s="4">
        <v>60</v>
      </c>
    </row>
    <row r="334" spans="1:38" x14ac:dyDescent="0.25">
      <c r="A334" s="1" t="str">
        <f t="shared" si="31"/>
        <v>P2Y12_human__wt_TM1</v>
      </c>
      <c r="B334" s="45" t="s">
        <v>216</v>
      </c>
      <c r="C334" s="45" t="s">
        <v>294</v>
      </c>
      <c r="D334" s="4" t="str">
        <f>VLOOKUP(B334,Classification!A:D,2,FALSE)</f>
        <v>A</v>
      </c>
      <c r="E334" s="4" t="str">
        <f>VLOOKUP(B334,Classification!A:D,3,FALSE)</f>
        <v>Nucleotide</v>
      </c>
      <c r="F334" s="4" t="str">
        <f>VLOOKUP(B334,Classification!A:D,4,FALSE)</f>
        <v>P2Y</v>
      </c>
      <c r="G334" s="2">
        <v>1</v>
      </c>
      <c r="H334" s="45" t="s">
        <v>11</v>
      </c>
      <c r="I334" s="2" t="s">
        <v>1223</v>
      </c>
      <c r="J334" s="5" t="str">
        <f>VLOOKUP(B334,Seqs!A:B,2,FALSE)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334" s="4" t="str">
        <f t="shared" si="30"/>
        <v>Y</v>
      </c>
      <c r="L334" s="45">
        <f>VLOOKUP(B334,'NonXtal_SegEnds_Prot#'!A:AL,3,FALSE)</f>
        <v>21</v>
      </c>
      <c r="M334" s="45">
        <f>VLOOKUP(B334,'NonXtal_SegEnds_Prot#'!A:AL,4,FALSE)</f>
        <v>43</v>
      </c>
      <c r="N334" s="45">
        <f>VLOOKUP(B334,'NonXtal_SegEnds_Prot#'!A:AL,5,FALSE)</f>
        <v>53</v>
      </c>
      <c r="O334" s="4" t="str">
        <f t="shared" si="32"/>
        <v>I</v>
      </c>
      <c r="P334" s="4"/>
      <c r="Q334" s="47" t="str">
        <f t="shared" si="33"/>
        <v>YKITQVLFPLLYTVLFFVGLIT</v>
      </c>
      <c r="R334" s="27" t="str">
        <f t="shared" si="34"/>
        <v>N</v>
      </c>
      <c r="S334" s="19" t="str">
        <f t="shared" si="35"/>
        <v>GLAMRIFFQI</v>
      </c>
      <c r="Z334" s="4"/>
      <c r="AD334" s="1" t="s">
        <v>96</v>
      </c>
      <c r="AE334" s="1">
        <v>23</v>
      </c>
      <c r="AF334" s="1">
        <v>43</v>
      </c>
      <c r="AG334" s="1">
        <v>53</v>
      </c>
      <c r="AH334" s="1" t="s">
        <v>13</v>
      </c>
      <c r="AK334" s="4">
        <v>30</v>
      </c>
      <c r="AL334" s="4">
        <v>60</v>
      </c>
    </row>
    <row r="335" spans="1:38" x14ac:dyDescent="0.25">
      <c r="A335" s="1" t="str">
        <f t="shared" si="31"/>
        <v>P2Y12_human_4PxZ_TM1</v>
      </c>
      <c r="B335" s="45" t="s">
        <v>216</v>
      </c>
      <c r="C335" s="45" t="s">
        <v>242</v>
      </c>
      <c r="D335" s="4" t="str">
        <f>VLOOKUP(B335,Classification!A:D,2,FALSE)</f>
        <v>A</v>
      </c>
      <c r="E335" s="4" t="str">
        <f>VLOOKUP(B335,Classification!A:D,3,FALSE)</f>
        <v>Nucleotide</v>
      </c>
      <c r="F335" s="4" t="str">
        <f>VLOOKUP(B335,Classification!A:D,4,FALSE)</f>
        <v>P2Y</v>
      </c>
      <c r="G335" s="2">
        <v>1</v>
      </c>
      <c r="H335" s="45" t="s">
        <v>11</v>
      </c>
      <c r="I335" s="2" t="s">
        <v>1223</v>
      </c>
      <c r="J335" s="5" t="str">
        <f>VLOOKUP(B335,Seqs!A:B,2,FALSE)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335" s="4" t="str">
        <f t="shared" si="30"/>
        <v>Y</v>
      </c>
      <c r="L335" s="45">
        <f>VLOOKUP(B335,'NonXtal_SegEnds_Prot#'!A:AL,3,FALSE)</f>
        <v>21</v>
      </c>
      <c r="M335" s="45">
        <f>VLOOKUP(B335,'NonXtal_SegEnds_Prot#'!A:AL,4,FALSE)</f>
        <v>43</v>
      </c>
      <c r="N335" s="45">
        <f>VLOOKUP(B335,'NonXtal_SegEnds_Prot#'!A:AL,5,FALSE)</f>
        <v>53</v>
      </c>
      <c r="O335" s="4" t="str">
        <f t="shared" si="32"/>
        <v>I</v>
      </c>
      <c r="P335" s="4"/>
      <c r="Q335" s="47" t="str">
        <f t="shared" si="33"/>
        <v>YKITQVLFPLLYTVLFFVGLIT</v>
      </c>
      <c r="R335" s="27" t="str">
        <f t="shared" si="34"/>
        <v>N</v>
      </c>
      <c r="S335" s="19" t="str">
        <f t="shared" si="35"/>
        <v>GLAMRIFFQI</v>
      </c>
      <c r="Z335" s="4"/>
      <c r="AD335" s="1" t="s">
        <v>96</v>
      </c>
      <c r="AE335" s="1">
        <v>23</v>
      </c>
      <c r="AF335" s="1">
        <v>43</v>
      </c>
      <c r="AG335" s="1">
        <v>53</v>
      </c>
      <c r="AH335" s="1" t="s">
        <v>13</v>
      </c>
      <c r="AK335" s="4">
        <v>30</v>
      </c>
      <c r="AL335" s="4">
        <v>60</v>
      </c>
    </row>
    <row r="336" spans="1:38" x14ac:dyDescent="0.25">
      <c r="A336" s="1" t="str">
        <f t="shared" si="31"/>
        <v>PAR1_human__wt_TM1</v>
      </c>
      <c r="B336" s="45" t="s">
        <v>229</v>
      </c>
      <c r="C336" s="45" t="s">
        <v>294</v>
      </c>
      <c r="D336" s="4" t="str">
        <f>VLOOKUP(B336,Classification!A:D,2,FALSE)</f>
        <v>A</v>
      </c>
      <c r="E336" s="4" t="str">
        <f>VLOOKUP(B336,Classification!A:D,3,FALSE)</f>
        <v>Peptide</v>
      </c>
      <c r="F336" s="4" t="str">
        <f>VLOOKUP(B336,Classification!A:D,4,FALSE)</f>
        <v>Proteinase-activated</v>
      </c>
      <c r="G336" s="2">
        <v>1</v>
      </c>
      <c r="H336" s="45" t="s">
        <v>11</v>
      </c>
      <c r="I336" s="2" t="s">
        <v>1223</v>
      </c>
      <c r="J336" s="5" t="str">
        <f>VLOOKUP(B336,Seqs!A:B,2,FALSE)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336" s="4" t="str">
        <f t="shared" ref="K336:K399" si="36">MID(J336,L336,1)</f>
        <v>S</v>
      </c>
      <c r="L336" s="45">
        <f>VLOOKUP(B336,'NonXtal_SegEnds_Prot#'!A:AL,3,FALSE)</f>
        <v>99</v>
      </c>
      <c r="M336" s="45">
        <f>VLOOKUP(B336,'NonXtal_SegEnds_Prot#'!A:AL,4,FALSE)</f>
        <v>120</v>
      </c>
      <c r="N336" s="45">
        <f>VLOOKUP(B336,'NonXtal_SegEnds_Prot#'!A:AL,5,FALSE)</f>
        <v>130</v>
      </c>
      <c r="O336" s="4" t="str">
        <f t="shared" si="32"/>
        <v>K</v>
      </c>
      <c r="P336" s="4"/>
      <c r="Q336" s="47" t="str">
        <f t="shared" si="33"/>
        <v>SWLTLFVPSVYTGVFVVSLPL</v>
      </c>
      <c r="R336" s="27" t="str">
        <f t="shared" si="34"/>
        <v>N</v>
      </c>
      <c r="S336" s="19" t="str">
        <f t="shared" si="35"/>
        <v>IMAIVVFILK</v>
      </c>
      <c r="Z336" s="4"/>
      <c r="AD336" s="1" t="s">
        <v>12</v>
      </c>
      <c r="AE336" s="1">
        <v>99</v>
      </c>
      <c r="AF336" s="1">
        <v>120</v>
      </c>
      <c r="AG336" s="1">
        <v>130</v>
      </c>
      <c r="AH336" s="1" t="s">
        <v>13</v>
      </c>
      <c r="AK336" s="4">
        <v>29</v>
      </c>
      <c r="AL336" s="4">
        <v>60</v>
      </c>
    </row>
    <row r="337" spans="1:38" x14ac:dyDescent="0.25">
      <c r="A337" s="1" t="str">
        <f t="shared" si="31"/>
        <v>PAR1_human_3VW7_TM1</v>
      </c>
      <c r="B337" s="45" t="s">
        <v>229</v>
      </c>
      <c r="C337" s="45" t="s">
        <v>285</v>
      </c>
      <c r="D337" s="4" t="str">
        <f>VLOOKUP(B337,Classification!A:D,2,FALSE)</f>
        <v>A</v>
      </c>
      <c r="E337" s="4" t="str">
        <f>VLOOKUP(B337,Classification!A:D,3,FALSE)</f>
        <v>Peptide</v>
      </c>
      <c r="F337" s="4" t="str">
        <f>VLOOKUP(B337,Classification!A:D,4,FALSE)</f>
        <v>Proteinase-activated</v>
      </c>
      <c r="G337" s="2">
        <v>1</v>
      </c>
      <c r="H337" s="45" t="s">
        <v>11</v>
      </c>
      <c r="I337" s="2" t="s">
        <v>1223</v>
      </c>
      <c r="J337" s="5" t="str">
        <f>VLOOKUP(B337,Seqs!A:B,2,FALSE)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337" s="4" t="str">
        <f t="shared" si="36"/>
        <v>S</v>
      </c>
      <c r="L337" s="45">
        <f>VLOOKUP(B337,'NonXtal_SegEnds_Prot#'!A:AL,3,FALSE)</f>
        <v>99</v>
      </c>
      <c r="M337" s="45">
        <f>VLOOKUP(B337,'NonXtal_SegEnds_Prot#'!A:AL,4,FALSE)</f>
        <v>120</v>
      </c>
      <c r="N337" s="45">
        <f>VLOOKUP(B337,'NonXtal_SegEnds_Prot#'!A:AL,5,FALSE)</f>
        <v>130</v>
      </c>
      <c r="O337" s="4" t="str">
        <f t="shared" si="32"/>
        <v>K</v>
      </c>
      <c r="P337" s="4"/>
      <c r="Q337" s="47" t="str">
        <f t="shared" si="33"/>
        <v>SWLTLFVPSVYTGVFVVSLPL</v>
      </c>
      <c r="R337" s="27" t="str">
        <f t="shared" si="34"/>
        <v>N</v>
      </c>
      <c r="S337" s="19" t="str">
        <f t="shared" si="35"/>
        <v>IMAIVVFILK</v>
      </c>
      <c r="Z337" s="4"/>
      <c r="AD337" s="1" t="s">
        <v>12</v>
      </c>
      <c r="AE337" s="1">
        <v>99</v>
      </c>
      <c r="AF337" s="1">
        <v>120</v>
      </c>
      <c r="AG337" s="1">
        <v>130</v>
      </c>
      <c r="AH337" s="1" t="s">
        <v>13</v>
      </c>
      <c r="AK337" s="4">
        <v>29</v>
      </c>
      <c r="AL337" s="4">
        <v>60</v>
      </c>
    </row>
    <row r="338" spans="1:38" x14ac:dyDescent="0.25">
      <c r="A338" s="1" t="str">
        <f t="shared" si="31"/>
        <v>S1PR1_human__wt_TM1</v>
      </c>
      <c r="B338" s="45" t="s">
        <v>217</v>
      </c>
      <c r="C338" s="45" t="s">
        <v>294</v>
      </c>
      <c r="D338" s="4" t="str">
        <f>VLOOKUP(B338,Classification!A:D,2,FALSE)</f>
        <v>A</v>
      </c>
      <c r="E338" s="4" t="str">
        <f>VLOOKUP(B338,Classification!A:D,3,FALSE)</f>
        <v>Lipid</v>
      </c>
      <c r="F338" s="4" t="str">
        <f>VLOOKUP(B338,Classification!A:D,4,FALSE)</f>
        <v>Lysophospholipid(S1P)</v>
      </c>
      <c r="G338" s="2">
        <v>1</v>
      </c>
      <c r="H338" s="45" t="s">
        <v>11</v>
      </c>
      <c r="I338" s="2" t="s">
        <v>1223</v>
      </c>
      <c r="J338" s="5" t="str">
        <f>VLOOKUP(B338,Seqs!A:B,2,FALSE)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338" s="4" t="str">
        <f t="shared" si="36"/>
        <v>E</v>
      </c>
      <c r="L338" s="45">
        <f>VLOOKUP(B338,'NonXtal_SegEnds_Prot#'!A:AL,3,FALSE)</f>
        <v>42</v>
      </c>
      <c r="M338" s="45">
        <f>VLOOKUP(B338,'NonXtal_SegEnds_Prot#'!A:AL,4,FALSE)</f>
        <v>63</v>
      </c>
      <c r="N338" s="45">
        <f>VLOOKUP(B338,'NonXtal_SegEnds_Prot#'!A:AL,5,FALSE)</f>
        <v>73</v>
      </c>
      <c r="O338" s="4" t="str">
        <f t="shared" si="32"/>
        <v>T</v>
      </c>
      <c r="P338" s="4"/>
      <c r="Q338" s="47" t="str">
        <f t="shared" si="33"/>
        <v>ENSIKLTSVVFILICCFIILE</v>
      </c>
      <c r="R338" s="27" t="str">
        <f t="shared" si="34"/>
        <v>N</v>
      </c>
      <c r="S338" s="19" t="str">
        <f t="shared" si="35"/>
        <v>IFVLLTIWKT</v>
      </c>
      <c r="Z338" s="4"/>
      <c r="AD338" s="1" t="s">
        <v>12</v>
      </c>
      <c r="AE338" s="1">
        <v>42</v>
      </c>
      <c r="AF338" s="1">
        <v>63</v>
      </c>
      <c r="AG338" s="1">
        <v>73</v>
      </c>
      <c r="AH338" s="1" t="s">
        <v>13</v>
      </c>
      <c r="AK338" s="4">
        <v>29</v>
      </c>
      <c r="AL338" s="4">
        <v>60</v>
      </c>
    </row>
    <row r="339" spans="1:38" x14ac:dyDescent="0.25">
      <c r="A339" s="1" t="str">
        <f t="shared" si="31"/>
        <v>S1PR1_human_3V2Y_TM1</v>
      </c>
      <c r="B339" s="45" t="s">
        <v>217</v>
      </c>
      <c r="C339" s="45" t="s">
        <v>286</v>
      </c>
      <c r="D339" s="4" t="str">
        <f>VLOOKUP(B339,Classification!A:D,2,FALSE)</f>
        <v>A</v>
      </c>
      <c r="E339" s="4" t="str">
        <f>VLOOKUP(B339,Classification!A:D,3,FALSE)</f>
        <v>Lipid</v>
      </c>
      <c r="F339" s="4" t="str">
        <f>VLOOKUP(B339,Classification!A:D,4,FALSE)</f>
        <v>Lysophospholipid(S1P)</v>
      </c>
      <c r="G339" s="2">
        <v>1</v>
      </c>
      <c r="H339" s="45" t="s">
        <v>11</v>
      </c>
      <c r="I339" s="2" t="s">
        <v>1223</v>
      </c>
      <c r="J339" s="5" t="str">
        <f>VLOOKUP(B339,Seqs!A:B,2,FALSE)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339" s="4" t="str">
        <f t="shared" si="36"/>
        <v>E</v>
      </c>
      <c r="L339" s="45">
        <f>VLOOKUP(B339,'NonXtal_SegEnds_Prot#'!A:AL,3,FALSE)</f>
        <v>42</v>
      </c>
      <c r="M339" s="45">
        <f>VLOOKUP(B339,'NonXtal_SegEnds_Prot#'!A:AL,4,FALSE)</f>
        <v>63</v>
      </c>
      <c r="N339" s="45">
        <f>VLOOKUP(B339,'NonXtal_SegEnds_Prot#'!A:AL,5,FALSE)</f>
        <v>73</v>
      </c>
      <c r="O339" s="4" t="str">
        <f t="shared" si="32"/>
        <v>T</v>
      </c>
      <c r="P339" s="4"/>
      <c r="Q339" s="47" t="str">
        <f t="shared" si="33"/>
        <v>ENSIKLTSVVFILICCFIILE</v>
      </c>
      <c r="R339" s="27" t="str">
        <f t="shared" si="34"/>
        <v>N</v>
      </c>
      <c r="S339" s="19" t="str">
        <f t="shared" si="35"/>
        <v>IFVLLTIWKT</v>
      </c>
      <c r="Z339" s="4"/>
      <c r="AD339" s="1" t="s">
        <v>12</v>
      </c>
      <c r="AE339" s="1">
        <v>42</v>
      </c>
      <c r="AF339" s="1">
        <v>63</v>
      </c>
      <c r="AG339" s="1">
        <v>73</v>
      </c>
      <c r="AH339" s="1" t="s">
        <v>13</v>
      </c>
      <c r="AK339" s="4">
        <v>29</v>
      </c>
      <c r="AL339" s="4">
        <v>60</v>
      </c>
    </row>
    <row r="340" spans="1:38" x14ac:dyDescent="0.25">
      <c r="A340" s="1" t="str">
        <f t="shared" si="31"/>
        <v>smo_human__wt_TM1</v>
      </c>
      <c r="B340" s="45" t="s">
        <v>207</v>
      </c>
      <c r="C340" s="45" t="s">
        <v>294</v>
      </c>
      <c r="D340" s="4" t="str">
        <f>VLOOKUP(B340,Classification!A:D,2,FALSE)</f>
        <v>F</v>
      </c>
      <c r="E340" s="4" t="str">
        <f>VLOOKUP(B340,Classification!A:D,3,FALSE)</f>
        <v>Protein</v>
      </c>
      <c r="F340" s="4" t="str">
        <f>VLOOKUP(B340,Classification!A:D,4,FALSE)</f>
        <v>Frizzled</v>
      </c>
      <c r="G340" s="2">
        <v>1</v>
      </c>
      <c r="H340" s="45" t="s">
        <v>11</v>
      </c>
      <c r="I340" s="2" t="s">
        <v>1223</v>
      </c>
      <c r="J340" s="5" t="str">
        <f>VLOOKUP(B340,Seqs!A:B,2,FALSE)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340" s="4" t="str">
        <f t="shared" si="36"/>
        <v>E</v>
      </c>
      <c r="L340" s="45">
        <f>VLOOKUP(B340,'NonXtal_SegEnds_Prot#'!A:AL,3,FALSE)</f>
        <v>224</v>
      </c>
      <c r="M340" s="45">
        <f>VLOOKUP(B340,'NonXtal_SegEnds_Prot#'!A:AL,4,FALSE)</f>
        <v>245</v>
      </c>
      <c r="N340" s="45">
        <f>VLOOKUP(B340,'NonXtal_SegEnds_Prot#'!A:AL,5,FALSE)</f>
        <v>255</v>
      </c>
      <c r="O340" s="4" t="str">
        <f t="shared" si="32"/>
        <v>D</v>
      </c>
      <c r="P340" s="4"/>
      <c r="Q340" s="47" t="str">
        <f t="shared" si="33"/>
        <v>EAEHQDMHSYIAAFGAVTGLC</v>
      </c>
      <c r="R340" s="27" t="str">
        <f t="shared" si="34"/>
        <v>T</v>
      </c>
      <c r="S340" s="19" t="str">
        <f t="shared" si="35"/>
        <v>LFTLATFVAD</v>
      </c>
      <c r="Z340" s="4"/>
      <c r="AD340" s="1" t="s">
        <v>12</v>
      </c>
      <c r="AE340" s="1">
        <v>224</v>
      </c>
      <c r="AF340" s="1">
        <v>245</v>
      </c>
      <c r="AG340" s="1">
        <v>255</v>
      </c>
      <c r="AH340" s="1" t="s">
        <v>13</v>
      </c>
      <c r="AK340" s="4">
        <v>29</v>
      </c>
      <c r="AL340" s="4">
        <v>60</v>
      </c>
    </row>
    <row r="341" spans="1:38" x14ac:dyDescent="0.25">
      <c r="A341" s="1" t="str">
        <f t="shared" si="31"/>
        <v>smo_human_4JKV_TM1</v>
      </c>
      <c r="B341" s="45" t="s">
        <v>207</v>
      </c>
      <c r="C341" s="45" t="s">
        <v>278</v>
      </c>
      <c r="D341" s="4" t="str">
        <f>VLOOKUP(B341,Classification!A:D,2,FALSE)</f>
        <v>F</v>
      </c>
      <c r="E341" s="4" t="str">
        <f>VLOOKUP(B341,Classification!A:D,3,FALSE)</f>
        <v>Protein</v>
      </c>
      <c r="F341" s="4" t="str">
        <f>VLOOKUP(B341,Classification!A:D,4,FALSE)</f>
        <v>Frizzled</v>
      </c>
      <c r="G341" s="2">
        <v>1</v>
      </c>
      <c r="H341" s="45" t="s">
        <v>11</v>
      </c>
      <c r="I341" s="2" t="s">
        <v>1223</v>
      </c>
      <c r="J341" s="5" t="str">
        <f>VLOOKUP(B341,Seqs!A:B,2,FALSE)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341" s="4" t="str">
        <f t="shared" si="36"/>
        <v>E</v>
      </c>
      <c r="L341" s="45">
        <f>VLOOKUP(B341,'NonXtal_SegEnds_Prot#'!A:AL,3,FALSE)</f>
        <v>224</v>
      </c>
      <c r="M341" s="45">
        <f>VLOOKUP(B341,'NonXtal_SegEnds_Prot#'!A:AL,4,FALSE)</f>
        <v>245</v>
      </c>
      <c r="N341" s="45">
        <f>VLOOKUP(B341,'NonXtal_SegEnds_Prot#'!A:AL,5,FALSE)</f>
        <v>255</v>
      </c>
      <c r="O341" s="4" t="str">
        <f t="shared" si="32"/>
        <v>D</v>
      </c>
      <c r="P341" s="4"/>
      <c r="Q341" s="47" t="str">
        <f t="shared" si="33"/>
        <v>EAEHQDMHSYIAAFGAVTGLC</v>
      </c>
      <c r="R341" s="27" t="str">
        <f t="shared" si="34"/>
        <v>T</v>
      </c>
      <c r="S341" s="19" t="str">
        <f t="shared" si="35"/>
        <v>LFTLATFVAD</v>
      </c>
      <c r="Z341" s="4"/>
      <c r="AD341" s="1" t="s">
        <v>12</v>
      </c>
      <c r="AE341" s="1">
        <v>224</v>
      </c>
      <c r="AF341" s="1">
        <v>245</v>
      </c>
      <c r="AG341" s="1">
        <v>255</v>
      </c>
      <c r="AH341" s="1" t="s">
        <v>13</v>
      </c>
      <c r="AK341" s="4">
        <v>29</v>
      </c>
      <c r="AL341" s="4">
        <v>60</v>
      </c>
    </row>
    <row r="342" spans="1:38" x14ac:dyDescent="0.25">
      <c r="A342" s="1" t="str">
        <f t="shared" si="31"/>
        <v>smo_human_4QIN_TM1</v>
      </c>
      <c r="B342" s="45" t="s">
        <v>207</v>
      </c>
      <c r="C342" s="45" t="s">
        <v>247</v>
      </c>
      <c r="D342" s="4" t="str">
        <f>VLOOKUP(B342,Classification!A:D,2,FALSE)</f>
        <v>F</v>
      </c>
      <c r="E342" s="4" t="str">
        <f>VLOOKUP(B342,Classification!A:D,3,FALSE)</f>
        <v>Protein</v>
      </c>
      <c r="F342" s="4" t="str">
        <f>VLOOKUP(B342,Classification!A:D,4,FALSE)</f>
        <v>Frizzled</v>
      </c>
      <c r="G342" s="2">
        <v>1</v>
      </c>
      <c r="H342" s="45" t="s">
        <v>11</v>
      </c>
      <c r="I342" s="2" t="s">
        <v>1223</v>
      </c>
      <c r="J342" s="5" t="str">
        <f>VLOOKUP(B342,Seqs!A:B,2,FALSE)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342" s="4" t="str">
        <f t="shared" si="36"/>
        <v>E</v>
      </c>
      <c r="L342" s="45">
        <f>VLOOKUP(B342,'NonXtal_SegEnds_Prot#'!A:AL,3,FALSE)</f>
        <v>224</v>
      </c>
      <c r="M342" s="45">
        <f>VLOOKUP(B342,'NonXtal_SegEnds_Prot#'!A:AL,4,FALSE)</f>
        <v>245</v>
      </c>
      <c r="N342" s="45">
        <f>VLOOKUP(B342,'NonXtal_SegEnds_Prot#'!A:AL,5,FALSE)</f>
        <v>255</v>
      </c>
      <c r="O342" s="4" t="str">
        <f t="shared" si="32"/>
        <v>D</v>
      </c>
      <c r="P342" s="4"/>
      <c r="Q342" s="47" t="str">
        <f t="shared" si="33"/>
        <v>EAEHQDMHSYIAAFGAVTGLC</v>
      </c>
      <c r="R342" s="27" t="str">
        <f t="shared" si="34"/>
        <v>T</v>
      </c>
      <c r="S342" s="19" t="str">
        <f t="shared" si="35"/>
        <v>LFTLATFVAD</v>
      </c>
      <c r="Z342" s="4"/>
      <c r="AD342" s="1" t="s">
        <v>12</v>
      </c>
      <c r="AE342" s="1">
        <v>224</v>
      </c>
      <c r="AF342" s="1">
        <v>245</v>
      </c>
      <c r="AG342" s="1">
        <v>255</v>
      </c>
      <c r="AH342" s="1" t="s">
        <v>13</v>
      </c>
      <c r="AK342" s="4">
        <v>29</v>
      </c>
      <c r="AL342" s="4">
        <v>60</v>
      </c>
    </row>
    <row r="343" spans="1:38" x14ac:dyDescent="0.25">
      <c r="A343" s="1" t="str">
        <f t="shared" si="31"/>
        <v>US28_hcmva__wt_TM1</v>
      </c>
      <c r="B343" s="45" t="s">
        <v>230</v>
      </c>
      <c r="C343" s="45" t="s">
        <v>294</v>
      </c>
      <c r="D343" s="4" t="str">
        <f>VLOOKUP(B343,Classification!A:D,2,FALSE)</f>
        <v>A</v>
      </c>
      <c r="E343" s="4" t="str">
        <f>VLOOKUP(B343,Classification!A:D,3,FALSE)</f>
        <v>Peptide</v>
      </c>
      <c r="F343" s="4" t="str">
        <f>VLOOKUP(B343,Classification!A:D,4,FALSE)</f>
        <v>Chemokine</v>
      </c>
      <c r="G343" s="2">
        <v>1</v>
      </c>
      <c r="H343" s="45" t="s">
        <v>11</v>
      </c>
      <c r="I343" s="2" t="s">
        <v>1223</v>
      </c>
      <c r="J343" s="5" t="str">
        <f>VLOOKUP(B343,Seqs!A:B,2,FALSE)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343" s="4" t="str">
        <f t="shared" si="36"/>
        <v>T</v>
      </c>
      <c r="L343" s="45">
        <f>VLOOKUP(B343,'NonXtal_SegEnds_Prot#'!A:AL,3,FALSE)</f>
        <v>26</v>
      </c>
      <c r="M343" s="45">
        <f>VLOOKUP(B343,'NonXtal_SegEnds_Prot#'!A:AL,4,FALSE)</f>
        <v>51</v>
      </c>
      <c r="N343" s="45">
        <f>VLOOKUP(B343,'NonXtal_SegEnds_Prot#'!A:AL,5,FALSE)</f>
        <v>61</v>
      </c>
      <c r="O343" s="4" t="str">
        <f t="shared" si="32"/>
        <v>R</v>
      </c>
      <c r="P343" s="4"/>
      <c r="Q343" s="47" t="str">
        <f t="shared" si="33"/>
        <v>TDVLNQSKPVTLFLYGVVFLFGSIG</v>
      </c>
      <c r="R343" s="27" t="str">
        <f t="shared" si="34"/>
        <v>N</v>
      </c>
      <c r="S343" s="19" t="str">
        <f t="shared" si="35"/>
        <v>FLVIFTITWR</v>
      </c>
      <c r="Z343" s="4" t="s">
        <v>64</v>
      </c>
      <c r="AD343" s="1" t="s">
        <v>163</v>
      </c>
      <c r="AE343" s="1">
        <v>26</v>
      </c>
      <c r="AF343" s="1">
        <v>51</v>
      </c>
      <c r="AG343" s="1">
        <v>61</v>
      </c>
      <c r="AH343" s="1" t="s">
        <v>13</v>
      </c>
      <c r="AK343" s="4">
        <v>25</v>
      </c>
      <c r="AL343" s="4">
        <v>60</v>
      </c>
    </row>
    <row r="344" spans="1:38" x14ac:dyDescent="0.25">
      <c r="A344" s="1" t="str">
        <f t="shared" si="31"/>
        <v>US28_hcmva_4xT1_TM1</v>
      </c>
      <c r="B344" s="45" t="s">
        <v>230</v>
      </c>
      <c r="C344" s="45" t="s">
        <v>287</v>
      </c>
      <c r="D344" s="4" t="str">
        <f>VLOOKUP(B344,Classification!A:D,2,FALSE)</f>
        <v>A</v>
      </c>
      <c r="E344" s="4" t="str">
        <f>VLOOKUP(B344,Classification!A:D,3,FALSE)</f>
        <v>Peptide</v>
      </c>
      <c r="F344" s="4" t="str">
        <f>VLOOKUP(B344,Classification!A:D,4,FALSE)</f>
        <v>Chemokine</v>
      </c>
      <c r="G344" s="2">
        <v>1</v>
      </c>
      <c r="H344" s="45" t="s">
        <v>11</v>
      </c>
      <c r="I344" s="2" t="s">
        <v>1223</v>
      </c>
      <c r="J344" s="5" t="str">
        <f>VLOOKUP(B344,Seqs!A:B,2,FALSE)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344" s="4" t="str">
        <f t="shared" si="36"/>
        <v>T</v>
      </c>
      <c r="L344" s="45">
        <f>VLOOKUP(B344,'NonXtal_SegEnds_Prot#'!A:AL,3,FALSE)</f>
        <v>26</v>
      </c>
      <c r="M344" s="45">
        <f>VLOOKUP(B344,'NonXtal_SegEnds_Prot#'!A:AL,4,FALSE)</f>
        <v>51</v>
      </c>
      <c r="N344" s="45">
        <f>VLOOKUP(B344,'NonXtal_SegEnds_Prot#'!A:AL,5,FALSE)</f>
        <v>61</v>
      </c>
      <c r="O344" s="4" t="str">
        <f t="shared" si="32"/>
        <v>R</v>
      </c>
      <c r="P344" s="4"/>
      <c r="Q344" s="47" t="str">
        <f t="shared" si="33"/>
        <v>TDVLNQSKPVTLFLYGVVFLFGSIG</v>
      </c>
      <c r="R344" s="27" t="str">
        <f t="shared" si="34"/>
        <v>N</v>
      </c>
      <c r="S344" s="19" t="str">
        <f t="shared" si="35"/>
        <v>FLVIFTITWR</v>
      </c>
      <c r="Z344" s="4" t="s">
        <v>64</v>
      </c>
      <c r="AD344" s="1" t="s">
        <v>163</v>
      </c>
      <c r="AE344" s="1">
        <v>26</v>
      </c>
      <c r="AF344" s="1">
        <v>51</v>
      </c>
      <c r="AG344" s="1">
        <v>61</v>
      </c>
      <c r="AH344" s="1" t="s">
        <v>13</v>
      </c>
      <c r="AK344" s="4">
        <v>25</v>
      </c>
      <c r="AL344" s="4">
        <v>60</v>
      </c>
    </row>
    <row r="345" spans="1:38" s="23" customFormat="1" x14ac:dyDescent="0.25">
      <c r="A345" s="1" t="str">
        <f t="shared" si="31"/>
        <v>5ht1b_human__wt_ICL1</v>
      </c>
      <c r="B345" s="45" t="s">
        <v>208</v>
      </c>
      <c r="C345" s="45" t="s">
        <v>294</v>
      </c>
      <c r="D345" s="4" t="str">
        <f>VLOOKUP(B345,Classification!A:D,2,FALSE)</f>
        <v>A</v>
      </c>
      <c r="E345" s="4" t="str">
        <f>VLOOKUP(B345,Classification!A:D,3,FALSE)</f>
        <v>Aminergic</v>
      </c>
      <c r="F345" s="4" t="str">
        <f>VLOOKUP(B345,Classification!A:D,4,FALSE)</f>
        <v>5-Hydroxytryptamine</v>
      </c>
      <c r="G345" s="2">
        <v>2</v>
      </c>
      <c r="H345" s="45" t="s">
        <v>14</v>
      </c>
      <c r="I345" s="2" t="s">
        <v>1221</v>
      </c>
      <c r="J345" s="5" t="str">
        <f>VLOOKUP(B345,Seqs!A:B,2,FALSE)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345" s="4" t="str">
        <f t="shared" si="36"/>
        <v>R</v>
      </c>
      <c r="L345" s="45">
        <f>VLOOKUP(B345,'NonXtal_SegEnds_Prot#'!A:AL,6,FALSE)</f>
        <v>78</v>
      </c>
      <c r="M345" s="45">
        <f>VLOOKUP(B345,'NonXtal_SegEnds_Prot#'!A:AL,7,FALSE)</f>
        <v>80</v>
      </c>
      <c r="N345" s="45">
        <f>VLOOKUP(B345,'NonXtal_SegEnds_Prot#'!A:AL,8,FALSE)</f>
        <v>81</v>
      </c>
      <c r="O345" s="4" t="str">
        <f t="shared" si="32"/>
        <v>H</v>
      </c>
      <c r="P345" s="4"/>
      <c r="Q345" s="47" t="str">
        <f t="shared" si="33"/>
        <v>RK</v>
      </c>
      <c r="R345" s="27" t="str">
        <f t="shared" si="34"/>
        <v>L</v>
      </c>
      <c r="S345" s="19" t="str">
        <f t="shared" si="35"/>
        <v>H</v>
      </c>
      <c r="T345" s="5"/>
      <c r="U345" s="4"/>
      <c r="V345" s="1"/>
      <c r="W345" s="1"/>
      <c r="X345" s="1"/>
      <c r="Y345" s="1"/>
      <c r="Z345" s="4"/>
      <c r="AA345" s="1"/>
      <c r="AB345" s="1"/>
      <c r="AC345" s="1"/>
      <c r="AD345" s="1" t="s">
        <v>15</v>
      </c>
      <c r="AE345" s="1">
        <v>78</v>
      </c>
      <c r="AF345" s="1">
        <v>80</v>
      </c>
      <c r="AG345" s="1">
        <v>82</v>
      </c>
      <c r="AH345" s="1" t="s">
        <v>16</v>
      </c>
      <c r="AI345" s="1"/>
      <c r="AJ345" s="1"/>
      <c r="AK345" s="4">
        <v>48</v>
      </c>
      <c r="AL345" s="4">
        <v>52</v>
      </c>
    </row>
    <row r="346" spans="1:38" x14ac:dyDescent="0.25">
      <c r="A346" s="1" t="str">
        <f t="shared" si="31"/>
        <v>5ht1b_human_4IAQ_ICL1</v>
      </c>
      <c r="B346" s="45" t="s">
        <v>208</v>
      </c>
      <c r="C346" s="53" t="s">
        <v>1249</v>
      </c>
      <c r="D346" s="4" t="str">
        <f>VLOOKUP(B346,Classification!A:D,2,FALSE)</f>
        <v>A</v>
      </c>
      <c r="E346" s="4" t="str">
        <f>VLOOKUP(B346,Classification!A:D,3,FALSE)</f>
        <v>Aminergic</v>
      </c>
      <c r="F346" s="4" t="str">
        <f>VLOOKUP(B346,Classification!A:D,4,FALSE)</f>
        <v>5-Hydroxytryptamine</v>
      </c>
      <c r="G346" s="2">
        <v>2</v>
      </c>
      <c r="H346" s="45" t="s">
        <v>14</v>
      </c>
      <c r="I346" s="2" t="s">
        <v>1221</v>
      </c>
      <c r="J346" s="5" t="str">
        <f>VLOOKUP(B346,Seqs!A:B,2,FALSE)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346" s="4" t="str">
        <f t="shared" si="36"/>
        <v>R</v>
      </c>
      <c r="L346" s="45">
        <f>VLOOKUP(B346,'NonXtal_SegEnds_Prot#'!A:AL,6,FALSE)</f>
        <v>78</v>
      </c>
      <c r="M346" s="45">
        <f>VLOOKUP(B346,'NonXtal_SegEnds_Prot#'!A:AL,7,FALSE)</f>
        <v>80</v>
      </c>
      <c r="N346" s="45">
        <f>VLOOKUP(B346,'NonXtal_SegEnds_Prot#'!A:AL,8,FALSE)</f>
        <v>81</v>
      </c>
      <c r="O346" s="4" t="str">
        <f t="shared" si="32"/>
        <v>H</v>
      </c>
      <c r="P346" s="4"/>
      <c r="Q346" s="47" t="str">
        <f t="shared" si="33"/>
        <v>RK</v>
      </c>
      <c r="R346" s="27" t="str">
        <f t="shared" si="34"/>
        <v>L</v>
      </c>
      <c r="S346" s="19" t="str">
        <f t="shared" si="35"/>
        <v>H</v>
      </c>
      <c r="Z346" s="4"/>
      <c r="AD346" s="1" t="s">
        <v>15</v>
      </c>
      <c r="AE346" s="1">
        <v>78</v>
      </c>
      <c r="AF346" s="1">
        <v>80</v>
      </c>
      <c r="AG346" s="1">
        <v>82</v>
      </c>
      <c r="AH346" s="1" t="s">
        <v>16</v>
      </c>
      <c r="AK346" s="4">
        <v>48</v>
      </c>
      <c r="AL346" s="4">
        <v>52</v>
      </c>
    </row>
    <row r="347" spans="1:38" s="23" customFormat="1" x14ac:dyDescent="0.25">
      <c r="A347" s="1" t="str">
        <f t="shared" si="31"/>
        <v>5ht1b_human_4IAR_ICL1</v>
      </c>
      <c r="B347" s="45" t="s">
        <v>208</v>
      </c>
      <c r="C347" s="45" t="s">
        <v>251</v>
      </c>
      <c r="D347" s="4" t="str">
        <f>VLOOKUP(B347,Classification!A:D,2,FALSE)</f>
        <v>A</v>
      </c>
      <c r="E347" s="4" t="str">
        <f>VLOOKUP(B347,Classification!A:D,3,FALSE)</f>
        <v>Aminergic</v>
      </c>
      <c r="F347" s="4" t="str">
        <f>VLOOKUP(B347,Classification!A:D,4,FALSE)</f>
        <v>5-Hydroxytryptamine</v>
      </c>
      <c r="G347" s="2">
        <v>2</v>
      </c>
      <c r="H347" s="45" t="s">
        <v>14</v>
      </c>
      <c r="I347" s="2" t="s">
        <v>1221</v>
      </c>
      <c r="J347" s="5" t="str">
        <f>VLOOKUP(B347,Seqs!A:B,2,FALSE)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347" s="4" t="str">
        <f t="shared" si="36"/>
        <v>R</v>
      </c>
      <c r="L347" s="45">
        <f>VLOOKUP(B347,'NonXtal_SegEnds_Prot#'!A:AL,6,FALSE)</f>
        <v>78</v>
      </c>
      <c r="M347" s="45">
        <f>VLOOKUP(B347,'NonXtal_SegEnds_Prot#'!A:AL,7,FALSE)</f>
        <v>80</v>
      </c>
      <c r="N347" s="45">
        <f>VLOOKUP(B347,'NonXtal_SegEnds_Prot#'!A:AL,8,FALSE)</f>
        <v>81</v>
      </c>
      <c r="O347" s="4" t="str">
        <f t="shared" si="32"/>
        <v>H</v>
      </c>
      <c r="P347" s="4"/>
      <c r="Q347" s="47" t="str">
        <f t="shared" si="33"/>
        <v>RK</v>
      </c>
      <c r="R347" s="27" t="str">
        <f t="shared" si="34"/>
        <v>L</v>
      </c>
      <c r="S347" s="19" t="str">
        <f t="shared" si="35"/>
        <v>H</v>
      </c>
      <c r="T347" s="5"/>
      <c r="U347" s="4"/>
      <c r="V347" s="1"/>
      <c r="W347" s="1"/>
      <c r="X347" s="1"/>
      <c r="Y347" s="1"/>
      <c r="Z347" s="4"/>
      <c r="AA347" s="1"/>
      <c r="AB347" s="1"/>
      <c r="AC347" s="1"/>
      <c r="AD347" s="1" t="s">
        <v>15</v>
      </c>
      <c r="AE347" s="1">
        <v>78</v>
      </c>
      <c r="AF347" s="1">
        <v>80</v>
      </c>
      <c r="AG347" s="1">
        <v>82</v>
      </c>
      <c r="AH347" s="1" t="s">
        <v>16</v>
      </c>
      <c r="AI347" s="1"/>
      <c r="AJ347" s="1"/>
      <c r="AK347" s="4">
        <v>48</v>
      </c>
      <c r="AL347" s="4">
        <v>52</v>
      </c>
    </row>
    <row r="348" spans="1:38" s="23" customFormat="1" x14ac:dyDescent="0.25">
      <c r="A348" s="1" t="str">
        <f t="shared" si="31"/>
        <v>5ht2b_human__wt_ICL1</v>
      </c>
      <c r="B348" s="45" t="s">
        <v>209</v>
      </c>
      <c r="C348" s="45" t="s">
        <v>294</v>
      </c>
      <c r="D348" s="4" t="str">
        <f>VLOOKUP(B348,Classification!A:D,2,FALSE)</f>
        <v>A</v>
      </c>
      <c r="E348" s="4" t="str">
        <f>VLOOKUP(B348,Classification!A:D,3,FALSE)</f>
        <v>Aminergic</v>
      </c>
      <c r="F348" s="4" t="str">
        <f>VLOOKUP(B348,Classification!A:D,4,FALSE)</f>
        <v>5-Hydroxytryptamine</v>
      </c>
      <c r="G348" s="2">
        <v>2</v>
      </c>
      <c r="H348" s="45" t="s">
        <v>14</v>
      </c>
      <c r="I348" s="2" t="s">
        <v>1221</v>
      </c>
      <c r="J348" s="5" t="str">
        <f>VLOOKUP(B348,Seqs!A:B,2,FALSE)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348" s="4" t="str">
        <f t="shared" si="36"/>
        <v>K</v>
      </c>
      <c r="L348" s="45">
        <f>VLOOKUP(B348,'NonXtal_SegEnds_Prot#'!A:AL,6,FALSE)</f>
        <v>83</v>
      </c>
      <c r="M348" s="45">
        <f>VLOOKUP(B348,'NonXtal_SegEnds_Prot#'!A:AL,7,FALSE)</f>
        <v>85</v>
      </c>
      <c r="N348" s="45">
        <f>VLOOKUP(B348,'NonXtal_SegEnds_Prot#'!A:AL,8,FALSE)</f>
        <v>86</v>
      </c>
      <c r="O348" s="4" t="str">
        <f t="shared" si="32"/>
        <v>Q</v>
      </c>
      <c r="P348" s="4"/>
      <c r="Q348" s="47" t="str">
        <f t="shared" si="33"/>
        <v>KK</v>
      </c>
      <c r="R348" s="27" t="str">
        <f t="shared" si="34"/>
        <v>L</v>
      </c>
      <c r="S348" s="19" t="str">
        <f t="shared" si="35"/>
        <v>Q</v>
      </c>
      <c r="T348" s="5"/>
      <c r="U348" s="4"/>
      <c r="V348" s="1"/>
      <c r="W348" s="1"/>
      <c r="X348" s="1"/>
      <c r="Y348" s="1"/>
      <c r="Z348" s="4"/>
      <c r="AA348" s="1"/>
      <c r="AB348" s="1"/>
      <c r="AC348" s="1"/>
      <c r="AD348" s="1" t="s">
        <v>15</v>
      </c>
      <c r="AE348" s="1">
        <v>83</v>
      </c>
      <c r="AF348" s="1">
        <v>85</v>
      </c>
      <c r="AG348" s="1">
        <v>87</v>
      </c>
      <c r="AH348" s="1" t="s">
        <v>16</v>
      </c>
      <c r="AI348" s="1"/>
      <c r="AJ348" s="1"/>
      <c r="AK348" s="4">
        <v>48</v>
      </c>
      <c r="AL348" s="4">
        <v>52</v>
      </c>
    </row>
    <row r="349" spans="1:38" s="23" customFormat="1" x14ac:dyDescent="0.25">
      <c r="A349" s="1" t="str">
        <f t="shared" si="31"/>
        <v>5ht2b_human_4IB4_ICL1</v>
      </c>
      <c r="B349" s="45" t="s">
        <v>209</v>
      </c>
      <c r="C349" s="45" t="s">
        <v>261</v>
      </c>
      <c r="D349" s="4" t="str">
        <f>VLOOKUP(B349,Classification!A:D,2,FALSE)</f>
        <v>A</v>
      </c>
      <c r="E349" s="4" t="str">
        <f>VLOOKUP(B349,Classification!A:D,3,FALSE)</f>
        <v>Aminergic</v>
      </c>
      <c r="F349" s="4" t="str">
        <f>VLOOKUP(B349,Classification!A:D,4,FALSE)</f>
        <v>5-Hydroxytryptamine</v>
      </c>
      <c r="G349" s="2">
        <v>2</v>
      </c>
      <c r="H349" s="45" t="s">
        <v>14</v>
      </c>
      <c r="I349" s="2" t="s">
        <v>1221</v>
      </c>
      <c r="J349" s="5" t="str">
        <f>VLOOKUP(B349,Seqs!A:B,2,FALSE)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349" s="4" t="str">
        <f t="shared" si="36"/>
        <v>K</v>
      </c>
      <c r="L349" s="45">
        <f>VLOOKUP(B349,'NonXtal_SegEnds_Prot#'!A:AL,6,FALSE)</f>
        <v>83</v>
      </c>
      <c r="M349" s="45">
        <f>VLOOKUP(B349,'NonXtal_SegEnds_Prot#'!A:AL,7,FALSE)</f>
        <v>85</v>
      </c>
      <c r="N349" s="45">
        <f>VLOOKUP(B349,'NonXtal_SegEnds_Prot#'!A:AL,8,FALSE)</f>
        <v>86</v>
      </c>
      <c r="O349" s="4" t="str">
        <f t="shared" si="32"/>
        <v>Q</v>
      </c>
      <c r="P349" s="4"/>
      <c r="Q349" s="47" t="str">
        <f t="shared" si="33"/>
        <v>KK</v>
      </c>
      <c r="R349" s="27" t="str">
        <f t="shared" si="34"/>
        <v>L</v>
      </c>
      <c r="S349" s="19" t="str">
        <f t="shared" si="35"/>
        <v>Q</v>
      </c>
      <c r="T349" s="5"/>
      <c r="U349" s="4"/>
      <c r="V349" s="1"/>
      <c r="W349" s="1"/>
      <c r="X349" s="1"/>
      <c r="Y349" s="1"/>
      <c r="Z349" s="4"/>
      <c r="AA349" s="1"/>
      <c r="AB349" s="1"/>
      <c r="AC349" s="1"/>
      <c r="AD349" s="1" t="s">
        <v>15</v>
      </c>
      <c r="AE349" s="1">
        <v>83</v>
      </c>
      <c r="AF349" s="1">
        <v>85</v>
      </c>
      <c r="AG349" s="1">
        <v>87</v>
      </c>
      <c r="AH349" s="1" t="s">
        <v>16</v>
      </c>
      <c r="AI349" s="1"/>
      <c r="AJ349" s="1"/>
      <c r="AK349" s="4">
        <v>48</v>
      </c>
      <c r="AL349" s="4">
        <v>52</v>
      </c>
    </row>
    <row r="350" spans="1:38" x14ac:dyDescent="0.25">
      <c r="A350" s="1" t="str">
        <f t="shared" si="31"/>
        <v>AA2AR_human__wt_ICL1</v>
      </c>
      <c r="B350" s="45" t="s">
        <v>210</v>
      </c>
      <c r="C350" s="45" t="s">
        <v>294</v>
      </c>
      <c r="D350" s="4" t="str">
        <f>VLOOKUP(B350,Classification!A:D,2,FALSE)</f>
        <v>A</v>
      </c>
      <c r="E350" s="4" t="str">
        <f>VLOOKUP(B350,Classification!A:D,3,FALSE)</f>
        <v>Nucleotide</v>
      </c>
      <c r="F350" s="4" t="str">
        <f>VLOOKUP(B350,Classification!A:D,4,FALSE)</f>
        <v>Adenosine</v>
      </c>
      <c r="G350" s="2">
        <v>2</v>
      </c>
      <c r="H350" s="45" t="s">
        <v>14</v>
      </c>
      <c r="I350" s="2" t="s">
        <v>1221</v>
      </c>
      <c r="J350" s="5" t="str">
        <f>VLOOKUP(B350,Seqs!A:B,2,FALSE)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0" s="4" t="str">
        <f t="shared" si="36"/>
        <v>S</v>
      </c>
      <c r="L350" s="45">
        <f>VLOOKUP(B350,'NonXtal_SegEnds_Prot#'!A:AL,6,FALSE)</f>
        <v>35</v>
      </c>
      <c r="M350" s="45">
        <f>VLOOKUP(B350,'NonXtal_SegEnds_Prot#'!A:AL,7,FALSE)</f>
        <v>37</v>
      </c>
      <c r="N350" s="45">
        <f>VLOOKUP(B350,'NonXtal_SegEnds_Prot#'!A:AL,8,FALSE)</f>
        <v>38</v>
      </c>
      <c r="O350" s="4" t="str">
        <f t="shared" si="32"/>
        <v>Q</v>
      </c>
      <c r="P350" s="4"/>
      <c r="Q350" s="47" t="str">
        <f t="shared" si="33"/>
        <v>SN</v>
      </c>
      <c r="R350" s="27" t="str">
        <f t="shared" si="34"/>
        <v>L</v>
      </c>
      <c r="S350" s="19" t="str">
        <f t="shared" si="35"/>
        <v>Q</v>
      </c>
      <c r="Z350" s="4" t="s">
        <v>64</v>
      </c>
      <c r="AD350" s="1" t="s">
        <v>15</v>
      </c>
      <c r="AE350" s="1">
        <v>35</v>
      </c>
      <c r="AF350" s="1">
        <v>37</v>
      </c>
      <c r="AG350" s="1">
        <v>39</v>
      </c>
      <c r="AH350" s="1" t="s">
        <v>16</v>
      </c>
      <c r="AK350" s="4">
        <v>48</v>
      </c>
      <c r="AL350" s="4">
        <v>52</v>
      </c>
    </row>
    <row r="351" spans="1:38" x14ac:dyDescent="0.25">
      <c r="A351" s="1" t="str">
        <f t="shared" si="31"/>
        <v>AA2AR_human_2YDV_ICL1</v>
      </c>
      <c r="B351" s="45" t="s">
        <v>210</v>
      </c>
      <c r="C351" s="45" t="s">
        <v>271</v>
      </c>
      <c r="D351" s="4" t="str">
        <f>VLOOKUP(B351,Classification!A:D,2,FALSE)</f>
        <v>A</v>
      </c>
      <c r="E351" s="4" t="str">
        <f>VLOOKUP(B351,Classification!A:D,3,FALSE)</f>
        <v>Nucleotide</v>
      </c>
      <c r="F351" s="4" t="str">
        <f>VLOOKUP(B351,Classification!A:D,4,FALSE)</f>
        <v>Adenosine</v>
      </c>
      <c r="G351" s="2">
        <v>2</v>
      </c>
      <c r="H351" s="45" t="s">
        <v>14</v>
      </c>
      <c r="I351" s="2" t="s">
        <v>1221</v>
      </c>
      <c r="J351" s="5" t="str">
        <f>VLOOKUP(B351,Seqs!A:B,2,FALSE)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1" s="4" t="str">
        <f t="shared" si="36"/>
        <v>S</v>
      </c>
      <c r="L351" s="45">
        <f>VLOOKUP(B351,'NonXtal_SegEnds_Prot#'!A:AL,6,FALSE)</f>
        <v>35</v>
      </c>
      <c r="M351" s="45">
        <f>VLOOKUP(B351,'NonXtal_SegEnds_Prot#'!A:AL,7,FALSE)</f>
        <v>37</v>
      </c>
      <c r="N351" s="45">
        <f>VLOOKUP(B351,'NonXtal_SegEnds_Prot#'!A:AL,8,FALSE)</f>
        <v>38</v>
      </c>
      <c r="O351" s="4" t="str">
        <f t="shared" si="32"/>
        <v>Q</v>
      </c>
      <c r="P351" s="4"/>
      <c r="Q351" s="47" t="str">
        <f t="shared" si="33"/>
        <v>SN</v>
      </c>
      <c r="R351" s="27" t="str">
        <f t="shared" si="34"/>
        <v>L</v>
      </c>
      <c r="S351" s="19" t="str">
        <f t="shared" si="35"/>
        <v>Q</v>
      </c>
      <c r="Z351" s="4" t="s">
        <v>64</v>
      </c>
      <c r="AD351" s="1" t="s">
        <v>15</v>
      </c>
      <c r="AE351" s="1">
        <v>35</v>
      </c>
      <c r="AF351" s="1">
        <v>37</v>
      </c>
      <c r="AG351" s="1">
        <v>39</v>
      </c>
      <c r="AH351" s="1" t="s">
        <v>16</v>
      </c>
      <c r="AK351" s="4">
        <v>48</v>
      </c>
      <c r="AL351" s="4">
        <v>52</v>
      </c>
    </row>
    <row r="352" spans="1:38" x14ac:dyDescent="0.25">
      <c r="A352" s="1" t="str">
        <f t="shared" si="31"/>
        <v>AA2AR_human_3REY_ICL1</v>
      </c>
      <c r="B352" s="45" t="s">
        <v>210</v>
      </c>
      <c r="C352" s="45" t="s">
        <v>275</v>
      </c>
      <c r="D352" s="4" t="str">
        <f>VLOOKUP(B352,Classification!A:D,2,FALSE)</f>
        <v>A</v>
      </c>
      <c r="E352" s="4" t="str">
        <f>VLOOKUP(B352,Classification!A:D,3,FALSE)</f>
        <v>Nucleotide</v>
      </c>
      <c r="F352" s="4" t="str">
        <f>VLOOKUP(B352,Classification!A:D,4,FALSE)</f>
        <v>Adenosine</v>
      </c>
      <c r="G352" s="2">
        <v>2</v>
      </c>
      <c r="H352" s="45" t="s">
        <v>14</v>
      </c>
      <c r="I352" s="2" t="s">
        <v>1221</v>
      </c>
      <c r="J352" s="5" t="str">
        <f>VLOOKUP(B352,Seqs!A:B,2,FALSE)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2" s="4" t="str">
        <f t="shared" si="36"/>
        <v>S</v>
      </c>
      <c r="L352" s="45">
        <f>VLOOKUP(B352,'NonXtal_SegEnds_Prot#'!A:AL,6,FALSE)</f>
        <v>35</v>
      </c>
      <c r="M352" s="45">
        <f>VLOOKUP(B352,'NonXtal_SegEnds_Prot#'!A:AL,7,FALSE)</f>
        <v>37</v>
      </c>
      <c r="N352" s="45">
        <f>VLOOKUP(B352,'NonXtal_SegEnds_Prot#'!A:AL,8,FALSE)</f>
        <v>38</v>
      </c>
      <c r="O352" s="4" t="str">
        <f t="shared" si="32"/>
        <v>Q</v>
      </c>
      <c r="P352" s="4"/>
      <c r="Q352" s="47" t="str">
        <f t="shared" si="33"/>
        <v>SN</v>
      </c>
      <c r="R352" s="27" t="str">
        <f t="shared" si="34"/>
        <v>L</v>
      </c>
      <c r="S352" s="19" t="str">
        <f t="shared" si="35"/>
        <v>Q</v>
      </c>
      <c r="Z352" s="4" t="s">
        <v>78</v>
      </c>
      <c r="AD352" s="1" t="s">
        <v>15</v>
      </c>
      <c r="AE352" s="1">
        <v>35</v>
      </c>
      <c r="AF352" s="1">
        <v>37</v>
      </c>
      <c r="AG352" s="1">
        <v>39</v>
      </c>
      <c r="AH352" s="1" t="s">
        <v>16</v>
      </c>
      <c r="AK352" s="4">
        <v>48</v>
      </c>
      <c r="AL352" s="4">
        <v>52</v>
      </c>
    </row>
    <row r="353" spans="1:38" x14ac:dyDescent="0.25">
      <c r="A353" s="1" t="str">
        <f t="shared" si="31"/>
        <v>AA2AR_human_4EIY_ICL1</v>
      </c>
      <c r="B353" s="45" t="s">
        <v>210</v>
      </c>
      <c r="C353" s="45" t="s">
        <v>272</v>
      </c>
      <c r="D353" s="4" t="str">
        <f>VLOOKUP(B353,Classification!A:D,2,FALSE)</f>
        <v>A</v>
      </c>
      <c r="E353" s="4" t="str">
        <f>VLOOKUP(B353,Classification!A:D,3,FALSE)</f>
        <v>Nucleotide</v>
      </c>
      <c r="F353" s="4" t="str">
        <f>VLOOKUP(B353,Classification!A:D,4,FALSE)</f>
        <v>Adenosine</v>
      </c>
      <c r="G353" s="2">
        <v>2</v>
      </c>
      <c r="H353" s="45" t="s">
        <v>14</v>
      </c>
      <c r="I353" s="2" t="s">
        <v>1221</v>
      </c>
      <c r="J353" s="5" t="str">
        <f>VLOOKUP(B353,Seqs!A:B,2,FALSE)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3" s="4" t="str">
        <f t="shared" si="36"/>
        <v>S</v>
      </c>
      <c r="L353" s="45">
        <f>VLOOKUP(B353,'NonXtal_SegEnds_Prot#'!A:AL,6,FALSE)</f>
        <v>35</v>
      </c>
      <c r="M353" s="45">
        <f>VLOOKUP(B353,'NonXtal_SegEnds_Prot#'!A:AL,7,FALSE)</f>
        <v>37</v>
      </c>
      <c r="N353" s="45">
        <f>VLOOKUP(B353,'NonXtal_SegEnds_Prot#'!A:AL,8,FALSE)</f>
        <v>38</v>
      </c>
      <c r="O353" s="4" t="str">
        <f t="shared" si="32"/>
        <v>Q</v>
      </c>
      <c r="P353" s="4"/>
      <c r="Q353" s="47" t="str">
        <f t="shared" si="33"/>
        <v>SN</v>
      </c>
      <c r="R353" s="27" t="str">
        <f t="shared" si="34"/>
        <v>L</v>
      </c>
      <c r="S353" s="19" t="str">
        <f t="shared" si="35"/>
        <v>Q</v>
      </c>
      <c r="Z353" s="4"/>
      <c r="AD353" s="1" t="s">
        <v>15</v>
      </c>
      <c r="AE353" s="1">
        <v>35</v>
      </c>
      <c r="AF353" s="1">
        <v>37</v>
      </c>
      <c r="AG353" s="1">
        <v>39</v>
      </c>
      <c r="AH353" s="1" t="s">
        <v>16</v>
      </c>
      <c r="AK353" s="4">
        <v>48</v>
      </c>
      <c r="AL353" s="4">
        <v>52</v>
      </c>
    </row>
    <row r="354" spans="1:38" x14ac:dyDescent="0.25">
      <c r="A354" s="1" t="str">
        <f t="shared" si="31"/>
        <v>ACM1_human__wt_ICL1</v>
      </c>
      <c r="B354" s="45" t="s">
        <v>218</v>
      </c>
      <c r="C354" s="45" t="s">
        <v>294</v>
      </c>
      <c r="D354" s="4" t="str">
        <f>VLOOKUP(B354,Classification!A:D,2,FALSE)</f>
        <v>A</v>
      </c>
      <c r="E354" s="4" t="str">
        <f>VLOOKUP(B354,Classification!A:D,3,FALSE)</f>
        <v>Aminergic</v>
      </c>
      <c r="F354" s="4" t="str">
        <f>VLOOKUP(B354,Classification!A:D,4,FALSE)</f>
        <v>Acetylcholine(muscarinic)</v>
      </c>
      <c r="G354" s="2">
        <v>2</v>
      </c>
      <c r="H354" s="45" t="s">
        <v>14</v>
      </c>
      <c r="I354" s="2" t="s">
        <v>1221</v>
      </c>
      <c r="J354" s="5" t="str">
        <f>VLOOKUP(B354,Seqs!A:B,2,FALSE)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354" s="4" t="str">
        <f t="shared" si="36"/>
        <v>T</v>
      </c>
      <c r="L354" s="45">
        <f>VLOOKUP(B354,'NonXtal_SegEnds_Prot#'!A:AL,6,FALSE)</f>
        <v>54</v>
      </c>
      <c r="M354" s="45">
        <f>VLOOKUP(B354,'NonXtal_SegEnds_Prot#'!A:AL,7,FALSE)</f>
        <v>56</v>
      </c>
      <c r="N354" s="45">
        <f>VLOOKUP(B354,'NonXtal_SegEnds_Prot#'!A:AL,8,FALSE)</f>
        <v>57</v>
      </c>
      <c r="O354" s="4" t="str">
        <f t="shared" si="32"/>
        <v>K</v>
      </c>
      <c r="P354" s="4"/>
      <c r="Q354" s="47" t="str">
        <f t="shared" si="33"/>
        <v>TE</v>
      </c>
      <c r="R354" s="27" t="str">
        <f t="shared" si="34"/>
        <v>L</v>
      </c>
      <c r="S354" s="19" t="str">
        <f t="shared" si="35"/>
        <v>K</v>
      </c>
      <c r="Z354" s="4" t="s">
        <v>78</v>
      </c>
      <c r="AD354" s="1" t="s">
        <v>15</v>
      </c>
      <c r="AE354" s="1">
        <v>54</v>
      </c>
      <c r="AF354" s="1">
        <v>56</v>
      </c>
      <c r="AG354" s="1">
        <v>58</v>
      </c>
      <c r="AH354" s="1" t="s">
        <v>16</v>
      </c>
      <c r="AK354" s="4">
        <v>48</v>
      </c>
      <c r="AL354" s="4">
        <v>52</v>
      </c>
    </row>
    <row r="355" spans="1:38" x14ac:dyDescent="0.25">
      <c r="A355" s="1" t="str">
        <f t="shared" si="31"/>
        <v>ACM1_human_5CXV_ICL1</v>
      </c>
      <c r="B355" s="45" t="s">
        <v>218</v>
      </c>
      <c r="C355" s="45" t="s">
        <v>253</v>
      </c>
      <c r="D355" s="4" t="str">
        <f>VLOOKUP(B355,Classification!A:D,2,FALSE)</f>
        <v>A</v>
      </c>
      <c r="E355" s="4" t="str">
        <f>VLOOKUP(B355,Classification!A:D,3,FALSE)</f>
        <v>Aminergic</v>
      </c>
      <c r="F355" s="4" t="str">
        <f>VLOOKUP(B355,Classification!A:D,4,FALSE)</f>
        <v>Acetylcholine(muscarinic)</v>
      </c>
      <c r="G355" s="2">
        <v>2</v>
      </c>
      <c r="H355" s="45" t="s">
        <v>14</v>
      </c>
      <c r="I355" s="2" t="s">
        <v>1221</v>
      </c>
      <c r="J355" s="5" t="str">
        <f>VLOOKUP(B355,Seqs!A:B,2,FALSE)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355" s="4" t="str">
        <f t="shared" si="36"/>
        <v>T</v>
      </c>
      <c r="L355" s="45">
        <f>VLOOKUP(B355,'NonXtal_SegEnds_Prot#'!A:AL,6,FALSE)</f>
        <v>54</v>
      </c>
      <c r="M355" s="45">
        <f>VLOOKUP(B355,'NonXtal_SegEnds_Prot#'!A:AL,7,FALSE)</f>
        <v>56</v>
      </c>
      <c r="N355" s="45">
        <f>VLOOKUP(B355,'NonXtal_SegEnds_Prot#'!A:AL,8,FALSE)</f>
        <v>57</v>
      </c>
      <c r="O355" s="4" t="str">
        <f t="shared" si="32"/>
        <v>K</v>
      </c>
      <c r="P355" s="4"/>
      <c r="Q355" s="47" t="str">
        <f t="shared" si="33"/>
        <v>TE</v>
      </c>
      <c r="R355" s="27" t="str">
        <f t="shared" si="34"/>
        <v>L</v>
      </c>
      <c r="S355" s="19" t="str">
        <f t="shared" si="35"/>
        <v>K</v>
      </c>
      <c r="Z355" s="4" t="s">
        <v>78</v>
      </c>
      <c r="AD355" s="1" t="s">
        <v>15</v>
      </c>
      <c r="AE355" s="1">
        <v>54</v>
      </c>
      <c r="AF355" s="1">
        <v>56</v>
      </c>
      <c r="AG355" s="1">
        <v>58</v>
      </c>
      <c r="AH355" s="1" t="s">
        <v>16</v>
      </c>
      <c r="AK355" s="4">
        <v>48</v>
      </c>
      <c r="AL355" s="4">
        <v>52</v>
      </c>
    </row>
    <row r="356" spans="1:38" x14ac:dyDescent="0.25">
      <c r="A356" s="1" t="str">
        <f t="shared" si="31"/>
        <v>ACM2_human__wt_ICL1</v>
      </c>
      <c r="B356" s="45" t="s">
        <v>219</v>
      </c>
      <c r="C356" s="45" t="s">
        <v>294</v>
      </c>
      <c r="D356" s="4" t="str">
        <f>VLOOKUP(B356,Classification!A:D,2,FALSE)</f>
        <v>A</v>
      </c>
      <c r="E356" s="4" t="str">
        <f>VLOOKUP(B356,Classification!A:D,3,FALSE)</f>
        <v>Aminergic</v>
      </c>
      <c r="F356" s="4" t="str">
        <f>VLOOKUP(B356,Classification!A:D,4,FALSE)</f>
        <v>Acetylcholine(muscarinic)</v>
      </c>
      <c r="G356" s="2">
        <v>2</v>
      </c>
      <c r="H356" s="45" t="s">
        <v>14</v>
      </c>
      <c r="I356" s="2" t="s">
        <v>1221</v>
      </c>
      <c r="J356" s="5" t="str">
        <f>VLOOKUP(B356,Seqs!A:B,2,FALSE)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356" s="4" t="str">
        <f t="shared" si="36"/>
        <v>R</v>
      </c>
      <c r="L356" s="45">
        <f>VLOOKUP(B356,'NonXtal_SegEnds_Prot#'!A:AL,6,FALSE)</f>
        <v>52</v>
      </c>
      <c r="M356" s="45">
        <f>VLOOKUP(B356,'NonXtal_SegEnds_Prot#'!A:AL,7,FALSE)</f>
        <v>54</v>
      </c>
      <c r="N356" s="45">
        <f>VLOOKUP(B356,'NonXtal_SegEnds_Prot#'!A:AL,8,FALSE)</f>
        <v>55</v>
      </c>
      <c r="O356" s="4" t="str">
        <f t="shared" si="32"/>
        <v>Q</v>
      </c>
      <c r="P356" s="4"/>
      <c r="Q356" s="47" t="str">
        <f t="shared" si="33"/>
        <v>RH</v>
      </c>
      <c r="R356" s="28" t="str">
        <f t="shared" si="34"/>
        <v>L</v>
      </c>
      <c r="S356" s="20" t="str">
        <f t="shared" si="35"/>
        <v>Q</v>
      </c>
      <c r="Z356" s="4" t="s">
        <v>78</v>
      </c>
      <c r="AD356" s="1" t="s">
        <v>15</v>
      </c>
      <c r="AE356" s="1">
        <v>52</v>
      </c>
      <c r="AF356" s="1">
        <v>54</v>
      </c>
      <c r="AG356" s="1">
        <v>56</v>
      </c>
      <c r="AH356" s="1" t="s">
        <v>16</v>
      </c>
      <c r="AK356" s="4">
        <v>48</v>
      </c>
      <c r="AL356" s="4">
        <v>52</v>
      </c>
    </row>
    <row r="357" spans="1:38" x14ac:dyDescent="0.25">
      <c r="A357" s="1" t="str">
        <f t="shared" si="31"/>
        <v>ACM2_human_3UON_ICL1</v>
      </c>
      <c r="B357" s="45" t="s">
        <v>219</v>
      </c>
      <c r="C357" s="45" t="s">
        <v>270</v>
      </c>
      <c r="D357" s="4" t="str">
        <f>VLOOKUP(B357,Classification!A:D,2,FALSE)</f>
        <v>A</v>
      </c>
      <c r="E357" s="4" t="str">
        <f>VLOOKUP(B357,Classification!A:D,3,FALSE)</f>
        <v>Aminergic</v>
      </c>
      <c r="F357" s="4" t="str">
        <f>VLOOKUP(B357,Classification!A:D,4,FALSE)</f>
        <v>Acetylcholine(muscarinic)</v>
      </c>
      <c r="G357" s="2">
        <v>2</v>
      </c>
      <c r="H357" s="45" t="s">
        <v>14</v>
      </c>
      <c r="I357" s="2" t="s">
        <v>1221</v>
      </c>
      <c r="J357" s="5" t="str">
        <f>VLOOKUP(B357,Seqs!A:B,2,FALSE)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357" s="4" t="str">
        <f t="shared" si="36"/>
        <v>R</v>
      </c>
      <c r="L357" s="45">
        <f>VLOOKUP(B357,'NonXtal_SegEnds_Prot#'!A:AL,6,FALSE)</f>
        <v>52</v>
      </c>
      <c r="M357" s="45">
        <f>VLOOKUP(B357,'NonXtal_SegEnds_Prot#'!A:AL,7,FALSE)</f>
        <v>54</v>
      </c>
      <c r="N357" s="45">
        <f>VLOOKUP(B357,'NonXtal_SegEnds_Prot#'!A:AL,8,FALSE)</f>
        <v>55</v>
      </c>
      <c r="O357" s="4" t="str">
        <f t="shared" si="32"/>
        <v>Q</v>
      </c>
      <c r="P357" s="4"/>
      <c r="Q357" s="47" t="str">
        <f t="shared" si="33"/>
        <v>RH</v>
      </c>
      <c r="R357" s="27" t="str">
        <f t="shared" si="34"/>
        <v>L</v>
      </c>
      <c r="S357" s="19" t="str">
        <f t="shared" si="35"/>
        <v>Q</v>
      </c>
      <c r="Z357" s="4" t="s">
        <v>78</v>
      </c>
      <c r="AD357" s="1" t="s">
        <v>15</v>
      </c>
      <c r="AE357" s="1">
        <v>52</v>
      </c>
      <c r="AF357" s="1">
        <v>54</v>
      </c>
      <c r="AG357" s="1">
        <v>56</v>
      </c>
      <c r="AH357" s="1" t="s">
        <v>16</v>
      </c>
      <c r="AK357" s="4">
        <v>48</v>
      </c>
      <c r="AL357" s="4">
        <v>52</v>
      </c>
    </row>
    <row r="358" spans="1:38" x14ac:dyDescent="0.25">
      <c r="A358" s="1" t="str">
        <f t="shared" si="31"/>
        <v>ACM2_human_4MQS_ICL1</v>
      </c>
      <c r="B358" s="45" t="s">
        <v>219</v>
      </c>
      <c r="C358" s="45" t="s">
        <v>259</v>
      </c>
      <c r="D358" s="4" t="str">
        <f>VLOOKUP(B358,Classification!A:D,2,FALSE)</f>
        <v>A</v>
      </c>
      <c r="E358" s="4" t="str">
        <f>VLOOKUP(B358,Classification!A:D,3,FALSE)</f>
        <v>Aminergic</v>
      </c>
      <c r="F358" s="4" t="str">
        <f>VLOOKUP(B358,Classification!A:D,4,FALSE)</f>
        <v>Acetylcholine(muscarinic)</v>
      </c>
      <c r="G358" s="2">
        <v>2</v>
      </c>
      <c r="H358" s="45" t="s">
        <v>14</v>
      </c>
      <c r="I358" s="2" t="s">
        <v>1221</v>
      </c>
      <c r="J358" s="5" t="str">
        <f>VLOOKUP(B358,Seqs!A:B,2,FALSE)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358" s="4" t="str">
        <f t="shared" si="36"/>
        <v>R</v>
      </c>
      <c r="L358" s="45">
        <f>VLOOKUP(B358,'NonXtal_SegEnds_Prot#'!A:AL,6,FALSE)</f>
        <v>52</v>
      </c>
      <c r="M358" s="45">
        <f>VLOOKUP(B358,'NonXtal_SegEnds_Prot#'!A:AL,7,FALSE)</f>
        <v>54</v>
      </c>
      <c r="N358" s="45">
        <f>VLOOKUP(B358,'NonXtal_SegEnds_Prot#'!A:AL,8,FALSE)</f>
        <v>55</v>
      </c>
      <c r="O358" s="4" t="str">
        <f t="shared" si="32"/>
        <v>Q</v>
      </c>
      <c r="P358" s="4"/>
      <c r="Q358" s="47" t="str">
        <f t="shared" si="33"/>
        <v>RH</v>
      </c>
      <c r="R358" s="27" t="str">
        <f t="shared" si="34"/>
        <v>L</v>
      </c>
      <c r="S358" s="19" t="str">
        <f t="shared" si="35"/>
        <v>Q</v>
      </c>
      <c r="Z358" s="4" t="s">
        <v>64</v>
      </c>
      <c r="AD358" s="1" t="s">
        <v>15</v>
      </c>
      <c r="AE358" s="1">
        <v>52</v>
      </c>
      <c r="AF358" s="1">
        <v>54</v>
      </c>
      <c r="AG358" s="1">
        <v>56</v>
      </c>
      <c r="AH358" s="1" t="s">
        <v>16</v>
      </c>
      <c r="AK358" s="4">
        <v>48</v>
      </c>
      <c r="AL358" s="4">
        <v>52</v>
      </c>
    </row>
    <row r="359" spans="1:38" x14ac:dyDescent="0.25">
      <c r="A359" s="1" t="str">
        <f t="shared" si="31"/>
        <v>ACM3_rat__wt_ICL1</v>
      </c>
      <c r="B359" s="45" t="s">
        <v>236</v>
      </c>
      <c r="C359" s="45" t="s">
        <v>294</v>
      </c>
      <c r="D359" s="4" t="str">
        <f>VLOOKUP(B359,Classification!A:D,2,FALSE)</f>
        <v>A</v>
      </c>
      <c r="E359" s="4" t="str">
        <f>VLOOKUP(B359,Classification!A:D,3,FALSE)</f>
        <v>Aminergic</v>
      </c>
      <c r="F359" s="4" t="str">
        <f>VLOOKUP(B359,Classification!A:D,4,FALSE)</f>
        <v>Acetylcholine(muscarinic)</v>
      </c>
      <c r="G359" s="2">
        <v>2</v>
      </c>
      <c r="H359" s="45" t="s">
        <v>14</v>
      </c>
      <c r="I359" s="2" t="s">
        <v>1221</v>
      </c>
      <c r="J359" s="5" t="str">
        <f>VLOOKUP(B359,Seqs!A:B,2,FALSE)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359" s="4" t="str">
        <f t="shared" si="36"/>
        <v>K</v>
      </c>
      <c r="L359" s="45">
        <f>VLOOKUP(B359,'NonXtal_SegEnds_Prot#'!A:AL,6,FALSE)</f>
        <v>96</v>
      </c>
      <c r="M359" s="45">
        <f>VLOOKUP(B359,'NonXtal_SegEnds_Prot#'!A:AL,7,FALSE)</f>
        <v>98</v>
      </c>
      <c r="N359" s="45">
        <f>VLOOKUP(B359,'NonXtal_SegEnds_Prot#'!A:AL,8,FALSE)</f>
        <v>99</v>
      </c>
      <c r="O359" s="4" t="str">
        <f t="shared" si="32"/>
        <v>K</v>
      </c>
      <c r="P359" s="4"/>
      <c r="Q359" s="47" t="str">
        <f t="shared" si="33"/>
        <v>KQ</v>
      </c>
      <c r="R359" s="28" t="str">
        <f t="shared" si="34"/>
        <v>L</v>
      </c>
      <c r="S359" s="20" t="str">
        <f t="shared" si="35"/>
        <v>K</v>
      </c>
      <c r="Z359" s="4"/>
      <c r="AD359" s="1" t="s">
        <v>15</v>
      </c>
      <c r="AE359" s="1">
        <v>96</v>
      </c>
      <c r="AF359" s="1">
        <v>98</v>
      </c>
      <c r="AG359" s="1">
        <v>100</v>
      </c>
      <c r="AH359" s="1" t="s">
        <v>16</v>
      </c>
      <c r="AK359" s="4">
        <v>48</v>
      </c>
      <c r="AL359" s="4">
        <v>52</v>
      </c>
    </row>
    <row r="360" spans="1:38" x14ac:dyDescent="0.25">
      <c r="A360" s="1" t="str">
        <f t="shared" si="31"/>
        <v>ACM3_rat_4U15_ICL1</v>
      </c>
      <c r="B360" s="45" t="s">
        <v>236</v>
      </c>
      <c r="C360" s="45" t="s">
        <v>262</v>
      </c>
      <c r="D360" s="4" t="str">
        <f>VLOOKUP(B360,Classification!A:D,2,FALSE)</f>
        <v>A</v>
      </c>
      <c r="E360" s="4" t="str">
        <f>VLOOKUP(B360,Classification!A:D,3,FALSE)</f>
        <v>Aminergic</v>
      </c>
      <c r="F360" s="4" t="str">
        <f>VLOOKUP(B360,Classification!A:D,4,FALSE)</f>
        <v>Acetylcholine(muscarinic)</v>
      </c>
      <c r="G360" s="2">
        <v>2</v>
      </c>
      <c r="H360" s="45" t="s">
        <v>14</v>
      </c>
      <c r="I360" s="2" t="s">
        <v>1221</v>
      </c>
      <c r="J360" s="5" t="str">
        <f>VLOOKUP(B360,Seqs!A:B,2,FALSE)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360" s="4" t="str">
        <f t="shared" si="36"/>
        <v>K</v>
      </c>
      <c r="L360" s="45">
        <f>VLOOKUP(B360,'NonXtal_SegEnds_Prot#'!A:AL,6,FALSE)</f>
        <v>96</v>
      </c>
      <c r="M360" s="45">
        <f>VLOOKUP(B360,'NonXtal_SegEnds_Prot#'!A:AL,7,FALSE)</f>
        <v>98</v>
      </c>
      <c r="N360" s="45">
        <f>VLOOKUP(B360,'NonXtal_SegEnds_Prot#'!A:AL,8,FALSE)</f>
        <v>99</v>
      </c>
      <c r="O360" s="4" t="str">
        <f t="shared" si="32"/>
        <v>K</v>
      </c>
      <c r="P360" s="4"/>
      <c r="Q360" s="47" t="str">
        <f t="shared" si="33"/>
        <v>KQ</v>
      </c>
      <c r="R360" s="27" t="str">
        <f t="shared" si="34"/>
        <v>L</v>
      </c>
      <c r="S360" s="19" t="str">
        <f t="shared" si="35"/>
        <v>K</v>
      </c>
      <c r="Z360" s="4"/>
      <c r="AD360" s="1" t="s">
        <v>15</v>
      </c>
      <c r="AE360" s="1">
        <v>96</v>
      </c>
      <c r="AF360" s="1">
        <v>98</v>
      </c>
      <c r="AG360" s="1">
        <v>100</v>
      </c>
      <c r="AH360" s="1" t="s">
        <v>16</v>
      </c>
      <c r="AK360" s="4">
        <v>48</v>
      </c>
      <c r="AL360" s="4">
        <v>52</v>
      </c>
    </row>
    <row r="361" spans="1:38" x14ac:dyDescent="0.25">
      <c r="A361" s="1" t="str">
        <f t="shared" si="31"/>
        <v>ACM4_human__wt_ICL1</v>
      </c>
      <c r="B361" s="45" t="s">
        <v>220</v>
      </c>
      <c r="C361" s="45" t="s">
        <v>294</v>
      </c>
      <c r="D361" s="4" t="str">
        <f>VLOOKUP(B361,Classification!A:D,2,FALSE)</f>
        <v>A</v>
      </c>
      <c r="E361" s="4" t="str">
        <f>VLOOKUP(B361,Classification!A:D,3,FALSE)</f>
        <v>Aminergic</v>
      </c>
      <c r="F361" s="4" t="str">
        <f>VLOOKUP(B361,Classification!A:D,4,FALSE)</f>
        <v>Acetylcholine(muscarinic)</v>
      </c>
      <c r="G361" s="2">
        <v>2</v>
      </c>
      <c r="H361" s="45" t="s">
        <v>14</v>
      </c>
      <c r="I361" s="2" t="s">
        <v>1221</v>
      </c>
      <c r="J361" s="5" t="str">
        <f>VLOOKUP(B361,Seqs!A:B,2,FALSE)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361" s="4" t="str">
        <f t="shared" si="36"/>
        <v>R</v>
      </c>
      <c r="L361" s="45">
        <f>VLOOKUP(B361,'NonXtal_SegEnds_Prot#'!A:AL,6,FALSE)</f>
        <v>61</v>
      </c>
      <c r="M361" s="45">
        <f>VLOOKUP(B361,'NonXtal_SegEnds_Prot#'!A:AL,7,FALSE)</f>
        <v>63</v>
      </c>
      <c r="N361" s="45">
        <f>VLOOKUP(B361,'NonXtal_SegEnds_Prot#'!A:AL,8,FALSE)</f>
        <v>64</v>
      </c>
      <c r="O361" s="4" t="str">
        <f t="shared" si="32"/>
        <v>Q</v>
      </c>
      <c r="P361" s="4"/>
      <c r="Q361" s="47" t="str">
        <f t="shared" si="33"/>
        <v>RQ</v>
      </c>
      <c r="R361" s="27" t="str">
        <f t="shared" si="34"/>
        <v>L</v>
      </c>
      <c r="S361" s="19" t="str">
        <f t="shared" si="35"/>
        <v>Q</v>
      </c>
      <c r="Z361" s="4" t="s">
        <v>78</v>
      </c>
      <c r="AD361" s="1" t="s">
        <v>15</v>
      </c>
      <c r="AE361" s="1">
        <v>61</v>
      </c>
      <c r="AF361" s="1">
        <v>63</v>
      </c>
      <c r="AG361" s="1">
        <v>65</v>
      </c>
      <c r="AH361" s="1" t="s">
        <v>16</v>
      </c>
      <c r="AK361" s="4">
        <v>48</v>
      </c>
      <c r="AL361" s="4">
        <v>52</v>
      </c>
    </row>
    <row r="362" spans="1:38" x14ac:dyDescent="0.25">
      <c r="A362" s="1" t="str">
        <f t="shared" si="31"/>
        <v>ACM4_human_5DSG_ICL1</v>
      </c>
      <c r="B362" s="45" t="s">
        <v>220</v>
      </c>
      <c r="C362" s="45" t="s">
        <v>252</v>
      </c>
      <c r="D362" s="4" t="str">
        <f>VLOOKUP(B362,Classification!A:D,2,FALSE)</f>
        <v>A</v>
      </c>
      <c r="E362" s="4" t="str">
        <f>VLOOKUP(B362,Classification!A:D,3,FALSE)</f>
        <v>Aminergic</v>
      </c>
      <c r="F362" s="4" t="str">
        <f>VLOOKUP(B362,Classification!A:D,4,FALSE)</f>
        <v>Acetylcholine(muscarinic)</v>
      </c>
      <c r="G362" s="2">
        <v>2</v>
      </c>
      <c r="H362" s="45" t="s">
        <v>14</v>
      </c>
      <c r="I362" s="2" t="s">
        <v>1221</v>
      </c>
      <c r="J362" s="5" t="str">
        <f>VLOOKUP(B362,Seqs!A:B,2,FALSE)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362" s="4" t="str">
        <f t="shared" si="36"/>
        <v>R</v>
      </c>
      <c r="L362" s="45">
        <f>VLOOKUP(B362,'NonXtal_SegEnds_Prot#'!A:AL,6,FALSE)</f>
        <v>61</v>
      </c>
      <c r="M362" s="45">
        <f>VLOOKUP(B362,'NonXtal_SegEnds_Prot#'!A:AL,7,FALSE)</f>
        <v>63</v>
      </c>
      <c r="N362" s="45">
        <f>VLOOKUP(B362,'NonXtal_SegEnds_Prot#'!A:AL,8,FALSE)</f>
        <v>64</v>
      </c>
      <c r="O362" s="4" t="str">
        <f t="shared" si="32"/>
        <v>Q</v>
      </c>
      <c r="P362" s="4"/>
      <c r="Q362" s="47" t="str">
        <f t="shared" si="33"/>
        <v>RQ</v>
      </c>
      <c r="R362" s="27" t="str">
        <f t="shared" si="34"/>
        <v>L</v>
      </c>
      <c r="S362" s="19" t="str">
        <f t="shared" si="35"/>
        <v>Q</v>
      </c>
      <c r="Z362" s="4" t="s">
        <v>78</v>
      </c>
      <c r="AD362" s="1" t="s">
        <v>15</v>
      </c>
      <c r="AE362" s="1">
        <v>61</v>
      </c>
      <c r="AF362" s="1">
        <v>63</v>
      </c>
      <c r="AG362" s="1">
        <v>65</v>
      </c>
      <c r="AH362" s="1" t="s">
        <v>16</v>
      </c>
      <c r="AK362" s="4">
        <v>48</v>
      </c>
      <c r="AL362" s="4">
        <v>52</v>
      </c>
    </row>
    <row r="363" spans="1:38" x14ac:dyDescent="0.25">
      <c r="A363" s="1" t="str">
        <f t="shared" si="31"/>
        <v>ADRB1_melga__wt_ICL1</v>
      </c>
      <c r="B363" s="45" t="s">
        <v>235</v>
      </c>
      <c r="C363" s="45" t="s">
        <v>294</v>
      </c>
      <c r="D363" s="4" t="str">
        <f>VLOOKUP(B363,Classification!A:D,2,FALSE)</f>
        <v>A</v>
      </c>
      <c r="E363" s="4" t="str">
        <f>VLOOKUP(B363,Classification!A:D,3,FALSE)</f>
        <v>Aminergic</v>
      </c>
      <c r="F363" s="4" t="str">
        <f>VLOOKUP(B363,Classification!A:D,4,FALSE)</f>
        <v>Adrenoceptors</v>
      </c>
      <c r="G363" s="2">
        <v>2</v>
      </c>
      <c r="H363" s="45" t="s">
        <v>14</v>
      </c>
      <c r="I363" s="2" t="s">
        <v>1221</v>
      </c>
      <c r="J363" s="5" t="str">
        <f>VLOOKUP(B363,Seqs!A:B,2,FALSE)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3" s="4" t="str">
        <f t="shared" si="36"/>
        <v>Q</v>
      </c>
      <c r="L363" s="45">
        <f>VLOOKUP(B363,'NonXtal_SegEnds_Prot#'!A:AL,6,FALSE)</f>
        <v>70</v>
      </c>
      <c r="M363" s="45">
        <f>VLOOKUP(B363,'NonXtal_SegEnds_Prot#'!A:AL,7,FALSE)</f>
        <v>72</v>
      </c>
      <c r="N363" s="45">
        <f>VLOOKUP(B363,'NonXtal_SegEnds_Prot#'!A:AL,8,FALSE)</f>
        <v>73</v>
      </c>
      <c r="O363" s="4" t="str">
        <f t="shared" si="32"/>
        <v>Q</v>
      </c>
      <c r="P363" s="4"/>
      <c r="Q363" s="47" t="str">
        <f t="shared" si="33"/>
        <v>QR</v>
      </c>
      <c r="R363" s="27" t="str">
        <f t="shared" si="34"/>
        <v>L</v>
      </c>
      <c r="S363" s="19" t="str">
        <f t="shared" si="35"/>
        <v>Q</v>
      </c>
      <c r="Z363" s="4"/>
      <c r="AD363" s="1" t="s">
        <v>15</v>
      </c>
      <c r="AE363" s="1">
        <v>70</v>
      </c>
      <c r="AF363" s="1">
        <v>72</v>
      </c>
      <c r="AG363" s="1">
        <v>74</v>
      </c>
      <c r="AH363" s="1" t="s">
        <v>16</v>
      </c>
      <c r="AK363" s="4">
        <v>48</v>
      </c>
      <c r="AL363" s="4">
        <v>52</v>
      </c>
    </row>
    <row r="364" spans="1:38" x14ac:dyDescent="0.25">
      <c r="A364" s="1" t="str">
        <f t="shared" si="31"/>
        <v>ADRB1_melga_2Y02_ICL1</v>
      </c>
      <c r="B364" s="45" t="s">
        <v>235</v>
      </c>
      <c r="C364" s="45" t="s">
        <v>1230</v>
      </c>
      <c r="D364" s="4" t="str">
        <f>VLOOKUP(B364,Classification!A:D,2,FALSE)</f>
        <v>A</v>
      </c>
      <c r="E364" s="4" t="str">
        <f>VLOOKUP(B364,Classification!A:D,3,FALSE)</f>
        <v>Aminergic</v>
      </c>
      <c r="F364" s="4" t="str">
        <f>VLOOKUP(B364,Classification!A:D,4,FALSE)</f>
        <v>Adrenoceptors</v>
      </c>
      <c r="G364" s="2">
        <v>2</v>
      </c>
      <c r="H364" s="45" t="s">
        <v>14</v>
      </c>
      <c r="I364" s="2" t="s">
        <v>1221</v>
      </c>
      <c r="J364" s="5" t="str">
        <f>VLOOKUP(B364,Seqs!A:B,2,FALSE)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4" s="4" t="str">
        <f t="shared" si="36"/>
        <v>Q</v>
      </c>
      <c r="L364" s="45">
        <f>VLOOKUP(B364,'NonXtal_SegEnds_Prot#'!A:AL,6,FALSE)</f>
        <v>70</v>
      </c>
      <c r="M364" s="45">
        <f>VLOOKUP(B364,'NonXtal_SegEnds_Prot#'!A:AL,7,FALSE)</f>
        <v>72</v>
      </c>
      <c r="N364" s="45">
        <f>VLOOKUP(B364,'NonXtal_SegEnds_Prot#'!A:AL,8,FALSE)</f>
        <v>73</v>
      </c>
      <c r="O364" s="4" t="str">
        <f t="shared" si="32"/>
        <v>Q</v>
      </c>
      <c r="P364" s="4"/>
      <c r="Q364" s="47" t="str">
        <f t="shared" si="33"/>
        <v>QR</v>
      </c>
      <c r="R364" s="27" t="str">
        <f t="shared" si="34"/>
        <v>L</v>
      </c>
      <c r="S364" s="19" t="str">
        <f t="shared" si="35"/>
        <v>Q</v>
      </c>
      <c r="Z364" s="4"/>
      <c r="AD364" s="1" t="s">
        <v>15</v>
      </c>
      <c r="AE364" s="1">
        <v>70</v>
      </c>
      <c r="AF364" s="1">
        <v>72</v>
      </c>
      <c r="AG364" s="1">
        <v>74</v>
      </c>
      <c r="AH364" s="1" t="s">
        <v>16</v>
      </c>
      <c r="AK364" s="4">
        <v>48</v>
      </c>
      <c r="AL364" s="4">
        <v>52</v>
      </c>
    </row>
    <row r="365" spans="1:38" x14ac:dyDescent="0.25">
      <c r="A365" s="1" t="str">
        <f t="shared" si="31"/>
        <v>ADRB1_melga_2YCW_ICL1</v>
      </c>
      <c r="B365" s="45" t="s">
        <v>235</v>
      </c>
      <c r="C365" s="45" t="s">
        <v>1233</v>
      </c>
      <c r="D365" s="4" t="str">
        <f>VLOOKUP(B365,Classification!A:D,2,FALSE)</f>
        <v>A</v>
      </c>
      <c r="E365" s="4" t="str">
        <f>VLOOKUP(B365,Classification!A:D,3,FALSE)</f>
        <v>Aminergic</v>
      </c>
      <c r="F365" s="4" t="str">
        <f>VLOOKUP(B365,Classification!A:D,4,FALSE)</f>
        <v>Adrenoceptors</v>
      </c>
      <c r="G365" s="2">
        <v>2</v>
      </c>
      <c r="H365" s="45" t="s">
        <v>14</v>
      </c>
      <c r="I365" s="2" t="s">
        <v>1221</v>
      </c>
      <c r="J365" s="5" t="str">
        <f>VLOOKUP(B365,Seqs!A:B,2,FALSE)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5" s="4" t="str">
        <f t="shared" si="36"/>
        <v>Q</v>
      </c>
      <c r="L365" s="45">
        <f>VLOOKUP(B365,'NonXtal_SegEnds_Prot#'!A:AL,6,FALSE)</f>
        <v>70</v>
      </c>
      <c r="M365" s="45">
        <f>VLOOKUP(B365,'NonXtal_SegEnds_Prot#'!A:AL,7,FALSE)</f>
        <v>72</v>
      </c>
      <c r="N365" s="45">
        <f>VLOOKUP(B365,'NonXtal_SegEnds_Prot#'!A:AL,8,FALSE)</f>
        <v>73</v>
      </c>
      <c r="O365" s="4" t="str">
        <f t="shared" si="32"/>
        <v>Q</v>
      </c>
      <c r="P365" s="4"/>
      <c r="Q365" s="47" t="str">
        <f t="shared" si="33"/>
        <v>QR</v>
      </c>
      <c r="R365" s="27" t="str">
        <f t="shared" si="34"/>
        <v>L</v>
      </c>
      <c r="S365" s="19" t="str">
        <f t="shared" si="35"/>
        <v>Q</v>
      </c>
      <c r="Z365" s="4"/>
      <c r="AD365" s="1" t="s">
        <v>15</v>
      </c>
      <c r="AE365" s="1">
        <v>70</v>
      </c>
      <c r="AF365" s="1">
        <v>72</v>
      </c>
      <c r="AG365" s="1">
        <v>74</v>
      </c>
      <c r="AH365" s="1" t="s">
        <v>16</v>
      </c>
      <c r="AK365" s="4">
        <v>48</v>
      </c>
      <c r="AL365" s="4">
        <v>52</v>
      </c>
    </row>
    <row r="366" spans="1:38" x14ac:dyDescent="0.25">
      <c r="A366" s="1" t="str">
        <f t="shared" si="31"/>
        <v>ADRB1_melga_4BVN_ICL1</v>
      </c>
      <c r="B366" s="45" t="s">
        <v>235</v>
      </c>
      <c r="C366" s="45" t="s">
        <v>273</v>
      </c>
      <c r="D366" s="4" t="str">
        <f>VLOOKUP(B366,Classification!A:D,2,FALSE)</f>
        <v>A</v>
      </c>
      <c r="E366" s="4" t="str">
        <f>VLOOKUP(B366,Classification!A:D,3,FALSE)</f>
        <v>Aminergic</v>
      </c>
      <c r="F366" s="4" t="str">
        <f>VLOOKUP(B366,Classification!A:D,4,FALSE)</f>
        <v>Adrenoceptors</v>
      </c>
      <c r="G366" s="2">
        <v>2</v>
      </c>
      <c r="H366" s="45" t="s">
        <v>14</v>
      </c>
      <c r="I366" s="2" t="s">
        <v>1221</v>
      </c>
      <c r="J366" s="5" t="str">
        <f>VLOOKUP(B366,Seqs!A:B,2,FALSE)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6" s="4" t="str">
        <f t="shared" si="36"/>
        <v>Q</v>
      </c>
      <c r="L366" s="45">
        <f>VLOOKUP(B366,'NonXtal_SegEnds_Prot#'!A:AL,6,FALSE)</f>
        <v>70</v>
      </c>
      <c r="M366" s="45">
        <f>VLOOKUP(B366,'NonXtal_SegEnds_Prot#'!A:AL,7,FALSE)</f>
        <v>72</v>
      </c>
      <c r="N366" s="45">
        <f>VLOOKUP(B366,'NonXtal_SegEnds_Prot#'!A:AL,8,FALSE)</f>
        <v>73</v>
      </c>
      <c r="O366" s="4" t="str">
        <f t="shared" si="32"/>
        <v>Q</v>
      </c>
      <c r="P366" s="4"/>
      <c r="Q366" s="47" t="str">
        <f t="shared" si="33"/>
        <v>QR</v>
      </c>
      <c r="R366" s="27" t="str">
        <f t="shared" si="34"/>
        <v>L</v>
      </c>
      <c r="S366" s="19" t="str">
        <f t="shared" si="35"/>
        <v>Q</v>
      </c>
      <c r="Z366" s="4"/>
      <c r="AD366" s="1" t="s">
        <v>15</v>
      </c>
      <c r="AE366" s="1">
        <v>70</v>
      </c>
      <c r="AF366" s="1">
        <v>72</v>
      </c>
      <c r="AG366" s="1">
        <v>74</v>
      </c>
      <c r="AH366" s="1" t="s">
        <v>16</v>
      </c>
      <c r="AK366" s="4">
        <v>48</v>
      </c>
      <c r="AL366" s="4">
        <v>52</v>
      </c>
    </row>
    <row r="367" spans="1:38" x14ac:dyDescent="0.25">
      <c r="A367" s="1" t="str">
        <f t="shared" si="31"/>
        <v>ADRB2_human__wt_ICL1</v>
      </c>
      <c r="B367" s="45" t="s">
        <v>211</v>
      </c>
      <c r="C367" s="54" t="s">
        <v>294</v>
      </c>
      <c r="D367" s="4" t="str">
        <f>VLOOKUP(B367,Classification!A:D,2,FALSE)</f>
        <v>A</v>
      </c>
      <c r="E367" s="4" t="str">
        <f>VLOOKUP(B367,Classification!A:D,3,FALSE)</f>
        <v>Aminergic</v>
      </c>
      <c r="F367" s="4" t="str">
        <f>VLOOKUP(B367,Classification!A:D,4,FALSE)</f>
        <v>Adrenoceptors</v>
      </c>
      <c r="G367" s="2">
        <v>2</v>
      </c>
      <c r="H367" s="45" t="s">
        <v>14</v>
      </c>
      <c r="I367" s="2" t="s">
        <v>1221</v>
      </c>
      <c r="J367" s="5" t="str">
        <f>VLOOKUP(B367,Seqs!A:B,2,FALSE)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7" s="4" t="str">
        <f t="shared" si="36"/>
        <v>E</v>
      </c>
      <c r="L367" s="45">
        <f>VLOOKUP(B367,'NonXtal_SegEnds_Prot#'!A:AL,6,FALSE)</f>
        <v>62</v>
      </c>
      <c r="M367" s="45">
        <f>VLOOKUP(B367,'NonXtal_SegEnds_Prot#'!A:AL,7,FALSE)</f>
        <v>64</v>
      </c>
      <c r="N367" s="45">
        <f>VLOOKUP(B367,'NonXtal_SegEnds_Prot#'!A:AL,8,FALSE)</f>
        <v>65</v>
      </c>
      <c r="O367" s="4" t="str">
        <f t="shared" si="32"/>
        <v>Q</v>
      </c>
      <c r="P367" s="4"/>
      <c r="Q367" s="47" t="str">
        <f t="shared" si="33"/>
        <v>ER</v>
      </c>
      <c r="R367" s="27" t="str">
        <f t="shared" si="34"/>
        <v>L</v>
      </c>
      <c r="S367" s="19" t="str">
        <f t="shared" si="35"/>
        <v>Q</v>
      </c>
      <c r="Z367" s="4" t="s">
        <v>64</v>
      </c>
      <c r="AD367" s="1" t="s">
        <v>15</v>
      </c>
      <c r="AE367" s="1">
        <v>62</v>
      </c>
      <c r="AF367" s="1">
        <v>64</v>
      </c>
      <c r="AG367" s="1">
        <v>66</v>
      </c>
      <c r="AH367" s="1" t="s">
        <v>16</v>
      </c>
      <c r="AK367" s="4">
        <v>48</v>
      </c>
      <c r="AL367" s="4">
        <v>52</v>
      </c>
    </row>
    <row r="368" spans="1:38" x14ac:dyDescent="0.25">
      <c r="A368" s="1" t="str">
        <f t="shared" si="31"/>
        <v>ADRB2_human_3D4S_ICL1</v>
      </c>
      <c r="B368" s="45" t="s">
        <v>211</v>
      </c>
      <c r="C368" s="45" t="s">
        <v>267</v>
      </c>
      <c r="D368" s="4" t="str">
        <f>VLOOKUP(B368,Classification!A:D,2,FALSE)</f>
        <v>A</v>
      </c>
      <c r="E368" s="4" t="str">
        <f>VLOOKUP(B368,Classification!A:D,3,FALSE)</f>
        <v>Aminergic</v>
      </c>
      <c r="F368" s="4" t="str">
        <f>VLOOKUP(B368,Classification!A:D,4,FALSE)</f>
        <v>Adrenoceptors</v>
      </c>
      <c r="G368" s="2">
        <v>2</v>
      </c>
      <c r="H368" s="45" t="s">
        <v>14</v>
      </c>
      <c r="I368" s="2" t="s">
        <v>1221</v>
      </c>
      <c r="J368" s="5" t="str">
        <f>VLOOKUP(B368,Seqs!A:B,2,FALSE)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8" s="4" t="str">
        <f t="shared" si="36"/>
        <v>E</v>
      </c>
      <c r="L368" s="45">
        <f>VLOOKUP(B368,'NonXtal_SegEnds_Prot#'!A:AL,6,FALSE)</f>
        <v>62</v>
      </c>
      <c r="M368" s="45">
        <f>VLOOKUP(B368,'NonXtal_SegEnds_Prot#'!A:AL,7,FALSE)</f>
        <v>64</v>
      </c>
      <c r="N368" s="45">
        <f>VLOOKUP(B368,'NonXtal_SegEnds_Prot#'!A:AL,8,FALSE)</f>
        <v>65</v>
      </c>
      <c r="O368" s="4" t="str">
        <f t="shared" si="32"/>
        <v>Q</v>
      </c>
      <c r="P368" s="4"/>
      <c r="Q368" s="47" t="str">
        <f t="shared" si="33"/>
        <v>ER</v>
      </c>
      <c r="R368" s="27" t="str">
        <f t="shared" si="34"/>
        <v>L</v>
      </c>
      <c r="S368" s="19" t="str">
        <f t="shared" si="35"/>
        <v>Q</v>
      </c>
      <c r="Z368" s="4"/>
      <c r="AD368" s="1" t="s">
        <v>15</v>
      </c>
      <c r="AE368" s="1">
        <v>62</v>
      </c>
      <c r="AF368" s="1">
        <v>64</v>
      </c>
      <c r="AG368" s="1">
        <v>66</v>
      </c>
      <c r="AH368" s="1" t="s">
        <v>16</v>
      </c>
      <c r="AK368" s="4">
        <v>48</v>
      </c>
      <c r="AL368" s="4">
        <v>52</v>
      </c>
    </row>
    <row r="369" spans="1:38" x14ac:dyDescent="0.25">
      <c r="A369" s="1" t="str">
        <f t="shared" si="31"/>
        <v>ADRB2_human_3P0G_ICL1</v>
      </c>
      <c r="B369" s="45" t="s">
        <v>211</v>
      </c>
      <c r="C369" s="45" t="s">
        <v>257</v>
      </c>
      <c r="D369" s="4" t="str">
        <f>VLOOKUP(B369,Classification!A:D,2,FALSE)</f>
        <v>A</v>
      </c>
      <c r="E369" s="4" t="str">
        <f>VLOOKUP(B369,Classification!A:D,3,FALSE)</f>
        <v>Aminergic</v>
      </c>
      <c r="F369" s="4" t="str">
        <f>VLOOKUP(B369,Classification!A:D,4,FALSE)</f>
        <v>Adrenoceptors</v>
      </c>
      <c r="G369" s="2">
        <v>2</v>
      </c>
      <c r="H369" s="45" t="s">
        <v>14</v>
      </c>
      <c r="I369" s="2" t="s">
        <v>1221</v>
      </c>
      <c r="J369" s="5" t="str">
        <f>VLOOKUP(B369,Seqs!A:B,2,FALSE)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9" s="4" t="str">
        <f t="shared" si="36"/>
        <v>E</v>
      </c>
      <c r="L369" s="45">
        <f>VLOOKUP(B369,'NonXtal_SegEnds_Prot#'!A:AL,6,FALSE)</f>
        <v>62</v>
      </c>
      <c r="M369" s="45">
        <f>VLOOKUP(B369,'NonXtal_SegEnds_Prot#'!A:AL,7,FALSE)</f>
        <v>64</v>
      </c>
      <c r="N369" s="45">
        <f>VLOOKUP(B369,'NonXtal_SegEnds_Prot#'!A:AL,8,FALSE)</f>
        <v>65</v>
      </c>
      <c r="O369" s="4" t="str">
        <f t="shared" si="32"/>
        <v>Q</v>
      </c>
      <c r="P369" s="4"/>
      <c r="Q369" s="47" t="str">
        <f t="shared" si="33"/>
        <v>ER</v>
      </c>
      <c r="R369" s="27" t="str">
        <f t="shared" si="34"/>
        <v>L</v>
      </c>
      <c r="S369" s="19" t="str">
        <f t="shared" si="35"/>
        <v>Q</v>
      </c>
      <c r="Z369" s="4"/>
      <c r="AD369" s="1" t="s">
        <v>15</v>
      </c>
      <c r="AE369" s="1">
        <v>62</v>
      </c>
      <c r="AF369" s="1">
        <v>64</v>
      </c>
      <c r="AG369" s="1">
        <v>66</v>
      </c>
      <c r="AH369" s="1" t="s">
        <v>16</v>
      </c>
      <c r="AK369" s="4">
        <v>48</v>
      </c>
      <c r="AL369" s="4">
        <v>52</v>
      </c>
    </row>
    <row r="370" spans="1:38" x14ac:dyDescent="0.25">
      <c r="A370" s="1" t="str">
        <f t="shared" si="31"/>
        <v>ADRB2_human_3SN6_ICL1</v>
      </c>
      <c r="B370" s="45" t="s">
        <v>211</v>
      </c>
      <c r="C370" s="45" t="s">
        <v>277</v>
      </c>
      <c r="D370" s="4" t="str">
        <f>VLOOKUP(B370,Classification!A:D,2,FALSE)</f>
        <v>A</v>
      </c>
      <c r="E370" s="4" t="str">
        <f>VLOOKUP(B370,Classification!A:D,3,FALSE)</f>
        <v>Aminergic</v>
      </c>
      <c r="F370" s="4" t="str">
        <f>VLOOKUP(B370,Classification!A:D,4,FALSE)</f>
        <v>Adrenoceptors</v>
      </c>
      <c r="G370" s="2">
        <v>2</v>
      </c>
      <c r="H370" s="45" t="s">
        <v>14</v>
      </c>
      <c r="I370" s="2" t="s">
        <v>1221</v>
      </c>
      <c r="J370" s="5" t="str">
        <f>VLOOKUP(B370,Seqs!A:B,2,FALSE)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0" s="4" t="str">
        <f t="shared" si="36"/>
        <v>E</v>
      </c>
      <c r="L370" s="45">
        <f>VLOOKUP(B370,'NonXtal_SegEnds_Prot#'!A:AL,6,FALSE)</f>
        <v>62</v>
      </c>
      <c r="M370" s="45">
        <f>VLOOKUP(B370,'NonXtal_SegEnds_Prot#'!A:AL,7,FALSE)</f>
        <v>64</v>
      </c>
      <c r="N370" s="45">
        <f>VLOOKUP(B370,'NonXtal_SegEnds_Prot#'!A:AL,8,FALSE)</f>
        <v>65</v>
      </c>
      <c r="O370" s="4" t="str">
        <f t="shared" si="32"/>
        <v>Q</v>
      </c>
      <c r="P370" s="4"/>
      <c r="Q370" s="47" t="str">
        <f t="shared" si="33"/>
        <v>ER</v>
      </c>
      <c r="R370" s="27" t="str">
        <f t="shared" si="34"/>
        <v>L</v>
      </c>
      <c r="S370" s="19" t="str">
        <f t="shared" si="35"/>
        <v>Q</v>
      </c>
      <c r="Z370" s="4" t="s">
        <v>64</v>
      </c>
      <c r="AD370" s="1" t="s">
        <v>15</v>
      </c>
      <c r="AE370" s="1">
        <v>62</v>
      </c>
      <c r="AF370" s="1">
        <v>64</v>
      </c>
      <c r="AG370" s="1">
        <v>66</v>
      </c>
      <c r="AH370" s="1" t="s">
        <v>16</v>
      </c>
      <c r="AK370" s="4">
        <v>48</v>
      </c>
      <c r="AL370" s="4">
        <v>52</v>
      </c>
    </row>
    <row r="371" spans="1:38" x14ac:dyDescent="0.25">
      <c r="A371" s="1" t="str">
        <f t="shared" si="31"/>
        <v>ADRB2_human_4LDE_ICL1</v>
      </c>
      <c r="B371" s="45" t="s">
        <v>211</v>
      </c>
      <c r="C371" s="45" t="s">
        <v>268</v>
      </c>
      <c r="D371" s="4" t="str">
        <f>VLOOKUP(B371,Classification!A:D,2,FALSE)</f>
        <v>A</v>
      </c>
      <c r="E371" s="4" t="str">
        <f>VLOOKUP(B371,Classification!A:D,3,FALSE)</f>
        <v>Aminergic</v>
      </c>
      <c r="F371" s="4" t="str">
        <f>VLOOKUP(B371,Classification!A:D,4,FALSE)</f>
        <v>Adrenoceptors</v>
      </c>
      <c r="G371" s="2">
        <v>2</v>
      </c>
      <c r="H371" s="45" t="s">
        <v>14</v>
      </c>
      <c r="I371" s="2" t="s">
        <v>1221</v>
      </c>
      <c r="J371" s="5" t="str">
        <f>VLOOKUP(B371,Seqs!A:B,2,FALSE)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1" s="4" t="str">
        <f t="shared" si="36"/>
        <v>E</v>
      </c>
      <c r="L371" s="45">
        <f>VLOOKUP(B371,'NonXtal_SegEnds_Prot#'!A:AL,6,FALSE)</f>
        <v>62</v>
      </c>
      <c r="M371" s="45">
        <f>VLOOKUP(B371,'NonXtal_SegEnds_Prot#'!A:AL,7,FALSE)</f>
        <v>64</v>
      </c>
      <c r="N371" s="45">
        <f>VLOOKUP(B371,'NonXtal_SegEnds_Prot#'!A:AL,8,FALSE)</f>
        <v>65</v>
      </c>
      <c r="O371" s="4" t="str">
        <f t="shared" si="32"/>
        <v>Q</v>
      </c>
      <c r="P371" s="4"/>
      <c r="Q371" s="47" t="str">
        <f t="shared" si="33"/>
        <v>ER</v>
      </c>
      <c r="R371" s="27" t="str">
        <f t="shared" si="34"/>
        <v>L</v>
      </c>
      <c r="S371" s="19" t="str">
        <f t="shared" si="35"/>
        <v>Q</v>
      </c>
      <c r="Z371" s="4"/>
      <c r="AD371" s="1" t="s">
        <v>15</v>
      </c>
      <c r="AE371" s="1">
        <v>62</v>
      </c>
      <c r="AF371" s="1">
        <v>64</v>
      </c>
      <c r="AG371" s="1">
        <v>66</v>
      </c>
      <c r="AH371" s="1" t="s">
        <v>16</v>
      </c>
      <c r="AK371" s="4">
        <v>48</v>
      </c>
      <c r="AL371" s="4">
        <v>52</v>
      </c>
    </row>
    <row r="372" spans="1:38" x14ac:dyDescent="0.25">
      <c r="A372" s="1" t="str">
        <f t="shared" si="31"/>
        <v>ADRB2_human_4QKX_ICL1</v>
      </c>
      <c r="B372" s="45" t="s">
        <v>211</v>
      </c>
      <c r="C372" s="45" t="s">
        <v>269</v>
      </c>
      <c r="D372" s="4" t="str">
        <f>VLOOKUP(B372,Classification!A:D,2,FALSE)</f>
        <v>A</v>
      </c>
      <c r="E372" s="4" t="str">
        <f>VLOOKUP(B372,Classification!A:D,3,FALSE)</f>
        <v>Aminergic</v>
      </c>
      <c r="F372" s="4" t="str">
        <f>VLOOKUP(B372,Classification!A:D,4,FALSE)</f>
        <v>Adrenoceptors</v>
      </c>
      <c r="G372" s="2">
        <v>2</v>
      </c>
      <c r="H372" s="45" t="s">
        <v>14</v>
      </c>
      <c r="I372" s="2" t="s">
        <v>1221</v>
      </c>
      <c r="J372" s="5" t="str">
        <f>VLOOKUP(B372,Seqs!A:B,2,FALSE)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2" s="4" t="str">
        <f t="shared" si="36"/>
        <v>E</v>
      </c>
      <c r="L372" s="45">
        <f>VLOOKUP(B372,'NonXtal_SegEnds_Prot#'!A:AL,6,FALSE)</f>
        <v>62</v>
      </c>
      <c r="M372" s="45">
        <f>VLOOKUP(B372,'NonXtal_SegEnds_Prot#'!A:AL,7,FALSE)</f>
        <v>64</v>
      </c>
      <c r="N372" s="45">
        <f>VLOOKUP(B372,'NonXtal_SegEnds_Prot#'!A:AL,8,FALSE)</f>
        <v>65</v>
      </c>
      <c r="O372" s="4" t="str">
        <f t="shared" si="32"/>
        <v>Q</v>
      </c>
      <c r="P372" s="4"/>
      <c r="Q372" s="47" t="str">
        <f t="shared" si="33"/>
        <v>ER</v>
      </c>
      <c r="R372" s="27" t="str">
        <f t="shared" si="34"/>
        <v>L</v>
      </c>
      <c r="S372" s="19" t="str">
        <f t="shared" si="35"/>
        <v>Q</v>
      </c>
      <c r="Z372" s="4"/>
      <c r="AD372" s="1" t="s">
        <v>15</v>
      </c>
      <c r="AE372" s="1">
        <v>62</v>
      </c>
      <c r="AF372" s="1">
        <v>64</v>
      </c>
      <c r="AG372" s="1">
        <v>66</v>
      </c>
      <c r="AH372" s="1" t="s">
        <v>16</v>
      </c>
      <c r="AK372" s="4">
        <v>48</v>
      </c>
      <c r="AL372" s="4">
        <v>52</v>
      </c>
    </row>
    <row r="373" spans="1:38" x14ac:dyDescent="0.25">
      <c r="A373" s="1" t="str">
        <f t="shared" si="31"/>
        <v>AGTR1_human__wt_ICL1</v>
      </c>
      <c r="B373" s="45" t="s">
        <v>212</v>
      </c>
      <c r="C373" s="45" t="s">
        <v>294</v>
      </c>
      <c r="D373" s="4" t="str">
        <f>VLOOKUP(B373,Classification!A:D,2,FALSE)</f>
        <v>A</v>
      </c>
      <c r="E373" s="4" t="str">
        <f>VLOOKUP(B373,Classification!A:D,3,FALSE)</f>
        <v>Peptide</v>
      </c>
      <c r="F373" s="4" t="str">
        <f>VLOOKUP(B373,Classification!A:D,4,FALSE)</f>
        <v>Angiotensin</v>
      </c>
      <c r="G373" s="2">
        <v>2</v>
      </c>
      <c r="H373" s="45" t="s">
        <v>14</v>
      </c>
      <c r="I373" s="2" t="s">
        <v>1221</v>
      </c>
      <c r="J373" s="5" t="str">
        <f>VLOOKUP(B373,Seqs!A:B,2,FALSE)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373" s="4" t="str">
        <f t="shared" si="36"/>
        <v>M</v>
      </c>
      <c r="L373" s="45">
        <f>VLOOKUP(B373,'NonXtal_SegEnds_Prot#'!A:AL,6,FALSE)</f>
        <v>57</v>
      </c>
      <c r="M373" s="45">
        <f>VLOOKUP(B373,'NonXtal_SegEnds_Prot#'!A:AL,7,FALSE)</f>
        <v>59</v>
      </c>
      <c r="N373" s="45">
        <f>VLOOKUP(B373,'NonXtal_SegEnds_Prot#'!A:AL,8,FALSE)</f>
        <v>60</v>
      </c>
      <c r="O373" s="4" t="str">
        <f t="shared" si="32"/>
        <v>K</v>
      </c>
      <c r="P373" s="4"/>
      <c r="Q373" s="47" t="str">
        <f t="shared" si="33"/>
        <v>MK</v>
      </c>
      <c r="R373" s="27" t="str">
        <f t="shared" si="34"/>
        <v>L</v>
      </c>
      <c r="S373" s="19" t="str">
        <f t="shared" si="35"/>
        <v>K</v>
      </c>
      <c r="Z373" s="4"/>
      <c r="AD373" s="1" t="s">
        <v>15</v>
      </c>
      <c r="AE373" s="1">
        <v>57</v>
      </c>
      <c r="AF373" s="1">
        <v>59</v>
      </c>
      <c r="AG373" s="1">
        <v>61</v>
      </c>
      <c r="AH373" s="1" t="s">
        <v>16</v>
      </c>
      <c r="AK373" s="4">
        <v>48</v>
      </c>
      <c r="AL373" s="4">
        <v>52</v>
      </c>
    </row>
    <row r="374" spans="1:38" x14ac:dyDescent="0.25">
      <c r="A374" s="1" t="str">
        <f t="shared" si="31"/>
        <v>AGTR1_human_4YAY_ICL1</v>
      </c>
      <c r="B374" s="45" t="s">
        <v>212</v>
      </c>
      <c r="C374" s="45" t="s">
        <v>260</v>
      </c>
      <c r="D374" s="4" t="str">
        <f>VLOOKUP(B374,Classification!A:D,2,FALSE)</f>
        <v>A</v>
      </c>
      <c r="E374" s="4" t="str">
        <f>VLOOKUP(B374,Classification!A:D,3,FALSE)</f>
        <v>Peptide</v>
      </c>
      <c r="F374" s="4" t="str">
        <f>VLOOKUP(B374,Classification!A:D,4,FALSE)</f>
        <v>Angiotensin</v>
      </c>
      <c r="G374" s="2">
        <v>2</v>
      </c>
      <c r="H374" s="45" t="s">
        <v>14</v>
      </c>
      <c r="I374" s="2" t="s">
        <v>1221</v>
      </c>
      <c r="J374" s="5" t="str">
        <f>VLOOKUP(B374,Seqs!A:B,2,FALSE)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374" s="4" t="str">
        <f t="shared" si="36"/>
        <v>M</v>
      </c>
      <c r="L374" s="45">
        <f>VLOOKUP(B374,'NonXtal_SegEnds_Prot#'!A:AL,6,FALSE)</f>
        <v>57</v>
      </c>
      <c r="M374" s="45">
        <f>VLOOKUP(B374,'NonXtal_SegEnds_Prot#'!A:AL,7,FALSE)</f>
        <v>59</v>
      </c>
      <c r="N374" s="45">
        <f>VLOOKUP(B374,'NonXtal_SegEnds_Prot#'!A:AL,8,FALSE)</f>
        <v>60</v>
      </c>
      <c r="O374" s="4" t="str">
        <f t="shared" si="32"/>
        <v>K</v>
      </c>
      <c r="P374" s="4"/>
      <c r="Q374" s="47" t="str">
        <f t="shared" si="33"/>
        <v>MK</v>
      </c>
      <c r="R374" s="27" t="str">
        <f t="shared" si="34"/>
        <v>L</v>
      </c>
      <c r="S374" s="19" t="str">
        <f t="shared" si="35"/>
        <v>K</v>
      </c>
      <c r="Z374" s="4"/>
      <c r="AD374" s="1" t="s">
        <v>15</v>
      </c>
      <c r="AE374" s="1">
        <v>57</v>
      </c>
      <c r="AF374" s="1">
        <v>59</v>
      </c>
      <c r="AG374" s="1">
        <v>61</v>
      </c>
      <c r="AH374" s="1" t="s">
        <v>16</v>
      </c>
      <c r="AK374" s="4">
        <v>48</v>
      </c>
      <c r="AL374" s="4">
        <v>52</v>
      </c>
    </row>
    <row r="375" spans="1:38" x14ac:dyDescent="0.25">
      <c r="A375" s="1" t="str">
        <f t="shared" si="31"/>
        <v>CCR5_human__wt_ICL1</v>
      </c>
      <c r="B375" s="45" t="s">
        <v>221</v>
      </c>
      <c r="C375" s="45" t="s">
        <v>294</v>
      </c>
      <c r="D375" s="4" t="str">
        <f>VLOOKUP(B375,Classification!A:D,2,FALSE)</f>
        <v>A</v>
      </c>
      <c r="E375" s="4" t="str">
        <f>VLOOKUP(B375,Classification!A:D,3,FALSE)</f>
        <v>Protein</v>
      </c>
      <c r="F375" s="4" t="str">
        <f>VLOOKUP(B375,Classification!A:D,4,FALSE)</f>
        <v>Chemokine</v>
      </c>
      <c r="G375" s="2">
        <v>2</v>
      </c>
      <c r="H375" s="45" t="s">
        <v>14</v>
      </c>
      <c r="I375" s="2" t="s">
        <v>1221</v>
      </c>
      <c r="J375" s="5" t="str">
        <f>VLOOKUP(B375,Seqs!A:B,2,FALSE)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375" s="4" t="str">
        <f t="shared" si="36"/>
        <v>K</v>
      </c>
      <c r="L375" s="45">
        <f>VLOOKUP(B375,'NonXtal_SegEnds_Prot#'!A:AL,6,FALSE)</f>
        <v>59</v>
      </c>
      <c r="M375" s="45">
        <f>VLOOKUP(B375,'NonXtal_SegEnds_Prot#'!A:AL,7,FALSE)</f>
        <v>61</v>
      </c>
      <c r="N375" s="45">
        <f>VLOOKUP(B375,'NonXtal_SegEnds_Prot#'!A:AL,8,FALSE)</f>
        <v>62</v>
      </c>
      <c r="O375" s="4" t="str">
        <f t="shared" si="32"/>
        <v>K</v>
      </c>
      <c r="P375" s="4"/>
      <c r="Q375" s="47" t="str">
        <f t="shared" si="33"/>
        <v>KR</v>
      </c>
      <c r="R375" s="27" t="str">
        <f t="shared" si="34"/>
        <v>L</v>
      </c>
      <c r="S375" s="19" t="str">
        <f t="shared" si="35"/>
        <v>K</v>
      </c>
      <c r="Z375" s="4"/>
      <c r="AD375" s="1" t="s">
        <v>15</v>
      </c>
      <c r="AE375" s="1">
        <v>59</v>
      </c>
      <c r="AF375" s="1">
        <v>61</v>
      </c>
      <c r="AG375" s="1">
        <v>63</v>
      </c>
      <c r="AH375" s="1" t="s">
        <v>16</v>
      </c>
      <c r="AK375" s="4">
        <v>48</v>
      </c>
      <c r="AL375" s="4">
        <v>52</v>
      </c>
    </row>
    <row r="376" spans="1:38" x14ac:dyDescent="0.25">
      <c r="A376" s="1" t="str">
        <f t="shared" si="31"/>
        <v>CCR5_human_4MBS_ICL1</v>
      </c>
      <c r="B376" s="45" t="s">
        <v>221</v>
      </c>
      <c r="C376" s="45" t="s">
        <v>265</v>
      </c>
      <c r="D376" s="4" t="str">
        <f>VLOOKUP(B376,Classification!A:D,2,FALSE)</f>
        <v>A</v>
      </c>
      <c r="E376" s="4" t="str">
        <f>VLOOKUP(B376,Classification!A:D,3,FALSE)</f>
        <v>Protein</v>
      </c>
      <c r="F376" s="4" t="str">
        <f>VLOOKUP(B376,Classification!A:D,4,FALSE)</f>
        <v>Chemokine</v>
      </c>
      <c r="G376" s="2">
        <v>2</v>
      </c>
      <c r="H376" s="45" t="s">
        <v>14</v>
      </c>
      <c r="I376" s="2" t="s">
        <v>1221</v>
      </c>
      <c r="J376" s="5" t="str">
        <f>VLOOKUP(B376,Seqs!A:B,2,FALSE)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376" s="4" t="str">
        <f t="shared" si="36"/>
        <v>K</v>
      </c>
      <c r="L376" s="45">
        <f>VLOOKUP(B376,'NonXtal_SegEnds_Prot#'!A:AL,6,FALSE)</f>
        <v>59</v>
      </c>
      <c r="M376" s="45">
        <f>VLOOKUP(B376,'NonXtal_SegEnds_Prot#'!A:AL,7,FALSE)</f>
        <v>61</v>
      </c>
      <c r="N376" s="45">
        <f>VLOOKUP(B376,'NonXtal_SegEnds_Prot#'!A:AL,8,FALSE)</f>
        <v>62</v>
      </c>
      <c r="O376" s="4" t="str">
        <f t="shared" si="32"/>
        <v>K</v>
      </c>
      <c r="P376" s="4"/>
      <c r="Q376" s="47" t="str">
        <f t="shared" si="33"/>
        <v>KR</v>
      </c>
      <c r="R376" s="27" t="str">
        <f t="shared" si="34"/>
        <v>L</v>
      </c>
      <c r="S376" s="19" t="str">
        <f t="shared" si="35"/>
        <v>K</v>
      </c>
      <c r="Z376" s="4"/>
      <c r="AD376" s="1" t="s">
        <v>15</v>
      </c>
      <c r="AE376" s="1">
        <v>59</v>
      </c>
      <c r="AF376" s="1">
        <v>61</v>
      </c>
      <c r="AG376" s="1">
        <v>63</v>
      </c>
      <c r="AH376" s="1" t="s">
        <v>16</v>
      </c>
      <c r="AK376" s="4">
        <v>48</v>
      </c>
      <c r="AL376" s="4">
        <v>52</v>
      </c>
    </row>
    <row r="377" spans="1:38" x14ac:dyDescent="0.25">
      <c r="A377" s="1" t="str">
        <f t="shared" si="31"/>
        <v>crfr1_human__wt_ICL1</v>
      </c>
      <c r="B377" s="45" t="s">
        <v>213</v>
      </c>
      <c r="C377" s="45" t="s">
        <v>294</v>
      </c>
      <c r="D377" s="4" t="str">
        <f>VLOOKUP(B377,Classification!A:D,2,FALSE)</f>
        <v>B1</v>
      </c>
      <c r="E377" s="4" t="str">
        <f>VLOOKUP(B377,Classification!A:D,3,FALSE)</f>
        <v>Peptide</v>
      </c>
      <c r="F377" s="4" t="str">
        <f>VLOOKUP(B377,Classification!A:D,4,FALSE)</f>
        <v>Corticotropin-releasingfact</v>
      </c>
      <c r="G377" s="2">
        <v>2</v>
      </c>
      <c r="H377" s="45" t="s">
        <v>14</v>
      </c>
      <c r="I377" s="2" t="s">
        <v>1221</v>
      </c>
      <c r="J377" s="5" t="str">
        <f>VLOOKUP(B377,Seqs!A:B,2,FALSE)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377" s="4" t="str">
        <f t="shared" si="36"/>
        <v>R</v>
      </c>
      <c r="L377" s="45">
        <f>VLOOKUP(B377,'NonXtal_SegEnds_Prot#'!A:AL,6,FALSE)</f>
        <v>145</v>
      </c>
      <c r="M377" s="45">
        <f>VLOOKUP(B377,'NonXtal_SegEnds_Prot#'!A:AL,7,FALSE)</f>
        <v>147</v>
      </c>
      <c r="N377" s="45">
        <f>VLOOKUP(B377,'NonXtal_SegEnds_Prot#'!A:AL,8,FALSE)</f>
        <v>148</v>
      </c>
      <c r="O377" s="4" t="str">
        <f t="shared" si="32"/>
        <v>R</v>
      </c>
      <c r="P377" s="4"/>
      <c r="Q377" s="47" t="str">
        <f t="shared" si="33"/>
        <v>RS</v>
      </c>
      <c r="R377" s="27" t="str">
        <f t="shared" si="34"/>
        <v>I</v>
      </c>
      <c r="S377" s="19" t="str">
        <f t="shared" si="35"/>
        <v>R</v>
      </c>
      <c r="Z377" s="4"/>
      <c r="AD377" s="1" t="s">
        <v>15</v>
      </c>
      <c r="AE377" s="1">
        <v>145</v>
      </c>
      <c r="AF377" s="1">
        <v>147</v>
      </c>
      <c r="AG377" s="1">
        <v>149</v>
      </c>
      <c r="AH377" s="1" t="s">
        <v>16</v>
      </c>
      <c r="AK377" s="4">
        <v>48</v>
      </c>
      <c r="AL377" s="4">
        <v>52</v>
      </c>
    </row>
    <row r="378" spans="1:38" x14ac:dyDescent="0.25">
      <c r="A378" s="1" t="str">
        <f t="shared" si="31"/>
        <v>crfr1_human_4K5Y_ICL1</v>
      </c>
      <c r="B378" s="45" t="s">
        <v>213</v>
      </c>
      <c r="C378" s="45" t="s">
        <v>288</v>
      </c>
      <c r="D378" s="4" t="str">
        <f>VLOOKUP(B378,Classification!A:D,2,FALSE)</f>
        <v>B1</v>
      </c>
      <c r="E378" s="4" t="str">
        <f>VLOOKUP(B378,Classification!A:D,3,FALSE)</f>
        <v>Peptide</v>
      </c>
      <c r="F378" s="4" t="str">
        <f>VLOOKUP(B378,Classification!A:D,4,FALSE)</f>
        <v>Corticotropin-releasingfact</v>
      </c>
      <c r="G378" s="2">
        <v>2</v>
      </c>
      <c r="H378" s="45" t="s">
        <v>14</v>
      </c>
      <c r="I378" s="2" t="s">
        <v>1221</v>
      </c>
      <c r="J378" s="5" t="str">
        <f>VLOOKUP(B378,Seqs!A:B,2,FALSE)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378" s="4" t="str">
        <f t="shared" si="36"/>
        <v>R</v>
      </c>
      <c r="L378" s="45">
        <f>VLOOKUP(B378,'NonXtal_SegEnds_Prot#'!A:AL,6,FALSE)</f>
        <v>145</v>
      </c>
      <c r="M378" s="45">
        <f>VLOOKUP(B378,'NonXtal_SegEnds_Prot#'!A:AL,7,FALSE)</f>
        <v>147</v>
      </c>
      <c r="N378" s="45">
        <f>VLOOKUP(B378,'NonXtal_SegEnds_Prot#'!A:AL,8,FALSE)</f>
        <v>148</v>
      </c>
      <c r="O378" s="4" t="str">
        <f t="shared" si="32"/>
        <v>R</v>
      </c>
      <c r="P378" s="4"/>
      <c r="Q378" s="47" t="str">
        <f t="shared" si="33"/>
        <v>RS</v>
      </c>
      <c r="R378" s="27" t="str">
        <f t="shared" si="34"/>
        <v>I</v>
      </c>
      <c r="S378" s="19" t="str">
        <f t="shared" si="35"/>
        <v>R</v>
      </c>
      <c r="Z378" s="4"/>
      <c r="AD378" s="1" t="s">
        <v>15</v>
      </c>
      <c r="AE378" s="1">
        <v>145</v>
      </c>
      <c r="AF378" s="1">
        <v>147</v>
      </c>
      <c r="AG378" s="1">
        <v>149</v>
      </c>
      <c r="AH378" s="1" t="s">
        <v>16</v>
      </c>
      <c r="AK378" s="4">
        <v>48</v>
      </c>
      <c r="AL378" s="4">
        <v>52</v>
      </c>
    </row>
    <row r="379" spans="1:38" x14ac:dyDescent="0.25">
      <c r="A379" s="1" t="str">
        <f t="shared" si="31"/>
        <v>CXCR4_human__wt_ICL1</v>
      </c>
      <c r="B379" s="45" t="s">
        <v>1237</v>
      </c>
      <c r="C379" s="45" t="s">
        <v>294</v>
      </c>
      <c r="D379" s="4" t="str">
        <f>VLOOKUP(B379,Classification!A:D,2,FALSE)</f>
        <v>A</v>
      </c>
      <c r="E379" s="4" t="str">
        <f>VLOOKUP(B379,Classification!A:D,3,FALSE)</f>
        <v>Protein</v>
      </c>
      <c r="F379" s="4" t="str">
        <f>VLOOKUP(B379,Classification!A:D,4,FALSE)</f>
        <v>Chemokine</v>
      </c>
      <c r="G379" s="2">
        <v>2</v>
      </c>
      <c r="H379" s="45" t="s">
        <v>14</v>
      </c>
      <c r="I379" s="2" t="s">
        <v>1221</v>
      </c>
      <c r="J379" s="5" t="str">
        <f>VLOOKUP(B379,Seqs!A:B,2,FALSE)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379" s="4" t="str">
        <f t="shared" si="36"/>
        <v>K</v>
      </c>
      <c r="L379" s="45">
        <f>VLOOKUP(B379,'NonXtal_SegEnds_Prot#'!A:AL,6,FALSE)</f>
        <v>67</v>
      </c>
      <c r="M379" s="45">
        <f>VLOOKUP(B379,'NonXtal_SegEnds_Prot#'!A:AL,7,FALSE)</f>
        <v>69</v>
      </c>
      <c r="N379" s="45">
        <f>VLOOKUP(B379,'NonXtal_SegEnds_Prot#'!A:AL,8,FALSE)</f>
        <v>70</v>
      </c>
      <c r="O379" s="4" t="str">
        <f t="shared" si="32"/>
        <v>R</v>
      </c>
      <c r="P379" s="4"/>
      <c r="Q379" s="47" t="str">
        <f t="shared" si="33"/>
        <v>KK</v>
      </c>
      <c r="R379" s="27" t="str">
        <f t="shared" si="34"/>
        <v>L</v>
      </c>
      <c r="S379" s="19" t="str">
        <f t="shared" si="35"/>
        <v>R</v>
      </c>
      <c r="Z379" s="4"/>
      <c r="AD379" s="1" t="s">
        <v>15</v>
      </c>
      <c r="AE379" s="1">
        <v>67</v>
      </c>
      <c r="AF379" s="1">
        <v>69</v>
      </c>
      <c r="AG379" s="1">
        <v>71</v>
      </c>
      <c r="AH379" s="1" t="s">
        <v>16</v>
      </c>
      <c r="AK379" s="4">
        <v>48</v>
      </c>
      <c r="AL379" s="4">
        <v>52</v>
      </c>
    </row>
    <row r="380" spans="1:38" x14ac:dyDescent="0.25">
      <c r="A380" s="1" t="str">
        <f t="shared" si="31"/>
        <v>CXCR4_human_3ODU_ICL1</v>
      </c>
      <c r="B380" s="45" t="s">
        <v>1237</v>
      </c>
      <c r="C380" s="45" t="s">
        <v>254</v>
      </c>
      <c r="D380" s="4" t="str">
        <f>VLOOKUP(B380,Classification!A:D,2,FALSE)</f>
        <v>A</v>
      </c>
      <c r="E380" s="4" t="str">
        <f>VLOOKUP(B380,Classification!A:D,3,FALSE)</f>
        <v>Protein</v>
      </c>
      <c r="F380" s="4" t="str">
        <f>VLOOKUP(B380,Classification!A:D,4,FALSE)</f>
        <v>Chemokine</v>
      </c>
      <c r="G380" s="2">
        <v>2</v>
      </c>
      <c r="H380" s="45" t="s">
        <v>14</v>
      </c>
      <c r="I380" s="2" t="s">
        <v>1221</v>
      </c>
      <c r="J380" s="5" t="str">
        <f>VLOOKUP(B380,Seqs!A:B,2,FALSE)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380" s="4" t="str">
        <f t="shared" si="36"/>
        <v>K</v>
      </c>
      <c r="L380" s="45">
        <f>VLOOKUP(B380,'NonXtal_SegEnds_Prot#'!A:AL,6,FALSE)</f>
        <v>67</v>
      </c>
      <c r="M380" s="45">
        <f>VLOOKUP(B380,'NonXtal_SegEnds_Prot#'!A:AL,7,FALSE)</f>
        <v>69</v>
      </c>
      <c r="N380" s="45">
        <f>VLOOKUP(B380,'NonXtal_SegEnds_Prot#'!A:AL,8,FALSE)</f>
        <v>70</v>
      </c>
      <c r="O380" s="4" t="str">
        <f t="shared" si="32"/>
        <v>R</v>
      </c>
      <c r="P380" s="4"/>
      <c r="Q380" s="47" t="str">
        <f t="shared" si="33"/>
        <v>KK</v>
      </c>
      <c r="R380" s="27" t="str">
        <f t="shared" si="34"/>
        <v>L</v>
      </c>
      <c r="S380" s="19" t="str">
        <f t="shared" si="35"/>
        <v>R</v>
      </c>
      <c r="Z380" s="4"/>
      <c r="AD380" s="1" t="s">
        <v>15</v>
      </c>
      <c r="AE380" s="1">
        <v>67</v>
      </c>
      <c r="AF380" s="1">
        <v>69</v>
      </c>
      <c r="AG380" s="1">
        <v>71</v>
      </c>
      <c r="AH380" s="1" t="s">
        <v>16</v>
      </c>
      <c r="AK380" s="4">
        <v>48</v>
      </c>
      <c r="AL380" s="4">
        <v>52</v>
      </c>
    </row>
    <row r="381" spans="1:38" x14ac:dyDescent="0.25">
      <c r="A381" s="1" t="str">
        <f t="shared" si="31"/>
        <v>DRD3_human__wt_ICL1</v>
      </c>
      <c r="B381" s="45" t="s">
        <v>222</v>
      </c>
      <c r="C381" s="45" t="s">
        <v>294</v>
      </c>
      <c r="D381" s="4" t="str">
        <f>VLOOKUP(B381,Classification!A:D,2,FALSE)</f>
        <v>A</v>
      </c>
      <c r="E381" s="4" t="str">
        <f>VLOOKUP(B381,Classification!A:D,3,FALSE)</f>
        <v>Aminergic</v>
      </c>
      <c r="F381" s="4" t="str">
        <f>VLOOKUP(B381,Classification!A:D,4,FALSE)</f>
        <v>Dopamine</v>
      </c>
      <c r="G381" s="2">
        <v>2</v>
      </c>
      <c r="H381" s="45" t="s">
        <v>14</v>
      </c>
      <c r="I381" s="2" t="s">
        <v>1221</v>
      </c>
      <c r="J381" s="5" t="str">
        <f>VLOOKUP(B381,Seqs!A:B,2,FALSE)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381" s="4" t="str">
        <f t="shared" si="36"/>
        <v>R</v>
      </c>
      <c r="L381" s="45">
        <f>VLOOKUP(B381,'NonXtal_SegEnds_Prot#'!A:AL,6,FALSE)</f>
        <v>58</v>
      </c>
      <c r="M381" s="45">
        <f>VLOOKUP(B381,'NonXtal_SegEnds_Prot#'!A:AL,7,FALSE)</f>
        <v>60</v>
      </c>
      <c r="N381" s="45">
        <f>VLOOKUP(B381,'NonXtal_SegEnds_Prot#'!A:AL,8,FALSE)</f>
        <v>61</v>
      </c>
      <c r="O381" s="4" t="str">
        <f t="shared" si="32"/>
        <v>Q</v>
      </c>
      <c r="P381" s="4"/>
      <c r="Q381" s="47" t="str">
        <f t="shared" si="33"/>
        <v>RA</v>
      </c>
      <c r="R381" s="27" t="str">
        <f t="shared" si="34"/>
        <v>L</v>
      </c>
      <c r="S381" s="19" t="str">
        <f t="shared" si="35"/>
        <v>Q</v>
      </c>
      <c r="Z381" s="4"/>
      <c r="AD381" s="1" t="s">
        <v>15</v>
      </c>
      <c r="AE381" s="1">
        <v>58</v>
      </c>
      <c r="AF381" s="1">
        <v>60</v>
      </c>
      <c r="AG381" s="1">
        <v>62</v>
      </c>
      <c r="AH381" s="1" t="s">
        <v>16</v>
      </c>
      <c r="AK381" s="4">
        <v>48</v>
      </c>
      <c r="AL381" s="4">
        <v>52</v>
      </c>
    </row>
    <row r="382" spans="1:38" x14ac:dyDescent="0.25">
      <c r="A382" s="1" t="str">
        <f t="shared" si="31"/>
        <v>DRD3_human_3PBL_ICL1</v>
      </c>
      <c r="B382" s="45" t="s">
        <v>222</v>
      </c>
      <c r="C382" s="45" t="s">
        <v>263</v>
      </c>
      <c r="D382" s="4" t="str">
        <f>VLOOKUP(B382,Classification!A:D,2,FALSE)</f>
        <v>A</v>
      </c>
      <c r="E382" s="4" t="str">
        <f>VLOOKUP(B382,Classification!A:D,3,FALSE)</f>
        <v>Aminergic</v>
      </c>
      <c r="F382" s="4" t="str">
        <f>VLOOKUP(B382,Classification!A:D,4,FALSE)</f>
        <v>Dopamine</v>
      </c>
      <c r="G382" s="2">
        <v>2</v>
      </c>
      <c r="H382" s="45" t="s">
        <v>14</v>
      </c>
      <c r="I382" s="2" t="s">
        <v>1221</v>
      </c>
      <c r="J382" s="5" t="str">
        <f>VLOOKUP(B382,Seqs!A:B,2,FALSE)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382" s="4" t="str">
        <f t="shared" si="36"/>
        <v>R</v>
      </c>
      <c r="L382" s="45">
        <f>VLOOKUP(B382,'NonXtal_SegEnds_Prot#'!A:AL,6,FALSE)</f>
        <v>58</v>
      </c>
      <c r="M382" s="45">
        <f>VLOOKUP(B382,'NonXtal_SegEnds_Prot#'!A:AL,7,FALSE)</f>
        <v>60</v>
      </c>
      <c r="N382" s="45">
        <f>VLOOKUP(B382,'NonXtal_SegEnds_Prot#'!A:AL,8,FALSE)</f>
        <v>61</v>
      </c>
      <c r="O382" s="4" t="str">
        <f t="shared" si="32"/>
        <v>Q</v>
      </c>
      <c r="P382" s="4"/>
      <c r="Q382" s="47" t="str">
        <f t="shared" si="33"/>
        <v>RA</v>
      </c>
      <c r="R382" s="27" t="str">
        <f t="shared" si="34"/>
        <v>L</v>
      </c>
      <c r="S382" s="19" t="str">
        <f t="shared" si="35"/>
        <v>Q</v>
      </c>
      <c r="Z382" s="4"/>
      <c r="AD382" s="1" t="s">
        <v>15</v>
      </c>
      <c r="AE382" s="1">
        <v>58</v>
      </c>
      <c r="AF382" s="1">
        <v>60</v>
      </c>
      <c r="AG382" s="1">
        <v>62</v>
      </c>
      <c r="AH382" s="1" t="s">
        <v>16</v>
      </c>
      <c r="AK382" s="4">
        <v>48</v>
      </c>
      <c r="AL382" s="4">
        <v>52</v>
      </c>
    </row>
    <row r="383" spans="1:38" x14ac:dyDescent="0.25">
      <c r="A383" s="1" t="str">
        <f t="shared" si="31"/>
        <v>FFAR1_human__wt_ICL1</v>
      </c>
      <c r="B383" s="45" t="s">
        <v>1368</v>
      </c>
      <c r="C383" s="45" t="s">
        <v>294</v>
      </c>
      <c r="D383" s="4" t="str">
        <f>VLOOKUP(B383,Classification!A:D,2,FALSE)</f>
        <v>A</v>
      </c>
      <c r="E383" s="4" t="str">
        <f>VLOOKUP(B383,Classification!A:D,3,FALSE)</f>
        <v>Lipid</v>
      </c>
      <c r="F383" s="4" t="str">
        <f>VLOOKUP(B383,Classification!A:D,4,FALSE)</f>
        <v>Freefattyacid</v>
      </c>
      <c r="G383" s="2">
        <v>2</v>
      </c>
      <c r="H383" s="45" t="s">
        <v>14</v>
      </c>
      <c r="I383" s="2" t="s">
        <v>1221</v>
      </c>
      <c r="J383" s="5" t="str">
        <f>VLOOKUP(B383,Seqs!A:B,2,FALSE)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383" s="4" t="e">
        <f t="shared" si="36"/>
        <v>#VALUE!</v>
      </c>
      <c r="L383" s="45" t="str">
        <f>VLOOKUP(B383,'NonXtal_SegEnds_Prot#'!A:AL,6,FALSE)</f>
        <v>-</v>
      </c>
      <c r="M383" s="45" t="str">
        <f>VLOOKUP(B383,'NonXtal_SegEnds_Prot#'!A:AL,7,FALSE)</f>
        <v>-</v>
      </c>
      <c r="N383" s="45" t="str">
        <f>VLOOKUP(B383,'NonXtal_SegEnds_Prot#'!A:AL,8,FALSE)</f>
        <v>-</v>
      </c>
      <c r="O383" s="4" t="e">
        <f t="shared" si="32"/>
        <v>#VALUE!</v>
      </c>
      <c r="P383" s="4"/>
      <c r="Q383" s="47" t="e">
        <f t="shared" si="33"/>
        <v>#VALUE!</v>
      </c>
      <c r="R383" s="27" t="e">
        <f t="shared" si="34"/>
        <v>#VALUE!</v>
      </c>
      <c r="S383" s="19" t="e">
        <f t="shared" si="35"/>
        <v>#VALUE!</v>
      </c>
      <c r="Z383" s="4"/>
      <c r="AD383" s="1" t="s">
        <v>15</v>
      </c>
      <c r="AE383" s="1">
        <v>34</v>
      </c>
      <c r="AF383" s="1">
        <v>36</v>
      </c>
      <c r="AG383" s="1">
        <v>38</v>
      </c>
      <c r="AH383" s="1" t="s">
        <v>16</v>
      </c>
      <c r="AK383" s="4">
        <v>48</v>
      </c>
      <c r="AL383" s="4">
        <v>52</v>
      </c>
    </row>
    <row r="384" spans="1:38" x14ac:dyDescent="0.25">
      <c r="A384" s="1" t="str">
        <f t="shared" si="31"/>
        <v>FFAR1_human_4PHU_ICL1</v>
      </c>
      <c r="B384" s="45" t="s">
        <v>1368</v>
      </c>
      <c r="C384" s="45" t="s">
        <v>241</v>
      </c>
      <c r="D384" s="4" t="str">
        <f>VLOOKUP(B384,Classification!A:D,2,FALSE)</f>
        <v>A</v>
      </c>
      <c r="E384" s="4" t="str">
        <f>VLOOKUP(B384,Classification!A:D,3,FALSE)</f>
        <v>Lipid</v>
      </c>
      <c r="F384" s="4" t="str">
        <f>VLOOKUP(B384,Classification!A:D,4,FALSE)</f>
        <v>Freefattyacid</v>
      </c>
      <c r="G384" s="2">
        <v>2</v>
      </c>
      <c r="H384" s="45" t="s">
        <v>14</v>
      </c>
      <c r="I384" s="2" t="s">
        <v>1221</v>
      </c>
      <c r="J384" s="5" t="str">
        <f>VLOOKUP(B384,Seqs!A:B,2,FALSE)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384" s="4" t="e">
        <f t="shared" si="36"/>
        <v>#VALUE!</v>
      </c>
      <c r="L384" s="45" t="str">
        <f>VLOOKUP(B384,'NonXtal_SegEnds_Prot#'!A:AL,6,FALSE)</f>
        <v>-</v>
      </c>
      <c r="M384" s="45" t="str">
        <f>VLOOKUP(B384,'NonXtal_SegEnds_Prot#'!A:AL,7,FALSE)</f>
        <v>-</v>
      </c>
      <c r="N384" s="45" t="str">
        <f>VLOOKUP(B384,'NonXtal_SegEnds_Prot#'!A:AL,8,FALSE)</f>
        <v>-</v>
      </c>
      <c r="O384" s="4" t="e">
        <f t="shared" si="32"/>
        <v>#VALUE!</v>
      </c>
      <c r="P384" s="4" t="s">
        <v>58</v>
      </c>
      <c r="Q384" s="47" t="e">
        <f t="shared" si="33"/>
        <v>#VALUE!</v>
      </c>
      <c r="R384" s="28" t="e">
        <f t="shared" si="34"/>
        <v>#VALUE!</v>
      </c>
      <c r="S384" s="20" t="e">
        <f t="shared" si="35"/>
        <v>#VALUE!</v>
      </c>
      <c r="Z384" s="4"/>
      <c r="AD384" s="1" t="s">
        <v>15</v>
      </c>
      <c r="AE384" s="1">
        <v>34</v>
      </c>
      <c r="AF384" s="1">
        <v>36</v>
      </c>
      <c r="AG384" s="1">
        <v>38</v>
      </c>
      <c r="AH384" s="1" t="s">
        <v>16</v>
      </c>
      <c r="AK384" s="4">
        <v>48</v>
      </c>
      <c r="AL384" s="4">
        <v>52</v>
      </c>
    </row>
    <row r="385" spans="1:38" x14ac:dyDescent="0.25">
      <c r="A385" s="1" t="str">
        <f t="shared" si="31"/>
        <v>glr_human__wt_ICL1</v>
      </c>
      <c r="B385" s="45" t="s">
        <v>206</v>
      </c>
      <c r="C385" s="45" t="s">
        <v>294</v>
      </c>
      <c r="D385" s="4" t="str">
        <f>VLOOKUP(B385,Classification!A:D,2,FALSE)</f>
        <v>B1</v>
      </c>
      <c r="E385" s="4" t="str">
        <f>VLOOKUP(B385,Classification!A:D,3,FALSE)</f>
        <v>Peptide</v>
      </c>
      <c r="F385" s="4" t="str">
        <f>VLOOKUP(B385,Classification!A:D,4,FALSE)</f>
        <v>Glucagonreceptorfamily</v>
      </c>
      <c r="G385" s="2">
        <v>2</v>
      </c>
      <c r="H385" s="45" t="s">
        <v>14</v>
      </c>
      <c r="I385" s="2" t="s">
        <v>1221</v>
      </c>
      <c r="J385" s="5" t="str">
        <f>VLOOKUP(B385,Seqs!A:B,2,FALSE)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385" s="4" t="str">
        <f t="shared" si="36"/>
        <v>S</v>
      </c>
      <c r="L385" s="45">
        <f>VLOOKUP(B385,'NonXtal_SegEnds_Prot#'!A:AL,6,FALSE)</f>
        <v>167</v>
      </c>
      <c r="M385" s="45">
        <f>VLOOKUP(B385,'NonXtal_SegEnds_Prot#'!A:AL,7,FALSE)</f>
        <v>169</v>
      </c>
      <c r="N385" s="45">
        <f>VLOOKUP(B385,'NonXtal_SegEnds_Prot#'!A:AL,8,FALSE)</f>
        <v>170</v>
      </c>
      <c r="O385" s="4" t="str">
        <f t="shared" si="32"/>
        <v>H</v>
      </c>
      <c r="P385" s="4"/>
      <c r="Q385" s="47" t="str">
        <f t="shared" si="33"/>
        <v>SK</v>
      </c>
      <c r="R385" s="27" t="str">
        <f t="shared" si="34"/>
        <v>L</v>
      </c>
      <c r="S385" s="19" t="str">
        <f t="shared" si="35"/>
        <v>H</v>
      </c>
      <c r="Z385" s="4"/>
      <c r="AD385" s="1" t="s">
        <v>15</v>
      </c>
      <c r="AE385" s="1">
        <v>167</v>
      </c>
      <c r="AF385" s="1">
        <v>169</v>
      </c>
      <c r="AG385" s="1">
        <v>171</v>
      </c>
      <c r="AH385" s="1" t="s">
        <v>16</v>
      </c>
      <c r="AK385" s="4">
        <v>48</v>
      </c>
      <c r="AL385" s="4">
        <v>52</v>
      </c>
    </row>
    <row r="386" spans="1:38" x14ac:dyDescent="0.25">
      <c r="A386" s="1" t="str">
        <f t="shared" ref="A386:A449" si="37">CONCATENATE(B386,"_",C386,"_",H386)</f>
        <v>glr_human_4L6R_ICL1</v>
      </c>
      <c r="B386" s="45" t="s">
        <v>206</v>
      </c>
      <c r="C386" s="45" t="s">
        <v>240</v>
      </c>
      <c r="D386" s="4" t="str">
        <f>VLOOKUP(B386,Classification!A:D,2,FALSE)</f>
        <v>B1</v>
      </c>
      <c r="E386" s="4" t="str">
        <f>VLOOKUP(B386,Classification!A:D,3,FALSE)</f>
        <v>Peptide</v>
      </c>
      <c r="F386" s="4" t="str">
        <f>VLOOKUP(B386,Classification!A:D,4,FALSE)</f>
        <v>Glucagonreceptorfamily</v>
      </c>
      <c r="G386" s="2">
        <v>2</v>
      </c>
      <c r="H386" s="45" t="s">
        <v>14</v>
      </c>
      <c r="I386" s="2" t="s">
        <v>1221</v>
      </c>
      <c r="J386" s="5" t="str">
        <f>VLOOKUP(B386,Seqs!A:B,2,FALSE)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386" s="4" t="str">
        <f t="shared" si="36"/>
        <v>S</v>
      </c>
      <c r="L386" s="45">
        <f>VLOOKUP(B386,'NonXtal_SegEnds_Prot#'!A:AL,6,FALSE)</f>
        <v>167</v>
      </c>
      <c r="M386" s="45">
        <f>VLOOKUP(B386,'NonXtal_SegEnds_Prot#'!A:AL,7,FALSE)</f>
        <v>169</v>
      </c>
      <c r="N386" s="45">
        <f>VLOOKUP(B386,'NonXtal_SegEnds_Prot#'!A:AL,8,FALSE)</f>
        <v>170</v>
      </c>
      <c r="O386" s="4" t="str">
        <f t="shared" ref="O386:O449" si="38">MID(J386,N386,1)</f>
        <v>H</v>
      </c>
      <c r="P386" s="4"/>
      <c r="Q386" s="47" t="str">
        <f t="shared" ref="Q386:Q449" si="39">MID(J386,L386,M386-L386)</f>
        <v>SK</v>
      </c>
      <c r="R386" s="27" t="str">
        <f t="shared" ref="R386:R449" si="40">MID(J386,M386,1)</f>
        <v>L</v>
      </c>
      <c r="S386" s="19" t="str">
        <f t="shared" ref="S386:S449" si="41">MID(J386,M386+1,N386-M386)</f>
        <v>H</v>
      </c>
      <c r="Z386" s="4"/>
      <c r="AD386" s="1" t="s">
        <v>15</v>
      </c>
      <c r="AE386" s="1">
        <v>167</v>
      </c>
      <c r="AF386" s="1">
        <v>169</v>
      </c>
      <c r="AG386" s="1">
        <v>171</v>
      </c>
      <c r="AH386" s="1" t="s">
        <v>16</v>
      </c>
      <c r="AK386" s="4">
        <v>48</v>
      </c>
      <c r="AL386" s="4">
        <v>52</v>
      </c>
    </row>
    <row r="387" spans="1:38" x14ac:dyDescent="0.25">
      <c r="A387" s="3" t="str">
        <f t="shared" si="37"/>
        <v>glr_human_5EE7_ICL1</v>
      </c>
      <c r="B387" s="45" t="s">
        <v>206</v>
      </c>
      <c r="C387" s="45" t="s">
        <v>237</v>
      </c>
      <c r="D387" s="2" t="str">
        <f>VLOOKUP(B387,Classification!A:D,2,FALSE)</f>
        <v>B1</v>
      </c>
      <c r="E387" s="2" t="str">
        <f>VLOOKUP(B387,Classification!A:D,3,FALSE)</f>
        <v>Peptide</v>
      </c>
      <c r="F387" s="2" t="str">
        <f>VLOOKUP(B387,Classification!A:D,4,FALSE)</f>
        <v>Glucagonreceptorfamily</v>
      </c>
      <c r="G387" s="2">
        <v>2</v>
      </c>
      <c r="H387" s="45" t="s">
        <v>14</v>
      </c>
      <c r="I387" s="2" t="s">
        <v>1221</v>
      </c>
      <c r="J387" s="35" t="str">
        <f>VLOOKUP(B387,Seqs!A:B,2,FALSE)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387" s="2" t="str">
        <f t="shared" si="36"/>
        <v>S</v>
      </c>
      <c r="L387" s="45">
        <f>VLOOKUP(B387,'NonXtal_SegEnds_Prot#'!A:AL,6,FALSE)</f>
        <v>167</v>
      </c>
      <c r="M387" s="45">
        <f>VLOOKUP(B387,'NonXtal_SegEnds_Prot#'!A:AL,7,FALSE)</f>
        <v>169</v>
      </c>
      <c r="N387" s="45">
        <f>VLOOKUP(B387,'NonXtal_SegEnds_Prot#'!A:AL,8,FALSE)</f>
        <v>170</v>
      </c>
      <c r="O387" s="2" t="str">
        <f t="shared" si="38"/>
        <v>H</v>
      </c>
      <c r="P387" s="2" t="s">
        <v>58</v>
      </c>
      <c r="Q387" s="47" t="str">
        <f t="shared" si="39"/>
        <v>SK</v>
      </c>
      <c r="R387" s="28" t="str">
        <f t="shared" si="40"/>
        <v>L</v>
      </c>
      <c r="S387" s="20" t="str">
        <f t="shared" si="41"/>
        <v>H</v>
      </c>
      <c r="T387" s="35"/>
      <c r="U387" s="2"/>
      <c r="V387" s="3"/>
      <c r="W387" s="3"/>
      <c r="X387" s="3"/>
      <c r="Y387" s="3"/>
      <c r="Z387" s="2"/>
      <c r="AA387" s="3"/>
      <c r="AB387" s="3"/>
      <c r="AC387" s="3"/>
      <c r="AD387" s="3" t="s">
        <v>15</v>
      </c>
      <c r="AE387" s="3">
        <v>167</v>
      </c>
      <c r="AF387" s="3">
        <v>169</v>
      </c>
      <c r="AG387" s="3" t="s">
        <v>180</v>
      </c>
      <c r="AH387" s="3" t="s">
        <v>180</v>
      </c>
      <c r="AI387" s="3"/>
      <c r="AJ387" s="3"/>
      <c r="AK387" s="2">
        <v>48</v>
      </c>
      <c r="AL387" s="2" t="s">
        <v>180</v>
      </c>
    </row>
    <row r="388" spans="1:38" x14ac:dyDescent="0.25">
      <c r="A388" s="1" t="str">
        <f t="shared" si="37"/>
        <v>grm1_human__wt_ICL1</v>
      </c>
      <c r="B388" s="45" t="s">
        <v>223</v>
      </c>
      <c r="C388" s="45" t="s">
        <v>294</v>
      </c>
      <c r="D388" s="4" t="str">
        <f>VLOOKUP(B388,Classification!A:D,2,FALSE)</f>
        <v>C</v>
      </c>
      <c r="E388" s="4" t="str">
        <f>VLOOKUP(B388,Classification!A:D,3,FALSE)</f>
        <v>Aminoacid</v>
      </c>
      <c r="F388" s="4" t="str">
        <f>VLOOKUP(B388,Classification!A:D,4,FALSE)</f>
        <v>Metabotropicglutamate</v>
      </c>
      <c r="G388" s="2">
        <v>2</v>
      </c>
      <c r="H388" s="45" t="s">
        <v>14</v>
      </c>
      <c r="I388" s="2" t="s">
        <v>1221</v>
      </c>
      <c r="J388" s="5" t="str">
        <f>VLOOKUP(B388,Seqs!A:B,2,FALSE)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388" s="4" t="str">
        <f t="shared" si="36"/>
        <v>T</v>
      </c>
      <c r="L388" s="45">
        <f>VLOOKUP(B388,'NonXtal_SegEnds_Prot#'!A:AL,6,FALSE)</f>
        <v>620</v>
      </c>
      <c r="M388" s="45">
        <f>VLOOKUP(B388,'NonXtal_SegEnds_Prot#'!A:AL,7,FALSE)</f>
        <v>623</v>
      </c>
      <c r="N388" s="45">
        <f>VLOOKUP(B388,'NonXtal_SegEnds_Prot#'!A:AL,8,FALSE)</f>
        <v>626</v>
      </c>
      <c r="O388" s="4" t="str">
        <f t="shared" si="38"/>
        <v>S</v>
      </c>
      <c r="P388" s="4"/>
      <c r="Q388" s="47" t="str">
        <f t="shared" si="39"/>
        <v>TPV</v>
      </c>
      <c r="R388" s="27" t="str">
        <f t="shared" si="40"/>
        <v>V</v>
      </c>
      <c r="S388" s="19" t="str">
        <f t="shared" si="41"/>
        <v>KSS</v>
      </c>
      <c r="Z388" s="4"/>
      <c r="AD388" s="1" t="s">
        <v>15</v>
      </c>
      <c r="AE388" s="1">
        <v>621</v>
      </c>
      <c r="AF388" s="1">
        <v>623</v>
      </c>
      <c r="AG388" s="1">
        <v>625</v>
      </c>
      <c r="AH388" s="1" t="s">
        <v>16</v>
      </c>
      <c r="AK388" s="4">
        <v>48</v>
      </c>
      <c r="AL388" s="4">
        <v>52</v>
      </c>
    </row>
    <row r="389" spans="1:38" x14ac:dyDescent="0.25">
      <c r="A389" s="1" t="str">
        <f t="shared" si="37"/>
        <v>grm1_human_4OR2_ICL1</v>
      </c>
      <c r="B389" s="45" t="s">
        <v>223</v>
      </c>
      <c r="C389" s="45" t="s">
        <v>289</v>
      </c>
      <c r="D389" s="4" t="str">
        <f>VLOOKUP(B389,Classification!A:D,2,FALSE)</f>
        <v>C</v>
      </c>
      <c r="E389" s="4" t="str">
        <f>VLOOKUP(B389,Classification!A:D,3,FALSE)</f>
        <v>Aminoacid</v>
      </c>
      <c r="F389" s="4" t="str">
        <f>VLOOKUP(B389,Classification!A:D,4,FALSE)</f>
        <v>Metabotropicglutamate</v>
      </c>
      <c r="G389" s="2">
        <v>2</v>
      </c>
      <c r="H389" s="45" t="s">
        <v>14</v>
      </c>
      <c r="I389" s="2" t="s">
        <v>1221</v>
      </c>
      <c r="J389" s="5" t="str">
        <f>VLOOKUP(B389,Seqs!A:B,2,FALSE)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389" s="4" t="str">
        <f t="shared" si="36"/>
        <v>T</v>
      </c>
      <c r="L389" s="45">
        <f>VLOOKUP(B389,'NonXtal_SegEnds_Prot#'!A:AL,6,FALSE)</f>
        <v>620</v>
      </c>
      <c r="M389" s="45">
        <f>VLOOKUP(B389,'NonXtal_SegEnds_Prot#'!A:AL,7,FALSE)</f>
        <v>623</v>
      </c>
      <c r="N389" s="45">
        <f>VLOOKUP(B389,'NonXtal_SegEnds_Prot#'!A:AL,8,FALSE)</f>
        <v>626</v>
      </c>
      <c r="O389" s="4" t="str">
        <f t="shared" si="38"/>
        <v>S</v>
      </c>
      <c r="P389" s="4"/>
      <c r="Q389" s="47" t="str">
        <f t="shared" si="39"/>
        <v>TPV</v>
      </c>
      <c r="R389" s="27" t="str">
        <f t="shared" si="40"/>
        <v>V</v>
      </c>
      <c r="S389" s="19" t="str">
        <f t="shared" si="41"/>
        <v>KSS</v>
      </c>
      <c r="Z389" s="4"/>
      <c r="AD389" s="1" t="s">
        <v>15</v>
      </c>
      <c r="AE389" s="1">
        <v>621</v>
      </c>
      <c r="AF389" s="1">
        <v>623</v>
      </c>
      <c r="AG389" s="1">
        <v>625</v>
      </c>
      <c r="AH389" s="1" t="s">
        <v>16</v>
      </c>
      <c r="AK389" s="4">
        <v>48</v>
      </c>
      <c r="AL389" s="4">
        <v>52</v>
      </c>
    </row>
    <row r="390" spans="1:38" x14ac:dyDescent="0.25">
      <c r="A390" s="1" t="str">
        <f t="shared" si="37"/>
        <v>grm5_human__wt_ICL1</v>
      </c>
      <c r="B390" s="45" t="s">
        <v>224</v>
      </c>
      <c r="C390" s="45" t="s">
        <v>294</v>
      </c>
      <c r="D390" s="4" t="str">
        <f>VLOOKUP(B390,Classification!A:D,2,FALSE)</f>
        <v>C</v>
      </c>
      <c r="E390" s="4" t="str">
        <f>VLOOKUP(B390,Classification!A:D,3,FALSE)</f>
        <v>Aminoacid</v>
      </c>
      <c r="F390" s="4" t="str">
        <f>VLOOKUP(B390,Classification!A:D,4,FALSE)</f>
        <v>Metabotropicglutamate</v>
      </c>
      <c r="G390" s="2">
        <v>2</v>
      </c>
      <c r="H390" s="45" t="s">
        <v>14</v>
      </c>
      <c r="I390" s="2" t="s">
        <v>1221</v>
      </c>
      <c r="J390" s="5" t="str">
        <f>VLOOKUP(B390,Seqs!A:B,2,FALSE)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0" s="4" t="str">
        <f t="shared" si="36"/>
        <v>T</v>
      </c>
      <c r="L390" s="45">
        <f>VLOOKUP(B390,'NonXtal_SegEnds_Prot#'!A:AL,6,FALSE)</f>
        <v>607</v>
      </c>
      <c r="M390" s="45">
        <f>VLOOKUP(B390,'NonXtal_SegEnds_Prot#'!A:AL,7,FALSE)</f>
        <v>610</v>
      </c>
      <c r="N390" s="45">
        <f>VLOOKUP(B390,'NonXtal_SegEnds_Prot#'!A:AL,8,FALSE)</f>
        <v>613</v>
      </c>
      <c r="O390" s="4" t="str">
        <f t="shared" si="38"/>
        <v>S</v>
      </c>
      <c r="P390" s="4"/>
      <c r="Q390" s="47" t="str">
        <f t="shared" si="39"/>
        <v>TPV</v>
      </c>
      <c r="R390" s="27" t="str">
        <f t="shared" si="40"/>
        <v>V</v>
      </c>
      <c r="S390" s="19" t="str">
        <f t="shared" si="41"/>
        <v>KSS</v>
      </c>
      <c r="Z390" s="4"/>
      <c r="AD390" s="1" t="s">
        <v>15</v>
      </c>
      <c r="AE390" s="1">
        <v>608</v>
      </c>
      <c r="AF390" s="1">
        <v>610</v>
      </c>
      <c r="AG390" s="1">
        <v>612</v>
      </c>
      <c r="AH390" s="1" t="s">
        <v>16</v>
      </c>
      <c r="AK390" s="4">
        <v>48</v>
      </c>
      <c r="AL390" s="4">
        <v>52</v>
      </c>
    </row>
    <row r="391" spans="1:38" x14ac:dyDescent="0.25">
      <c r="A391" s="1" t="str">
        <f t="shared" si="37"/>
        <v>grm5_human_4OO9_ICL1</v>
      </c>
      <c r="B391" s="45" t="s">
        <v>224</v>
      </c>
      <c r="C391" s="45" t="s">
        <v>248</v>
      </c>
      <c r="D391" s="4" t="str">
        <f>VLOOKUP(B391,Classification!A:D,2,FALSE)</f>
        <v>C</v>
      </c>
      <c r="E391" s="4" t="str">
        <f>VLOOKUP(B391,Classification!A:D,3,FALSE)</f>
        <v>Aminoacid</v>
      </c>
      <c r="F391" s="4" t="str">
        <f>VLOOKUP(B391,Classification!A:D,4,FALSE)</f>
        <v>Metabotropicglutamate</v>
      </c>
      <c r="G391" s="2">
        <v>2</v>
      </c>
      <c r="H391" s="45" t="s">
        <v>14</v>
      </c>
      <c r="I391" s="2" t="s">
        <v>1221</v>
      </c>
      <c r="J391" s="5" t="str">
        <f>VLOOKUP(B391,Seqs!A:B,2,FALSE)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1" s="4" t="str">
        <f t="shared" si="36"/>
        <v>T</v>
      </c>
      <c r="L391" s="45">
        <f>VLOOKUP(B391,'NonXtal_SegEnds_Prot#'!A:AL,6,FALSE)</f>
        <v>607</v>
      </c>
      <c r="M391" s="45">
        <f>VLOOKUP(B391,'NonXtal_SegEnds_Prot#'!A:AL,7,FALSE)</f>
        <v>610</v>
      </c>
      <c r="N391" s="45">
        <f>VLOOKUP(B391,'NonXtal_SegEnds_Prot#'!A:AL,8,FALSE)</f>
        <v>613</v>
      </c>
      <c r="O391" s="4" t="str">
        <f t="shared" si="38"/>
        <v>S</v>
      </c>
      <c r="P391" s="4"/>
      <c r="Q391" s="47" t="str">
        <f t="shared" si="39"/>
        <v>TPV</v>
      </c>
      <c r="R391" s="27" t="str">
        <f t="shared" si="40"/>
        <v>V</v>
      </c>
      <c r="S391" s="19" t="str">
        <f t="shared" si="41"/>
        <v>KSS</v>
      </c>
      <c r="Z391" s="4"/>
      <c r="AD391" s="1" t="s">
        <v>15</v>
      </c>
      <c r="AE391" s="1">
        <v>608</v>
      </c>
      <c r="AF391" s="1">
        <v>610</v>
      </c>
      <c r="AG391" s="1">
        <v>612</v>
      </c>
      <c r="AH391" s="1" t="s">
        <v>16</v>
      </c>
      <c r="AK391" s="4">
        <v>48</v>
      </c>
      <c r="AL391" s="4">
        <v>52</v>
      </c>
    </row>
    <row r="392" spans="1:38" x14ac:dyDescent="0.25">
      <c r="A392" s="1" t="str">
        <f t="shared" si="37"/>
        <v>grm5_human_5CGC_ICL1</v>
      </c>
      <c r="B392" s="45" t="s">
        <v>224</v>
      </c>
      <c r="C392" s="45" t="s">
        <v>249</v>
      </c>
      <c r="D392" s="4" t="str">
        <f>VLOOKUP(B392,Classification!A:D,2,FALSE)</f>
        <v>C</v>
      </c>
      <c r="E392" s="4" t="str">
        <f>VLOOKUP(B392,Classification!A:D,3,FALSE)</f>
        <v>Aminoacid</v>
      </c>
      <c r="F392" s="4" t="str">
        <f>VLOOKUP(B392,Classification!A:D,4,FALSE)</f>
        <v>Metabotropicglutamate</v>
      </c>
      <c r="G392" s="2">
        <v>2</v>
      </c>
      <c r="H392" s="45" t="s">
        <v>14</v>
      </c>
      <c r="I392" s="2" t="s">
        <v>1221</v>
      </c>
      <c r="J392" s="5" t="str">
        <f>VLOOKUP(B392,Seqs!A:B,2,FALSE)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2" s="4" t="str">
        <f t="shared" si="36"/>
        <v>T</v>
      </c>
      <c r="L392" s="45">
        <f>VLOOKUP(B392,'NonXtal_SegEnds_Prot#'!A:AL,6,FALSE)</f>
        <v>607</v>
      </c>
      <c r="M392" s="45">
        <f>VLOOKUP(B392,'NonXtal_SegEnds_Prot#'!A:AL,7,FALSE)</f>
        <v>610</v>
      </c>
      <c r="N392" s="45">
        <f>VLOOKUP(B392,'NonXtal_SegEnds_Prot#'!A:AL,8,FALSE)</f>
        <v>613</v>
      </c>
      <c r="O392" s="4" t="str">
        <f t="shared" si="38"/>
        <v>S</v>
      </c>
      <c r="P392" s="4"/>
      <c r="Q392" s="47" t="str">
        <f t="shared" si="39"/>
        <v>TPV</v>
      </c>
      <c r="R392" s="27" t="str">
        <f t="shared" si="40"/>
        <v>V</v>
      </c>
      <c r="S392" s="19" t="str">
        <f t="shared" si="41"/>
        <v>KSS</v>
      </c>
      <c r="Z392" s="4"/>
      <c r="AD392" s="1" t="s">
        <v>15</v>
      </c>
      <c r="AE392" s="1">
        <v>608</v>
      </c>
      <c r="AF392" s="1">
        <v>610</v>
      </c>
      <c r="AG392" s="1">
        <v>612</v>
      </c>
      <c r="AH392" s="1" t="s">
        <v>16</v>
      </c>
      <c r="AK392" s="4">
        <v>48</v>
      </c>
      <c r="AL392" s="4">
        <v>52</v>
      </c>
    </row>
    <row r="393" spans="1:38" x14ac:dyDescent="0.25">
      <c r="A393" s="1" t="str">
        <f t="shared" si="37"/>
        <v>grm5_human_5CGD_ICL1</v>
      </c>
      <c r="B393" s="45" t="s">
        <v>224</v>
      </c>
      <c r="C393" s="45" t="s">
        <v>250</v>
      </c>
      <c r="D393" s="4" t="str">
        <f>VLOOKUP(B393,Classification!A:D,2,FALSE)</f>
        <v>C</v>
      </c>
      <c r="E393" s="4" t="str">
        <f>VLOOKUP(B393,Classification!A:D,3,FALSE)</f>
        <v>Aminoacid</v>
      </c>
      <c r="F393" s="4" t="str">
        <f>VLOOKUP(B393,Classification!A:D,4,FALSE)</f>
        <v>Metabotropicglutamate</v>
      </c>
      <c r="G393" s="2">
        <v>2</v>
      </c>
      <c r="H393" s="45" t="s">
        <v>14</v>
      </c>
      <c r="I393" s="2" t="s">
        <v>1221</v>
      </c>
      <c r="J393" s="5" t="str">
        <f>VLOOKUP(B393,Seqs!A:B,2,FALSE)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3" s="4" t="str">
        <f t="shared" si="36"/>
        <v>T</v>
      </c>
      <c r="L393" s="45">
        <f>VLOOKUP(B393,'NonXtal_SegEnds_Prot#'!A:AL,6,FALSE)</f>
        <v>607</v>
      </c>
      <c r="M393" s="45">
        <f>VLOOKUP(B393,'NonXtal_SegEnds_Prot#'!A:AL,7,FALSE)</f>
        <v>610</v>
      </c>
      <c r="N393" s="45">
        <f>VLOOKUP(B393,'NonXtal_SegEnds_Prot#'!A:AL,8,FALSE)</f>
        <v>613</v>
      </c>
      <c r="O393" s="4" t="str">
        <f t="shared" si="38"/>
        <v>S</v>
      </c>
      <c r="P393" s="4"/>
      <c r="Q393" s="47" t="str">
        <f t="shared" si="39"/>
        <v>TPV</v>
      </c>
      <c r="R393" s="27" t="str">
        <f t="shared" si="40"/>
        <v>V</v>
      </c>
      <c r="S393" s="19" t="str">
        <f t="shared" si="41"/>
        <v>KSS</v>
      </c>
      <c r="Z393" s="4"/>
      <c r="AD393" s="1" t="s">
        <v>15</v>
      </c>
      <c r="AE393" s="1">
        <v>608</v>
      </c>
      <c r="AF393" s="1">
        <v>610</v>
      </c>
      <c r="AG393" s="1">
        <v>612</v>
      </c>
      <c r="AH393" s="1" t="s">
        <v>16</v>
      </c>
      <c r="AK393" s="4">
        <v>48</v>
      </c>
      <c r="AL393" s="4">
        <v>52</v>
      </c>
    </row>
    <row r="394" spans="1:38" x14ac:dyDescent="0.25">
      <c r="A394" s="1" t="str">
        <f t="shared" si="37"/>
        <v>HRH1_human__wt_ICL1</v>
      </c>
      <c r="B394" s="45" t="s">
        <v>225</v>
      </c>
      <c r="C394" s="45" t="s">
        <v>294</v>
      </c>
      <c r="D394" s="4" t="str">
        <f>VLOOKUP(B394,Classification!A:D,2,FALSE)</f>
        <v>A</v>
      </c>
      <c r="E394" s="4" t="str">
        <f>VLOOKUP(B394,Classification!A:D,3,FALSE)</f>
        <v>Aminergic</v>
      </c>
      <c r="F394" s="4" t="str">
        <f>VLOOKUP(B394,Classification!A:D,4,FALSE)</f>
        <v>Histamine</v>
      </c>
      <c r="G394" s="2">
        <v>2</v>
      </c>
      <c r="H394" s="45" t="s">
        <v>14</v>
      </c>
      <c r="I394" s="2" t="s">
        <v>1221</v>
      </c>
      <c r="J394" s="5" t="str">
        <f>VLOOKUP(B394,Seqs!A:B,2,FALSE)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94" s="4" t="str">
        <f t="shared" si="36"/>
        <v>R</v>
      </c>
      <c r="L394" s="45">
        <f>VLOOKUP(B394,'NonXtal_SegEnds_Prot#'!A:AL,6,FALSE)</f>
        <v>56</v>
      </c>
      <c r="M394" s="45">
        <f>VLOOKUP(B394,'NonXtal_SegEnds_Prot#'!A:AL,7,FALSE)</f>
        <v>58</v>
      </c>
      <c r="N394" s="45">
        <f>VLOOKUP(B394,'NonXtal_SegEnds_Prot#'!A:AL,8,FALSE)</f>
        <v>59</v>
      </c>
      <c r="O394" s="4" t="str">
        <f t="shared" si="38"/>
        <v>H</v>
      </c>
      <c r="P394" s="4"/>
      <c r="Q394" s="47" t="str">
        <f t="shared" si="39"/>
        <v>RK</v>
      </c>
      <c r="R394" s="27" t="str">
        <f t="shared" si="40"/>
        <v>L</v>
      </c>
      <c r="S394" s="19" t="str">
        <f t="shared" si="41"/>
        <v>H</v>
      </c>
      <c r="Z394" s="4"/>
      <c r="AD394" s="1" t="s">
        <v>15</v>
      </c>
      <c r="AE394" s="1">
        <v>56</v>
      </c>
      <c r="AF394" s="1">
        <v>58</v>
      </c>
      <c r="AG394" s="1">
        <v>60</v>
      </c>
      <c r="AH394" s="1" t="s">
        <v>16</v>
      </c>
      <c r="AK394" s="4">
        <v>48</v>
      </c>
      <c r="AL394" s="4">
        <v>52</v>
      </c>
    </row>
    <row r="395" spans="1:38" x14ac:dyDescent="0.25">
      <c r="A395" s="1" t="str">
        <f t="shared" si="37"/>
        <v>HRH1_human_3RZE_ICL1</v>
      </c>
      <c r="B395" s="45" t="s">
        <v>225</v>
      </c>
      <c r="C395" s="45" t="s">
        <v>264</v>
      </c>
      <c r="D395" s="4" t="str">
        <f>VLOOKUP(B395,Classification!A:D,2,FALSE)</f>
        <v>A</v>
      </c>
      <c r="E395" s="4" t="str">
        <f>VLOOKUP(B395,Classification!A:D,3,FALSE)</f>
        <v>Aminergic</v>
      </c>
      <c r="F395" s="4" t="str">
        <f>VLOOKUP(B395,Classification!A:D,4,FALSE)</f>
        <v>Histamine</v>
      </c>
      <c r="G395" s="2">
        <v>2</v>
      </c>
      <c r="H395" s="45" t="s">
        <v>14</v>
      </c>
      <c r="I395" s="2" t="s">
        <v>1221</v>
      </c>
      <c r="J395" s="5" t="str">
        <f>VLOOKUP(B395,Seqs!A:B,2,FALSE)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95" s="4" t="str">
        <f t="shared" si="36"/>
        <v>R</v>
      </c>
      <c r="L395" s="45">
        <f>VLOOKUP(B395,'NonXtal_SegEnds_Prot#'!A:AL,6,FALSE)</f>
        <v>56</v>
      </c>
      <c r="M395" s="45">
        <f>VLOOKUP(B395,'NonXtal_SegEnds_Prot#'!A:AL,7,FALSE)</f>
        <v>58</v>
      </c>
      <c r="N395" s="45">
        <f>VLOOKUP(B395,'NonXtal_SegEnds_Prot#'!A:AL,8,FALSE)</f>
        <v>59</v>
      </c>
      <c r="O395" s="4" t="str">
        <f t="shared" si="38"/>
        <v>H</v>
      </c>
      <c r="P395" s="4"/>
      <c r="Q395" s="47" t="str">
        <f t="shared" si="39"/>
        <v>RK</v>
      </c>
      <c r="R395" s="27" t="str">
        <f t="shared" si="40"/>
        <v>L</v>
      </c>
      <c r="S395" s="19" t="str">
        <f t="shared" si="41"/>
        <v>H</v>
      </c>
      <c r="Z395" s="4"/>
      <c r="AD395" s="1" t="s">
        <v>15</v>
      </c>
      <c r="AE395" s="1">
        <v>56</v>
      </c>
      <c r="AF395" s="1">
        <v>58</v>
      </c>
      <c r="AG395" s="1">
        <v>60</v>
      </c>
      <c r="AH395" s="1" t="s">
        <v>16</v>
      </c>
      <c r="AK395" s="4">
        <v>48</v>
      </c>
      <c r="AL395" s="4">
        <v>52</v>
      </c>
    </row>
    <row r="396" spans="1:38" x14ac:dyDescent="0.25">
      <c r="A396" s="1" t="str">
        <f t="shared" si="37"/>
        <v>LPAR1_human__wt_ICL1</v>
      </c>
      <c r="B396" s="45" t="s">
        <v>214</v>
      </c>
      <c r="C396" s="45" t="s">
        <v>294</v>
      </c>
      <c r="D396" s="4" t="str">
        <f>VLOOKUP(B396,Classification!A:D,2,FALSE)</f>
        <v>A</v>
      </c>
      <c r="E396" s="4" t="str">
        <f>VLOOKUP(B396,Classification!A:D,3,FALSE)</f>
        <v>Lipid</v>
      </c>
      <c r="F396" s="4" t="str">
        <f>VLOOKUP(B396,Classification!A:D,4,FALSE)</f>
        <v>Lysophospholipid(LPA)</v>
      </c>
      <c r="G396" s="2">
        <v>2</v>
      </c>
      <c r="H396" s="45" t="s">
        <v>14</v>
      </c>
      <c r="I396" s="2" t="s">
        <v>1221</v>
      </c>
      <c r="J396" s="5" t="str">
        <f>VLOOKUP(B396,Seqs!A:B,2,FALSE)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96" s="4" t="str">
        <f t="shared" si="36"/>
        <v>R</v>
      </c>
      <c r="L396" s="45">
        <f>VLOOKUP(B396,'NonXtal_SegEnds_Prot#'!A:AL,6,FALSE)</f>
        <v>78</v>
      </c>
      <c r="M396" s="45">
        <f>VLOOKUP(B396,'NonXtal_SegEnds_Prot#'!A:AL,7,FALSE)</f>
        <v>80</v>
      </c>
      <c r="N396" s="45">
        <f>VLOOKUP(B396,'NonXtal_SegEnds_Prot#'!A:AL,8,FALSE)</f>
        <v>81</v>
      </c>
      <c r="O396" s="4" t="str">
        <f t="shared" si="38"/>
        <v>H</v>
      </c>
      <c r="P396" s="4"/>
      <c r="Q396" s="47" t="str">
        <f t="shared" si="39"/>
        <v>RR</v>
      </c>
      <c r="R396" s="27" t="str">
        <f t="shared" si="40"/>
        <v>F</v>
      </c>
      <c r="S396" s="19" t="str">
        <f t="shared" si="41"/>
        <v>H</v>
      </c>
      <c r="Z396" s="4"/>
      <c r="AD396" s="1" t="s">
        <v>15</v>
      </c>
      <c r="AE396" s="1">
        <v>78</v>
      </c>
      <c r="AF396" s="1">
        <v>80</v>
      </c>
      <c r="AG396" s="1">
        <v>82</v>
      </c>
      <c r="AH396" s="1" t="s">
        <v>16</v>
      </c>
      <c r="AK396" s="4">
        <v>48</v>
      </c>
      <c r="AL396" s="4">
        <v>52</v>
      </c>
    </row>
    <row r="397" spans="1:38" x14ac:dyDescent="0.25">
      <c r="A397" s="1" t="str">
        <f t="shared" si="37"/>
        <v>LPAR1_human_4Z35_ICL1</v>
      </c>
      <c r="B397" s="45" t="s">
        <v>214</v>
      </c>
      <c r="C397" s="45" t="s">
        <v>281</v>
      </c>
      <c r="D397" s="4" t="str">
        <f>VLOOKUP(B397,Classification!A:D,2,FALSE)</f>
        <v>A</v>
      </c>
      <c r="E397" s="4" t="str">
        <f>VLOOKUP(B397,Classification!A:D,3,FALSE)</f>
        <v>Lipid</v>
      </c>
      <c r="F397" s="4" t="str">
        <f>VLOOKUP(B397,Classification!A:D,4,FALSE)</f>
        <v>Lysophospholipid(LPA)</v>
      </c>
      <c r="G397" s="2">
        <v>2</v>
      </c>
      <c r="H397" s="45" t="s">
        <v>14</v>
      </c>
      <c r="I397" s="2" t="s">
        <v>1221</v>
      </c>
      <c r="J397" s="5" t="str">
        <f>VLOOKUP(B397,Seqs!A:B,2,FALSE)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97" s="4" t="str">
        <f t="shared" si="36"/>
        <v>R</v>
      </c>
      <c r="L397" s="45">
        <f>VLOOKUP(B397,'NonXtal_SegEnds_Prot#'!A:AL,6,FALSE)</f>
        <v>78</v>
      </c>
      <c r="M397" s="45">
        <f>VLOOKUP(B397,'NonXtal_SegEnds_Prot#'!A:AL,7,FALSE)</f>
        <v>80</v>
      </c>
      <c r="N397" s="45">
        <f>VLOOKUP(B397,'NonXtal_SegEnds_Prot#'!A:AL,8,FALSE)</f>
        <v>81</v>
      </c>
      <c r="O397" s="4" t="str">
        <f t="shared" si="38"/>
        <v>H</v>
      </c>
      <c r="P397" s="4"/>
      <c r="Q397" s="47" t="str">
        <f t="shared" si="39"/>
        <v>RR</v>
      </c>
      <c r="R397" s="27" t="str">
        <f t="shared" si="40"/>
        <v>F</v>
      </c>
      <c r="S397" s="19" t="str">
        <f t="shared" si="41"/>
        <v>H</v>
      </c>
      <c r="Z397" s="4"/>
      <c r="AD397" s="1" t="s">
        <v>15</v>
      </c>
      <c r="AE397" s="1">
        <v>78</v>
      </c>
      <c r="AF397" s="1">
        <v>80</v>
      </c>
      <c r="AG397" s="1">
        <v>82</v>
      </c>
      <c r="AH397" s="1" t="s">
        <v>16</v>
      </c>
      <c r="AK397" s="4">
        <v>48</v>
      </c>
      <c r="AL397" s="4">
        <v>52</v>
      </c>
    </row>
    <row r="398" spans="1:38" x14ac:dyDescent="0.25">
      <c r="A398" s="1" t="str">
        <f t="shared" si="37"/>
        <v>NTR1_rat__wt_ICL1</v>
      </c>
      <c r="B398" s="45" t="s">
        <v>234</v>
      </c>
      <c r="C398" s="45" t="s">
        <v>294</v>
      </c>
      <c r="D398" s="4" t="str">
        <f>VLOOKUP(B398,Classification!A:D,2,FALSE)</f>
        <v>A</v>
      </c>
      <c r="E398" s="4" t="str">
        <f>VLOOKUP(B398,Classification!A:D,3,FALSE)</f>
        <v>Peptide</v>
      </c>
      <c r="F398" s="4" t="str">
        <f>VLOOKUP(B398,Classification!A:D,4,FALSE)</f>
        <v>Neurotensin</v>
      </c>
      <c r="G398" s="2">
        <v>2</v>
      </c>
      <c r="H398" s="45" t="s">
        <v>14</v>
      </c>
      <c r="I398" s="2" t="s">
        <v>1221</v>
      </c>
      <c r="J398" s="5" t="str">
        <f>VLOOKUP(B398,Seqs!A:B,2,FALSE)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98" s="4" t="str">
        <f t="shared" si="36"/>
        <v>K</v>
      </c>
      <c r="L398" s="45">
        <f>VLOOKUP(B398,'NonXtal_SegEnds_Prot#'!A:AL,6,FALSE)</f>
        <v>93</v>
      </c>
      <c r="M398" s="45">
        <f>VLOOKUP(B398,'NonXtal_SegEnds_Prot#'!A:AL,7,FALSE)</f>
        <v>95</v>
      </c>
      <c r="N398" s="45">
        <f>VLOOKUP(B398,'NonXtal_SegEnds_Prot#'!A:AL,8,FALSE)</f>
        <v>96</v>
      </c>
      <c r="O398" s="4" t="str">
        <f t="shared" si="38"/>
        <v>Q</v>
      </c>
      <c r="P398" s="4"/>
      <c r="Q398" s="47" t="str">
        <f t="shared" si="39"/>
        <v>KS</v>
      </c>
      <c r="R398" s="27" t="str">
        <f t="shared" si="40"/>
        <v>L</v>
      </c>
      <c r="S398" s="19" t="str">
        <f t="shared" si="41"/>
        <v>Q</v>
      </c>
      <c r="Z398" s="4" t="s">
        <v>78</v>
      </c>
      <c r="AD398" s="1" t="s">
        <v>15</v>
      </c>
      <c r="AE398" s="1">
        <v>93</v>
      </c>
      <c r="AF398" s="1">
        <v>95</v>
      </c>
      <c r="AG398" s="1">
        <v>97</v>
      </c>
      <c r="AH398" s="1" t="s">
        <v>16</v>
      </c>
      <c r="AK398" s="4">
        <v>48</v>
      </c>
      <c r="AL398" s="4">
        <v>52</v>
      </c>
    </row>
    <row r="399" spans="1:38" x14ac:dyDescent="0.25">
      <c r="A399" s="1" t="str">
        <f t="shared" si="37"/>
        <v>NTR1_rat_4BOU_ICL1</v>
      </c>
      <c r="B399" s="45" t="s">
        <v>234</v>
      </c>
      <c r="C399" s="45" t="s">
        <v>239</v>
      </c>
      <c r="D399" s="4" t="str">
        <f>VLOOKUP(B399,Classification!A:D,2,FALSE)</f>
        <v>A</v>
      </c>
      <c r="E399" s="4" t="str">
        <f>VLOOKUP(B399,Classification!A:D,3,FALSE)</f>
        <v>Peptide</v>
      </c>
      <c r="F399" s="4" t="str">
        <f>VLOOKUP(B399,Classification!A:D,4,FALSE)</f>
        <v>Neurotensin</v>
      </c>
      <c r="G399" s="2">
        <v>2</v>
      </c>
      <c r="H399" s="45" t="s">
        <v>14</v>
      </c>
      <c r="I399" s="2" t="s">
        <v>1221</v>
      </c>
      <c r="J399" s="5" t="str">
        <f>VLOOKUP(B399,Seqs!A:B,2,FALSE)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99" s="4" t="str">
        <f t="shared" si="36"/>
        <v>K</v>
      </c>
      <c r="L399" s="45">
        <f>VLOOKUP(B399,'NonXtal_SegEnds_Prot#'!A:AL,6,FALSE)</f>
        <v>93</v>
      </c>
      <c r="M399" s="45">
        <f>VLOOKUP(B399,'NonXtal_SegEnds_Prot#'!A:AL,7,FALSE)</f>
        <v>95</v>
      </c>
      <c r="N399" s="45">
        <f>VLOOKUP(B399,'NonXtal_SegEnds_Prot#'!A:AL,8,FALSE)</f>
        <v>96</v>
      </c>
      <c r="O399" s="4" t="str">
        <f t="shared" si="38"/>
        <v>Q</v>
      </c>
      <c r="P399" s="4" t="s">
        <v>1367</v>
      </c>
      <c r="Q399" s="47" t="str">
        <f t="shared" si="39"/>
        <v>KS</v>
      </c>
      <c r="R399" s="28" t="str">
        <f t="shared" si="40"/>
        <v>L</v>
      </c>
      <c r="S399" s="20" t="str">
        <f t="shared" si="41"/>
        <v>Q</v>
      </c>
      <c r="Z399" s="4" t="s">
        <v>78</v>
      </c>
      <c r="AD399" s="1" t="s">
        <v>15</v>
      </c>
      <c r="AE399" s="1">
        <v>93</v>
      </c>
      <c r="AF399" s="1">
        <v>95</v>
      </c>
      <c r="AG399" s="1">
        <v>97</v>
      </c>
      <c r="AH399" s="1" t="s">
        <v>16</v>
      </c>
      <c r="AK399" s="4">
        <v>48</v>
      </c>
      <c r="AL399" s="4">
        <v>52</v>
      </c>
    </row>
    <row r="400" spans="1:38" x14ac:dyDescent="0.25">
      <c r="A400" s="1" t="str">
        <f t="shared" si="37"/>
        <v>NTR1_rat_4GRV_ICL1</v>
      </c>
      <c r="B400" s="45" t="s">
        <v>234</v>
      </c>
      <c r="C400" s="45" t="s">
        <v>238</v>
      </c>
      <c r="D400" s="4" t="str">
        <f>VLOOKUP(B400,Classification!A:D,2,FALSE)</f>
        <v>A</v>
      </c>
      <c r="E400" s="4" t="str">
        <f>VLOOKUP(B400,Classification!A:D,3,FALSE)</f>
        <v>Peptide</v>
      </c>
      <c r="F400" s="4" t="str">
        <f>VLOOKUP(B400,Classification!A:D,4,FALSE)</f>
        <v>Neurotensin</v>
      </c>
      <c r="G400" s="2">
        <v>2</v>
      </c>
      <c r="H400" s="45" t="s">
        <v>14</v>
      </c>
      <c r="I400" s="2" t="s">
        <v>1221</v>
      </c>
      <c r="J400" s="5" t="str">
        <f>VLOOKUP(B400,Seqs!A:B,2,FALSE)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00" s="4" t="str">
        <f t="shared" ref="K400:K463" si="42">MID(J400,L400,1)</f>
        <v>K</v>
      </c>
      <c r="L400" s="45">
        <f>VLOOKUP(B400,'NonXtal_SegEnds_Prot#'!A:AL,6,FALSE)</f>
        <v>93</v>
      </c>
      <c r="M400" s="45">
        <f>VLOOKUP(B400,'NonXtal_SegEnds_Prot#'!A:AL,7,FALSE)</f>
        <v>95</v>
      </c>
      <c r="N400" s="45">
        <f>VLOOKUP(B400,'NonXtal_SegEnds_Prot#'!A:AL,8,FALSE)</f>
        <v>96</v>
      </c>
      <c r="O400" s="4" t="str">
        <f t="shared" si="38"/>
        <v>Q</v>
      </c>
      <c r="P400" s="4" t="s">
        <v>1367</v>
      </c>
      <c r="Q400" s="47" t="str">
        <f t="shared" si="39"/>
        <v>KS</v>
      </c>
      <c r="R400" s="28" t="str">
        <f t="shared" si="40"/>
        <v>L</v>
      </c>
      <c r="S400" s="20" t="str">
        <f t="shared" si="41"/>
        <v>Q</v>
      </c>
      <c r="Z400" s="4"/>
      <c r="AD400" s="1" t="s">
        <v>15</v>
      </c>
      <c r="AE400" s="1">
        <v>93</v>
      </c>
      <c r="AF400" s="1">
        <v>95</v>
      </c>
      <c r="AG400" s="1">
        <v>97</v>
      </c>
      <c r="AH400" s="1" t="s">
        <v>16</v>
      </c>
      <c r="AK400" s="4">
        <v>48</v>
      </c>
      <c r="AL400" s="4">
        <v>52</v>
      </c>
    </row>
    <row r="401" spans="1:38" x14ac:dyDescent="0.25">
      <c r="A401" s="1" t="str">
        <f t="shared" si="37"/>
        <v>OPRD_human__wt_ICL1</v>
      </c>
      <c r="B401" s="45" t="s">
        <v>226</v>
      </c>
      <c r="C401" s="45" t="s">
        <v>294</v>
      </c>
      <c r="D401" s="4" t="str">
        <f>VLOOKUP(B401,Classification!A:D,2,FALSE)</f>
        <v>A</v>
      </c>
      <c r="E401" s="4" t="str">
        <f>VLOOKUP(B401,Classification!A:D,3,FALSE)</f>
        <v>Peptide</v>
      </c>
      <c r="F401" s="4" t="str">
        <f>VLOOKUP(B401,Classification!A:D,4,FALSE)</f>
        <v>Opioid</v>
      </c>
      <c r="G401" s="2">
        <v>2</v>
      </c>
      <c r="H401" s="45" t="s">
        <v>14</v>
      </c>
      <c r="I401" s="2" t="s">
        <v>1221</v>
      </c>
      <c r="J401" s="5" t="str">
        <f>VLOOKUP(B401,Seqs!A:B,2,FALSE)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01" s="4" t="str">
        <f t="shared" si="42"/>
        <v>T</v>
      </c>
      <c r="L401" s="45">
        <f>VLOOKUP(B401,'NonXtal_SegEnds_Prot#'!A:AL,6,FALSE)</f>
        <v>78</v>
      </c>
      <c r="M401" s="45">
        <f>VLOOKUP(B401,'NonXtal_SegEnds_Prot#'!A:AL,7,FALSE)</f>
        <v>80</v>
      </c>
      <c r="N401" s="45">
        <f>VLOOKUP(B401,'NonXtal_SegEnds_Prot#'!A:AL,8,FALSE)</f>
        <v>81</v>
      </c>
      <c r="O401" s="4" t="str">
        <f t="shared" si="38"/>
        <v>K</v>
      </c>
      <c r="P401" s="4"/>
      <c r="Q401" s="47" t="str">
        <f t="shared" si="39"/>
        <v>TK</v>
      </c>
      <c r="R401" s="27" t="str">
        <f t="shared" si="40"/>
        <v>M</v>
      </c>
      <c r="S401" s="19" t="str">
        <f t="shared" si="41"/>
        <v>K</v>
      </c>
      <c r="Z401" s="4"/>
      <c r="AD401" s="1" t="s">
        <v>15</v>
      </c>
      <c r="AE401" s="1">
        <v>78</v>
      </c>
      <c r="AF401" s="1">
        <v>80</v>
      </c>
      <c r="AG401" s="1">
        <v>82</v>
      </c>
      <c r="AH401" s="1" t="s">
        <v>16</v>
      </c>
      <c r="AK401" s="4">
        <v>48</v>
      </c>
      <c r="AL401" s="4">
        <v>52</v>
      </c>
    </row>
    <row r="402" spans="1:38" x14ac:dyDescent="0.25">
      <c r="A402" s="1" t="str">
        <f t="shared" si="37"/>
        <v>OPRD_human_4N6H_ICL1</v>
      </c>
      <c r="B402" s="45" t="s">
        <v>226</v>
      </c>
      <c r="C402" s="45" t="s">
        <v>279</v>
      </c>
      <c r="D402" s="4" t="str">
        <f>VLOOKUP(B402,Classification!A:D,2,FALSE)</f>
        <v>A</v>
      </c>
      <c r="E402" s="4" t="str">
        <f>VLOOKUP(B402,Classification!A:D,3,FALSE)</f>
        <v>Peptide</v>
      </c>
      <c r="F402" s="4" t="str">
        <f>VLOOKUP(B402,Classification!A:D,4,FALSE)</f>
        <v>Opioid</v>
      </c>
      <c r="G402" s="2">
        <v>2</v>
      </c>
      <c r="H402" s="45" t="s">
        <v>14</v>
      </c>
      <c r="I402" s="2" t="s">
        <v>1221</v>
      </c>
      <c r="J402" s="5" t="str">
        <f>VLOOKUP(B402,Seqs!A:B,2,FALSE)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02" s="4" t="str">
        <f t="shared" si="42"/>
        <v>T</v>
      </c>
      <c r="L402" s="45">
        <f>VLOOKUP(B402,'NonXtal_SegEnds_Prot#'!A:AL,6,FALSE)</f>
        <v>78</v>
      </c>
      <c r="M402" s="45">
        <f>VLOOKUP(B402,'NonXtal_SegEnds_Prot#'!A:AL,7,FALSE)</f>
        <v>80</v>
      </c>
      <c r="N402" s="45">
        <f>VLOOKUP(B402,'NonXtal_SegEnds_Prot#'!A:AL,8,FALSE)</f>
        <v>81</v>
      </c>
      <c r="O402" s="4" t="str">
        <f t="shared" si="38"/>
        <v>K</v>
      </c>
      <c r="P402" s="4"/>
      <c r="Q402" s="47" t="str">
        <f t="shared" si="39"/>
        <v>TK</v>
      </c>
      <c r="R402" s="27" t="str">
        <f t="shared" si="40"/>
        <v>M</v>
      </c>
      <c r="S402" s="19" t="str">
        <f t="shared" si="41"/>
        <v>K</v>
      </c>
      <c r="Z402" s="4"/>
      <c r="AD402" s="1" t="s">
        <v>15</v>
      </c>
      <c r="AE402" s="1">
        <v>78</v>
      </c>
      <c r="AF402" s="1">
        <v>80</v>
      </c>
      <c r="AG402" s="1">
        <v>82</v>
      </c>
      <c r="AH402" s="1" t="s">
        <v>16</v>
      </c>
      <c r="AK402" s="4">
        <v>48</v>
      </c>
      <c r="AL402" s="4">
        <v>52</v>
      </c>
    </row>
    <row r="403" spans="1:38" x14ac:dyDescent="0.25">
      <c r="A403" s="1" t="str">
        <f t="shared" si="37"/>
        <v>OPRD_mouse_4EJ4_ICL1</v>
      </c>
      <c r="B403" s="45" t="s">
        <v>233</v>
      </c>
      <c r="C403" s="45" t="s">
        <v>255</v>
      </c>
      <c r="D403" s="4" t="str">
        <f>VLOOKUP(B403,Classification!A:D,2,FALSE)</f>
        <v>A</v>
      </c>
      <c r="E403" s="4" t="str">
        <f>VLOOKUP(B403,Classification!A:D,3,FALSE)</f>
        <v>Peptide</v>
      </c>
      <c r="F403" s="4" t="str">
        <f>VLOOKUP(B403,Classification!A:D,4,FALSE)</f>
        <v>Opioid</v>
      </c>
      <c r="G403" s="2">
        <v>2</v>
      </c>
      <c r="H403" s="45" t="s">
        <v>14</v>
      </c>
      <c r="I403" s="2" t="s">
        <v>1221</v>
      </c>
      <c r="J403" s="5" t="str">
        <f>VLOOKUP(B403,Seqs!A:B,2,FALSE)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403" s="4" t="str">
        <f t="shared" si="42"/>
        <v>T</v>
      </c>
      <c r="L403" s="45">
        <f>VLOOKUP(B403,'NonXtal_SegEnds_Prot#'!A:AL,6,FALSE)</f>
        <v>78</v>
      </c>
      <c r="M403" s="45">
        <f>VLOOKUP(B403,'NonXtal_SegEnds_Prot#'!A:AL,7,FALSE)</f>
        <v>80</v>
      </c>
      <c r="N403" s="45">
        <f>VLOOKUP(B403,'NonXtal_SegEnds_Prot#'!A:AL,8,FALSE)</f>
        <v>81</v>
      </c>
      <c r="O403" s="4" t="str">
        <f t="shared" si="38"/>
        <v>K</v>
      </c>
      <c r="P403" s="4"/>
      <c r="Q403" s="47" t="str">
        <f t="shared" si="39"/>
        <v>TK</v>
      </c>
      <c r="R403" s="27" t="str">
        <f t="shared" si="40"/>
        <v>L</v>
      </c>
      <c r="S403" s="19" t="str">
        <f t="shared" si="41"/>
        <v>K</v>
      </c>
      <c r="Z403" s="4"/>
      <c r="AD403" s="1" t="s">
        <v>15</v>
      </c>
      <c r="AE403" s="1">
        <v>78</v>
      </c>
      <c r="AF403" s="1">
        <v>80</v>
      </c>
      <c r="AG403" s="1">
        <v>82</v>
      </c>
      <c r="AH403" s="1" t="s">
        <v>16</v>
      </c>
      <c r="AK403" s="4">
        <v>48</v>
      </c>
      <c r="AL403" s="4">
        <v>52</v>
      </c>
    </row>
    <row r="404" spans="1:38" x14ac:dyDescent="0.25">
      <c r="A404" s="1" t="str">
        <f t="shared" si="37"/>
        <v>OPRK_human__wt_ICL1</v>
      </c>
      <c r="B404" s="45" t="s">
        <v>227</v>
      </c>
      <c r="C404" s="45" t="s">
        <v>294</v>
      </c>
      <c r="D404" s="4" t="str">
        <f>VLOOKUP(B404,Classification!A:D,2,FALSE)</f>
        <v>A</v>
      </c>
      <c r="E404" s="4" t="str">
        <f>VLOOKUP(B404,Classification!A:D,3,FALSE)</f>
        <v>Peptide</v>
      </c>
      <c r="F404" s="4" t="str">
        <f>VLOOKUP(B404,Classification!A:D,4,FALSE)</f>
        <v>Opioid</v>
      </c>
      <c r="G404" s="2">
        <v>2</v>
      </c>
      <c r="H404" s="45" t="s">
        <v>14</v>
      </c>
      <c r="I404" s="2" t="s">
        <v>1221</v>
      </c>
      <c r="J404" s="5" t="str">
        <f>VLOOKUP(B404,Seqs!A:B,2,FALSE)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04" s="4" t="str">
        <f t="shared" si="42"/>
        <v>T</v>
      </c>
      <c r="L404" s="45">
        <f>VLOOKUP(B404,'NonXtal_SegEnds_Prot#'!A:AL,6,FALSE)</f>
        <v>88</v>
      </c>
      <c r="M404" s="45">
        <f>VLOOKUP(B404,'NonXtal_SegEnds_Prot#'!A:AL,7,FALSE)</f>
        <v>90</v>
      </c>
      <c r="N404" s="45">
        <f>VLOOKUP(B404,'NonXtal_SegEnds_Prot#'!A:AL,8,FALSE)</f>
        <v>91</v>
      </c>
      <c r="O404" s="4" t="str">
        <f t="shared" si="38"/>
        <v>K</v>
      </c>
      <c r="P404" s="4"/>
      <c r="Q404" s="47" t="str">
        <f t="shared" si="39"/>
        <v>TK</v>
      </c>
      <c r="R404" s="27" t="str">
        <f t="shared" si="40"/>
        <v>M</v>
      </c>
      <c r="S404" s="19" t="str">
        <f t="shared" si="41"/>
        <v>K</v>
      </c>
      <c r="Z404" s="4"/>
      <c r="AD404" s="1" t="s">
        <v>15</v>
      </c>
      <c r="AE404" s="1">
        <v>88</v>
      </c>
      <c r="AF404" s="1">
        <v>90</v>
      </c>
      <c r="AG404" s="1">
        <v>92</v>
      </c>
      <c r="AH404" s="1" t="s">
        <v>16</v>
      </c>
      <c r="AK404" s="4">
        <v>48</v>
      </c>
      <c r="AL404" s="4">
        <v>52</v>
      </c>
    </row>
    <row r="405" spans="1:38" x14ac:dyDescent="0.25">
      <c r="A405" s="1" t="str">
        <f t="shared" si="37"/>
        <v>OPRK_human_4DJH_ICL1</v>
      </c>
      <c r="B405" s="45" t="s">
        <v>227</v>
      </c>
      <c r="C405" s="45" t="s">
        <v>280</v>
      </c>
      <c r="D405" s="4" t="str">
        <f>VLOOKUP(B405,Classification!A:D,2,FALSE)</f>
        <v>A</v>
      </c>
      <c r="E405" s="4" t="str">
        <f>VLOOKUP(B405,Classification!A:D,3,FALSE)</f>
        <v>Peptide</v>
      </c>
      <c r="F405" s="4" t="str">
        <f>VLOOKUP(B405,Classification!A:D,4,FALSE)</f>
        <v>Opioid</v>
      </c>
      <c r="G405" s="2">
        <v>2</v>
      </c>
      <c r="H405" s="45" t="s">
        <v>14</v>
      </c>
      <c r="I405" s="2" t="s">
        <v>1221</v>
      </c>
      <c r="J405" s="5" t="str">
        <f>VLOOKUP(B405,Seqs!A:B,2,FALSE)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05" s="4" t="str">
        <f t="shared" si="42"/>
        <v>T</v>
      </c>
      <c r="L405" s="45">
        <f>VLOOKUP(B405,'NonXtal_SegEnds_Prot#'!A:AL,6,FALSE)</f>
        <v>88</v>
      </c>
      <c r="M405" s="45">
        <f>VLOOKUP(B405,'NonXtal_SegEnds_Prot#'!A:AL,7,FALSE)</f>
        <v>90</v>
      </c>
      <c r="N405" s="45">
        <f>VLOOKUP(B405,'NonXtal_SegEnds_Prot#'!A:AL,8,FALSE)</f>
        <v>91</v>
      </c>
      <c r="O405" s="4" t="str">
        <f t="shared" si="38"/>
        <v>K</v>
      </c>
      <c r="P405" s="4"/>
      <c r="Q405" s="47" t="str">
        <f t="shared" si="39"/>
        <v>TK</v>
      </c>
      <c r="R405" s="27" t="str">
        <f t="shared" si="40"/>
        <v>M</v>
      </c>
      <c r="S405" s="19" t="str">
        <f t="shared" si="41"/>
        <v>K</v>
      </c>
      <c r="Z405" s="4"/>
      <c r="AD405" s="1" t="s">
        <v>15</v>
      </c>
      <c r="AE405" s="1">
        <v>88</v>
      </c>
      <c r="AF405" s="1">
        <v>90</v>
      </c>
      <c r="AG405" s="1">
        <v>92</v>
      </c>
      <c r="AH405" s="1" t="s">
        <v>16</v>
      </c>
      <c r="AK405" s="4">
        <v>48</v>
      </c>
      <c r="AL405" s="4">
        <v>52</v>
      </c>
    </row>
    <row r="406" spans="1:38" x14ac:dyDescent="0.25">
      <c r="A406" s="1" t="str">
        <f t="shared" si="37"/>
        <v>OPRM_mouse__wt_ICL1</v>
      </c>
      <c r="B406" s="45" t="s">
        <v>232</v>
      </c>
      <c r="C406" s="45" t="s">
        <v>294</v>
      </c>
      <c r="D406" s="4" t="str">
        <f>VLOOKUP(B406,Classification!A:D,2,FALSE)</f>
        <v>A</v>
      </c>
      <c r="E406" s="4" t="str">
        <f>VLOOKUP(B406,Classification!A:D,3,FALSE)</f>
        <v>Peptide</v>
      </c>
      <c r="F406" s="4" t="str">
        <f>VLOOKUP(B406,Classification!A:D,4,FALSE)</f>
        <v>Opioid</v>
      </c>
      <c r="G406" s="2">
        <v>2</v>
      </c>
      <c r="H406" s="45" t="s">
        <v>14</v>
      </c>
      <c r="I406" s="2" t="s">
        <v>1221</v>
      </c>
      <c r="J406" s="5" t="str">
        <f>VLOOKUP(B406,Seqs!A:B,2,FALSE)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06" s="4" t="str">
        <f t="shared" si="42"/>
        <v>T</v>
      </c>
      <c r="L406" s="45">
        <f>VLOOKUP(B406,'NonXtal_SegEnds_Prot#'!A:AL,6,FALSE)</f>
        <v>97</v>
      </c>
      <c r="M406" s="45">
        <f>VLOOKUP(B406,'NonXtal_SegEnds_Prot#'!A:AL,7,FALSE)</f>
        <v>99</v>
      </c>
      <c r="N406" s="45">
        <f>VLOOKUP(B406,'NonXtal_SegEnds_Prot#'!A:AL,8,FALSE)</f>
        <v>100</v>
      </c>
      <c r="O406" s="4" t="str">
        <f t="shared" si="38"/>
        <v>K</v>
      </c>
      <c r="P406" s="4"/>
      <c r="Q406" s="47" t="str">
        <f t="shared" si="39"/>
        <v>TK</v>
      </c>
      <c r="R406" s="27" t="str">
        <f t="shared" si="40"/>
        <v>M</v>
      </c>
      <c r="S406" s="19" t="str">
        <f t="shared" si="41"/>
        <v>K</v>
      </c>
      <c r="Z406" s="4" t="s">
        <v>64</v>
      </c>
      <c r="AD406" s="1" t="s">
        <v>15</v>
      </c>
      <c r="AE406" s="1">
        <v>97</v>
      </c>
      <c r="AF406" s="1">
        <v>99</v>
      </c>
      <c r="AG406" s="1">
        <v>101</v>
      </c>
      <c r="AH406" s="1" t="s">
        <v>16</v>
      </c>
      <c r="AK406" s="4">
        <v>48</v>
      </c>
      <c r="AL406" s="4">
        <v>52</v>
      </c>
    </row>
    <row r="407" spans="1:38" x14ac:dyDescent="0.25">
      <c r="A407" s="1" t="str">
        <f t="shared" si="37"/>
        <v>OPRM_mouse_4DKL_ICL1</v>
      </c>
      <c r="B407" s="45" t="s">
        <v>232</v>
      </c>
      <c r="C407" s="45" t="s">
        <v>256</v>
      </c>
      <c r="D407" s="4" t="str">
        <f>VLOOKUP(B407,Classification!A:D,2,FALSE)</f>
        <v>A</v>
      </c>
      <c r="E407" s="4" t="str">
        <f>VLOOKUP(B407,Classification!A:D,3,FALSE)</f>
        <v>Peptide</v>
      </c>
      <c r="F407" s="4" t="str">
        <f>VLOOKUP(B407,Classification!A:D,4,FALSE)</f>
        <v>Opioid</v>
      </c>
      <c r="G407" s="2">
        <v>2</v>
      </c>
      <c r="H407" s="45" t="s">
        <v>14</v>
      </c>
      <c r="I407" s="2" t="s">
        <v>1221</v>
      </c>
      <c r="J407" s="5" t="str">
        <f>VLOOKUP(B407,Seqs!A:B,2,FALSE)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07" s="4" t="str">
        <f t="shared" si="42"/>
        <v>T</v>
      </c>
      <c r="L407" s="45">
        <f>VLOOKUP(B407,'NonXtal_SegEnds_Prot#'!A:AL,6,FALSE)</f>
        <v>97</v>
      </c>
      <c r="M407" s="45">
        <f>VLOOKUP(B407,'NonXtal_SegEnds_Prot#'!A:AL,7,FALSE)</f>
        <v>99</v>
      </c>
      <c r="N407" s="45">
        <f>VLOOKUP(B407,'NonXtal_SegEnds_Prot#'!A:AL,8,FALSE)</f>
        <v>100</v>
      </c>
      <c r="O407" s="4" t="str">
        <f t="shared" si="38"/>
        <v>K</v>
      </c>
      <c r="P407" s="4"/>
      <c r="Q407" s="47" t="str">
        <f t="shared" si="39"/>
        <v>TK</v>
      </c>
      <c r="R407" s="27" t="str">
        <f t="shared" si="40"/>
        <v>M</v>
      </c>
      <c r="S407" s="19" t="str">
        <f t="shared" si="41"/>
        <v>K</v>
      </c>
      <c r="Z407" s="4"/>
      <c r="AD407" s="1" t="s">
        <v>15</v>
      </c>
      <c r="AE407" s="1">
        <v>97</v>
      </c>
      <c r="AF407" s="1">
        <v>99</v>
      </c>
      <c r="AG407" s="1">
        <v>101</v>
      </c>
      <c r="AH407" s="1" t="s">
        <v>16</v>
      </c>
      <c r="AK407" s="4">
        <v>48</v>
      </c>
      <c r="AL407" s="4">
        <v>52</v>
      </c>
    </row>
    <row r="408" spans="1:38" x14ac:dyDescent="0.25">
      <c r="A408" s="1" t="str">
        <f t="shared" si="37"/>
        <v>OPRM_mouse_5C1M_ICL1</v>
      </c>
      <c r="B408" s="45" t="s">
        <v>232</v>
      </c>
      <c r="C408" s="45" t="s">
        <v>276</v>
      </c>
      <c r="D408" s="4" t="str">
        <f>VLOOKUP(B408,Classification!A:D,2,FALSE)</f>
        <v>A</v>
      </c>
      <c r="E408" s="4" t="str">
        <f>VLOOKUP(B408,Classification!A:D,3,FALSE)</f>
        <v>Peptide</v>
      </c>
      <c r="F408" s="4" t="str">
        <f>VLOOKUP(B408,Classification!A:D,4,FALSE)</f>
        <v>Opioid</v>
      </c>
      <c r="G408" s="2">
        <v>2</v>
      </c>
      <c r="H408" s="45" t="s">
        <v>14</v>
      </c>
      <c r="I408" s="2" t="s">
        <v>1221</v>
      </c>
      <c r="J408" s="5" t="str">
        <f>VLOOKUP(B408,Seqs!A:B,2,FALSE)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08" s="4" t="str">
        <f t="shared" si="42"/>
        <v>T</v>
      </c>
      <c r="L408" s="45">
        <f>VLOOKUP(B408,'NonXtal_SegEnds_Prot#'!A:AL,6,FALSE)</f>
        <v>97</v>
      </c>
      <c r="M408" s="45">
        <f>VLOOKUP(B408,'NonXtal_SegEnds_Prot#'!A:AL,7,FALSE)</f>
        <v>99</v>
      </c>
      <c r="N408" s="45">
        <f>VLOOKUP(B408,'NonXtal_SegEnds_Prot#'!A:AL,8,FALSE)</f>
        <v>100</v>
      </c>
      <c r="O408" s="4" t="str">
        <f t="shared" si="38"/>
        <v>K</v>
      </c>
      <c r="P408" s="4"/>
      <c r="Q408" s="47" t="str">
        <f t="shared" si="39"/>
        <v>TK</v>
      </c>
      <c r="R408" s="27" t="str">
        <f t="shared" si="40"/>
        <v>M</v>
      </c>
      <c r="S408" s="19" t="str">
        <f t="shared" si="41"/>
        <v>K</v>
      </c>
      <c r="Z408" s="4" t="s">
        <v>64</v>
      </c>
      <c r="AD408" s="1" t="s">
        <v>15</v>
      </c>
      <c r="AE408" s="1">
        <v>97</v>
      </c>
      <c r="AF408" s="1">
        <v>99</v>
      </c>
      <c r="AG408" s="1">
        <v>101</v>
      </c>
      <c r="AH408" s="1" t="s">
        <v>16</v>
      </c>
      <c r="AK408" s="4">
        <v>48</v>
      </c>
      <c r="AL408" s="4">
        <v>52</v>
      </c>
    </row>
    <row r="409" spans="1:38" x14ac:dyDescent="0.25">
      <c r="A409" s="1" t="str">
        <f t="shared" si="37"/>
        <v>OPRX_human__wt_ICL1</v>
      </c>
      <c r="B409" s="45" t="s">
        <v>1373</v>
      </c>
      <c r="C409" s="45" t="s">
        <v>294</v>
      </c>
      <c r="D409" s="4" t="str">
        <f>VLOOKUP(B409,Classification!A:D,2,FALSE)</f>
        <v>A</v>
      </c>
      <c r="E409" s="4" t="str">
        <f>VLOOKUP(B409,Classification!A:D,3,FALSE)</f>
        <v>Peptide</v>
      </c>
      <c r="F409" s="4" t="str">
        <f>VLOOKUP(B409,Classification!A:D,4,FALSE)</f>
        <v>Opioid</v>
      </c>
      <c r="G409" s="2">
        <v>2</v>
      </c>
      <c r="H409" s="45" t="s">
        <v>14</v>
      </c>
      <c r="I409" s="2" t="s">
        <v>1221</v>
      </c>
      <c r="J409" s="5" t="str">
        <f>VLOOKUP(B409,Seqs!A:B,2,FALSE)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09" s="4" t="str">
        <f t="shared" si="42"/>
        <v>T</v>
      </c>
      <c r="L409" s="45">
        <f>VLOOKUP(B409,'NonXtal_SegEnds_Prot#'!A:AL,6,FALSE)</f>
        <v>80</v>
      </c>
      <c r="M409" s="45">
        <f>VLOOKUP(B409,'NonXtal_SegEnds_Prot#'!A:AL,7,FALSE)</f>
        <v>82</v>
      </c>
      <c r="N409" s="45">
        <f>VLOOKUP(B409,'NonXtal_SegEnds_Prot#'!A:AL,8,FALSE)</f>
        <v>83</v>
      </c>
      <c r="O409" s="4" t="str">
        <f t="shared" si="38"/>
        <v>K</v>
      </c>
      <c r="P409" s="4"/>
      <c r="Q409" s="47" t="str">
        <f t="shared" si="39"/>
        <v>TK</v>
      </c>
      <c r="R409" s="27" t="str">
        <f t="shared" si="40"/>
        <v>M</v>
      </c>
      <c r="S409" s="19" t="str">
        <f t="shared" si="41"/>
        <v>K</v>
      </c>
      <c r="Z409" s="4"/>
      <c r="AD409" s="1" t="s">
        <v>15</v>
      </c>
      <c r="AE409" s="1">
        <v>80</v>
      </c>
      <c r="AF409" s="1">
        <v>82</v>
      </c>
      <c r="AG409" s="1">
        <v>84</v>
      </c>
      <c r="AH409" s="1" t="s">
        <v>16</v>
      </c>
      <c r="AK409" s="4">
        <v>48</v>
      </c>
      <c r="AL409" s="4">
        <v>52</v>
      </c>
    </row>
    <row r="410" spans="1:38" x14ac:dyDescent="0.25">
      <c r="A410" s="1" t="str">
        <f t="shared" si="37"/>
        <v>OPRX_human_4EA3_ICL1</v>
      </c>
      <c r="B410" s="45" t="s">
        <v>1373</v>
      </c>
      <c r="C410" s="45" t="s">
        <v>258</v>
      </c>
      <c r="D410" s="4" t="str">
        <f>VLOOKUP(B410,Classification!A:D,2,FALSE)</f>
        <v>A</v>
      </c>
      <c r="E410" s="4" t="str">
        <f>VLOOKUP(B410,Classification!A:D,3,FALSE)</f>
        <v>Peptide</v>
      </c>
      <c r="F410" s="4" t="str">
        <f>VLOOKUP(B410,Classification!A:D,4,FALSE)</f>
        <v>Opioid</v>
      </c>
      <c r="G410" s="2">
        <v>2</v>
      </c>
      <c r="H410" s="45" t="s">
        <v>14</v>
      </c>
      <c r="I410" s="2" t="s">
        <v>1221</v>
      </c>
      <c r="J410" s="5" t="str">
        <f>VLOOKUP(B410,Seqs!A:B,2,FALSE)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10" s="4" t="str">
        <f t="shared" si="42"/>
        <v>T</v>
      </c>
      <c r="L410" s="45">
        <f>VLOOKUP(B410,'NonXtal_SegEnds_Prot#'!A:AL,6,FALSE)</f>
        <v>80</v>
      </c>
      <c r="M410" s="45">
        <f>VLOOKUP(B410,'NonXtal_SegEnds_Prot#'!A:AL,7,FALSE)</f>
        <v>82</v>
      </c>
      <c r="N410" s="45">
        <f>VLOOKUP(B410,'NonXtal_SegEnds_Prot#'!A:AL,8,FALSE)</f>
        <v>83</v>
      </c>
      <c r="O410" s="4" t="str">
        <f t="shared" si="38"/>
        <v>K</v>
      </c>
      <c r="P410" s="4"/>
      <c r="Q410" s="47" t="str">
        <f t="shared" si="39"/>
        <v>TK</v>
      </c>
      <c r="R410" s="27" t="str">
        <f t="shared" si="40"/>
        <v>M</v>
      </c>
      <c r="S410" s="19" t="str">
        <f t="shared" si="41"/>
        <v>K</v>
      </c>
      <c r="Z410" s="4"/>
      <c r="AD410" s="1" t="s">
        <v>15</v>
      </c>
      <c r="AE410" s="1">
        <v>80</v>
      </c>
      <c r="AF410" s="1">
        <v>82</v>
      </c>
      <c r="AG410" s="1">
        <v>84</v>
      </c>
      <c r="AH410" s="1" t="s">
        <v>16</v>
      </c>
      <c r="AK410" s="4">
        <v>48</v>
      </c>
      <c r="AL410" s="4">
        <v>52</v>
      </c>
    </row>
    <row r="411" spans="1:38" x14ac:dyDescent="0.25">
      <c r="A411" s="1" t="str">
        <f t="shared" si="37"/>
        <v>OPSD_bovin_1U19_ICL1</v>
      </c>
      <c r="B411" s="45" t="s">
        <v>231</v>
      </c>
      <c r="C411" s="45" t="s">
        <v>244</v>
      </c>
      <c r="D411" s="4" t="str">
        <f>VLOOKUP(B411,Classification!A:D,2,FALSE)</f>
        <v>A</v>
      </c>
      <c r="E411" s="4" t="str">
        <f>VLOOKUP(B411,Classification!A:D,3,FALSE)</f>
        <v>Sensory</v>
      </c>
      <c r="F411" s="4" t="str">
        <f>VLOOKUP(B411,Classification!A:D,4,FALSE)</f>
        <v>Opsins</v>
      </c>
      <c r="G411" s="2">
        <v>2</v>
      </c>
      <c r="H411" s="45" t="s">
        <v>14</v>
      </c>
      <c r="I411" s="2" t="s">
        <v>1221</v>
      </c>
      <c r="J411" s="5" t="str">
        <f>VLOOKUP(B411,Seqs!A:B,2,FALSE)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11" s="4" t="str">
        <f t="shared" si="42"/>
        <v>K</v>
      </c>
      <c r="L411" s="45">
        <f>VLOOKUP(B411,'NonXtal_SegEnds_Prot#'!A:AL,6,FALSE)</f>
        <v>66</v>
      </c>
      <c r="M411" s="45">
        <f>VLOOKUP(B411,'NonXtal_SegEnds_Prot#'!A:AL,7,FALSE)</f>
        <v>68</v>
      </c>
      <c r="N411" s="45">
        <f>VLOOKUP(B411,'NonXtal_SegEnds_Prot#'!A:AL,8,FALSE)</f>
        <v>69</v>
      </c>
      <c r="O411" s="4" t="str">
        <f t="shared" si="38"/>
        <v>R</v>
      </c>
      <c r="P411" s="4"/>
      <c r="Q411" s="47" t="str">
        <f t="shared" si="39"/>
        <v>KK</v>
      </c>
      <c r="R411" s="27" t="str">
        <f t="shared" si="40"/>
        <v>L</v>
      </c>
      <c r="S411" s="19" t="str">
        <f t="shared" si="41"/>
        <v>R</v>
      </c>
      <c r="Z411" s="4"/>
      <c r="AD411" s="1" t="s">
        <v>15</v>
      </c>
      <c r="AE411" s="1">
        <v>66</v>
      </c>
      <c r="AF411" s="1">
        <v>68</v>
      </c>
      <c r="AG411" s="1">
        <v>70</v>
      </c>
      <c r="AH411" s="1" t="s">
        <v>16</v>
      </c>
      <c r="AK411" s="4">
        <v>48</v>
      </c>
      <c r="AL411" s="4">
        <v>52</v>
      </c>
    </row>
    <row r="412" spans="1:38" x14ac:dyDescent="0.25">
      <c r="A412" s="1" t="str">
        <f t="shared" si="37"/>
        <v>OPSD_bovin_3DQB_ICL1</v>
      </c>
      <c r="B412" s="45" t="s">
        <v>231</v>
      </c>
      <c r="C412" s="45" t="s">
        <v>245</v>
      </c>
      <c r="D412" s="4" t="str">
        <f>VLOOKUP(B412,Classification!A:D,2,FALSE)</f>
        <v>A</v>
      </c>
      <c r="E412" s="4" t="str">
        <f>VLOOKUP(B412,Classification!A:D,3,FALSE)</f>
        <v>Sensory</v>
      </c>
      <c r="F412" s="4" t="str">
        <f>VLOOKUP(B412,Classification!A:D,4,FALSE)</f>
        <v>Opsins</v>
      </c>
      <c r="G412" s="2">
        <v>2</v>
      </c>
      <c r="H412" s="45" t="s">
        <v>14</v>
      </c>
      <c r="I412" s="2" t="s">
        <v>1221</v>
      </c>
      <c r="J412" s="5" t="str">
        <f>VLOOKUP(B412,Seqs!A:B,2,FALSE)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12" s="4" t="str">
        <f t="shared" si="42"/>
        <v>K</v>
      </c>
      <c r="L412" s="45">
        <f>VLOOKUP(B412,'NonXtal_SegEnds_Prot#'!A:AL,6,FALSE)</f>
        <v>66</v>
      </c>
      <c r="M412" s="45">
        <f>VLOOKUP(B412,'NonXtal_SegEnds_Prot#'!A:AL,7,FALSE)</f>
        <v>68</v>
      </c>
      <c r="N412" s="45">
        <f>VLOOKUP(B412,'NonXtal_SegEnds_Prot#'!A:AL,8,FALSE)</f>
        <v>69</v>
      </c>
      <c r="O412" s="4" t="str">
        <f t="shared" si="38"/>
        <v>R</v>
      </c>
      <c r="P412" s="4"/>
      <c r="Q412" s="47" t="str">
        <f t="shared" si="39"/>
        <v>KK</v>
      </c>
      <c r="R412" s="27" t="str">
        <f t="shared" si="40"/>
        <v>L</v>
      </c>
      <c r="S412" s="19" t="str">
        <f t="shared" si="41"/>
        <v>R</v>
      </c>
      <c r="Z412" s="4"/>
      <c r="AD412" s="1" t="s">
        <v>15</v>
      </c>
      <c r="AE412" s="1">
        <v>66</v>
      </c>
      <c r="AF412" s="1">
        <v>68</v>
      </c>
      <c r="AG412" s="1">
        <v>70</v>
      </c>
      <c r="AH412" s="1" t="s">
        <v>16</v>
      </c>
      <c r="AK412" s="4">
        <v>48</v>
      </c>
      <c r="AL412" s="4">
        <v>52</v>
      </c>
    </row>
    <row r="413" spans="1:38" x14ac:dyDescent="0.25">
      <c r="A413" s="1" t="str">
        <f t="shared" si="37"/>
        <v>OPSD_human__wt_ICL1</v>
      </c>
      <c r="B413" s="45" t="s">
        <v>228</v>
      </c>
      <c r="C413" s="45" t="s">
        <v>294</v>
      </c>
      <c r="D413" s="4" t="str">
        <f>VLOOKUP(B413,Classification!A:D,2,FALSE)</f>
        <v>A</v>
      </c>
      <c r="E413" s="4" t="str">
        <f>VLOOKUP(B413,Classification!A:D,3,FALSE)</f>
        <v>Sensory</v>
      </c>
      <c r="F413" s="4" t="str">
        <f>VLOOKUP(B413,Classification!A:D,4,FALSE)</f>
        <v>Opsins</v>
      </c>
      <c r="G413" s="2">
        <v>2</v>
      </c>
      <c r="H413" s="45" t="s">
        <v>14</v>
      </c>
      <c r="I413" s="2" t="s">
        <v>1221</v>
      </c>
      <c r="J413" s="5" t="str">
        <f>VLOOKUP(B413,Seqs!A:B,2,FALSE)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3" s="4" t="str">
        <f t="shared" si="42"/>
        <v>K</v>
      </c>
      <c r="L413" s="45">
        <f>VLOOKUP(B413,'NonXtal_SegEnds_Prot#'!A:AL,6,FALSE)</f>
        <v>66</v>
      </c>
      <c r="M413" s="45">
        <f>VLOOKUP(B413,'NonXtal_SegEnds_Prot#'!A:AL,7,FALSE)</f>
        <v>68</v>
      </c>
      <c r="N413" s="45">
        <f>VLOOKUP(B413,'NonXtal_SegEnds_Prot#'!A:AL,8,FALSE)</f>
        <v>69</v>
      </c>
      <c r="O413" s="4" t="str">
        <f t="shared" si="38"/>
        <v>R</v>
      </c>
      <c r="P413" s="4"/>
      <c r="Q413" s="47" t="str">
        <f t="shared" si="39"/>
        <v>KK</v>
      </c>
      <c r="R413" s="27" t="str">
        <f t="shared" si="40"/>
        <v>L</v>
      </c>
      <c r="S413" s="19" t="str">
        <f t="shared" si="41"/>
        <v>R</v>
      </c>
      <c r="Z413" s="4"/>
      <c r="AD413" s="1" t="s">
        <v>15</v>
      </c>
      <c r="AE413" s="1">
        <v>66</v>
      </c>
      <c r="AF413" s="1">
        <v>68</v>
      </c>
      <c r="AG413" s="1">
        <v>70</v>
      </c>
      <c r="AH413" s="1" t="s">
        <v>16</v>
      </c>
      <c r="AK413" s="4">
        <v>48</v>
      </c>
      <c r="AL413" s="4">
        <v>52</v>
      </c>
    </row>
    <row r="414" spans="1:38" x14ac:dyDescent="0.25">
      <c r="A414" s="1" t="str">
        <f t="shared" si="37"/>
        <v>OPSD_human__wt_ICL1</v>
      </c>
      <c r="B414" s="45" t="s">
        <v>228</v>
      </c>
      <c r="C414" s="45" t="s">
        <v>294</v>
      </c>
      <c r="D414" s="4" t="str">
        <f>VLOOKUP(B414,Classification!A:D,2,FALSE)</f>
        <v>A</v>
      </c>
      <c r="E414" s="4" t="str">
        <f>VLOOKUP(B414,Classification!A:D,3,FALSE)</f>
        <v>Sensory</v>
      </c>
      <c r="F414" s="4" t="str">
        <f>VLOOKUP(B414,Classification!A:D,4,FALSE)</f>
        <v>Opsins</v>
      </c>
      <c r="G414" s="2">
        <v>2</v>
      </c>
      <c r="H414" s="45" t="s">
        <v>14</v>
      </c>
      <c r="I414" s="2" t="s">
        <v>1221</v>
      </c>
      <c r="J414" s="5" t="str">
        <f>VLOOKUP(B414,Seqs!A:B,2,FALSE)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4" s="4" t="str">
        <f t="shared" si="42"/>
        <v>K</v>
      </c>
      <c r="L414" s="45">
        <f>VLOOKUP(B414,'NonXtal_SegEnds_Prot#'!A:AL,6,FALSE)</f>
        <v>66</v>
      </c>
      <c r="M414" s="45">
        <f>VLOOKUP(B414,'NonXtal_SegEnds_Prot#'!A:AL,7,FALSE)</f>
        <v>68</v>
      </c>
      <c r="N414" s="45">
        <f>VLOOKUP(B414,'NonXtal_SegEnds_Prot#'!A:AL,8,FALSE)</f>
        <v>69</v>
      </c>
      <c r="O414" s="4" t="str">
        <f t="shared" si="38"/>
        <v>R</v>
      </c>
      <c r="P414" s="4"/>
      <c r="Q414" s="47" t="str">
        <f t="shared" si="39"/>
        <v>KK</v>
      </c>
      <c r="R414" s="27" t="str">
        <f t="shared" si="40"/>
        <v>L</v>
      </c>
      <c r="S414" s="19" t="str">
        <f t="shared" si="41"/>
        <v>R</v>
      </c>
      <c r="Z414" s="4" t="s">
        <v>64</v>
      </c>
      <c r="AD414" s="1" t="s">
        <v>15</v>
      </c>
      <c r="AE414" s="1">
        <v>66</v>
      </c>
      <c r="AF414" s="1">
        <v>68</v>
      </c>
      <c r="AG414" s="1">
        <v>70</v>
      </c>
      <c r="AH414" s="1" t="s">
        <v>16</v>
      </c>
      <c r="AK414" s="4">
        <v>48</v>
      </c>
      <c r="AL414" s="4">
        <v>52</v>
      </c>
    </row>
    <row r="415" spans="1:38" x14ac:dyDescent="0.25">
      <c r="A415" s="1" t="str">
        <f t="shared" si="37"/>
        <v>OPSD_human_4ZWJ_ICL1</v>
      </c>
      <c r="B415" s="45" t="s">
        <v>228</v>
      </c>
      <c r="C415" s="45" t="s">
        <v>246</v>
      </c>
      <c r="D415" s="4" t="str">
        <f>VLOOKUP(B415,Classification!A:D,2,FALSE)</f>
        <v>A</v>
      </c>
      <c r="E415" s="4" t="str">
        <f>VLOOKUP(B415,Classification!A:D,3,FALSE)</f>
        <v>Sensory</v>
      </c>
      <c r="F415" s="4" t="str">
        <f>VLOOKUP(B415,Classification!A:D,4,FALSE)</f>
        <v>Opsins</v>
      </c>
      <c r="G415" s="2">
        <v>2</v>
      </c>
      <c r="H415" s="45" t="s">
        <v>14</v>
      </c>
      <c r="I415" s="2" t="s">
        <v>1221</v>
      </c>
      <c r="J415" s="5" t="str">
        <f>VLOOKUP(B415,Seqs!A:B,2,FALSE)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5" s="4" t="str">
        <f t="shared" si="42"/>
        <v>K</v>
      </c>
      <c r="L415" s="45">
        <f>VLOOKUP(B415,'NonXtal_SegEnds_Prot#'!A:AL,6,FALSE)</f>
        <v>66</v>
      </c>
      <c r="M415" s="45">
        <f>VLOOKUP(B415,'NonXtal_SegEnds_Prot#'!A:AL,7,FALSE)</f>
        <v>68</v>
      </c>
      <c r="N415" s="45">
        <f>VLOOKUP(B415,'NonXtal_SegEnds_Prot#'!A:AL,8,FALSE)</f>
        <v>69</v>
      </c>
      <c r="O415" s="4" t="str">
        <f t="shared" si="38"/>
        <v>R</v>
      </c>
      <c r="P415" s="4"/>
      <c r="Q415" s="47" t="str">
        <f t="shared" si="39"/>
        <v>KK</v>
      </c>
      <c r="R415" s="27" t="str">
        <f t="shared" si="40"/>
        <v>L</v>
      </c>
      <c r="S415" s="19" t="str">
        <f t="shared" si="41"/>
        <v>R</v>
      </c>
      <c r="Z415" s="4"/>
      <c r="AD415" s="1" t="s">
        <v>15</v>
      </c>
      <c r="AE415" s="1">
        <v>66</v>
      </c>
      <c r="AF415" s="1">
        <v>68</v>
      </c>
      <c r="AG415" s="1">
        <v>70</v>
      </c>
      <c r="AH415" s="1" t="s">
        <v>16</v>
      </c>
      <c r="AK415" s="4">
        <v>48</v>
      </c>
      <c r="AL415" s="4">
        <v>52</v>
      </c>
    </row>
    <row r="416" spans="1:38" x14ac:dyDescent="0.25">
      <c r="A416" s="1" t="str">
        <f t="shared" si="37"/>
        <v>OPSD_human_4ZWJ_ICL1</v>
      </c>
      <c r="B416" s="45" t="s">
        <v>228</v>
      </c>
      <c r="C416" s="45" t="s">
        <v>246</v>
      </c>
      <c r="D416" s="4" t="str">
        <f>VLOOKUP(B416,Classification!A:D,2,FALSE)</f>
        <v>A</v>
      </c>
      <c r="E416" s="4" t="str">
        <f>VLOOKUP(B416,Classification!A:D,3,FALSE)</f>
        <v>Sensory</v>
      </c>
      <c r="F416" s="4" t="str">
        <f>VLOOKUP(B416,Classification!A:D,4,FALSE)</f>
        <v>Opsins</v>
      </c>
      <c r="G416" s="2">
        <v>2</v>
      </c>
      <c r="H416" s="45" t="s">
        <v>14</v>
      </c>
      <c r="I416" s="2" t="s">
        <v>1221</v>
      </c>
      <c r="J416" s="5" t="str">
        <f>VLOOKUP(B416,Seqs!A:B,2,FALSE)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6" s="4" t="str">
        <f t="shared" si="42"/>
        <v>K</v>
      </c>
      <c r="L416" s="45">
        <f>VLOOKUP(B416,'NonXtal_SegEnds_Prot#'!A:AL,6,FALSE)</f>
        <v>66</v>
      </c>
      <c r="M416" s="45">
        <f>VLOOKUP(B416,'NonXtal_SegEnds_Prot#'!A:AL,7,FALSE)</f>
        <v>68</v>
      </c>
      <c r="N416" s="45">
        <f>VLOOKUP(B416,'NonXtal_SegEnds_Prot#'!A:AL,8,FALSE)</f>
        <v>69</v>
      </c>
      <c r="O416" s="4" t="str">
        <f t="shared" si="38"/>
        <v>R</v>
      </c>
      <c r="P416" s="4"/>
      <c r="Q416" s="47" t="str">
        <f t="shared" si="39"/>
        <v>KK</v>
      </c>
      <c r="R416" s="27" t="str">
        <f t="shared" si="40"/>
        <v>L</v>
      </c>
      <c r="S416" s="19" t="str">
        <f t="shared" si="41"/>
        <v>R</v>
      </c>
      <c r="Z416" s="4" t="s">
        <v>64</v>
      </c>
      <c r="AD416" s="1" t="s">
        <v>15</v>
      </c>
      <c r="AE416" s="1">
        <v>66</v>
      </c>
      <c r="AF416" s="1">
        <v>68</v>
      </c>
      <c r="AG416" s="1">
        <v>70</v>
      </c>
      <c r="AH416" s="1" t="s">
        <v>16</v>
      </c>
      <c r="AK416" s="4">
        <v>48</v>
      </c>
      <c r="AL416" s="4">
        <v>52</v>
      </c>
    </row>
    <row r="417" spans="1:38" x14ac:dyDescent="0.25">
      <c r="A417" s="1" t="str">
        <f t="shared" si="37"/>
        <v>OPSD_todpa__wt_ICL1</v>
      </c>
      <c r="B417" s="45" t="s">
        <v>291</v>
      </c>
      <c r="C417" s="45" t="s">
        <v>294</v>
      </c>
      <c r="D417" s="4" t="str">
        <f>VLOOKUP(B417,Classification!A:D,2,FALSE)</f>
        <v>A</v>
      </c>
      <c r="E417" s="4" t="str">
        <f>VLOOKUP(B417,Classification!A:D,3,FALSE)</f>
        <v>Sensory</v>
      </c>
      <c r="F417" s="4" t="str">
        <f>VLOOKUP(B417,Classification!A:D,4,FALSE)</f>
        <v>Opsins</v>
      </c>
      <c r="G417" s="2">
        <v>2</v>
      </c>
      <c r="H417" s="45" t="s">
        <v>14</v>
      </c>
      <c r="I417" s="2" t="s">
        <v>1221</v>
      </c>
      <c r="J417" s="5" t="str">
        <f>VLOOKUP(B417,Seqs!A:B,2,FALSE)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417" s="4" t="str">
        <f t="shared" si="42"/>
        <v>K</v>
      </c>
      <c r="L417" s="45">
        <f>VLOOKUP(B417,'NonXtal_SegEnds_Prot#'!A:AL,6,FALSE)</f>
        <v>63</v>
      </c>
      <c r="M417" s="45">
        <f>VLOOKUP(B417,'NonXtal_SegEnds_Prot#'!A:AL,7,FALSE)</f>
        <v>65</v>
      </c>
      <c r="N417" s="45">
        <f>VLOOKUP(B417,'NonXtal_SegEnds_Prot#'!A:AL,8,FALSE)</f>
        <v>66</v>
      </c>
      <c r="O417" s="4" t="str">
        <f t="shared" si="38"/>
        <v>Q</v>
      </c>
      <c r="P417" s="4"/>
      <c r="Q417" s="47" t="str">
        <f t="shared" si="39"/>
        <v>KS</v>
      </c>
      <c r="R417" s="27" t="str">
        <f t="shared" si="40"/>
        <v>L</v>
      </c>
      <c r="S417" s="19" t="str">
        <f t="shared" si="41"/>
        <v>Q</v>
      </c>
      <c r="Z417" s="4"/>
      <c r="AD417" s="1" t="s">
        <v>15</v>
      </c>
      <c r="AE417" s="1">
        <v>63</v>
      </c>
      <c r="AF417" s="1">
        <v>65</v>
      </c>
      <c r="AG417" s="1">
        <v>67</v>
      </c>
      <c r="AH417" s="1" t="s">
        <v>16</v>
      </c>
      <c r="AK417" s="4">
        <v>48</v>
      </c>
      <c r="AL417" s="4">
        <v>52</v>
      </c>
    </row>
    <row r="418" spans="1:38" x14ac:dyDescent="0.25">
      <c r="A418" s="1" t="str">
        <f t="shared" si="37"/>
        <v>OPSD_todpa_2Z73_ICL1</v>
      </c>
      <c r="B418" s="45" t="s">
        <v>291</v>
      </c>
      <c r="C418" s="45" t="s">
        <v>290</v>
      </c>
      <c r="D418" s="4" t="str">
        <f>VLOOKUP(B418,Classification!A:D,2,FALSE)</f>
        <v>A</v>
      </c>
      <c r="E418" s="4" t="str">
        <f>VLOOKUP(B418,Classification!A:D,3,FALSE)</f>
        <v>Sensory</v>
      </c>
      <c r="F418" s="4" t="str">
        <f>VLOOKUP(B418,Classification!A:D,4,FALSE)</f>
        <v>Opsins</v>
      </c>
      <c r="G418" s="2">
        <v>2</v>
      </c>
      <c r="H418" s="45" t="s">
        <v>14</v>
      </c>
      <c r="I418" s="2" t="s">
        <v>1221</v>
      </c>
      <c r="J418" s="5" t="str">
        <f>VLOOKUP(B418,Seqs!A:B,2,FALSE)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418" s="4" t="str">
        <f t="shared" si="42"/>
        <v>K</v>
      </c>
      <c r="L418" s="45">
        <f>VLOOKUP(B418,'NonXtal_SegEnds_Prot#'!A:AL,6,FALSE)</f>
        <v>63</v>
      </c>
      <c r="M418" s="45">
        <f>VLOOKUP(B418,'NonXtal_SegEnds_Prot#'!A:AL,7,FALSE)</f>
        <v>65</v>
      </c>
      <c r="N418" s="45">
        <f>VLOOKUP(B418,'NonXtal_SegEnds_Prot#'!A:AL,8,FALSE)</f>
        <v>66</v>
      </c>
      <c r="O418" s="4" t="str">
        <f t="shared" si="38"/>
        <v>Q</v>
      </c>
      <c r="P418" s="4"/>
      <c r="Q418" s="47" t="str">
        <f t="shared" si="39"/>
        <v>KS</v>
      </c>
      <c r="R418" s="27" t="str">
        <f t="shared" si="40"/>
        <v>L</v>
      </c>
      <c r="S418" s="19" t="str">
        <f t="shared" si="41"/>
        <v>Q</v>
      </c>
      <c r="Z418" s="4"/>
      <c r="AD418" s="1" t="s">
        <v>15</v>
      </c>
      <c r="AE418" s="1">
        <v>63</v>
      </c>
      <c r="AF418" s="1">
        <v>65</v>
      </c>
      <c r="AG418" s="1">
        <v>67</v>
      </c>
      <c r="AH418" s="1" t="s">
        <v>16</v>
      </c>
      <c r="AK418" s="4">
        <v>48</v>
      </c>
      <c r="AL418" s="4">
        <v>52</v>
      </c>
    </row>
    <row r="419" spans="1:38" x14ac:dyDescent="0.25">
      <c r="A419" s="1" t="str">
        <f t="shared" si="37"/>
        <v>OX1R_human__wt_ICL1</v>
      </c>
      <c r="B419" s="45" t="s">
        <v>1374</v>
      </c>
      <c r="C419" s="45" t="s">
        <v>294</v>
      </c>
      <c r="D419" s="4" t="str">
        <f>VLOOKUP(B419,Classification!A:D,2,FALSE)</f>
        <v>A</v>
      </c>
      <c r="E419" s="4" t="str">
        <f>VLOOKUP(B419,Classification!A:D,3,FALSE)</f>
        <v>Peptide</v>
      </c>
      <c r="F419" s="4" t="str">
        <f>VLOOKUP(B419,Classification!A:D,4,FALSE)</f>
        <v>Orexin</v>
      </c>
      <c r="G419" s="2">
        <v>2</v>
      </c>
      <c r="H419" s="45" t="s">
        <v>14</v>
      </c>
      <c r="I419" s="2" t="s">
        <v>1221</v>
      </c>
      <c r="J419" s="5" t="str">
        <f>VLOOKUP(B419,Seqs!A:B,2,FALSE)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419" s="4" t="str">
        <f t="shared" si="42"/>
        <v>H</v>
      </c>
      <c r="L419" s="45">
        <f>VLOOKUP(B419,'NonXtal_SegEnds_Prot#'!A:AL,6,FALSE)</f>
        <v>75</v>
      </c>
      <c r="M419" s="45">
        <f>VLOOKUP(B419,'NonXtal_SegEnds_Prot#'!A:AL,7,FALSE)</f>
        <v>77</v>
      </c>
      <c r="N419" s="45">
        <f>VLOOKUP(B419,'NonXtal_SegEnds_Prot#'!A:AL,8,FALSE)</f>
        <v>78</v>
      </c>
      <c r="O419" s="4" t="str">
        <f t="shared" si="38"/>
        <v>R</v>
      </c>
      <c r="P419" s="4"/>
      <c r="Q419" s="47" t="str">
        <f t="shared" si="39"/>
        <v>HH</v>
      </c>
      <c r="R419" s="27" t="str">
        <f t="shared" si="40"/>
        <v>M</v>
      </c>
      <c r="S419" s="19" t="str">
        <f t="shared" si="41"/>
        <v>R</v>
      </c>
      <c r="Z419" s="4" t="s">
        <v>78</v>
      </c>
      <c r="AD419" s="1" t="s">
        <v>15</v>
      </c>
      <c r="AE419" s="1">
        <v>75</v>
      </c>
      <c r="AF419" s="1">
        <v>77</v>
      </c>
      <c r="AG419" s="1">
        <v>79</v>
      </c>
      <c r="AH419" s="1" t="s">
        <v>16</v>
      </c>
      <c r="AK419" s="4">
        <v>48</v>
      </c>
      <c r="AL419" s="4">
        <v>52</v>
      </c>
    </row>
    <row r="420" spans="1:38" x14ac:dyDescent="0.25">
      <c r="A420" s="1" t="str">
        <f t="shared" si="37"/>
        <v>OX1R_human_4ZJ8_ICL1</v>
      </c>
      <c r="B420" s="45" t="s">
        <v>1374</v>
      </c>
      <c r="C420" s="45" t="s">
        <v>282</v>
      </c>
      <c r="D420" s="4" t="str">
        <f>VLOOKUP(B420,Classification!A:D,2,FALSE)</f>
        <v>A</v>
      </c>
      <c r="E420" s="4" t="str">
        <f>VLOOKUP(B420,Classification!A:D,3,FALSE)</f>
        <v>Peptide</v>
      </c>
      <c r="F420" s="4" t="str">
        <f>VLOOKUP(B420,Classification!A:D,4,FALSE)</f>
        <v>Orexin</v>
      </c>
      <c r="G420" s="2">
        <v>2</v>
      </c>
      <c r="H420" s="45" t="s">
        <v>14</v>
      </c>
      <c r="I420" s="2" t="s">
        <v>1221</v>
      </c>
      <c r="J420" s="5" t="str">
        <f>VLOOKUP(B420,Seqs!A:B,2,FALSE)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420" s="4" t="str">
        <f t="shared" si="42"/>
        <v>H</v>
      </c>
      <c r="L420" s="45">
        <f>VLOOKUP(B420,'NonXtal_SegEnds_Prot#'!A:AL,6,FALSE)</f>
        <v>75</v>
      </c>
      <c r="M420" s="45">
        <f>VLOOKUP(B420,'NonXtal_SegEnds_Prot#'!A:AL,7,FALSE)</f>
        <v>77</v>
      </c>
      <c r="N420" s="45">
        <f>VLOOKUP(B420,'NonXtal_SegEnds_Prot#'!A:AL,8,FALSE)</f>
        <v>78</v>
      </c>
      <c r="O420" s="4" t="str">
        <f t="shared" si="38"/>
        <v>R</v>
      </c>
      <c r="P420" s="4"/>
      <c r="Q420" s="47" t="str">
        <f t="shared" si="39"/>
        <v>HH</v>
      </c>
      <c r="R420" s="27" t="str">
        <f t="shared" si="40"/>
        <v>M</v>
      </c>
      <c r="S420" s="19" t="str">
        <f t="shared" si="41"/>
        <v>R</v>
      </c>
      <c r="Z420" s="4" t="s">
        <v>78</v>
      </c>
      <c r="AD420" s="1" t="s">
        <v>15</v>
      </c>
      <c r="AE420" s="1">
        <v>75</v>
      </c>
      <c r="AF420" s="1">
        <v>77</v>
      </c>
      <c r="AG420" s="1">
        <v>79</v>
      </c>
      <c r="AH420" s="1" t="s">
        <v>16</v>
      </c>
      <c r="AK420" s="4">
        <v>48</v>
      </c>
      <c r="AL420" s="4">
        <v>52</v>
      </c>
    </row>
    <row r="421" spans="1:38" x14ac:dyDescent="0.25">
      <c r="A421" s="1" t="str">
        <f t="shared" si="37"/>
        <v>OX1R_human_4ZJC_ICL1</v>
      </c>
      <c r="B421" s="45" t="s">
        <v>1374</v>
      </c>
      <c r="C421" s="45" t="s">
        <v>283</v>
      </c>
      <c r="D421" s="4" t="str">
        <f>VLOOKUP(B421,Classification!A:D,2,FALSE)</f>
        <v>A</v>
      </c>
      <c r="E421" s="4" t="str">
        <f>VLOOKUP(B421,Classification!A:D,3,FALSE)</f>
        <v>Peptide</v>
      </c>
      <c r="F421" s="4" t="str">
        <f>VLOOKUP(B421,Classification!A:D,4,FALSE)</f>
        <v>Orexin</v>
      </c>
      <c r="G421" s="2">
        <v>2</v>
      </c>
      <c r="H421" s="45" t="s">
        <v>14</v>
      </c>
      <c r="I421" s="2" t="s">
        <v>1221</v>
      </c>
      <c r="J421" s="5" t="str">
        <f>VLOOKUP(B421,Seqs!A:B,2,FALSE)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421" s="4" t="str">
        <f t="shared" si="42"/>
        <v>H</v>
      </c>
      <c r="L421" s="45">
        <f>VLOOKUP(B421,'NonXtal_SegEnds_Prot#'!A:AL,6,FALSE)</f>
        <v>75</v>
      </c>
      <c r="M421" s="45">
        <f>VLOOKUP(B421,'NonXtal_SegEnds_Prot#'!A:AL,7,FALSE)</f>
        <v>77</v>
      </c>
      <c r="N421" s="45">
        <f>VLOOKUP(B421,'NonXtal_SegEnds_Prot#'!A:AL,8,FALSE)</f>
        <v>78</v>
      </c>
      <c r="O421" s="4" t="str">
        <f t="shared" si="38"/>
        <v>R</v>
      </c>
      <c r="P421" s="4"/>
      <c r="Q421" s="47" t="str">
        <f t="shared" si="39"/>
        <v>HH</v>
      </c>
      <c r="R421" s="27" t="str">
        <f t="shared" si="40"/>
        <v>M</v>
      </c>
      <c r="S421" s="19" t="str">
        <f t="shared" si="41"/>
        <v>R</v>
      </c>
      <c r="Z421" s="4"/>
      <c r="AD421" s="1" t="s">
        <v>15</v>
      </c>
      <c r="AE421" s="1">
        <v>75</v>
      </c>
      <c r="AF421" s="1">
        <v>77</v>
      </c>
      <c r="AG421" s="1">
        <v>79</v>
      </c>
      <c r="AH421" s="1" t="s">
        <v>16</v>
      </c>
      <c r="AK421" s="4">
        <v>48</v>
      </c>
      <c r="AL421" s="4">
        <v>52</v>
      </c>
    </row>
    <row r="422" spans="1:38" x14ac:dyDescent="0.25">
      <c r="A422" s="1" t="str">
        <f t="shared" si="37"/>
        <v>OX2R_human__wt_ICL1</v>
      </c>
      <c r="B422" s="45" t="s">
        <v>1375</v>
      </c>
      <c r="C422" s="45" t="s">
        <v>294</v>
      </c>
      <c r="D422" s="4" t="str">
        <f>VLOOKUP(B422,Classification!A:D,2,FALSE)</f>
        <v>A</v>
      </c>
      <c r="E422" s="4" t="str">
        <f>VLOOKUP(B422,Classification!A:D,3,FALSE)</f>
        <v>Peptide</v>
      </c>
      <c r="F422" s="4" t="str">
        <f>VLOOKUP(B422,Classification!A:D,4,FALSE)</f>
        <v>Orexin</v>
      </c>
      <c r="G422" s="2">
        <v>2</v>
      </c>
      <c r="H422" s="45" t="s">
        <v>14</v>
      </c>
      <c r="I422" s="2" t="s">
        <v>1221</v>
      </c>
      <c r="J422" s="5" t="str">
        <f>VLOOKUP(B422,Seqs!A:B,2,FALSE)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422" s="4" t="str">
        <f t="shared" si="42"/>
        <v>H</v>
      </c>
      <c r="L422" s="45">
        <f>VLOOKUP(B422,'NonXtal_SegEnds_Prot#'!A:AL,6,FALSE)</f>
        <v>83</v>
      </c>
      <c r="M422" s="45">
        <f>VLOOKUP(B422,'NonXtal_SegEnds_Prot#'!A:AL,7,FALSE)</f>
        <v>85</v>
      </c>
      <c r="N422" s="45">
        <f>VLOOKUP(B422,'NonXtal_SegEnds_Prot#'!A:AL,8,FALSE)</f>
        <v>86</v>
      </c>
      <c r="O422" s="4" t="str">
        <f t="shared" si="38"/>
        <v>R</v>
      </c>
      <c r="P422" s="4"/>
      <c r="Q422" s="47" t="str">
        <f t="shared" si="39"/>
        <v>HH</v>
      </c>
      <c r="R422" s="27" t="str">
        <f t="shared" si="40"/>
        <v>M</v>
      </c>
      <c r="S422" s="19" t="str">
        <f t="shared" si="41"/>
        <v>R</v>
      </c>
      <c r="Z422" s="4"/>
      <c r="AD422" s="1" t="s">
        <v>15</v>
      </c>
      <c r="AE422" s="1">
        <v>83</v>
      </c>
      <c r="AF422" s="1">
        <v>85</v>
      </c>
      <c r="AG422" s="1">
        <v>87</v>
      </c>
      <c r="AH422" s="1" t="s">
        <v>16</v>
      </c>
      <c r="AK422" s="4">
        <v>48</v>
      </c>
      <c r="AL422" s="4">
        <v>52</v>
      </c>
    </row>
    <row r="423" spans="1:38" x14ac:dyDescent="0.25">
      <c r="A423" s="1" t="str">
        <f t="shared" si="37"/>
        <v>OX2R_human_4S0V_ICL1</v>
      </c>
      <c r="B423" s="45" t="s">
        <v>1375</v>
      </c>
      <c r="C423" s="45" t="s">
        <v>284</v>
      </c>
      <c r="D423" s="4" t="str">
        <f>VLOOKUP(B423,Classification!A:D,2,FALSE)</f>
        <v>A</v>
      </c>
      <c r="E423" s="4" t="str">
        <f>VLOOKUP(B423,Classification!A:D,3,FALSE)</f>
        <v>Peptide</v>
      </c>
      <c r="F423" s="4" t="str">
        <f>VLOOKUP(B423,Classification!A:D,4,FALSE)</f>
        <v>Orexin</v>
      </c>
      <c r="G423" s="2">
        <v>2</v>
      </c>
      <c r="H423" s="45" t="s">
        <v>14</v>
      </c>
      <c r="I423" s="2" t="s">
        <v>1221</v>
      </c>
      <c r="J423" s="5" t="str">
        <f>VLOOKUP(B423,Seqs!A:B,2,FALSE)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423" s="4" t="str">
        <f t="shared" si="42"/>
        <v>H</v>
      </c>
      <c r="L423" s="45">
        <f>VLOOKUP(B423,'NonXtal_SegEnds_Prot#'!A:AL,6,FALSE)</f>
        <v>83</v>
      </c>
      <c r="M423" s="45">
        <f>VLOOKUP(B423,'NonXtal_SegEnds_Prot#'!A:AL,7,FALSE)</f>
        <v>85</v>
      </c>
      <c r="N423" s="45">
        <f>VLOOKUP(B423,'NonXtal_SegEnds_Prot#'!A:AL,8,FALSE)</f>
        <v>86</v>
      </c>
      <c r="O423" s="4" t="str">
        <f t="shared" si="38"/>
        <v>R</v>
      </c>
      <c r="P423" s="4"/>
      <c r="Q423" s="47" t="str">
        <f t="shared" si="39"/>
        <v>HH</v>
      </c>
      <c r="R423" s="27" t="str">
        <f t="shared" si="40"/>
        <v>M</v>
      </c>
      <c r="S423" s="19" t="str">
        <f t="shared" si="41"/>
        <v>R</v>
      </c>
      <c r="Z423" s="4"/>
      <c r="AD423" s="1" t="s">
        <v>15</v>
      </c>
      <c r="AE423" s="1">
        <v>83</v>
      </c>
      <c r="AF423" s="1">
        <v>85</v>
      </c>
      <c r="AG423" s="1">
        <v>87</v>
      </c>
      <c r="AH423" s="1" t="s">
        <v>16</v>
      </c>
      <c r="AK423" s="4">
        <v>48</v>
      </c>
      <c r="AL423" s="4">
        <v>52</v>
      </c>
    </row>
    <row r="424" spans="1:38" x14ac:dyDescent="0.25">
      <c r="A424" s="1" t="str">
        <f t="shared" si="37"/>
        <v>P2RY1_human__wt_ICL1</v>
      </c>
      <c r="B424" s="45" t="s">
        <v>215</v>
      </c>
      <c r="C424" s="45" t="s">
        <v>294</v>
      </c>
      <c r="D424" s="4" t="str">
        <f>VLOOKUP(B424,Classification!A:D,2,FALSE)</f>
        <v>A</v>
      </c>
      <c r="E424" s="4" t="str">
        <f>VLOOKUP(B424,Classification!A:D,3,FALSE)</f>
        <v>Nucleotide</v>
      </c>
      <c r="F424" s="4" t="str">
        <f>VLOOKUP(B424,Classification!A:D,4,FALSE)</f>
        <v>P2Y</v>
      </c>
      <c r="G424" s="2">
        <v>2</v>
      </c>
      <c r="H424" s="45" t="s">
        <v>14</v>
      </c>
      <c r="I424" s="2" t="s">
        <v>153</v>
      </c>
      <c r="J424" s="5" t="str">
        <f>VLOOKUP(B424,Seqs!A:B,2,FALSE)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24" s="4" t="e">
        <f t="shared" si="42"/>
        <v>#VALUE!</v>
      </c>
      <c r="L424" s="45" t="str">
        <f>VLOOKUP(B424,'NonXtal_SegEnds_Prot#'!A:AL,6,FALSE)</f>
        <v>-</v>
      </c>
      <c r="M424" s="45" t="str">
        <f>VLOOKUP(B424,'NonXtal_SegEnds_Prot#'!A:AL,7,FALSE)</f>
        <v>-</v>
      </c>
      <c r="N424" s="45" t="str">
        <f>VLOOKUP(B424,'NonXtal_SegEnds_Prot#'!A:AL,8,FALSE)</f>
        <v>-</v>
      </c>
      <c r="O424" s="4" t="e">
        <f t="shared" si="38"/>
        <v>#VALUE!</v>
      </c>
      <c r="P424" s="4"/>
      <c r="Q424" s="47" t="e">
        <f t="shared" si="39"/>
        <v>#VALUE!</v>
      </c>
      <c r="R424" s="27" t="e">
        <f t="shared" si="40"/>
        <v>#VALUE!</v>
      </c>
      <c r="S424" s="19" t="e">
        <f t="shared" si="41"/>
        <v>#VALUE!</v>
      </c>
      <c r="Z424" s="4"/>
      <c r="AD424" s="1" t="s">
        <v>15</v>
      </c>
      <c r="AE424" s="1">
        <v>80</v>
      </c>
      <c r="AF424" s="1">
        <v>82</v>
      </c>
      <c r="AG424" s="1">
        <v>84</v>
      </c>
      <c r="AH424" s="1" t="s">
        <v>16</v>
      </c>
      <c r="AK424" s="4">
        <v>48</v>
      </c>
      <c r="AL424" s="4">
        <v>52</v>
      </c>
    </row>
    <row r="425" spans="1:38" x14ac:dyDescent="0.25">
      <c r="A425" s="1" t="str">
        <f t="shared" si="37"/>
        <v>P2RY1_human_4xNV_ICL1</v>
      </c>
      <c r="B425" s="45" t="s">
        <v>215</v>
      </c>
      <c r="C425" s="45" t="s">
        <v>274</v>
      </c>
      <c r="D425" s="4" t="str">
        <f>VLOOKUP(B425,Classification!A:D,2,FALSE)</f>
        <v>A</v>
      </c>
      <c r="E425" s="4" t="str">
        <f>VLOOKUP(B425,Classification!A:D,3,FALSE)</f>
        <v>Nucleotide</v>
      </c>
      <c r="F425" s="4" t="str">
        <f>VLOOKUP(B425,Classification!A:D,4,FALSE)</f>
        <v>P2Y</v>
      </c>
      <c r="G425" s="2">
        <v>2</v>
      </c>
      <c r="H425" s="45" t="s">
        <v>14</v>
      </c>
      <c r="I425" s="2" t="s">
        <v>153</v>
      </c>
      <c r="J425" s="5" t="str">
        <f>VLOOKUP(B425,Seqs!A:B,2,FALSE)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25" s="4" t="e">
        <f t="shared" si="42"/>
        <v>#VALUE!</v>
      </c>
      <c r="L425" s="45" t="str">
        <f>VLOOKUP(B425,'NonXtal_SegEnds_Prot#'!A:AL,6,FALSE)</f>
        <v>-</v>
      </c>
      <c r="M425" s="45" t="str">
        <f>VLOOKUP(B425,'NonXtal_SegEnds_Prot#'!A:AL,7,FALSE)</f>
        <v>-</v>
      </c>
      <c r="N425" s="45" t="str">
        <f>VLOOKUP(B425,'NonXtal_SegEnds_Prot#'!A:AL,8,FALSE)</f>
        <v>-</v>
      </c>
      <c r="O425" s="4" t="e">
        <f t="shared" si="38"/>
        <v>#VALUE!</v>
      </c>
      <c r="P425" s="4"/>
      <c r="Q425" s="47" t="e">
        <f t="shared" si="39"/>
        <v>#VALUE!</v>
      </c>
      <c r="R425" s="27" t="e">
        <f t="shared" si="40"/>
        <v>#VALUE!</v>
      </c>
      <c r="S425" s="19" t="e">
        <f t="shared" si="41"/>
        <v>#VALUE!</v>
      </c>
      <c r="Z425" s="4"/>
      <c r="AD425" s="1" t="s">
        <v>15</v>
      </c>
      <c r="AE425" s="1">
        <v>80</v>
      </c>
      <c r="AF425" s="1">
        <v>82</v>
      </c>
      <c r="AG425" s="1">
        <v>84</v>
      </c>
      <c r="AH425" s="1" t="s">
        <v>16</v>
      </c>
      <c r="AK425" s="4">
        <v>48</v>
      </c>
      <c r="AL425" s="4">
        <v>52</v>
      </c>
    </row>
    <row r="426" spans="1:38" x14ac:dyDescent="0.25">
      <c r="A426" s="1" t="str">
        <f t="shared" si="37"/>
        <v>P2Y12_human__wt_ICL1</v>
      </c>
      <c r="B426" s="45" t="s">
        <v>216</v>
      </c>
      <c r="C426" s="45" t="s">
        <v>294</v>
      </c>
      <c r="D426" s="4" t="str">
        <f>VLOOKUP(B426,Classification!A:D,2,FALSE)</f>
        <v>A</v>
      </c>
      <c r="E426" s="4" t="str">
        <f>VLOOKUP(B426,Classification!A:D,3,FALSE)</f>
        <v>Nucleotide</v>
      </c>
      <c r="F426" s="4" t="str">
        <f>VLOOKUP(B426,Classification!A:D,4,FALSE)</f>
        <v>P2Y</v>
      </c>
      <c r="G426" s="2">
        <v>2</v>
      </c>
      <c r="H426" s="45" t="s">
        <v>14</v>
      </c>
      <c r="I426" s="2" t="s">
        <v>153</v>
      </c>
      <c r="J426" s="5" t="str">
        <f>VLOOKUP(B426,Seqs!A:B,2,FALSE)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26" s="4" t="e">
        <f t="shared" si="42"/>
        <v>#VALUE!</v>
      </c>
      <c r="L426" s="45" t="str">
        <f>VLOOKUP(B426,'NonXtal_SegEnds_Prot#'!A:AL,6,FALSE)</f>
        <v>-</v>
      </c>
      <c r="M426" s="45" t="str">
        <f>VLOOKUP(B426,'NonXtal_SegEnds_Prot#'!A:AL,7,FALSE)</f>
        <v>-</v>
      </c>
      <c r="N426" s="45" t="str">
        <f>VLOOKUP(B426,'NonXtal_SegEnds_Prot#'!A:AL,8,FALSE)</f>
        <v>-</v>
      </c>
      <c r="O426" s="4" t="e">
        <f t="shared" si="38"/>
        <v>#VALUE!</v>
      </c>
      <c r="P426" s="4"/>
      <c r="Q426" s="47" t="e">
        <f t="shared" si="39"/>
        <v>#VALUE!</v>
      </c>
      <c r="R426" s="27" t="e">
        <f t="shared" si="40"/>
        <v>#VALUE!</v>
      </c>
      <c r="S426" s="19" t="e">
        <f t="shared" si="41"/>
        <v>#VALUE!</v>
      </c>
      <c r="Z426" s="4"/>
      <c r="AD426" s="1" t="s">
        <v>156</v>
      </c>
      <c r="AE426" s="1">
        <v>54</v>
      </c>
      <c r="AF426" s="1">
        <v>55</v>
      </c>
      <c r="AG426" s="1">
        <v>56</v>
      </c>
      <c r="AH426" s="1" t="s">
        <v>16</v>
      </c>
      <c r="AK426" s="4">
        <v>49</v>
      </c>
      <c r="AL426" s="4">
        <v>52</v>
      </c>
    </row>
    <row r="427" spans="1:38" x14ac:dyDescent="0.25">
      <c r="A427" s="1" t="str">
        <f t="shared" si="37"/>
        <v>P2Y12_human_4PxZ_ICL1</v>
      </c>
      <c r="B427" s="45" t="s">
        <v>216</v>
      </c>
      <c r="C427" s="45" t="s">
        <v>242</v>
      </c>
      <c r="D427" s="4" t="str">
        <f>VLOOKUP(B427,Classification!A:D,2,FALSE)</f>
        <v>A</v>
      </c>
      <c r="E427" s="4" t="str">
        <f>VLOOKUP(B427,Classification!A:D,3,FALSE)</f>
        <v>Nucleotide</v>
      </c>
      <c r="F427" s="4" t="str">
        <f>VLOOKUP(B427,Classification!A:D,4,FALSE)</f>
        <v>P2Y</v>
      </c>
      <c r="G427" s="2">
        <v>2</v>
      </c>
      <c r="H427" s="45" t="s">
        <v>14</v>
      </c>
      <c r="I427" s="2" t="s">
        <v>153</v>
      </c>
      <c r="J427" s="5" t="str">
        <f>VLOOKUP(B427,Seqs!A:B,2,FALSE)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27" s="4" t="e">
        <f t="shared" si="42"/>
        <v>#VALUE!</v>
      </c>
      <c r="L427" s="45" t="str">
        <f>VLOOKUP(B427,'NonXtal_SegEnds_Prot#'!A:AL,6,FALSE)</f>
        <v>-</v>
      </c>
      <c r="M427" s="45" t="str">
        <f>VLOOKUP(B427,'NonXtal_SegEnds_Prot#'!A:AL,7,FALSE)</f>
        <v>-</v>
      </c>
      <c r="N427" s="45" t="str">
        <f>VLOOKUP(B427,'NonXtal_SegEnds_Prot#'!A:AL,8,FALSE)</f>
        <v>-</v>
      </c>
      <c r="O427" s="4" t="e">
        <f t="shared" si="38"/>
        <v>#VALUE!</v>
      </c>
      <c r="P427" s="4"/>
      <c r="Q427" s="47" t="e">
        <f t="shared" si="39"/>
        <v>#VALUE!</v>
      </c>
      <c r="R427" s="27" t="e">
        <f t="shared" si="40"/>
        <v>#VALUE!</v>
      </c>
      <c r="S427" s="19" t="e">
        <f t="shared" si="41"/>
        <v>#VALUE!</v>
      </c>
      <c r="Z427" s="4"/>
      <c r="AD427" s="1" t="s">
        <v>156</v>
      </c>
      <c r="AE427" s="1">
        <v>54</v>
      </c>
      <c r="AF427" s="1">
        <v>55</v>
      </c>
      <c r="AG427" s="1">
        <v>56</v>
      </c>
      <c r="AH427" s="1" t="s">
        <v>16</v>
      </c>
      <c r="AK427" s="4">
        <v>49</v>
      </c>
      <c r="AL427" s="4">
        <v>52</v>
      </c>
    </row>
    <row r="428" spans="1:38" x14ac:dyDescent="0.25">
      <c r="A428" s="1" t="str">
        <f t="shared" si="37"/>
        <v>PAR1_human__wt_ICL1</v>
      </c>
      <c r="B428" s="45" t="s">
        <v>229</v>
      </c>
      <c r="C428" s="45" t="s">
        <v>294</v>
      </c>
      <c r="D428" s="4" t="str">
        <f>VLOOKUP(B428,Classification!A:D,2,FALSE)</f>
        <v>A</v>
      </c>
      <c r="E428" s="4" t="str">
        <f>VLOOKUP(B428,Classification!A:D,3,FALSE)</f>
        <v>Peptide</v>
      </c>
      <c r="F428" s="4" t="str">
        <f>VLOOKUP(B428,Classification!A:D,4,FALSE)</f>
        <v>Proteinase-activated</v>
      </c>
      <c r="G428" s="2">
        <v>2</v>
      </c>
      <c r="H428" s="45" t="s">
        <v>14</v>
      </c>
      <c r="I428" s="2" t="s">
        <v>1221</v>
      </c>
      <c r="J428" s="5" t="str">
        <f>VLOOKUP(B428,Seqs!A:B,2,FALSE)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28" s="4" t="str">
        <f t="shared" si="42"/>
        <v>M</v>
      </c>
      <c r="L428" s="45">
        <f>VLOOKUP(B428,'NonXtal_SegEnds_Prot#'!A:AL,6,FALSE)</f>
        <v>131</v>
      </c>
      <c r="M428" s="45">
        <f>VLOOKUP(B428,'NonXtal_SegEnds_Prot#'!A:AL,7,FALSE)</f>
        <v>133</v>
      </c>
      <c r="N428" s="45">
        <f>VLOOKUP(B428,'NonXtal_SegEnds_Prot#'!A:AL,8,FALSE)</f>
        <v>134</v>
      </c>
      <c r="O428" s="4" t="str">
        <f t="shared" si="38"/>
        <v>K</v>
      </c>
      <c r="P428" s="4"/>
      <c r="Q428" s="47" t="str">
        <f t="shared" si="39"/>
        <v>MK</v>
      </c>
      <c r="R428" s="27" t="str">
        <f t="shared" si="40"/>
        <v>V</v>
      </c>
      <c r="S428" s="19" t="str">
        <f t="shared" si="41"/>
        <v>K</v>
      </c>
      <c r="Z428" s="4"/>
      <c r="AD428" s="1" t="s">
        <v>15</v>
      </c>
      <c r="AE428" s="1">
        <v>131</v>
      </c>
      <c r="AF428" s="1">
        <v>133</v>
      </c>
      <c r="AG428" s="1">
        <v>135</v>
      </c>
      <c r="AH428" s="1" t="s">
        <v>16</v>
      </c>
      <c r="AK428" s="4">
        <v>48</v>
      </c>
      <c r="AL428" s="4">
        <v>52</v>
      </c>
    </row>
    <row r="429" spans="1:38" x14ac:dyDescent="0.25">
      <c r="A429" s="1" t="str">
        <f t="shared" si="37"/>
        <v>PAR1_human_3VW7_ICL1</v>
      </c>
      <c r="B429" s="45" t="s">
        <v>229</v>
      </c>
      <c r="C429" s="45" t="s">
        <v>285</v>
      </c>
      <c r="D429" s="4" t="str">
        <f>VLOOKUP(B429,Classification!A:D,2,FALSE)</f>
        <v>A</v>
      </c>
      <c r="E429" s="4" t="str">
        <f>VLOOKUP(B429,Classification!A:D,3,FALSE)</f>
        <v>Peptide</v>
      </c>
      <c r="F429" s="4" t="str">
        <f>VLOOKUP(B429,Classification!A:D,4,FALSE)</f>
        <v>Proteinase-activated</v>
      </c>
      <c r="G429" s="2">
        <v>2</v>
      </c>
      <c r="H429" s="45" t="s">
        <v>14</v>
      </c>
      <c r="I429" s="2" t="s">
        <v>1221</v>
      </c>
      <c r="J429" s="5" t="str">
        <f>VLOOKUP(B429,Seqs!A:B,2,FALSE)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29" s="4" t="str">
        <f t="shared" si="42"/>
        <v>M</v>
      </c>
      <c r="L429" s="45">
        <f>VLOOKUP(B429,'NonXtal_SegEnds_Prot#'!A:AL,6,FALSE)</f>
        <v>131</v>
      </c>
      <c r="M429" s="45">
        <f>VLOOKUP(B429,'NonXtal_SegEnds_Prot#'!A:AL,7,FALSE)</f>
        <v>133</v>
      </c>
      <c r="N429" s="45">
        <f>VLOOKUP(B429,'NonXtal_SegEnds_Prot#'!A:AL,8,FALSE)</f>
        <v>134</v>
      </c>
      <c r="O429" s="4" t="str">
        <f t="shared" si="38"/>
        <v>K</v>
      </c>
      <c r="P429" s="4" t="s">
        <v>58</v>
      </c>
      <c r="Q429" s="47" t="str">
        <f t="shared" si="39"/>
        <v>MK</v>
      </c>
      <c r="R429" s="28" t="str">
        <f t="shared" si="40"/>
        <v>V</v>
      </c>
      <c r="S429" s="20" t="str">
        <f t="shared" si="41"/>
        <v>K</v>
      </c>
      <c r="Z429" s="4"/>
      <c r="AD429" s="1" t="s">
        <v>15</v>
      </c>
      <c r="AE429" s="1">
        <v>131</v>
      </c>
      <c r="AF429" s="1">
        <v>133</v>
      </c>
      <c r="AG429" s="1">
        <v>135</v>
      </c>
      <c r="AH429" s="1" t="s">
        <v>16</v>
      </c>
      <c r="AK429" s="4">
        <v>48</v>
      </c>
      <c r="AL429" s="4">
        <v>52</v>
      </c>
    </row>
    <row r="430" spans="1:38" x14ac:dyDescent="0.25">
      <c r="A430" s="1" t="str">
        <f t="shared" si="37"/>
        <v>S1PR1_human__wt_ICL1</v>
      </c>
      <c r="B430" s="45" t="s">
        <v>217</v>
      </c>
      <c r="C430" s="45" t="s">
        <v>294</v>
      </c>
      <c r="D430" s="4" t="str">
        <f>VLOOKUP(B430,Classification!A:D,2,FALSE)</f>
        <v>A</v>
      </c>
      <c r="E430" s="4" t="str">
        <f>VLOOKUP(B430,Classification!A:D,3,FALSE)</f>
        <v>Lipid</v>
      </c>
      <c r="F430" s="4" t="str">
        <f>VLOOKUP(B430,Classification!A:D,4,FALSE)</f>
        <v>Lysophospholipid(S1P)</v>
      </c>
      <c r="G430" s="2">
        <v>2</v>
      </c>
      <c r="H430" s="45" t="s">
        <v>14</v>
      </c>
      <c r="I430" s="2" t="s">
        <v>1221</v>
      </c>
      <c r="J430" s="5" t="str">
        <f>VLOOKUP(B430,Seqs!A:B,2,FALSE)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30" s="4" t="str">
        <f t="shared" si="42"/>
        <v>K</v>
      </c>
      <c r="L430" s="45">
        <f>VLOOKUP(B430,'NonXtal_SegEnds_Prot#'!A:AL,6,FALSE)</f>
        <v>74</v>
      </c>
      <c r="M430" s="45">
        <f>VLOOKUP(B430,'NonXtal_SegEnds_Prot#'!A:AL,7,FALSE)</f>
        <v>76</v>
      </c>
      <c r="N430" s="45">
        <f>VLOOKUP(B430,'NonXtal_SegEnds_Prot#'!A:AL,8,FALSE)</f>
        <v>77</v>
      </c>
      <c r="O430" s="4" t="str">
        <f t="shared" si="38"/>
        <v>H</v>
      </c>
      <c r="P430" s="4"/>
      <c r="Q430" s="47" t="str">
        <f t="shared" si="39"/>
        <v>KK</v>
      </c>
      <c r="R430" s="27" t="str">
        <f t="shared" si="40"/>
        <v>F</v>
      </c>
      <c r="S430" s="19" t="str">
        <f t="shared" si="41"/>
        <v>H</v>
      </c>
      <c r="Z430" s="4"/>
      <c r="AD430" s="1" t="s">
        <v>15</v>
      </c>
      <c r="AE430" s="1">
        <v>74</v>
      </c>
      <c r="AF430" s="1">
        <v>76</v>
      </c>
      <c r="AG430" s="1">
        <v>78</v>
      </c>
      <c r="AH430" s="1" t="s">
        <v>16</v>
      </c>
      <c r="AK430" s="4">
        <v>48</v>
      </c>
      <c r="AL430" s="4">
        <v>52</v>
      </c>
    </row>
    <row r="431" spans="1:38" x14ac:dyDescent="0.25">
      <c r="A431" s="1" t="str">
        <f t="shared" si="37"/>
        <v>S1PR1_human_3V2Y_ICL1</v>
      </c>
      <c r="B431" s="45" t="s">
        <v>217</v>
      </c>
      <c r="C431" s="45" t="s">
        <v>286</v>
      </c>
      <c r="D431" s="4" t="str">
        <f>VLOOKUP(B431,Classification!A:D,2,FALSE)</f>
        <v>A</v>
      </c>
      <c r="E431" s="4" t="str">
        <f>VLOOKUP(B431,Classification!A:D,3,FALSE)</f>
        <v>Lipid</v>
      </c>
      <c r="F431" s="4" t="str">
        <f>VLOOKUP(B431,Classification!A:D,4,FALSE)</f>
        <v>Lysophospholipid(S1P)</v>
      </c>
      <c r="G431" s="2">
        <v>2</v>
      </c>
      <c r="H431" s="45" t="s">
        <v>14</v>
      </c>
      <c r="I431" s="2" t="s">
        <v>1221</v>
      </c>
      <c r="J431" s="5" t="str">
        <f>VLOOKUP(B431,Seqs!A:B,2,FALSE)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31" s="4" t="str">
        <f t="shared" si="42"/>
        <v>K</v>
      </c>
      <c r="L431" s="45">
        <f>VLOOKUP(B431,'NonXtal_SegEnds_Prot#'!A:AL,6,FALSE)</f>
        <v>74</v>
      </c>
      <c r="M431" s="45">
        <f>VLOOKUP(B431,'NonXtal_SegEnds_Prot#'!A:AL,7,FALSE)</f>
        <v>76</v>
      </c>
      <c r="N431" s="45">
        <f>VLOOKUP(B431,'NonXtal_SegEnds_Prot#'!A:AL,8,FALSE)</f>
        <v>77</v>
      </c>
      <c r="O431" s="4" t="str">
        <f t="shared" si="38"/>
        <v>H</v>
      </c>
      <c r="P431" s="4"/>
      <c r="Q431" s="47" t="str">
        <f t="shared" si="39"/>
        <v>KK</v>
      </c>
      <c r="R431" s="27" t="str">
        <f t="shared" si="40"/>
        <v>F</v>
      </c>
      <c r="S431" s="19" t="str">
        <f t="shared" si="41"/>
        <v>H</v>
      </c>
      <c r="Z431" s="4"/>
      <c r="AD431" s="1" t="s">
        <v>15</v>
      </c>
      <c r="AE431" s="1">
        <v>74</v>
      </c>
      <c r="AF431" s="1">
        <v>76</v>
      </c>
      <c r="AG431" s="1">
        <v>78</v>
      </c>
      <c r="AH431" s="1" t="s">
        <v>16</v>
      </c>
      <c r="AK431" s="4">
        <v>48</v>
      </c>
      <c r="AL431" s="4">
        <v>52</v>
      </c>
    </row>
    <row r="432" spans="1:38" x14ac:dyDescent="0.25">
      <c r="A432" s="1" t="str">
        <f t="shared" si="37"/>
        <v>smo_human__wt_ICL1</v>
      </c>
      <c r="B432" s="45" t="s">
        <v>207</v>
      </c>
      <c r="C432" s="45" t="s">
        <v>294</v>
      </c>
      <c r="D432" s="4" t="str">
        <f>VLOOKUP(B432,Classification!A:D,2,FALSE)</f>
        <v>F</v>
      </c>
      <c r="E432" s="4" t="str">
        <f>VLOOKUP(B432,Classification!A:D,3,FALSE)</f>
        <v>Protein</v>
      </c>
      <c r="F432" s="4" t="str">
        <f>VLOOKUP(B432,Classification!A:D,4,FALSE)</f>
        <v>Frizzled</v>
      </c>
      <c r="G432" s="2">
        <v>2</v>
      </c>
      <c r="H432" s="45" t="s">
        <v>14</v>
      </c>
      <c r="I432" s="2" t="s">
        <v>1223</v>
      </c>
      <c r="J432" s="5" t="str">
        <f>VLOOKUP(B432,Seqs!A:B,2,FALSE)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32" s="4" t="str">
        <f t="shared" si="42"/>
        <v>W</v>
      </c>
      <c r="L432" s="45">
        <f>VLOOKUP(B432,'NonXtal_SegEnds_Prot#'!A:AL,6,FALSE)</f>
        <v>256</v>
      </c>
      <c r="M432" s="45">
        <f>VLOOKUP(B432,'NonXtal_SegEnds_Prot#'!A:AL,7,FALSE)</f>
        <v>259</v>
      </c>
      <c r="N432" s="45">
        <f>VLOOKUP(B432,'NonXtal_SegEnds_Prot#'!A:AL,8,FALSE)</f>
        <v>260</v>
      </c>
      <c r="O432" s="4" t="str">
        <f t="shared" si="38"/>
        <v>N</v>
      </c>
      <c r="P432" s="4"/>
      <c r="Q432" s="47" t="str">
        <f t="shared" si="39"/>
        <v>WRN</v>
      </c>
      <c r="R432" s="27" t="str">
        <f t="shared" si="40"/>
        <v>S</v>
      </c>
      <c r="S432" s="19" t="str">
        <f t="shared" si="41"/>
        <v>N</v>
      </c>
      <c r="Z432" s="4"/>
      <c r="AD432" s="1" t="s">
        <v>199</v>
      </c>
      <c r="AE432" s="1">
        <v>256</v>
      </c>
      <c r="AF432" s="1">
        <v>259</v>
      </c>
      <c r="AG432" s="1">
        <v>261</v>
      </c>
      <c r="AH432" s="1" t="s">
        <v>16</v>
      </c>
      <c r="AK432" s="4">
        <v>47</v>
      </c>
      <c r="AL432" s="4">
        <v>52</v>
      </c>
    </row>
    <row r="433" spans="1:38" x14ac:dyDescent="0.25">
      <c r="A433" s="1" t="str">
        <f t="shared" si="37"/>
        <v>smo_human_4JKV_ICL1</v>
      </c>
      <c r="B433" s="45" t="s">
        <v>207</v>
      </c>
      <c r="C433" s="45" t="s">
        <v>278</v>
      </c>
      <c r="D433" s="4" t="str">
        <f>VLOOKUP(B433,Classification!A:D,2,FALSE)</f>
        <v>F</v>
      </c>
      <c r="E433" s="4" t="str">
        <f>VLOOKUP(B433,Classification!A:D,3,FALSE)</f>
        <v>Protein</v>
      </c>
      <c r="F433" s="4" t="str">
        <f>VLOOKUP(B433,Classification!A:D,4,FALSE)</f>
        <v>Frizzled</v>
      </c>
      <c r="G433" s="2">
        <v>2</v>
      </c>
      <c r="H433" s="45" t="s">
        <v>14</v>
      </c>
      <c r="I433" s="2" t="s">
        <v>1223</v>
      </c>
      <c r="J433" s="5" t="str">
        <f>VLOOKUP(B433,Seqs!A:B,2,FALSE)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33" s="4" t="str">
        <f t="shared" si="42"/>
        <v>W</v>
      </c>
      <c r="L433" s="45">
        <f>VLOOKUP(B433,'NonXtal_SegEnds_Prot#'!A:AL,6,FALSE)</f>
        <v>256</v>
      </c>
      <c r="M433" s="45">
        <f>VLOOKUP(B433,'NonXtal_SegEnds_Prot#'!A:AL,7,FALSE)</f>
        <v>259</v>
      </c>
      <c r="N433" s="45">
        <f>VLOOKUP(B433,'NonXtal_SegEnds_Prot#'!A:AL,8,FALSE)</f>
        <v>260</v>
      </c>
      <c r="O433" s="4" t="str">
        <f t="shared" si="38"/>
        <v>N</v>
      </c>
      <c r="P433" s="4"/>
      <c r="Q433" s="47" t="str">
        <f t="shared" si="39"/>
        <v>WRN</v>
      </c>
      <c r="R433" s="27" t="str">
        <f t="shared" si="40"/>
        <v>S</v>
      </c>
      <c r="S433" s="19" t="str">
        <f t="shared" si="41"/>
        <v>N</v>
      </c>
      <c r="Z433" s="4"/>
      <c r="AD433" s="1" t="s">
        <v>199</v>
      </c>
      <c r="AE433" s="1">
        <v>256</v>
      </c>
      <c r="AF433" s="1">
        <v>259</v>
      </c>
      <c r="AG433" s="1">
        <v>261</v>
      </c>
      <c r="AH433" s="1" t="s">
        <v>16</v>
      </c>
      <c r="AK433" s="4">
        <v>47</v>
      </c>
      <c r="AL433" s="4">
        <v>52</v>
      </c>
    </row>
    <row r="434" spans="1:38" x14ac:dyDescent="0.25">
      <c r="A434" s="1" t="str">
        <f t="shared" si="37"/>
        <v>smo_human_4QIN_ICL1</v>
      </c>
      <c r="B434" s="45" t="s">
        <v>207</v>
      </c>
      <c r="C434" s="45" t="s">
        <v>247</v>
      </c>
      <c r="D434" s="4" t="str">
        <f>VLOOKUP(B434,Classification!A:D,2,FALSE)</f>
        <v>F</v>
      </c>
      <c r="E434" s="4" t="str">
        <f>VLOOKUP(B434,Classification!A:D,3,FALSE)</f>
        <v>Protein</v>
      </c>
      <c r="F434" s="4" t="str">
        <f>VLOOKUP(B434,Classification!A:D,4,FALSE)</f>
        <v>Frizzled</v>
      </c>
      <c r="G434" s="2">
        <v>2</v>
      </c>
      <c r="H434" s="45" t="s">
        <v>14</v>
      </c>
      <c r="I434" s="2" t="s">
        <v>1223</v>
      </c>
      <c r="J434" s="5" t="str">
        <f>VLOOKUP(B434,Seqs!A:B,2,FALSE)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34" s="4" t="str">
        <f t="shared" si="42"/>
        <v>W</v>
      </c>
      <c r="L434" s="45">
        <f>VLOOKUP(B434,'NonXtal_SegEnds_Prot#'!A:AL,6,FALSE)</f>
        <v>256</v>
      </c>
      <c r="M434" s="45">
        <f>VLOOKUP(B434,'NonXtal_SegEnds_Prot#'!A:AL,7,FALSE)</f>
        <v>259</v>
      </c>
      <c r="N434" s="45">
        <f>VLOOKUP(B434,'NonXtal_SegEnds_Prot#'!A:AL,8,FALSE)</f>
        <v>260</v>
      </c>
      <c r="O434" s="4" t="str">
        <f t="shared" si="38"/>
        <v>N</v>
      </c>
      <c r="P434" s="4"/>
      <c r="Q434" s="47" t="str">
        <f t="shared" si="39"/>
        <v>WRN</v>
      </c>
      <c r="R434" s="27" t="str">
        <f t="shared" si="40"/>
        <v>S</v>
      </c>
      <c r="S434" s="19" t="str">
        <f t="shared" si="41"/>
        <v>N</v>
      </c>
      <c r="Z434" s="4"/>
      <c r="AD434" s="1" t="s">
        <v>199</v>
      </c>
      <c r="AE434" s="1">
        <v>256</v>
      </c>
      <c r="AF434" s="1">
        <v>259</v>
      </c>
      <c r="AG434" s="1">
        <v>261</v>
      </c>
      <c r="AH434" s="1" t="s">
        <v>16</v>
      </c>
      <c r="AK434" s="4">
        <v>47</v>
      </c>
      <c r="AL434" s="4">
        <v>52</v>
      </c>
    </row>
    <row r="435" spans="1:38" x14ac:dyDescent="0.25">
      <c r="A435" s="1" t="str">
        <f t="shared" si="37"/>
        <v>US28_hcmva__wt_ICL1</v>
      </c>
      <c r="B435" s="45" t="s">
        <v>230</v>
      </c>
      <c r="C435" s="45" t="s">
        <v>294</v>
      </c>
      <c r="D435" s="4" t="str">
        <f>VLOOKUP(B435,Classification!A:D,2,FALSE)</f>
        <v>A</v>
      </c>
      <c r="E435" s="4" t="str">
        <f>VLOOKUP(B435,Classification!A:D,3,FALSE)</f>
        <v>Peptide</v>
      </c>
      <c r="F435" s="4" t="str">
        <f>VLOOKUP(B435,Classification!A:D,4,FALSE)</f>
        <v>Chemokine</v>
      </c>
      <c r="G435" s="2">
        <v>2</v>
      </c>
      <c r="H435" s="45" t="s">
        <v>14</v>
      </c>
      <c r="I435" s="2" t="s">
        <v>1221</v>
      </c>
      <c r="J435" s="5" t="str">
        <f>VLOOKUP(B435,Seqs!A:B,2,FALSE)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35" s="4" t="str">
        <f t="shared" si="42"/>
        <v>R</v>
      </c>
      <c r="L435" s="45">
        <f>VLOOKUP(B435,'NonXtal_SegEnds_Prot#'!A:AL,6,FALSE)</f>
        <v>62</v>
      </c>
      <c r="M435" s="45">
        <f>VLOOKUP(B435,'NonXtal_SegEnds_Prot#'!A:AL,7,FALSE)</f>
        <v>64</v>
      </c>
      <c r="N435" s="45">
        <f>VLOOKUP(B435,'NonXtal_SegEnds_Prot#'!A:AL,8,FALSE)</f>
        <v>65</v>
      </c>
      <c r="O435" s="4" t="str">
        <f t="shared" si="38"/>
        <v>Q</v>
      </c>
      <c r="P435" s="4"/>
      <c r="Q435" s="47" t="str">
        <f t="shared" si="39"/>
        <v>RR</v>
      </c>
      <c r="R435" s="27" t="str">
        <f t="shared" si="40"/>
        <v>I</v>
      </c>
      <c r="S435" s="19" t="str">
        <f t="shared" si="41"/>
        <v>Q</v>
      </c>
      <c r="Z435" s="4" t="s">
        <v>64</v>
      </c>
      <c r="AD435" s="1" t="s">
        <v>15</v>
      </c>
      <c r="AE435" s="1">
        <v>62</v>
      </c>
      <c r="AF435" s="1">
        <v>64</v>
      </c>
      <c r="AG435" s="1">
        <v>66</v>
      </c>
      <c r="AH435" s="1" t="s">
        <v>16</v>
      </c>
      <c r="AK435" s="4">
        <v>48</v>
      </c>
      <c r="AL435" s="4">
        <v>52</v>
      </c>
    </row>
    <row r="436" spans="1:38" x14ac:dyDescent="0.25">
      <c r="A436" s="1" t="str">
        <f t="shared" si="37"/>
        <v>US28_hcmva_4xT1_ICL1</v>
      </c>
      <c r="B436" s="45" t="s">
        <v>230</v>
      </c>
      <c r="C436" s="45" t="s">
        <v>287</v>
      </c>
      <c r="D436" s="4" t="str">
        <f>VLOOKUP(B436,Classification!A:D,2,FALSE)</f>
        <v>A</v>
      </c>
      <c r="E436" s="4" t="str">
        <f>VLOOKUP(B436,Classification!A:D,3,FALSE)</f>
        <v>Peptide</v>
      </c>
      <c r="F436" s="4" t="str">
        <f>VLOOKUP(B436,Classification!A:D,4,FALSE)</f>
        <v>Chemokine</v>
      </c>
      <c r="G436" s="2">
        <v>2</v>
      </c>
      <c r="H436" s="45" t="s">
        <v>14</v>
      </c>
      <c r="I436" s="2" t="s">
        <v>1221</v>
      </c>
      <c r="J436" s="5" t="str">
        <f>VLOOKUP(B436,Seqs!A:B,2,FALSE)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36" s="4" t="str">
        <f t="shared" si="42"/>
        <v>R</v>
      </c>
      <c r="L436" s="45">
        <f>VLOOKUP(B436,'NonXtal_SegEnds_Prot#'!A:AL,6,FALSE)</f>
        <v>62</v>
      </c>
      <c r="M436" s="45">
        <f>VLOOKUP(B436,'NonXtal_SegEnds_Prot#'!A:AL,7,FALSE)</f>
        <v>64</v>
      </c>
      <c r="N436" s="45">
        <f>VLOOKUP(B436,'NonXtal_SegEnds_Prot#'!A:AL,8,FALSE)</f>
        <v>65</v>
      </c>
      <c r="O436" s="4" t="str">
        <f t="shared" si="38"/>
        <v>Q</v>
      </c>
      <c r="P436" s="4" t="s">
        <v>58</v>
      </c>
      <c r="Q436" s="47" t="str">
        <f t="shared" si="39"/>
        <v>RR</v>
      </c>
      <c r="R436" s="28" t="str">
        <f t="shared" si="40"/>
        <v>I</v>
      </c>
      <c r="S436" s="20" t="str">
        <f t="shared" si="41"/>
        <v>Q</v>
      </c>
      <c r="Z436" s="4" t="s">
        <v>64</v>
      </c>
      <c r="AD436" s="1" t="s">
        <v>15</v>
      </c>
      <c r="AE436" s="1">
        <v>62</v>
      </c>
      <c r="AF436" s="1">
        <v>64</v>
      </c>
      <c r="AG436" s="1">
        <v>66</v>
      </c>
      <c r="AH436" s="1" t="s">
        <v>16</v>
      </c>
      <c r="AK436" s="4">
        <v>48</v>
      </c>
      <c r="AL436" s="4">
        <v>52</v>
      </c>
    </row>
    <row r="437" spans="1:38" x14ac:dyDescent="0.25">
      <c r="A437" s="1" t="str">
        <f t="shared" si="37"/>
        <v>AGTR1_human__wt_TM2</v>
      </c>
      <c r="B437" s="45" t="s">
        <v>212</v>
      </c>
      <c r="C437" s="45" t="s">
        <v>294</v>
      </c>
      <c r="D437" s="4" t="str">
        <f>VLOOKUP(B437,Classification!A:D,2,FALSE)</f>
        <v>A</v>
      </c>
      <c r="E437" s="4" t="str">
        <f>VLOOKUP(B437,Classification!A:D,3,FALSE)</f>
        <v>Peptide</v>
      </c>
      <c r="F437" s="4" t="str">
        <f>VLOOKUP(B437,Classification!A:D,4,FALSE)</f>
        <v>Angiotensin</v>
      </c>
      <c r="G437" s="2">
        <v>3</v>
      </c>
      <c r="H437" s="45" t="s">
        <v>17</v>
      </c>
      <c r="I437" s="2" t="s">
        <v>1223</v>
      </c>
      <c r="J437" s="5" t="str">
        <f>VLOOKUP(B437,Seqs!A:B,2,FALSE)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437" s="4" t="str">
        <f t="shared" si="42"/>
        <v>T</v>
      </c>
      <c r="L437" s="45">
        <f>VLOOKUP(B437,'NonXtal_SegEnds_Prot#'!A:AL,9,FALSE)</f>
        <v>61</v>
      </c>
      <c r="M437" s="45">
        <f>VLOOKUP(B437,'NonXtal_SegEnds_Prot#'!A:AL,10,FALSE)</f>
        <v>74</v>
      </c>
      <c r="N437" s="45">
        <f>VLOOKUP(B437,'NonXtal_SegEnds_Prot#'!A:AL,11,FALSE)</f>
        <v>90</v>
      </c>
      <c r="O437" s="4" t="str">
        <f t="shared" si="38"/>
        <v>M</v>
      </c>
      <c r="P437" s="4"/>
      <c r="Q437" s="47" t="str">
        <f t="shared" si="39"/>
        <v>TVASVFLLNLALA</v>
      </c>
      <c r="R437" s="27" t="str">
        <f t="shared" si="40"/>
        <v>D</v>
      </c>
      <c r="S437" s="19" t="str">
        <f t="shared" si="41"/>
        <v>LCFLLTLPLWAVYTAM</v>
      </c>
      <c r="Z437" s="4"/>
      <c r="AD437" s="1" t="s">
        <v>18</v>
      </c>
      <c r="AE437" s="1">
        <v>62</v>
      </c>
      <c r="AF437" s="1">
        <v>74</v>
      </c>
      <c r="AG437" s="1">
        <v>90</v>
      </c>
      <c r="AH437" s="1" t="s">
        <v>19</v>
      </c>
      <c r="AK437" s="4">
        <v>38</v>
      </c>
      <c r="AL437" s="4">
        <v>66</v>
      </c>
    </row>
    <row r="438" spans="1:38" x14ac:dyDescent="0.25">
      <c r="A438" s="1" t="str">
        <f t="shared" si="37"/>
        <v>AGTR1_human_4YAY_TM2</v>
      </c>
      <c r="B438" s="45" t="s">
        <v>212</v>
      </c>
      <c r="C438" s="45" t="s">
        <v>260</v>
      </c>
      <c r="D438" s="4" t="str">
        <f>VLOOKUP(B438,Classification!A:D,2,FALSE)</f>
        <v>A</v>
      </c>
      <c r="E438" s="4" t="str">
        <f>VLOOKUP(B438,Classification!A:D,3,FALSE)</f>
        <v>Peptide</v>
      </c>
      <c r="F438" s="4" t="str">
        <f>VLOOKUP(B438,Classification!A:D,4,FALSE)</f>
        <v>Angiotensin</v>
      </c>
      <c r="G438" s="2">
        <v>3</v>
      </c>
      <c r="H438" s="45" t="s">
        <v>17</v>
      </c>
      <c r="I438" s="2" t="s">
        <v>1223</v>
      </c>
      <c r="J438" s="5" t="str">
        <f>VLOOKUP(B438,Seqs!A:B,2,FALSE)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438" s="4" t="str">
        <f t="shared" si="42"/>
        <v>T</v>
      </c>
      <c r="L438" s="45">
        <f>VLOOKUP(B438,'NonXtal_SegEnds_Prot#'!A:AL,9,FALSE)</f>
        <v>61</v>
      </c>
      <c r="M438" s="45">
        <f>VLOOKUP(B438,'NonXtal_SegEnds_Prot#'!A:AL,10,FALSE)</f>
        <v>74</v>
      </c>
      <c r="N438" s="45">
        <f>VLOOKUP(B438,'NonXtal_SegEnds_Prot#'!A:AL,11,FALSE)</f>
        <v>90</v>
      </c>
      <c r="O438" s="4" t="str">
        <f t="shared" si="38"/>
        <v>M</v>
      </c>
      <c r="P438" s="4"/>
      <c r="Q438" s="47" t="str">
        <f t="shared" si="39"/>
        <v>TVASVFLLNLALA</v>
      </c>
      <c r="R438" s="27" t="str">
        <f t="shared" si="40"/>
        <v>D</v>
      </c>
      <c r="S438" s="19" t="str">
        <f t="shared" si="41"/>
        <v>LCFLLTLPLWAVYTAM</v>
      </c>
      <c r="Z438" s="4"/>
      <c r="AD438" s="1" t="s">
        <v>18</v>
      </c>
      <c r="AE438" s="1">
        <v>62</v>
      </c>
      <c r="AF438" s="1">
        <v>74</v>
      </c>
      <c r="AG438" s="1">
        <v>90</v>
      </c>
      <c r="AH438" s="1" t="s">
        <v>19</v>
      </c>
      <c r="AK438" s="4">
        <v>38</v>
      </c>
      <c r="AL438" s="4">
        <v>66</v>
      </c>
    </row>
    <row r="439" spans="1:38" x14ac:dyDescent="0.25">
      <c r="A439" s="1" t="str">
        <f t="shared" si="37"/>
        <v>CCR5_human__wt_TM2</v>
      </c>
      <c r="B439" s="45" t="s">
        <v>221</v>
      </c>
      <c r="C439" s="45" t="s">
        <v>294</v>
      </c>
      <c r="D439" s="4" t="str">
        <f>VLOOKUP(B439,Classification!A:D,2,FALSE)</f>
        <v>A</v>
      </c>
      <c r="E439" s="4" t="str">
        <f>VLOOKUP(B439,Classification!A:D,3,FALSE)</f>
        <v>Protein</v>
      </c>
      <c r="F439" s="4" t="str">
        <f>VLOOKUP(B439,Classification!A:D,4,FALSE)</f>
        <v>Chemokine</v>
      </c>
      <c r="G439" s="2">
        <v>3</v>
      </c>
      <c r="H439" s="45" t="s">
        <v>17</v>
      </c>
      <c r="I439" s="2" t="s">
        <v>1223</v>
      </c>
      <c r="J439" s="5" t="str">
        <f>VLOOKUP(B439,Seqs!A:B,2,FALSE)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439" s="4" t="str">
        <f t="shared" si="42"/>
        <v>S</v>
      </c>
      <c r="L439" s="45">
        <f>VLOOKUP(B439,'NonXtal_SegEnds_Prot#'!A:AL,9,FALSE)</f>
        <v>63</v>
      </c>
      <c r="M439" s="45">
        <f>VLOOKUP(B439,'NonXtal_SegEnds_Prot#'!A:AL,10,FALSE)</f>
        <v>76</v>
      </c>
      <c r="N439" s="45">
        <f>VLOOKUP(B439,'NonXtal_SegEnds_Prot#'!A:AL,11,FALSE)</f>
        <v>92</v>
      </c>
      <c r="O439" s="4" t="str">
        <f t="shared" si="38"/>
        <v>A</v>
      </c>
      <c r="P439" s="4"/>
      <c r="Q439" s="47" t="str">
        <f t="shared" si="39"/>
        <v>SMTDIYLLNLAIS</v>
      </c>
      <c r="R439" s="27" t="str">
        <f t="shared" si="40"/>
        <v>D</v>
      </c>
      <c r="S439" s="19" t="str">
        <f t="shared" si="41"/>
        <v>LFFLLTVPFWAHYAAA</v>
      </c>
      <c r="Z439" s="4"/>
      <c r="AD439" s="1" t="s">
        <v>18</v>
      </c>
      <c r="AE439" s="1">
        <v>64</v>
      </c>
      <c r="AF439" s="1">
        <v>76</v>
      </c>
      <c r="AG439" s="1">
        <v>92</v>
      </c>
      <c r="AH439" s="1" t="s">
        <v>19</v>
      </c>
      <c r="AK439" s="4">
        <v>38</v>
      </c>
      <c r="AL439" s="4">
        <v>66</v>
      </c>
    </row>
    <row r="440" spans="1:38" x14ac:dyDescent="0.25">
      <c r="A440" s="1" t="str">
        <f t="shared" si="37"/>
        <v>CCR5_human_4MBS_TM2</v>
      </c>
      <c r="B440" s="45" t="s">
        <v>221</v>
      </c>
      <c r="C440" s="45" t="s">
        <v>265</v>
      </c>
      <c r="D440" s="4" t="str">
        <f>VLOOKUP(B440,Classification!A:D,2,FALSE)</f>
        <v>A</v>
      </c>
      <c r="E440" s="4" t="str">
        <f>VLOOKUP(B440,Classification!A:D,3,FALSE)</f>
        <v>Protein</v>
      </c>
      <c r="F440" s="4" t="str">
        <f>VLOOKUP(B440,Classification!A:D,4,FALSE)</f>
        <v>Chemokine</v>
      </c>
      <c r="G440" s="2">
        <v>3</v>
      </c>
      <c r="H440" s="45" t="s">
        <v>17</v>
      </c>
      <c r="I440" s="2" t="s">
        <v>1223</v>
      </c>
      <c r="J440" s="5" t="str">
        <f>VLOOKUP(B440,Seqs!A:B,2,FALSE)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440" s="4" t="str">
        <f t="shared" si="42"/>
        <v>S</v>
      </c>
      <c r="L440" s="45">
        <f>VLOOKUP(B440,'NonXtal_SegEnds_Prot#'!A:AL,9,FALSE)</f>
        <v>63</v>
      </c>
      <c r="M440" s="45">
        <f>VLOOKUP(B440,'NonXtal_SegEnds_Prot#'!A:AL,10,FALSE)</f>
        <v>76</v>
      </c>
      <c r="N440" s="45">
        <f>VLOOKUP(B440,'NonXtal_SegEnds_Prot#'!A:AL,11,FALSE)</f>
        <v>92</v>
      </c>
      <c r="O440" s="4" t="str">
        <f t="shared" si="38"/>
        <v>A</v>
      </c>
      <c r="P440" s="4"/>
      <c r="Q440" s="47" t="str">
        <f t="shared" si="39"/>
        <v>SMTDIYLLNLAIS</v>
      </c>
      <c r="R440" s="27" t="str">
        <f t="shared" si="40"/>
        <v>D</v>
      </c>
      <c r="S440" s="19" t="str">
        <f t="shared" si="41"/>
        <v>LFFLLTVPFWAHYAAA</v>
      </c>
      <c r="Z440" s="4"/>
      <c r="AD440" s="1" t="s">
        <v>18</v>
      </c>
      <c r="AE440" s="1">
        <v>64</v>
      </c>
      <c r="AF440" s="1">
        <v>76</v>
      </c>
      <c r="AG440" s="1">
        <v>92</v>
      </c>
      <c r="AH440" s="1" t="s">
        <v>19</v>
      </c>
      <c r="AK440" s="4">
        <v>38</v>
      </c>
      <c r="AL440" s="4">
        <v>66</v>
      </c>
    </row>
    <row r="441" spans="1:38" x14ac:dyDescent="0.25">
      <c r="A441" s="1" t="str">
        <f t="shared" si="37"/>
        <v>crfr1_human__wt_TM2</v>
      </c>
      <c r="B441" s="45" t="s">
        <v>213</v>
      </c>
      <c r="C441" s="45" t="s">
        <v>294</v>
      </c>
      <c r="D441" s="4" t="str">
        <f>VLOOKUP(B441,Classification!A:D,2,FALSE)</f>
        <v>B1</v>
      </c>
      <c r="E441" s="4" t="str">
        <f>VLOOKUP(B441,Classification!A:D,3,FALSE)</f>
        <v>Peptide</v>
      </c>
      <c r="F441" s="4" t="str">
        <f>VLOOKUP(B441,Classification!A:D,4,FALSE)</f>
        <v>Corticotropin-releasingfact</v>
      </c>
      <c r="G441" s="2">
        <v>3</v>
      </c>
      <c r="H441" s="45" t="s">
        <v>17</v>
      </c>
      <c r="I441" s="2" t="s">
        <v>1223</v>
      </c>
      <c r="J441" s="5" t="str">
        <f>VLOOKUP(B441,Seqs!A:B,2,FALSE)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441" s="4" t="str">
        <f t="shared" si="42"/>
        <v>C</v>
      </c>
      <c r="L441" s="45">
        <f>VLOOKUP(B441,'NonXtal_SegEnds_Prot#'!A:AL,9,FALSE)</f>
        <v>149</v>
      </c>
      <c r="M441" s="45">
        <f>VLOOKUP(B441,'NonXtal_SegEnds_Prot#'!A:AL,10,FALSE)</f>
        <v>162</v>
      </c>
      <c r="N441" s="45">
        <f>VLOOKUP(B441,'NonXtal_SegEnds_Prot#'!A:AL,11,FALSE)</f>
        <v>175</v>
      </c>
      <c r="O441" s="4" t="str">
        <f t="shared" si="38"/>
        <v>T</v>
      </c>
      <c r="P441" s="4"/>
      <c r="Q441" s="47" t="str">
        <f t="shared" si="39"/>
        <v>CLRNIIHWNLISA</v>
      </c>
      <c r="R441" s="27" t="str">
        <f t="shared" si="40"/>
        <v>F</v>
      </c>
      <c r="S441" s="19" t="str">
        <f t="shared" si="41"/>
        <v>ILRNATWFVVQLT</v>
      </c>
      <c r="U441" s="1"/>
      <c r="Z441" s="4"/>
      <c r="AD441" s="1" t="s">
        <v>18</v>
      </c>
      <c r="AE441" s="1">
        <v>150</v>
      </c>
      <c r="AF441" s="1">
        <v>162</v>
      </c>
      <c r="AG441" s="1">
        <v>176</v>
      </c>
      <c r="AH441" s="1" t="s">
        <v>167</v>
      </c>
      <c r="AK441" s="4">
        <v>38</v>
      </c>
      <c r="AL441" s="4">
        <v>64</v>
      </c>
    </row>
    <row r="442" spans="1:38" x14ac:dyDescent="0.25">
      <c r="A442" s="1" t="str">
        <f t="shared" si="37"/>
        <v>crfr1_human_4K5Y_TM2</v>
      </c>
      <c r="B442" s="45" t="s">
        <v>213</v>
      </c>
      <c r="C442" s="45" t="s">
        <v>288</v>
      </c>
      <c r="D442" s="4" t="str">
        <f>VLOOKUP(B442,Classification!A:D,2,FALSE)</f>
        <v>B1</v>
      </c>
      <c r="E442" s="4" t="str">
        <f>VLOOKUP(B442,Classification!A:D,3,FALSE)</f>
        <v>Peptide</v>
      </c>
      <c r="F442" s="4" t="str">
        <f>VLOOKUP(B442,Classification!A:D,4,FALSE)</f>
        <v>Corticotropin-releasingfact</v>
      </c>
      <c r="G442" s="2">
        <v>3</v>
      </c>
      <c r="H442" s="45" t="s">
        <v>17</v>
      </c>
      <c r="I442" s="2" t="s">
        <v>1223</v>
      </c>
      <c r="J442" s="5" t="str">
        <f>VLOOKUP(B442,Seqs!A:B,2,FALSE)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442" s="4" t="str">
        <f t="shared" si="42"/>
        <v>C</v>
      </c>
      <c r="L442" s="45">
        <f>VLOOKUP(B442,'NonXtal_SegEnds_Prot#'!A:AL,9,FALSE)</f>
        <v>149</v>
      </c>
      <c r="M442" s="45">
        <f>VLOOKUP(B442,'NonXtal_SegEnds_Prot#'!A:AL,10,FALSE)</f>
        <v>162</v>
      </c>
      <c r="N442" s="45">
        <f>VLOOKUP(B442,'NonXtal_SegEnds_Prot#'!A:AL,11,FALSE)</f>
        <v>175</v>
      </c>
      <c r="O442" s="4" t="str">
        <f t="shared" si="38"/>
        <v>T</v>
      </c>
      <c r="P442" s="4"/>
      <c r="Q442" s="47" t="str">
        <f t="shared" si="39"/>
        <v>CLRNIIHWNLISA</v>
      </c>
      <c r="R442" s="28" t="str">
        <f t="shared" si="40"/>
        <v>F</v>
      </c>
      <c r="S442" s="20" t="str">
        <f t="shared" si="41"/>
        <v>ILRNATWFVVQLT</v>
      </c>
      <c r="U442" s="1"/>
      <c r="Z442" s="4"/>
      <c r="AD442" s="1" t="s">
        <v>18</v>
      </c>
      <c r="AE442" s="1">
        <v>150</v>
      </c>
      <c r="AF442" s="1">
        <v>162</v>
      </c>
      <c r="AG442" s="1">
        <v>176</v>
      </c>
      <c r="AH442" s="1" t="s">
        <v>167</v>
      </c>
      <c r="AK442" s="4">
        <v>38</v>
      </c>
      <c r="AL442" s="4">
        <v>64</v>
      </c>
    </row>
    <row r="443" spans="1:38" x14ac:dyDescent="0.25">
      <c r="A443" s="1" t="str">
        <f t="shared" si="37"/>
        <v>CXCR4_human__wt_TM2</v>
      </c>
      <c r="B443" s="45" t="s">
        <v>1237</v>
      </c>
      <c r="C443" s="45" t="s">
        <v>294</v>
      </c>
      <c r="D443" s="4" t="str">
        <f>VLOOKUP(B443,Classification!A:D,2,FALSE)</f>
        <v>A</v>
      </c>
      <c r="E443" s="4" t="str">
        <f>VLOOKUP(B443,Classification!A:D,3,FALSE)</f>
        <v>Protein</v>
      </c>
      <c r="F443" s="4" t="str">
        <f>VLOOKUP(B443,Classification!A:D,4,FALSE)</f>
        <v>Chemokine</v>
      </c>
      <c r="G443" s="2">
        <v>3</v>
      </c>
      <c r="H443" s="45" t="s">
        <v>17</v>
      </c>
      <c r="I443" s="2" t="s">
        <v>1223</v>
      </c>
      <c r="J443" s="5" t="str">
        <f>VLOOKUP(B443,Seqs!A:B,2,FALSE)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443" s="4" t="str">
        <f t="shared" si="42"/>
        <v>S</v>
      </c>
      <c r="L443" s="45">
        <f>VLOOKUP(B443,'NonXtal_SegEnds_Prot#'!A:AL,9,FALSE)</f>
        <v>71</v>
      </c>
      <c r="M443" s="45">
        <f>VLOOKUP(B443,'NonXtal_SegEnds_Prot#'!A:AL,10,FALSE)</f>
        <v>84</v>
      </c>
      <c r="N443" s="45">
        <f>VLOOKUP(B443,'NonXtal_SegEnds_Prot#'!A:AL,11,FALSE)</f>
        <v>100</v>
      </c>
      <c r="O443" s="4" t="str">
        <f t="shared" si="38"/>
        <v>A</v>
      </c>
      <c r="P443" s="4"/>
      <c r="Q443" s="47" t="str">
        <f t="shared" si="39"/>
        <v>SMTDKYRLHLSVA</v>
      </c>
      <c r="R443" s="27" t="str">
        <f t="shared" si="40"/>
        <v>D</v>
      </c>
      <c r="S443" s="19" t="str">
        <f t="shared" si="41"/>
        <v>LLFVITLPFWAVDAVA</v>
      </c>
      <c r="Z443" s="4"/>
      <c r="AD443" s="1" t="s">
        <v>18</v>
      </c>
      <c r="AE443" s="1">
        <v>72</v>
      </c>
      <c r="AF443" s="1">
        <v>84</v>
      </c>
      <c r="AG443" s="1">
        <v>100</v>
      </c>
      <c r="AH443" s="1" t="s">
        <v>19</v>
      </c>
      <c r="AK443" s="4">
        <v>38</v>
      </c>
      <c r="AL443" s="4">
        <v>66</v>
      </c>
    </row>
    <row r="444" spans="1:38" x14ac:dyDescent="0.25">
      <c r="A444" s="1" t="str">
        <f t="shared" si="37"/>
        <v>CXCR4_human_3ODU_TM2</v>
      </c>
      <c r="B444" s="45" t="s">
        <v>1237</v>
      </c>
      <c r="C444" s="45" t="s">
        <v>254</v>
      </c>
      <c r="D444" s="4" t="str">
        <f>VLOOKUP(B444,Classification!A:D,2,FALSE)</f>
        <v>A</v>
      </c>
      <c r="E444" s="4" t="str">
        <f>VLOOKUP(B444,Classification!A:D,3,FALSE)</f>
        <v>Protein</v>
      </c>
      <c r="F444" s="4" t="str">
        <f>VLOOKUP(B444,Classification!A:D,4,FALSE)</f>
        <v>Chemokine</v>
      </c>
      <c r="G444" s="2">
        <v>3</v>
      </c>
      <c r="H444" s="45" t="s">
        <v>17</v>
      </c>
      <c r="I444" s="2" t="s">
        <v>1223</v>
      </c>
      <c r="J444" s="5" t="str">
        <f>VLOOKUP(B444,Seqs!A:B,2,FALSE)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444" s="4" t="str">
        <f t="shared" si="42"/>
        <v>S</v>
      </c>
      <c r="L444" s="45">
        <f>VLOOKUP(B444,'NonXtal_SegEnds_Prot#'!A:AL,9,FALSE)</f>
        <v>71</v>
      </c>
      <c r="M444" s="45">
        <f>VLOOKUP(B444,'NonXtal_SegEnds_Prot#'!A:AL,10,FALSE)</f>
        <v>84</v>
      </c>
      <c r="N444" s="45">
        <f>VLOOKUP(B444,'NonXtal_SegEnds_Prot#'!A:AL,11,FALSE)</f>
        <v>100</v>
      </c>
      <c r="O444" s="4" t="str">
        <f t="shared" si="38"/>
        <v>A</v>
      </c>
      <c r="P444" s="4"/>
      <c r="Q444" s="47" t="str">
        <f t="shared" si="39"/>
        <v>SMTDKYRLHLSVA</v>
      </c>
      <c r="R444" s="27" t="str">
        <f t="shared" si="40"/>
        <v>D</v>
      </c>
      <c r="S444" s="19" t="str">
        <f t="shared" si="41"/>
        <v>LLFVITLPFWAVDAVA</v>
      </c>
      <c r="Z444" s="4"/>
      <c r="AD444" s="1" t="s">
        <v>18</v>
      </c>
      <c r="AE444" s="1">
        <v>72</v>
      </c>
      <c r="AF444" s="1">
        <v>84</v>
      </c>
      <c r="AG444" s="1">
        <v>100</v>
      </c>
      <c r="AH444" s="1" t="s">
        <v>19</v>
      </c>
      <c r="AK444" s="4">
        <v>38</v>
      </c>
      <c r="AL444" s="4">
        <v>66</v>
      </c>
    </row>
    <row r="445" spans="1:38" x14ac:dyDescent="0.25">
      <c r="A445" s="1" t="str">
        <f t="shared" si="37"/>
        <v>FFAR1_human__wt_TM2</v>
      </c>
      <c r="B445" s="45" t="s">
        <v>1368</v>
      </c>
      <c r="C445" s="45" t="s">
        <v>294</v>
      </c>
      <c r="D445" s="4" t="str">
        <f>VLOOKUP(B445,Classification!A:D,2,FALSE)</f>
        <v>A</v>
      </c>
      <c r="E445" s="4" t="str">
        <f>VLOOKUP(B445,Classification!A:D,3,FALSE)</f>
        <v>Lipid</v>
      </c>
      <c r="F445" s="4" t="str">
        <f>VLOOKUP(B445,Classification!A:D,4,FALSE)</f>
        <v>Freefattyacid</v>
      </c>
      <c r="G445" s="2">
        <v>3</v>
      </c>
      <c r="H445" s="45" t="s">
        <v>17</v>
      </c>
      <c r="I445" s="2" t="s">
        <v>1223</v>
      </c>
      <c r="J445" s="5" t="str">
        <f>VLOOKUP(B445,Seqs!A:B,2,FALSE)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445" s="4" t="str">
        <f t="shared" si="42"/>
        <v>T</v>
      </c>
      <c r="L445" s="45">
        <f>VLOOKUP(B445,'NonXtal_SegEnds_Prot#'!A:AL,9,FALSE)</f>
        <v>39</v>
      </c>
      <c r="M445" s="45">
        <f>VLOOKUP(B445,'NonXtal_SegEnds_Prot#'!A:AL,10,FALSE)</f>
        <v>52</v>
      </c>
      <c r="N445" s="45">
        <f>VLOOKUP(B445,'NonXtal_SegEnds_Prot#'!A:AL,11,FALSE)</f>
        <v>68</v>
      </c>
      <c r="O445" s="4" t="str">
        <f t="shared" si="38"/>
        <v>A</v>
      </c>
      <c r="P445" s="4"/>
      <c r="Q445" s="47" t="str">
        <f t="shared" si="39"/>
        <v>TPSLVYALNLGCS</v>
      </c>
      <c r="R445" s="27" t="str">
        <f t="shared" si="40"/>
        <v>D</v>
      </c>
      <c r="S445" s="19" t="str">
        <f t="shared" si="41"/>
        <v>LLLTVSLPLKAVEALA</v>
      </c>
      <c r="Z445" s="4"/>
      <c r="AD445" s="1" t="s">
        <v>18</v>
      </c>
      <c r="AE445" s="1">
        <v>40</v>
      </c>
      <c r="AF445" s="1">
        <v>52</v>
      </c>
      <c r="AG445" s="1">
        <v>68</v>
      </c>
      <c r="AH445" s="1" t="s">
        <v>19</v>
      </c>
      <c r="AK445" s="4">
        <v>38</v>
      </c>
      <c r="AL445" s="4">
        <v>66</v>
      </c>
    </row>
    <row r="446" spans="1:38" x14ac:dyDescent="0.25">
      <c r="A446" s="1" t="str">
        <f t="shared" si="37"/>
        <v>FFAR1_human_4PHU_TM2</v>
      </c>
      <c r="B446" s="45" t="s">
        <v>1368</v>
      </c>
      <c r="C446" s="45" t="s">
        <v>241</v>
      </c>
      <c r="D446" s="4" t="str">
        <f>VLOOKUP(B446,Classification!A:D,2,FALSE)</f>
        <v>A</v>
      </c>
      <c r="E446" s="4" t="str">
        <f>VLOOKUP(B446,Classification!A:D,3,FALSE)</f>
        <v>Lipid</v>
      </c>
      <c r="F446" s="4" t="str">
        <f>VLOOKUP(B446,Classification!A:D,4,FALSE)</f>
        <v>Freefattyacid</v>
      </c>
      <c r="G446" s="2">
        <v>3</v>
      </c>
      <c r="H446" s="45" t="s">
        <v>17</v>
      </c>
      <c r="I446" s="2" t="s">
        <v>1223</v>
      </c>
      <c r="J446" s="5" t="str">
        <f>VLOOKUP(B446,Seqs!A:B,2,FALSE)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446" s="4" t="str">
        <f t="shared" si="42"/>
        <v>T</v>
      </c>
      <c r="L446" s="45">
        <f>VLOOKUP(B446,'NonXtal_SegEnds_Prot#'!A:AL,9,FALSE)</f>
        <v>39</v>
      </c>
      <c r="M446" s="45">
        <f>VLOOKUP(B446,'NonXtal_SegEnds_Prot#'!A:AL,10,FALSE)</f>
        <v>52</v>
      </c>
      <c r="N446" s="45">
        <f>VLOOKUP(B446,'NonXtal_SegEnds_Prot#'!A:AL,11,FALSE)</f>
        <v>68</v>
      </c>
      <c r="O446" s="4" t="str">
        <f t="shared" si="38"/>
        <v>A</v>
      </c>
      <c r="P446" s="4"/>
      <c r="Q446" s="47" t="str">
        <f t="shared" si="39"/>
        <v>TPSLVYALNLGCS</v>
      </c>
      <c r="R446" s="27" t="str">
        <f t="shared" si="40"/>
        <v>D</v>
      </c>
      <c r="S446" s="19" t="str">
        <f t="shared" si="41"/>
        <v>LLLTVSLPLKAVEALA</v>
      </c>
      <c r="Z446" s="4"/>
      <c r="AD446" s="1" t="s">
        <v>18</v>
      </c>
      <c r="AE446" s="1">
        <v>40</v>
      </c>
      <c r="AF446" s="1">
        <v>52</v>
      </c>
      <c r="AG446" s="1">
        <v>68</v>
      </c>
      <c r="AH446" s="1" t="s">
        <v>19</v>
      </c>
      <c r="AK446" s="4">
        <v>38</v>
      </c>
      <c r="AL446" s="4">
        <v>66</v>
      </c>
    </row>
    <row r="447" spans="1:38" x14ac:dyDescent="0.25">
      <c r="A447" s="1" t="str">
        <f t="shared" si="37"/>
        <v>glr_human__wt_TM2</v>
      </c>
      <c r="B447" s="45" t="s">
        <v>206</v>
      </c>
      <c r="C447" s="45" t="s">
        <v>294</v>
      </c>
      <c r="D447" s="4" t="str">
        <f>VLOOKUP(B447,Classification!A:D,2,FALSE)</f>
        <v>B1</v>
      </c>
      <c r="E447" s="4" t="str">
        <f>VLOOKUP(B447,Classification!A:D,3,FALSE)</f>
        <v>Peptide</v>
      </c>
      <c r="F447" s="4" t="str">
        <f>VLOOKUP(B447,Classification!A:D,4,FALSE)</f>
        <v>Glucagonreceptorfamily</v>
      </c>
      <c r="G447" s="2">
        <v>3</v>
      </c>
      <c r="H447" s="45" t="s">
        <v>17</v>
      </c>
      <c r="I447" s="2" t="s">
        <v>1223</v>
      </c>
      <c r="J447" s="5" t="str">
        <f>VLOOKUP(B447,Seqs!A:B,2,FALSE)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447" s="4" t="str">
        <f t="shared" si="42"/>
        <v>C</v>
      </c>
      <c r="L447" s="45">
        <f>VLOOKUP(B447,'NonXtal_SegEnds_Prot#'!A:AL,9,FALSE)</f>
        <v>171</v>
      </c>
      <c r="M447" s="45">
        <f>VLOOKUP(B447,'NonXtal_SegEnds_Prot#'!A:AL,10,FALSE)</f>
        <v>184</v>
      </c>
      <c r="N447" s="45">
        <f>VLOOKUP(B447,'NonXtal_SegEnds_Prot#'!A:AL,11,FALSE)</f>
        <v>199</v>
      </c>
      <c r="O447" s="4" t="str">
        <f t="shared" si="38"/>
        <v>R</v>
      </c>
      <c r="P447" s="4"/>
      <c r="Q447" s="47" t="str">
        <f t="shared" si="39"/>
        <v>CTRNAIHANLFAS</v>
      </c>
      <c r="R447" s="27" t="str">
        <f t="shared" si="40"/>
        <v>F</v>
      </c>
      <c r="S447" s="19" t="str">
        <f t="shared" si="41"/>
        <v>VLKASSVLVIDGLLR</v>
      </c>
      <c r="Z447" s="4"/>
      <c r="AD447" s="1" t="s">
        <v>18</v>
      </c>
      <c r="AE447" s="1">
        <v>172</v>
      </c>
      <c r="AF447" s="1">
        <v>184</v>
      </c>
      <c r="AG447" s="1">
        <v>198</v>
      </c>
      <c r="AH447" s="1" t="s">
        <v>167</v>
      </c>
      <c r="AK447" s="4">
        <v>38</v>
      </c>
      <c r="AL447" s="4">
        <v>64</v>
      </c>
    </row>
    <row r="448" spans="1:38" x14ac:dyDescent="0.25">
      <c r="A448" s="1" t="str">
        <f t="shared" si="37"/>
        <v>glr_human_4L6R_TM2</v>
      </c>
      <c r="B448" s="45" t="s">
        <v>206</v>
      </c>
      <c r="C448" s="45" t="s">
        <v>240</v>
      </c>
      <c r="D448" s="4" t="str">
        <f>VLOOKUP(B448,Classification!A:D,2,FALSE)</f>
        <v>B1</v>
      </c>
      <c r="E448" s="4" t="str">
        <f>VLOOKUP(B448,Classification!A:D,3,FALSE)</f>
        <v>Peptide</v>
      </c>
      <c r="F448" s="4" t="str">
        <f>VLOOKUP(B448,Classification!A:D,4,FALSE)</f>
        <v>Glucagonreceptorfamily</v>
      </c>
      <c r="G448" s="2">
        <v>3</v>
      </c>
      <c r="H448" s="45" t="s">
        <v>17</v>
      </c>
      <c r="I448" s="2" t="s">
        <v>1223</v>
      </c>
      <c r="J448" s="5" t="str">
        <f>VLOOKUP(B448,Seqs!A:B,2,FALSE)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448" s="4" t="str">
        <f t="shared" si="42"/>
        <v>C</v>
      </c>
      <c r="L448" s="45">
        <f>VLOOKUP(B448,'NonXtal_SegEnds_Prot#'!A:AL,9,FALSE)</f>
        <v>171</v>
      </c>
      <c r="M448" s="45">
        <f>VLOOKUP(B448,'NonXtal_SegEnds_Prot#'!A:AL,10,FALSE)</f>
        <v>184</v>
      </c>
      <c r="N448" s="45">
        <f>VLOOKUP(B448,'NonXtal_SegEnds_Prot#'!A:AL,11,FALSE)</f>
        <v>199</v>
      </c>
      <c r="O448" s="4" t="str">
        <f t="shared" si="38"/>
        <v>R</v>
      </c>
      <c r="P448" s="4"/>
      <c r="Q448" s="47" t="str">
        <f t="shared" si="39"/>
        <v>CTRNAIHANLFAS</v>
      </c>
      <c r="R448" s="27" t="str">
        <f t="shared" si="40"/>
        <v>F</v>
      </c>
      <c r="S448" s="19" t="str">
        <f t="shared" si="41"/>
        <v>VLKASSVLVIDGLLR</v>
      </c>
      <c r="Z448" s="4"/>
      <c r="AD448" s="1" t="s">
        <v>18</v>
      </c>
      <c r="AE448" s="1">
        <v>172</v>
      </c>
      <c r="AF448" s="1">
        <v>184</v>
      </c>
      <c r="AG448" s="1">
        <v>198</v>
      </c>
      <c r="AH448" s="1" t="s">
        <v>167</v>
      </c>
      <c r="AK448" s="4">
        <v>38</v>
      </c>
      <c r="AL448" s="4">
        <v>64</v>
      </c>
    </row>
    <row r="449" spans="1:38" x14ac:dyDescent="0.25">
      <c r="A449" s="1" t="str">
        <f t="shared" si="37"/>
        <v>glr_human_5EE7_TM2</v>
      </c>
      <c r="B449" s="45" t="s">
        <v>206</v>
      </c>
      <c r="C449" s="45" t="s">
        <v>237</v>
      </c>
      <c r="D449" s="4" t="str">
        <f>VLOOKUP(B449,Classification!A:D,2,FALSE)</f>
        <v>B1</v>
      </c>
      <c r="E449" s="4" t="str">
        <f>VLOOKUP(B449,Classification!A:D,3,FALSE)</f>
        <v>Peptide</v>
      </c>
      <c r="F449" s="4" t="str">
        <f>VLOOKUP(B449,Classification!A:D,4,FALSE)</f>
        <v>Glucagonreceptorfamily</v>
      </c>
      <c r="G449" s="2">
        <v>3</v>
      </c>
      <c r="H449" s="45" t="s">
        <v>17</v>
      </c>
      <c r="I449" s="2" t="s">
        <v>1223</v>
      </c>
      <c r="J449" s="5" t="str">
        <f>VLOOKUP(B449,Seqs!A:B,2,FALSE)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449" s="4" t="str">
        <f t="shared" si="42"/>
        <v>C</v>
      </c>
      <c r="L449" s="45">
        <f>VLOOKUP(B449,'NonXtal_SegEnds_Prot#'!A:AL,9,FALSE)</f>
        <v>171</v>
      </c>
      <c r="M449" s="45">
        <f>VLOOKUP(B449,'NonXtal_SegEnds_Prot#'!A:AL,10,FALSE)</f>
        <v>184</v>
      </c>
      <c r="N449" s="45">
        <f>VLOOKUP(B449,'NonXtal_SegEnds_Prot#'!A:AL,11,FALSE)</f>
        <v>199</v>
      </c>
      <c r="O449" s="4" t="str">
        <f t="shared" si="38"/>
        <v>R</v>
      </c>
      <c r="P449" s="4"/>
      <c r="Q449" s="47" t="str">
        <f t="shared" si="39"/>
        <v>CTRNAIHANLFAS</v>
      </c>
      <c r="R449" s="27" t="str">
        <f t="shared" si="40"/>
        <v>F</v>
      </c>
      <c r="S449" s="19" t="str">
        <f t="shared" si="41"/>
        <v>VLKASSVLVIDGLLR</v>
      </c>
      <c r="Z449" s="4"/>
      <c r="AD449" s="1" t="s">
        <v>18</v>
      </c>
      <c r="AE449" s="1">
        <v>172</v>
      </c>
      <c r="AF449" s="1">
        <v>184</v>
      </c>
      <c r="AG449" s="1">
        <v>199</v>
      </c>
      <c r="AH449" s="1" t="s">
        <v>66</v>
      </c>
      <c r="AK449" s="4">
        <v>38</v>
      </c>
      <c r="AL449" s="9">
        <v>65</v>
      </c>
    </row>
    <row r="450" spans="1:38" x14ac:dyDescent="0.25">
      <c r="A450" s="1" t="str">
        <f t="shared" ref="A450:A513" si="43">CONCATENATE(B450,"_",C450,"_",H450)</f>
        <v>grm1_human__wt_TM2</v>
      </c>
      <c r="B450" s="45" t="s">
        <v>223</v>
      </c>
      <c r="C450" s="45" t="s">
        <v>294</v>
      </c>
      <c r="D450" s="4" t="str">
        <f>VLOOKUP(B450,Classification!A:D,2,FALSE)</f>
        <v>C</v>
      </c>
      <c r="E450" s="4" t="str">
        <f>VLOOKUP(B450,Classification!A:D,3,FALSE)</f>
        <v>Aminoacid</v>
      </c>
      <c r="F450" s="4" t="str">
        <f>VLOOKUP(B450,Classification!A:D,4,FALSE)</f>
        <v>Metabotropicglutamate</v>
      </c>
      <c r="G450" s="2">
        <v>3</v>
      </c>
      <c r="H450" s="45" t="s">
        <v>17</v>
      </c>
      <c r="I450" s="2" t="s">
        <v>1223</v>
      </c>
      <c r="J450" s="5" t="str">
        <f>VLOOKUP(B450,Seqs!A:B,2,FALSE)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450" s="4" t="str">
        <f t="shared" si="42"/>
        <v>S</v>
      </c>
      <c r="L450" s="45">
        <f>VLOOKUP(B450,'NonXtal_SegEnds_Prot#'!A:AL,9,FALSE)</f>
        <v>627</v>
      </c>
      <c r="M450" s="45">
        <f>VLOOKUP(B450,'NonXtal_SegEnds_Prot#'!A:AL,10,FALSE)</f>
        <v>638</v>
      </c>
      <c r="N450" s="45">
        <f>VLOOKUP(B450,'NonXtal_SegEnds_Prot#'!A:AL,11,FALSE)</f>
        <v>649</v>
      </c>
      <c r="O450" s="4" t="str">
        <f t="shared" ref="O450:O513" si="44">MID(J450,N450,1)</f>
        <v>I</v>
      </c>
      <c r="P450" s="4"/>
      <c r="Q450" s="47" t="str">
        <f t="shared" ref="Q450:Q513" si="45">MID(J450,L450,M450-L450)</f>
        <v>SRELCYIILAG</v>
      </c>
      <c r="R450" s="27" t="str">
        <f t="shared" ref="R450:R513" si="46">MID(J450,M450,1)</f>
        <v>I</v>
      </c>
      <c r="S450" s="19" t="str">
        <f t="shared" ref="S450:S513" si="47">MID(J450,M450+1,N450-M450)</f>
        <v>FLGYVCPFTLI</v>
      </c>
      <c r="Z450" s="4"/>
      <c r="AD450" s="1" t="s">
        <v>186</v>
      </c>
      <c r="AE450" s="1">
        <v>627</v>
      </c>
      <c r="AF450" s="1">
        <v>638</v>
      </c>
      <c r="AG450" s="1">
        <v>649</v>
      </c>
      <c r="AH450" s="1" t="s">
        <v>187</v>
      </c>
      <c r="AK450" s="4">
        <v>39</v>
      </c>
      <c r="AL450" s="4">
        <v>61</v>
      </c>
    </row>
    <row r="451" spans="1:38" x14ac:dyDescent="0.25">
      <c r="A451" s="1" t="str">
        <f t="shared" si="43"/>
        <v>grm1_human_4OR2_TM2</v>
      </c>
      <c r="B451" s="45" t="s">
        <v>223</v>
      </c>
      <c r="C451" s="45" t="s">
        <v>289</v>
      </c>
      <c r="D451" s="4" t="str">
        <f>VLOOKUP(B451,Classification!A:D,2,FALSE)</f>
        <v>C</v>
      </c>
      <c r="E451" s="4" t="str">
        <f>VLOOKUP(B451,Classification!A:D,3,FALSE)</f>
        <v>Aminoacid</v>
      </c>
      <c r="F451" s="4" t="str">
        <f>VLOOKUP(B451,Classification!A:D,4,FALSE)</f>
        <v>Metabotropicglutamate</v>
      </c>
      <c r="G451" s="2">
        <v>3</v>
      </c>
      <c r="H451" s="45" t="s">
        <v>17</v>
      </c>
      <c r="I451" s="2" t="s">
        <v>1223</v>
      </c>
      <c r="J451" s="5" t="str">
        <f>VLOOKUP(B451,Seqs!A:B,2,FALSE)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451" s="4" t="str">
        <f t="shared" si="42"/>
        <v>S</v>
      </c>
      <c r="L451" s="45">
        <f>VLOOKUP(B451,'NonXtal_SegEnds_Prot#'!A:AL,9,FALSE)</f>
        <v>627</v>
      </c>
      <c r="M451" s="45">
        <f>VLOOKUP(B451,'NonXtal_SegEnds_Prot#'!A:AL,10,FALSE)</f>
        <v>638</v>
      </c>
      <c r="N451" s="45">
        <f>VLOOKUP(B451,'NonXtal_SegEnds_Prot#'!A:AL,11,FALSE)</f>
        <v>649</v>
      </c>
      <c r="O451" s="4" t="str">
        <f t="shared" si="44"/>
        <v>I</v>
      </c>
      <c r="P451" s="4"/>
      <c r="Q451" s="47" t="str">
        <f t="shared" si="45"/>
        <v>SRELCYIILAG</v>
      </c>
      <c r="R451" s="27" t="str">
        <f t="shared" si="46"/>
        <v>I</v>
      </c>
      <c r="S451" s="19" t="str">
        <f t="shared" si="47"/>
        <v>FLGYVCPFTLI</v>
      </c>
      <c r="Z451" s="4"/>
      <c r="AD451" s="1" t="s">
        <v>186</v>
      </c>
      <c r="AE451" s="1">
        <v>627</v>
      </c>
      <c r="AF451" s="1">
        <v>638</v>
      </c>
      <c r="AG451" s="1">
        <v>649</v>
      </c>
      <c r="AH451" s="1" t="s">
        <v>187</v>
      </c>
      <c r="AK451" s="4">
        <v>39</v>
      </c>
      <c r="AL451" s="4">
        <v>61</v>
      </c>
    </row>
    <row r="452" spans="1:38" x14ac:dyDescent="0.25">
      <c r="A452" s="1" t="str">
        <f t="shared" si="43"/>
        <v>grm5_human__wt_TM2</v>
      </c>
      <c r="B452" s="45" t="s">
        <v>224</v>
      </c>
      <c r="C452" s="45" t="s">
        <v>294</v>
      </c>
      <c r="D452" s="4" t="str">
        <f>VLOOKUP(B452,Classification!A:D,2,FALSE)</f>
        <v>C</v>
      </c>
      <c r="E452" s="4" t="str">
        <f>VLOOKUP(B452,Classification!A:D,3,FALSE)</f>
        <v>Aminoacid</v>
      </c>
      <c r="F452" s="4" t="str">
        <f>VLOOKUP(B452,Classification!A:D,4,FALSE)</f>
        <v>Metabotropicglutamate</v>
      </c>
      <c r="G452" s="2">
        <v>3</v>
      </c>
      <c r="H452" s="45" t="s">
        <v>17</v>
      </c>
      <c r="I452" s="2" t="s">
        <v>1223</v>
      </c>
      <c r="J452" s="5" t="str">
        <f>VLOOKUP(B452,Seqs!A:B,2,FALSE)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2" s="4" t="str">
        <f t="shared" si="42"/>
        <v>S</v>
      </c>
      <c r="L452" s="45">
        <f>VLOOKUP(B452,'NonXtal_SegEnds_Prot#'!A:AL,9,FALSE)</f>
        <v>614</v>
      </c>
      <c r="M452" s="45">
        <f>VLOOKUP(B452,'NonXtal_SegEnds_Prot#'!A:AL,10,FALSE)</f>
        <v>625</v>
      </c>
      <c r="N452" s="45">
        <f>VLOOKUP(B452,'NonXtal_SegEnds_Prot#'!A:AL,11,FALSE)</f>
        <v>636</v>
      </c>
      <c r="O452" s="4" t="str">
        <f t="shared" si="44"/>
        <v>I</v>
      </c>
      <c r="P452" s="4"/>
      <c r="Q452" s="47" t="str">
        <f t="shared" si="45"/>
        <v>SRELCYIILAG</v>
      </c>
      <c r="R452" s="27" t="str">
        <f t="shared" si="46"/>
        <v>I</v>
      </c>
      <c r="S452" s="19" t="str">
        <f t="shared" si="47"/>
        <v>CLGYLCTFCLI</v>
      </c>
      <c r="Z452" s="4"/>
      <c r="AD452" s="1" t="s">
        <v>186</v>
      </c>
      <c r="AE452" s="1">
        <v>614</v>
      </c>
      <c r="AF452" s="1">
        <v>625</v>
      </c>
      <c r="AG452" s="1">
        <v>636</v>
      </c>
      <c r="AH452" s="1" t="s">
        <v>187</v>
      </c>
      <c r="AK452" s="4">
        <v>39</v>
      </c>
      <c r="AL452" s="4">
        <v>61</v>
      </c>
    </row>
    <row r="453" spans="1:38" x14ac:dyDescent="0.25">
      <c r="A453" s="1" t="str">
        <f t="shared" si="43"/>
        <v>grm5_human_4OO9_TM2</v>
      </c>
      <c r="B453" s="45" t="s">
        <v>224</v>
      </c>
      <c r="C453" s="45" t="s">
        <v>248</v>
      </c>
      <c r="D453" s="4" t="str">
        <f>VLOOKUP(B453,Classification!A:D,2,FALSE)</f>
        <v>C</v>
      </c>
      <c r="E453" s="4" t="str">
        <f>VLOOKUP(B453,Classification!A:D,3,FALSE)</f>
        <v>Aminoacid</v>
      </c>
      <c r="F453" s="4" t="str">
        <f>VLOOKUP(B453,Classification!A:D,4,FALSE)</f>
        <v>Metabotropicglutamate</v>
      </c>
      <c r="G453" s="2">
        <v>3</v>
      </c>
      <c r="H453" s="45" t="s">
        <v>17</v>
      </c>
      <c r="I453" s="2" t="s">
        <v>1223</v>
      </c>
      <c r="J453" s="5" t="str">
        <f>VLOOKUP(B453,Seqs!A:B,2,FALSE)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3" s="4" t="str">
        <f t="shared" si="42"/>
        <v>S</v>
      </c>
      <c r="L453" s="45">
        <f>VLOOKUP(B453,'NonXtal_SegEnds_Prot#'!A:AL,9,FALSE)</f>
        <v>614</v>
      </c>
      <c r="M453" s="45">
        <f>VLOOKUP(B453,'NonXtal_SegEnds_Prot#'!A:AL,10,FALSE)</f>
        <v>625</v>
      </c>
      <c r="N453" s="45">
        <f>VLOOKUP(B453,'NonXtal_SegEnds_Prot#'!A:AL,11,FALSE)</f>
        <v>636</v>
      </c>
      <c r="O453" s="4" t="str">
        <f t="shared" si="44"/>
        <v>I</v>
      </c>
      <c r="P453" s="4"/>
      <c r="Q453" s="47" t="str">
        <f t="shared" si="45"/>
        <v>SRELCYIILAG</v>
      </c>
      <c r="R453" s="27" t="str">
        <f t="shared" si="46"/>
        <v>I</v>
      </c>
      <c r="S453" s="19" t="str">
        <f t="shared" si="47"/>
        <v>CLGYLCTFCLI</v>
      </c>
      <c r="Z453" s="4"/>
      <c r="AD453" s="1" t="s">
        <v>186</v>
      </c>
      <c r="AE453" s="1">
        <v>614</v>
      </c>
      <c r="AF453" s="1">
        <v>625</v>
      </c>
      <c r="AG453" s="1">
        <v>636</v>
      </c>
      <c r="AH453" s="1" t="s">
        <v>187</v>
      </c>
      <c r="AK453" s="4">
        <v>39</v>
      </c>
      <c r="AL453" s="4">
        <v>61</v>
      </c>
    </row>
    <row r="454" spans="1:38" x14ac:dyDescent="0.25">
      <c r="A454" s="1" t="str">
        <f t="shared" si="43"/>
        <v>grm5_human_5CGC_TM2</v>
      </c>
      <c r="B454" s="45" t="s">
        <v>224</v>
      </c>
      <c r="C454" s="45" t="s">
        <v>249</v>
      </c>
      <c r="D454" s="4" t="str">
        <f>VLOOKUP(B454,Classification!A:D,2,FALSE)</f>
        <v>C</v>
      </c>
      <c r="E454" s="4" t="str">
        <f>VLOOKUP(B454,Classification!A:D,3,FALSE)</f>
        <v>Aminoacid</v>
      </c>
      <c r="F454" s="4" t="str">
        <f>VLOOKUP(B454,Classification!A:D,4,FALSE)</f>
        <v>Metabotropicglutamate</v>
      </c>
      <c r="G454" s="2">
        <v>3</v>
      </c>
      <c r="H454" s="45" t="s">
        <v>17</v>
      </c>
      <c r="I454" s="2" t="s">
        <v>1223</v>
      </c>
      <c r="J454" s="5" t="str">
        <f>VLOOKUP(B454,Seqs!A:B,2,FALSE)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4" s="4" t="str">
        <f t="shared" si="42"/>
        <v>S</v>
      </c>
      <c r="L454" s="45">
        <f>VLOOKUP(B454,'NonXtal_SegEnds_Prot#'!A:AL,9,FALSE)</f>
        <v>614</v>
      </c>
      <c r="M454" s="45">
        <f>VLOOKUP(B454,'NonXtal_SegEnds_Prot#'!A:AL,10,FALSE)</f>
        <v>625</v>
      </c>
      <c r="N454" s="45">
        <f>VLOOKUP(B454,'NonXtal_SegEnds_Prot#'!A:AL,11,FALSE)</f>
        <v>636</v>
      </c>
      <c r="O454" s="4" t="str">
        <f t="shared" si="44"/>
        <v>I</v>
      </c>
      <c r="P454" s="4"/>
      <c r="Q454" s="47" t="str">
        <f t="shared" si="45"/>
        <v>SRELCYIILAG</v>
      </c>
      <c r="R454" s="27" t="str">
        <f t="shared" si="46"/>
        <v>I</v>
      </c>
      <c r="S454" s="19" t="str">
        <f t="shared" si="47"/>
        <v>CLGYLCTFCLI</v>
      </c>
      <c r="Z454" s="4"/>
      <c r="AD454" s="1" t="s">
        <v>186</v>
      </c>
      <c r="AE454" s="1">
        <v>614</v>
      </c>
      <c r="AF454" s="1">
        <v>625</v>
      </c>
      <c r="AG454" s="1">
        <v>636</v>
      </c>
      <c r="AH454" s="1" t="s">
        <v>187</v>
      </c>
      <c r="AK454" s="4">
        <v>39</v>
      </c>
      <c r="AL454" s="4">
        <v>61</v>
      </c>
    </row>
    <row r="455" spans="1:38" x14ac:dyDescent="0.25">
      <c r="A455" s="1" t="str">
        <f t="shared" si="43"/>
        <v>grm5_human_5CGD_TM2</v>
      </c>
      <c r="B455" s="45" t="s">
        <v>224</v>
      </c>
      <c r="C455" s="45" t="s">
        <v>250</v>
      </c>
      <c r="D455" s="4" t="str">
        <f>VLOOKUP(B455,Classification!A:D,2,FALSE)</f>
        <v>C</v>
      </c>
      <c r="E455" s="4" t="str">
        <f>VLOOKUP(B455,Classification!A:D,3,FALSE)</f>
        <v>Aminoacid</v>
      </c>
      <c r="F455" s="4" t="str">
        <f>VLOOKUP(B455,Classification!A:D,4,FALSE)</f>
        <v>Metabotropicglutamate</v>
      </c>
      <c r="G455" s="2">
        <v>3</v>
      </c>
      <c r="H455" s="45" t="s">
        <v>17</v>
      </c>
      <c r="I455" s="2" t="s">
        <v>1223</v>
      </c>
      <c r="J455" s="5" t="str">
        <f>VLOOKUP(B455,Seqs!A:B,2,FALSE)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5" s="4" t="str">
        <f t="shared" si="42"/>
        <v>S</v>
      </c>
      <c r="L455" s="45">
        <f>VLOOKUP(B455,'NonXtal_SegEnds_Prot#'!A:AL,9,FALSE)</f>
        <v>614</v>
      </c>
      <c r="M455" s="45">
        <f>VLOOKUP(B455,'NonXtal_SegEnds_Prot#'!A:AL,10,FALSE)</f>
        <v>625</v>
      </c>
      <c r="N455" s="45">
        <f>VLOOKUP(B455,'NonXtal_SegEnds_Prot#'!A:AL,11,FALSE)</f>
        <v>636</v>
      </c>
      <c r="O455" s="4" t="str">
        <f t="shared" si="44"/>
        <v>I</v>
      </c>
      <c r="P455" s="4"/>
      <c r="Q455" s="47" t="str">
        <f t="shared" si="45"/>
        <v>SRELCYIILAG</v>
      </c>
      <c r="R455" s="27" t="str">
        <f t="shared" si="46"/>
        <v>I</v>
      </c>
      <c r="S455" s="19" t="str">
        <f t="shared" si="47"/>
        <v>CLGYLCTFCLI</v>
      </c>
      <c r="Z455" s="4"/>
      <c r="AD455" s="1" t="s">
        <v>186</v>
      </c>
      <c r="AE455" s="1">
        <v>614</v>
      </c>
      <c r="AF455" s="1">
        <v>625</v>
      </c>
      <c r="AG455" s="1">
        <v>636</v>
      </c>
      <c r="AH455" s="1" t="s">
        <v>187</v>
      </c>
      <c r="AK455" s="4">
        <v>39</v>
      </c>
      <c r="AL455" s="4">
        <v>61</v>
      </c>
    </row>
    <row r="456" spans="1:38" x14ac:dyDescent="0.25">
      <c r="A456" s="1" t="str">
        <f t="shared" si="43"/>
        <v>LPAR1_human__wt_TM2</v>
      </c>
      <c r="B456" s="45" t="s">
        <v>214</v>
      </c>
      <c r="C456" s="45" t="s">
        <v>294</v>
      </c>
      <c r="D456" s="4" t="str">
        <f>VLOOKUP(B456,Classification!A:D,2,FALSE)</f>
        <v>A</v>
      </c>
      <c r="E456" s="4" t="str">
        <f>VLOOKUP(B456,Classification!A:D,3,FALSE)</f>
        <v>Lipid</v>
      </c>
      <c r="F456" s="4" t="str">
        <f>VLOOKUP(B456,Classification!A:D,4,FALSE)</f>
        <v>Lysophospholipid(LPA)</v>
      </c>
      <c r="G456" s="2">
        <v>3</v>
      </c>
      <c r="H456" s="45" t="s">
        <v>17</v>
      </c>
      <c r="I456" s="2" t="s">
        <v>1223</v>
      </c>
      <c r="J456" s="5" t="str">
        <f>VLOOKUP(B456,Seqs!A:B,2,FALSE)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456" s="4" t="str">
        <f t="shared" si="42"/>
        <v>F</v>
      </c>
      <c r="L456" s="45">
        <f>VLOOKUP(B456,'NonXtal_SegEnds_Prot#'!A:AL,9,FALSE)</f>
        <v>82</v>
      </c>
      <c r="M456" s="45">
        <f>VLOOKUP(B456,'NonXtal_SegEnds_Prot#'!A:AL,10,FALSE)</f>
        <v>95</v>
      </c>
      <c r="N456" s="45">
        <f>VLOOKUP(B456,'NonXtal_SegEnds_Prot#'!A:AL,11,FALSE)</f>
        <v>108</v>
      </c>
      <c r="O456" s="4" t="str">
        <f t="shared" si="44"/>
        <v>N</v>
      </c>
      <c r="P456" s="4"/>
      <c r="Q456" s="47" t="str">
        <f t="shared" si="45"/>
        <v>FPIYYLMANLAAA</v>
      </c>
      <c r="R456" s="27" t="str">
        <f t="shared" si="46"/>
        <v>D</v>
      </c>
      <c r="S456" s="19" t="str">
        <f t="shared" si="47"/>
        <v>FFAGLAYFYLMFN</v>
      </c>
      <c r="Z456" s="4"/>
      <c r="AD456" s="1" t="s">
        <v>18</v>
      </c>
      <c r="AE456" s="1">
        <v>83</v>
      </c>
      <c r="AF456" s="1">
        <v>95</v>
      </c>
      <c r="AG456" s="1">
        <v>108</v>
      </c>
      <c r="AH456" s="1" t="s">
        <v>123</v>
      </c>
      <c r="AK456" s="4">
        <v>38</v>
      </c>
      <c r="AL456" s="4">
        <v>62</v>
      </c>
    </row>
    <row r="457" spans="1:38" x14ac:dyDescent="0.25">
      <c r="A457" s="1" t="str">
        <f t="shared" si="43"/>
        <v>LPAR1_human_4Z35_TM2</v>
      </c>
      <c r="B457" s="45" t="s">
        <v>214</v>
      </c>
      <c r="C457" s="45" t="s">
        <v>281</v>
      </c>
      <c r="D457" s="4" t="str">
        <f>VLOOKUP(B457,Classification!A:D,2,FALSE)</f>
        <v>A</v>
      </c>
      <c r="E457" s="4" t="str">
        <f>VLOOKUP(B457,Classification!A:D,3,FALSE)</f>
        <v>Lipid</v>
      </c>
      <c r="F457" s="4" t="str">
        <f>VLOOKUP(B457,Classification!A:D,4,FALSE)</f>
        <v>Lysophospholipid(LPA)</v>
      </c>
      <c r="G457" s="2">
        <v>3</v>
      </c>
      <c r="H457" s="45" t="s">
        <v>17</v>
      </c>
      <c r="I457" s="2" t="s">
        <v>1223</v>
      </c>
      <c r="J457" s="5" t="str">
        <f>VLOOKUP(B457,Seqs!A:B,2,FALSE)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457" s="4" t="str">
        <f t="shared" si="42"/>
        <v>F</v>
      </c>
      <c r="L457" s="45">
        <f>VLOOKUP(B457,'NonXtal_SegEnds_Prot#'!A:AL,9,FALSE)</f>
        <v>82</v>
      </c>
      <c r="M457" s="45">
        <f>VLOOKUP(B457,'NonXtal_SegEnds_Prot#'!A:AL,10,FALSE)</f>
        <v>95</v>
      </c>
      <c r="N457" s="45">
        <f>VLOOKUP(B457,'NonXtal_SegEnds_Prot#'!A:AL,11,FALSE)</f>
        <v>108</v>
      </c>
      <c r="O457" s="4" t="str">
        <f t="shared" si="44"/>
        <v>N</v>
      </c>
      <c r="P457" s="4"/>
      <c r="Q457" s="47" t="str">
        <f t="shared" si="45"/>
        <v>FPIYYLMANLAAA</v>
      </c>
      <c r="R457" s="27" t="str">
        <f t="shared" si="46"/>
        <v>D</v>
      </c>
      <c r="S457" s="19" t="str">
        <f t="shared" si="47"/>
        <v>FFAGLAYFYLMFN</v>
      </c>
      <c r="Z457" s="4"/>
      <c r="AD457" s="1" t="s">
        <v>18</v>
      </c>
      <c r="AE457" s="1">
        <v>83</v>
      </c>
      <c r="AF457" s="1">
        <v>95</v>
      </c>
      <c r="AG457" s="1">
        <v>108</v>
      </c>
      <c r="AH457" s="1" t="s">
        <v>123</v>
      </c>
      <c r="AK457" s="4">
        <v>38</v>
      </c>
      <c r="AL457" s="4">
        <v>62</v>
      </c>
    </row>
    <row r="458" spans="1:38" x14ac:dyDescent="0.25">
      <c r="A458" s="1" t="str">
        <f t="shared" si="43"/>
        <v>NTR1_rat_4GRV_TM2</v>
      </c>
      <c r="B458" s="45" t="s">
        <v>234</v>
      </c>
      <c r="C458" s="45" t="s">
        <v>238</v>
      </c>
      <c r="D458" s="4" t="str">
        <f>VLOOKUP(B458,Classification!A:D,2,FALSE)</f>
        <v>A</v>
      </c>
      <c r="E458" s="4" t="str">
        <f>VLOOKUP(B458,Classification!A:D,3,FALSE)</f>
        <v>Peptide</v>
      </c>
      <c r="F458" s="4" t="str">
        <f>VLOOKUP(B458,Classification!A:D,4,FALSE)</f>
        <v>Neurotensin</v>
      </c>
      <c r="G458" s="2">
        <v>3</v>
      </c>
      <c r="H458" s="45" t="s">
        <v>17</v>
      </c>
      <c r="I458" s="2" t="s">
        <v>1223</v>
      </c>
      <c r="J458" s="5" t="str">
        <f>VLOOKUP(B458,Seqs!A:B,2,FALSE)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58" s="4" t="str">
        <f t="shared" si="42"/>
        <v>S</v>
      </c>
      <c r="L458" s="45">
        <f>VLOOKUP(B458,'NonXtal_SegEnds_Prot#'!A:AL,9,FALSE)</f>
        <v>97</v>
      </c>
      <c r="M458" s="45">
        <f>VLOOKUP(B458,'NonXtal_SegEnds_Prot#'!A:AL,10,FALSE)</f>
        <v>113</v>
      </c>
      <c r="N458" s="45">
        <f>VLOOKUP(B458,'NonXtal_SegEnds_Prot#'!A:AL,11,FALSE)</f>
        <v>131</v>
      </c>
      <c r="O458" s="4" t="str">
        <f t="shared" si="44"/>
        <v>V</v>
      </c>
      <c r="P458" s="4"/>
      <c r="Q458" s="47" t="str">
        <f t="shared" si="45"/>
        <v>SLQSTVHYHLGSLALS</v>
      </c>
      <c r="R458" s="27" t="str">
        <f t="shared" si="46"/>
        <v>D</v>
      </c>
      <c r="S458" s="19" t="str">
        <f t="shared" si="47"/>
        <v>LLILLLAMPVELYNFIWV</v>
      </c>
      <c r="Z458" s="4"/>
      <c r="AD458" s="1" t="s">
        <v>132</v>
      </c>
      <c r="AE458" s="1">
        <v>97</v>
      </c>
      <c r="AF458" s="1">
        <v>113</v>
      </c>
      <c r="AG458" s="1">
        <v>130</v>
      </c>
      <c r="AH458" s="1" t="s">
        <v>19</v>
      </c>
      <c r="AK458" s="4">
        <v>34</v>
      </c>
      <c r="AL458" s="4">
        <v>66</v>
      </c>
    </row>
    <row r="459" spans="1:38" x14ac:dyDescent="0.25">
      <c r="A459" s="1" t="str">
        <f t="shared" si="43"/>
        <v>OPRD_human__wt_TM2</v>
      </c>
      <c r="B459" s="45" t="s">
        <v>226</v>
      </c>
      <c r="C459" s="45" t="s">
        <v>294</v>
      </c>
      <c r="D459" s="4" t="str">
        <f>VLOOKUP(B459,Classification!A:D,2,FALSE)</f>
        <v>A</v>
      </c>
      <c r="E459" s="4" t="str">
        <f>VLOOKUP(B459,Classification!A:D,3,FALSE)</f>
        <v>Peptide</v>
      </c>
      <c r="F459" s="4" t="str">
        <f>VLOOKUP(B459,Classification!A:D,4,FALSE)</f>
        <v>Opioid</v>
      </c>
      <c r="G459" s="2">
        <v>3</v>
      </c>
      <c r="H459" s="45" t="s">
        <v>17</v>
      </c>
      <c r="I459" s="2" t="s">
        <v>1223</v>
      </c>
      <c r="J459" s="5" t="str">
        <f>VLOOKUP(B459,Seqs!A:B,2,FALSE)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59" s="4" t="str">
        <f t="shared" si="42"/>
        <v>T</v>
      </c>
      <c r="L459" s="45">
        <f>VLOOKUP(B459,'NonXtal_SegEnds_Prot#'!A:AL,9,FALSE)</f>
        <v>82</v>
      </c>
      <c r="M459" s="45">
        <f>VLOOKUP(B459,'NonXtal_SegEnds_Prot#'!A:AL,10,FALSE)</f>
        <v>95</v>
      </c>
      <c r="N459" s="45">
        <f>VLOOKUP(B459,'NonXtal_SegEnds_Prot#'!A:AL,11,FALSE)</f>
        <v>111</v>
      </c>
      <c r="O459" s="4" t="str">
        <f t="shared" si="44"/>
        <v>M</v>
      </c>
      <c r="P459" s="4"/>
      <c r="Q459" s="47" t="str">
        <f t="shared" si="45"/>
        <v>TATNIYIFNLALA</v>
      </c>
      <c r="R459" s="27" t="str">
        <f t="shared" si="46"/>
        <v>D</v>
      </c>
      <c r="S459" s="19" t="str">
        <f t="shared" si="47"/>
        <v>ALATSTLPFQSAKYLM</v>
      </c>
      <c r="Z459" s="4"/>
      <c r="AD459" s="1" t="s">
        <v>18</v>
      </c>
      <c r="AE459" s="1">
        <v>83</v>
      </c>
      <c r="AF459" s="1">
        <v>95</v>
      </c>
      <c r="AG459" s="1">
        <v>111</v>
      </c>
      <c r="AH459" s="1" t="s">
        <v>19</v>
      </c>
      <c r="AK459" s="4">
        <v>38</v>
      </c>
      <c r="AL459" s="4">
        <v>66</v>
      </c>
    </row>
    <row r="460" spans="1:38" x14ac:dyDescent="0.25">
      <c r="A460" s="1" t="str">
        <f t="shared" si="43"/>
        <v>OPRD_human_4N6H_TM2</v>
      </c>
      <c r="B460" s="45" t="s">
        <v>226</v>
      </c>
      <c r="C460" s="45" t="s">
        <v>279</v>
      </c>
      <c r="D460" s="4" t="str">
        <f>VLOOKUP(B460,Classification!A:D,2,FALSE)</f>
        <v>A</v>
      </c>
      <c r="E460" s="4" t="str">
        <f>VLOOKUP(B460,Classification!A:D,3,FALSE)</f>
        <v>Peptide</v>
      </c>
      <c r="F460" s="4" t="str">
        <f>VLOOKUP(B460,Classification!A:D,4,FALSE)</f>
        <v>Opioid</v>
      </c>
      <c r="G460" s="2">
        <v>3</v>
      </c>
      <c r="H460" s="45" t="s">
        <v>17</v>
      </c>
      <c r="I460" s="2" t="s">
        <v>1223</v>
      </c>
      <c r="J460" s="5" t="str">
        <f>VLOOKUP(B460,Seqs!A:B,2,FALSE)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60" s="4" t="str">
        <f t="shared" si="42"/>
        <v>T</v>
      </c>
      <c r="L460" s="45">
        <f>VLOOKUP(B460,'NonXtal_SegEnds_Prot#'!A:AL,9,FALSE)</f>
        <v>82</v>
      </c>
      <c r="M460" s="45">
        <f>VLOOKUP(B460,'NonXtal_SegEnds_Prot#'!A:AL,10,FALSE)</f>
        <v>95</v>
      </c>
      <c r="N460" s="45">
        <f>VLOOKUP(B460,'NonXtal_SegEnds_Prot#'!A:AL,11,FALSE)</f>
        <v>111</v>
      </c>
      <c r="O460" s="4" t="str">
        <f t="shared" si="44"/>
        <v>M</v>
      </c>
      <c r="P460" s="4"/>
      <c r="Q460" s="47" t="str">
        <f t="shared" si="45"/>
        <v>TATNIYIFNLALA</v>
      </c>
      <c r="R460" s="27" t="str">
        <f t="shared" si="46"/>
        <v>D</v>
      </c>
      <c r="S460" s="19" t="str">
        <f t="shared" si="47"/>
        <v>ALATSTLPFQSAKYLM</v>
      </c>
      <c r="Z460" s="4"/>
      <c r="AD460" s="1" t="s">
        <v>18</v>
      </c>
      <c r="AE460" s="1">
        <v>83</v>
      </c>
      <c r="AF460" s="1">
        <v>95</v>
      </c>
      <c r="AG460" s="1">
        <v>111</v>
      </c>
      <c r="AH460" s="1" t="s">
        <v>19</v>
      </c>
      <c r="AK460" s="4">
        <v>38</v>
      </c>
      <c r="AL460" s="4">
        <v>66</v>
      </c>
    </row>
    <row r="461" spans="1:38" x14ac:dyDescent="0.25">
      <c r="A461" s="1" t="str">
        <f t="shared" si="43"/>
        <v>OPRD_mouse_4EJ4_TM2</v>
      </c>
      <c r="B461" s="45" t="s">
        <v>233</v>
      </c>
      <c r="C461" s="45" t="s">
        <v>255</v>
      </c>
      <c r="D461" s="4" t="str">
        <f>VLOOKUP(B461,Classification!A:D,2,FALSE)</f>
        <v>A</v>
      </c>
      <c r="E461" s="4" t="str">
        <f>VLOOKUP(B461,Classification!A:D,3,FALSE)</f>
        <v>Peptide</v>
      </c>
      <c r="F461" s="4" t="str">
        <f>VLOOKUP(B461,Classification!A:D,4,FALSE)</f>
        <v>Opioid</v>
      </c>
      <c r="G461" s="2">
        <v>3</v>
      </c>
      <c r="H461" s="45" t="s">
        <v>17</v>
      </c>
      <c r="I461" s="2" t="s">
        <v>1223</v>
      </c>
      <c r="J461" s="5" t="str">
        <f>VLOOKUP(B461,Seqs!A:B,2,FALSE)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461" s="4" t="str">
        <f t="shared" si="42"/>
        <v>T</v>
      </c>
      <c r="L461" s="45">
        <f>VLOOKUP(B461,'NonXtal_SegEnds_Prot#'!A:AL,9,FALSE)</f>
        <v>82</v>
      </c>
      <c r="M461" s="45">
        <f>VLOOKUP(B461,'NonXtal_SegEnds_Prot#'!A:AL,10,FALSE)</f>
        <v>95</v>
      </c>
      <c r="N461" s="45">
        <f>VLOOKUP(B461,'NonXtal_SegEnds_Prot#'!A:AL,11,FALSE)</f>
        <v>111</v>
      </c>
      <c r="O461" s="4" t="str">
        <f t="shared" si="44"/>
        <v>M</v>
      </c>
      <c r="P461" s="4"/>
      <c r="Q461" s="47" t="str">
        <f t="shared" si="45"/>
        <v>TATNIYIFNLALA</v>
      </c>
      <c r="R461" s="27" t="str">
        <f t="shared" si="46"/>
        <v>D</v>
      </c>
      <c r="S461" s="19" t="str">
        <f t="shared" si="47"/>
        <v>ALATSTLPFQSAKYLM</v>
      </c>
      <c r="Z461" s="4"/>
      <c r="AD461" s="1" t="s">
        <v>18</v>
      </c>
      <c r="AE461" s="1">
        <v>83</v>
      </c>
      <c r="AF461" s="1">
        <v>95</v>
      </c>
      <c r="AG461" s="1">
        <v>111</v>
      </c>
      <c r="AH461" s="1" t="s">
        <v>19</v>
      </c>
      <c r="AK461" s="4">
        <v>38</v>
      </c>
      <c r="AL461" s="4">
        <v>66</v>
      </c>
    </row>
    <row r="462" spans="1:38" x14ac:dyDescent="0.25">
      <c r="A462" s="1" t="str">
        <f t="shared" si="43"/>
        <v>OPRK_human__wt_TM2</v>
      </c>
      <c r="B462" s="45" t="s">
        <v>227</v>
      </c>
      <c r="C462" s="45" t="s">
        <v>294</v>
      </c>
      <c r="D462" s="4" t="str">
        <f>VLOOKUP(B462,Classification!A:D,2,FALSE)</f>
        <v>A</v>
      </c>
      <c r="E462" s="4" t="str">
        <f>VLOOKUP(B462,Classification!A:D,3,FALSE)</f>
        <v>Peptide</v>
      </c>
      <c r="F462" s="4" t="str">
        <f>VLOOKUP(B462,Classification!A:D,4,FALSE)</f>
        <v>Opioid</v>
      </c>
      <c r="G462" s="2">
        <v>3</v>
      </c>
      <c r="H462" s="45" t="s">
        <v>17</v>
      </c>
      <c r="I462" s="2" t="s">
        <v>1223</v>
      </c>
      <c r="J462" s="5" t="str">
        <f>VLOOKUP(B462,Seqs!A:B,2,FALSE)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62" s="4" t="str">
        <f t="shared" si="42"/>
        <v>T</v>
      </c>
      <c r="L462" s="45">
        <f>VLOOKUP(B462,'NonXtal_SegEnds_Prot#'!A:AL,9,FALSE)</f>
        <v>92</v>
      </c>
      <c r="M462" s="45">
        <f>VLOOKUP(B462,'NonXtal_SegEnds_Prot#'!A:AL,10,FALSE)</f>
        <v>105</v>
      </c>
      <c r="N462" s="45">
        <f>VLOOKUP(B462,'NonXtal_SegEnds_Prot#'!A:AL,11,FALSE)</f>
        <v>121</v>
      </c>
      <c r="O462" s="4" t="str">
        <f t="shared" si="44"/>
        <v>M</v>
      </c>
      <c r="P462" s="4"/>
      <c r="Q462" s="47" t="str">
        <f t="shared" si="45"/>
        <v>TATNIYIFNLALA</v>
      </c>
      <c r="R462" s="27" t="str">
        <f t="shared" si="46"/>
        <v>D</v>
      </c>
      <c r="S462" s="19" t="str">
        <f t="shared" si="47"/>
        <v>ALVTTTMPFQSTVYLM</v>
      </c>
      <c r="Z462" s="4"/>
      <c r="AD462" s="1" t="s">
        <v>18</v>
      </c>
      <c r="AE462" s="1">
        <v>93</v>
      </c>
      <c r="AF462" s="1">
        <v>105</v>
      </c>
      <c r="AG462" s="1">
        <v>121</v>
      </c>
      <c r="AH462" s="1" t="s">
        <v>19</v>
      </c>
      <c r="AK462" s="4">
        <v>38</v>
      </c>
      <c r="AL462" s="4">
        <v>66</v>
      </c>
    </row>
    <row r="463" spans="1:38" x14ac:dyDescent="0.25">
      <c r="A463" s="1" t="str">
        <f t="shared" si="43"/>
        <v>OPRK_human_4DJH_TM2</v>
      </c>
      <c r="B463" s="45" t="s">
        <v>227</v>
      </c>
      <c r="C463" s="45" t="s">
        <v>280</v>
      </c>
      <c r="D463" s="4" t="str">
        <f>VLOOKUP(B463,Classification!A:D,2,FALSE)</f>
        <v>A</v>
      </c>
      <c r="E463" s="4" t="str">
        <f>VLOOKUP(B463,Classification!A:D,3,FALSE)</f>
        <v>Peptide</v>
      </c>
      <c r="F463" s="4" t="str">
        <f>VLOOKUP(B463,Classification!A:D,4,FALSE)</f>
        <v>Opioid</v>
      </c>
      <c r="G463" s="2">
        <v>3</v>
      </c>
      <c r="H463" s="45" t="s">
        <v>17</v>
      </c>
      <c r="I463" s="2" t="s">
        <v>1223</v>
      </c>
      <c r="J463" s="5" t="str">
        <f>VLOOKUP(B463,Seqs!A:B,2,FALSE)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63" s="4" t="str">
        <f t="shared" si="42"/>
        <v>T</v>
      </c>
      <c r="L463" s="45">
        <f>VLOOKUP(B463,'NonXtal_SegEnds_Prot#'!A:AL,9,FALSE)</f>
        <v>92</v>
      </c>
      <c r="M463" s="45">
        <f>VLOOKUP(B463,'NonXtal_SegEnds_Prot#'!A:AL,10,FALSE)</f>
        <v>105</v>
      </c>
      <c r="N463" s="45">
        <f>VLOOKUP(B463,'NonXtal_SegEnds_Prot#'!A:AL,11,FALSE)</f>
        <v>121</v>
      </c>
      <c r="O463" s="4" t="str">
        <f t="shared" si="44"/>
        <v>M</v>
      </c>
      <c r="P463" s="4"/>
      <c r="Q463" s="47" t="str">
        <f t="shared" si="45"/>
        <v>TATNIYIFNLALA</v>
      </c>
      <c r="R463" s="27" t="str">
        <f t="shared" si="46"/>
        <v>D</v>
      </c>
      <c r="S463" s="19" t="str">
        <f t="shared" si="47"/>
        <v>ALVTTTMPFQSTVYLM</v>
      </c>
      <c r="Z463" s="4"/>
      <c r="AD463" s="1" t="s">
        <v>18</v>
      </c>
      <c r="AE463" s="1">
        <v>93</v>
      </c>
      <c r="AF463" s="1">
        <v>105</v>
      </c>
      <c r="AG463" s="1">
        <v>121</v>
      </c>
      <c r="AH463" s="1" t="s">
        <v>19</v>
      </c>
      <c r="AK463" s="4">
        <v>38</v>
      </c>
      <c r="AL463" s="4">
        <v>66</v>
      </c>
    </row>
    <row r="464" spans="1:38" x14ac:dyDescent="0.25">
      <c r="A464" s="1" t="str">
        <f t="shared" si="43"/>
        <v>OPRM_mouse__wt_TM2</v>
      </c>
      <c r="B464" s="45" t="s">
        <v>232</v>
      </c>
      <c r="C464" s="45" t="s">
        <v>294</v>
      </c>
      <c r="D464" s="4" t="str">
        <f>VLOOKUP(B464,Classification!A:D,2,FALSE)</f>
        <v>A</v>
      </c>
      <c r="E464" s="4" t="str">
        <f>VLOOKUP(B464,Classification!A:D,3,FALSE)</f>
        <v>Peptide</v>
      </c>
      <c r="F464" s="4" t="str">
        <f>VLOOKUP(B464,Classification!A:D,4,FALSE)</f>
        <v>Opioid</v>
      </c>
      <c r="G464" s="2">
        <v>3</v>
      </c>
      <c r="H464" s="45" t="s">
        <v>17</v>
      </c>
      <c r="I464" s="2" t="s">
        <v>1223</v>
      </c>
      <c r="J464" s="5" t="str">
        <f>VLOOKUP(B464,Seqs!A:B,2,FALSE)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64" s="4" t="str">
        <f t="shared" ref="K464:K527" si="48">MID(J464,L464,1)</f>
        <v>T</v>
      </c>
      <c r="L464" s="45">
        <f>VLOOKUP(B464,'NonXtal_SegEnds_Prot#'!A:AL,9,FALSE)</f>
        <v>101</v>
      </c>
      <c r="M464" s="45">
        <f>VLOOKUP(B464,'NonXtal_SegEnds_Prot#'!A:AL,10,FALSE)</f>
        <v>114</v>
      </c>
      <c r="N464" s="45">
        <f>VLOOKUP(B464,'NonXtal_SegEnds_Prot#'!A:AL,11,FALSE)</f>
        <v>130</v>
      </c>
      <c r="O464" s="4" t="str">
        <f t="shared" si="44"/>
        <v>M</v>
      </c>
      <c r="P464" s="4"/>
      <c r="Q464" s="47" t="str">
        <f t="shared" si="45"/>
        <v>TATNIYIFNLALA</v>
      </c>
      <c r="R464" s="27" t="str">
        <f t="shared" si="46"/>
        <v>D</v>
      </c>
      <c r="S464" s="19" t="str">
        <f t="shared" si="47"/>
        <v>ALATSTLPFQSVNYLM</v>
      </c>
      <c r="Z464" s="4" t="s">
        <v>64</v>
      </c>
      <c r="AD464" s="1" t="s">
        <v>18</v>
      </c>
      <c r="AE464" s="1">
        <v>102</v>
      </c>
      <c r="AF464" s="1">
        <v>114</v>
      </c>
      <c r="AG464" s="1">
        <v>130</v>
      </c>
      <c r="AH464" s="1" t="s">
        <v>19</v>
      </c>
      <c r="AK464" s="4">
        <v>38</v>
      </c>
      <c r="AL464" s="4">
        <v>66</v>
      </c>
    </row>
    <row r="465" spans="1:38" x14ac:dyDescent="0.25">
      <c r="A465" s="1" t="str">
        <f t="shared" si="43"/>
        <v>OPRM_mouse_4DKL_TM2</v>
      </c>
      <c r="B465" s="45" t="s">
        <v>232</v>
      </c>
      <c r="C465" s="45" t="s">
        <v>256</v>
      </c>
      <c r="D465" s="4" t="str">
        <f>VLOOKUP(B465,Classification!A:D,2,FALSE)</f>
        <v>A</v>
      </c>
      <c r="E465" s="4" t="str">
        <f>VLOOKUP(B465,Classification!A:D,3,FALSE)</f>
        <v>Peptide</v>
      </c>
      <c r="F465" s="4" t="str">
        <f>VLOOKUP(B465,Classification!A:D,4,FALSE)</f>
        <v>Opioid</v>
      </c>
      <c r="G465" s="2">
        <v>3</v>
      </c>
      <c r="H465" s="45" t="s">
        <v>17</v>
      </c>
      <c r="I465" s="2" t="s">
        <v>1223</v>
      </c>
      <c r="J465" s="5" t="str">
        <f>VLOOKUP(B465,Seqs!A:B,2,FALSE)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65" s="4" t="str">
        <f t="shared" si="48"/>
        <v>T</v>
      </c>
      <c r="L465" s="45">
        <f>VLOOKUP(B465,'NonXtal_SegEnds_Prot#'!A:AL,9,FALSE)</f>
        <v>101</v>
      </c>
      <c r="M465" s="45">
        <f>VLOOKUP(B465,'NonXtal_SegEnds_Prot#'!A:AL,10,FALSE)</f>
        <v>114</v>
      </c>
      <c r="N465" s="45">
        <f>VLOOKUP(B465,'NonXtal_SegEnds_Prot#'!A:AL,11,FALSE)</f>
        <v>130</v>
      </c>
      <c r="O465" s="4" t="str">
        <f t="shared" si="44"/>
        <v>M</v>
      </c>
      <c r="P465" s="4"/>
      <c r="Q465" s="47" t="str">
        <f t="shared" si="45"/>
        <v>TATNIYIFNLALA</v>
      </c>
      <c r="R465" s="27" t="str">
        <f t="shared" si="46"/>
        <v>D</v>
      </c>
      <c r="S465" s="19" t="str">
        <f t="shared" si="47"/>
        <v>ALATSTLPFQSVNYLM</v>
      </c>
      <c r="Z465" s="4"/>
      <c r="AD465" s="1" t="s">
        <v>18</v>
      </c>
      <c r="AE465" s="1">
        <v>102</v>
      </c>
      <c r="AF465" s="1">
        <v>114</v>
      </c>
      <c r="AG465" s="1">
        <v>130</v>
      </c>
      <c r="AH465" s="1" t="s">
        <v>19</v>
      </c>
      <c r="AK465" s="4">
        <v>38</v>
      </c>
      <c r="AL465" s="4">
        <v>66</v>
      </c>
    </row>
    <row r="466" spans="1:38" x14ac:dyDescent="0.25">
      <c r="A466" s="1" t="str">
        <f t="shared" si="43"/>
        <v>OPRM_mouse_5C1M_TM2</v>
      </c>
      <c r="B466" s="45" t="s">
        <v>232</v>
      </c>
      <c r="C466" s="45" t="s">
        <v>276</v>
      </c>
      <c r="D466" s="4" t="str">
        <f>VLOOKUP(B466,Classification!A:D,2,FALSE)</f>
        <v>A</v>
      </c>
      <c r="E466" s="4" t="str">
        <f>VLOOKUP(B466,Classification!A:D,3,FALSE)</f>
        <v>Peptide</v>
      </c>
      <c r="F466" s="4" t="str">
        <f>VLOOKUP(B466,Classification!A:D,4,FALSE)</f>
        <v>Opioid</v>
      </c>
      <c r="G466" s="2">
        <v>3</v>
      </c>
      <c r="H466" s="45" t="s">
        <v>17</v>
      </c>
      <c r="I466" s="2" t="s">
        <v>1223</v>
      </c>
      <c r="J466" s="5" t="str">
        <f>VLOOKUP(B466,Seqs!A:B,2,FALSE)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66" s="4" t="str">
        <f t="shared" si="48"/>
        <v>T</v>
      </c>
      <c r="L466" s="45">
        <f>VLOOKUP(B466,'NonXtal_SegEnds_Prot#'!A:AL,9,FALSE)</f>
        <v>101</v>
      </c>
      <c r="M466" s="45">
        <f>VLOOKUP(B466,'NonXtal_SegEnds_Prot#'!A:AL,10,FALSE)</f>
        <v>114</v>
      </c>
      <c r="N466" s="45">
        <f>VLOOKUP(B466,'NonXtal_SegEnds_Prot#'!A:AL,11,FALSE)</f>
        <v>130</v>
      </c>
      <c r="O466" s="4" t="str">
        <f t="shared" si="44"/>
        <v>M</v>
      </c>
      <c r="P466" s="4"/>
      <c r="Q466" s="47" t="str">
        <f t="shared" si="45"/>
        <v>TATNIYIFNLALA</v>
      </c>
      <c r="R466" s="27" t="str">
        <f t="shared" si="46"/>
        <v>D</v>
      </c>
      <c r="S466" s="19" t="str">
        <f t="shared" si="47"/>
        <v>ALATSTLPFQSVNYLM</v>
      </c>
      <c r="Z466" s="4" t="s">
        <v>64</v>
      </c>
      <c r="AD466" s="1" t="s">
        <v>18</v>
      </c>
      <c r="AE466" s="1">
        <v>102</v>
      </c>
      <c r="AF466" s="1">
        <v>114</v>
      </c>
      <c r="AG466" s="1">
        <v>130</v>
      </c>
      <c r="AH466" s="1" t="s">
        <v>19</v>
      </c>
      <c r="AK466" s="4">
        <v>38</v>
      </c>
      <c r="AL466" s="4">
        <v>66</v>
      </c>
    </row>
    <row r="467" spans="1:38" x14ac:dyDescent="0.25">
      <c r="A467" s="1" t="str">
        <f t="shared" si="43"/>
        <v>OPRX_human__wt_TM2</v>
      </c>
      <c r="B467" s="45" t="s">
        <v>1373</v>
      </c>
      <c r="C467" s="45" t="s">
        <v>294</v>
      </c>
      <c r="D467" s="4" t="str">
        <f>VLOOKUP(B467,Classification!A:D,2,FALSE)</f>
        <v>A</v>
      </c>
      <c r="E467" s="4" t="str">
        <f>VLOOKUP(B467,Classification!A:D,3,FALSE)</f>
        <v>Peptide</v>
      </c>
      <c r="F467" s="4" t="str">
        <f>VLOOKUP(B467,Classification!A:D,4,FALSE)</f>
        <v>Opioid</v>
      </c>
      <c r="G467" s="2">
        <v>3</v>
      </c>
      <c r="H467" s="45" t="s">
        <v>17</v>
      </c>
      <c r="I467" s="2" t="s">
        <v>1223</v>
      </c>
      <c r="J467" s="5" t="str">
        <f>VLOOKUP(B467,Seqs!A:B,2,FALSE)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67" s="4" t="str">
        <f t="shared" si="48"/>
        <v>T</v>
      </c>
      <c r="L467" s="45">
        <f>VLOOKUP(B467,'NonXtal_SegEnds_Prot#'!A:AL,9,FALSE)</f>
        <v>84</v>
      </c>
      <c r="M467" s="45">
        <f>VLOOKUP(B467,'NonXtal_SegEnds_Prot#'!A:AL,10,FALSE)</f>
        <v>97</v>
      </c>
      <c r="N467" s="45">
        <f>VLOOKUP(B467,'NonXtal_SegEnds_Prot#'!A:AL,11,FALSE)</f>
        <v>113</v>
      </c>
      <c r="O467" s="4" t="str">
        <f t="shared" si="44"/>
        <v>L</v>
      </c>
      <c r="P467" s="4"/>
      <c r="Q467" s="47" t="str">
        <f t="shared" si="45"/>
        <v>TATNIYIFNLALA</v>
      </c>
      <c r="R467" s="27" t="str">
        <f t="shared" si="46"/>
        <v>D</v>
      </c>
      <c r="S467" s="19" t="str">
        <f t="shared" si="47"/>
        <v>TLVLLTLPFQGTDILL</v>
      </c>
      <c r="Z467" s="4"/>
      <c r="AD467" s="1" t="s">
        <v>18</v>
      </c>
      <c r="AE467" s="1">
        <v>85</v>
      </c>
      <c r="AF467" s="1">
        <v>97</v>
      </c>
      <c r="AG467" s="1">
        <v>113</v>
      </c>
      <c r="AH467" s="1" t="s">
        <v>19</v>
      </c>
      <c r="AK467" s="4">
        <v>38</v>
      </c>
      <c r="AL467" s="4">
        <v>66</v>
      </c>
    </row>
    <row r="468" spans="1:38" x14ac:dyDescent="0.25">
      <c r="A468" s="1" t="str">
        <f t="shared" si="43"/>
        <v>OPRX_human_4EA3_TM2</v>
      </c>
      <c r="B468" s="45" t="s">
        <v>1373</v>
      </c>
      <c r="C468" s="45" t="s">
        <v>258</v>
      </c>
      <c r="D468" s="4" t="str">
        <f>VLOOKUP(B468,Classification!A:D,2,FALSE)</f>
        <v>A</v>
      </c>
      <c r="E468" s="4" t="str">
        <f>VLOOKUP(B468,Classification!A:D,3,FALSE)</f>
        <v>Peptide</v>
      </c>
      <c r="F468" s="4" t="str">
        <f>VLOOKUP(B468,Classification!A:D,4,FALSE)</f>
        <v>Opioid</v>
      </c>
      <c r="G468" s="2">
        <v>3</v>
      </c>
      <c r="H468" s="45" t="s">
        <v>17</v>
      </c>
      <c r="I468" s="2" t="s">
        <v>1223</v>
      </c>
      <c r="J468" s="5" t="str">
        <f>VLOOKUP(B468,Seqs!A:B,2,FALSE)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68" s="4" t="str">
        <f t="shared" si="48"/>
        <v>T</v>
      </c>
      <c r="L468" s="45">
        <f>VLOOKUP(B468,'NonXtal_SegEnds_Prot#'!A:AL,9,FALSE)</f>
        <v>84</v>
      </c>
      <c r="M468" s="45">
        <f>VLOOKUP(B468,'NonXtal_SegEnds_Prot#'!A:AL,10,FALSE)</f>
        <v>97</v>
      </c>
      <c r="N468" s="45">
        <f>VLOOKUP(B468,'NonXtal_SegEnds_Prot#'!A:AL,11,FALSE)</f>
        <v>113</v>
      </c>
      <c r="O468" s="4" t="str">
        <f t="shared" si="44"/>
        <v>L</v>
      </c>
      <c r="P468" s="4"/>
      <c r="Q468" s="47" t="str">
        <f t="shared" si="45"/>
        <v>TATNIYIFNLALA</v>
      </c>
      <c r="R468" s="27" t="str">
        <f t="shared" si="46"/>
        <v>D</v>
      </c>
      <c r="S468" s="19" t="str">
        <f t="shared" si="47"/>
        <v>TLVLLTLPFQGTDILL</v>
      </c>
      <c r="Z468" s="4"/>
      <c r="AD468" s="1" t="s">
        <v>18</v>
      </c>
      <c r="AE468" s="1">
        <v>85</v>
      </c>
      <c r="AF468" s="1">
        <v>97</v>
      </c>
      <c r="AG468" s="1">
        <v>113</v>
      </c>
      <c r="AH468" s="1" t="s">
        <v>19</v>
      </c>
      <c r="AK468" s="4">
        <v>38</v>
      </c>
      <c r="AL468" s="4">
        <v>66</v>
      </c>
    </row>
    <row r="469" spans="1:38" x14ac:dyDescent="0.25">
      <c r="A469" s="1" t="str">
        <f t="shared" si="43"/>
        <v>P2RY1_human__wt_TM2</v>
      </c>
      <c r="B469" s="45" t="s">
        <v>215</v>
      </c>
      <c r="C469" s="45" t="s">
        <v>294</v>
      </c>
      <c r="D469" s="4" t="str">
        <f>VLOOKUP(B469,Classification!A:D,2,FALSE)</f>
        <v>A</v>
      </c>
      <c r="E469" s="4" t="str">
        <f>VLOOKUP(B469,Classification!A:D,3,FALSE)</f>
        <v>Nucleotide</v>
      </c>
      <c r="F469" s="4" t="str">
        <f>VLOOKUP(B469,Classification!A:D,4,FALSE)</f>
        <v>P2Y</v>
      </c>
      <c r="G469" s="2">
        <v>3</v>
      </c>
      <c r="H469" s="45" t="s">
        <v>17</v>
      </c>
      <c r="I469" s="2" t="s">
        <v>1223</v>
      </c>
      <c r="J469" s="5" t="str">
        <f>VLOOKUP(B469,Seqs!A:B,2,FALSE)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69" s="4" t="str">
        <f t="shared" si="48"/>
        <v>S</v>
      </c>
      <c r="L469" s="45">
        <f>VLOOKUP(B469,'NonXtal_SegEnds_Prot#'!A:AL,9,FALSE)</f>
        <v>84</v>
      </c>
      <c r="M469" s="45">
        <f>VLOOKUP(B469,'NonXtal_SegEnds_Prot#'!A:AL,10,FALSE)</f>
        <v>97</v>
      </c>
      <c r="N469" s="45">
        <f>VLOOKUP(B469,'NonXtal_SegEnds_Prot#'!A:AL,11,FALSE)</f>
        <v>113</v>
      </c>
      <c r="O469" s="4" t="str">
        <f t="shared" si="44"/>
        <v>N</v>
      </c>
      <c r="P469" s="4"/>
      <c r="Q469" s="47" t="str">
        <f t="shared" si="45"/>
        <v>SGISVYMFNLALA</v>
      </c>
      <c r="R469" s="27" t="str">
        <f t="shared" si="46"/>
        <v>D</v>
      </c>
      <c r="S469" s="19" t="str">
        <f t="shared" si="47"/>
        <v>FLYVLTLPALIFYYFN</v>
      </c>
      <c r="Z469" s="4"/>
      <c r="AD469" s="1" t="s">
        <v>18</v>
      </c>
      <c r="AE469" s="1">
        <v>85</v>
      </c>
      <c r="AF469" s="1">
        <v>97</v>
      </c>
      <c r="AG469" s="1">
        <v>112</v>
      </c>
      <c r="AH469" s="1" t="s">
        <v>66</v>
      </c>
      <c r="AK469" s="4">
        <v>38</v>
      </c>
      <c r="AL469" s="4">
        <v>65</v>
      </c>
    </row>
    <row r="470" spans="1:38" x14ac:dyDescent="0.25">
      <c r="A470" s="1" t="str">
        <f t="shared" si="43"/>
        <v>P2RY1_human_4xNV_TM2</v>
      </c>
      <c r="B470" s="45" t="s">
        <v>215</v>
      </c>
      <c r="C470" s="45" t="s">
        <v>274</v>
      </c>
      <c r="D470" s="4" t="str">
        <f>VLOOKUP(B470,Classification!A:D,2,FALSE)</f>
        <v>A</v>
      </c>
      <c r="E470" s="4" t="str">
        <f>VLOOKUP(B470,Classification!A:D,3,FALSE)</f>
        <v>Nucleotide</v>
      </c>
      <c r="F470" s="4" t="str">
        <f>VLOOKUP(B470,Classification!A:D,4,FALSE)</f>
        <v>P2Y</v>
      </c>
      <c r="G470" s="2">
        <v>3</v>
      </c>
      <c r="H470" s="45" t="s">
        <v>17</v>
      </c>
      <c r="I470" s="2" t="s">
        <v>1223</v>
      </c>
      <c r="J470" s="5" t="str">
        <f>VLOOKUP(B470,Seqs!A:B,2,FALSE)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70" s="4" t="str">
        <f t="shared" si="48"/>
        <v>S</v>
      </c>
      <c r="L470" s="45">
        <f>VLOOKUP(B470,'NonXtal_SegEnds_Prot#'!A:AL,9,FALSE)</f>
        <v>84</v>
      </c>
      <c r="M470" s="45">
        <f>VLOOKUP(B470,'NonXtal_SegEnds_Prot#'!A:AL,10,FALSE)</f>
        <v>97</v>
      </c>
      <c r="N470" s="45">
        <f>VLOOKUP(B470,'NonXtal_SegEnds_Prot#'!A:AL,11,FALSE)</f>
        <v>113</v>
      </c>
      <c r="O470" s="4" t="str">
        <f t="shared" si="44"/>
        <v>N</v>
      </c>
      <c r="P470" s="4"/>
      <c r="Q470" s="47" t="str">
        <f t="shared" si="45"/>
        <v>SGISVYMFNLALA</v>
      </c>
      <c r="R470" s="27" t="str">
        <f t="shared" si="46"/>
        <v>D</v>
      </c>
      <c r="S470" s="19" t="str">
        <f t="shared" si="47"/>
        <v>FLYVLTLPALIFYYFN</v>
      </c>
      <c r="Z470" s="4"/>
      <c r="AD470" s="1" t="s">
        <v>18</v>
      </c>
      <c r="AE470" s="1">
        <v>85</v>
      </c>
      <c r="AF470" s="1">
        <v>97</v>
      </c>
      <c r="AG470" s="1">
        <v>112</v>
      </c>
      <c r="AH470" s="1" t="s">
        <v>66</v>
      </c>
      <c r="AK470" s="4">
        <v>38</v>
      </c>
      <c r="AL470" s="4">
        <v>65</v>
      </c>
    </row>
    <row r="471" spans="1:38" x14ac:dyDescent="0.25">
      <c r="A471" s="1" t="str">
        <f t="shared" si="43"/>
        <v>P2Y12_human__wt_TM2</v>
      </c>
      <c r="B471" s="45" t="s">
        <v>216</v>
      </c>
      <c r="C471" s="45" t="s">
        <v>294</v>
      </c>
      <c r="D471" s="4" t="str">
        <f>VLOOKUP(B471,Classification!A:D,2,FALSE)</f>
        <v>A</v>
      </c>
      <c r="E471" s="4" t="str">
        <f>VLOOKUP(B471,Classification!A:D,3,FALSE)</f>
        <v>Nucleotide</v>
      </c>
      <c r="F471" s="4" t="str">
        <f>VLOOKUP(B471,Classification!A:D,4,FALSE)</f>
        <v>P2Y</v>
      </c>
      <c r="G471" s="2">
        <v>3</v>
      </c>
      <c r="H471" s="45" t="s">
        <v>17</v>
      </c>
      <c r="I471" s="2" t="s">
        <v>1223</v>
      </c>
      <c r="J471" s="5" t="str">
        <f>VLOOKUP(B471,Seqs!A:B,2,FALSE)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71" s="4" t="str">
        <f t="shared" si="48"/>
        <v>S</v>
      </c>
      <c r="L471" s="45">
        <f>VLOOKUP(B471,'NonXtal_SegEnds_Prot#'!A:AL,9,FALSE)</f>
        <v>57</v>
      </c>
      <c r="M471" s="45">
        <f>VLOOKUP(B471,'NonXtal_SegEnds_Prot#'!A:AL,10,FALSE)</f>
        <v>70</v>
      </c>
      <c r="N471" s="45">
        <f>VLOOKUP(B471,'NonXtal_SegEnds_Prot#'!A:AL,11,FALSE)</f>
        <v>86</v>
      </c>
      <c r="O471" s="4" t="str">
        <f t="shared" si="44"/>
        <v>K</v>
      </c>
      <c r="P471" s="4"/>
      <c r="Q471" s="47" t="str">
        <f t="shared" si="45"/>
        <v>SNFIIFLKNTVIS</v>
      </c>
      <c r="R471" s="27" t="str">
        <f t="shared" si="46"/>
        <v>D</v>
      </c>
      <c r="S471" s="19" t="str">
        <f t="shared" si="47"/>
        <v>LLMILTFPFKILSDAK</v>
      </c>
      <c r="Z471" s="4"/>
      <c r="AD471" s="1" t="s">
        <v>18</v>
      </c>
      <c r="AE471" s="1">
        <v>58</v>
      </c>
      <c r="AF471" s="1">
        <v>70</v>
      </c>
      <c r="AG471" s="1">
        <v>85</v>
      </c>
      <c r="AH471" s="1" t="s">
        <v>66</v>
      </c>
      <c r="AK471" s="4">
        <v>38</v>
      </c>
      <c r="AL471" s="4">
        <v>65</v>
      </c>
    </row>
    <row r="472" spans="1:38" x14ac:dyDescent="0.25">
      <c r="A472" s="1" t="str">
        <f t="shared" si="43"/>
        <v>P2Y12_human_4PxZ_TM2</v>
      </c>
      <c r="B472" s="45" t="s">
        <v>216</v>
      </c>
      <c r="C472" s="45" t="s">
        <v>242</v>
      </c>
      <c r="D472" s="4" t="str">
        <f>VLOOKUP(B472,Classification!A:D,2,FALSE)</f>
        <v>A</v>
      </c>
      <c r="E472" s="4" t="str">
        <f>VLOOKUP(B472,Classification!A:D,3,FALSE)</f>
        <v>Nucleotide</v>
      </c>
      <c r="F472" s="4" t="str">
        <f>VLOOKUP(B472,Classification!A:D,4,FALSE)</f>
        <v>P2Y</v>
      </c>
      <c r="G472" s="2">
        <v>3</v>
      </c>
      <c r="H472" s="45" t="s">
        <v>17</v>
      </c>
      <c r="I472" s="2" t="s">
        <v>1223</v>
      </c>
      <c r="J472" s="5" t="str">
        <f>VLOOKUP(B472,Seqs!A:B,2,FALSE)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72" s="4" t="str">
        <f t="shared" si="48"/>
        <v>S</v>
      </c>
      <c r="L472" s="45">
        <f>VLOOKUP(B472,'NonXtal_SegEnds_Prot#'!A:AL,9,FALSE)</f>
        <v>57</v>
      </c>
      <c r="M472" s="45">
        <f>VLOOKUP(B472,'NonXtal_SegEnds_Prot#'!A:AL,10,FALSE)</f>
        <v>70</v>
      </c>
      <c r="N472" s="45">
        <f>VLOOKUP(B472,'NonXtal_SegEnds_Prot#'!A:AL,11,FALSE)</f>
        <v>86</v>
      </c>
      <c r="O472" s="4" t="str">
        <f t="shared" si="44"/>
        <v>K</v>
      </c>
      <c r="P472" s="4"/>
      <c r="Q472" s="47" t="str">
        <f t="shared" si="45"/>
        <v>SNFIIFLKNTVIS</v>
      </c>
      <c r="R472" s="27" t="str">
        <f t="shared" si="46"/>
        <v>D</v>
      </c>
      <c r="S472" s="19" t="str">
        <f t="shared" si="47"/>
        <v>LLMILTFPFKILSDAK</v>
      </c>
      <c r="Z472" s="4"/>
      <c r="AD472" s="1" t="s">
        <v>18</v>
      </c>
      <c r="AE472" s="1">
        <v>58</v>
      </c>
      <c r="AF472" s="1">
        <v>70</v>
      </c>
      <c r="AG472" s="1">
        <v>85</v>
      </c>
      <c r="AH472" s="1" t="s">
        <v>66</v>
      </c>
      <c r="AK472" s="4">
        <v>38</v>
      </c>
      <c r="AL472" s="4">
        <v>65</v>
      </c>
    </row>
    <row r="473" spans="1:38" x14ac:dyDescent="0.25">
      <c r="A473" s="1" t="str">
        <f t="shared" si="43"/>
        <v>PAR1_human__wt_TM2</v>
      </c>
      <c r="B473" s="45" t="s">
        <v>229</v>
      </c>
      <c r="C473" s="45" t="s">
        <v>294</v>
      </c>
      <c r="D473" s="4" t="str">
        <f>VLOOKUP(B473,Classification!A:D,2,FALSE)</f>
        <v>A</v>
      </c>
      <c r="E473" s="4" t="str">
        <f>VLOOKUP(B473,Classification!A:D,3,FALSE)</f>
        <v>Peptide</v>
      </c>
      <c r="F473" s="4" t="str">
        <f>VLOOKUP(B473,Classification!A:D,4,FALSE)</f>
        <v>Proteinase-activated</v>
      </c>
      <c r="G473" s="2">
        <v>3</v>
      </c>
      <c r="H473" s="45" t="s">
        <v>17</v>
      </c>
      <c r="I473" s="2" t="s">
        <v>1223</v>
      </c>
      <c r="J473" s="5" t="str">
        <f>VLOOKUP(B473,Seqs!A:B,2,FALSE)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73" s="4" t="str">
        <f t="shared" si="48"/>
        <v>K</v>
      </c>
      <c r="L473" s="45">
        <f>VLOOKUP(B473,'NonXtal_SegEnds_Prot#'!A:AL,9,FALSE)</f>
        <v>135</v>
      </c>
      <c r="M473" s="45">
        <f>VLOOKUP(B473,'NonXtal_SegEnds_Prot#'!A:AL,10,FALSE)</f>
        <v>148</v>
      </c>
      <c r="N473" s="45">
        <f>VLOOKUP(B473,'NonXtal_SegEnds_Prot#'!A:AL,11,FALSE)</f>
        <v>164</v>
      </c>
      <c r="O473" s="4" t="str">
        <f t="shared" si="44"/>
        <v>S</v>
      </c>
      <c r="P473" s="4"/>
      <c r="Q473" s="47" t="str">
        <f t="shared" si="45"/>
        <v>KPAVVYMLHLATA</v>
      </c>
      <c r="R473" s="27" t="str">
        <f t="shared" si="46"/>
        <v>D</v>
      </c>
      <c r="S473" s="19" t="str">
        <f t="shared" si="47"/>
        <v>VLFVSVLPFKISYYFS</v>
      </c>
      <c r="Z473" s="4"/>
      <c r="AD473" s="1" t="s">
        <v>18</v>
      </c>
      <c r="AE473" s="1">
        <v>136</v>
      </c>
      <c r="AF473" s="1">
        <v>148</v>
      </c>
      <c r="AG473" s="1">
        <v>164</v>
      </c>
      <c r="AH473" s="1" t="s">
        <v>19</v>
      </c>
      <c r="AK473" s="4">
        <v>38</v>
      </c>
      <c r="AL473" s="4">
        <v>66</v>
      </c>
    </row>
    <row r="474" spans="1:38" x14ac:dyDescent="0.25">
      <c r="A474" s="1" t="str">
        <f t="shared" si="43"/>
        <v>PAR1_human_3VW7_TM2</v>
      </c>
      <c r="B474" s="45" t="s">
        <v>229</v>
      </c>
      <c r="C474" s="45" t="s">
        <v>285</v>
      </c>
      <c r="D474" s="4" t="str">
        <f>VLOOKUP(B474,Classification!A:D,2,FALSE)</f>
        <v>A</v>
      </c>
      <c r="E474" s="4" t="str">
        <f>VLOOKUP(B474,Classification!A:D,3,FALSE)</f>
        <v>Peptide</v>
      </c>
      <c r="F474" s="4" t="str">
        <f>VLOOKUP(B474,Classification!A:D,4,FALSE)</f>
        <v>Proteinase-activated</v>
      </c>
      <c r="G474" s="2">
        <v>3</v>
      </c>
      <c r="H474" s="45" t="s">
        <v>17</v>
      </c>
      <c r="I474" s="2" t="s">
        <v>1223</v>
      </c>
      <c r="J474" s="5" t="str">
        <f>VLOOKUP(B474,Seqs!A:B,2,FALSE)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74" s="4" t="str">
        <f t="shared" si="48"/>
        <v>K</v>
      </c>
      <c r="L474" s="45">
        <f>VLOOKUP(B474,'NonXtal_SegEnds_Prot#'!A:AL,9,FALSE)</f>
        <v>135</v>
      </c>
      <c r="M474" s="45">
        <f>VLOOKUP(B474,'NonXtal_SegEnds_Prot#'!A:AL,10,FALSE)</f>
        <v>148</v>
      </c>
      <c r="N474" s="45">
        <f>VLOOKUP(B474,'NonXtal_SegEnds_Prot#'!A:AL,11,FALSE)</f>
        <v>164</v>
      </c>
      <c r="O474" s="4" t="str">
        <f t="shared" si="44"/>
        <v>S</v>
      </c>
      <c r="P474" s="4"/>
      <c r="Q474" s="47" t="str">
        <f t="shared" si="45"/>
        <v>KPAVVYMLHLATA</v>
      </c>
      <c r="R474" s="27" t="str">
        <f t="shared" si="46"/>
        <v>D</v>
      </c>
      <c r="S474" s="19" t="str">
        <f t="shared" si="47"/>
        <v>VLFVSVLPFKISYYFS</v>
      </c>
      <c r="Z474" s="4"/>
      <c r="AD474" s="1" t="s">
        <v>18</v>
      </c>
      <c r="AE474" s="1">
        <v>136</v>
      </c>
      <c r="AF474" s="1">
        <v>148</v>
      </c>
      <c r="AG474" s="1">
        <v>164</v>
      </c>
      <c r="AH474" s="1" t="s">
        <v>19</v>
      </c>
      <c r="AK474" s="4">
        <v>38</v>
      </c>
      <c r="AL474" s="4">
        <v>66</v>
      </c>
    </row>
    <row r="475" spans="1:38" x14ac:dyDescent="0.25">
      <c r="A475" s="1" t="str">
        <f t="shared" si="43"/>
        <v>S1PR1_human__wt_TM2</v>
      </c>
      <c r="B475" s="45" t="s">
        <v>217</v>
      </c>
      <c r="C475" s="45" t="s">
        <v>294</v>
      </c>
      <c r="D475" s="4" t="str">
        <f>VLOOKUP(B475,Classification!A:D,2,FALSE)</f>
        <v>A</v>
      </c>
      <c r="E475" s="4" t="str">
        <f>VLOOKUP(B475,Classification!A:D,3,FALSE)</f>
        <v>Lipid</v>
      </c>
      <c r="F475" s="4" t="str">
        <f>VLOOKUP(B475,Classification!A:D,4,FALSE)</f>
        <v>Lysophospholipid(S1P)</v>
      </c>
      <c r="G475" s="2">
        <v>3</v>
      </c>
      <c r="H475" s="45" t="s">
        <v>17</v>
      </c>
      <c r="I475" s="2" t="s">
        <v>1223</v>
      </c>
      <c r="J475" s="5" t="str">
        <f>VLOOKUP(B475,Seqs!A:B,2,FALSE)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75" s="4" t="str">
        <f t="shared" si="48"/>
        <v>R</v>
      </c>
      <c r="L475" s="45">
        <f>VLOOKUP(B475,'NonXtal_SegEnds_Prot#'!A:AL,9,FALSE)</f>
        <v>78</v>
      </c>
      <c r="M475" s="45">
        <f>VLOOKUP(B475,'NonXtal_SegEnds_Prot#'!A:AL,10,FALSE)</f>
        <v>91</v>
      </c>
      <c r="N475" s="45">
        <f>VLOOKUP(B475,'NonXtal_SegEnds_Prot#'!A:AL,11,FALSE)</f>
        <v>104</v>
      </c>
      <c r="O475" s="4" t="str">
        <f t="shared" si="44"/>
        <v>L</v>
      </c>
      <c r="P475" s="4"/>
      <c r="Q475" s="47" t="str">
        <f t="shared" si="45"/>
        <v>RPMYYFIGNLALS</v>
      </c>
      <c r="R475" s="27" t="str">
        <f t="shared" si="46"/>
        <v>D</v>
      </c>
      <c r="S475" s="19" t="str">
        <f t="shared" si="47"/>
        <v>LLAGVAYTANLLL</v>
      </c>
      <c r="Z475" s="4"/>
      <c r="AD475" s="1" t="s">
        <v>18</v>
      </c>
      <c r="AE475" s="1">
        <v>79</v>
      </c>
      <c r="AF475" s="1">
        <v>91</v>
      </c>
      <c r="AG475" s="1">
        <v>104</v>
      </c>
      <c r="AH475" s="1" t="s">
        <v>161</v>
      </c>
      <c r="AK475" s="4">
        <v>38</v>
      </c>
      <c r="AL475" s="4">
        <v>63</v>
      </c>
    </row>
    <row r="476" spans="1:38" x14ac:dyDescent="0.25">
      <c r="A476" s="1" t="str">
        <f t="shared" si="43"/>
        <v>S1PR1_human_3V2Y_TM2</v>
      </c>
      <c r="B476" s="45" t="s">
        <v>217</v>
      </c>
      <c r="C476" s="45" t="s">
        <v>286</v>
      </c>
      <c r="D476" s="4" t="str">
        <f>VLOOKUP(B476,Classification!A:D,2,FALSE)</f>
        <v>A</v>
      </c>
      <c r="E476" s="4" t="str">
        <f>VLOOKUP(B476,Classification!A:D,3,FALSE)</f>
        <v>Lipid</v>
      </c>
      <c r="F476" s="4" t="str">
        <f>VLOOKUP(B476,Classification!A:D,4,FALSE)</f>
        <v>Lysophospholipid(S1P)</v>
      </c>
      <c r="G476" s="2">
        <v>3</v>
      </c>
      <c r="H476" s="45" t="s">
        <v>17</v>
      </c>
      <c r="I476" s="2" t="s">
        <v>1223</v>
      </c>
      <c r="J476" s="5" t="str">
        <f>VLOOKUP(B476,Seqs!A:B,2,FALSE)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76" s="4" t="str">
        <f t="shared" si="48"/>
        <v>R</v>
      </c>
      <c r="L476" s="45">
        <f>VLOOKUP(B476,'NonXtal_SegEnds_Prot#'!A:AL,9,FALSE)</f>
        <v>78</v>
      </c>
      <c r="M476" s="45">
        <f>VLOOKUP(B476,'NonXtal_SegEnds_Prot#'!A:AL,10,FALSE)</f>
        <v>91</v>
      </c>
      <c r="N476" s="45">
        <f>VLOOKUP(B476,'NonXtal_SegEnds_Prot#'!A:AL,11,FALSE)</f>
        <v>104</v>
      </c>
      <c r="O476" s="4" t="str">
        <f t="shared" si="44"/>
        <v>L</v>
      </c>
      <c r="P476" s="4"/>
      <c r="Q476" s="47" t="str">
        <f t="shared" si="45"/>
        <v>RPMYYFIGNLALS</v>
      </c>
      <c r="R476" s="27" t="str">
        <f t="shared" si="46"/>
        <v>D</v>
      </c>
      <c r="S476" s="19" t="str">
        <f t="shared" si="47"/>
        <v>LLAGVAYTANLLL</v>
      </c>
      <c r="Z476" s="4"/>
      <c r="AD476" s="1" t="s">
        <v>18</v>
      </c>
      <c r="AE476" s="1">
        <v>79</v>
      </c>
      <c r="AF476" s="1">
        <v>91</v>
      </c>
      <c r="AG476" s="1">
        <v>104</v>
      </c>
      <c r="AH476" s="1" t="s">
        <v>161</v>
      </c>
      <c r="AK476" s="4">
        <v>38</v>
      </c>
      <c r="AL476" s="4">
        <v>63</v>
      </c>
    </row>
    <row r="477" spans="1:38" x14ac:dyDescent="0.25">
      <c r="A477" s="1" t="str">
        <f t="shared" si="43"/>
        <v>smo_human__wt_TM2</v>
      </c>
      <c r="B477" s="45" t="s">
        <v>207</v>
      </c>
      <c r="C477" s="45" t="s">
        <v>294</v>
      </c>
      <c r="D477" s="4" t="str">
        <f>VLOOKUP(B477,Classification!A:D,2,FALSE)</f>
        <v>F</v>
      </c>
      <c r="E477" s="4" t="str">
        <f>VLOOKUP(B477,Classification!A:D,3,FALSE)</f>
        <v>Protein</v>
      </c>
      <c r="F477" s="4" t="str">
        <f>VLOOKUP(B477,Classification!A:D,4,FALSE)</f>
        <v>Frizzled</v>
      </c>
      <c r="G477" s="2">
        <v>3</v>
      </c>
      <c r="H477" s="45" t="s">
        <v>17</v>
      </c>
      <c r="I477" s="2" t="s">
        <v>1223</v>
      </c>
      <c r="J477" s="5" t="str">
        <f>VLOOKUP(B477,Seqs!A:B,2,FALSE)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77" s="4" t="str">
        <f t="shared" si="48"/>
        <v>R</v>
      </c>
      <c r="L477" s="45">
        <f>VLOOKUP(B477,'NonXtal_SegEnds_Prot#'!A:AL,9,FALSE)</f>
        <v>261</v>
      </c>
      <c r="M477" s="45">
        <f>VLOOKUP(B477,'NonXtal_SegEnds_Prot#'!A:AL,10,FALSE)</f>
        <v>272</v>
      </c>
      <c r="N477" s="45">
        <f>VLOOKUP(B477,'NonXtal_SegEnds_Prot#'!A:AL,11,FALSE)</f>
        <v>285</v>
      </c>
      <c r="O477" s="4" t="str">
        <f t="shared" si="44"/>
        <v>F</v>
      </c>
      <c r="P477" s="4"/>
      <c r="Q477" s="47" t="str">
        <f t="shared" si="45"/>
        <v>RYPAVILFYVN</v>
      </c>
      <c r="R477" s="27" t="str">
        <f t="shared" si="46"/>
        <v>A</v>
      </c>
      <c r="S477" s="19" t="str">
        <f t="shared" si="47"/>
        <v>CFFVGSIGWLAQF</v>
      </c>
      <c r="Z477" s="4"/>
      <c r="AD477" s="1" t="s">
        <v>200</v>
      </c>
      <c r="AE477" s="1">
        <v>262</v>
      </c>
      <c r="AF477" s="1">
        <v>272</v>
      </c>
      <c r="AG477" s="1">
        <v>285</v>
      </c>
      <c r="AH477" s="1" t="s">
        <v>161</v>
      </c>
      <c r="AK477" s="4">
        <v>40</v>
      </c>
      <c r="AL477" s="4">
        <v>63</v>
      </c>
    </row>
    <row r="478" spans="1:38" x14ac:dyDescent="0.25">
      <c r="A478" s="1" t="str">
        <f t="shared" si="43"/>
        <v>smo_human_4JKV_TM2</v>
      </c>
      <c r="B478" s="45" t="s">
        <v>207</v>
      </c>
      <c r="C478" s="45" t="s">
        <v>278</v>
      </c>
      <c r="D478" s="4" t="str">
        <f>VLOOKUP(B478,Classification!A:D,2,FALSE)</f>
        <v>F</v>
      </c>
      <c r="E478" s="4" t="str">
        <f>VLOOKUP(B478,Classification!A:D,3,FALSE)</f>
        <v>Protein</v>
      </c>
      <c r="F478" s="4" t="str">
        <f>VLOOKUP(B478,Classification!A:D,4,FALSE)</f>
        <v>Frizzled</v>
      </c>
      <c r="G478" s="2">
        <v>3</v>
      </c>
      <c r="H478" s="45" t="s">
        <v>17</v>
      </c>
      <c r="I478" s="2" t="s">
        <v>1223</v>
      </c>
      <c r="J478" s="5" t="str">
        <f>VLOOKUP(B478,Seqs!A:B,2,FALSE)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78" s="4" t="str">
        <f t="shared" si="48"/>
        <v>R</v>
      </c>
      <c r="L478" s="45">
        <f>VLOOKUP(B478,'NonXtal_SegEnds_Prot#'!A:AL,9,FALSE)</f>
        <v>261</v>
      </c>
      <c r="M478" s="45">
        <f>VLOOKUP(B478,'NonXtal_SegEnds_Prot#'!A:AL,10,FALSE)</f>
        <v>272</v>
      </c>
      <c r="N478" s="45">
        <f>VLOOKUP(B478,'NonXtal_SegEnds_Prot#'!A:AL,11,FALSE)</f>
        <v>285</v>
      </c>
      <c r="O478" s="4" t="str">
        <f t="shared" si="44"/>
        <v>F</v>
      </c>
      <c r="P478" s="4"/>
      <c r="Q478" s="47" t="str">
        <f t="shared" si="45"/>
        <v>RYPAVILFYVN</v>
      </c>
      <c r="R478" s="27" t="str">
        <f t="shared" si="46"/>
        <v>A</v>
      </c>
      <c r="S478" s="19" t="str">
        <f t="shared" si="47"/>
        <v>CFFVGSIGWLAQF</v>
      </c>
      <c r="Z478" s="4"/>
      <c r="AD478" s="1" t="s">
        <v>200</v>
      </c>
      <c r="AE478" s="1">
        <v>262</v>
      </c>
      <c r="AF478" s="1">
        <v>272</v>
      </c>
      <c r="AG478" s="1">
        <v>285</v>
      </c>
      <c r="AH478" s="1" t="s">
        <v>161</v>
      </c>
      <c r="AK478" s="4">
        <v>40</v>
      </c>
      <c r="AL478" s="4">
        <v>63</v>
      </c>
    </row>
    <row r="479" spans="1:38" x14ac:dyDescent="0.25">
      <c r="A479" s="1" t="str">
        <f t="shared" si="43"/>
        <v>smo_human_4QIN_TM2</v>
      </c>
      <c r="B479" s="45" t="s">
        <v>207</v>
      </c>
      <c r="C479" s="45" t="s">
        <v>247</v>
      </c>
      <c r="D479" s="4" t="str">
        <f>VLOOKUP(B479,Classification!A:D,2,FALSE)</f>
        <v>F</v>
      </c>
      <c r="E479" s="4" t="str">
        <f>VLOOKUP(B479,Classification!A:D,3,FALSE)</f>
        <v>Protein</v>
      </c>
      <c r="F479" s="4" t="str">
        <f>VLOOKUP(B479,Classification!A:D,4,FALSE)</f>
        <v>Frizzled</v>
      </c>
      <c r="G479" s="2">
        <v>3</v>
      </c>
      <c r="H479" s="45" t="s">
        <v>17</v>
      </c>
      <c r="I479" s="2" t="s">
        <v>1223</v>
      </c>
      <c r="J479" s="5" t="str">
        <f>VLOOKUP(B479,Seqs!A:B,2,FALSE)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79" s="4" t="str">
        <f t="shared" si="48"/>
        <v>R</v>
      </c>
      <c r="L479" s="45">
        <f>VLOOKUP(B479,'NonXtal_SegEnds_Prot#'!A:AL,9,FALSE)</f>
        <v>261</v>
      </c>
      <c r="M479" s="45">
        <f>VLOOKUP(B479,'NonXtal_SegEnds_Prot#'!A:AL,10,FALSE)</f>
        <v>272</v>
      </c>
      <c r="N479" s="45">
        <f>VLOOKUP(B479,'NonXtal_SegEnds_Prot#'!A:AL,11,FALSE)</f>
        <v>285</v>
      </c>
      <c r="O479" s="4" t="str">
        <f t="shared" si="44"/>
        <v>F</v>
      </c>
      <c r="P479" s="4"/>
      <c r="Q479" s="47" t="str">
        <f t="shared" si="45"/>
        <v>RYPAVILFYVN</v>
      </c>
      <c r="R479" s="27" t="str">
        <f t="shared" si="46"/>
        <v>A</v>
      </c>
      <c r="S479" s="19" t="str">
        <f t="shared" si="47"/>
        <v>CFFVGSIGWLAQF</v>
      </c>
      <c r="Z479" s="4"/>
      <c r="AD479" s="1" t="s">
        <v>203</v>
      </c>
      <c r="AE479" s="1">
        <v>263</v>
      </c>
      <c r="AF479" s="1">
        <v>272</v>
      </c>
      <c r="AG479" s="1">
        <v>285</v>
      </c>
      <c r="AH479" s="1" t="s">
        <v>161</v>
      </c>
      <c r="AK479" s="4">
        <v>41</v>
      </c>
      <c r="AL479" s="4">
        <v>63</v>
      </c>
    </row>
    <row r="480" spans="1:38" x14ac:dyDescent="0.25">
      <c r="A480" s="1" t="str">
        <f t="shared" si="43"/>
        <v>US28_hcmva__wt_TM2</v>
      </c>
      <c r="B480" s="45" t="s">
        <v>230</v>
      </c>
      <c r="C480" s="45" t="s">
        <v>294</v>
      </c>
      <c r="D480" s="4" t="str">
        <f>VLOOKUP(B480,Classification!A:D,2,FALSE)</f>
        <v>A</v>
      </c>
      <c r="E480" s="4" t="str">
        <f>VLOOKUP(B480,Classification!A:D,3,FALSE)</f>
        <v>Peptide</v>
      </c>
      <c r="F480" s="4" t="str">
        <f>VLOOKUP(B480,Classification!A:D,4,FALSE)</f>
        <v>Chemokine</v>
      </c>
      <c r="G480" s="2">
        <v>3</v>
      </c>
      <c r="H480" s="45" t="s">
        <v>17</v>
      </c>
      <c r="I480" s="2" t="s">
        <v>1223</v>
      </c>
      <c r="J480" s="5" t="str">
        <f>VLOOKUP(B480,Seqs!A:B,2,FALSE)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80" s="4" t="str">
        <f t="shared" si="48"/>
        <v>C</v>
      </c>
      <c r="L480" s="45">
        <f>VLOOKUP(B480,'NonXtal_SegEnds_Prot#'!A:AL,9,FALSE)</f>
        <v>66</v>
      </c>
      <c r="M480" s="45">
        <f>VLOOKUP(B480,'NonXtal_SegEnds_Prot#'!A:AL,10,FALSE)</f>
        <v>79</v>
      </c>
      <c r="N480" s="45">
        <f>VLOOKUP(B480,'NonXtal_SegEnds_Prot#'!A:AL,11,FALSE)</f>
        <v>95</v>
      </c>
      <c r="O480" s="4" t="str">
        <f t="shared" si="44"/>
        <v>D</v>
      </c>
      <c r="P480" s="4"/>
      <c r="Q480" s="47" t="str">
        <f t="shared" si="45"/>
        <v>CSGDVYFINLAAA</v>
      </c>
      <c r="R480" s="27" t="str">
        <f t="shared" si="46"/>
        <v>D</v>
      </c>
      <c r="S480" s="19" t="str">
        <f t="shared" si="47"/>
        <v>LLFVCTLPLWMQYLLD</v>
      </c>
      <c r="Z480" s="4" t="s">
        <v>64</v>
      </c>
      <c r="AD480" s="1" t="s">
        <v>18</v>
      </c>
      <c r="AE480" s="1">
        <v>67</v>
      </c>
      <c r="AF480" s="1">
        <v>79</v>
      </c>
      <c r="AG480" s="1">
        <v>95</v>
      </c>
      <c r="AH480" s="1" t="s">
        <v>19</v>
      </c>
      <c r="AK480" s="4">
        <v>38</v>
      </c>
      <c r="AL480" s="4">
        <v>66</v>
      </c>
    </row>
    <row r="481" spans="1:38" x14ac:dyDescent="0.25">
      <c r="A481" s="1" t="str">
        <f t="shared" si="43"/>
        <v>US28_hcmva_4xT1_TM2</v>
      </c>
      <c r="B481" s="45" t="s">
        <v>230</v>
      </c>
      <c r="C481" s="45" t="s">
        <v>287</v>
      </c>
      <c r="D481" s="4" t="str">
        <f>VLOOKUP(B481,Classification!A:D,2,FALSE)</f>
        <v>A</v>
      </c>
      <c r="E481" s="4" t="str">
        <f>VLOOKUP(B481,Classification!A:D,3,FALSE)</f>
        <v>Peptide</v>
      </c>
      <c r="F481" s="4" t="str">
        <f>VLOOKUP(B481,Classification!A:D,4,FALSE)</f>
        <v>Chemokine</v>
      </c>
      <c r="G481" s="2">
        <v>3</v>
      </c>
      <c r="H481" s="45" t="s">
        <v>17</v>
      </c>
      <c r="I481" s="2" t="s">
        <v>1223</v>
      </c>
      <c r="J481" s="5" t="str">
        <f>VLOOKUP(B481,Seqs!A:B,2,FALSE)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81" s="4" t="str">
        <f t="shared" si="48"/>
        <v>C</v>
      </c>
      <c r="L481" s="45">
        <f>VLOOKUP(B481,'NonXtal_SegEnds_Prot#'!A:AL,9,FALSE)</f>
        <v>66</v>
      </c>
      <c r="M481" s="45">
        <f>VLOOKUP(B481,'NonXtal_SegEnds_Prot#'!A:AL,10,FALSE)</f>
        <v>79</v>
      </c>
      <c r="N481" s="45">
        <f>VLOOKUP(B481,'NonXtal_SegEnds_Prot#'!A:AL,11,FALSE)</f>
        <v>95</v>
      </c>
      <c r="O481" s="4" t="str">
        <f t="shared" si="44"/>
        <v>D</v>
      </c>
      <c r="P481" s="4"/>
      <c r="Q481" s="47" t="str">
        <f t="shared" si="45"/>
        <v>CSGDVYFINLAAA</v>
      </c>
      <c r="R481" s="27" t="str">
        <f t="shared" si="46"/>
        <v>D</v>
      </c>
      <c r="S481" s="19" t="str">
        <f t="shared" si="47"/>
        <v>LLFVCTLPLWMQYLLD</v>
      </c>
      <c r="Z481" s="4" t="s">
        <v>64</v>
      </c>
      <c r="AD481" s="1" t="s">
        <v>18</v>
      </c>
      <c r="AE481" s="1">
        <v>67</v>
      </c>
      <c r="AF481" s="1">
        <v>79</v>
      </c>
      <c r="AG481" s="1">
        <v>95</v>
      </c>
      <c r="AH481" s="1" t="s">
        <v>19</v>
      </c>
      <c r="AK481" s="4">
        <v>38</v>
      </c>
      <c r="AL481" s="4">
        <v>66</v>
      </c>
    </row>
    <row r="482" spans="1:38" x14ac:dyDescent="0.25">
      <c r="A482" s="1" t="str">
        <f t="shared" si="43"/>
        <v>5ht1b_human__wt_ECL1</v>
      </c>
      <c r="B482" s="45" t="s">
        <v>208</v>
      </c>
      <c r="C482" s="45" t="s">
        <v>294</v>
      </c>
      <c r="D482" s="4" t="str">
        <f>VLOOKUP(B482,Classification!A:D,2,FALSE)</f>
        <v>A</v>
      </c>
      <c r="E482" s="4" t="str">
        <f>VLOOKUP(B482,Classification!A:D,3,FALSE)</f>
        <v>Aminergic</v>
      </c>
      <c r="F482" s="4" t="str">
        <f>VLOOKUP(B482,Classification!A:D,4,FALSE)</f>
        <v>5-Hydroxytryptamine</v>
      </c>
      <c r="G482" s="2">
        <v>4</v>
      </c>
      <c r="H482" s="45" t="s">
        <v>21</v>
      </c>
      <c r="I482" s="2" t="s">
        <v>22</v>
      </c>
      <c r="J482" s="5" t="str">
        <f>VLOOKUP(B482,Seqs!A:B,2,FALSE)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482" s="4" t="str">
        <f t="shared" si="48"/>
        <v>R</v>
      </c>
      <c r="L482" s="45">
        <f>VLOOKUP(B482,'NonXtal_SegEnds_Prot#'!A:AL,12,FALSE)</f>
        <v>114</v>
      </c>
      <c r="M482" s="45">
        <f>VLOOKUP(B482,'NonXtal_SegEnds_Prot#'!A:AL,13,FALSE)</f>
        <v>115</v>
      </c>
      <c r="N482" s="45">
        <f>VLOOKUP(B482,'NonXtal_SegEnds_Prot#'!A:AL,14,FALSE)</f>
        <v>117</v>
      </c>
      <c r="O482" s="4" t="str">
        <f t="shared" si="44"/>
        <v>L</v>
      </c>
      <c r="P482" s="4"/>
      <c r="Q482" s="47" t="str">
        <f t="shared" si="45"/>
        <v>R</v>
      </c>
      <c r="R482" s="27" t="str">
        <f t="shared" si="46"/>
        <v>W</v>
      </c>
      <c r="S482" s="19" t="str">
        <f t="shared" si="47"/>
        <v>TL</v>
      </c>
      <c r="Z482" s="4"/>
      <c r="AD482" s="1" t="s">
        <v>23</v>
      </c>
      <c r="AE482" s="1">
        <v>113</v>
      </c>
      <c r="AF482" s="1">
        <v>115</v>
      </c>
      <c r="AG482" s="1">
        <v>118</v>
      </c>
      <c r="AH482" s="1" t="s">
        <v>24</v>
      </c>
      <c r="AK482" s="4">
        <v>48</v>
      </c>
      <c r="AL482" s="4">
        <v>53</v>
      </c>
    </row>
    <row r="483" spans="1:38" x14ac:dyDescent="0.25">
      <c r="A483" s="1" t="str">
        <f t="shared" si="43"/>
        <v>5ht1b_human_4IAQ_ECL1</v>
      </c>
      <c r="B483" s="45" t="s">
        <v>208</v>
      </c>
      <c r="C483" s="53" t="s">
        <v>1249</v>
      </c>
      <c r="D483" s="4" t="str">
        <f>VLOOKUP(B483,Classification!A:D,2,FALSE)</f>
        <v>A</v>
      </c>
      <c r="E483" s="4" t="str">
        <f>VLOOKUP(B483,Classification!A:D,3,FALSE)</f>
        <v>Aminergic</v>
      </c>
      <c r="F483" s="4" t="str">
        <f>VLOOKUP(B483,Classification!A:D,4,FALSE)</f>
        <v>5-Hydroxytryptamine</v>
      </c>
      <c r="G483" s="2">
        <v>4</v>
      </c>
      <c r="H483" s="45" t="s">
        <v>21</v>
      </c>
      <c r="I483" s="2" t="s">
        <v>22</v>
      </c>
      <c r="J483" s="5" t="str">
        <f>VLOOKUP(B483,Seqs!A:B,2,FALSE)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483" s="4" t="str">
        <f t="shared" si="48"/>
        <v>R</v>
      </c>
      <c r="L483" s="45">
        <f>VLOOKUP(B483,'NonXtal_SegEnds_Prot#'!A:AL,12,FALSE)</f>
        <v>114</v>
      </c>
      <c r="M483" s="45">
        <f>VLOOKUP(B483,'NonXtal_SegEnds_Prot#'!A:AL,13,FALSE)</f>
        <v>115</v>
      </c>
      <c r="N483" s="45">
        <f>VLOOKUP(B483,'NonXtal_SegEnds_Prot#'!A:AL,14,FALSE)</f>
        <v>117</v>
      </c>
      <c r="O483" s="4" t="str">
        <f t="shared" si="44"/>
        <v>L</v>
      </c>
      <c r="P483" s="4"/>
      <c r="Q483" s="47" t="str">
        <f t="shared" si="45"/>
        <v>R</v>
      </c>
      <c r="R483" s="27" t="str">
        <f t="shared" si="46"/>
        <v>W</v>
      </c>
      <c r="S483" s="19" t="str">
        <f t="shared" si="47"/>
        <v>TL</v>
      </c>
      <c r="Z483" s="4"/>
      <c r="AD483" s="1" t="s">
        <v>23</v>
      </c>
      <c r="AE483" s="1">
        <v>113</v>
      </c>
      <c r="AF483" s="1">
        <v>115</v>
      </c>
      <c r="AG483" s="1">
        <v>118</v>
      </c>
      <c r="AH483" s="1" t="s">
        <v>24</v>
      </c>
      <c r="AK483" s="4">
        <v>48</v>
      </c>
      <c r="AL483" s="4">
        <v>53</v>
      </c>
    </row>
    <row r="484" spans="1:38" x14ac:dyDescent="0.25">
      <c r="A484" s="1" t="str">
        <f t="shared" si="43"/>
        <v>5ht1b_human_4IAR_ECL1</v>
      </c>
      <c r="B484" s="45" t="s">
        <v>208</v>
      </c>
      <c r="C484" s="45" t="s">
        <v>251</v>
      </c>
      <c r="D484" s="4" t="str">
        <f>VLOOKUP(B484,Classification!A:D,2,FALSE)</f>
        <v>A</v>
      </c>
      <c r="E484" s="4" t="str">
        <f>VLOOKUP(B484,Classification!A:D,3,FALSE)</f>
        <v>Aminergic</v>
      </c>
      <c r="F484" s="4" t="str">
        <f>VLOOKUP(B484,Classification!A:D,4,FALSE)</f>
        <v>5-Hydroxytryptamine</v>
      </c>
      <c r="G484" s="2">
        <v>4</v>
      </c>
      <c r="H484" s="45" t="s">
        <v>21</v>
      </c>
      <c r="I484" s="2" t="s">
        <v>22</v>
      </c>
      <c r="J484" s="5" t="str">
        <f>VLOOKUP(B484,Seqs!A:B,2,FALSE)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484" s="4" t="str">
        <f t="shared" si="48"/>
        <v>R</v>
      </c>
      <c r="L484" s="45">
        <f>VLOOKUP(B484,'NonXtal_SegEnds_Prot#'!A:AL,12,FALSE)</f>
        <v>114</v>
      </c>
      <c r="M484" s="45">
        <f>VLOOKUP(B484,'NonXtal_SegEnds_Prot#'!A:AL,13,FALSE)</f>
        <v>115</v>
      </c>
      <c r="N484" s="45">
        <f>VLOOKUP(B484,'NonXtal_SegEnds_Prot#'!A:AL,14,FALSE)</f>
        <v>117</v>
      </c>
      <c r="O484" s="4" t="str">
        <f t="shared" si="44"/>
        <v>L</v>
      </c>
      <c r="P484" s="4"/>
      <c r="Q484" s="47" t="str">
        <f t="shared" si="45"/>
        <v>R</v>
      </c>
      <c r="R484" s="27" t="str">
        <f t="shared" si="46"/>
        <v>W</v>
      </c>
      <c r="S484" s="19" t="str">
        <f t="shared" si="47"/>
        <v>TL</v>
      </c>
      <c r="Z484" s="4"/>
      <c r="AD484" s="1" t="s">
        <v>23</v>
      </c>
      <c r="AE484" s="1">
        <v>113</v>
      </c>
      <c r="AF484" s="1">
        <v>115</v>
      </c>
      <c r="AG484" s="1">
        <v>118</v>
      </c>
      <c r="AH484" s="1" t="s">
        <v>24</v>
      </c>
      <c r="AK484" s="4">
        <v>48</v>
      </c>
      <c r="AL484" s="4">
        <v>53</v>
      </c>
    </row>
    <row r="485" spans="1:38" x14ac:dyDescent="0.25">
      <c r="A485" s="1" t="str">
        <f t="shared" si="43"/>
        <v>5ht2b_human__wt_ECL1</v>
      </c>
      <c r="B485" s="45" t="s">
        <v>209</v>
      </c>
      <c r="C485" s="45" t="s">
        <v>294</v>
      </c>
      <c r="D485" s="4" t="str">
        <f>VLOOKUP(B485,Classification!A:D,2,FALSE)</f>
        <v>A</v>
      </c>
      <c r="E485" s="4" t="str">
        <f>VLOOKUP(B485,Classification!A:D,3,FALSE)</f>
        <v>Aminergic</v>
      </c>
      <c r="F485" s="4" t="str">
        <f>VLOOKUP(B485,Classification!A:D,4,FALSE)</f>
        <v>5-Hydroxytryptamine</v>
      </c>
      <c r="G485" s="2">
        <v>4</v>
      </c>
      <c r="H485" s="45" t="s">
        <v>21</v>
      </c>
      <c r="I485" s="2" t="s">
        <v>22</v>
      </c>
      <c r="J485" s="5" t="str">
        <f>VLOOKUP(B485,Seqs!A:B,2,FALSE)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485" s="4" t="str">
        <f t="shared" si="48"/>
        <v>M</v>
      </c>
      <c r="L485" s="45">
        <f>VLOOKUP(B485,'NonXtal_SegEnds_Prot#'!A:AL,12,FALSE)</f>
        <v>120</v>
      </c>
      <c r="M485" s="45">
        <f>VLOOKUP(B485,'NonXtal_SegEnds_Prot#'!A:AL,13,FALSE)</f>
        <v>121</v>
      </c>
      <c r="N485" s="45">
        <f>VLOOKUP(B485,'NonXtal_SegEnds_Prot#'!A:AL,14,FALSE)</f>
        <v>123</v>
      </c>
      <c r="O485" s="4" t="str">
        <f t="shared" si="44"/>
        <v>L</v>
      </c>
      <c r="P485" s="4"/>
      <c r="Q485" s="47" t="str">
        <f t="shared" si="45"/>
        <v>M</v>
      </c>
      <c r="R485" s="27" t="str">
        <f t="shared" si="46"/>
        <v>W</v>
      </c>
      <c r="S485" s="19" t="str">
        <f t="shared" si="47"/>
        <v>PL</v>
      </c>
      <c r="Z485" s="4"/>
      <c r="AD485" s="1" t="s">
        <v>23</v>
      </c>
      <c r="AE485" s="1">
        <v>119</v>
      </c>
      <c r="AF485" s="1">
        <v>121</v>
      </c>
      <c r="AG485" s="1">
        <v>124</v>
      </c>
      <c r="AH485" s="1" t="s">
        <v>24</v>
      </c>
      <c r="AK485" s="4">
        <v>48</v>
      </c>
      <c r="AL485" s="4">
        <v>53</v>
      </c>
    </row>
    <row r="486" spans="1:38" x14ac:dyDescent="0.25">
      <c r="A486" s="1" t="str">
        <f t="shared" si="43"/>
        <v>5ht2b_human_4IB4_ECL1</v>
      </c>
      <c r="B486" s="45" t="s">
        <v>209</v>
      </c>
      <c r="C486" s="45" t="s">
        <v>261</v>
      </c>
      <c r="D486" s="4" t="str">
        <f>VLOOKUP(B486,Classification!A:D,2,FALSE)</f>
        <v>A</v>
      </c>
      <c r="E486" s="4" t="str">
        <f>VLOOKUP(B486,Classification!A:D,3,FALSE)</f>
        <v>Aminergic</v>
      </c>
      <c r="F486" s="4" t="str">
        <f>VLOOKUP(B486,Classification!A:D,4,FALSE)</f>
        <v>5-Hydroxytryptamine</v>
      </c>
      <c r="G486" s="2">
        <v>4</v>
      </c>
      <c r="H486" s="45" t="s">
        <v>21</v>
      </c>
      <c r="I486" s="2" t="s">
        <v>22</v>
      </c>
      <c r="J486" s="5" t="str">
        <f>VLOOKUP(B486,Seqs!A:B,2,FALSE)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486" s="4" t="str">
        <f t="shared" si="48"/>
        <v>M</v>
      </c>
      <c r="L486" s="45">
        <f>VLOOKUP(B486,'NonXtal_SegEnds_Prot#'!A:AL,12,FALSE)</f>
        <v>120</v>
      </c>
      <c r="M486" s="45">
        <f>VLOOKUP(B486,'NonXtal_SegEnds_Prot#'!A:AL,13,FALSE)</f>
        <v>121</v>
      </c>
      <c r="N486" s="45">
        <f>VLOOKUP(B486,'NonXtal_SegEnds_Prot#'!A:AL,14,FALSE)</f>
        <v>123</v>
      </c>
      <c r="O486" s="4" t="str">
        <f t="shared" si="44"/>
        <v>L</v>
      </c>
      <c r="P486" s="4"/>
      <c r="Q486" s="47" t="str">
        <f t="shared" si="45"/>
        <v>M</v>
      </c>
      <c r="R486" s="27" t="str">
        <f t="shared" si="46"/>
        <v>W</v>
      </c>
      <c r="S486" s="19" t="str">
        <f t="shared" si="47"/>
        <v>PL</v>
      </c>
      <c r="Z486" s="4"/>
      <c r="AD486" s="1" t="s">
        <v>23</v>
      </c>
      <c r="AE486" s="1">
        <v>119</v>
      </c>
      <c r="AF486" s="1">
        <v>121</v>
      </c>
      <c r="AG486" s="1">
        <v>124</v>
      </c>
      <c r="AH486" s="1" t="s">
        <v>24</v>
      </c>
      <c r="AK486" s="4">
        <v>48</v>
      </c>
      <c r="AL486" s="4">
        <v>53</v>
      </c>
    </row>
    <row r="487" spans="1:38" s="3" customFormat="1" x14ac:dyDescent="0.25">
      <c r="A487" s="1" t="str">
        <f t="shared" si="43"/>
        <v>ACM1_human__wt_ECL1</v>
      </c>
      <c r="B487" s="45" t="s">
        <v>218</v>
      </c>
      <c r="C487" s="45" t="s">
        <v>294</v>
      </c>
      <c r="D487" s="4" t="str">
        <f>VLOOKUP(B487,Classification!A:D,2,FALSE)</f>
        <v>A</v>
      </c>
      <c r="E487" s="4" t="str">
        <f>VLOOKUP(B487,Classification!A:D,3,FALSE)</f>
        <v>Aminergic</v>
      </c>
      <c r="F487" s="4" t="str">
        <f>VLOOKUP(B487,Classification!A:D,4,FALSE)</f>
        <v>Acetylcholine(muscarinic)</v>
      </c>
      <c r="G487" s="2">
        <v>4</v>
      </c>
      <c r="H487" s="45" t="s">
        <v>21</v>
      </c>
      <c r="I487" s="2" t="s">
        <v>22</v>
      </c>
      <c r="J487" s="5" t="str">
        <f>VLOOKUP(B487,Seqs!A:B,2,FALSE)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487" s="4" t="str">
        <f t="shared" si="48"/>
        <v>H</v>
      </c>
      <c r="L487" s="45">
        <f>VLOOKUP(B487,'NonXtal_SegEnds_Prot#'!A:AL,12,FALSE)</f>
        <v>90</v>
      </c>
      <c r="M487" s="45">
        <f>VLOOKUP(B487,'NonXtal_SegEnds_Prot#'!A:AL,13,FALSE)</f>
        <v>91</v>
      </c>
      <c r="N487" s="45">
        <f>VLOOKUP(B487,'NonXtal_SegEnds_Prot#'!A:AL,14,FALSE)</f>
        <v>93</v>
      </c>
      <c r="O487" s="4" t="str">
        <f t="shared" si="44"/>
        <v>L</v>
      </c>
      <c r="P487" s="4"/>
      <c r="Q487" s="47" t="str">
        <f t="shared" si="45"/>
        <v>H</v>
      </c>
      <c r="R487" s="27" t="str">
        <f t="shared" si="46"/>
        <v>W</v>
      </c>
      <c r="S487" s="19" t="str">
        <f t="shared" si="47"/>
        <v>AL</v>
      </c>
      <c r="T487" s="5"/>
      <c r="U487" s="4"/>
      <c r="V487" s="1"/>
      <c r="W487" s="1"/>
      <c r="X487" s="1"/>
      <c r="Y487" s="1"/>
      <c r="Z487" s="4" t="s">
        <v>78</v>
      </c>
      <c r="AA487" s="1"/>
      <c r="AB487" s="1"/>
      <c r="AC487" s="1"/>
      <c r="AD487" s="1" t="s">
        <v>23</v>
      </c>
      <c r="AE487" s="1">
        <v>89</v>
      </c>
      <c r="AF487" s="1">
        <v>91</v>
      </c>
      <c r="AG487" s="1">
        <v>94</v>
      </c>
      <c r="AH487" s="1" t="s">
        <v>24</v>
      </c>
      <c r="AI487" s="1"/>
      <c r="AJ487" s="1"/>
      <c r="AK487" s="4">
        <v>48</v>
      </c>
      <c r="AL487" s="4">
        <v>53</v>
      </c>
    </row>
    <row r="488" spans="1:38" x14ac:dyDescent="0.25">
      <c r="A488" s="1" t="str">
        <f t="shared" si="43"/>
        <v>ACM1_human_5CXV_ECL1</v>
      </c>
      <c r="B488" s="45" t="s">
        <v>218</v>
      </c>
      <c r="C488" s="45" t="s">
        <v>253</v>
      </c>
      <c r="D488" s="4" t="str">
        <f>VLOOKUP(B488,Classification!A:D,2,FALSE)</f>
        <v>A</v>
      </c>
      <c r="E488" s="4" t="str">
        <f>VLOOKUP(B488,Classification!A:D,3,FALSE)</f>
        <v>Aminergic</v>
      </c>
      <c r="F488" s="4" t="str">
        <f>VLOOKUP(B488,Classification!A:D,4,FALSE)</f>
        <v>Acetylcholine(muscarinic)</v>
      </c>
      <c r="G488" s="2">
        <v>4</v>
      </c>
      <c r="H488" s="45" t="s">
        <v>21</v>
      </c>
      <c r="I488" s="2" t="s">
        <v>22</v>
      </c>
      <c r="J488" s="5" t="str">
        <f>VLOOKUP(B488,Seqs!A:B,2,FALSE)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488" s="4" t="str">
        <f t="shared" si="48"/>
        <v>H</v>
      </c>
      <c r="L488" s="45">
        <f>VLOOKUP(B488,'NonXtal_SegEnds_Prot#'!A:AL,12,FALSE)</f>
        <v>90</v>
      </c>
      <c r="M488" s="45">
        <f>VLOOKUP(B488,'NonXtal_SegEnds_Prot#'!A:AL,13,FALSE)</f>
        <v>91</v>
      </c>
      <c r="N488" s="45">
        <f>VLOOKUP(B488,'NonXtal_SegEnds_Prot#'!A:AL,14,FALSE)</f>
        <v>93</v>
      </c>
      <c r="O488" s="4" t="str">
        <f t="shared" si="44"/>
        <v>L</v>
      </c>
      <c r="P488" s="4"/>
      <c r="Q488" s="47" t="str">
        <f t="shared" si="45"/>
        <v>H</v>
      </c>
      <c r="R488" s="27" t="str">
        <f t="shared" si="46"/>
        <v>W</v>
      </c>
      <c r="S488" s="19" t="str">
        <f t="shared" si="47"/>
        <v>AL</v>
      </c>
      <c r="Z488" s="4" t="s">
        <v>78</v>
      </c>
      <c r="AD488" s="1" t="s">
        <v>23</v>
      </c>
      <c r="AE488" s="1">
        <v>89</v>
      </c>
      <c r="AF488" s="1">
        <v>91</v>
      </c>
      <c r="AG488" s="1">
        <v>94</v>
      </c>
      <c r="AH488" s="1" t="s">
        <v>24</v>
      </c>
      <c r="AK488" s="4">
        <v>48</v>
      </c>
      <c r="AL488" s="4">
        <v>53</v>
      </c>
    </row>
    <row r="489" spans="1:38" x14ac:dyDescent="0.25">
      <c r="A489" s="1" t="str">
        <f t="shared" si="43"/>
        <v>ACM2_human__wt_ECL1</v>
      </c>
      <c r="B489" s="45" t="s">
        <v>219</v>
      </c>
      <c r="C489" s="45" t="s">
        <v>294</v>
      </c>
      <c r="D489" s="4" t="str">
        <f>VLOOKUP(B489,Classification!A:D,2,FALSE)</f>
        <v>A</v>
      </c>
      <c r="E489" s="4" t="str">
        <f>VLOOKUP(B489,Classification!A:D,3,FALSE)</f>
        <v>Aminergic</v>
      </c>
      <c r="F489" s="4" t="str">
        <f>VLOOKUP(B489,Classification!A:D,4,FALSE)</f>
        <v>Acetylcholine(muscarinic)</v>
      </c>
      <c r="G489" s="2">
        <v>4</v>
      </c>
      <c r="H489" s="45" t="s">
        <v>21</v>
      </c>
      <c r="I489" s="2" t="s">
        <v>22</v>
      </c>
      <c r="J489" s="5" t="str">
        <f>VLOOKUP(B489,Seqs!A:B,2,FALSE)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489" s="4" t="str">
        <f t="shared" si="48"/>
        <v>Y</v>
      </c>
      <c r="L489" s="45">
        <f>VLOOKUP(B489,'NonXtal_SegEnds_Prot#'!A:AL,12,FALSE)</f>
        <v>88</v>
      </c>
      <c r="M489" s="45">
        <f>VLOOKUP(B489,'NonXtal_SegEnds_Prot#'!A:AL,13,FALSE)</f>
        <v>89</v>
      </c>
      <c r="N489" s="45">
        <f>VLOOKUP(B489,'NonXtal_SegEnds_Prot#'!A:AL,14,FALSE)</f>
        <v>91</v>
      </c>
      <c r="O489" s="4" t="str">
        <f t="shared" si="44"/>
        <v>L</v>
      </c>
      <c r="P489" s="4"/>
      <c r="Q489" s="47" t="str">
        <f t="shared" si="45"/>
        <v>Y</v>
      </c>
      <c r="R489" s="27" t="str">
        <f t="shared" si="46"/>
        <v>W</v>
      </c>
      <c r="S489" s="19" t="str">
        <f t="shared" si="47"/>
        <v>PL</v>
      </c>
      <c r="Z489" s="4" t="s">
        <v>78</v>
      </c>
      <c r="AD489" s="1" t="s">
        <v>23</v>
      </c>
      <c r="AE489" s="1">
        <v>87</v>
      </c>
      <c r="AF489" s="1">
        <v>89</v>
      </c>
      <c r="AG489" s="1">
        <v>92</v>
      </c>
      <c r="AH489" s="1" t="s">
        <v>24</v>
      </c>
      <c r="AK489" s="4">
        <v>48</v>
      </c>
      <c r="AL489" s="4">
        <v>53</v>
      </c>
    </row>
    <row r="490" spans="1:38" x14ac:dyDescent="0.25">
      <c r="A490" s="1" t="str">
        <f t="shared" si="43"/>
        <v>ACM2_human_3UON_ECL1</v>
      </c>
      <c r="B490" s="45" t="s">
        <v>219</v>
      </c>
      <c r="C490" s="45" t="s">
        <v>270</v>
      </c>
      <c r="D490" s="4" t="str">
        <f>VLOOKUP(B490,Classification!A:D,2,FALSE)</f>
        <v>A</v>
      </c>
      <c r="E490" s="4" t="str">
        <f>VLOOKUP(B490,Classification!A:D,3,FALSE)</f>
        <v>Aminergic</v>
      </c>
      <c r="F490" s="4" t="str">
        <f>VLOOKUP(B490,Classification!A:D,4,FALSE)</f>
        <v>Acetylcholine(muscarinic)</v>
      </c>
      <c r="G490" s="2">
        <v>4</v>
      </c>
      <c r="H490" s="45" t="s">
        <v>21</v>
      </c>
      <c r="I490" s="2" t="s">
        <v>22</v>
      </c>
      <c r="J490" s="5" t="str">
        <f>VLOOKUP(B490,Seqs!A:B,2,FALSE)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490" s="4" t="str">
        <f t="shared" si="48"/>
        <v>Y</v>
      </c>
      <c r="L490" s="45">
        <f>VLOOKUP(B490,'NonXtal_SegEnds_Prot#'!A:AL,12,FALSE)</f>
        <v>88</v>
      </c>
      <c r="M490" s="45">
        <f>VLOOKUP(B490,'NonXtal_SegEnds_Prot#'!A:AL,13,FALSE)</f>
        <v>89</v>
      </c>
      <c r="N490" s="45">
        <f>VLOOKUP(B490,'NonXtal_SegEnds_Prot#'!A:AL,14,FALSE)</f>
        <v>91</v>
      </c>
      <c r="O490" s="4" t="str">
        <f t="shared" si="44"/>
        <v>L</v>
      </c>
      <c r="P490" s="4"/>
      <c r="Q490" s="47" t="str">
        <f t="shared" si="45"/>
        <v>Y</v>
      </c>
      <c r="R490" s="27" t="str">
        <f t="shared" si="46"/>
        <v>W</v>
      </c>
      <c r="S490" s="19" t="str">
        <f t="shared" si="47"/>
        <v>PL</v>
      </c>
      <c r="Z490" s="4" t="s">
        <v>78</v>
      </c>
      <c r="AD490" s="1" t="s">
        <v>23</v>
      </c>
      <c r="AE490" s="1">
        <v>87</v>
      </c>
      <c r="AF490" s="1">
        <v>89</v>
      </c>
      <c r="AG490" s="1">
        <v>92</v>
      </c>
      <c r="AH490" s="1" t="s">
        <v>24</v>
      </c>
      <c r="AK490" s="4">
        <v>48</v>
      </c>
      <c r="AL490" s="4">
        <v>53</v>
      </c>
    </row>
    <row r="491" spans="1:38" x14ac:dyDescent="0.25">
      <c r="A491" s="1" t="str">
        <f t="shared" si="43"/>
        <v>ACM2_human_4MQS_ECL1</v>
      </c>
      <c r="B491" s="45" t="s">
        <v>219</v>
      </c>
      <c r="C491" s="45" t="s">
        <v>259</v>
      </c>
      <c r="D491" s="4" t="str">
        <f>VLOOKUP(B491,Classification!A:D,2,FALSE)</f>
        <v>A</v>
      </c>
      <c r="E491" s="4" t="str">
        <f>VLOOKUP(B491,Classification!A:D,3,FALSE)</f>
        <v>Aminergic</v>
      </c>
      <c r="F491" s="4" t="str">
        <f>VLOOKUP(B491,Classification!A:D,4,FALSE)</f>
        <v>Acetylcholine(muscarinic)</v>
      </c>
      <c r="G491" s="2">
        <v>4</v>
      </c>
      <c r="H491" s="45" t="s">
        <v>21</v>
      </c>
      <c r="I491" s="2" t="s">
        <v>22</v>
      </c>
      <c r="J491" s="5" t="str">
        <f>VLOOKUP(B491,Seqs!A:B,2,FALSE)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491" s="4" t="str">
        <f t="shared" si="48"/>
        <v>Y</v>
      </c>
      <c r="L491" s="45">
        <f>VLOOKUP(B491,'NonXtal_SegEnds_Prot#'!A:AL,12,FALSE)</f>
        <v>88</v>
      </c>
      <c r="M491" s="45">
        <f>VLOOKUP(B491,'NonXtal_SegEnds_Prot#'!A:AL,13,FALSE)</f>
        <v>89</v>
      </c>
      <c r="N491" s="45">
        <f>VLOOKUP(B491,'NonXtal_SegEnds_Prot#'!A:AL,14,FALSE)</f>
        <v>91</v>
      </c>
      <c r="O491" s="4" t="str">
        <f t="shared" si="44"/>
        <v>L</v>
      </c>
      <c r="P491" s="4"/>
      <c r="Q491" s="47" t="str">
        <f t="shared" si="45"/>
        <v>Y</v>
      </c>
      <c r="R491" s="27" t="str">
        <f t="shared" si="46"/>
        <v>W</v>
      </c>
      <c r="S491" s="19" t="str">
        <f t="shared" si="47"/>
        <v>PL</v>
      </c>
      <c r="Z491" s="4" t="s">
        <v>64</v>
      </c>
      <c r="AD491" s="1" t="s">
        <v>23</v>
      </c>
      <c r="AE491" s="1">
        <v>87</v>
      </c>
      <c r="AF491" s="1">
        <v>89</v>
      </c>
      <c r="AG491" s="1">
        <v>92</v>
      </c>
      <c r="AH491" s="1" t="s">
        <v>24</v>
      </c>
      <c r="AK491" s="4">
        <v>48</v>
      </c>
      <c r="AL491" s="4">
        <v>53</v>
      </c>
    </row>
    <row r="492" spans="1:38" x14ac:dyDescent="0.25">
      <c r="A492" s="1" t="str">
        <f t="shared" si="43"/>
        <v>ACM3_rat__wt_ECL1</v>
      </c>
      <c r="B492" s="45" t="s">
        <v>236</v>
      </c>
      <c r="C492" s="45" t="s">
        <v>294</v>
      </c>
      <c r="D492" s="4" t="str">
        <f>VLOOKUP(B492,Classification!A:D,2,FALSE)</f>
        <v>A</v>
      </c>
      <c r="E492" s="4" t="str">
        <f>VLOOKUP(B492,Classification!A:D,3,FALSE)</f>
        <v>Aminergic</v>
      </c>
      <c r="F492" s="4" t="str">
        <f>VLOOKUP(B492,Classification!A:D,4,FALSE)</f>
        <v>Acetylcholine(muscarinic)</v>
      </c>
      <c r="G492" s="2">
        <v>4</v>
      </c>
      <c r="H492" s="45" t="s">
        <v>21</v>
      </c>
      <c r="I492" s="2" t="s">
        <v>22</v>
      </c>
      <c r="J492" s="5" t="str">
        <f>VLOOKUP(B492,Seqs!A:B,2,FALSE)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492" s="4" t="str">
        <f t="shared" si="48"/>
        <v>R</v>
      </c>
      <c r="L492" s="45">
        <f>VLOOKUP(B492,'NonXtal_SegEnds_Prot#'!A:AL,12,FALSE)</f>
        <v>132</v>
      </c>
      <c r="M492" s="45">
        <f>VLOOKUP(B492,'NonXtal_SegEnds_Prot#'!A:AL,13,FALSE)</f>
        <v>133</v>
      </c>
      <c r="N492" s="45">
        <f>VLOOKUP(B492,'NonXtal_SegEnds_Prot#'!A:AL,14,FALSE)</f>
        <v>135</v>
      </c>
      <c r="O492" s="4" t="str">
        <f t="shared" si="44"/>
        <v>L</v>
      </c>
      <c r="P492" s="4"/>
      <c r="Q492" s="47" t="str">
        <f t="shared" si="45"/>
        <v>R</v>
      </c>
      <c r="R492" s="27" t="str">
        <f t="shared" si="46"/>
        <v>W</v>
      </c>
      <c r="S492" s="19" t="str">
        <f t="shared" si="47"/>
        <v>AL</v>
      </c>
      <c r="Z492" s="4"/>
      <c r="AD492" s="1" t="s">
        <v>23</v>
      </c>
      <c r="AE492" s="1">
        <v>131</v>
      </c>
      <c r="AF492" s="1">
        <v>133</v>
      </c>
      <c r="AG492" s="1">
        <v>136</v>
      </c>
      <c r="AH492" s="1" t="s">
        <v>24</v>
      </c>
      <c r="AK492" s="4">
        <v>48</v>
      </c>
      <c r="AL492" s="4">
        <v>53</v>
      </c>
    </row>
    <row r="493" spans="1:38" x14ac:dyDescent="0.25">
      <c r="A493" s="1" t="str">
        <f t="shared" si="43"/>
        <v>ACM3_rat_4U15_ECL1</v>
      </c>
      <c r="B493" s="45" t="s">
        <v>236</v>
      </c>
      <c r="C493" s="45" t="s">
        <v>262</v>
      </c>
      <c r="D493" s="4" t="str">
        <f>VLOOKUP(B493,Classification!A:D,2,FALSE)</f>
        <v>A</v>
      </c>
      <c r="E493" s="4" t="str">
        <f>VLOOKUP(B493,Classification!A:D,3,FALSE)</f>
        <v>Aminergic</v>
      </c>
      <c r="F493" s="4" t="str">
        <f>VLOOKUP(B493,Classification!A:D,4,FALSE)</f>
        <v>Acetylcholine(muscarinic)</v>
      </c>
      <c r="G493" s="2">
        <v>4</v>
      </c>
      <c r="H493" s="45" t="s">
        <v>21</v>
      </c>
      <c r="I493" s="2" t="s">
        <v>22</v>
      </c>
      <c r="J493" s="5" t="str">
        <f>VLOOKUP(B493,Seqs!A:B,2,FALSE)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493" s="4" t="str">
        <f t="shared" si="48"/>
        <v>R</v>
      </c>
      <c r="L493" s="45">
        <f>VLOOKUP(B493,'NonXtal_SegEnds_Prot#'!A:AL,12,FALSE)</f>
        <v>132</v>
      </c>
      <c r="M493" s="45">
        <f>VLOOKUP(B493,'NonXtal_SegEnds_Prot#'!A:AL,13,FALSE)</f>
        <v>133</v>
      </c>
      <c r="N493" s="45">
        <f>VLOOKUP(B493,'NonXtal_SegEnds_Prot#'!A:AL,14,FALSE)</f>
        <v>135</v>
      </c>
      <c r="O493" s="4" t="str">
        <f t="shared" si="44"/>
        <v>L</v>
      </c>
      <c r="P493" s="4"/>
      <c r="Q493" s="47" t="str">
        <f t="shared" si="45"/>
        <v>R</v>
      </c>
      <c r="R493" s="27" t="str">
        <f t="shared" si="46"/>
        <v>W</v>
      </c>
      <c r="S493" s="19" t="str">
        <f t="shared" si="47"/>
        <v>AL</v>
      </c>
      <c r="Z493" s="4"/>
      <c r="AD493" s="1" t="s">
        <v>23</v>
      </c>
      <c r="AE493" s="1">
        <v>131</v>
      </c>
      <c r="AF493" s="1">
        <v>133</v>
      </c>
      <c r="AG493" s="1">
        <v>136</v>
      </c>
      <c r="AH493" s="1" t="s">
        <v>24</v>
      </c>
      <c r="AK493" s="4">
        <v>48</v>
      </c>
      <c r="AL493" s="4">
        <v>53</v>
      </c>
    </row>
    <row r="494" spans="1:38" x14ac:dyDescent="0.25">
      <c r="A494" s="1" t="str">
        <f t="shared" si="43"/>
        <v>ACM4_human__wt_ECL1</v>
      </c>
      <c r="B494" s="45" t="s">
        <v>220</v>
      </c>
      <c r="C494" s="45" t="s">
        <v>294</v>
      </c>
      <c r="D494" s="4" t="str">
        <f>VLOOKUP(B494,Classification!A:D,2,FALSE)</f>
        <v>A</v>
      </c>
      <c r="E494" s="4" t="str">
        <f>VLOOKUP(B494,Classification!A:D,3,FALSE)</f>
        <v>Aminergic</v>
      </c>
      <c r="F494" s="4" t="str">
        <f>VLOOKUP(B494,Classification!A:D,4,FALSE)</f>
        <v>Acetylcholine(muscarinic)</v>
      </c>
      <c r="G494" s="2">
        <v>4</v>
      </c>
      <c r="H494" s="45" t="s">
        <v>21</v>
      </c>
      <c r="I494" s="2" t="s">
        <v>22</v>
      </c>
      <c r="J494" s="5" t="str">
        <f>VLOOKUP(B494,Seqs!A:B,2,FALSE)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494" s="4" t="str">
        <f t="shared" si="48"/>
        <v>Y</v>
      </c>
      <c r="L494" s="45">
        <f>VLOOKUP(B494,'NonXtal_SegEnds_Prot#'!A:AL,12,FALSE)</f>
        <v>97</v>
      </c>
      <c r="M494" s="45">
        <f>VLOOKUP(B494,'NonXtal_SegEnds_Prot#'!A:AL,13,FALSE)</f>
        <v>98</v>
      </c>
      <c r="N494" s="45">
        <f>VLOOKUP(B494,'NonXtal_SegEnds_Prot#'!A:AL,14,FALSE)</f>
        <v>100</v>
      </c>
      <c r="O494" s="4" t="str">
        <f t="shared" si="44"/>
        <v>L</v>
      </c>
      <c r="P494" s="4"/>
      <c r="Q494" s="47" t="str">
        <f t="shared" si="45"/>
        <v>Y</v>
      </c>
      <c r="R494" s="27" t="str">
        <f t="shared" si="46"/>
        <v>W</v>
      </c>
      <c r="S494" s="19" t="str">
        <f t="shared" si="47"/>
        <v>PL</v>
      </c>
      <c r="Z494" s="4" t="s">
        <v>78</v>
      </c>
      <c r="AD494" s="1" t="s">
        <v>23</v>
      </c>
      <c r="AE494" s="1">
        <v>96</v>
      </c>
      <c r="AF494" s="1">
        <v>98</v>
      </c>
      <c r="AG494" s="1">
        <v>101</v>
      </c>
      <c r="AH494" s="1" t="s">
        <v>24</v>
      </c>
      <c r="AK494" s="4">
        <v>48</v>
      </c>
      <c r="AL494" s="4">
        <v>53</v>
      </c>
    </row>
    <row r="495" spans="1:38" x14ac:dyDescent="0.25">
      <c r="A495" s="1" t="str">
        <f t="shared" si="43"/>
        <v>ACM4_human_5DSG_ECL1</v>
      </c>
      <c r="B495" s="45" t="s">
        <v>220</v>
      </c>
      <c r="C495" s="45" t="s">
        <v>252</v>
      </c>
      <c r="D495" s="4" t="str">
        <f>VLOOKUP(B495,Classification!A:D,2,FALSE)</f>
        <v>A</v>
      </c>
      <c r="E495" s="4" t="str">
        <f>VLOOKUP(B495,Classification!A:D,3,FALSE)</f>
        <v>Aminergic</v>
      </c>
      <c r="F495" s="4" t="str">
        <f>VLOOKUP(B495,Classification!A:D,4,FALSE)</f>
        <v>Acetylcholine(muscarinic)</v>
      </c>
      <c r="G495" s="2">
        <v>4</v>
      </c>
      <c r="H495" s="45" t="s">
        <v>21</v>
      </c>
      <c r="I495" s="2" t="s">
        <v>22</v>
      </c>
      <c r="J495" s="5" t="str">
        <f>VLOOKUP(B495,Seqs!A:B,2,FALSE)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495" s="4" t="str">
        <f t="shared" si="48"/>
        <v>Y</v>
      </c>
      <c r="L495" s="45">
        <f>VLOOKUP(B495,'NonXtal_SegEnds_Prot#'!A:AL,12,FALSE)</f>
        <v>97</v>
      </c>
      <c r="M495" s="45">
        <f>VLOOKUP(B495,'NonXtal_SegEnds_Prot#'!A:AL,13,FALSE)</f>
        <v>98</v>
      </c>
      <c r="N495" s="45">
        <f>VLOOKUP(B495,'NonXtal_SegEnds_Prot#'!A:AL,14,FALSE)</f>
        <v>100</v>
      </c>
      <c r="O495" s="4" t="str">
        <f t="shared" si="44"/>
        <v>L</v>
      </c>
      <c r="P495" s="4"/>
      <c r="Q495" s="47" t="str">
        <f t="shared" si="45"/>
        <v>Y</v>
      </c>
      <c r="R495" s="27" t="str">
        <f t="shared" si="46"/>
        <v>W</v>
      </c>
      <c r="S495" s="19" t="str">
        <f t="shared" si="47"/>
        <v>PL</v>
      </c>
      <c r="Z495" s="4" t="s">
        <v>78</v>
      </c>
      <c r="AD495" s="1" t="s">
        <v>23</v>
      </c>
      <c r="AE495" s="1">
        <v>96</v>
      </c>
      <c r="AF495" s="1">
        <v>98</v>
      </c>
      <c r="AG495" s="1">
        <v>101</v>
      </c>
      <c r="AH495" s="1" t="s">
        <v>24</v>
      </c>
      <c r="AK495" s="4">
        <v>48</v>
      </c>
      <c r="AL495" s="4">
        <v>53</v>
      </c>
    </row>
    <row r="496" spans="1:38" x14ac:dyDescent="0.25">
      <c r="A496" s="1" t="str">
        <f t="shared" si="43"/>
        <v>ADRB1_melga__wt_ECL1</v>
      </c>
      <c r="B496" s="45" t="s">
        <v>235</v>
      </c>
      <c r="C496" s="45" t="s">
        <v>294</v>
      </c>
      <c r="D496" s="4" t="str">
        <f>VLOOKUP(B496,Classification!A:D,2,FALSE)</f>
        <v>A</v>
      </c>
      <c r="E496" s="4" t="str">
        <f>VLOOKUP(B496,Classification!A:D,3,FALSE)</f>
        <v>Aminergic</v>
      </c>
      <c r="F496" s="4" t="str">
        <f>VLOOKUP(B496,Classification!A:D,4,FALSE)</f>
        <v>Adrenoceptors</v>
      </c>
      <c r="G496" s="2">
        <v>4</v>
      </c>
      <c r="H496" s="45" t="s">
        <v>21</v>
      </c>
      <c r="I496" s="2" t="s">
        <v>22</v>
      </c>
      <c r="J496" s="5" t="str">
        <f>VLOOKUP(B496,Seqs!A:B,2,FALSE)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6" s="4" t="str">
        <f t="shared" si="48"/>
        <v>T</v>
      </c>
      <c r="L496" s="45">
        <f>VLOOKUP(B496,'NonXtal_SegEnds_Prot#'!A:AL,12,FALSE)</f>
        <v>106</v>
      </c>
      <c r="M496" s="45">
        <f>VLOOKUP(B496,'NonXtal_SegEnds_Prot#'!A:AL,13,FALSE)</f>
        <v>107</v>
      </c>
      <c r="N496" s="45">
        <f>VLOOKUP(B496,'NonXtal_SegEnds_Prot#'!A:AL,14,FALSE)</f>
        <v>109</v>
      </c>
      <c r="O496" s="4" t="str">
        <f t="shared" si="44"/>
        <v>W</v>
      </c>
      <c r="P496" s="4"/>
      <c r="Q496" s="47" t="str">
        <f t="shared" si="45"/>
        <v>T</v>
      </c>
      <c r="R496" s="27" t="str">
        <f t="shared" si="46"/>
        <v>W</v>
      </c>
      <c r="S496" s="19" t="str">
        <f t="shared" si="47"/>
        <v>LW</v>
      </c>
      <c r="Z496" s="4"/>
      <c r="AD496" s="1" t="s">
        <v>23</v>
      </c>
      <c r="AE496" s="1">
        <v>105</v>
      </c>
      <c r="AF496" s="1">
        <v>107</v>
      </c>
      <c r="AG496" s="1">
        <v>110</v>
      </c>
      <c r="AH496" s="1" t="s">
        <v>24</v>
      </c>
      <c r="AK496" s="4">
        <v>48</v>
      </c>
      <c r="AL496" s="4">
        <v>53</v>
      </c>
    </row>
    <row r="497" spans="1:38" x14ac:dyDescent="0.25">
      <c r="A497" s="1" t="str">
        <f t="shared" si="43"/>
        <v>ADRB1_melga_2Y02_ECL1</v>
      </c>
      <c r="B497" s="45" t="s">
        <v>235</v>
      </c>
      <c r="C497" s="45" t="s">
        <v>1230</v>
      </c>
      <c r="D497" s="4" t="str">
        <f>VLOOKUP(B497,Classification!A:D,2,FALSE)</f>
        <v>A</v>
      </c>
      <c r="E497" s="4" t="str">
        <f>VLOOKUP(B497,Classification!A:D,3,FALSE)</f>
        <v>Aminergic</v>
      </c>
      <c r="F497" s="4" t="str">
        <f>VLOOKUP(B497,Classification!A:D,4,FALSE)</f>
        <v>Adrenoceptors</v>
      </c>
      <c r="G497" s="2">
        <v>4</v>
      </c>
      <c r="H497" s="45" t="s">
        <v>21</v>
      </c>
      <c r="I497" s="2" t="s">
        <v>22</v>
      </c>
      <c r="J497" s="5" t="str">
        <f>VLOOKUP(B497,Seqs!A:B,2,FALSE)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7" s="4" t="str">
        <f t="shared" si="48"/>
        <v>T</v>
      </c>
      <c r="L497" s="45">
        <f>VLOOKUP(B497,'NonXtal_SegEnds_Prot#'!A:AL,12,FALSE)</f>
        <v>106</v>
      </c>
      <c r="M497" s="45">
        <f>VLOOKUP(B497,'NonXtal_SegEnds_Prot#'!A:AL,13,FALSE)</f>
        <v>107</v>
      </c>
      <c r="N497" s="45">
        <f>VLOOKUP(B497,'NonXtal_SegEnds_Prot#'!A:AL,14,FALSE)</f>
        <v>109</v>
      </c>
      <c r="O497" s="4" t="str">
        <f t="shared" si="44"/>
        <v>W</v>
      </c>
      <c r="P497" s="4"/>
      <c r="Q497" s="47" t="str">
        <f t="shared" si="45"/>
        <v>T</v>
      </c>
      <c r="R497" s="27" t="str">
        <f t="shared" si="46"/>
        <v>W</v>
      </c>
      <c r="S497" s="19" t="str">
        <f t="shared" si="47"/>
        <v>LW</v>
      </c>
      <c r="Z497" s="4"/>
      <c r="AD497" s="1" t="s">
        <v>23</v>
      </c>
      <c r="AE497" s="1">
        <v>105</v>
      </c>
      <c r="AF497" s="1">
        <v>107</v>
      </c>
      <c r="AG497" s="1">
        <v>110</v>
      </c>
      <c r="AH497" s="1" t="s">
        <v>24</v>
      </c>
      <c r="AK497" s="4">
        <v>48</v>
      </c>
      <c r="AL497" s="4">
        <v>53</v>
      </c>
    </row>
    <row r="498" spans="1:38" x14ac:dyDescent="0.25">
      <c r="A498" s="1" t="str">
        <f t="shared" si="43"/>
        <v>ADRB1_melga_2YCW_ECL1</v>
      </c>
      <c r="B498" s="45" t="s">
        <v>235</v>
      </c>
      <c r="C498" s="45" t="s">
        <v>1233</v>
      </c>
      <c r="D498" s="4" t="str">
        <f>VLOOKUP(B498,Classification!A:D,2,FALSE)</f>
        <v>A</v>
      </c>
      <c r="E498" s="4" t="str">
        <f>VLOOKUP(B498,Classification!A:D,3,FALSE)</f>
        <v>Aminergic</v>
      </c>
      <c r="F498" s="4" t="str">
        <f>VLOOKUP(B498,Classification!A:D,4,FALSE)</f>
        <v>Adrenoceptors</v>
      </c>
      <c r="G498" s="2">
        <v>4</v>
      </c>
      <c r="H498" s="45" t="s">
        <v>21</v>
      </c>
      <c r="I498" s="2" t="s">
        <v>22</v>
      </c>
      <c r="J498" s="5" t="str">
        <f>VLOOKUP(B498,Seqs!A:B,2,FALSE)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8" s="4" t="str">
        <f t="shared" si="48"/>
        <v>T</v>
      </c>
      <c r="L498" s="45">
        <f>VLOOKUP(B498,'NonXtal_SegEnds_Prot#'!A:AL,12,FALSE)</f>
        <v>106</v>
      </c>
      <c r="M498" s="45">
        <f>VLOOKUP(B498,'NonXtal_SegEnds_Prot#'!A:AL,13,FALSE)</f>
        <v>107</v>
      </c>
      <c r="N498" s="45">
        <f>VLOOKUP(B498,'NonXtal_SegEnds_Prot#'!A:AL,14,FALSE)</f>
        <v>109</v>
      </c>
      <c r="O498" s="4" t="str">
        <f t="shared" si="44"/>
        <v>W</v>
      </c>
      <c r="P498" s="4"/>
      <c r="Q498" s="47" t="str">
        <f t="shared" si="45"/>
        <v>T</v>
      </c>
      <c r="R498" s="27" t="str">
        <f t="shared" si="46"/>
        <v>W</v>
      </c>
      <c r="S498" s="19" t="str">
        <f t="shared" si="47"/>
        <v>LW</v>
      </c>
      <c r="Z498" s="4"/>
      <c r="AD498" s="1" t="s">
        <v>23</v>
      </c>
      <c r="AE498" s="1">
        <v>105</v>
      </c>
      <c r="AF498" s="1">
        <v>107</v>
      </c>
      <c r="AG498" s="1">
        <v>110</v>
      </c>
      <c r="AH498" s="1" t="s">
        <v>24</v>
      </c>
      <c r="AK498" s="4">
        <v>48</v>
      </c>
      <c r="AL498" s="4">
        <v>53</v>
      </c>
    </row>
    <row r="499" spans="1:38" x14ac:dyDescent="0.25">
      <c r="A499" s="1" t="str">
        <f t="shared" si="43"/>
        <v>ADRB1_melga_4BVN_ECL1</v>
      </c>
      <c r="B499" s="45" t="s">
        <v>235</v>
      </c>
      <c r="C499" s="45" t="s">
        <v>273</v>
      </c>
      <c r="D499" s="4" t="str">
        <f>VLOOKUP(B499,Classification!A:D,2,FALSE)</f>
        <v>A</v>
      </c>
      <c r="E499" s="4" t="str">
        <f>VLOOKUP(B499,Classification!A:D,3,FALSE)</f>
        <v>Aminergic</v>
      </c>
      <c r="F499" s="4" t="str">
        <f>VLOOKUP(B499,Classification!A:D,4,FALSE)</f>
        <v>Adrenoceptors</v>
      </c>
      <c r="G499" s="2">
        <v>4</v>
      </c>
      <c r="H499" s="45" t="s">
        <v>21</v>
      </c>
      <c r="I499" s="2" t="s">
        <v>22</v>
      </c>
      <c r="J499" s="5" t="str">
        <f>VLOOKUP(B499,Seqs!A:B,2,FALSE)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9" s="4" t="str">
        <f t="shared" si="48"/>
        <v>T</v>
      </c>
      <c r="L499" s="45">
        <f>VLOOKUP(B499,'NonXtal_SegEnds_Prot#'!A:AL,12,FALSE)</f>
        <v>106</v>
      </c>
      <c r="M499" s="45">
        <f>VLOOKUP(B499,'NonXtal_SegEnds_Prot#'!A:AL,13,FALSE)</f>
        <v>107</v>
      </c>
      <c r="N499" s="45">
        <f>VLOOKUP(B499,'NonXtal_SegEnds_Prot#'!A:AL,14,FALSE)</f>
        <v>109</v>
      </c>
      <c r="O499" s="4" t="str">
        <f t="shared" si="44"/>
        <v>W</v>
      </c>
      <c r="P499" s="4"/>
      <c r="Q499" s="47" t="str">
        <f t="shared" si="45"/>
        <v>T</v>
      </c>
      <c r="R499" s="27" t="str">
        <f t="shared" si="46"/>
        <v>W</v>
      </c>
      <c r="S499" s="19" t="str">
        <f t="shared" si="47"/>
        <v>LW</v>
      </c>
      <c r="Z499" s="4"/>
      <c r="AD499" s="1" t="s">
        <v>23</v>
      </c>
      <c r="AE499" s="1">
        <v>105</v>
      </c>
      <c r="AF499" s="1">
        <v>107</v>
      </c>
      <c r="AG499" s="1">
        <v>110</v>
      </c>
      <c r="AH499" s="1" t="s">
        <v>24</v>
      </c>
      <c r="AK499" s="4">
        <v>48</v>
      </c>
      <c r="AL499" s="4">
        <v>53</v>
      </c>
    </row>
    <row r="500" spans="1:38" x14ac:dyDescent="0.25">
      <c r="A500" s="1" t="str">
        <f t="shared" si="43"/>
        <v>ADRB2_human__wt_ECL1</v>
      </c>
      <c r="B500" s="45" t="s">
        <v>211</v>
      </c>
      <c r="C500" s="54" t="s">
        <v>294</v>
      </c>
      <c r="D500" s="4" t="str">
        <f>VLOOKUP(B500,Classification!A:D,2,FALSE)</f>
        <v>A</v>
      </c>
      <c r="E500" s="4" t="str">
        <f>VLOOKUP(B500,Classification!A:D,3,FALSE)</f>
        <v>Aminergic</v>
      </c>
      <c r="F500" s="4" t="str">
        <f>VLOOKUP(B500,Classification!A:D,4,FALSE)</f>
        <v>Adrenoceptors</v>
      </c>
      <c r="G500" s="2">
        <v>4</v>
      </c>
      <c r="H500" s="45" t="s">
        <v>21</v>
      </c>
      <c r="I500" s="2" t="s">
        <v>22</v>
      </c>
      <c r="J500" s="5" t="str">
        <f>VLOOKUP(B500,Seqs!A:B,2,FALSE)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0" s="4" t="str">
        <f t="shared" si="48"/>
        <v>M</v>
      </c>
      <c r="L500" s="45">
        <f>VLOOKUP(B500,'NonXtal_SegEnds_Prot#'!A:AL,12,FALSE)</f>
        <v>98</v>
      </c>
      <c r="M500" s="45">
        <f>VLOOKUP(B500,'NonXtal_SegEnds_Prot#'!A:AL,13,FALSE)</f>
        <v>99</v>
      </c>
      <c r="N500" s="45">
        <f>VLOOKUP(B500,'NonXtal_SegEnds_Prot#'!A:AL,14,FALSE)</f>
        <v>101</v>
      </c>
      <c r="O500" s="4" t="str">
        <f t="shared" si="44"/>
        <v>F</v>
      </c>
      <c r="P500" s="4"/>
      <c r="Q500" s="47" t="str">
        <f t="shared" si="45"/>
        <v>M</v>
      </c>
      <c r="R500" s="27" t="str">
        <f t="shared" si="46"/>
        <v>W</v>
      </c>
      <c r="S500" s="19" t="str">
        <f t="shared" si="47"/>
        <v>TF</v>
      </c>
      <c r="Z500" s="4" t="s">
        <v>64</v>
      </c>
      <c r="AD500" s="1" t="s">
        <v>23</v>
      </c>
      <c r="AE500" s="1">
        <v>97</v>
      </c>
      <c r="AF500" s="1">
        <v>99</v>
      </c>
      <c r="AG500" s="1">
        <v>102</v>
      </c>
      <c r="AH500" s="1" t="s">
        <v>24</v>
      </c>
      <c r="AK500" s="4">
        <v>48</v>
      </c>
      <c r="AL500" s="4">
        <v>53</v>
      </c>
    </row>
    <row r="501" spans="1:38" x14ac:dyDescent="0.25">
      <c r="A501" s="1" t="str">
        <f t="shared" si="43"/>
        <v>ADRB2_human_3D4S_ECL1</v>
      </c>
      <c r="B501" s="45" t="s">
        <v>211</v>
      </c>
      <c r="C501" s="45" t="s">
        <v>267</v>
      </c>
      <c r="D501" s="4" t="str">
        <f>VLOOKUP(B501,Classification!A:D,2,FALSE)</f>
        <v>A</v>
      </c>
      <c r="E501" s="4" t="str">
        <f>VLOOKUP(B501,Classification!A:D,3,FALSE)</f>
        <v>Aminergic</v>
      </c>
      <c r="F501" s="4" t="str">
        <f>VLOOKUP(B501,Classification!A:D,4,FALSE)</f>
        <v>Adrenoceptors</v>
      </c>
      <c r="G501" s="2">
        <v>4</v>
      </c>
      <c r="H501" s="45" t="s">
        <v>21</v>
      </c>
      <c r="I501" s="2" t="s">
        <v>22</v>
      </c>
      <c r="J501" s="5" t="str">
        <f>VLOOKUP(B501,Seqs!A:B,2,FALSE)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1" s="4" t="str">
        <f t="shared" si="48"/>
        <v>M</v>
      </c>
      <c r="L501" s="45">
        <f>VLOOKUP(B501,'NonXtal_SegEnds_Prot#'!A:AL,12,FALSE)</f>
        <v>98</v>
      </c>
      <c r="M501" s="45">
        <f>VLOOKUP(B501,'NonXtal_SegEnds_Prot#'!A:AL,13,FALSE)</f>
        <v>99</v>
      </c>
      <c r="N501" s="45">
        <f>VLOOKUP(B501,'NonXtal_SegEnds_Prot#'!A:AL,14,FALSE)</f>
        <v>101</v>
      </c>
      <c r="O501" s="4" t="str">
        <f t="shared" si="44"/>
        <v>F</v>
      </c>
      <c r="P501" s="4"/>
      <c r="Q501" s="47" t="str">
        <f t="shared" si="45"/>
        <v>M</v>
      </c>
      <c r="R501" s="27" t="str">
        <f t="shared" si="46"/>
        <v>W</v>
      </c>
      <c r="S501" s="19" t="str">
        <f t="shared" si="47"/>
        <v>TF</v>
      </c>
      <c r="Z501" s="4"/>
      <c r="AD501" s="1" t="s">
        <v>23</v>
      </c>
      <c r="AE501" s="1">
        <v>97</v>
      </c>
      <c r="AF501" s="1">
        <v>99</v>
      </c>
      <c r="AG501" s="1">
        <v>102</v>
      </c>
      <c r="AH501" s="1" t="s">
        <v>24</v>
      </c>
      <c r="AK501" s="4">
        <v>48</v>
      </c>
      <c r="AL501" s="4">
        <v>53</v>
      </c>
    </row>
    <row r="502" spans="1:38" x14ac:dyDescent="0.25">
      <c r="A502" s="1" t="str">
        <f t="shared" si="43"/>
        <v>ADRB2_human_3P0G_ECL1</v>
      </c>
      <c r="B502" s="45" t="s">
        <v>211</v>
      </c>
      <c r="C502" s="45" t="s">
        <v>257</v>
      </c>
      <c r="D502" s="4" t="str">
        <f>VLOOKUP(B502,Classification!A:D,2,FALSE)</f>
        <v>A</v>
      </c>
      <c r="E502" s="4" t="str">
        <f>VLOOKUP(B502,Classification!A:D,3,FALSE)</f>
        <v>Aminergic</v>
      </c>
      <c r="F502" s="4" t="str">
        <f>VLOOKUP(B502,Classification!A:D,4,FALSE)</f>
        <v>Adrenoceptors</v>
      </c>
      <c r="G502" s="2">
        <v>4</v>
      </c>
      <c r="H502" s="45" t="s">
        <v>21</v>
      </c>
      <c r="I502" s="2" t="s">
        <v>22</v>
      </c>
      <c r="J502" s="5" t="str">
        <f>VLOOKUP(B502,Seqs!A:B,2,FALSE)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2" s="4" t="str">
        <f t="shared" si="48"/>
        <v>M</v>
      </c>
      <c r="L502" s="45">
        <f>VLOOKUP(B502,'NonXtal_SegEnds_Prot#'!A:AL,12,FALSE)</f>
        <v>98</v>
      </c>
      <c r="M502" s="45">
        <f>VLOOKUP(B502,'NonXtal_SegEnds_Prot#'!A:AL,13,FALSE)</f>
        <v>99</v>
      </c>
      <c r="N502" s="45">
        <f>VLOOKUP(B502,'NonXtal_SegEnds_Prot#'!A:AL,14,FALSE)</f>
        <v>101</v>
      </c>
      <c r="O502" s="4" t="str">
        <f t="shared" si="44"/>
        <v>F</v>
      </c>
      <c r="P502" s="4"/>
      <c r="Q502" s="47" t="str">
        <f t="shared" si="45"/>
        <v>M</v>
      </c>
      <c r="R502" s="27" t="str">
        <f t="shared" si="46"/>
        <v>W</v>
      </c>
      <c r="S502" s="19" t="str">
        <f t="shared" si="47"/>
        <v>TF</v>
      </c>
      <c r="Z502" s="4"/>
      <c r="AD502" s="1" t="s">
        <v>23</v>
      </c>
      <c r="AE502" s="1">
        <v>97</v>
      </c>
      <c r="AF502" s="1">
        <v>99</v>
      </c>
      <c r="AG502" s="1">
        <v>102</v>
      </c>
      <c r="AH502" s="1" t="s">
        <v>24</v>
      </c>
      <c r="AK502" s="4">
        <v>48</v>
      </c>
      <c r="AL502" s="4">
        <v>53</v>
      </c>
    </row>
    <row r="503" spans="1:38" x14ac:dyDescent="0.25">
      <c r="A503" s="1" t="str">
        <f t="shared" si="43"/>
        <v>ADRB2_human_3SN6_ECL1</v>
      </c>
      <c r="B503" s="45" t="s">
        <v>211</v>
      </c>
      <c r="C503" s="45" t="s">
        <v>277</v>
      </c>
      <c r="D503" s="4" t="str">
        <f>VLOOKUP(B503,Classification!A:D,2,FALSE)</f>
        <v>A</v>
      </c>
      <c r="E503" s="4" t="str">
        <f>VLOOKUP(B503,Classification!A:D,3,FALSE)</f>
        <v>Aminergic</v>
      </c>
      <c r="F503" s="4" t="str">
        <f>VLOOKUP(B503,Classification!A:D,4,FALSE)</f>
        <v>Adrenoceptors</v>
      </c>
      <c r="G503" s="2">
        <v>4</v>
      </c>
      <c r="H503" s="45" t="s">
        <v>21</v>
      </c>
      <c r="I503" s="2" t="s">
        <v>22</v>
      </c>
      <c r="J503" s="5" t="str">
        <f>VLOOKUP(B503,Seqs!A:B,2,FALSE)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3" s="4" t="str">
        <f t="shared" si="48"/>
        <v>M</v>
      </c>
      <c r="L503" s="45">
        <f>VLOOKUP(B503,'NonXtal_SegEnds_Prot#'!A:AL,12,FALSE)</f>
        <v>98</v>
      </c>
      <c r="M503" s="45">
        <f>VLOOKUP(B503,'NonXtal_SegEnds_Prot#'!A:AL,13,FALSE)</f>
        <v>99</v>
      </c>
      <c r="N503" s="45">
        <f>VLOOKUP(B503,'NonXtal_SegEnds_Prot#'!A:AL,14,FALSE)</f>
        <v>101</v>
      </c>
      <c r="O503" s="4" t="str">
        <f t="shared" si="44"/>
        <v>F</v>
      </c>
      <c r="P503" s="4"/>
      <c r="Q503" s="47" t="str">
        <f t="shared" si="45"/>
        <v>M</v>
      </c>
      <c r="R503" s="27" t="str">
        <f t="shared" si="46"/>
        <v>W</v>
      </c>
      <c r="S503" s="19" t="str">
        <f t="shared" si="47"/>
        <v>TF</v>
      </c>
      <c r="Z503" s="4" t="s">
        <v>64</v>
      </c>
      <c r="AD503" s="1" t="s">
        <v>23</v>
      </c>
      <c r="AE503" s="1">
        <v>97</v>
      </c>
      <c r="AF503" s="1">
        <v>99</v>
      </c>
      <c r="AG503" s="1">
        <v>102</v>
      </c>
      <c r="AH503" s="1" t="s">
        <v>24</v>
      </c>
      <c r="AK503" s="4">
        <v>48</v>
      </c>
      <c r="AL503" s="4">
        <v>53</v>
      </c>
    </row>
    <row r="504" spans="1:38" x14ac:dyDescent="0.25">
      <c r="A504" s="1" t="str">
        <f t="shared" si="43"/>
        <v>ADRB2_human_4LDE_ECL1</v>
      </c>
      <c r="B504" s="45" t="s">
        <v>211</v>
      </c>
      <c r="C504" s="45" t="s">
        <v>268</v>
      </c>
      <c r="D504" s="4" t="str">
        <f>VLOOKUP(B504,Classification!A:D,2,FALSE)</f>
        <v>A</v>
      </c>
      <c r="E504" s="4" t="str">
        <f>VLOOKUP(B504,Classification!A:D,3,FALSE)</f>
        <v>Aminergic</v>
      </c>
      <c r="F504" s="4" t="str">
        <f>VLOOKUP(B504,Classification!A:D,4,FALSE)</f>
        <v>Adrenoceptors</v>
      </c>
      <c r="G504" s="2">
        <v>4</v>
      </c>
      <c r="H504" s="45" t="s">
        <v>21</v>
      </c>
      <c r="I504" s="2" t="s">
        <v>22</v>
      </c>
      <c r="J504" s="5" t="str">
        <f>VLOOKUP(B504,Seqs!A:B,2,FALSE)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4" s="4" t="str">
        <f t="shared" si="48"/>
        <v>M</v>
      </c>
      <c r="L504" s="45">
        <f>VLOOKUP(B504,'NonXtal_SegEnds_Prot#'!A:AL,12,FALSE)</f>
        <v>98</v>
      </c>
      <c r="M504" s="45">
        <f>VLOOKUP(B504,'NonXtal_SegEnds_Prot#'!A:AL,13,FALSE)</f>
        <v>99</v>
      </c>
      <c r="N504" s="45">
        <f>VLOOKUP(B504,'NonXtal_SegEnds_Prot#'!A:AL,14,FALSE)</f>
        <v>101</v>
      </c>
      <c r="O504" s="4" t="str">
        <f t="shared" si="44"/>
        <v>F</v>
      </c>
      <c r="P504" s="4"/>
      <c r="Q504" s="47" t="str">
        <f t="shared" si="45"/>
        <v>M</v>
      </c>
      <c r="R504" s="27" t="str">
        <f t="shared" si="46"/>
        <v>W</v>
      </c>
      <c r="S504" s="19" t="str">
        <f t="shared" si="47"/>
        <v>TF</v>
      </c>
      <c r="Z504" s="4"/>
      <c r="AD504" s="1" t="s">
        <v>23</v>
      </c>
      <c r="AE504" s="1">
        <v>97</v>
      </c>
      <c r="AF504" s="1">
        <v>99</v>
      </c>
      <c r="AG504" s="1">
        <v>102</v>
      </c>
      <c r="AH504" s="1" t="s">
        <v>24</v>
      </c>
      <c r="AK504" s="4">
        <v>48</v>
      </c>
      <c r="AL504" s="4">
        <v>53</v>
      </c>
    </row>
    <row r="505" spans="1:38" x14ac:dyDescent="0.25">
      <c r="A505" s="1" t="str">
        <f t="shared" si="43"/>
        <v>ADRB2_human_4QKX_ECL1</v>
      </c>
      <c r="B505" s="45" t="s">
        <v>211</v>
      </c>
      <c r="C505" s="45" t="s">
        <v>269</v>
      </c>
      <c r="D505" s="4" t="str">
        <f>VLOOKUP(B505,Classification!A:D,2,FALSE)</f>
        <v>A</v>
      </c>
      <c r="E505" s="4" t="str">
        <f>VLOOKUP(B505,Classification!A:D,3,FALSE)</f>
        <v>Aminergic</v>
      </c>
      <c r="F505" s="4" t="str">
        <f>VLOOKUP(B505,Classification!A:D,4,FALSE)</f>
        <v>Adrenoceptors</v>
      </c>
      <c r="G505" s="2">
        <v>4</v>
      </c>
      <c r="H505" s="45" t="s">
        <v>21</v>
      </c>
      <c r="I505" s="2" t="s">
        <v>22</v>
      </c>
      <c r="J505" s="5" t="str">
        <f>VLOOKUP(B505,Seqs!A:B,2,FALSE)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5" s="4" t="str">
        <f t="shared" si="48"/>
        <v>M</v>
      </c>
      <c r="L505" s="45">
        <f>VLOOKUP(B505,'NonXtal_SegEnds_Prot#'!A:AL,12,FALSE)</f>
        <v>98</v>
      </c>
      <c r="M505" s="45">
        <f>VLOOKUP(B505,'NonXtal_SegEnds_Prot#'!A:AL,13,FALSE)</f>
        <v>99</v>
      </c>
      <c r="N505" s="45">
        <f>VLOOKUP(B505,'NonXtal_SegEnds_Prot#'!A:AL,14,FALSE)</f>
        <v>101</v>
      </c>
      <c r="O505" s="4" t="str">
        <f t="shared" si="44"/>
        <v>F</v>
      </c>
      <c r="P505" s="4"/>
      <c r="Q505" s="47" t="str">
        <f t="shared" si="45"/>
        <v>M</v>
      </c>
      <c r="R505" s="27" t="str">
        <f t="shared" si="46"/>
        <v>W</v>
      </c>
      <c r="S505" s="19" t="str">
        <f t="shared" si="47"/>
        <v>TF</v>
      </c>
      <c r="Z505" s="4"/>
      <c r="AD505" s="1" t="s">
        <v>23</v>
      </c>
      <c r="AE505" s="1">
        <v>97</v>
      </c>
      <c r="AF505" s="1">
        <v>99</v>
      </c>
      <c r="AG505" s="1">
        <v>102</v>
      </c>
      <c r="AH505" s="1" t="s">
        <v>24</v>
      </c>
      <c r="AK505" s="4">
        <v>48</v>
      </c>
      <c r="AL505" s="4">
        <v>53</v>
      </c>
    </row>
    <row r="506" spans="1:38" x14ac:dyDescent="0.25">
      <c r="A506" s="1" t="str">
        <f t="shared" si="43"/>
        <v>AGTR1_human__wt_ECL1</v>
      </c>
      <c r="B506" s="45" t="s">
        <v>212</v>
      </c>
      <c r="C506" s="45" t="s">
        <v>294</v>
      </c>
      <c r="D506" s="4" t="str">
        <f>VLOOKUP(B506,Classification!A:D,2,FALSE)</f>
        <v>A</v>
      </c>
      <c r="E506" s="4" t="str">
        <f>VLOOKUP(B506,Classification!A:D,3,FALSE)</f>
        <v>Peptide</v>
      </c>
      <c r="F506" s="4" t="str">
        <f>VLOOKUP(B506,Classification!A:D,4,FALSE)</f>
        <v>Angiotensin</v>
      </c>
      <c r="G506" s="2">
        <v>4</v>
      </c>
      <c r="H506" s="45" t="s">
        <v>21</v>
      </c>
      <c r="I506" s="2" t="s">
        <v>22</v>
      </c>
      <c r="J506" s="5" t="str">
        <f>VLOOKUP(B506,Seqs!A:B,2,FALSE)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06" s="4" t="str">
        <f t="shared" si="48"/>
        <v>R</v>
      </c>
      <c r="L506" s="45">
        <f>VLOOKUP(B506,'NonXtal_SegEnds_Prot#'!A:AL,12,FALSE)</f>
        <v>93</v>
      </c>
      <c r="M506" s="45">
        <f>VLOOKUP(B506,'NonXtal_SegEnds_Prot#'!A:AL,13,FALSE)</f>
        <v>94</v>
      </c>
      <c r="N506" s="45">
        <f>VLOOKUP(B506,'NonXtal_SegEnds_Prot#'!A:AL,14,FALSE)</f>
        <v>96</v>
      </c>
      <c r="O506" s="4" t="str">
        <f t="shared" si="44"/>
        <v>F</v>
      </c>
      <c r="P506" s="4"/>
      <c r="Q506" s="47" t="str">
        <f t="shared" si="45"/>
        <v>R</v>
      </c>
      <c r="R506" s="27" t="str">
        <f t="shared" si="46"/>
        <v>W</v>
      </c>
      <c r="S506" s="19" t="str">
        <f t="shared" si="47"/>
        <v>PF</v>
      </c>
      <c r="Z506" s="4"/>
      <c r="AD506" s="1" t="s">
        <v>23</v>
      </c>
      <c r="AE506" s="1">
        <v>92</v>
      </c>
      <c r="AF506" s="1">
        <v>94</v>
      </c>
      <c r="AG506" s="1">
        <v>97</v>
      </c>
      <c r="AH506" s="1" t="s">
        <v>24</v>
      </c>
      <c r="AK506" s="4">
        <v>48</v>
      </c>
      <c r="AL506" s="4">
        <v>53</v>
      </c>
    </row>
    <row r="507" spans="1:38" x14ac:dyDescent="0.25">
      <c r="A507" s="1" t="str">
        <f t="shared" si="43"/>
        <v>AGTR1_human_4YAY_ECL1</v>
      </c>
      <c r="B507" s="45" t="s">
        <v>212</v>
      </c>
      <c r="C507" s="45" t="s">
        <v>260</v>
      </c>
      <c r="D507" s="4" t="str">
        <f>VLOOKUP(B507,Classification!A:D,2,FALSE)</f>
        <v>A</v>
      </c>
      <c r="E507" s="4" t="str">
        <f>VLOOKUP(B507,Classification!A:D,3,FALSE)</f>
        <v>Peptide</v>
      </c>
      <c r="F507" s="4" t="str">
        <f>VLOOKUP(B507,Classification!A:D,4,FALSE)</f>
        <v>Angiotensin</v>
      </c>
      <c r="G507" s="2">
        <v>4</v>
      </c>
      <c r="H507" s="45" t="s">
        <v>21</v>
      </c>
      <c r="I507" s="2" t="s">
        <v>22</v>
      </c>
      <c r="J507" s="5" t="str">
        <f>VLOOKUP(B507,Seqs!A:B,2,FALSE)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07" s="4" t="str">
        <f t="shared" si="48"/>
        <v>R</v>
      </c>
      <c r="L507" s="45">
        <f>VLOOKUP(B507,'NonXtal_SegEnds_Prot#'!A:AL,12,FALSE)</f>
        <v>93</v>
      </c>
      <c r="M507" s="45">
        <f>VLOOKUP(B507,'NonXtal_SegEnds_Prot#'!A:AL,13,FALSE)</f>
        <v>94</v>
      </c>
      <c r="N507" s="45">
        <f>VLOOKUP(B507,'NonXtal_SegEnds_Prot#'!A:AL,14,FALSE)</f>
        <v>96</v>
      </c>
      <c r="O507" s="4" t="str">
        <f t="shared" si="44"/>
        <v>F</v>
      </c>
      <c r="P507" s="4"/>
      <c r="Q507" s="47" t="str">
        <f t="shared" si="45"/>
        <v>R</v>
      </c>
      <c r="R507" s="27" t="str">
        <f t="shared" si="46"/>
        <v>W</v>
      </c>
      <c r="S507" s="19" t="str">
        <f t="shared" si="47"/>
        <v>PF</v>
      </c>
      <c r="Z507" s="4"/>
      <c r="AD507" s="1" t="s">
        <v>23</v>
      </c>
      <c r="AE507" s="1">
        <v>92</v>
      </c>
      <c r="AF507" s="1">
        <v>94</v>
      </c>
      <c r="AG507" s="1">
        <v>97</v>
      </c>
      <c r="AH507" s="1" t="s">
        <v>24</v>
      </c>
      <c r="AK507" s="4">
        <v>48</v>
      </c>
      <c r="AL507" s="4">
        <v>53</v>
      </c>
    </row>
    <row r="508" spans="1:38" x14ac:dyDescent="0.25">
      <c r="A508" s="1" t="str">
        <f t="shared" si="43"/>
        <v>CCR5_human__wt_ECL1</v>
      </c>
      <c r="B508" s="45" t="s">
        <v>221</v>
      </c>
      <c r="C508" s="45" t="s">
        <v>294</v>
      </c>
      <c r="D508" s="4" t="str">
        <f>VLOOKUP(B508,Classification!A:D,2,FALSE)</f>
        <v>A</v>
      </c>
      <c r="E508" s="4" t="str">
        <f>VLOOKUP(B508,Classification!A:D,3,FALSE)</f>
        <v>Protein</v>
      </c>
      <c r="F508" s="4" t="str">
        <f>VLOOKUP(B508,Classification!A:D,4,FALSE)</f>
        <v>Chemokine</v>
      </c>
      <c r="G508" s="2">
        <v>4</v>
      </c>
      <c r="H508" s="45" t="s">
        <v>21</v>
      </c>
      <c r="I508" s="2" t="s">
        <v>22</v>
      </c>
      <c r="J508" s="5" t="str">
        <f>VLOOKUP(B508,Seqs!A:B,2,FALSE)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08" s="4" t="str">
        <f t="shared" si="48"/>
        <v>Q</v>
      </c>
      <c r="L508" s="45">
        <f>VLOOKUP(B508,'NonXtal_SegEnds_Prot#'!A:AL,12,FALSE)</f>
        <v>93</v>
      </c>
      <c r="M508" s="45">
        <f>VLOOKUP(B508,'NonXtal_SegEnds_Prot#'!A:AL,13,FALSE)</f>
        <v>94</v>
      </c>
      <c r="N508" s="45">
        <f>VLOOKUP(B508,'NonXtal_SegEnds_Prot#'!A:AL,14,FALSE)</f>
        <v>96</v>
      </c>
      <c r="O508" s="4" t="str">
        <f t="shared" si="44"/>
        <v>F</v>
      </c>
      <c r="P508" s="4"/>
      <c r="Q508" s="47" t="str">
        <f t="shared" si="45"/>
        <v>Q</v>
      </c>
      <c r="R508" s="27" t="str">
        <f t="shared" si="46"/>
        <v>W</v>
      </c>
      <c r="S508" s="19" t="str">
        <f t="shared" si="47"/>
        <v>DF</v>
      </c>
      <c r="Z508" s="4"/>
      <c r="AD508" s="1" t="s">
        <v>68</v>
      </c>
      <c r="AE508" s="1">
        <v>93</v>
      </c>
      <c r="AF508" s="1">
        <v>94</v>
      </c>
      <c r="AG508" s="1">
        <v>97</v>
      </c>
      <c r="AH508" s="1" t="s">
        <v>24</v>
      </c>
      <c r="AK508" s="4">
        <v>49</v>
      </c>
      <c r="AL508" s="4">
        <v>53</v>
      </c>
    </row>
    <row r="509" spans="1:38" x14ac:dyDescent="0.25">
      <c r="A509" s="1" t="str">
        <f t="shared" si="43"/>
        <v>CCR5_human_4MBS_ECL1</v>
      </c>
      <c r="B509" s="45" t="s">
        <v>221</v>
      </c>
      <c r="C509" s="45" t="s">
        <v>265</v>
      </c>
      <c r="D509" s="4" t="str">
        <f>VLOOKUP(B509,Classification!A:D,2,FALSE)</f>
        <v>A</v>
      </c>
      <c r="E509" s="4" t="str">
        <f>VLOOKUP(B509,Classification!A:D,3,FALSE)</f>
        <v>Protein</v>
      </c>
      <c r="F509" s="4" t="str">
        <f>VLOOKUP(B509,Classification!A:D,4,FALSE)</f>
        <v>Chemokine</v>
      </c>
      <c r="G509" s="2">
        <v>4</v>
      </c>
      <c r="H509" s="45" t="s">
        <v>21</v>
      </c>
      <c r="I509" s="2" t="s">
        <v>22</v>
      </c>
      <c r="J509" s="5" t="str">
        <f>VLOOKUP(B509,Seqs!A:B,2,FALSE)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09" s="4" t="str">
        <f t="shared" si="48"/>
        <v>Q</v>
      </c>
      <c r="L509" s="45">
        <f>VLOOKUP(B509,'NonXtal_SegEnds_Prot#'!A:AL,12,FALSE)</f>
        <v>93</v>
      </c>
      <c r="M509" s="45">
        <f>VLOOKUP(B509,'NonXtal_SegEnds_Prot#'!A:AL,13,FALSE)</f>
        <v>94</v>
      </c>
      <c r="N509" s="45">
        <f>VLOOKUP(B509,'NonXtal_SegEnds_Prot#'!A:AL,14,FALSE)</f>
        <v>96</v>
      </c>
      <c r="O509" s="4" t="str">
        <f t="shared" si="44"/>
        <v>F</v>
      </c>
      <c r="P509" s="4"/>
      <c r="Q509" s="47" t="str">
        <f t="shared" si="45"/>
        <v>Q</v>
      </c>
      <c r="R509" s="27" t="str">
        <f t="shared" si="46"/>
        <v>W</v>
      </c>
      <c r="S509" s="19" t="str">
        <f t="shared" si="47"/>
        <v>DF</v>
      </c>
      <c r="Z509" s="4"/>
      <c r="AD509" s="1" t="s">
        <v>68</v>
      </c>
      <c r="AE509" s="1">
        <v>93</v>
      </c>
      <c r="AF509" s="1">
        <v>94</v>
      </c>
      <c r="AG509" s="1">
        <v>97</v>
      </c>
      <c r="AH509" s="1" t="s">
        <v>24</v>
      </c>
      <c r="AK509" s="4">
        <v>49</v>
      </c>
      <c r="AL509" s="4">
        <v>53</v>
      </c>
    </row>
    <row r="510" spans="1:38" x14ac:dyDescent="0.25">
      <c r="A510" s="1" t="str">
        <f t="shared" si="43"/>
        <v>crfr1_human__wt_ECL1</v>
      </c>
      <c r="B510" s="45" t="s">
        <v>213</v>
      </c>
      <c r="C510" s="45" t="s">
        <v>294</v>
      </c>
      <c r="D510" s="4" t="str">
        <f>VLOOKUP(B510,Classification!A:D,2,FALSE)</f>
        <v>B1</v>
      </c>
      <c r="E510" s="4" t="str">
        <f>VLOOKUP(B510,Classification!A:D,3,FALSE)</f>
        <v>Peptide</v>
      </c>
      <c r="F510" s="4" t="str">
        <f>VLOOKUP(B510,Classification!A:D,4,FALSE)</f>
        <v>Corticotropin-releasingfact</v>
      </c>
      <c r="G510" s="2">
        <v>4</v>
      </c>
      <c r="H510" s="45" t="s">
        <v>21</v>
      </c>
      <c r="I510" s="2" t="s">
        <v>1223</v>
      </c>
      <c r="J510" s="5" t="str">
        <f>VLOOKUP(B510,Seqs!A:B,2,FALSE)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10" s="4" t="e">
        <f t="shared" si="48"/>
        <v>#VALUE!</v>
      </c>
      <c r="L510" s="45" t="str">
        <f>VLOOKUP(B510,'NonXtal_SegEnds_Prot#'!A:AL,12,FALSE)</f>
        <v>-</v>
      </c>
      <c r="M510" s="45" t="str">
        <f>VLOOKUP(B510,'NonXtal_SegEnds_Prot#'!A:AL,13,FALSE)</f>
        <v>-</v>
      </c>
      <c r="N510" s="45" t="str">
        <f>VLOOKUP(B510,'NonXtal_SegEnds_Prot#'!A:AL,14,FALSE)</f>
        <v>-</v>
      </c>
      <c r="O510" s="4" t="e">
        <f t="shared" si="44"/>
        <v>#VALUE!</v>
      </c>
      <c r="P510" s="4"/>
      <c r="Q510" s="47" t="e">
        <f t="shared" si="45"/>
        <v>#VALUE!</v>
      </c>
      <c r="R510" s="27" t="e">
        <f t="shared" si="46"/>
        <v>#VALUE!</v>
      </c>
      <c r="S510" s="19" t="e">
        <f t="shared" si="47"/>
        <v>#VALUE!</v>
      </c>
      <c r="Z510" s="4"/>
      <c r="AD510" s="1" t="s">
        <v>129</v>
      </c>
      <c r="AE510" s="1" t="s">
        <v>129</v>
      </c>
      <c r="AF510" s="1" t="s">
        <v>129</v>
      </c>
      <c r="AG510" s="1" t="s">
        <v>129</v>
      </c>
      <c r="AH510" s="1" t="s">
        <v>129</v>
      </c>
      <c r="AK510" s="4" t="s">
        <v>129</v>
      </c>
      <c r="AL510" s="4" t="s">
        <v>129</v>
      </c>
    </row>
    <row r="511" spans="1:38" s="3" customFormat="1" x14ac:dyDescent="0.25">
      <c r="A511" s="1" t="str">
        <f t="shared" si="43"/>
        <v>crfr1_human_4K5Y_ECL1</v>
      </c>
      <c r="B511" s="45" t="s">
        <v>213</v>
      </c>
      <c r="C511" s="45" t="s">
        <v>288</v>
      </c>
      <c r="D511" s="4" t="str">
        <f>VLOOKUP(B511,Classification!A:D,2,FALSE)</f>
        <v>B1</v>
      </c>
      <c r="E511" s="4" t="str">
        <f>VLOOKUP(B511,Classification!A:D,3,FALSE)</f>
        <v>Peptide</v>
      </c>
      <c r="F511" s="4" t="str">
        <f>VLOOKUP(B511,Classification!A:D,4,FALSE)</f>
        <v>Corticotropin-releasingfact</v>
      </c>
      <c r="G511" s="2">
        <v>4</v>
      </c>
      <c r="H511" s="45" t="s">
        <v>21</v>
      </c>
      <c r="I511" s="2" t="s">
        <v>1223</v>
      </c>
      <c r="J511" s="5" t="str">
        <f>VLOOKUP(B511,Seqs!A:B,2,FALSE)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11" s="4" t="e">
        <f t="shared" si="48"/>
        <v>#VALUE!</v>
      </c>
      <c r="L511" s="45" t="str">
        <f>VLOOKUP(B511,'NonXtal_SegEnds_Prot#'!A:AL,12,FALSE)</f>
        <v>-</v>
      </c>
      <c r="M511" s="45" t="str">
        <f>VLOOKUP(B511,'NonXtal_SegEnds_Prot#'!A:AL,13,FALSE)</f>
        <v>-</v>
      </c>
      <c r="N511" s="45" t="str">
        <f>VLOOKUP(B511,'NonXtal_SegEnds_Prot#'!A:AL,14,FALSE)</f>
        <v>-</v>
      </c>
      <c r="O511" s="4" t="e">
        <f t="shared" si="44"/>
        <v>#VALUE!</v>
      </c>
      <c r="P511" s="4"/>
      <c r="Q511" s="47" t="e">
        <f t="shared" si="45"/>
        <v>#VALUE!</v>
      </c>
      <c r="R511" s="27" t="e">
        <f t="shared" si="46"/>
        <v>#VALUE!</v>
      </c>
      <c r="S511" s="19" t="e">
        <f t="shared" si="47"/>
        <v>#VALUE!</v>
      </c>
      <c r="T511" s="5"/>
      <c r="U511" s="4"/>
      <c r="V511" s="1"/>
      <c r="W511" s="1"/>
      <c r="X511" s="1"/>
      <c r="Y511" s="1"/>
      <c r="Z511" s="4"/>
      <c r="AA511" s="1"/>
      <c r="AB511" s="1"/>
      <c r="AC511" s="1"/>
      <c r="AD511" s="1" t="s">
        <v>129</v>
      </c>
      <c r="AE511" s="1" t="s">
        <v>129</v>
      </c>
      <c r="AF511" s="1" t="s">
        <v>129</v>
      </c>
      <c r="AG511" s="1" t="s">
        <v>129</v>
      </c>
      <c r="AH511" s="1" t="s">
        <v>129</v>
      </c>
      <c r="AI511" s="1"/>
      <c r="AJ511" s="1"/>
      <c r="AK511" s="4" t="s">
        <v>129</v>
      </c>
      <c r="AL511" s="4" t="s">
        <v>129</v>
      </c>
    </row>
    <row r="512" spans="1:38" s="3" customFormat="1" x14ac:dyDescent="0.25">
      <c r="A512" s="1" t="str">
        <f t="shared" si="43"/>
        <v>CXCR4_human__wt_ECL1</v>
      </c>
      <c r="B512" s="45" t="s">
        <v>1237</v>
      </c>
      <c r="C512" s="45" t="s">
        <v>294</v>
      </c>
      <c r="D512" s="4" t="str">
        <f>VLOOKUP(B512,Classification!A:D,2,FALSE)</f>
        <v>A</v>
      </c>
      <c r="E512" s="4" t="str">
        <f>VLOOKUP(B512,Classification!A:D,3,FALSE)</f>
        <v>Protein</v>
      </c>
      <c r="F512" s="4" t="str">
        <f>VLOOKUP(B512,Classification!A:D,4,FALSE)</f>
        <v>Chemokine</v>
      </c>
      <c r="G512" s="2">
        <v>4</v>
      </c>
      <c r="H512" s="45" t="s">
        <v>21</v>
      </c>
      <c r="I512" s="2" t="s">
        <v>22</v>
      </c>
      <c r="J512" s="5" t="str">
        <f>VLOOKUP(B512,Seqs!A:B,2,FALSE)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512" s="4" t="str">
        <f t="shared" si="48"/>
        <v>N</v>
      </c>
      <c r="L512" s="45">
        <f>VLOOKUP(B512,'NonXtal_SegEnds_Prot#'!A:AL,12,FALSE)</f>
        <v>101</v>
      </c>
      <c r="M512" s="45">
        <f>VLOOKUP(B512,'NonXtal_SegEnds_Prot#'!A:AL,13,FALSE)</f>
        <v>102</v>
      </c>
      <c r="N512" s="45">
        <f>VLOOKUP(B512,'NonXtal_SegEnds_Prot#'!A:AL,14,FALSE)</f>
        <v>104</v>
      </c>
      <c r="O512" s="4" t="str">
        <f t="shared" si="44"/>
        <v>F</v>
      </c>
      <c r="P512" s="4"/>
      <c r="Q512" s="47" t="str">
        <f t="shared" si="45"/>
        <v>N</v>
      </c>
      <c r="R512" s="27" t="str">
        <f t="shared" si="46"/>
        <v>W</v>
      </c>
      <c r="S512" s="19" t="str">
        <f t="shared" si="47"/>
        <v>YF</v>
      </c>
      <c r="T512" s="5"/>
      <c r="U512" s="4"/>
      <c r="V512" s="1"/>
      <c r="W512" s="1"/>
      <c r="X512" s="1"/>
      <c r="Y512" s="1"/>
      <c r="Z512" s="4"/>
      <c r="AA512" s="1"/>
      <c r="AB512" s="1"/>
      <c r="AC512" s="1"/>
      <c r="AD512" s="1" t="s">
        <v>68</v>
      </c>
      <c r="AE512" s="1">
        <v>101</v>
      </c>
      <c r="AF512" s="1">
        <v>102</v>
      </c>
      <c r="AG512" s="1">
        <v>105</v>
      </c>
      <c r="AH512" s="1" t="s">
        <v>24</v>
      </c>
      <c r="AI512" s="1"/>
      <c r="AJ512" s="1"/>
      <c r="AK512" s="4">
        <v>49</v>
      </c>
      <c r="AL512" s="4">
        <v>53</v>
      </c>
    </row>
    <row r="513" spans="1:38" s="3" customFormat="1" x14ac:dyDescent="0.25">
      <c r="A513" s="1" t="str">
        <f t="shared" si="43"/>
        <v>CXCR4_human_3ODU_ECL1</v>
      </c>
      <c r="B513" s="45" t="s">
        <v>1237</v>
      </c>
      <c r="C513" s="45" t="s">
        <v>254</v>
      </c>
      <c r="D513" s="4" t="str">
        <f>VLOOKUP(B513,Classification!A:D,2,FALSE)</f>
        <v>A</v>
      </c>
      <c r="E513" s="4" t="str">
        <f>VLOOKUP(B513,Classification!A:D,3,FALSE)</f>
        <v>Protein</v>
      </c>
      <c r="F513" s="4" t="str">
        <f>VLOOKUP(B513,Classification!A:D,4,FALSE)</f>
        <v>Chemokine</v>
      </c>
      <c r="G513" s="2">
        <v>4</v>
      </c>
      <c r="H513" s="45" t="s">
        <v>21</v>
      </c>
      <c r="I513" s="2" t="s">
        <v>22</v>
      </c>
      <c r="J513" s="5" t="str">
        <f>VLOOKUP(B513,Seqs!A:B,2,FALSE)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513" s="4" t="str">
        <f t="shared" si="48"/>
        <v>N</v>
      </c>
      <c r="L513" s="45">
        <f>VLOOKUP(B513,'NonXtal_SegEnds_Prot#'!A:AL,12,FALSE)</f>
        <v>101</v>
      </c>
      <c r="M513" s="45">
        <f>VLOOKUP(B513,'NonXtal_SegEnds_Prot#'!A:AL,13,FALSE)</f>
        <v>102</v>
      </c>
      <c r="N513" s="45">
        <f>VLOOKUP(B513,'NonXtal_SegEnds_Prot#'!A:AL,14,FALSE)</f>
        <v>104</v>
      </c>
      <c r="O513" s="4" t="str">
        <f t="shared" si="44"/>
        <v>F</v>
      </c>
      <c r="P513" s="4"/>
      <c r="Q513" s="47" t="str">
        <f t="shared" si="45"/>
        <v>N</v>
      </c>
      <c r="R513" s="27" t="str">
        <f t="shared" si="46"/>
        <v>W</v>
      </c>
      <c r="S513" s="19" t="str">
        <f t="shared" si="47"/>
        <v>YF</v>
      </c>
      <c r="T513" s="5"/>
      <c r="U513" s="4"/>
      <c r="V513" s="1"/>
      <c r="W513" s="1"/>
      <c r="X513" s="1"/>
      <c r="Y513" s="1"/>
      <c r="Z513" s="4"/>
      <c r="AA513" s="1"/>
      <c r="AB513" s="1"/>
      <c r="AC513" s="1"/>
      <c r="AD513" s="1" t="s">
        <v>68</v>
      </c>
      <c r="AE513" s="1">
        <v>101</v>
      </c>
      <c r="AF513" s="1">
        <v>102</v>
      </c>
      <c r="AG513" s="1">
        <v>105</v>
      </c>
      <c r="AH513" s="1" t="s">
        <v>24</v>
      </c>
      <c r="AI513" s="1"/>
      <c r="AJ513" s="1"/>
      <c r="AK513" s="4">
        <v>49</v>
      </c>
      <c r="AL513" s="4">
        <v>53</v>
      </c>
    </row>
    <row r="514" spans="1:38" s="3" customFormat="1" x14ac:dyDescent="0.25">
      <c r="A514" s="1" t="str">
        <f t="shared" ref="A514:A577" si="49">CONCATENATE(B514,"_",C514,"_",H514)</f>
        <v>DRD3_human__wt_ECL1</v>
      </c>
      <c r="B514" s="45" t="s">
        <v>222</v>
      </c>
      <c r="C514" s="45" t="s">
        <v>294</v>
      </c>
      <c r="D514" s="4" t="str">
        <f>VLOOKUP(B514,Classification!A:D,2,FALSE)</f>
        <v>A</v>
      </c>
      <c r="E514" s="4" t="str">
        <f>VLOOKUP(B514,Classification!A:D,3,FALSE)</f>
        <v>Aminergic</v>
      </c>
      <c r="F514" s="4" t="str">
        <f>VLOOKUP(B514,Classification!A:D,4,FALSE)</f>
        <v>Dopamine</v>
      </c>
      <c r="G514" s="2">
        <v>4</v>
      </c>
      <c r="H514" s="45" t="s">
        <v>21</v>
      </c>
      <c r="I514" s="2" t="s">
        <v>22</v>
      </c>
      <c r="J514" s="5" t="str">
        <f>VLOOKUP(B514,Seqs!A:B,2,FALSE)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514" s="4" t="str">
        <f t="shared" si="48"/>
        <v>V</v>
      </c>
      <c r="L514" s="45">
        <f>VLOOKUP(B514,'NonXtal_SegEnds_Prot#'!A:AL,12,FALSE)</f>
        <v>95</v>
      </c>
      <c r="M514" s="45">
        <f>VLOOKUP(B514,'NonXtal_SegEnds_Prot#'!A:AL,13,FALSE)</f>
        <v>96</v>
      </c>
      <c r="N514" s="45">
        <f>VLOOKUP(B514,'NonXtal_SegEnds_Prot#'!A:AL,14,FALSE)</f>
        <v>98</v>
      </c>
      <c r="O514" s="4" t="str">
        <f t="shared" ref="O514:O577" si="50">MID(J514,N514,1)</f>
        <v>F</v>
      </c>
      <c r="P514" s="4"/>
      <c r="Q514" s="47" t="str">
        <f t="shared" ref="Q514:Q577" si="51">MID(J514,L514,M514-L514)</f>
        <v>V</v>
      </c>
      <c r="R514" s="27" t="str">
        <f t="shared" ref="R514:R577" si="52">MID(J514,M514,1)</f>
        <v>W</v>
      </c>
      <c r="S514" s="19" t="str">
        <f t="shared" ref="S514:S577" si="53">MID(J514,M514+1,N514-M514)</f>
        <v>NF</v>
      </c>
      <c r="T514" s="5"/>
      <c r="U514" s="4"/>
      <c r="V514" s="1"/>
      <c r="W514" s="1"/>
      <c r="X514" s="1"/>
      <c r="Y514" s="1"/>
      <c r="Z514" s="4"/>
      <c r="AA514" s="1"/>
      <c r="AB514" s="1"/>
      <c r="AC514" s="1"/>
      <c r="AD514" s="1" t="s">
        <v>23</v>
      </c>
      <c r="AE514" s="1">
        <v>94</v>
      </c>
      <c r="AF514" s="1">
        <v>96</v>
      </c>
      <c r="AG514" s="1">
        <v>99</v>
      </c>
      <c r="AH514" s="1" t="s">
        <v>24</v>
      </c>
      <c r="AI514" s="1"/>
      <c r="AJ514" s="1"/>
      <c r="AK514" s="4">
        <v>48</v>
      </c>
      <c r="AL514" s="4">
        <v>53</v>
      </c>
    </row>
    <row r="515" spans="1:38" x14ac:dyDescent="0.25">
      <c r="A515" s="1" t="str">
        <f t="shared" si="49"/>
        <v>DRD3_human_3PBL_ECL1</v>
      </c>
      <c r="B515" s="45" t="s">
        <v>222</v>
      </c>
      <c r="C515" s="45" t="s">
        <v>263</v>
      </c>
      <c r="D515" s="4" t="str">
        <f>VLOOKUP(B515,Classification!A:D,2,FALSE)</f>
        <v>A</v>
      </c>
      <c r="E515" s="4" t="str">
        <f>VLOOKUP(B515,Classification!A:D,3,FALSE)</f>
        <v>Aminergic</v>
      </c>
      <c r="F515" s="4" t="str">
        <f>VLOOKUP(B515,Classification!A:D,4,FALSE)</f>
        <v>Dopamine</v>
      </c>
      <c r="G515" s="2">
        <v>4</v>
      </c>
      <c r="H515" s="45" t="s">
        <v>21</v>
      </c>
      <c r="I515" s="2" t="s">
        <v>22</v>
      </c>
      <c r="J515" s="5" t="str">
        <f>VLOOKUP(B515,Seqs!A:B,2,FALSE)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515" s="4" t="str">
        <f t="shared" si="48"/>
        <v>V</v>
      </c>
      <c r="L515" s="45">
        <f>VLOOKUP(B515,'NonXtal_SegEnds_Prot#'!A:AL,12,FALSE)</f>
        <v>95</v>
      </c>
      <c r="M515" s="45">
        <f>VLOOKUP(B515,'NonXtal_SegEnds_Prot#'!A:AL,13,FALSE)</f>
        <v>96</v>
      </c>
      <c r="N515" s="45">
        <f>VLOOKUP(B515,'NonXtal_SegEnds_Prot#'!A:AL,14,FALSE)</f>
        <v>98</v>
      </c>
      <c r="O515" s="4" t="str">
        <f t="shared" si="50"/>
        <v>F</v>
      </c>
      <c r="P515" s="4"/>
      <c r="Q515" s="47" t="str">
        <f t="shared" si="51"/>
        <v>V</v>
      </c>
      <c r="R515" s="27" t="str">
        <f t="shared" si="52"/>
        <v>W</v>
      </c>
      <c r="S515" s="19" t="str">
        <f t="shared" si="53"/>
        <v>NF</v>
      </c>
      <c r="Z515" s="4"/>
      <c r="AD515" s="1" t="s">
        <v>23</v>
      </c>
      <c r="AE515" s="1">
        <v>94</v>
      </c>
      <c r="AF515" s="1">
        <v>96</v>
      </c>
      <c r="AG515" s="1">
        <v>99</v>
      </c>
      <c r="AH515" s="1" t="s">
        <v>24</v>
      </c>
      <c r="AK515" s="4">
        <v>48</v>
      </c>
      <c r="AL515" s="4">
        <v>53</v>
      </c>
    </row>
    <row r="516" spans="1:38" x14ac:dyDescent="0.25">
      <c r="A516" s="1" t="str">
        <f t="shared" si="49"/>
        <v>FFAR1_human__wt_ECL1</v>
      </c>
      <c r="B516" s="45" t="s">
        <v>1368</v>
      </c>
      <c r="C516" s="45" t="s">
        <v>294</v>
      </c>
      <c r="D516" s="4" t="str">
        <f>VLOOKUP(B516,Classification!A:D,2,FALSE)</f>
        <v>A</v>
      </c>
      <c r="E516" s="4" t="str">
        <f>VLOOKUP(B516,Classification!A:D,3,FALSE)</f>
        <v>Lipid</v>
      </c>
      <c r="F516" s="4" t="str">
        <f>VLOOKUP(B516,Classification!A:D,4,FALSE)</f>
        <v>Freefattyacid</v>
      </c>
      <c r="G516" s="2">
        <v>4</v>
      </c>
      <c r="H516" s="45" t="s">
        <v>21</v>
      </c>
      <c r="I516" s="2" t="s">
        <v>22</v>
      </c>
      <c r="J516" s="5" t="str">
        <f>VLOOKUP(B516,Seqs!A:B,2,FALSE)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516" s="4" t="str">
        <f t="shared" si="48"/>
        <v>A</v>
      </c>
      <c r="L516" s="45">
        <f>VLOOKUP(B516,'NonXtal_SegEnds_Prot#'!A:AL,12,FALSE)</f>
        <v>71</v>
      </c>
      <c r="M516" s="45">
        <f>VLOOKUP(B516,'NonXtal_SegEnds_Prot#'!A:AL,13,FALSE)</f>
        <v>72</v>
      </c>
      <c r="N516" s="45">
        <f>VLOOKUP(B516,'NonXtal_SegEnds_Prot#'!A:AL,14,FALSE)</f>
        <v>74</v>
      </c>
      <c r="O516" s="4" t="str">
        <f t="shared" si="50"/>
        <v>L</v>
      </c>
      <c r="P516" s="4"/>
      <c r="Q516" s="47" t="str">
        <f t="shared" si="51"/>
        <v>A</v>
      </c>
      <c r="R516" s="27" t="str">
        <f t="shared" si="52"/>
        <v>W</v>
      </c>
      <c r="S516" s="19" t="str">
        <f t="shared" si="53"/>
        <v>PL</v>
      </c>
      <c r="Z516" s="4"/>
      <c r="AD516" s="1" t="s">
        <v>23</v>
      </c>
      <c r="AE516" s="1">
        <v>70</v>
      </c>
      <c r="AF516" s="1">
        <v>72</v>
      </c>
      <c r="AG516" s="1">
        <v>75</v>
      </c>
      <c r="AH516" s="1" t="s">
        <v>24</v>
      </c>
      <c r="AK516" s="4">
        <v>48</v>
      </c>
      <c r="AL516" s="4">
        <v>53</v>
      </c>
    </row>
    <row r="517" spans="1:38" x14ac:dyDescent="0.25">
      <c r="A517" s="1" t="str">
        <f t="shared" si="49"/>
        <v>FFAR1_human_4PHU_ECL1</v>
      </c>
      <c r="B517" s="45" t="s">
        <v>1368</v>
      </c>
      <c r="C517" s="45" t="s">
        <v>241</v>
      </c>
      <c r="D517" s="4" t="str">
        <f>VLOOKUP(B517,Classification!A:D,2,FALSE)</f>
        <v>A</v>
      </c>
      <c r="E517" s="4" t="str">
        <f>VLOOKUP(B517,Classification!A:D,3,FALSE)</f>
        <v>Lipid</v>
      </c>
      <c r="F517" s="4" t="str">
        <f>VLOOKUP(B517,Classification!A:D,4,FALSE)</f>
        <v>Freefattyacid</v>
      </c>
      <c r="G517" s="2">
        <v>4</v>
      </c>
      <c r="H517" s="45" t="s">
        <v>21</v>
      </c>
      <c r="I517" s="2" t="s">
        <v>22</v>
      </c>
      <c r="J517" s="5" t="str">
        <f>VLOOKUP(B517,Seqs!A:B,2,FALSE)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517" s="4" t="str">
        <f t="shared" si="48"/>
        <v>A</v>
      </c>
      <c r="L517" s="45">
        <f>VLOOKUP(B517,'NonXtal_SegEnds_Prot#'!A:AL,12,FALSE)</f>
        <v>71</v>
      </c>
      <c r="M517" s="45">
        <f>VLOOKUP(B517,'NonXtal_SegEnds_Prot#'!A:AL,13,FALSE)</f>
        <v>72</v>
      </c>
      <c r="N517" s="45">
        <f>VLOOKUP(B517,'NonXtal_SegEnds_Prot#'!A:AL,14,FALSE)</f>
        <v>74</v>
      </c>
      <c r="O517" s="4" t="str">
        <f t="shared" si="50"/>
        <v>L</v>
      </c>
      <c r="P517" s="4"/>
      <c r="Q517" s="47" t="str">
        <f t="shared" si="51"/>
        <v>A</v>
      </c>
      <c r="R517" s="27" t="str">
        <f t="shared" si="52"/>
        <v>W</v>
      </c>
      <c r="S517" s="19" t="str">
        <f t="shared" si="53"/>
        <v>PL</v>
      </c>
      <c r="Z517" s="4"/>
      <c r="AD517" s="1" t="s">
        <v>23</v>
      </c>
      <c r="AE517" s="1">
        <v>70</v>
      </c>
      <c r="AF517" s="1">
        <v>72</v>
      </c>
      <c r="AG517" s="1">
        <v>75</v>
      </c>
      <c r="AH517" s="1" t="s">
        <v>24</v>
      </c>
      <c r="AK517" s="4">
        <v>48</v>
      </c>
      <c r="AL517" s="4">
        <v>53</v>
      </c>
    </row>
    <row r="518" spans="1:38" x14ac:dyDescent="0.25">
      <c r="A518" s="1" t="str">
        <f t="shared" si="49"/>
        <v>glr_human__wt_ECL1</v>
      </c>
      <c r="B518" s="45" t="s">
        <v>206</v>
      </c>
      <c r="C518" s="45" t="s">
        <v>294</v>
      </c>
      <c r="D518" s="4" t="str">
        <f>VLOOKUP(B518,Classification!A:D,2,FALSE)</f>
        <v>B1</v>
      </c>
      <c r="E518" s="4" t="str">
        <f>VLOOKUP(B518,Classification!A:D,3,FALSE)</f>
        <v>Peptide</v>
      </c>
      <c r="F518" s="4" t="str">
        <f>VLOOKUP(B518,Classification!A:D,4,FALSE)</f>
        <v>Glucagonreceptorfamily</v>
      </c>
      <c r="G518" s="2">
        <v>4</v>
      </c>
      <c r="H518" s="45" t="s">
        <v>21</v>
      </c>
      <c r="I518" s="2" t="s">
        <v>36</v>
      </c>
      <c r="J518" s="5" t="str">
        <f>VLOOKUP(B518,Seqs!A:B,2,FALSE)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518" s="4" t="e">
        <f t="shared" si="48"/>
        <v>#VALUE!</v>
      </c>
      <c r="L518" s="45" t="str">
        <f>VLOOKUP(B518,'NonXtal_SegEnds_Prot#'!A:AL,12,FALSE)</f>
        <v>-</v>
      </c>
      <c r="M518" s="45" t="str">
        <f>VLOOKUP(B518,'NonXtal_SegEnds_Prot#'!A:AL,13,FALSE)</f>
        <v>-</v>
      </c>
      <c r="N518" s="45" t="str">
        <f>VLOOKUP(B518,'NonXtal_SegEnds_Prot#'!A:AL,14,FALSE)</f>
        <v>-</v>
      </c>
      <c r="O518" s="4" t="e">
        <f t="shared" si="50"/>
        <v>#VALUE!</v>
      </c>
      <c r="P518" s="4"/>
      <c r="Q518" s="47" t="e">
        <f t="shared" si="51"/>
        <v>#VALUE!</v>
      </c>
      <c r="R518" s="27" t="e">
        <f t="shared" si="52"/>
        <v>#VALUE!</v>
      </c>
      <c r="S518" s="19" t="e">
        <f t="shared" si="53"/>
        <v>#VALUE!</v>
      </c>
      <c r="Z518" s="4"/>
      <c r="AD518" s="1" t="s">
        <v>129</v>
      </c>
      <c r="AE518" s="1" t="s">
        <v>129</v>
      </c>
      <c r="AF518" s="1" t="s">
        <v>129</v>
      </c>
      <c r="AG518" s="1" t="s">
        <v>129</v>
      </c>
      <c r="AH518" s="1" t="s">
        <v>129</v>
      </c>
      <c r="AK518" s="4" t="s">
        <v>129</v>
      </c>
      <c r="AL518" s="4" t="s">
        <v>129</v>
      </c>
    </row>
    <row r="519" spans="1:38" x14ac:dyDescent="0.25">
      <c r="A519" s="1" t="str">
        <f t="shared" si="49"/>
        <v>glr_human_4L6R_ECL1</v>
      </c>
      <c r="B519" s="45" t="s">
        <v>206</v>
      </c>
      <c r="C519" s="45" t="s">
        <v>240</v>
      </c>
      <c r="D519" s="4" t="str">
        <f>VLOOKUP(B519,Classification!A:D,2,FALSE)</f>
        <v>B1</v>
      </c>
      <c r="E519" s="4" t="str">
        <f>VLOOKUP(B519,Classification!A:D,3,FALSE)</f>
        <v>Peptide</v>
      </c>
      <c r="F519" s="4" t="str">
        <f>VLOOKUP(B519,Classification!A:D,4,FALSE)</f>
        <v>Glucagonreceptorfamily</v>
      </c>
      <c r="G519" s="2">
        <v>4</v>
      </c>
      <c r="H519" s="45" t="s">
        <v>21</v>
      </c>
      <c r="I519" s="2" t="s">
        <v>36</v>
      </c>
      <c r="J519" s="5" t="str">
        <f>VLOOKUP(B519,Seqs!A:B,2,FALSE)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519" s="4" t="e">
        <f t="shared" si="48"/>
        <v>#VALUE!</v>
      </c>
      <c r="L519" s="45" t="str">
        <f>VLOOKUP(B519,'NonXtal_SegEnds_Prot#'!A:AL,12,FALSE)</f>
        <v>-</v>
      </c>
      <c r="M519" s="45" t="str">
        <f>VLOOKUP(B519,'NonXtal_SegEnds_Prot#'!A:AL,13,FALSE)</f>
        <v>-</v>
      </c>
      <c r="N519" s="45" t="str">
        <f>VLOOKUP(B519,'NonXtal_SegEnds_Prot#'!A:AL,14,FALSE)</f>
        <v>-</v>
      </c>
      <c r="O519" s="4" t="e">
        <f t="shared" si="50"/>
        <v>#VALUE!</v>
      </c>
      <c r="P519" s="4"/>
      <c r="Q519" s="47" t="e">
        <f t="shared" si="51"/>
        <v>#VALUE!</v>
      </c>
      <c r="R519" s="27" t="e">
        <f t="shared" si="52"/>
        <v>#VALUE!</v>
      </c>
      <c r="S519" s="19" t="e">
        <f t="shared" si="53"/>
        <v>#VALUE!</v>
      </c>
      <c r="Z519" s="4"/>
      <c r="AD519" s="1" t="s">
        <v>129</v>
      </c>
      <c r="AE519" s="1" t="s">
        <v>129</v>
      </c>
      <c r="AF519" s="1" t="s">
        <v>129</v>
      </c>
      <c r="AG519" s="1" t="s">
        <v>129</v>
      </c>
      <c r="AH519" s="1" t="s">
        <v>129</v>
      </c>
      <c r="AK519" s="4" t="s">
        <v>129</v>
      </c>
      <c r="AL519" s="4" t="s">
        <v>129</v>
      </c>
    </row>
    <row r="520" spans="1:38" x14ac:dyDescent="0.25">
      <c r="A520" s="1" t="str">
        <f t="shared" si="49"/>
        <v>glr_human_5EE7_ECL1</v>
      </c>
      <c r="B520" s="45" t="s">
        <v>206</v>
      </c>
      <c r="C520" s="45" t="s">
        <v>237</v>
      </c>
      <c r="D520" s="4" t="str">
        <f>VLOOKUP(B520,Classification!A:D,2,FALSE)</f>
        <v>B1</v>
      </c>
      <c r="E520" s="4" t="str">
        <f>VLOOKUP(B520,Classification!A:D,3,FALSE)</f>
        <v>Peptide</v>
      </c>
      <c r="F520" s="4" t="str">
        <f>VLOOKUP(B520,Classification!A:D,4,FALSE)</f>
        <v>Glucagonreceptorfamily</v>
      </c>
      <c r="G520" s="2">
        <v>4</v>
      </c>
      <c r="H520" s="45" t="s">
        <v>21</v>
      </c>
      <c r="I520" s="2" t="s">
        <v>36</v>
      </c>
      <c r="J520" s="5" t="str">
        <f>VLOOKUP(B520,Seqs!A:B,2,FALSE)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520" s="4" t="e">
        <f t="shared" si="48"/>
        <v>#VALUE!</v>
      </c>
      <c r="L520" s="45" t="str">
        <f>VLOOKUP(B520,'NonXtal_SegEnds_Prot#'!A:AL,12,FALSE)</f>
        <v>-</v>
      </c>
      <c r="M520" s="45" t="str">
        <f>VLOOKUP(B520,'NonXtal_SegEnds_Prot#'!A:AL,13,FALSE)</f>
        <v>-</v>
      </c>
      <c r="N520" s="45" t="str">
        <f>VLOOKUP(B520,'NonXtal_SegEnds_Prot#'!A:AL,14,FALSE)</f>
        <v>-</v>
      </c>
      <c r="O520" s="4" t="e">
        <f t="shared" si="50"/>
        <v>#VALUE!</v>
      </c>
      <c r="P520" s="4"/>
      <c r="Q520" s="47" t="e">
        <f t="shared" si="51"/>
        <v>#VALUE!</v>
      </c>
      <c r="R520" s="27" t="e">
        <f t="shared" si="52"/>
        <v>#VALUE!</v>
      </c>
      <c r="S520" s="19" t="e">
        <f t="shared" si="53"/>
        <v>#VALUE!</v>
      </c>
      <c r="Z520" s="4"/>
      <c r="AD520" s="1" t="s">
        <v>129</v>
      </c>
      <c r="AE520" s="1" t="s">
        <v>129</v>
      </c>
      <c r="AF520" s="1" t="s">
        <v>129</v>
      </c>
      <c r="AG520" s="1" t="s">
        <v>129</v>
      </c>
      <c r="AH520" s="1" t="s">
        <v>129</v>
      </c>
      <c r="AK520" s="4" t="s">
        <v>129</v>
      </c>
      <c r="AL520" s="4" t="s">
        <v>129</v>
      </c>
    </row>
    <row r="521" spans="1:38" x14ac:dyDescent="0.25">
      <c r="A521" s="1" t="str">
        <f t="shared" si="49"/>
        <v>grm1_human__wt_ECL1</v>
      </c>
      <c r="B521" s="45" t="s">
        <v>223</v>
      </c>
      <c r="C521" s="45" t="s">
        <v>294</v>
      </c>
      <c r="D521" s="4" t="str">
        <f>VLOOKUP(B521,Classification!A:D,2,FALSE)</f>
        <v>C</v>
      </c>
      <c r="E521" s="4" t="str">
        <f>VLOOKUP(B521,Classification!A:D,3,FALSE)</f>
        <v>Aminoacid</v>
      </c>
      <c r="F521" s="4" t="str">
        <f>VLOOKUP(B521,Classification!A:D,4,FALSE)</f>
        <v>Metabotropicglutamate</v>
      </c>
      <c r="G521" s="2">
        <v>4</v>
      </c>
      <c r="H521" s="45" t="s">
        <v>21</v>
      </c>
      <c r="I521" s="2" t="s">
        <v>36</v>
      </c>
      <c r="J521" s="5" t="str">
        <f>VLOOKUP(B521,Seqs!A:B,2,FALSE)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521" s="4" t="e">
        <f t="shared" si="48"/>
        <v>#VALUE!</v>
      </c>
      <c r="L521" s="45" t="str">
        <f>VLOOKUP(B521,'NonXtal_SegEnds_Prot#'!A:AL,12,FALSE)</f>
        <v>-</v>
      </c>
      <c r="M521" s="45" t="str">
        <f>VLOOKUP(B521,'NonXtal_SegEnds_Prot#'!A:AL,13,FALSE)</f>
        <v>-</v>
      </c>
      <c r="N521" s="45" t="str">
        <f>VLOOKUP(B521,'NonXtal_SegEnds_Prot#'!A:AL,14,FALSE)</f>
        <v>-</v>
      </c>
      <c r="O521" s="4" t="e">
        <f t="shared" si="50"/>
        <v>#VALUE!</v>
      </c>
      <c r="P521" s="4"/>
      <c r="Q521" s="47" t="e">
        <f t="shared" si="51"/>
        <v>#VALUE!</v>
      </c>
      <c r="R521" s="27" t="e">
        <f t="shared" si="52"/>
        <v>#VALUE!</v>
      </c>
      <c r="S521" s="19" t="e">
        <f t="shared" si="53"/>
        <v>#VALUE!</v>
      </c>
      <c r="Z521" s="4"/>
      <c r="AD521" s="1" t="s">
        <v>129</v>
      </c>
      <c r="AE521" s="1" t="s">
        <v>129</v>
      </c>
      <c r="AF521" s="1" t="s">
        <v>129</v>
      </c>
      <c r="AG521" s="1" t="s">
        <v>129</v>
      </c>
      <c r="AH521" s="1" t="s">
        <v>129</v>
      </c>
      <c r="AK521" s="4" t="s">
        <v>129</v>
      </c>
      <c r="AL521" s="4" t="s">
        <v>129</v>
      </c>
    </row>
    <row r="522" spans="1:38" x14ac:dyDescent="0.25">
      <c r="A522" s="1" t="str">
        <f t="shared" si="49"/>
        <v>grm1_human_4OR2_ECL1</v>
      </c>
      <c r="B522" s="45" t="s">
        <v>223</v>
      </c>
      <c r="C522" s="45" t="s">
        <v>289</v>
      </c>
      <c r="D522" s="4" t="str">
        <f>VLOOKUP(B522,Classification!A:D,2,FALSE)</f>
        <v>C</v>
      </c>
      <c r="E522" s="4" t="str">
        <f>VLOOKUP(B522,Classification!A:D,3,FALSE)</f>
        <v>Aminoacid</v>
      </c>
      <c r="F522" s="4" t="str">
        <f>VLOOKUP(B522,Classification!A:D,4,FALSE)</f>
        <v>Metabotropicglutamate</v>
      </c>
      <c r="G522" s="2">
        <v>4</v>
      </c>
      <c r="H522" s="45" t="s">
        <v>21</v>
      </c>
      <c r="I522" s="2" t="s">
        <v>36</v>
      </c>
      <c r="J522" s="5" t="str">
        <f>VLOOKUP(B522,Seqs!A:B,2,FALSE)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522" s="4" t="e">
        <f t="shared" si="48"/>
        <v>#VALUE!</v>
      </c>
      <c r="L522" s="45" t="str">
        <f>VLOOKUP(B522,'NonXtal_SegEnds_Prot#'!A:AL,12,FALSE)</f>
        <v>-</v>
      </c>
      <c r="M522" s="45" t="str">
        <f>VLOOKUP(B522,'NonXtal_SegEnds_Prot#'!A:AL,13,FALSE)</f>
        <v>-</v>
      </c>
      <c r="N522" s="45" t="str">
        <f>VLOOKUP(B522,'NonXtal_SegEnds_Prot#'!A:AL,14,FALSE)</f>
        <v>-</v>
      </c>
      <c r="O522" s="4" t="e">
        <f t="shared" si="50"/>
        <v>#VALUE!</v>
      </c>
      <c r="P522" s="4"/>
      <c r="Q522" s="47" t="e">
        <f t="shared" si="51"/>
        <v>#VALUE!</v>
      </c>
      <c r="R522" s="27" t="e">
        <f t="shared" si="52"/>
        <v>#VALUE!</v>
      </c>
      <c r="S522" s="19" t="e">
        <f t="shared" si="53"/>
        <v>#VALUE!</v>
      </c>
      <c r="Z522" s="4"/>
      <c r="AD522" s="1" t="s">
        <v>129</v>
      </c>
      <c r="AE522" s="1" t="s">
        <v>129</v>
      </c>
      <c r="AF522" s="1" t="s">
        <v>129</v>
      </c>
      <c r="AG522" s="1" t="s">
        <v>129</v>
      </c>
      <c r="AH522" s="1" t="s">
        <v>129</v>
      </c>
      <c r="AK522" s="4" t="s">
        <v>129</v>
      </c>
      <c r="AL522" s="4" t="s">
        <v>129</v>
      </c>
    </row>
    <row r="523" spans="1:38" x14ac:dyDescent="0.25">
      <c r="A523" s="1" t="str">
        <f t="shared" si="49"/>
        <v>grm5_human__wt_ECL1</v>
      </c>
      <c r="B523" s="45" t="s">
        <v>224</v>
      </c>
      <c r="C523" s="45" t="s">
        <v>294</v>
      </c>
      <c r="D523" s="4" t="str">
        <f>VLOOKUP(B523,Classification!A:D,2,FALSE)</f>
        <v>C</v>
      </c>
      <c r="E523" s="4" t="str">
        <f>VLOOKUP(B523,Classification!A:D,3,FALSE)</f>
        <v>Aminoacid</v>
      </c>
      <c r="F523" s="4" t="str">
        <f>VLOOKUP(B523,Classification!A:D,4,FALSE)</f>
        <v>Metabotropicglutamate</v>
      </c>
      <c r="G523" s="2">
        <v>4</v>
      </c>
      <c r="H523" s="45" t="s">
        <v>21</v>
      </c>
      <c r="I523" s="2" t="s">
        <v>36</v>
      </c>
      <c r="J523" s="5" t="str">
        <f>VLOOKUP(B523,Seqs!A:B,2,FALSE)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3" s="4" t="e">
        <f t="shared" si="48"/>
        <v>#VALUE!</v>
      </c>
      <c r="L523" s="45" t="str">
        <f>VLOOKUP(B523,'NonXtal_SegEnds_Prot#'!A:AL,12,FALSE)</f>
        <v>-</v>
      </c>
      <c r="M523" s="45" t="str">
        <f>VLOOKUP(B523,'NonXtal_SegEnds_Prot#'!A:AL,13,FALSE)</f>
        <v>-</v>
      </c>
      <c r="N523" s="45" t="str">
        <f>VLOOKUP(B523,'NonXtal_SegEnds_Prot#'!A:AL,14,FALSE)</f>
        <v>-</v>
      </c>
      <c r="O523" s="4" t="e">
        <f t="shared" si="50"/>
        <v>#VALUE!</v>
      </c>
      <c r="P523" s="4"/>
      <c r="Q523" s="47" t="e">
        <f t="shared" si="51"/>
        <v>#VALUE!</v>
      </c>
      <c r="R523" s="27" t="e">
        <f t="shared" si="52"/>
        <v>#VALUE!</v>
      </c>
      <c r="S523" s="19" t="e">
        <f t="shared" si="53"/>
        <v>#VALUE!</v>
      </c>
      <c r="Z523" s="4"/>
      <c r="AD523" s="1" t="s">
        <v>129</v>
      </c>
      <c r="AE523" s="1" t="s">
        <v>129</v>
      </c>
      <c r="AF523" s="1" t="s">
        <v>129</v>
      </c>
      <c r="AG523" s="1" t="s">
        <v>129</v>
      </c>
      <c r="AH523" s="1" t="s">
        <v>129</v>
      </c>
      <c r="AK523" s="4" t="s">
        <v>129</v>
      </c>
      <c r="AL523" s="4" t="s">
        <v>129</v>
      </c>
    </row>
    <row r="524" spans="1:38" x14ac:dyDescent="0.25">
      <c r="A524" s="1" t="str">
        <f t="shared" si="49"/>
        <v>grm5_human_4OO9_ECL1</v>
      </c>
      <c r="B524" s="45" t="s">
        <v>224</v>
      </c>
      <c r="C524" s="45" t="s">
        <v>248</v>
      </c>
      <c r="D524" s="4" t="str">
        <f>VLOOKUP(B524,Classification!A:D,2,FALSE)</f>
        <v>C</v>
      </c>
      <c r="E524" s="4" t="str">
        <f>VLOOKUP(B524,Classification!A:D,3,FALSE)</f>
        <v>Aminoacid</v>
      </c>
      <c r="F524" s="4" t="str">
        <f>VLOOKUP(B524,Classification!A:D,4,FALSE)</f>
        <v>Metabotropicglutamate</v>
      </c>
      <c r="G524" s="2">
        <v>4</v>
      </c>
      <c r="H524" s="45" t="s">
        <v>21</v>
      </c>
      <c r="I524" s="2" t="s">
        <v>36</v>
      </c>
      <c r="J524" s="5" t="str">
        <f>VLOOKUP(B524,Seqs!A:B,2,FALSE)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4" s="4" t="e">
        <f t="shared" si="48"/>
        <v>#VALUE!</v>
      </c>
      <c r="L524" s="45" t="str">
        <f>VLOOKUP(B524,'NonXtal_SegEnds_Prot#'!A:AL,12,FALSE)</f>
        <v>-</v>
      </c>
      <c r="M524" s="45" t="str">
        <f>VLOOKUP(B524,'NonXtal_SegEnds_Prot#'!A:AL,13,FALSE)</f>
        <v>-</v>
      </c>
      <c r="N524" s="45" t="str">
        <f>VLOOKUP(B524,'NonXtal_SegEnds_Prot#'!A:AL,14,FALSE)</f>
        <v>-</v>
      </c>
      <c r="O524" s="4" t="e">
        <f t="shared" si="50"/>
        <v>#VALUE!</v>
      </c>
      <c r="P524" s="4"/>
      <c r="Q524" s="47" t="e">
        <f t="shared" si="51"/>
        <v>#VALUE!</v>
      </c>
      <c r="R524" s="27" t="e">
        <f t="shared" si="52"/>
        <v>#VALUE!</v>
      </c>
      <c r="S524" s="19" t="e">
        <f t="shared" si="53"/>
        <v>#VALUE!</v>
      </c>
      <c r="Z524" s="4"/>
      <c r="AD524" s="1" t="s">
        <v>129</v>
      </c>
      <c r="AE524" s="1" t="s">
        <v>129</v>
      </c>
      <c r="AF524" s="1" t="s">
        <v>129</v>
      </c>
      <c r="AG524" s="1" t="s">
        <v>129</v>
      </c>
      <c r="AH524" s="1" t="s">
        <v>129</v>
      </c>
      <c r="AK524" s="4" t="s">
        <v>129</v>
      </c>
      <c r="AL524" s="4" t="s">
        <v>129</v>
      </c>
    </row>
    <row r="525" spans="1:38" x14ac:dyDescent="0.25">
      <c r="A525" s="1" t="str">
        <f t="shared" si="49"/>
        <v>grm5_human_5CGC_ECL1</v>
      </c>
      <c r="B525" s="45" t="s">
        <v>224</v>
      </c>
      <c r="C525" s="45" t="s">
        <v>249</v>
      </c>
      <c r="D525" s="4" t="str">
        <f>VLOOKUP(B525,Classification!A:D,2,FALSE)</f>
        <v>C</v>
      </c>
      <c r="E525" s="4" t="str">
        <f>VLOOKUP(B525,Classification!A:D,3,FALSE)</f>
        <v>Aminoacid</v>
      </c>
      <c r="F525" s="4" t="str">
        <f>VLOOKUP(B525,Classification!A:D,4,FALSE)</f>
        <v>Metabotropicglutamate</v>
      </c>
      <c r="G525" s="2">
        <v>4</v>
      </c>
      <c r="H525" s="45" t="s">
        <v>21</v>
      </c>
      <c r="I525" s="2" t="s">
        <v>36</v>
      </c>
      <c r="J525" s="5" t="str">
        <f>VLOOKUP(B525,Seqs!A:B,2,FALSE)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5" s="4" t="e">
        <f t="shared" si="48"/>
        <v>#VALUE!</v>
      </c>
      <c r="L525" s="45" t="str">
        <f>VLOOKUP(B525,'NonXtal_SegEnds_Prot#'!A:AL,12,FALSE)</f>
        <v>-</v>
      </c>
      <c r="M525" s="45" t="str">
        <f>VLOOKUP(B525,'NonXtal_SegEnds_Prot#'!A:AL,13,FALSE)</f>
        <v>-</v>
      </c>
      <c r="N525" s="45" t="str">
        <f>VLOOKUP(B525,'NonXtal_SegEnds_Prot#'!A:AL,14,FALSE)</f>
        <v>-</v>
      </c>
      <c r="O525" s="4" t="e">
        <f t="shared" si="50"/>
        <v>#VALUE!</v>
      </c>
      <c r="P525" s="4"/>
      <c r="Q525" s="47" t="e">
        <f t="shared" si="51"/>
        <v>#VALUE!</v>
      </c>
      <c r="R525" s="27" t="e">
        <f t="shared" si="52"/>
        <v>#VALUE!</v>
      </c>
      <c r="S525" s="19" t="e">
        <f t="shared" si="53"/>
        <v>#VALUE!</v>
      </c>
      <c r="Z525" s="4"/>
      <c r="AD525" s="1" t="s">
        <v>129</v>
      </c>
      <c r="AE525" s="1" t="s">
        <v>129</v>
      </c>
      <c r="AF525" s="1" t="s">
        <v>129</v>
      </c>
      <c r="AG525" s="1" t="s">
        <v>129</v>
      </c>
      <c r="AH525" s="1" t="s">
        <v>129</v>
      </c>
      <c r="AK525" s="4" t="s">
        <v>129</v>
      </c>
      <c r="AL525" s="4" t="s">
        <v>129</v>
      </c>
    </row>
    <row r="526" spans="1:38" x14ac:dyDescent="0.25">
      <c r="A526" s="1" t="str">
        <f t="shared" si="49"/>
        <v>grm5_human_5CGD_ECL1</v>
      </c>
      <c r="B526" s="45" t="s">
        <v>224</v>
      </c>
      <c r="C526" s="45" t="s">
        <v>250</v>
      </c>
      <c r="D526" s="4" t="str">
        <f>VLOOKUP(B526,Classification!A:D,2,FALSE)</f>
        <v>C</v>
      </c>
      <c r="E526" s="4" t="str">
        <f>VLOOKUP(B526,Classification!A:D,3,FALSE)</f>
        <v>Aminoacid</v>
      </c>
      <c r="F526" s="4" t="str">
        <f>VLOOKUP(B526,Classification!A:D,4,FALSE)</f>
        <v>Metabotropicglutamate</v>
      </c>
      <c r="G526" s="2">
        <v>4</v>
      </c>
      <c r="H526" s="45" t="s">
        <v>21</v>
      </c>
      <c r="I526" s="2" t="s">
        <v>36</v>
      </c>
      <c r="J526" s="5" t="str">
        <f>VLOOKUP(B526,Seqs!A:B,2,FALSE)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6" s="4" t="e">
        <f t="shared" si="48"/>
        <v>#VALUE!</v>
      </c>
      <c r="L526" s="45" t="str">
        <f>VLOOKUP(B526,'NonXtal_SegEnds_Prot#'!A:AL,12,FALSE)</f>
        <v>-</v>
      </c>
      <c r="M526" s="45" t="str">
        <f>VLOOKUP(B526,'NonXtal_SegEnds_Prot#'!A:AL,13,FALSE)</f>
        <v>-</v>
      </c>
      <c r="N526" s="45" t="str">
        <f>VLOOKUP(B526,'NonXtal_SegEnds_Prot#'!A:AL,14,FALSE)</f>
        <v>-</v>
      </c>
      <c r="O526" s="4" t="e">
        <f t="shared" si="50"/>
        <v>#VALUE!</v>
      </c>
      <c r="P526" s="4"/>
      <c r="Q526" s="47" t="e">
        <f t="shared" si="51"/>
        <v>#VALUE!</v>
      </c>
      <c r="R526" s="27" t="e">
        <f t="shared" si="52"/>
        <v>#VALUE!</v>
      </c>
      <c r="S526" s="19" t="e">
        <f t="shared" si="53"/>
        <v>#VALUE!</v>
      </c>
      <c r="Z526" s="4"/>
      <c r="AD526" s="1" t="s">
        <v>129</v>
      </c>
      <c r="AE526" s="1" t="s">
        <v>129</v>
      </c>
      <c r="AF526" s="1" t="s">
        <v>129</v>
      </c>
      <c r="AG526" s="1" t="s">
        <v>129</v>
      </c>
      <c r="AH526" s="1" t="s">
        <v>129</v>
      </c>
      <c r="AK526" s="4" t="s">
        <v>129</v>
      </c>
      <c r="AL526" s="4" t="s">
        <v>129</v>
      </c>
    </row>
    <row r="527" spans="1:38" x14ac:dyDescent="0.25">
      <c r="A527" s="1" t="str">
        <f t="shared" si="49"/>
        <v>HRH1_human__wt_ECL1</v>
      </c>
      <c r="B527" s="45" t="s">
        <v>225</v>
      </c>
      <c r="C527" s="45" t="s">
        <v>294</v>
      </c>
      <c r="D527" s="4" t="str">
        <f>VLOOKUP(B527,Classification!A:D,2,FALSE)</f>
        <v>A</v>
      </c>
      <c r="E527" s="4" t="str">
        <f>VLOOKUP(B527,Classification!A:D,3,FALSE)</f>
        <v>Aminergic</v>
      </c>
      <c r="F527" s="4" t="str">
        <f>VLOOKUP(B527,Classification!A:D,4,FALSE)</f>
        <v>Histamine</v>
      </c>
      <c r="G527" s="2">
        <v>4</v>
      </c>
      <c r="H527" s="45" t="s">
        <v>21</v>
      </c>
      <c r="I527" s="2" t="s">
        <v>22</v>
      </c>
      <c r="J527" s="5" t="str">
        <f>VLOOKUP(B527,Seqs!A:B,2,FALSE)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527" s="4" t="str">
        <f t="shared" si="48"/>
        <v>K</v>
      </c>
      <c r="L527" s="45">
        <f>VLOOKUP(B527,'NonXtal_SegEnds_Prot#'!A:AL,12,FALSE)</f>
        <v>92</v>
      </c>
      <c r="M527" s="45">
        <f>VLOOKUP(B527,'NonXtal_SegEnds_Prot#'!A:AL,13,FALSE)</f>
        <v>93</v>
      </c>
      <c r="N527" s="45">
        <f>VLOOKUP(B527,'NonXtal_SegEnds_Prot#'!A:AL,14,FALSE)</f>
        <v>95</v>
      </c>
      <c r="O527" s="4" t="str">
        <f t="shared" si="50"/>
        <v>L</v>
      </c>
      <c r="P527" s="4"/>
      <c r="Q527" s="47" t="str">
        <f t="shared" si="51"/>
        <v>K</v>
      </c>
      <c r="R527" s="27" t="str">
        <f t="shared" si="52"/>
        <v>W</v>
      </c>
      <c r="S527" s="19" t="str">
        <f t="shared" si="53"/>
        <v>SL</v>
      </c>
      <c r="Z527" s="4"/>
      <c r="AD527" s="1" t="s">
        <v>23</v>
      </c>
      <c r="AE527" s="1">
        <v>91</v>
      </c>
      <c r="AF527" s="1">
        <v>93</v>
      </c>
      <c r="AG527" s="1">
        <v>96</v>
      </c>
      <c r="AH527" s="1" t="s">
        <v>24</v>
      </c>
      <c r="AK527" s="4">
        <v>48</v>
      </c>
      <c r="AL527" s="4">
        <v>53</v>
      </c>
    </row>
    <row r="528" spans="1:38" x14ac:dyDescent="0.25">
      <c r="A528" s="1" t="str">
        <f t="shared" si="49"/>
        <v>HRH1_human_3RZE_ECL1</v>
      </c>
      <c r="B528" s="45" t="s">
        <v>225</v>
      </c>
      <c r="C528" s="45" t="s">
        <v>264</v>
      </c>
      <c r="D528" s="4" t="str">
        <f>VLOOKUP(B528,Classification!A:D,2,FALSE)</f>
        <v>A</v>
      </c>
      <c r="E528" s="4" t="str">
        <f>VLOOKUP(B528,Classification!A:D,3,FALSE)</f>
        <v>Aminergic</v>
      </c>
      <c r="F528" s="4" t="str">
        <f>VLOOKUP(B528,Classification!A:D,4,FALSE)</f>
        <v>Histamine</v>
      </c>
      <c r="G528" s="2">
        <v>4</v>
      </c>
      <c r="H528" s="45" t="s">
        <v>21</v>
      </c>
      <c r="I528" s="2" t="s">
        <v>22</v>
      </c>
      <c r="J528" s="5" t="str">
        <f>VLOOKUP(B528,Seqs!A:B,2,FALSE)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528" s="4" t="str">
        <f t="shared" ref="K528:K591" si="54">MID(J528,L528,1)</f>
        <v>K</v>
      </c>
      <c r="L528" s="45">
        <f>VLOOKUP(B528,'NonXtal_SegEnds_Prot#'!A:AL,12,FALSE)</f>
        <v>92</v>
      </c>
      <c r="M528" s="45">
        <f>VLOOKUP(B528,'NonXtal_SegEnds_Prot#'!A:AL,13,FALSE)</f>
        <v>93</v>
      </c>
      <c r="N528" s="45">
        <f>VLOOKUP(B528,'NonXtal_SegEnds_Prot#'!A:AL,14,FALSE)</f>
        <v>95</v>
      </c>
      <c r="O528" s="4" t="str">
        <f t="shared" si="50"/>
        <v>L</v>
      </c>
      <c r="P528" s="4"/>
      <c r="Q528" s="47" t="str">
        <f t="shared" si="51"/>
        <v>K</v>
      </c>
      <c r="R528" s="27" t="str">
        <f t="shared" si="52"/>
        <v>W</v>
      </c>
      <c r="S528" s="19" t="str">
        <f t="shared" si="53"/>
        <v>SL</v>
      </c>
      <c r="Z528" s="4"/>
      <c r="AD528" s="1" t="s">
        <v>23</v>
      </c>
      <c r="AE528" s="1">
        <v>91</v>
      </c>
      <c r="AF528" s="1">
        <v>93</v>
      </c>
      <c r="AG528" s="1">
        <v>96</v>
      </c>
      <c r="AH528" s="1" t="s">
        <v>24</v>
      </c>
      <c r="AK528" s="4">
        <v>48</v>
      </c>
      <c r="AL528" s="4">
        <v>53</v>
      </c>
    </row>
    <row r="529" spans="1:38" x14ac:dyDescent="0.25">
      <c r="A529" s="1" t="str">
        <f t="shared" si="49"/>
        <v>NTR1_rat__wt_ECL1</v>
      </c>
      <c r="B529" s="45" t="s">
        <v>234</v>
      </c>
      <c r="C529" s="45" t="s">
        <v>294</v>
      </c>
      <c r="D529" s="4" t="str">
        <f>VLOOKUP(B529,Classification!A:D,2,FALSE)</f>
        <v>A</v>
      </c>
      <c r="E529" s="4" t="str">
        <f>VLOOKUP(B529,Classification!A:D,3,FALSE)</f>
        <v>Peptide</v>
      </c>
      <c r="F529" s="4" t="str">
        <f>VLOOKUP(B529,Classification!A:D,4,FALSE)</f>
        <v>Neurotensin</v>
      </c>
      <c r="G529" s="2">
        <v>4</v>
      </c>
      <c r="H529" s="45" t="s">
        <v>21</v>
      </c>
      <c r="I529" s="2" t="s">
        <v>22</v>
      </c>
      <c r="J529" s="5" t="str">
        <f>VLOOKUP(B529,Seqs!A:B,2,FALSE)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529" s="4" t="str">
        <f t="shared" si="54"/>
        <v>P</v>
      </c>
      <c r="L529" s="45">
        <f>VLOOKUP(B529,'NonXtal_SegEnds_Prot#'!A:AL,12,FALSE)</f>
        <v>134</v>
      </c>
      <c r="M529" s="45">
        <f>VLOOKUP(B529,'NonXtal_SegEnds_Prot#'!A:AL,13,FALSE)</f>
        <v>135</v>
      </c>
      <c r="N529" s="45">
        <f>VLOOKUP(B529,'NonXtal_SegEnds_Prot#'!A:AL,14,FALSE)</f>
        <v>137</v>
      </c>
      <c r="O529" s="4" t="str">
        <f t="shared" si="50"/>
        <v>F</v>
      </c>
      <c r="P529" s="4"/>
      <c r="Q529" s="47" t="str">
        <f t="shared" si="51"/>
        <v>P</v>
      </c>
      <c r="R529" s="27" t="str">
        <f t="shared" si="52"/>
        <v>W</v>
      </c>
      <c r="S529" s="19" t="str">
        <f t="shared" si="53"/>
        <v>AF</v>
      </c>
      <c r="Z529" s="4" t="s">
        <v>78</v>
      </c>
      <c r="AD529" s="1" t="s">
        <v>23</v>
      </c>
      <c r="AE529" s="1">
        <v>133</v>
      </c>
      <c r="AF529" s="1">
        <v>135</v>
      </c>
      <c r="AG529" s="1">
        <v>138</v>
      </c>
      <c r="AH529" s="1" t="s">
        <v>24</v>
      </c>
      <c r="AK529" s="4">
        <v>48</v>
      </c>
      <c r="AL529" s="4">
        <v>53</v>
      </c>
    </row>
    <row r="530" spans="1:38" x14ac:dyDescent="0.25">
      <c r="A530" s="1" t="str">
        <f t="shared" si="49"/>
        <v>NTR1_rat_4BOU_ECL1</v>
      </c>
      <c r="B530" s="45" t="s">
        <v>234</v>
      </c>
      <c r="C530" s="45" t="s">
        <v>239</v>
      </c>
      <c r="D530" s="4" t="str">
        <f>VLOOKUP(B530,Classification!A:D,2,FALSE)</f>
        <v>A</v>
      </c>
      <c r="E530" s="4" t="str">
        <f>VLOOKUP(B530,Classification!A:D,3,FALSE)</f>
        <v>Peptide</v>
      </c>
      <c r="F530" s="4" t="str">
        <f>VLOOKUP(B530,Classification!A:D,4,FALSE)</f>
        <v>Neurotensin</v>
      </c>
      <c r="G530" s="2">
        <v>4</v>
      </c>
      <c r="H530" s="45" t="s">
        <v>21</v>
      </c>
      <c r="I530" s="2" t="s">
        <v>22</v>
      </c>
      <c r="J530" s="5" t="str">
        <f>VLOOKUP(B530,Seqs!A:B,2,FALSE)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530" s="4" t="str">
        <f t="shared" si="54"/>
        <v>P</v>
      </c>
      <c r="L530" s="45">
        <f>VLOOKUP(B530,'NonXtal_SegEnds_Prot#'!A:AL,12,FALSE)</f>
        <v>134</v>
      </c>
      <c r="M530" s="45">
        <f>VLOOKUP(B530,'NonXtal_SegEnds_Prot#'!A:AL,13,FALSE)</f>
        <v>135</v>
      </c>
      <c r="N530" s="45">
        <f>VLOOKUP(B530,'NonXtal_SegEnds_Prot#'!A:AL,14,FALSE)</f>
        <v>137</v>
      </c>
      <c r="O530" s="4" t="str">
        <f t="shared" si="50"/>
        <v>F</v>
      </c>
      <c r="P530" s="4"/>
      <c r="Q530" s="47" t="str">
        <f t="shared" si="51"/>
        <v>P</v>
      </c>
      <c r="R530" s="27" t="str">
        <f t="shared" si="52"/>
        <v>W</v>
      </c>
      <c r="S530" s="19" t="str">
        <f t="shared" si="53"/>
        <v>AF</v>
      </c>
      <c r="Z530" s="4" t="s">
        <v>78</v>
      </c>
      <c r="AD530" s="1" t="s">
        <v>23</v>
      </c>
      <c r="AE530" s="1">
        <v>133</v>
      </c>
      <c r="AF530" s="1">
        <v>135</v>
      </c>
      <c r="AG530" s="1">
        <v>138</v>
      </c>
      <c r="AH530" s="1" t="s">
        <v>24</v>
      </c>
      <c r="AK530" s="4">
        <v>48</v>
      </c>
      <c r="AL530" s="4">
        <v>53</v>
      </c>
    </row>
    <row r="531" spans="1:38" x14ac:dyDescent="0.25">
      <c r="A531" s="1" t="str">
        <f t="shared" si="49"/>
        <v>NTR1_rat_4GRV_ECL1</v>
      </c>
      <c r="B531" s="45" t="s">
        <v>234</v>
      </c>
      <c r="C531" s="45" t="s">
        <v>238</v>
      </c>
      <c r="D531" s="4" t="str">
        <f>VLOOKUP(B531,Classification!A:D,2,FALSE)</f>
        <v>A</v>
      </c>
      <c r="E531" s="4" t="str">
        <f>VLOOKUP(B531,Classification!A:D,3,FALSE)</f>
        <v>Peptide</v>
      </c>
      <c r="F531" s="4" t="str">
        <f>VLOOKUP(B531,Classification!A:D,4,FALSE)</f>
        <v>Neurotensin</v>
      </c>
      <c r="G531" s="2">
        <v>4</v>
      </c>
      <c r="H531" s="45" t="s">
        <v>21</v>
      </c>
      <c r="I531" s="2" t="s">
        <v>22</v>
      </c>
      <c r="J531" s="5" t="str">
        <f>VLOOKUP(B531,Seqs!A:B,2,FALSE)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531" s="4" t="str">
        <f t="shared" si="54"/>
        <v>P</v>
      </c>
      <c r="L531" s="45">
        <f>VLOOKUP(B531,'NonXtal_SegEnds_Prot#'!A:AL,12,FALSE)</f>
        <v>134</v>
      </c>
      <c r="M531" s="45">
        <f>VLOOKUP(B531,'NonXtal_SegEnds_Prot#'!A:AL,13,FALSE)</f>
        <v>135</v>
      </c>
      <c r="N531" s="45">
        <f>VLOOKUP(B531,'NonXtal_SegEnds_Prot#'!A:AL,14,FALSE)</f>
        <v>137</v>
      </c>
      <c r="O531" s="4" t="str">
        <f t="shared" si="50"/>
        <v>F</v>
      </c>
      <c r="P531" s="4"/>
      <c r="Q531" s="47" t="str">
        <f t="shared" si="51"/>
        <v>P</v>
      </c>
      <c r="R531" s="27" t="str">
        <f t="shared" si="52"/>
        <v>W</v>
      </c>
      <c r="S531" s="19" t="str">
        <f t="shared" si="53"/>
        <v>AF</v>
      </c>
      <c r="Z531" s="4"/>
      <c r="AD531" s="1" t="s">
        <v>23</v>
      </c>
      <c r="AE531" s="1">
        <v>133</v>
      </c>
      <c r="AF531" s="1">
        <v>135</v>
      </c>
      <c r="AG531" s="1">
        <v>138</v>
      </c>
      <c r="AH531" s="1" t="s">
        <v>24</v>
      </c>
      <c r="AK531" s="4">
        <v>48</v>
      </c>
      <c r="AL531" s="4">
        <v>53</v>
      </c>
    </row>
    <row r="532" spans="1:38" x14ac:dyDescent="0.25">
      <c r="A532" s="1" t="str">
        <f t="shared" si="49"/>
        <v>OPRD_human__wt_ECL1</v>
      </c>
      <c r="B532" s="45" t="s">
        <v>226</v>
      </c>
      <c r="C532" s="45" t="s">
        <v>294</v>
      </c>
      <c r="D532" s="4" t="str">
        <f>VLOOKUP(B532,Classification!A:D,2,FALSE)</f>
        <v>A</v>
      </c>
      <c r="E532" s="4" t="str">
        <f>VLOOKUP(B532,Classification!A:D,3,FALSE)</f>
        <v>Peptide</v>
      </c>
      <c r="F532" s="4" t="str">
        <f>VLOOKUP(B532,Classification!A:D,4,FALSE)</f>
        <v>Opioid</v>
      </c>
      <c r="G532" s="2">
        <v>4</v>
      </c>
      <c r="H532" s="45" t="s">
        <v>21</v>
      </c>
      <c r="I532" s="2" t="s">
        <v>22</v>
      </c>
      <c r="J532" s="5" t="str">
        <f>VLOOKUP(B532,Seqs!A:B,2,FALSE)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532" s="4" t="str">
        <f t="shared" si="54"/>
        <v>T</v>
      </c>
      <c r="L532" s="45">
        <f>VLOOKUP(B532,'NonXtal_SegEnds_Prot#'!A:AL,12,FALSE)</f>
        <v>113</v>
      </c>
      <c r="M532" s="45">
        <f>VLOOKUP(B532,'NonXtal_SegEnds_Prot#'!A:AL,13,FALSE)</f>
        <v>114</v>
      </c>
      <c r="N532" s="45">
        <f>VLOOKUP(B532,'NonXtal_SegEnds_Prot#'!A:AL,14,FALSE)</f>
        <v>116</v>
      </c>
      <c r="O532" s="4" t="str">
        <f t="shared" si="50"/>
        <v>F</v>
      </c>
      <c r="P532" s="4"/>
      <c r="Q532" s="47" t="str">
        <f t="shared" si="51"/>
        <v>T</v>
      </c>
      <c r="R532" s="27" t="str">
        <f t="shared" si="52"/>
        <v>W</v>
      </c>
      <c r="S532" s="19" t="str">
        <f t="shared" si="53"/>
        <v>PF</v>
      </c>
      <c r="Z532" s="4"/>
      <c r="AD532" s="1" t="s">
        <v>23</v>
      </c>
      <c r="AE532" s="1">
        <v>112</v>
      </c>
      <c r="AF532" s="1">
        <v>114</v>
      </c>
      <c r="AG532" s="1">
        <v>117</v>
      </c>
      <c r="AH532" s="1" t="s">
        <v>24</v>
      </c>
      <c r="AK532" s="4">
        <v>48</v>
      </c>
      <c r="AL532" s="4">
        <v>53</v>
      </c>
    </row>
    <row r="533" spans="1:38" x14ac:dyDescent="0.25">
      <c r="A533" s="1" t="str">
        <f t="shared" si="49"/>
        <v>OPRD_human_4N6H_ECL1</v>
      </c>
      <c r="B533" s="45" t="s">
        <v>226</v>
      </c>
      <c r="C533" s="45" t="s">
        <v>279</v>
      </c>
      <c r="D533" s="4" t="str">
        <f>VLOOKUP(B533,Classification!A:D,2,FALSE)</f>
        <v>A</v>
      </c>
      <c r="E533" s="4" t="str">
        <f>VLOOKUP(B533,Classification!A:D,3,FALSE)</f>
        <v>Peptide</v>
      </c>
      <c r="F533" s="4" t="str">
        <f>VLOOKUP(B533,Classification!A:D,4,FALSE)</f>
        <v>Opioid</v>
      </c>
      <c r="G533" s="2">
        <v>4</v>
      </c>
      <c r="H533" s="45" t="s">
        <v>21</v>
      </c>
      <c r="I533" s="2" t="s">
        <v>22</v>
      </c>
      <c r="J533" s="5" t="str">
        <f>VLOOKUP(B533,Seqs!A:B,2,FALSE)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533" s="4" t="str">
        <f t="shared" si="54"/>
        <v>T</v>
      </c>
      <c r="L533" s="45">
        <f>VLOOKUP(B533,'NonXtal_SegEnds_Prot#'!A:AL,12,FALSE)</f>
        <v>113</v>
      </c>
      <c r="M533" s="45">
        <f>VLOOKUP(B533,'NonXtal_SegEnds_Prot#'!A:AL,13,FALSE)</f>
        <v>114</v>
      </c>
      <c r="N533" s="45">
        <f>VLOOKUP(B533,'NonXtal_SegEnds_Prot#'!A:AL,14,FALSE)</f>
        <v>116</v>
      </c>
      <c r="O533" s="4" t="str">
        <f t="shared" si="50"/>
        <v>F</v>
      </c>
      <c r="P533" s="4"/>
      <c r="Q533" s="47" t="str">
        <f t="shared" si="51"/>
        <v>T</v>
      </c>
      <c r="R533" s="27" t="str">
        <f t="shared" si="52"/>
        <v>W</v>
      </c>
      <c r="S533" s="19" t="str">
        <f t="shared" si="53"/>
        <v>PF</v>
      </c>
      <c r="Z533" s="4"/>
      <c r="AD533" s="1" t="s">
        <v>23</v>
      </c>
      <c r="AE533" s="1">
        <v>112</v>
      </c>
      <c r="AF533" s="1">
        <v>114</v>
      </c>
      <c r="AG533" s="1">
        <v>117</v>
      </c>
      <c r="AH533" s="1" t="s">
        <v>24</v>
      </c>
      <c r="AK533" s="4">
        <v>48</v>
      </c>
      <c r="AL533" s="4">
        <v>53</v>
      </c>
    </row>
    <row r="534" spans="1:38" x14ac:dyDescent="0.25">
      <c r="A534" s="1" t="str">
        <f t="shared" si="49"/>
        <v>OPRD_mouse_4EJ4_ECL1</v>
      </c>
      <c r="B534" s="45" t="s">
        <v>233</v>
      </c>
      <c r="C534" s="45" t="s">
        <v>255</v>
      </c>
      <c r="D534" s="4" t="str">
        <f>VLOOKUP(B534,Classification!A:D,2,FALSE)</f>
        <v>A</v>
      </c>
      <c r="E534" s="4" t="str">
        <f>VLOOKUP(B534,Classification!A:D,3,FALSE)</f>
        <v>Peptide</v>
      </c>
      <c r="F534" s="4" t="str">
        <f>VLOOKUP(B534,Classification!A:D,4,FALSE)</f>
        <v>Opioid</v>
      </c>
      <c r="G534" s="2">
        <v>4</v>
      </c>
      <c r="H534" s="45" t="s">
        <v>21</v>
      </c>
      <c r="I534" s="2" t="s">
        <v>22</v>
      </c>
      <c r="J534" s="5" t="str">
        <f>VLOOKUP(B534,Seqs!A:B,2,FALSE)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534" s="4" t="str">
        <f t="shared" si="54"/>
        <v>T</v>
      </c>
      <c r="L534" s="45">
        <f>VLOOKUP(B534,'NonXtal_SegEnds_Prot#'!A:AL,12,FALSE)</f>
        <v>113</v>
      </c>
      <c r="M534" s="45">
        <f>VLOOKUP(B534,'NonXtal_SegEnds_Prot#'!A:AL,13,FALSE)</f>
        <v>114</v>
      </c>
      <c r="N534" s="45">
        <f>VLOOKUP(B534,'NonXtal_SegEnds_Prot#'!A:AL,14,FALSE)</f>
        <v>116</v>
      </c>
      <c r="O534" s="4" t="str">
        <f t="shared" si="50"/>
        <v>F</v>
      </c>
      <c r="P534" s="4"/>
      <c r="Q534" s="47" t="str">
        <f t="shared" si="51"/>
        <v>T</v>
      </c>
      <c r="R534" s="27" t="str">
        <f t="shared" si="52"/>
        <v>W</v>
      </c>
      <c r="S534" s="19" t="str">
        <f t="shared" si="53"/>
        <v>PF</v>
      </c>
      <c r="Z534" s="4"/>
      <c r="AD534" s="1" t="s">
        <v>23</v>
      </c>
      <c r="AE534" s="1">
        <v>112</v>
      </c>
      <c r="AF534" s="1">
        <v>114</v>
      </c>
      <c r="AG534" s="1">
        <v>117</v>
      </c>
      <c r="AH534" s="1" t="s">
        <v>24</v>
      </c>
      <c r="AK534" s="4">
        <v>48</v>
      </c>
      <c r="AL534" s="4">
        <v>53</v>
      </c>
    </row>
    <row r="535" spans="1:38" x14ac:dyDescent="0.25">
      <c r="A535" s="1" t="str">
        <f t="shared" si="49"/>
        <v>OPRK_human__wt_ECL1</v>
      </c>
      <c r="B535" s="45" t="s">
        <v>227</v>
      </c>
      <c r="C535" s="45" t="s">
        <v>294</v>
      </c>
      <c r="D535" s="4" t="str">
        <f>VLOOKUP(B535,Classification!A:D,2,FALSE)</f>
        <v>A</v>
      </c>
      <c r="E535" s="4" t="str">
        <f>VLOOKUP(B535,Classification!A:D,3,FALSE)</f>
        <v>Peptide</v>
      </c>
      <c r="F535" s="4" t="str">
        <f>VLOOKUP(B535,Classification!A:D,4,FALSE)</f>
        <v>Opioid</v>
      </c>
      <c r="G535" s="2">
        <v>4</v>
      </c>
      <c r="H535" s="45" t="s">
        <v>21</v>
      </c>
      <c r="I535" s="2" t="s">
        <v>22</v>
      </c>
      <c r="J535" s="5" t="str">
        <f>VLOOKUP(B535,Seqs!A:B,2,FALSE)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535" s="4" t="str">
        <f t="shared" si="54"/>
        <v>S</v>
      </c>
      <c r="L535" s="45">
        <f>VLOOKUP(B535,'NonXtal_SegEnds_Prot#'!A:AL,12,FALSE)</f>
        <v>123</v>
      </c>
      <c r="M535" s="45">
        <f>VLOOKUP(B535,'NonXtal_SegEnds_Prot#'!A:AL,13,FALSE)</f>
        <v>124</v>
      </c>
      <c r="N535" s="45">
        <f>VLOOKUP(B535,'NonXtal_SegEnds_Prot#'!A:AL,14,FALSE)</f>
        <v>126</v>
      </c>
      <c r="O535" s="4" t="str">
        <f t="shared" si="50"/>
        <v>F</v>
      </c>
      <c r="P535" s="4"/>
      <c r="Q535" s="47" t="str">
        <f t="shared" si="51"/>
        <v>S</v>
      </c>
      <c r="R535" s="27" t="str">
        <f t="shared" si="52"/>
        <v>W</v>
      </c>
      <c r="S535" s="19" t="str">
        <f t="shared" si="53"/>
        <v>PF</v>
      </c>
      <c r="Z535" s="4"/>
      <c r="AD535" s="1" t="s">
        <v>23</v>
      </c>
      <c r="AE535" s="1">
        <v>122</v>
      </c>
      <c r="AF535" s="1">
        <v>124</v>
      </c>
      <c r="AG535" s="1">
        <v>127</v>
      </c>
      <c r="AH535" s="1" t="s">
        <v>24</v>
      </c>
      <c r="AK535" s="4">
        <v>48</v>
      </c>
      <c r="AL535" s="4">
        <v>53</v>
      </c>
    </row>
    <row r="536" spans="1:38" x14ac:dyDescent="0.25">
      <c r="A536" s="1" t="str">
        <f t="shared" si="49"/>
        <v>OPRK_human_4DJH_ECL1</v>
      </c>
      <c r="B536" s="45" t="s">
        <v>227</v>
      </c>
      <c r="C536" s="45" t="s">
        <v>280</v>
      </c>
      <c r="D536" s="4" t="str">
        <f>VLOOKUP(B536,Classification!A:D,2,FALSE)</f>
        <v>A</v>
      </c>
      <c r="E536" s="4" t="str">
        <f>VLOOKUP(B536,Classification!A:D,3,FALSE)</f>
        <v>Peptide</v>
      </c>
      <c r="F536" s="4" t="str">
        <f>VLOOKUP(B536,Classification!A:D,4,FALSE)</f>
        <v>Opioid</v>
      </c>
      <c r="G536" s="2">
        <v>4</v>
      </c>
      <c r="H536" s="45" t="s">
        <v>21</v>
      </c>
      <c r="I536" s="2" t="s">
        <v>22</v>
      </c>
      <c r="J536" s="5" t="str">
        <f>VLOOKUP(B536,Seqs!A:B,2,FALSE)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536" s="4" t="str">
        <f t="shared" si="54"/>
        <v>S</v>
      </c>
      <c r="L536" s="45">
        <f>VLOOKUP(B536,'NonXtal_SegEnds_Prot#'!A:AL,12,FALSE)</f>
        <v>123</v>
      </c>
      <c r="M536" s="45">
        <f>VLOOKUP(B536,'NonXtal_SegEnds_Prot#'!A:AL,13,FALSE)</f>
        <v>124</v>
      </c>
      <c r="N536" s="45">
        <f>VLOOKUP(B536,'NonXtal_SegEnds_Prot#'!A:AL,14,FALSE)</f>
        <v>126</v>
      </c>
      <c r="O536" s="4" t="str">
        <f t="shared" si="50"/>
        <v>F</v>
      </c>
      <c r="P536" s="4"/>
      <c r="Q536" s="47" t="str">
        <f t="shared" si="51"/>
        <v>S</v>
      </c>
      <c r="R536" s="27" t="str">
        <f t="shared" si="52"/>
        <v>W</v>
      </c>
      <c r="S536" s="19" t="str">
        <f t="shared" si="53"/>
        <v>PF</v>
      </c>
      <c r="Z536" s="4"/>
      <c r="AD536" s="1" t="s">
        <v>23</v>
      </c>
      <c r="AE536" s="1">
        <v>122</v>
      </c>
      <c r="AF536" s="1">
        <v>124</v>
      </c>
      <c r="AG536" s="1">
        <v>127</v>
      </c>
      <c r="AH536" s="1" t="s">
        <v>24</v>
      </c>
      <c r="AK536" s="4">
        <v>48</v>
      </c>
      <c r="AL536" s="4">
        <v>53</v>
      </c>
    </row>
    <row r="537" spans="1:38" x14ac:dyDescent="0.25">
      <c r="A537" s="1" t="str">
        <f t="shared" si="49"/>
        <v>OPRM_mouse__wt_ECL1</v>
      </c>
      <c r="B537" s="45" t="s">
        <v>232</v>
      </c>
      <c r="C537" s="45" t="s">
        <v>294</v>
      </c>
      <c r="D537" s="4" t="str">
        <f>VLOOKUP(B537,Classification!A:D,2,FALSE)</f>
        <v>A</v>
      </c>
      <c r="E537" s="4" t="str">
        <f>VLOOKUP(B537,Classification!A:D,3,FALSE)</f>
        <v>Peptide</v>
      </c>
      <c r="F537" s="4" t="str">
        <f>VLOOKUP(B537,Classification!A:D,4,FALSE)</f>
        <v>Opioid</v>
      </c>
      <c r="G537" s="2">
        <v>4</v>
      </c>
      <c r="H537" s="45" t="s">
        <v>21</v>
      </c>
      <c r="I537" s="2" t="s">
        <v>22</v>
      </c>
      <c r="J537" s="5" t="str">
        <f>VLOOKUP(B537,Seqs!A:B,2,FALSE)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537" s="4" t="str">
        <f t="shared" si="54"/>
        <v>T</v>
      </c>
      <c r="L537" s="45">
        <f>VLOOKUP(B537,'NonXtal_SegEnds_Prot#'!A:AL,12,FALSE)</f>
        <v>132</v>
      </c>
      <c r="M537" s="45">
        <f>VLOOKUP(B537,'NonXtal_SegEnds_Prot#'!A:AL,13,FALSE)</f>
        <v>133</v>
      </c>
      <c r="N537" s="45">
        <f>VLOOKUP(B537,'NonXtal_SegEnds_Prot#'!A:AL,14,FALSE)</f>
        <v>135</v>
      </c>
      <c r="O537" s="4" t="str">
        <f t="shared" si="50"/>
        <v>F</v>
      </c>
      <c r="P537" s="4"/>
      <c r="Q537" s="47" t="str">
        <f t="shared" si="51"/>
        <v>T</v>
      </c>
      <c r="R537" s="27" t="str">
        <f t="shared" si="52"/>
        <v>W</v>
      </c>
      <c r="S537" s="19" t="str">
        <f t="shared" si="53"/>
        <v>PF</v>
      </c>
      <c r="Z537" s="4" t="s">
        <v>64</v>
      </c>
      <c r="AD537" s="1" t="s">
        <v>23</v>
      </c>
      <c r="AE537" s="1">
        <v>131</v>
      </c>
      <c r="AF537" s="1">
        <v>133</v>
      </c>
      <c r="AG537" s="1">
        <v>136</v>
      </c>
      <c r="AH537" s="1" t="s">
        <v>24</v>
      </c>
      <c r="AK537" s="4">
        <v>48</v>
      </c>
      <c r="AL537" s="4">
        <v>53</v>
      </c>
    </row>
    <row r="538" spans="1:38" x14ac:dyDescent="0.25">
      <c r="A538" s="1" t="str">
        <f t="shared" si="49"/>
        <v>OPRM_mouse_4DKL_ECL1</v>
      </c>
      <c r="B538" s="45" t="s">
        <v>232</v>
      </c>
      <c r="C538" s="45" t="s">
        <v>256</v>
      </c>
      <c r="D538" s="4" t="str">
        <f>VLOOKUP(B538,Classification!A:D,2,FALSE)</f>
        <v>A</v>
      </c>
      <c r="E538" s="4" t="str">
        <f>VLOOKUP(B538,Classification!A:D,3,FALSE)</f>
        <v>Peptide</v>
      </c>
      <c r="F538" s="4" t="str">
        <f>VLOOKUP(B538,Classification!A:D,4,FALSE)</f>
        <v>Opioid</v>
      </c>
      <c r="G538" s="2">
        <v>4</v>
      </c>
      <c r="H538" s="45" t="s">
        <v>21</v>
      </c>
      <c r="I538" s="2" t="s">
        <v>22</v>
      </c>
      <c r="J538" s="5" t="str">
        <f>VLOOKUP(B538,Seqs!A:B,2,FALSE)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538" s="4" t="str">
        <f t="shared" si="54"/>
        <v>T</v>
      </c>
      <c r="L538" s="45">
        <f>VLOOKUP(B538,'NonXtal_SegEnds_Prot#'!A:AL,12,FALSE)</f>
        <v>132</v>
      </c>
      <c r="M538" s="45">
        <f>VLOOKUP(B538,'NonXtal_SegEnds_Prot#'!A:AL,13,FALSE)</f>
        <v>133</v>
      </c>
      <c r="N538" s="45">
        <f>VLOOKUP(B538,'NonXtal_SegEnds_Prot#'!A:AL,14,FALSE)</f>
        <v>135</v>
      </c>
      <c r="O538" s="4" t="str">
        <f t="shared" si="50"/>
        <v>F</v>
      </c>
      <c r="P538" s="4"/>
      <c r="Q538" s="47" t="str">
        <f t="shared" si="51"/>
        <v>T</v>
      </c>
      <c r="R538" s="27" t="str">
        <f t="shared" si="52"/>
        <v>W</v>
      </c>
      <c r="S538" s="19" t="str">
        <f t="shared" si="53"/>
        <v>PF</v>
      </c>
      <c r="Z538" s="4"/>
      <c r="AD538" s="1" t="s">
        <v>23</v>
      </c>
      <c r="AE538" s="1">
        <v>131</v>
      </c>
      <c r="AF538" s="1">
        <v>133</v>
      </c>
      <c r="AG538" s="1">
        <v>136</v>
      </c>
      <c r="AH538" s="1" t="s">
        <v>24</v>
      </c>
      <c r="AK538" s="4">
        <v>48</v>
      </c>
      <c r="AL538" s="4">
        <v>53</v>
      </c>
    </row>
    <row r="539" spans="1:38" x14ac:dyDescent="0.25">
      <c r="A539" s="1" t="str">
        <f t="shared" si="49"/>
        <v>OPRM_mouse_5C1M_ECL1</v>
      </c>
      <c r="B539" s="45" t="s">
        <v>232</v>
      </c>
      <c r="C539" s="45" t="s">
        <v>276</v>
      </c>
      <c r="D539" s="4" t="str">
        <f>VLOOKUP(B539,Classification!A:D,2,FALSE)</f>
        <v>A</v>
      </c>
      <c r="E539" s="4" t="str">
        <f>VLOOKUP(B539,Classification!A:D,3,FALSE)</f>
        <v>Peptide</v>
      </c>
      <c r="F539" s="4" t="str">
        <f>VLOOKUP(B539,Classification!A:D,4,FALSE)</f>
        <v>Opioid</v>
      </c>
      <c r="G539" s="2">
        <v>4</v>
      </c>
      <c r="H539" s="45" t="s">
        <v>21</v>
      </c>
      <c r="I539" s="2" t="s">
        <v>22</v>
      </c>
      <c r="J539" s="5" t="str">
        <f>VLOOKUP(B539,Seqs!A:B,2,FALSE)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539" s="4" t="str">
        <f t="shared" si="54"/>
        <v>T</v>
      </c>
      <c r="L539" s="45">
        <f>VLOOKUP(B539,'NonXtal_SegEnds_Prot#'!A:AL,12,FALSE)</f>
        <v>132</v>
      </c>
      <c r="M539" s="45">
        <f>VLOOKUP(B539,'NonXtal_SegEnds_Prot#'!A:AL,13,FALSE)</f>
        <v>133</v>
      </c>
      <c r="N539" s="45">
        <f>VLOOKUP(B539,'NonXtal_SegEnds_Prot#'!A:AL,14,FALSE)</f>
        <v>135</v>
      </c>
      <c r="O539" s="4" t="str">
        <f t="shared" si="50"/>
        <v>F</v>
      </c>
      <c r="P539" s="4"/>
      <c r="Q539" s="47" t="str">
        <f t="shared" si="51"/>
        <v>T</v>
      </c>
      <c r="R539" s="27" t="str">
        <f t="shared" si="52"/>
        <v>W</v>
      </c>
      <c r="S539" s="19" t="str">
        <f t="shared" si="53"/>
        <v>PF</v>
      </c>
      <c r="Z539" s="4" t="s">
        <v>64</v>
      </c>
      <c r="AD539" s="1" t="s">
        <v>23</v>
      </c>
      <c r="AE539" s="1">
        <v>131</v>
      </c>
      <c r="AF539" s="1">
        <v>133</v>
      </c>
      <c r="AG539" s="1">
        <v>136</v>
      </c>
      <c r="AH539" s="1" t="s">
        <v>24</v>
      </c>
      <c r="AK539" s="4">
        <v>48</v>
      </c>
      <c r="AL539" s="4">
        <v>53</v>
      </c>
    </row>
    <row r="540" spans="1:38" x14ac:dyDescent="0.25">
      <c r="A540" s="1" t="str">
        <f t="shared" si="49"/>
        <v>OPRX_human__wt_ECL1</v>
      </c>
      <c r="B540" s="45" t="s">
        <v>1373</v>
      </c>
      <c r="C540" s="45" t="s">
        <v>294</v>
      </c>
      <c r="D540" s="4" t="str">
        <f>VLOOKUP(B540,Classification!A:D,2,FALSE)</f>
        <v>A</v>
      </c>
      <c r="E540" s="4" t="str">
        <f>VLOOKUP(B540,Classification!A:D,3,FALSE)</f>
        <v>Peptide</v>
      </c>
      <c r="F540" s="4" t="str">
        <f>VLOOKUP(B540,Classification!A:D,4,FALSE)</f>
        <v>Opioid</v>
      </c>
      <c r="G540" s="2">
        <v>4</v>
      </c>
      <c r="H540" s="45" t="s">
        <v>21</v>
      </c>
      <c r="I540" s="2" t="s">
        <v>22</v>
      </c>
      <c r="J540" s="5" t="str">
        <f>VLOOKUP(B540,Seqs!A:B,2,FALSE)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540" s="4" t="str">
        <f t="shared" si="54"/>
        <v>F</v>
      </c>
      <c r="L540" s="45">
        <f>VLOOKUP(B540,'NonXtal_SegEnds_Prot#'!A:AL,12,FALSE)</f>
        <v>115</v>
      </c>
      <c r="M540" s="45">
        <f>VLOOKUP(B540,'NonXtal_SegEnds_Prot#'!A:AL,13,FALSE)</f>
        <v>116</v>
      </c>
      <c r="N540" s="45">
        <f>VLOOKUP(B540,'NonXtal_SegEnds_Prot#'!A:AL,14,FALSE)</f>
        <v>118</v>
      </c>
      <c r="O540" s="4" t="str">
        <f t="shared" si="50"/>
        <v>F</v>
      </c>
      <c r="P540" s="4"/>
      <c r="Q540" s="47" t="str">
        <f t="shared" si="51"/>
        <v>F</v>
      </c>
      <c r="R540" s="27" t="str">
        <f t="shared" si="52"/>
        <v>W</v>
      </c>
      <c r="S540" s="19" t="str">
        <f t="shared" si="53"/>
        <v>PF</v>
      </c>
      <c r="Z540" s="4"/>
      <c r="AD540" s="1" t="s">
        <v>23</v>
      </c>
      <c r="AE540" s="1">
        <v>114</v>
      </c>
      <c r="AF540" s="1">
        <v>116</v>
      </c>
      <c r="AG540" s="1">
        <v>119</v>
      </c>
      <c r="AH540" s="1" t="s">
        <v>24</v>
      </c>
      <c r="AK540" s="4">
        <v>48</v>
      </c>
      <c r="AL540" s="4">
        <v>53</v>
      </c>
    </row>
    <row r="541" spans="1:38" x14ac:dyDescent="0.25">
      <c r="A541" s="1" t="str">
        <f t="shared" si="49"/>
        <v>OPRX_human_4EA3_ECL1</v>
      </c>
      <c r="B541" s="45" t="s">
        <v>1373</v>
      </c>
      <c r="C541" s="45" t="s">
        <v>258</v>
      </c>
      <c r="D541" s="4" t="str">
        <f>VLOOKUP(B541,Classification!A:D,2,FALSE)</f>
        <v>A</v>
      </c>
      <c r="E541" s="4" t="str">
        <f>VLOOKUP(B541,Classification!A:D,3,FALSE)</f>
        <v>Peptide</v>
      </c>
      <c r="F541" s="4" t="str">
        <f>VLOOKUP(B541,Classification!A:D,4,FALSE)</f>
        <v>Opioid</v>
      </c>
      <c r="G541" s="2">
        <v>4</v>
      </c>
      <c r="H541" s="45" t="s">
        <v>21</v>
      </c>
      <c r="I541" s="2" t="s">
        <v>22</v>
      </c>
      <c r="J541" s="5" t="str">
        <f>VLOOKUP(B541,Seqs!A:B,2,FALSE)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541" s="4" t="str">
        <f t="shared" si="54"/>
        <v>F</v>
      </c>
      <c r="L541" s="45">
        <f>VLOOKUP(B541,'NonXtal_SegEnds_Prot#'!A:AL,12,FALSE)</f>
        <v>115</v>
      </c>
      <c r="M541" s="45">
        <f>VLOOKUP(B541,'NonXtal_SegEnds_Prot#'!A:AL,13,FALSE)</f>
        <v>116</v>
      </c>
      <c r="N541" s="45">
        <f>VLOOKUP(B541,'NonXtal_SegEnds_Prot#'!A:AL,14,FALSE)</f>
        <v>118</v>
      </c>
      <c r="O541" s="4" t="str">
        <f t="shared" si="50"/>
        <v>F</v>
      </c>
      <c r="P541" s="4"/>
      <c r="Q541" s="47" t="str">
        <f t="shared" si="51"/>
        <v>F</v>
      </c>
      <c r="R541" s="27" t="str">
        <f t="shared" si="52"/>
        <v>W</v>
      </c>
      <c r="S541" s="19" t="str">
        <f t="shared" si="53"/>
        <v>PF</v>
      </c>
      <c r="Z541" s="4"/>
      <c r="AD541" s="1" t="s">
        <v>23</v>
      </c>
      <c r="AE541" s="1">
        <v>114</v>
      </c>
      <c r="AF541" s="1">
        <v>116</v>
      </c>
      <c r="AG541" s="1">
        <v>119</v>
      </c>
      <c r="AH541" s="1" t="s">
        <v>24</v>
      </c>
      <c r="AK541" s="4">
        <v>48</v>
      </c>
      <c r="AL541" s="4">
        <v>53</v>
      </c>
    </row>
    <row r="542" spans="1:38" x14ac:dyDescent="0.25">
      <c r="A542" s="1" t="str">
        <f t="shared" si="49"/>
        <v>OPSD_bovin_1U19_ECL1</v>
      </c>
      <c r="B542" s="45" t="s">
        <v>231</v>
      </c>
      <c r="C542" s="45" t="s">
        <v>244</v>
      </c>
      <c r="D542" s="4" t="str">
        <f>VLOOKUP(B542,Classification!A:D,2,FALSE)</f>
        <v>A</v>
      </c>
      <c r="E542" s="4" t="str">
        <f>VLOOKUP(B542,Classification!A:D,3,FALSE)</f>
        <v>Sensory</v>
      </c>
      <c r="F542" s="4" t="str">
        <f>VLOOKUP(B542,Classification!A:D,4,FALSE)</f>
        <v>Opsins</v>
      </c>
      <c r="G542" s="2">
        <v>4</v>
      </c>
      <c r="H542" s="45" t="s">
        <v>21</v>
      </c>
      <c r="I542" s="2" t="s">
        <v>22</v>
      </c>
      <c r="J542" s="5" t="str">
        <f>VLOOKUP(B542,Seqs!A:B,2,FALSE)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542" s="4" t="str">
        <f t="shared" si="54"/>
        <v>Y</v>
      </c>
      <c r="L542" s="45">
        <f>VLOOKUP(B542,'NonXtal_SegEnds_Prot#'!A:AL,12,FALSE)</f>
        <v>102</v>
      </c>
      <c r="M542" s="45">
        <f>VLOOKUP(B542,'NonXtal_SegEnds_Prot#'!A:AL,13,FALSE)</f>
        <v>103</v>
      </c>
      <c r="N542" s="45">
        <f>VLOOKUP(B542,'NonXtal_SegEnds_Prot#'!A:AL,14,FALSE)</f>
        <v>105</v>
      </c>
      <c r="O542" s="4" t="str">
        <f t="shared" si="50"/>
        <v>F</v>
      </c>
      <c r="P542" s="4"/>
      <c r="Q542" s="47" t="str">
        <f t="shared" si="51"/>
        <v>Y</v>
      </c>
      <c r="R542" s="27" t="str">
        <f t="shared" si="52"/>
        <v>F</v>
      </c>
      <c r="S542" s="19" t="str">
        <f t="shared" si="53"/>
        <v>VF</v>
      </c>
      <c r="Z542" s="4"/>
      <c r="AD542" s="1" t="s">
        <v>23</v>
      </c>
      <c r="AE542" s="1">
        <v>101</v>
      </c>
      <c r="AF542" s="1">
        <v>103</v>
      </c>
      <c r="AG542" s="1">
        <v>106</v>
      </c>
      <c r="AH542" s="1" t="s">
        <v>24</v>
      </c>
      <c r="AK542" s="4">
        <v>48</v>
      </c>
      <c r="AL542" s="4">
        <v>53</v>
      </c>
    </row>
    <row r="543" spans="1:38" x14ac:dyDescent="0.25">
      <c r="A543" s="1" t="str">
        <f t="shared" si="49"/>
        <v>OPSD_bovin_3DQB_ECL1</v>
      </c>
      <c r="B543" s="45" t="s">
        <v>231</v>
      </c>
      <c r="C543" s="45" t="s">
        <v>245</v>
      </c>
      <c r="D543" s="4" t="str">
        <f>VLOOKUP(B543,Classification!A:D,2,FALSE)</f>
        <v>A</v>
      </c>
      <c r="E543" s="4" t="str">
        <f>VLOOKUP(B543,Classification!A:D,3,FALSE)</f>
        <v>Sensory</v>
      </c>
      <c r="F543" s="4" t="str">
        <f>VLOOKUP(B543,Classification!A:D,4,FALSE)</f>
        <v>Opsins</v>
      </c>
      <c r="G543" s="2">
        <v>4</v>
      </c>
      <c r="H543" s="45" t="s">
        <v>21</v>
      </c>
      <c r="I543" s="2" t="s">
        <v>22</v>
      </c>
      <c r="J543" s="5" t="str">
        <f>VLOOKUP(B543,Seqs!A:B,2,FALSE)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543" s="4" t="str">
        <f t="shared" si="54"/>
        <v>Y</v>
      </c>
      <c r="L543" s="45">
        <f>VLOOKUP(B543,'NonXtal_SegEnds_Prot#'!A:AL,12,FALSE)</f>
        <v>102</v>
      </c>
      <c r="M543" s="45">
        <f>VLOOKUP(B543,'NonXtal_SegEnds_Prot#'!A:AL,13,FALSE)</f>
        <v>103</v>
      </c>
      <c r="N543" s="45">
        <f>VLOOKUP(B543,'NonXtal_SegEnds_Prot#'!A:AL,14,FALSE)</f>
        <v>105</v>
      </c>
      <c r="O543" s="4" t="str">
        <f t="shared" si="50"/>
        <v>F</v>
      </c>
      <c r="P543" s="4"/>
      <c r="Q543" s="47" t="str">
        <f t="shared" si="51"/>
        <v>Y</v>
      </c>
      <c r="R543" s="27" t="str">
        <f t="shared" si="52"/>
        <v>F</v>
      </c>
      <c r="S543" s="19" t="str">
        <f t="shared" si="53"/>
        <v>VF</v>
      </c>
      <c r="Z543" s="4"/>
      <c r="AD543" s="1" t="s">
        <v>23</v>
      </c>
      <c r="AE543" s="1">
        <v>101</v>
      </c>
      <c r="AF543" s="1">
        <v>103</v>
      </c>
      <c r="AG543" s="1">
        <v>106</v>
      </c>
      <c r="AH543" s="1" t="s">
        <v>24</v>
      </c>
      <c r="AK543" s="4">
        <v>48</v>
      </c>
      <c r="AL543" s="4">
        <v>53</v>
      </c>
    </row>
    <row r="544" spans="1:38" x14ac:dyDescent="0.25">
      <c r="A544" s="1" t="str">
        <f t="shared" si="49"/>
        <v>OPSD_human__wt_ECL1</v>
      </c>
      <c r="B544" s="45" t="s">
        <v>228</v>
      </c>
      <c r="C544" s="45" t="s">
        <v>294</v>
      </c>
      <c r="D544" s="4" t="str">
        <f>VLOOKUP(B544,Classification!A:D,2,FALSE)</f>
        <v>A</v>
      </c>
      <c r="E544" s="4" t="str">
        <f>VLOOKUP(B544,Classification!A:D,3,FALSE)</f>
        <v>Sensory</v>
      </c>
      <c r="F544" s="4" t="str">
        <f>VLOOKUP(B544,Classification!A:D,4,FALSE)</f>
        <v>Opsins</v>
      </c>
      <c r="G544" s="2">
        <v>4</v>
      </c>
      <c r="H544" s="45" t="s">
        <v>21</v>
      </c>
      <c r="I544" s="2" t="s">
        <v>22</v>
      </c>
      <c r="J544" s="5" t="str">
        <f>VLOOKUP(B544,Seqs!A:B,2,FALSE)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4" s="4" t="str">
        <f t="shared" si="54"/>
        <v>Y</v>
      </c>
      <c r="L544" s="45">
        <f>VLOOKUP(B544,'NonXtal_SegEnds_Prot#'!A:AL,12,FALSE)</f>
        <v>102</v>
      </c>
      <c r="M544" s="45">
        <f>VLOOKUP(B544,'NonXtal_SegEnds_Prot#'!A:AL,13,FALSE)</f>
        <v>103</v>
      </c>
      <c r="N544" s="45">
        <f>VLOOKUP(B544,'NonXtal_SegEnds_Prot#'!A:AL,14,FALSE)</f>
        <v>105</v>
      </c>
      <c r="O544" s="4" t="str">
        <f t="shared" si="50"/>
        <v>F</v>
      </c>
      <c r="P544" s="4"/>
      <c r="Q544" s="47" t="str">
        <f t="shared" si="51"/>
        <v>Y</v>
      </c>
      <c r="R544" s="27" t="str">
        <f t="shared" si="52"/>
        <v>F</v>
      </c>
      <c r="S544" s="19" t="str">
        <f t="shared" si="53"/>
        <v>VF</v>
      </c>
      <c r="Z544" s="4"/>
      <c r="AD544" s="1" t="s">
        <v>23</v>
      </c>
      <c r="AE544" s="1">
        <v>101</v>
      </c>
      <c r="AF544" s="1">
        <v>103</v>
      </c>
      <c r="AG544" s="1">
        <v>106</v>
      </c>
      <c r="AH544" s="1" t="s">
        <v>24</v>
      </c>
      <c r="AK544" s="4">
        <v>48</v>
      </c>
      <c r="AL544" s="4">
        <v>53</v>
      </c>
    </row>
    <row r="545" spans="1:38" x14ac:dyDescent="0.25">
      <c r="A545" s="1" t="str">
        <f t="shared" si="49"/>
        <v>OPSD_human__wt_ECL1</v>
      </c>
      <c r="B545" s="45" t="s">
        <v>228</v>
      </c>
      <c r="C545" s="45" t="s">
        <v>294</v>
      </c>
      <c r="D545" s="4" t="str">
        <f>VLOOKUP(B545,Classification!A:D,2,FALSE)</f>
        <v>A</v>
      </c>
      <c r="E545" s="4" t="str">
        <f>VLOOKUP(B545,Classification!A:D,3,FALSE)</f>
        <v>Sensory</v>
      </c>
      <c r="F545" s="4" t="str">
        <f>VLOOKUP(B545,Classification!A:D,4,FALSE)</f>
        <v>Opsins</v>
      </c>
      <c r="G545" s="2">
        <v>4</v>
      </c>
      <c r="H545" s="45" t="s">
        <v>21</v>
      </c>
      <c r="I545" s="2" t="s">
        <v>22</v>
      </c>
      <c r="J545" s="5" t="str">
        <f>VLOOKUP(B545,Seqs!A:B,2,FALSE)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5" s="4" t="str">
        <f t="shared" si="54"/>
        <v>Y</v>
      </c>
      <c r="L545" s="45">
        <f>VLOOKUP(B545,'NonXtal_SegEnds_Prot#'!A:AL,12,FALSE)</f>
        <v>102</v>
      </c>
      <c r="M545" s="45">
        <f>VLOOKUP(B545,'NonXtal_SegEnds_Prot#'!A:AL,13,FALSE)</f>
        <v>103</v>
      </c>
      <c r="N545" s="45">
        <f>VLOOKUP(B545,'NonXtal_SegEnds_Prot#'!A:AL,14,FALSE)</f>
        <v>105</v>
      </c>
      <c r="O545" s="4" t="str">
        <f t="shared" si="50"/>
        <v>F</v>
      </c>
      <c r="P545" s="4"/>
      <c r="Q545" s="47" t="str">
        <f t="shared" si="51"/>
        <v>Y</v>
      </c>
      <c r="R545" s="27" t="str">
        <f t="shared" si="52"/>
        <v>F</v>
      </c>
      <c r="S545" s="19" t="str">
        <f t="shared" si="53"/>
        <v>VF</v>
      </c>
      <c r="Z545" s="4" t="s">
        <v>64</v>
      </c>
      <c r="AD545" s="1" t="s">
        <v>23</v>
      </c>
      <c r="AE545" s="1">
        <v>101</v>
      </c>
      <c r="AF545" s="1">
        <v>103</v>
      </c>
      <c r="AG545" s="1">
        <v>106</v>
      </c>
      <c r="AH545" s="1" t="s">
        <v>24</v>
      </c>
      <c r="AK545" s="4">
        <v>48</v>
      </c>
      <c r="AL545" s="4">
        <v>53</v>
      </c>
    </row>
    <row r="546" spans="1:38" x14ac:dyDescent="0.25">
      <c r="A546" s="1" t="str">
        <f t="shared" si="49"/>
        <v>OPSD_human_4ZWJ_ECL1</v>
      </c>
      <c r="B546" s="45" t="s">
        <v>228</v>
      </c>
      <c r="C546" s="45" t="s">
        <v>246</v>
      </c>
      <c r="D546" s="4" t="str">
        <f>VLOOKUP(B546,Classification!A:D,2,FALSE)</f>
        <v>A</v>
      </c>
      <c r="E546" s="4" t="str">
        <f>VLOOKUP(B546,Classification!A:D,3,FALSE)</f>
        <v>Sensory</v>
      </c>
      <c r="F546" s="4" t="str">
        <f>VLOOKUP(B546,Classification!A:D,4,FALSE)</f>
        <v>Opsins</v>
      </c>
      <c r="G546" s="2">
        <v>4</v>
      </c>
      <c r="H546" s="45" t="s">
        <v>21</v>
      </c>
      <c r="I546" s="2" t="s">
        <v>22</v>
      </c>
      <c r="J546" s="5" t="str">
        <f>VLOOKUP(B546,Seqs!A:B,2,FALSE)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6" s="4" t="str">
        <f t="shared" si="54"/>
        <v>Y</v>
      </c>
      <c r="L546" s="45">
        <f>VLOOKUP(B546,'NonXtal_SegEnds_Prot#'!A:AL,12,FALSE)</f>
        <v>102</v>
      </c>
      <c r="M546" s="45">
        <f>VLOOKUP(B546,'NonXtal_SegEnds_Prot#'!A:AL,13,FALSE)</f>
        <v>103</v>
      </c>
      <c r="N546" s="45">
        <f>VLOOKUP(B546,'NonXtal_SegEnds_Prot#'!A:AL,14,FALSE)</f>
        <v>105</v>
      </c>
      <c r="O546" s="4" t="str">
        <f t="shared" si="50"/>
        <v>F</v>
      </c>
      <c r="P546" s="4"/>
      <c r="Q546" s="47" t="str">
        <f t="shared" si="51"/>
        <v>Y</v>
      </c>
      <c r="R546" s="27" t="str">
        <f t="shared" si="52"/>
        <v>F</v>
      </c>
      <c r="S546" s="19" t="str">
        <f t="shared" si="53"/>
        <v>VF</v>
      </c>
      <c r="Z546" s="4"/>
      <c r="AD546" s="1" t="s">
        <v>23</v>
      </c>
      <c r="AE546" s="1">
        <v>101</v>
      </c>
      <c r="AF546" s="1">
        <v>103</v>
      </c>
      <c r="AG546" s="1">
        <v>106</v>
      </c>
      <c r="AH546" s="1" t="s">
        <v>24</v>
      </c>
      <c r="AK546" s="4">
        <v>48</v>
      </c>
      <c r="AL546" s="4">
        <v>53</v>
      </c>
    </row>
    <row r="547" spans="1:38" x14ac:dyDescent="0.25">
      <c r="A547" s="1" t="str">
        <f t="shared" si="49"/>
        <v>OPSD_human_4ZWJ_ECL1</v>
      </c>
      <c r="B547" s="45" t="s">
        <v>228</v>
      </c>
      <c r="C547" s="45" t="s">
        <v>246</v>
      </c>
      <c r="D547" s="4" t="str">
        <f>VLOOKUP(B547,Classification!A:D,2,FALSE)</f>
        <v>A</v>
      </c>
      <c r="E547" s="4" t="str">
        <f>VLOOKUP(B547,Classification!A:D,3,FALSE)</f>
        <v>Sensory</v>
      </c>
      <c r="F547" s="4" t="str">
        <f>VLOOKUP(B547,Classification!A:D,4,FALSE)</f>
        <v>Opsins</v>
      </c>
      <c r="G547" s="2">
        <v>4</v>
      </c>
      <c r="H547" s="45" t="s">
        <v>21</v>
      </c>
      <c r="I547" s="2" t="s">
        <v>22</v>
      </c>
      <c r="J547" s="5" t="str">
        <f>VLOOKUP(B547,Seqs!A:B,2,FALSE)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7" s="4" t="str">
        <f t="shared" si="54"/>
        <v>Y</v>
      </c>
      <c r="L547" s="45">
        <f>VLOOKUP(B547,'NonXtal_SegEnds_Prot#'!A:AL,12,FALSE)</f>
        <v>102</v>
      </c>
      <c r="M547" s="45">
        <f>VLOOKUP(B547,'NonXtal_SegEnds_Prot#'!A:AL,13,FALSE)</f>
        <v>103</v>
      </c>
      <c r="N547" s="45">
        <f>VLOOKUP(B547,'NonXtal_SegEnds_Prot#'!A:AL,14,FALSE)</f>
        <v>105</v>
      </c>
      <c r="O547" s="4" t="str">
        <f t="shared" si="50"/>
        <v>F</v>
      </c>
      <c r="P547" s="4"/>
      <c r="Q547" s="47" t="str">
        <f t="shared" si="51"/>
        <v>Y</v>
      </c>
      <c r="R547" s="27" t="str">
        <f t="shared" si="52"/>
        <v>F</v>
      </c>
      <c r="S547" s="19" t="str">
        <f t="shared" si="53"/>
        <v>VF</v>
      </c>
      <c r="Z547" s="4" t="s">
        <v>64</v>
      </c>
      <c r="AD547" s="1" t="s">
        <v>23</v>
      </c>
      <c r="AE547" s="1">
        <v>101</v>
      </c>
      <c r="AF547" s="1">
        <v>103</v>
      </c>
      <c r="AG547" s="1">
        <v>106</v>
      </c>
      <c r="AH547" s="1" t="s">
        <v>24</v>
      </c>
      <c r="AK547" s="4">
        <v>48</v>
      </c>
      <c r="AL547" s="4">
        <v>53</v>
      </c>
    </row>
    <row r="548" spans="1:38" x14ac:dyDescent="0.25">
      <c r="A548" s="1" t="str">
        <f t="shared" si="49"/>
        <v>OPSD_todpa__wt_ECL1</v>
      </c>
      <c r="B548" s="45" t="s">
        <v>291</v>
      </c>
      <c r="C548" s="45" t="s">
        <v>294</v>
      </c>
      <c r="D548" s="4" t="str">
        <f>VLOOKUP(B548,Classification!A:D,2,FALSE)</f>
        <v>A</v>
      </c>
      <c r="E548" s="4" t="str">
        <f>VLOOKUP(B548,Classification!A:D,3,FALSE)</f>
        <v>Sensory</v>
      </c>
      <c r="F548" s="4" t="str">
        <f>VLOOKUP(B548,Classification!A:D,4,FALSE)</f>
        <v>Opsins</v>
      </c>
      <c r="G548" s="2">
        <v>4</v>
      </c>
      <c r="H548" s="45" t="s">
        <v>21</v>
      </c>
      <c r="I548" s="2" t="s">
        <v>22</v>
      </c>
      <c r="J548" s="5" t="str">
        <f>VLOOKUP(B548,Seqs!A:B,2,FALSE)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48" s="4" t="str">
        <f t="shared" si="54"/>
        <v>K</v>
      </c>
      <c r="L548" s="45">
        <f>VLOOKUP(B548,'NonXtal_SegEnds_Prot#'!A:AL,12,FALSE)</f>
        <v>100</v>
      </c>
      <c r="M548" s="45">
        <f>VLOOKUP(B548,'NonXtal_SegEnds_Prot#'!A:AL,13,FALSE)</f>
        <v>101</v>
      </c>
      <c r="N548" s="45">
        <f>VLOOKUP(B548,'NonXtal_SegEnds_Prot#'!A:AL,14,FALSE)</f>
        <v>103</v>
      </c>
      <c r="O548" s="4" t="str">
        <f t="shared" si="50"/>
        <v>F</v>
      </c>
      <c r="P548" s="4"/>
      <c r="Q548" s="47" t="str">
        <f t="shared" si="51"/>
        <v>K</v>
      </c>
      <c r="R548" s="27" t="str">
        <f t="shared" si="52"/>
        <v>W</v>
      </c>
      <c r="S548" s="19" t="str">
        <f t="shared" si="53"/>
        <v>IF</v>
      </c>
      <c r="Z548" s="4"/>
      <c r="AD548" s="1" t="s">
        <v>23</v>
      </c>
      <c r="AE548" s="1">
        <v>99</v>
      </c>
      <c r="AF548" s="1">
        <v>101</v>
      </c>
      <c r="AG548" s="1">
        <v>104</v>
      </c>
      <c r="AH548" s="1" t="s">
        <v>24</v>
      </c>
      <c r="AK548" s="4">
        <v>48</v>
      </c>
      <c r="AL548" s="4">
        <v>53</v>
      </c>
    </row>
    <row r="549" spans="1:38" x14ac:dyDescent="0.25">
      <c r="A549" s="1" t="str">
        <f t="shared" si="49"/>
        <v>OPSD_todpa_2Z73_ECL1</v>
      </c>
      <c r="B549" s="45" t="s">
        <v>291</v>
      </c>
      <c r="C549" s="45" t="s">
        <v>290</v>
      </c>
      <c r="D549" s="4" t="str">
        <f>VLOOKUP(B549,Classification!A:D,2,FALSE)</f>
        <v>A</v>
      </c>
      <c r="E549" s="4" t="str">
        <f>VLOOKUP(B549,Classification!A:D,3,FALSE)</f>
        <v>Sensory</v>
      </c>
      <c r="F549" s="4" t="str">
        <f>VLOOKUP(B549,Classification!A:D,4,FALSE)</f>
        <v>Opsins</v>
      </c>
      <c r="G549" s="2">
        <v>4</v>
      </c>
      <c r="H549" s="45" t="s">
        <v>21</v>
      </c>
      <c r="I549" s="2" t="s">
        <v>22</v>
      </c>
      <c r="J549" s="5" t="str">
        <f>VLOOKUP(B549,Seqs!A:B,2,FALSE)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49" s="4" t="str">
        <f t="shared" si="54"/>
        <v>K</v>
      </c>
      <c r="L549" s="45">
        <f>VLOOKUP(B549,'NonXtal_SegEnds_Prot#'!A:AL,12,FALSE)</f>
        <v>100</v>
      </c>
      <c r="M549" s="45">
        <f>VLOOKUP(B549,'NonXtal_SegEnds_Prot#'!A:AL,13,FALSE)</f>
        <v>101</v>
      </c>
      <c r="N549" s="45">
        <f>VLOOKUP(B549,'NonXtal_SegEnds_Prot#'!A:AL,14,FALSE)</f>
        <v>103</v>
      </c>
      <c r="O549" s="4" t="str">
        <f t="shared" si="50"/>
        <v>F</v>
      </c>
      <c r="P549" s="4"/>
      <c r="Q549" s="47" t="str">
        <f t="shared" si="51"/>
        <v>K</v>
      </c>
      <c r="R549" s="27" t="str">
        <f t="shared" si="52"/>
        <v>W</v>
      </c>
      <c r="S549" s="19" t="str">
        <f t="shared" si="53"/>
        <v>IF</v>
      </c>
      <c r="Z549" s="4"/>
      <c r="AD549" s="1" t="s">
        <v>23</v>
      </c>
      <c r="AE549" s="1">
        <v>99</v>
      </c>
      <c r="AF549" s="1">
        <v>101</v>
      </c>
      <c r="AG549" s="1">
        <v>104</v>
      </c>
      <c r="AH549" s="1" t="s">
        <v>24</v>
      </c>
      <c r="AK549" s="4">
        <v>48</v>
      </c>
      <c r="AL549" s="4">
        <v>53</v>
      </c>
    </row>
    <row r="550" spans="1:38" x14ac:dyDescent="0.25">
      <c r="A550" s="1" t="str">
        <f t="shared" si="49"/>
        <v>OX1R_human__wt_ECL1</v>
      </c>
      <c r="B550" s="45" t="s">
        <v>1374</v>
      </c>
      <c r="C550" s="45" t="s">
        <v>294</v>
      </c>
      <c r="D550" s="4" t="str">
        <f>VLOOKUP(B550,Classification!A:D,2,FALSE)</f>
        <v>A</v>
      </c>
      <c r="E550" s="4" t="str">
        <f>VLOOKUP(B550,Classification!A:D,3,FALSE)</f>
        <v>Peptide</v>
      </c>
      <c r="F550" s="4" t="str">
        <f>VLOOKUP(B550,Classification!A:D,4,FALSE)</f>
        <v>Orexin</v>
      </c>
      <c r="G550" s="2">
        <v>4</v>
      </c>
      <c r="H550" s="45" t="s">
        <v>21</v>
      </c>
      <c r="I550" s="2" t="s">
        <v>22</v>
      </c>
      <c r="J550" s="5" t="str">
        <f>VLOOKUP(B550,Seqs!A:B,2,FALSE)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0" s="4" t="str">
        <f t="shared" si="54"/>
        <v>S</v>
      </c>
      <c r="L550" s="45">
        <f>VLOOKUP(B550,'NonXtal_SegEnds_Prot#'!A:AL,12,FALSE)</f>
        <v>111</v>
      </c>
      <c r="M550" s="45">
        <f>VLOOKUP(B550,'NonXtal_SegEnds_Prot#'!A:AL,13,FALSE)</f>
        <v>112</v>
      </c>
      <c r="N550" s="45">
        <f>VLOOKUP(B550,'NonXtal_SegEnds_Prot#'!A:AL,14,FALSE)</f>
        <v>114</v>
      </c>
      <c r="O550" s="4" t="str">
        <f t="shared" si="50"/>
        <v>F</v>
      </c>
      <c r="P550" s="4"/>
      <c r="Q550" s="47" t="str">
        <f t="shared" si="51"/>
        <v>S</v>
      </c>
      <c r="R550" s="27" t="str">
        <f t="shared" si="52"/>
        <v>W</v>
      </c>
      <c r="S550" s="19" t="str">
        <f t="shared" si="53"/>
        <v>LF</v>
      </c>
      <c r="Z550" s="4" t="s">
        <v>78</v>
      </c>
      <c r="AD550" s="1" t="s">
        <v>23</v>
      </c>
      <c r="AE550" s="1">
        <v>110</v>
      </c>
      <c r="AF550" s="1">
        <v>112</v>
      </c>
      <c r="AG550" s="1">
        <v>115</v>
      </c>
      <c r="AH550" s="1" t="s">
        <v>24</v>
      </c>
      <c r="AK550" s="4">
        <v>48</v>
      </c>
      <c r="AL550" s="4">
        <v>53</v>
      </c>
    </row>
    <row r="551" spans="1:38" x14ac:dyDescent="0.25">
      <c r="A551" s="1" t="str">
        <f t="shared" si="49"/>
        <v>OX1R_human_4ZJ8_ECL1</v>
      </c>
      <c r="B551" s="45" t="s">
        <v>1374</v>
      </c>
      <c r="C551" s="45" t="s">
        <v>282</v>
      </c>
      <c r="D551" s="4" t="str">
        <f>VLOOKUP(B551,Classification!A:D,2,FALSE)</f>
        <v>A</v>
      </c>
      <c r="E551" s="4" t="str">
        <f>VLOOKUP(B551,Classification!A:D,3,FALSE)</f>
        <v>Peptide</v>
      </c>
      <c r="F551" s="4" t="str">
        <f>VLOOKUP(B551,Classification!A:D,4,FALSE)</f>
        <v>Orexin</v>
      </c>
      <c r="G551" s="2">
        <v>4</v>
      </c>
      <c r="H551" s="45" t="s">
        <v>21</v>
      </c>
      <c r="I551" s="2" t="s">
        <v>22</v>
      </c>
      <c r="J551" s="5" t="str">
        <f>VLOOKUP(B551,Seqs!A:B,2,FALSE)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1" s="4" t="str">
        <f t="shared" si="54"/>
        <v>S</v>
      </c>
      <c r="L551" s="45">
        <f>VLOOKUP(B551,'NonXtal_SegEnds_Prot#'!A:AL,12,FALSE)</f>
        <v>111</v>
      </c>
      <c r="M551" s="45">
        <f>VLOOKUP(B551,'NonXtal_SegEnds_Prot#'!A:AL,13,FALSE)</f>
        <v>112</v>
      </c>
      <c r="N551" s="45">
        <f>VLOOKUP(B551,'NonXtal_SegEnds_Prot#'!A:AL,14,FALSE)</f>
        <v>114</v>
      </c>
      <c r="O551" s="4" t="str">
        <f t="shared" si="50"/>
        <v>F</v>
      </c>
      <c r="P551" s="4"/>
      <c r="Q551" s="47" t="str">
        <f t="shared" si="51"/>
        <v>S</v>
      </c>
      <c r="R551" s="27" t="str">
        <f t="shared" si="52"/>
        <v>W</v>
      </c>
      <c r="S551" s="19" t="str">
        <f t="shared" si="53"/>
        <v>LF</v>
      </c>
      <c r="Z551" s="4" t="s">
        <v>78</v>
      </c>
      <c r="AD551" s="1" t="s">
        <v>23</v>
      </c>
      <c r="AE551" s="1">
        <v>110</v>
      </c>
      <c r="AF551" s="1">
        <v>112</v>
      </c>
      <c r="AG551" s="1">
        <v>115</v>
      </c>
      <c r="AH551" s="1" t="s">
        <v>24</v>
      </c>
      <c r="AK551" s="4">
        <v>48</v>
      </c>
      <c r="AL551" s="4">
        <v>53</v>
      </c>
    </row>
    <row r="552" spans="1:38" x14ac:dyDescent="0.25">
      <c r="A552" s="1" t="str">
        <f t="shared" si="49"/>
        <v>OX1R_human_4ZJC_ECL1</v>
      </c>
      <c r="B552" s="45" t="s">
        <v>1374</v>
      </c>
      <c r="C552" s="45" t="s">
        <v>283</v>
      </c>
      <c r="D552" s="4" t="str">
        <f>VLOOKUP(B552,Classification!A:D,2,FALSE)</f>
        <v>A</v>
      </c>
      <c r="E552" s="4" t="str">
        <f>VLOOKUP(B552,Classification!A:D,3,FALSE)</f>
        <v>Peptide</v>
      </c>
      <c r="F552" s="4" t="str">
        <f>VLOOKUP(B552,Classification!A:D,4,FALSE)</f>
        <v>Orexin</v>
      </c>
      <c r="G552" s="2">
        <v>4</v>
      </c>
      <c r="H552" s="45" t="s">
        <v>21</v>
      </c>
      <c r="I552" s="2" t="s">
        <v>22</v>
      </c>
      <c r="J552" s="5" t="str">
        <f>VLOOKUP(B552,Seqs!A:B,2,FALSE)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2" s="4" t="str">
        <f t="shared" si="54"/>
        <v>S</v>
      </c>
      <c r="L552" s="45">
        <f>VLOOKUP(B552,'NonXtal_SegEnds_Prot#'!A:AL,12,FALSE)</f>
        <v>111</v>
      </c>
      <c r="M552" s="45">
        <f>VLOOKUP(B552,'NonXtal_SegEnds_Prot#'!A:AL,13,FALSE)</f>
        <v>112</v>
      </c>
      <c r="N552" s="45">
        <f>VLOOKUP(B552,'NonXtal_SegEnds_Prot#'!A:AL,14,FALSE)</f>
        <v>114</v>
      </c>
      <c r="O552" s="4" t="str">
        <f t="shared" si="50"/>
        <v>F</v>
      </c>
      <c r="P552" s="4"/>
      <c r="Q552" s="47" t="str">
        <f t="shared" si="51"/>
        <v>S</v>
      </c>
      <c r="R552" s="27" t="str">
        <f t="shared" si="52"/>
        <v>W</v>
      </c>
      <c r="S552" s="19" t="str">
        <f t="shared" si="53"/>
        <v>LF</v>
      </c>
      <c r="Z552" s="4"/>
      <c r="AD552" s="1" t="s">
        <v>23</v>
      </c>
      <c r="AE552" s="1">
        <v>110</v>
      </c>
      <c r="AF552" s="1">
        <v>112</v>
      </c>
      <c r="AG552" s="1">
        <v>115</v>
      </c>
      <c r="AH552" s="1" t="s">
        <v>24</v>
      </c>
      <c r="AK552" s="4">
        <v>48</v>
      </c>
      <c r="AL552" s="4">
        <v>53</v>
      </c>
    </row>
    <row r="553" spans="1:38" x14ac:dyDescent="0.25">
      <c r="A553" s="1" t="str">
        <f t="shared" si="49"/>
        <v>OX2R_human__wt_ECL1</v>
      </c>
      <c r="B553" s="45" t="s">
        <v>1375</v>
      </c>
      <c r="C553" s="45" t="s">
        <v>294</v>
      </c>
      <c r="D553" s="4" t="str">
        <f>VLOOKUP(B553,Classification!A:D,2,FALSE)</f>
        <v>A</v>
      </c>
      <c r="E553" s="4" t="str">
        <f>VLOOKUP(B553,Classification!A:D,3,FALSE)</f>
        <v>Peptide</v>
      </c>
      <c r="F553" s="4" t="str">
        <f>VLOOKUP(B553,Classification!A:D,4,FALSE)</f>
        <v>Orexin</v>
      </c>
      <c r="G553" s="2">
        <v>4</v>
      </c>
      <c r="H553" s="45" t="s">
        <v>21</v>
      </c>
      <c r="I553" s="2" t="s">
        <v>22</v>
      </c>
      <c r="J553" s="5" t="str">
        <f>VLOOKUP(B553,Seqs!A:B,2,FALSE)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53" s="4" t="str">
        <f t="shared" si="54"/>
        <v>T</v>
      </c>
      <c r="L553" s="45">
        <f>VLOOKUP(B553,'NonXtal_SegEnds_Prot#'!A:AL,12,FALSE)</f>
        <v>119</v>
      </c>
      <c r="M553" s="45">
        <f>VLOOKUP(B553,'NonXtal_SegEnds_Prot#'!A:AL,13,FALSE)</f>
        <v>120</v>
      </c>
      <c r="N553" s="45">
        <f>VLOOKUP(B553,'NonXtal_SegEnds_Prot#'!A:AL,14,FALSE)</f>
        <v>122</v>
      </c>
      <c r="O553" s="4" t="str">
        <f t="shared" si="50"/>
        <v>F</v>
      </c>
      <c r="P553" s="4"/>
      <c r="Q553" s="47" t="str">
        <f t="shared" si="51"/>
        <v>T</v>
      </c>
      <c r="R553" s="27" t="str">
        <f t="shared" si="52"/>
        <v>W</v>
      </c>
      <c r="S553" s="19" t="str">
        <f t="shared" si="53"/>
        <v>FF</v>
      </c>
      <c r="Z553" s="4"/>
      <c r="AD553" s="1" t="s">
        <v>23</v>
      </c>
      <c r="AE553" s="1">
        <v>118</v>
      </c>
      <c r="AF553" s="1">
        <v>120</v>
      </c>
      <c r="AG553" s="1">
        <v>123</v>
      </c>
      <c r="AH553" s="1" t="s">
        <v>24</v>
      </c>
      <c r="AK553" s="4">
        <v>48</v>
      </c>
      <c r="AL553" s="4">
        <v>53</v>
      </c>
    </row>
    <row r="554" spans="1:38" x14ac:dyDescent="0.25">
      <c r="A554" s="1" t="str">
        <f t="shared" si="49"/>
        <v>OX2R_human_4S0V_ECL1</v>
      </c>
      <c r="B554" s="45" t="s">
        <v>1375</v>
      </c>
      <c r="C554" s="45" t="s">
        <v>284</v>
      </c>
      <c r="D554" s="4" t="str">
        <f>VLOOKUP(B554,Classification!A:D,2,FALSE)</f>
        <v>A</v>
      </c>
      <c r="E554" s="4" t="str">
        <f>VLOOKUP(B554,Classification!A:D,3,FALSE)</f>
        <v>Peptide</v>
      </c>
      <c r="F554" s="4" t="str">
        <f>VLOOKUP(B554,Classification!A:D,4,FALSE)</f>
        <v>Orexin</v>
      </c>
      <c r="G554" s="2">
        <v>4</v>
      </c>
      <c r="H554" s="45" t="s">
        <v>21</v>
      </c>
      <c r="I554" s="2" t="s">
        <v>22</v>
      </c>
      <c r="J554" s="5" t="str">
        <f>VLOOKUP(B554,Seqs!A:B,2,FALSE)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54" s="4" t="str">
        <f t="shared" si="54"/>
        <v>T</v>
      </c>
      <c r="L554" s="45">
        <f>VLOOKUP(B554,'NonXtal_SegEnds_Prot#'!A:AL,12,FALSE)</f>
        <v>119</v>
      </c>
      <c r="M554" s="45">
        <f>VLOOKUP(B554,'NonXtal_SegEnds_Prot#'!A:AL,13,FALSE)</f>
        <v>120</v>
      </c>
      <c r="N554" s="45">
        <f>VLOOKUP(B554,'NonXtal_SegEnds_Prot#'!A:AL,14,FALSE)</f>
        <v>122</v>
      </c>
      <c r="O554" s="4" t="str">
        <f t="shared" si="50"/>
        <v>F</v>
      </c>
      <c r="P554" s="4"/>
      <c r="Q554" s="47" t="str">
        <f t="shared" si="51"/>
        <v>T</v>
      </c>
      <c r="R554" s="27" t="str">
        <f t="shared" si="52"/>
        <v>W</v>
      </c>
      <c r="S554" s="19" t="str">
        <f t="shared" si="53"/>
        <v>FF</v>
      </c>
      <c r="Z554" s="4"/>
      <c r="AD554" s="1" t="s">
        <v>23</v>
      </c>
      <c r="AE554" s="1">
        <v>118</v>
      </c>
      <c r="AF554" s="1">
        <v>120</v>
      </c>
      <c r="AG554" s="1">
        <v>123</v>
      </c>
      <c r="AH554" s="1" t="s">
        <v>24</v>
      </c>
      <c r="AK554" s="4">
        <v>48</v>
      </c>
      <c r="AL554" s="4">
        <v>53</v>
      </c>
    </row>
    <row r="555" spans="1:38" x14ac:dyDescent="0.25">
      <c r="A555" s="1" t="str">
        <f t="shared" si="49"/>
        <v>P2RY1_human__wt_ECL1</v>
      </c>
      <c r="B555" s="45" t="s">
        <v>215</v>
      </c>
      <c r="C555" s="45" t="s">
        <v>294</v>
      </c>
      <c r="D555" s="4" t="str">
        <f>VLOOKUP(B555,Classification!A:D,2,FALSE)</f>
        <v>A</v>
      </c>
      <c r="E555" s="4" t="str">
        <f>VLOOKUP(B555,Classification!A:D,3,FALSE)</f>
        <v>Nucleotide</v>
      </c>
      <c r="F555" s="4" t="str">
        <f>VLOOKUP(B555,Classification!A:D,4,FALSE)</f>
        <v>P2Y</v>
      </c>
      <c r="G555" s="2">
        <v>4</v>
      </c>
      <c r="H555" s="45" t="s">
        <v>21</v>
      </c>
      <c r="I555" s="2" t="s">
        <v>22</v>
      </c>
      <c r="J555" s="5" t="str">
        <f>VLOOKUP(B555,Seqs!A:B,2,FALSE)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555" s="4" t="str">
        <f t="shared" si="54"/>
        <v>D</v>
      </c>
      <c r="L555" s="45">
        <f>VLOOKUP(B555,'NonXtal_SegEnds_Prot#'!A:AL,12,FALSE)</f>
        <v>116</v>
      </c>
      <c r="M555" s="45">
        <f>VLOOKUP(B555,'NonXtal_SegEnds_Prot#'!A:AL,13,FALSE)</f>
        <v>117</v>
      </c>
      <c r="N555" s="45">
        <f>VLOOKUP(B555,'NonXtal_SegEnds_Prot#'!A:AL,14,FALSE)</f>
        <v>119</v>
      </c>
      <c r="O555" s="4" t="str">
        <f t="shared" si="50"/>
        <v>F</v>
      </c>
      <c r="P555" s="4"/>
      <c r="Q555" s="47" t="str">
        <f t="shared" si="51"/>
        <v>D</v>
      </c>
      <c r="R555" s="27" t="str">
        <f t="shared" si="52"/>
        <v>W</v>
      </c>
      <c r="S555" s="19" t="str">
        <f t="shared" si="53"/>
        <v>IF</v>
      </c>
      <c r="Z555" s="4"/>
      <c r="AD555" s="1" t="s">
        <v>23</v>
      </c>
      <c r="AE555" s="1">
        <v>115</v>
      </c>
      <c r="AF555" s="1">
        <v>117</v>
      </c>
      <c r="AG555" s="1">
        <v>120</v>
      </c>
      <c r="AH555" s="1" t="s">
        <v>24</v>
      </c>
      <c r="AK555" s="4">
        <v>48</v>
      </c>
      <c r="AL555" s="4">
        <v>53</v>
      </c>
    </row>
    <row r="556" spans="1:38" x14ac:dyDescent="0.25">
      <c r="A556" s="1" t="str">
        <f t="shared" si="49"/>
        <v>P2RY1_human_4xNV_ECL1</v>
      </c>
      <c r="B556" s="45" t="s">
        <v>215</v>
      </c>
      <c r="C556" s="45" t="s">
        <v>274</v>
      </c>
      <c r="D556" s="4" t="str">
        <f>VLOOKUP(B556,Classification!A:D,2,FALSE)</f>
        <v>A</v>
      </c>
      <c r="E556" s="4" t="str">
        <f>VLOOKUP(B556,Classification!A:D,3,FALSE)</f>
        <v>Nucleotide</v>
      </c>
      <c r="F556" s="4" t="str">
        <f>VLOOKUP(B556,Classification!A:D,4,FALSE)</f>
        <v>P2Y</v>
      </c>
      <c r="G556" s="2">
        <v>4</v>
      </c>
      <c r="H556" s="45" t="s">
        <v>21</v>
      </c>
      <c r="I556" s="2" t="s">
        <v>22</v>
      </c>
      <c r="J556" s="5" t="str">
        <f>VLOOKUP(B556,Seqs!A:B,2,FALSE)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556" s="4" t="str">
        <f t="shared" si="54"/>
        <v>D</v>
      </c>
      <c r="L556" s="45">
        <f>VLOOKUP(B556,'NonXtal_SegEnds_Prot#'!A:AL,12,FALSE)</f>
        <v>116</v>
      </c>
      <c r="M556" s="45">
        <f>VLOOKUP(B556,'NonXtal_SegEnds_Prot#'!A:AL,13,FALSE)</f>
        <v>117</v>
      </c>
      <c r="N556" s="45">
        <f>VLOOKUP(B556,'NonXtal_SegEnds_Prot#'!A:AL,14,FALSE)</f>
        <v>119</v>
      </c>
      <c r="O556" s="4" t="str">
        <f t="shared" si="50"/>
        <v>F</v>
      </c>
      <c r="P556" s="4"/>
      <c r="Q556" s="47" t="str">
        <f t="shared" si="51"/>
        <v>D</v>
      </c>
      <c r="R556" s="27" t="str">
        <f t="shared" si="52"/>
        <v>W</v>
      </c>
      <c r="S556" s="19" t="str">
        <f t="shared" si="53"/>
        <v>IF</v>
      </c>
      <c r="Z556" s="4"/>
      <c r="AD556" s="1" t="s">
        <v>23</v>
      </c>
      <c r="AE556" s="1">
        <v>115</v>
      </c>
      <c r="AF556" s="1">
        <v>117</v>
      </c>
      <c r="AG556" s="1">
        <v>120</v>
      </c>
      <c r="AH556" s="1" t="s">
        <v>24</v>
      </c>
      <c r="AK556" s="4">
        <v>48</v>
      </c>
      <c r="AL556" s="4">
        <v>53</v>
      </c>
    </row>
    <row r="557" spans="1:38" x14ac:dyDescent="0.25">
      <c r="A557" s="1" t="str">
        <f t="shared" si="49"/>
        <v>P2Y12_human__wt_ECL1</v>
      </c>
      <c r="B557" s="45" t="s">
        <v>216</v>
      </c>
      <c r="C557" s="45" t="s">
        <v>294</v>
      </c>
      <c r="D557" s="4" t="str">
        <f>VLOOKUP(B557,Classification!A:D,2,FALSE)</f>
        <v>A</v>
      </c>
      <c r="E557" s="4" t="str">
        <f>VLOOKUP(B557,Classification!A:D,3,FALSE)</f>
        <v>Nucleotide</v>
      </c>
      <c r="F557" s="4" t="str">
        <f>VLOOKUP(B557,Classification!A:D,4,FALSE)</f>
        <v>P2Y</v>
      </c>
      <c r="G557" s="2">
        <v>4</v>
      </c>
      <c r="H557" s="45" t="s">
        <v>21</v>
      </c>
      <c r="I557" s="2" t="s">
        <v>36</v>
      </c>
      <c r="J557" s="5" t="str">
        <f>VLOOKUP(B557,Seqs!A:B,2,FALSE)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557" s="4" t="e">
        <f t="shared" si="54"/>
        <v>#VALUE!</v>
      </c>
      <c r="L557" s="45" t="str">
        <f>VLOOKUP(B557,'NonXtal_SegEnds_Prot#'!A:AL,12,FALSE)</f>
        <v>-</v>
      </c>
      <c r="M557" s="45" t="str">
        <f>VLOOKUP(B557,'NonXtal_SegEnds_Prot#'!A:AL,13,FALSE)</f>
        <v>-</v>
      </c>
      <c r="N557" s="45" t="str">
        <f>VLOOKUP(B557,'NonXtal_SegEnds_Prot#'!A:AL,14,FALSE)</f>
        <v>-</v>
      </c>
      <c r="O557" s="4" t="e">
        <f t="shared" si="50"/>
        <v>#VALUE!</v>
      </c>
      <c r="P557" s="4"/>
      <c r="Q557" s="47" t="e">
        <f t="shared" si="51"/>
        <v>#VALUE!</v>
      </c>
      <c r="R557" s="27" t="e">
        <f t="shared" si="52"/>
        <v>#VALUE!</v>
      </c>
      <c r="S557" s="19" t="e">
        <f t="shared" si="53"/>
        <v>#VALUE!</v>
      </c>
      <c r="Z557" s="4"/>
      <c r="AD557" s="1" t="s">
        <v>129</v>
      </c>
      <c r="AE557" s="1" t="s">
        <v>129</v>
      </c>
      <c r="AF557" s="1" t="s">
        <v>129</v>
      </c>
      <c r="AG557" s="1" t="s">
        <v>129</v>
      </c>
      <c r="AH557" s="1" t="s">
        <v>129</v>
      </c>
      <c r="AK557" s="4" t="s">
        <v>129</v>
      </c>
      <c r="AL557" s="4" t="s">
        <v>129</v>
      </c>
    </row>
    <row r="558" spans="1:38" x14ac:dyDescent="0.25">
      <c r="A558" s="1" t="str">
        <f t="shared" si="49"/>
        <v>P2Y12_human_4PxZ_ECL1</v>
      </c>
      <c r="B558" s="45" t="s">
        <v>216</v>
      </c>
      <c r="C558" s="45" t="s">
        <v>242</v>
      </c>
      <c r="D558" s="4" t="str">
        <f>VLOOKUP(B558,Classification!A:D,2,FALSE)</f>
        <v>A</v>
      </c>
      <c r="E558" s="4" t="str">
        <f>VLOOKUP(B558,Classification!A:D,3,FALSE)</f>
        <v>Nucleotide</v>
      </c>
      <c r="F558" s="4" t="str">
        <f>VLOOKUP(B558,Classification!A:D,4,FALSE)</f>
        <v>P2Y</v>
      </c>
      <c r="G558" s="2">
        <v>4</v>
      </c>
      <c r="H558" s="45" t="s">
        <v>21</v>
      </c>
      <c r="I558" s="2" t="s">
        <v>36</v>
      </c>
      <c r="J558" s="5" t="str">
        <f>VLOOKUP(B558,Seqs!A:B,2,FALSE)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558" s="4" t="e">
        <f t="shared" si="54"/>
        <v>#VALUE!</v>
      </c>
      <c r="L558" s="45" t="str">
        <f>VLOOKUP(B558,'NonXtal_SegEnds_Prot#'!A:AL,12,FALSE)</f>
        <v>-</v>
      </c>
      <c r="M558" s="45" t="str">
        <f>VLOOKUP(B558,'NonXtal_SegEnds_Prot#'!A:AL,13,FALSE)</f>
        <v>-</v>
      </c>
      <c r="N558" s="45" t="str">
        <f>VLOOKUP(B558,'NonXtal_SegEnds_Prot#'!A:AL,14,FALSE)</f>
        <v>-</v>
      </c>
      <c r="O558" s="4" t="e">
        <f t="shared" si="50"/>
        <v>#VALUE!</v>
      </c>
      <c r="P558" s="4"/>
      <c r="Q558" s="47" t="e">
        <f t="shared" si="51"/>
        <v>#VALUE!</v>
      </c>
      <c r="R558" s="27" t="e">
        <f t="shared" si="52"/>
        <v>#VALUE!</v>
      </c>
      <c r="S558" s="19" t="e">
        <f t="shared" si="53"/>
        <v>#VALUE!</v>
      </c>
      <c r="Z558" s="4"/>
      <c r="AD558" s="1" t="s">
        <v>129</v>
      </c>
      <c r="AE558" s="1" t="s">
        <v>129</v>
      </c>
      <c r="AF558" s="1" t="s">
        <v>129</v>
      </c>
      <c r="AG558" s="1" t="s">
        <v>129</v>
      </c>
      <c r="AH558" s="1" t="s">
        <v>129</v>
      </c>
      <c r="AK558" s="4" t="s">
        <v>129</v>
      </c>
      <c r="AL558" s="4" t="s">
        <v>129</v>
      </c>
    </row>
    <row r="559" spans="1:38" x14ac:dyDescent="0.25">
      <c r="A559" s="1" t="str">
        <f t="shared" si="49"/>
        <v>PAR1_human__wt_ECL1</v>
      </c>
      <c r="B559" s="45" t="s">
        <v>229</v>
      </c>
      <c r="C559" s="45" t="s">
        <v>294</v>
      </c>
      <c r="D559" s="4" t="str">
        <f>VLOOKUP(B559,Classification!A:D,2,FALSE)</f>
        <v>A</v>
      </c>
      <c r="E559" s="4" t="str">
        <f>VLOOKUP(B559,Classification!A:D,3,FALSE)</f>
        <v>Peptide</v>
      </c>
      <c r="F559" s="4" t="str">
        <f>VLOOKUP(B559,Classification!A:D,4,FALSE)</f>
        <v>Proteinase-activated</v>
      </c>
      <c r="G559" s="2">
        <v>4</v>
      </c>
      <c r="H559" s="45" t="s">
        <v>21</v>
      </c>
      <c r="I559" s="2" t="s">
        <v>22</v>
      </c>
      <c r="J559" s="5" t="str">
        <f>VLOOKUP(B559,Seqs!A:B,2,FALSE)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559" s="4" t="str">
        <f t="shared" si="54"/>
        <v>D</v>
      </c>
      <c r="L559" s="45">
        <f>VLOOKUP(B559,'NonXtal_SegEnds_Prot#'!A:AL,12,FALSE)</f>
        <v>167</v>
      </c>
      <c r="M559" s="45">
        <f>VLOOKUP(B559,'NonXtal_SegEnds_Prot#'!A:AL,13,FALSE)</f>
        <v>168</v>
      </c>
      <c r="N559" s="45">
        <f>VLOOKUP(B559,'NonXtal_SegEnds_Prot#'!A:AL,14,FALSE)</f>
        <v>170</v>
      </c>
      <c r="O559" s="4" t="str">
        <f t="shared" si="50"/>
        <v>F</v>
      </c>
      <c r="P559" s="4"/>
      <c r="Q559" s="47" t="str">
        <f t="shared" si="51"/>
        <v>D</v>
      </c>
      <c r="R559" s="27" t="str">
        <f t="shared" si="52"/>
        <v>W</v>
      </c>
      <c r="S559" s="19" t="str">
        <f t="shared" si="53"/>
        <v>QF</v>
      </c>
      <c r="Z559" s="4"/>
      <c r="AD559" s="1" t="s">
        <v>23</v>
      </c>
      <c r="AE559" s="1">
        <v>166</v>
      </c>
      <c r="AF559" s="1">
        <v>168</v>
      </c>
      <c r="AG559" s="1">
        <v>171</v>
      </c>
      <c r="AH559" s="1" t="s">
        <v>24</v>
      </c>
      <c r="AK559" s="4">
        <v>48</v>
      </c>
      <c r="AL559" s="4">
        <v>53</v>
      </c>
    </row>
    <row r="560" spans="1:38" x14ac:dyDescent="0.25">
      <c r="A560" s="1" t="str">
        <f t="shared" si="49"/>
        <v>PAR1_human_3VW7_ECL1</v>
      </c>
      <c r="B560" s="45" t="s">
        <v>229</v>
      </c>
      <c r="C560" s="45" t="s">
        <v>285</v>
      </c>
      <c r="D560" s="4" t="str">
        <f>VLOOKUP(B560,Classification!A:D,2,FALSE)</f>
        <v>A</v>
      </c>
      <c r="E560" s="4" t="str">
        <f>VLOOKUP(B560,Classification!A:D,3,FALSE)</f>
        <v>Peptide</v>
      </c>
      <c r="F560" s="4" t="str">
        <f>VLOOKUP(B560,Classification!A:D,4,FALSE)</f>
        <v>Proteinase-activated</v>
      </c>
      <c r="G560" s="2">
        <v>4</v>
      </c>
      <c r="H560" s="45" t="s">
        <v>21</v>
      </c>
      <c r="I560" s="2" t="s">
        <v>22</v>
      </c>
      <c r="J560" s="5" t="str">
        <f>VLOOKUP(B560,Seqs!A:B,2,FALSE)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560" s="4" t="str">
        <f t="shared" si="54"/>
        <v>D</v>
      </c>
      <c r="L560" s="45">
        <f>VLOOKUP(B560,'NonXtal_SegEnds_Prot#'!A:AL,12,FALSE)</f>
        <v>167</v>
      </c>
      <c r="M560" s="45">
        <f>VLOOKUP(B560,'NonXtal_SegEnds_Prot#'!A:AL,13,FALSE)</f>
        <v>168</v>
      </c>
      <c r="N560" s="45">
        <f>VLOOKUP(B560,'NonXtal_SegEnds_Prot#'!A:AL,14,FALSE)</f>
        <v>170</v>
      </c>
      <c r="O560" s="4" t="str">
        <f t="shared" si="50"/>
        <v>F</v>
      </c>
      <c r="P560" s="4"/>
      <c r="Q560" s="47" t="str">
        <f t="shared" si="51"/>
        <v>D</v>
      </c>
      <c r="R560" s="27" t="str">
        <f t="shared" si="52"/>
        <v>W</v>
      </c>
      <c r="S560" s="19" t="str">
        <f t="shared" si="53"/>
        <v>QF</v>
      </c>
      <c r="Z560" s="4"/>
      <c r="AD560" s="1" t="s">
        <v>23</v>
      </c>
      <c r="AE560" s="1">
        <v>166</v>
      </c>
      <c r="AF560" s="1">
        <v>168</v>
      </c>
      <c r="AG560" s="1">
        <v>171</v>
      </c>
      <c r="AH560" s="1" t="s">
        <v>24</v>
      </c>
      <c r="AK560" s="4">
        <v>48</v>
      </c>
      <c r="AL560" s="4">
        <v>53</v>
      </c>
    </row>
    <row r="561" spans="1:38" x14ac:dyDescent="0.25">
      <c r="A561" s="1" t="str">
        <f t="shared" si="49"/>
        <v>smo_human__wt_ECL1</v>
      </c>
      <c r="B561" s="45" t="s">
        <v>207</v>
      </c>
      <c r="C561" s="45" t="s">
        <v>294</v>
      </c>
      <c r="D561" s="4" t="str">
        <f>VLOOKUP(B561,Classification!A:D,2,FALSE)</f>
        <v>F</v>
      </c>
      <c r="E561" s="4" t="str">
        <f>VLOOKUP(B561,Classification!A:D,3,FALSE)</f>
        <v>Protein</v>
      </c>
      <c r="F561" s="4" t="str">
        <f>VLOOKUP(B561,Classification!A:D,4,FALSE)</f>
        <v>Frizzled</v>
      </c>
      <c r="G561" s="2">
        <v>4</v>
      </c>
      <c r="H561" s="45" t="s">
        <v>21</v>
      </c>
      <c r="I561" s="2" t="s">
        <v>201</v>
      </c>
      <c r="J561" s="5" t="str">
        <f>VLOOKUP(B561,Seqs!A:B,2,FALSE)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561" s="4" t="e">
        <f t="shared" si="54"/>
        <v>#VALUE!</v>
      </c>
      <c r="L561" s="45" t="str">
        <f>VLOOKUP(B561,'NonXtal_SegEnds_Prot#'!A:AL,12,FALSE)</f>
        <v>-</v>
      </c>
      <c r="M561" s="45" t="str">
        <f>VLOOKUP(B561,'NonXtal_SegEnds_Prot#'!A:AL,13,FALSE)</f>
        <v>-</v>
      </c>
      <c r="N561" s="45" t="str">
        <f>VLOOKUP(B561,'NonXtal_SegEnds_Prot#'!A:AL,14,FALSE)</f>
        <v>-</v>
      </c>
      <c r="O561" s="4" t="e">
        <f t="shared" si="50"/>
        <v>#VALUE!</v>
      </c>
      <c r="P561" s="4"/>
      <c r="Q561" s="47" t="e">
        <f t="shared" si="51"/>
        <v>#VALUE!</v>
      </c>
      <c r="R561" s="27" t="e">
        <f t="shared" si="52"/>
        <v>#VALUE!</v>
      </c>
      <c r="S561" s="19" t="e">
        <f t="shared" si="53"/>
        <v>#VALUE!</v>
      </c>
      <c r="Z561" s="4"/>
      <c r="AD561" s="1" t="s">
        <v>129</v>
      </c>
      <c r="AE561" s="1" t="s">
        <v>129</v>
      </c>
      <c r="AF561" s="1" t="s">
        <v>129</v>
      </c>
      <c r="AG561" s="1" t="s">
        <v>129</v>
      </c>
      <c r="AH561" s="1" t="s">
        <v>129</v>
      </c>
      <c r="AK561" s="4" t="s">
        <v>129</v>
      </c>
      <c r="AL561" s="4" t="s">
        <v>129</v>
      </c>
    </row>
    <row r="562" spans="1:38" x14ac:dyDescent="0.25">
      <c r="A562" s="1" t="str">
        <f t="shared" si="49"/>
        <v>smo_human_4JKV_ECL1</v>
      </c>
      <c r="B562" s="45" t="s">
        <v>207</v>
      </c>
      <c r="C562" s="45" t="s">
        <v>278</v>
      </c>
      <c r="D562" s="4" t="str">
        <f>VLOOKUP(B562,Classification!A:D,2,FALSE)</f>
        <v>F</v>
      </c>
      <c r="E562" s="4" t="str">
        <f>VLOOKUP(B562,Classification!A:D,3,FALSE)</f>
        <v>Protein</v>
      </c>
      <c r="F562" s="4" t="str">
        <f>VLOOKUP(B562,Classification!A:D,4,FALSE)</f>
        <v>Frizzled</v>
      </c>
      <c r="G562" s="2">
        <v>4</v>
      </c>
      <c r="H562" s="45" t="s">
        <v>21</v>
      </c>
      <c r="I562" s="2" t="s">
        <v>201</v>
      </c>
      <c r="J562" s="5" t="str">
        <f>VLOOKUP(B562,Seqs!A:B,2,FALSE)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562" s="4" t="e">
        <f t="shared" si="54"/>
        <v>#VALUE!</v>
      </c>
      <c r="L562" s="45" t="str">
        <f>VLOOKUP(B562,'NonXtal_SegEnds_Prot#'!A:AL,12,FALSE)</f>
        <v>-</v>
      </c>
      <c r="M562" s="45" t="str">
        <f>VLOOKUP(B562,'NonXtal_SegEnds_Prot#'!A:AL,13,FALSE)</f>
        <v>-</v>
      </c>
      <c r="N562" s="45" t="str">
        <f>VLOOKUP(B562,'NonXtal_SegEnds_Prot#'!A:AL,14,FALSE)</f>
        <v>-</v>
      </c>
      <c r="O562" s="4" t="e">
        <f t="shared" si="50"/>
        <v>#VALUE!</v>
      </c>
      <c r="P562" s="4"/>
      <c r="Q562" s="47" t="e">
        <f t="shared" si="51"/>
        <v>#VALUE!</v>
      </c>
      <c r="R562" s="27" t="e">
        <f t="shared" si="52"/>
        <v>#VALUE!</v>
      </c>
      <c r="S562" s="19" t="e">
        <f t="shared" si="53"/>
        <v>#VALUE!</v>
      </c>
      <c r="Z562" s="4"/>
      <c r="AD562" s="1" t="s">
        <v>129</v>
      </c>
      <c r="AE562" s="1" t="s">
        <v>129</v>
      </c>
      <c r="AF562" s="1" t="s">
        <v>129</v>
      </c>
      <c r="AG562" s="1" t="s">
        <v>129</v>
      </c>
      <c r="AH562" s="1" t="s">
        <v>129</v>
      </c>
      <c r="AK562" s="4" t="s">
        <v>129</v>
      </c>
      <c r="AL562" s="4" t="s">
        <v>129</v>
      </c>
    </row>
    <row r="563" spans="1:38" x14ac:dyDescent="0.25">
      <c r="A563" s="1" t="str">
        <f t="shared" si="49"/>
        <v>smo_human_4QIN_ECL1</v>
      </c>
      <c r="B563" s="45" t="s">
        <v>207</v>
      </c>
      <c r="C563" s="45" t="s">
        <v>247</v>
      </c>
      <c r="D563" s="4" t="str">
        <f>VLOOKUP(B563,Classification!A:D,2,FALSE)</f>
        <v>F</v>
      </c>
      <c r="E563" s="4" t="str">
        <f>VLOOKUP(B563,Classification!A:D,3,FALSE)</f>
        <v>Protein</v>
      </c>
      <c r="F563" s="4" t="str">
        <f>VLOOKUP(B563,Classification!A:D,4,FALSE)</f>
        <v>Frizzled</v>
      </c>
      <c r="G563" s="2">
        <v>4</v>
      </c>
      <c r="H563" s="45" t="s">
        <v>21</v>
      </c>
      <c r="I563" s="2" t="s">
        <v>201</v>
      </c>
      <c r="J563" s="5" t="str">
        <f>VLOOKUP(B563,Seqs!A:B,2,FALSE)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563" s="4" t="e">
        <f t="shared" si="54"/>
        <v>#VALUE!</v>
      </c>
      <c r="L563" s="45" t="str">
        <f>VLOOKUP(B563,'NonXtal_SegEnds_Prot#'!A:AL,12,FALSE)</f>
        <v>-</v>
      </c>
      <c r="M563" s="45" t="str">
        <f>VLOOKUP(B563,'NonXtal_SegEnds_Prot#'!A:AL,13,FALSE)</f>
        <v>-</v>
      </c>
      <c r="N563" s="45" t="str">
        <f>VLOOKUP(B563,'NonXtal_SegEnds_Prot#'!A:AL,14,FALSE)</f>
        <v>-</v>
      </c>
      <c r="O563" s="4" t="e">
        <f t="shared" si="50"/>
        <v>#VALUE!</v>
      </c>
      <c r="P563" s="4"/>
      <c r="Q563" s="47" t="e">
        <f t="shared" si="51"/>
        <v>#VALUE!</v>
      </c>
      <c r="R563" s="27" t="e">
        <f t="shared" si="52"/>
        <v>#VALUE!</v>
      </c>
      <c r="S563" s="19" t="e">
        <f t="shared" si="53"/>
        <v>#VALUE!</v>
      </c>
      <c r="Z563" s="4"/>
      <c r="AD563" s="1" t="s">
        <v>129</v>
      </c>
      <c r="AE563" s="1" t="s">
        <v>129</v>
      </c>
      <c r="AF563" s="1" t="s">
        <v>129</v>
      </c>
      <c r="AG563" s="1" t="s">
        <v>129</v>
      </c>
      <c r="AH563" s="1" t="s">
        <v>129</v>
      </c>
      <c r="AK563" s="4" t="s">
        <v>129</v>
      </c>
      <c r="AL563" s="4" t="s">
        <v>129</v>
      </c>
    </row>
    <row r="564" spans="1:38" x14ac:dyDescent="0.25">
      <c r="A564" s="1" t="str">
        <f t="shared" si="49"/>
        <v>US28_hcmva__wt_ECL1</v>
      </c>
      <c r="B564" s="45" t="s">
        <v>230</v>
      </c>
      <c r="C564" s="45" t="s">
        <v>294</v>
      </c>
      <c r="D564" s="4" t="str">
        <f>VLOOKUP(B564,Classification!A:D,2,FALSE)</f>
        <v>A</v>
      </c>
      <c r="E564" s="4" t="str">
        <f>VLOOKUP(B564,Classification!A:D,3,FALSE)</f>
        <v>Peptide</v>
      </c>
      <c r="F564" s="4" t="str">
        <f>VLOOKUP(B564,Classification!A:D,4,FALSE)</f>
        <v>Chemokine</v>
      </c>
      <c r="G564" s="2">
        <v>4</v>
      </c>
      <c r="H564" s="45" t="s">
        <v>21</v>
      </c>
      <c r="I564" s="2" t="s">
        <v>36</v>
      </c>
      <c r="J564" s="5" t="str">
        <f>VLOOKUP(B564,Seqs!A:B,2,FALSE)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564" s="4" t="e">
        <f t="shared" si="54"/>
        <v>#VALUE!</v>
      </c>
      <c r="L564" s="45" t="str">
        <f>VLOOKUP(B564,'NonXtal_SegEnds_Prot#'!A:AL,12,FALSE)</f>
        <v>-</v>
      </c>
      <c r="M564" s="45" t="str">
        <f>VLOOKUP(B564,'NonXtal_SegEnds_Prot#'!A:AL,13,FALSE)</f>
        <v>-</v>
      </c>
      <c r="N564" s="45" t="str">
        <f>VLOOKUP(B564,'NonXtal_SegEnds_Prot#'!A:AL,14,FALSE)</f>
        <v>-</v>
      </c>
      <c r="O564" s="4" t="e">
        <f t="shared" si="50"/>
        <v>#VALUE!</v>
      </c>
      <c r="P564" s="4"/>
      <c r="Q564" s="47" t="e">
        <f t="shared" si="51"/>
        <v>#VALUE!</v>
      </c>
      <c r="R564" s="27" t="e">
        <f t="shared" si="52"/>
        <v>#VALUE!</v>
      </c>
      <c r="S564" s="19" t="e">
        <f t="shared" si="53"/>
        <v>#VALUE!</v>
      </c>
      <c r="Z564" s="4" t="s">
        <v>64</v>
      </c>
      <c r="AD564" s="1" t="s">
        <v>129</v>
      </c>
      <c r="AE564" s="1" t="s">
        <v>129</v>
      </c>
      <c r="AF564" s="1" t="s">
        <v>129</v>
      </c>
      <c r="AG564" s="1" t="s">
        <v>129</v>
      </c>
      <c r="AH564" s="1" t="s">
        <v>129</v>
      </c>
      <c r="AK564" s="4" t="s">
        <v>129</v>
      </c>
      <c r="AL564" s="4" t="s">
        <v>129</v>
      </c>
    </row>
    <row r="565" spans="1:38" x14ac:dyDescent="0.25">
      <c r="A565" s="1" t="str">
        <f t="shared" si="49"/>
        <v>US28_hcmva_4xT1_ECL1</v>
      </c>
      <c r="B565" s="45" t="s">
        <v>230</v>
      </c>
      <c r="C565" s="45" t="s">
        <v>287</v>
      </c>
      <c r="D565" s="4" t="str">
        <f>VLOOKUP(B565,Classification!A:D,2,FALSE)</f>
        <v>A</v>
      </c>
      <c r="E565" s="4" t="str">
        <f>VLOOKUP(B565,Classification!A:D,3,FALSE)</f>
        <v>Peptide</v>
      </c>
      <c r="F565" s="4" t="str">
        <f>VLOOKUP(B565,Classification!A:D,4,FALSE)</f>
        <v>Chemokine</v>
      </c>
      <c r="G565" s="2">
        <v>4</v>
      </c>
      <c r="H565" s="45" t="s">
        <v>21</v>
      </c>
      <c r="I565" s="2" t="s">
        <v>36</v>
      </c>
      <c r="J565" s="5" t="str">
        <f>VLOOKUP(B565,Seqs!A:B,2,FALSE)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565" s="4" t="e">
        <f t="shared" si="54"/>
        <v>#VALUE!</v>
      </c>
      <c r="L565" s="45" t="str">
        <f>VLOOKUP(B565,'NonXtal_SegEnds_Prot#'!A:AL,12,FALSE)</f>
        <v>-</v>
      </c>
      <c r="M565" s="45" t="str">
        <f>VLOOKUP(B565,'NonXtal_SegEnds_Prot#'!A:AL,13,FALSE)</f>
        <v>-</v>
      </c>
      <c r="N565" s="45" t="str">
        <f>VLOOKUP(B565,'NonXtal_SegEnds_Prot#'!A:AL,14,FALSE)</f>
        <v>-</v>
      </c>
      <c r="O565" s="4" t="e">
        <f t="shared" si="50"/>
        <v>#VALUE!</v>
      </c>
      <c r="P565" s="4"/>
      <c r="Q565" s="47" t="e">
        <f t="shared" si="51"/>
        <v>#VALUE!</v>
      </c>
      <c r="R565" s="27" t="e">
        <f t="shared" si="52"/>
        <v>#VALUE!</v>
      </c>
      <c r="S565" s="19" t="e">
        <f t="shared" si="53"/>
        <v>#VALUE!</v>
      </c>
      <c r="Z565" s="4" t="s">
        <v>64</v>
      </c>
      <c r="AD565" s="1" t="s">
        <v>129</v>
      </c>
      <c r="AE565" s="1" t="s">
        <v>129</v>
      </c>
      <c r="AF565" s="1" t="s">
        <v>129</v>
      </c>
      <c r="AG565" s="1" t="s">
        <v>129</v>
      </c>
      <c r="AH565" s="1" t="s">
        <v>129</v>
      </c>
      <c r="AK565" s="4" t="s">
        <v>129</v>
      </c>
      <c r="AL565" s="4" t="s">
        <v>129</v>
      </c>
    </row>
    <row r="566" spans="1:38" x14ac:dyDescent="0.25">
      <c r="A566" s="1" t="str">
        <f t="shared" si="49"/>
        <v>5ht1b_human__wt_TM3</v>
      </c>
      <c r="B566" s="45" t="s">
        <v>208</v>
      </c>
      <c r="C566" s="45" t="s">
        <v>294</v>
      </c>
      <c r="D566" s="4" t="str">
        <f>VLOOKUP(B566,Classification!A:D,2,FALSE)</f>
        <v>A</v>
      </c>
      <c r="E566" s="4" t="str">
        <f>VLOOKUP(B566,Classification!A:D,3,FALSE)</f>
        <v>Aminergic</v>
      </c>
      <c r="F566" s="4" t="str">
        <f>VLOOKUP(B566,Classification!A:D,4,FALSE)</f>
        <v>5-Hydroxytryptamine</v>
      </c>
      <c r="G566" s="2">
        <v>5</v>
      </c>
      <c r="H566" s="45" t="s">
        <v>25</v>
      </c>
      <c r="I566" s="2" t="s">
        <v>1223</v>
      </c>
      <c r="J566" s="5" t="str">
        <f>VLOOKUP(B566,Seqs!A:B,2,FALSE)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566" s="4" t="str">
        <f t="shared" si="54"/>
        <v>G</v>
      </c>
      <c r="L566" s="45">
        <f>VLOOKUP(B566,'NonXtal_SegEnds_Prot#'!A:AL,15,FALSE)</f>
        <v>118</v>
      </c>
      <c r="M566" s="45">
        <f>VLOOKUP(B566,'NonXtal_SegEnds_Prot#'!A:AL,16,FALSE)</f>
        <v>147</v>
      </c>
      <c r="N566" s="45">
        <f>VLOOKUP(B566,'NonXtal_SegEnds_Prot#'!A:AL,17,FALSE)</f>
        <v>153</v>
      </c>
      <c r="O566" s="4" t="str">
        <f t="shared" si="50"/>
        <v>D</v>
      </c>
      <c r="P566" s="4"/>
      <c r="Q566" s="47" t="str">
        <f t="shared" si="51"/>
        <v>GQVVCDFWLSSDITCCTASILHLCVIALD</v>
      </c>
      <c r="R566" s="27" t="str">
        <f t="shared" si="52"/>
        <v>R</v>
      </c>
      <c r="S566" s="19" t="str">
        <f t="shared" si="53"/>
        <v>YWAITD</v>
      </c>
      <c r="Z566" s="4"/>
      <c r="AD566" s="1" t="s">
        <v>26</v>
      </c>
      <c r="AE566" s="1">
        <v>119</v>
      </c>
      <c r="AF566" s="1">
        <v>147</v>
      </c>
      <c r="AG566" s="1">
        <v>153</v>
      </c>
      <c r="AH566" s="1" t="s">
        <v>27</v>
      </c>
      <c r="AK566" s="4">
        <v>22</v>
      </c>
      <c r="AL566" s="4">
        <v>56</v>
      </c>
    </row>
    <row r="567" spans="1:38" x14ac:dyDescent="0.25">
      <c r="A567" s="1" t="str">
        <f t="shared" si="49"/>
        <v>5ht1b_human_4IAQ_TM3</v>
      </c>
      <c r="B567" s="45" t="s">
        <v>208</v>
      </c>
      <c r="C567" s="53" t="s">
        <v>1249</v>
      </c>
      <c r="D567" s="4" t="str">
        <f>VLOOKUP(B567,Classification!A:D,2,FALSE)</f>
        <v>A</v>
      </c>
      <c r="E567" s="4" t="str">
        <f>VLOOKUP(B567,Classification!A:D,3,FALSE)</f>
        <v>Aminergic</v>
      </c>
      <c r="F567" s="4" t="str">
        <f>VLOOKUP(B567,Classification!A:D,4,FALSE)</f>
        <v>5-Hydroxytryptamine</v>
      </c>
      <c r="G567" s="2">
        <v>5</v>
      </c>
      <c r="H567" s="45" t="s">
        <v>25</v>
      </c>
      <c r="I567" s="2" t="s">
        <v>1223</v>
      </c>
      <c r="J567" s="5" t="str">
        <f>VLOOKUP(B567,Seqs!A:B,2,FALSE)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567" s="4" t="str">
        <f t="shared" si="54"/>
        <v>G</v>
      </c>
      <c r="L567" s="45">
        <f>VLOOKUP(B567,'NonXtal_SegEnds_Prot#'!A:AL,15,FALSE)</f>
        <v>118</v>
      </c>
      <c r="M567" s="45">
        <f>VLOOKUP(B567,'NonXtal_SegEnds_Prot#'!A:AL,16,FALSE)</f>
        <v>147</v>
      </c>
      <c r="N567" s="45">
        <f>VLOOKUP(B567,'NonXtal_SegEnds_Prot#'!A:AL,17,FALSE)</f>
        <v>153</v>
      </c>
      <c r="O567" s="4" t="str">
        <f t="shared" si="50"/>
        <v>D</v>
      </c>
      <c r="P567" s="4"/>
      <c r="Q567" s="47" t="str">
        <f t="shared" si="51"/>
        <v>GQVVCDFWLSSDITCCTASILHLCVIALD</v>
      </c>
      <c r="R567" s="27" t="str">
        <f t="shared" si="52"/>
        <v>R</v>
      </c>
      <c r="S567" s="19" t="str">
        <f t="shared" si="53"/>
        <v>YWAITD</v>
      </c>
      <c r="Z567" s="4"/>
      <c r="AD567" s="1" t="s">
        <v>26</v>
      </c>
      <c r="AE567" s="1">
        <v>119</v>
      </c>
      <c r="AF567" s="1">
        <v>147</v>
      </c>
      <c r="AG567" s="1">
        <v>153</v>
      </c>
      <c r="AH567" s="1" t="s">
        <v>27</v>
      </c>
      <c r="AK567" s="4">
        <v>22</v>
      </c>
      <c r="AL567" s="4">
        <v>56</v>
      </c>
    </row>
    <row r="568" spans="1:38" x14ac:dyDescent="0.25">
      <c r="A568" s="1" t="str">
        <f t="shared" si="49"/>
        <v>5ht1b_human_4IAR_TM3</v>
      </c>
      <c r="B568" s="45" t="s">
        <v>208</v>
      </c>
      <c r="C568" s="45" t="s">
        <v>251</v>
      </c>
      <c r="D568" s="4" t="str">
        <f>VLOOKUP(B568,Classification!A:D,2,FALSE)</f>
        <v>A</v>
      </c>
      <c r="E568" s="4" t="str">
        <f>VLOOKUP(B568,Classification!A:D,3,FALSE)</f>
        <v>Aminergic</v>
      </c>
      <c r="F568" s="4" t="str">
        <f>VLOOKUP(B568,Classification!A:D,4,FALSE)</f>
        <v>5-Hydroxytryptamine</v>
      </c>
      <c r="G568" s="2">
        <v>5</v>
      </c>
      <c r="H568" s="45" t="s">
        <v>25</v>
      </c>
      <c r="I568" s="2" t="s">
        <v>1223</v>
      </c>
      <c r="J568" s="5" t="str">
        <f>VLOOKUP(B568,Seqs!A:B,2,FALSE)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568" s="4" t="str">
        <f t="shared" si="54"/>
        <v>G</v>
      </c>
      <c r="L568" s="45">
        <f>VLOOKUP(B568,'NonXtal_SegEnds_Prot#'!A:AL,15,FALSE)</f>
        <v>118</v>
      </c>
      <c r="M568" s="45">
        <f>VLOOKUP(B568,'NonXtal_SegEnds_Prot#'!A:AL,16,FALSE)</f>
        <v>147</v>
      </c>
      <c r="N568" s="45">
        <f>VLOOKUP(B568,'NonXtal_SegEnds_Prot#'!A:AL,17,FALSE)</f>
        <v>153</v>
      </c>
      <c r="O568" s="4" t="str">
        <f t="shared" si="50"/>
        <v>D</v>
      </c>
      <c r="P568" s="4"/>
      <c r="Q568" s="47" t="str">
        <f t="shared" si="51"/>
        <v>GQVVCDFWLSSDITCCTASILHLCVIALD</v>
      </c>
      <c r="R568" s="27" t="str">
        <f t="shared" si="52"/>
        <v>R</v>
      </c>
      <c r="S568" s="19" t="str">
        <f t="shared" si="53"/>
        <v>YWAITD</v>
      </c>
      <c r="Z568" s="4"/>
      <c r="AD568" s="1" t="s">
        <v>26</v>
      </c>
      <c r="AE568" s="1">
        <v>119</v>
      </c>
      <c r="AF568" s="1">
        <v>147</v>
      </c>
      <c r="AG568" s="1">
        <v>153</v>
      </c>
      <c r="AH568" s="1" t="s">
        <v>27</v>
      </c>
      <c r="AK568" s="4">
        <v>22</v>
      </c>
      <c r="AL568" s="4">
        <v>56</v>
      </c>
    </row>
    <row r="569" spans="1:38" x14ac:dyDescent="0.25">
      <c r="A569" s="1" t="str">
        <f t="shared" si="49"/>
        <v>5ht2b_human__wt_TM3</v>
      </c>
      <c r="B569" s="45" t="s">
        <v>209</v>
      </c>
      <c r="C569" s="45" t="s">
        <v>294</v>
      </c>
      <c r="D569" s="4" t="str">
        <f>VLOOKUP(B569,Classification!A:D,2,FALSE)</f>
        <v>A</v>
      </c>
      <c r="E569" s="4" t="str">
        <f>VLOOKUP(B569,Classification!A:D,3,FALSE)</f>
        <v>Aminergic</v>
      </c>
      <c r="F569" s="4" t="str">
        <f>VLOOKUP(B569,Classification!A:D,4,FALSE)</f>
        <v>5-Hydroxytryptamine</v>
      </c>
      <c r="G569" s="2">
        <v>5</v>
      </c>
      <c r="H569" s="45" t="s">
        <v>25</v>
      </c>
      <c r="I569" s="2" t="s">
        <v>1223</v>
      </c>
      <c r="J569" s="5" t="str">
        <f>VLOOKUP(B569,Seqs!A:B,2,FALSE)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569" s="4" t="str">
        <f t="shared" si="54"/>
        <v>P</v>
      </c>
      <c r="L569" s="45">
        <f>VLOOKUP(B569,'NonXtal_SegEnds_Prot#'!A:AL,15,FALSE)</f>
        <v>124</v>
      </c>
      <c r="M569" s="45">
        <f>VLOOKUP(B569,'NonXtal_SegEnds_Prot#'!A:AL,16,FALSE)</f>
        <v>153</v>
      </c>
      <c r="N569" s="45">
        <f>VLOOKUP(B569,'NonXtal_SegEnds_Prot#'!A:AL,17,FALSE)</f>
        <v>159</v>
      </c>
      <c r="O569" s="4" t="str">
        <f t="shared" si="50"/>
        <v>K</v>
      </c>
      <c r="P569" s="4"/>
      <c r="Q569" s="47" t="str">
        <f t="shared" si="51"/>
        <v>PLVLCPAWLFLDVLFSTASIMHLCAISVD</v>
      </c>
      <c r="R569" s="28" t="str">
        <f t="shared" si="52"/>
        <v>R</v>
      </c>
      <c r="S569" s="20" t="str">
        <f t="shared" si="53"/>
        <v>YIAIKK</v>
      </c>
      <c r="Z569" s="4"/>
      <c r="AD569" s="1" t="s">
        <v>57</v>
      </c>
      <c r="AE569" s="1">
        <v>124</v>
      </c>
      <c r="AF569" s="1">
        <v>153</v>
      </c>
      <c r="AG569" s="1">
        <v>159</v>
      </c>
      <c r="AH569" s="1" t="s">
        <v>27</v>
      </c>
      <c r="AK569" s="4">
        <v>23</v>
      </c>
      <c r="AL569" s="4">
        <v>56</v>
      </c>
    </row>
    <row r="570" spans="1:38" x14ac:dyDescent="0.25">
      <c r="A570" s="1" t="str">
        <f t="shared" si="49"/>
        <v>5ht2b_human_4IB4_TM3</v>
      </c>
      <c r="B570" s="45" t="s">
        <v>209</v>
      </c>
      <c r="C570" s="45" t="s">
        <v>261</v>
      </c>
      <c r="D570" s="4" t="str">
        <f>VLOOKUP(B570,Classification!A:D,2,FALSE)</f>
        <v>A</v>
      </c>
      <c r="E570" s="4" t="str">
        <f>VLOOKUP(B570,Classification!A:D,3,FALSE)</f>
        <v>Aminergic</v>
      </c>
      <c r="F570" s="4" t="str">
        <f>VLOOKUP(B570,Classification!A:D,4,FALSE)</f>
        <v>5-Hydroxytryptamine</v>
      </c>
      <c r="G570" s="2">
        <v>5</v>
      </c>
      <c r="H570" s="45" t="s">
        <v>25</v>
      </c>
      <c r="I570" s="2" t="s">
        <v>1223</v>
      </c>
      <c r="J570" s="5" t="str">
        <f>VLOOKUP(B570,Seqs!A:B,2,FALSE)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570" s="4" t="str">
        <f t="shared" si="54"/>
        <v>P</v>
      </c>
      <c r="L570" s="45">
        <f>VLOOKUP(B570,'NonXtal_SegEnds_Prot#'!A:AL,15,FALSE)</f>
        <v>124</v>
      </c>
      <c r="M570" s="45">
        <f>VLOOKUP(B570,'NonXtal_SegEnds_Prot#'!A:AL,16,FALSE)</f>
        <v>153</v>
      </c>
      <c r="N570" s="45">
        <f>VLOOKUP(B570,'NonXtal_SegEnds_Prot#'!A:AL,17,FALSE)</f>
        <v>159</v>
      </c>
      <c r="O570" s="4" t="str">
        <f t="shared" si="50"/>
        <v>K</v>
      </c>
      <c r="P570" s="4"/>
      <c r="Q570" s="47" t="str">
        <f t="shared" si="51"/>
        <v>PLVLCPAWLFLDVLFSTASIMHLCAISVD</v>
      </c>
      <c r="R570" s="28" t="str">
        <f t="shared" si="52"/>
        <v>R</v>
      </c>
      <c r="S570" s="20" t="str">
        <f t="shared" si="53"/>
        <v>YIAIKK</v>
      </c>
      <c r="Z570" s="4"/>
      <c r="AD570" s="1" t="s">
        <v>57</v>
      </c>
      <c r="AE570" s="1">
        <v>124</v>
      </c>
      <c r="AF570" s="1">
        <v>153</v>
      </c>
      <c r="AG570" s="1">
        <v>159</v>
      </c>
      <c r="AH570" s="1" t="s">
        <v>27</v>
      </c>
      <c r="AK570" s="4">
        <v>23</v>
      </c>
      <c r="AL570" s="4">
        <v>56</v>
      </c>
    </row>
    <row r="571" spans="1:38" x14ac:dyDescent="0.25">
      <c r="A571" s="1" t="str">
        <f t="shared" si="49"/>
        <v>AA2AR_human__wt_TM3</v>
      </c>
      <c r="B571" s="45" t="s">
        <v>210</v>
      </c>
      <c r="C571" s="45" t="s">
        <v>294</v>
      </c>
      <c r="D571" s="4" t="str">
        <f>VLOOKUP(B571,Classification!A:D,2,FALSE)</f>
        <v>A</v>
      </c>
      <c r="E571" s="4" t="str">
        <f>VLOOKUP(B571,Classification!A:D,3,FALSE)</f>
        <v>Nucleotide</v>
      </c>
      <c r="F571" s="4" t="str">
        <f>VLOOKUP(B571,Classification!A:D,4,FALSE)</f>
        <v>Adenosine</v>
      </c>
      <c r="G571" s="2">
        <v>5</v>
      </c>
      <c r="H571" s="45" t="s">
        <v>25</v>
      </c>
      <c r="I571" s="2" t="s">
        <v>1223</v>
      </c>
      <c r="J571" s="5" t="str">
        <f>VLOOKUP(B571,Seqs!A:B,2,FALSE)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1" s="4" t="str">
        <f t="shared" si="54"/>
        <v>A</v>
      </c>
      <c r="L571" s="45">
        <f>VLOOKUP(B571,'NonXtal_SegEnds_Prot#'!A:AL,15,FALSE)</f>
        <v>73</v>
      </c>
      <c r="M571" s="45">
        <f>VLOOKUP(B571,'NonXtal_SegEnds_Prot#'!A:AL,16,FALSE)</f>
        <v>102</v>
      </c>
      <c r="N571" s="45">
        <f>VLOOKUP(B571,'NonXtal_SegEnds_Prot#'!A:AL,17,FALSE)</f>
        <v>108</v>
      </c>
      <c r="O571" s="4" t="str">
        <f t="shared" si="50"/>
        <v>I</v>
      </c>
      <c r="P571" s="4"/>
      <c r="Q571" s="47" t="str">
        <f t="shared" si="51"/>
        <v>ACHGCLFIACFVLVLTQSSIFSLLAIAID</v>
      </c>
      <c r="R571" s="27" t="str">
        <f t="shared" si="52"/>
        <v>R</v>
      </c>
      <c r="S571" s="19" t="str">
        <f t="shared" si="53"/>
        <v>YIAIRI</v>
      </c>
      <c r="Z571" s="4" t="s">
        <v>64</v>
      </c>
      <c r="AD571" s="1" t="s">
        <v>26</v>
      </c>
      <c r="AE571" s="1">
        <v>74</v>
      </c>
      <c r="AF571" s="1">
        <v>102</v>
      </c>
      <c r="AG571" s="1">
        <v>108</v>
      </c>
      <c r="AH571" s="1" t="s">
        <v>27</v>
      </c>
      <c r="AK571" s="4">
        <v>22</v>
      </c>
      <c r="AL571" s="4">
        <v>56</v>
      </c>
    </row>
    <row r="572" spans="1:38" x14ac:dyDescent="0.25">
      <c r="A572" s="1" t="str">
        <f t="shared" si="49"/>
        <v>AA2AR_human_2YDV_TM3</v>
      </c>
      <c r="B572" s="45" t="s">
        <v>210</v>
      </c>
      <c r="C572" s="45" t="s">
        <v>271</v>
      </c>
      <c r="D572" s="4" t="str">
        <f>VLOOKUP(B572,Classification!A:D,2,FALSE)</f>
        <v>A</v>
      </c>
      <c r="E572" s="4" t="str">
        <f>VLOOKUP(B572,Classification!A:D,3,FALSE)</f>
        <v>Nucleotide</v>
      </c>
      <c r="F572" s="4" t="str">
        <f>VLOOKUP(B572,Classification!A:D,4,FALSE)</f>
        <v>Adenosine</v>
      </c>
      <c r="G572" s="2">
        <v>5</v>
      </c>
      <c r="H572" s="45" t="s">
        <v>25</v>
      </c>
      <c r="I572" s="2" t="s">
        <v>1223</v>
      </c>
      <c r="J572" s="5" t="str">
        <f>VLOOKUP(B572,Seqs!A:B,2,FALSE)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2" s="4" t="str">
        <f t="shared" si="54"/>
        <v>A</v>
      </c>
      <c r="L572" s="45">
        <f>VLOOKUP(B572,'NonXtal_SegEnds_Prot#'!A:AL,15,FALSE)</f>
        <v>73</v>
      </c>
      <c r="M572" s="45">
        <f>VLOOKUP(B572,'NonXtal_SegEnds_Prot#'!A:AL,16,FALSE)</f>
        <v>102</v>
      </c>
      <c r="N572" s="45">
        <f>VLOOKUP(B572,'NonXtal_SegEnds_Prot#'!A:AL,17,FALSE)</f>
        <v>108</v>
      </c>
      <c r="O572" s="4" t="str">
        <f t="shared" si="50"/>
        <v>I</v>
      </c>
      <c r="P572" s="4"/>
      <c r="Q572" s="47" t="str">
        <f t="shared" si="51"/>
        <v>ACHGCLFIACFVLVLTQSSIFSLLAIAID</v>
      </c>
      <c r="R572" s="27" t="str">
        <f t="shared" si="52"/>
        <v>R</v>
      </c>
      <c r="S572" s="19" t="str">
        <f t="shared" si="53"/>
        <v>YIAIRI</v>
      </c>
      <c r="Z572" s="4" t="s">
        <v>64</v>
      </c>
      <c r="AD572" s="1" t="s">
        <v>26</v>
      </c>
      <c r="AE572" s="1">
        <v>74</v>
      </c>
      <c r="AF572" s="1">
        <v>102</v>
      </c>
      <c r="AG572" s="1">
        <v>108</v>
      </c>
      <c r="AH572" s="1" t="s">
        <v>27</v>
      </c>
      <c r="AK572" s="4">
        <v>22</v>
      </c>
      <c r="AL572" s="4">
        <v>56</v>
      </c>
    </row>
    <row r="573" spans="1:38" x14ac:dyDescent="0.25">
      <c r="A573" s="1" t="str">
        <f t="shared" si="49"/>
        <v>AA2AR_human_3REY_TM3</v>
      </c>
      <c r="B573" s="45" t="s">
        <v>210</v>
      </c>
      <c r="C573" s="45" t="s">
        <v>275</v>
      </c>
      <c r="D573" s="4" t="str">
        <f>VLOOKUP(B573,Classification!A:D,2,FALSE)</f>
        <v>A</v>
      </c>
      <c r="E573" s="4" t="str">
        <f>VLOOKUP(B573,Classification!A:D,3,FALSE)</f>
        <v>Nucleotide</v>
      </c>
      <c r="F573" s="4" t="str">
        <f>VLOOKUP(B573,Classification!A:D,4,FALSE)</f>
        <v>Adenosine</v>
      </c>
      <c r="G573" s="2">
        <v>5</v>
      </c>
      <c r="H573" s="45" t="s">
        <v>25</v>
      </c>
      <c r="I573" s="2" t="s">
        <v>1223</v>
      </c>
      <c r="J573" s="5" t="str">
        <f>VLOOKUP(B573,Seqs!A:B,2,FALSE)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3" s="4" t="str">
        <f t="shared" si="54"/>
        <v>A</v>
      </c>
      <c r="L573" s="45">
        <f>VLOOKUP(B573,'NonXtal_SegEnds_Prot#'!A:AL,15,FALSE)</f>
        <v>73</v>
      </c>
      <c r="M573" s="45">
        <f>VLOOKUP(B573,'NonXtal_SegEnds_Prot#'!A:AL,16,FALSE)</f>
        <v>102</v>
      </c>
      <c r="N573" s="45">
        <f>VLOOKUP(B573,'NonXtal_SegEnds_Prot#'!A:AL,17,FALSE)</f>
        <v>108</v>
      </c>
      <c r="O573" s="4" t="str">
        <f t="shared" si="50"/>
        <v>I</v>
      </c>
      <c r="P573" s="4"/>
      <c r="Q573" s="47" t="str">
        <f t="shared" si="51"/>
        <v>ACHGCLFIACFVLVLTQSSIFSLLAIAID</v>
      </c>
      <c r="R573" s="27" t="str">
        <f t="shared" si="52"/>
        <v>R</v>
      </c>
      <c r="S573" s="19" t="str">
        <f t="shared" si="53"/>
        <v>YIAIRI</v>
      </c>
      <c r="Z573" s="4" t="s">
        <v>78</v>
      </c>
      <c r="AD573" s="1" t="s">
        <v>26</v>
      </c>
      <c r="AE573" s="1">
        <v>74</v>
      </c>
      <c r="AF573" s="1">
        <v>102</v>
      </c>
      <c r="AG573" s="1">
        <v>108</v>
      </c>
      <c r="AH573" s="1" t="s">
        <v>27</v>
      </c>
      <c r="AK573" s="4">
        <v>22</v>
      </c>
      <c r="AL573" s="4">
        <v>56</v>
      </c>
    </row>
    <row r="574" spans="1:38" x14ac:dyDescent="0.25">
      <c r="A574" s="1" t="str">
        <f t="shared" si="49"/>
        <v>AA2AR_human_4EIY_TM3</v>
      </c>
      <c r="B574" s="45" t="s">
        <v>210</v>
      </c>
      <c r="C574" s="45" t="s">
        <v>272</v>
      </c>
      <c r="D574" s="4" t="str">
        <f>VLOOKUP(B574,Classification!A:D,2,FALSE)</f>
        <v>A</v>
      </c>
      <c r="E574" s="4" t="str">
        <f>VLOOKUP(B574,Classification!A:D,3,FALSE)</f>
        <v>Nucleotide</v>
      </c>
      <c r="F574" s="4" t="str">
        <f>VLOOKUP(B574,Classification!A:D,4,FALSE)</f>
        <v>Adenosine</v>
      </c>
      <c r="G574" s="2">
        <v>5</v>
      </c>
      <c r="H574" s="45" t="s">
        <v>25</v>
      </c>
      <c r="I574" s="2" t="s">
        <v>1223</v>
      </c>
      <c r="J574" s="5" t="str">
        <f>VLOOKUP(B574,Seqs!A:B,2,FALSE)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4" s="4" t="str">
        <f t="shared" si="54"/>
        <v>A</v>
      </c>
      <c r="L574" s="45">
        <f>VLOOKUP(B574,'NonXtal_SegEnds_Prot#'!A:AL,15,FALSE)</f>
        <v>73</v>
      </c>
      <c r="M574" s="45">
        <f>VLOOKUP(B574,'NonXtal_SegEnds_Prot#'!A:AL,16,FALSE)</f>
        <v>102</v>
      </c>
      <c r="N574" s="45">
        <f>VLOOKUP(B574,'NonXtal_SegEnds_Prot#'!A:AL,17,FALSE)</f>
        <v>108</v>
      </c>
      <c r="O574" s="4" t="str">
        <f t="shared" si="50"/>
        <v>I</v>
      </c>
      <c r="P574" s="4"/>
      <c r="Q574" s="47" t="str">
        <f t="shared" si="51"/>
        <v>ACHGCLFIACFVLVLTQSSIFSLLAIAID</v>
      </c>
      <c r="R574" s="27" t="str">
        <f t="shared" si="52"/>
        <v>R</v>
      </c>
      <c r="S574" s="19" t="str">
        <f t="shared" si="53"/>
        <v>YIAIRI</v>
      </c>
      <c r="Z574" s="4"/>
      <c r="AD574" s="1" t="s">
        <v>26</v>
      </c>
      <c r="AE574" s="1">
        <v>74</v>
      </c>
      <c r="AF574" s="1">
        <v>102</v>
      </c>
      <c r="AG574" s="1">
        <v>108</v>
      </c>
      <c r="AH574" s="1" t="s">
        <v>27</v>
      </c>
      <c r="AK574" s="4">
        <v>22</v>
      </c>
      <c r="AL574" s="4">
        <v>56</v>
      </c>
    </row>
    <row r="575" spans="1:38" x14ac:dyDescent="0.25">
      <c r="A575" s="1" t="str">
        <f t="shared" si="49"/>
        <v>ACM1_human__wt_TM3</v>
      </c>
      <c r="B575" s="45" t="s">
        <v>218</v>
      </c>
      <c r="C575" s="45" t="s">
        <v>294</v>
      </c>
      <c r="D575" s="4" t="str">
        <f>VLOOKUP(B575,Classification!A:D,2,FALSE)</f>
        <v>A</v>
      </c>
      <c r="E575" s="4" t="str">
        <f>VLOOKUP(B575,Classification!A:D,3,FALSE)</f>
        <v>Aminergic</v>
      </c>
      <c r="F575" s="4" t="str">
        <f>VLOOKUP(B575,Classification!A:D,4,FALSE)</f>
        <v>Acetylcholine(muscarinic)</v>
      </c>
      <c r="G575" s="2">
        <v>5</v>
      </c>
      <c r="H575" s="45" t="s">
        <v>25</v>
      </c>
      <c r="I575" s="2" t="s">
        <v>1223</v>
      </c>
      <c r="J575" s="5" t="str">
        <f>VLOOKUP(B575,Seqs!A:B,2,FALSE)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575" s="4" t="str">
        <f t="shared" si="54"/>
        <v>G</v>
      </c>
      <c r="L575" s="45">
        <f>VLOOKUP(B575,'NonXtal_SegEnds_Prot#'!A:AL,15,FALSE)</f>
        <v>94</v>
      </c>
      <c r="M575" s="45">
        <f>VLOOKUP(B575,'NonXtal_SegEnds_Prot#'!A:AL,16,FALSE)</f>
        <v>123</v>
      </c>
      <c r="N575" s="45">
        <f>VLOOKUP(B575,'NonXtal_SegEnds_Prot#'!A:AL,17,FALSE)</f>
        <v>129</v>
      </c>
      <c r="O575" s="4" t="str">
        <f t="shared" si="50"/>
        <v>R</v>
      </c>
      <c r="P575" s="4"/>
      <c r="Q575" s="47" t="str">
        <f t="shared" si="51"/>
        <v>GTLACDLWLALDYVASNASVMNLLLISFD</v>
      </c>
      <c r="R575" s="27" t="str">
        <f t="shared" si="52"/>
        <v>R</v>
      </c>
      <c r="S575" s="19" t="str">
        <f t="shared" si="53"/>
        <v>YFSVTR</v>
      </c>
      <c r="Z575" s="4" t="s">
        <v>78</v>
      </c>
      <c r="AD575" s="1" t="s">
        <v>26</v>
      </c>
      <c r="AE575" s="1">
        <v>95</v>
      </c>
      <c r="AF575" s="1">
        <v>123</v>
      </c>
      <c r="AG575" s="1">
        <v>129</v>
      </c>
      <c r="AH575" s="1" t="s">
        <v>27</v>
      </c>
      <c r="AK575" s="4">
        <v>22</v>
      </c>
      <c r="AL575" s="4">
        <v>56</v>
      </c>
    </row>
    <row r="576" spans="1:38" x14ac:dyDescent="0.25">
      <c r="A576" s="1" t="str">
        <f t="shared" si="49"/>
        <v>ACM1_human_5CXV_TM3</v>
      </c>
      <c r="B576" s="45" t="s">
        <v>218</v>
      </c>
      <c r="C576" s="45" t="s">
        <v>253</v>
      </c>
      <c r="D576" s="4" t="str">
        <f>VLOOKUP(B576,Classification!A:D,2,FALSE)</f>
        <v>A</v>
      </c>
      <c r="E576" s="4" t="str">
        <f>VLOOKUP(B576,Classification!A:D,3,FALSE)</f>
        <v>Aminergic</v>
      </c>
      <c r="F576" s="4" t="str">
        <f>VLOOKUP(B576,Classification!A:D,4,FALSE)</f>
        <v>Acetylcholine(muscarinic)</v>
      </c>
      <c r="G576" s="2">
        <v>5</v>
      </c>
      <c r="H576" s="45" t="s">
        <v>25</v>
      </c>
      <c r="I576" s="2" t="s">
        <v>1223</v>
      </c>
      <c r="J576" s="5" t="str">
        <f>VLOOKUP(B576,Seqs!A:B,2,FALSE)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576" s="4" t="str">
        <f t="shared" si="54"/>
        <v>G</v>
      </c>
      <c r="L576" s="45">
        <f>VLOOKUP(B576,'NonXtal_SegEnds_Prot#'!A:AL,15,FALSE)</f>
        <v>94</v>
      </c>
      <c r="M576" s="45">
        <f>VLOOKUP(B576,'NonXtal_SegEnds_Prot#'!A:AL,16,FALSE)</f>
        <v>123</v>
      </c>
      <c r="N576" s="45">
        <f>VLOOKUP(B576,'NonXtal_SegEnds_Prot#'!A:AL,17,FALSE)</f>
        <v>129</v>
      </c>
      <c r="O576" s="4" t="str">
        <f t="shared" si="50"/>
        <v>R</v>
      </c>
      <c r="P576" s="4"/>
      <c r="Q576" s="47" t="str">
        <f t="shared" si="51"/>
        <v>GTLACDLWLALDYVASNASVMNLLLISFD</v>
      </c>
      <c r="R576" s="27" t="str">
        <f t="shared" si="52"/>
        <v>R</v>
      </c>
      <c r="S576" s="19" t="str">
        <f t="shared" si="53"/>
        <v>YFSVTR</v>
      </c>
      <c r="Z576" s="4" t="s">
        <v>78</v>
      </c>
      <c r="AD576" s="1" t="s">
        <v>26</v>
      </c>
      <c r="AE576" s="1">
        <v>95</v>
      </c>
      <c r="AF576" s="1">
        <v>123</v>
      </c>
      <c r="AG576" s="1">
        <v>129</v>
      </c>
      <c r="AH576" s="1" t="s">
        <v>27</v>
      </c>
      <c r="AK576" s="4">
        <v>22</v>
      </c>
      <c r="AL576" s="4">
        <v>56</v>
      </c>
    </row>
    <row r="577" spans="1:38" x14ac:dyDescent="0.25">
      <c r="A577" s="1" t="str">
        <f t="shared" si="49"/>
        <v>ACM2_human__wt_TM3</v>
      </c>
      <c r="B577" s="45" t="s">
        <v>219</v>
      </c>
      <c r="C577" s="45" t="s">
        <v>294</v>
      </c>
      <c r="D577" s="4" t="str">
        <f>VLOOKUP(B577,Classification!A:D,2,FALSE)</f>
        <v>A</v>
      </c>
      <c r="E577" s="4" t="str">
        <f>VLOOKUP(B577,Classification!A:D,3,FALSE)</f>
        <v>Aminergic</v>
      </c>
      <c r="F577" s="4" t="str">
        <f>VLOOKUP(B577,Classification!A:D,4,FALSE)</f>
        <v>Acetylcholine(muscarinic)</v>
      </c>
      <c r="G577" s="2">
        <v>5</v>
      </c>
      <c r="H577" s="45" t="s">
        <v>25</v>
      </c>
      <c r="I577" s="2" t="s">
        <v>1223</v>
      </c>
      <c r="J577" s="5" t="str">
        <f>VLOOKUP(B577,Seqs!A:B,2,FALSE)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577" s="4" t="str">
        <f t="shared" si="54"/>
        <v>G</v>
      </c>
      <c r="L577" s="45">
        <f>VLOOKUP(B577,'NonXtal_SegEnds_Prot#'!A:AL,15,FALSE)</f>
        <v>92</v>
      </c>
      <c r="M577" s="45">
        <f>VLOOKUP(B577,'NonXtal_SegEnds_Prot#'!A:AL,16,FALSE)</f>
        <v>121</v>
      </c>
      <c r="N577" s="45">
        <f>VLOOKUP(B577,'NonXtal_SegEnds_Prot#'!A:AL,17,FALSE)</f>
        <v>127</v>
      </c>
      <c r="O577" s="4" t="str">
        <f t="shared" si="50"/>
        <v>K</v>
      </c>
      <c r="P577" s="4"/>
      <c r="Q577" s="47" t="str">
        <f t="shared" si="51"/>
        <v>GPVVCDLWLALDYVVSNASVMNLLIISFD</v>
      </c>
      <c r="R577" s="27" t="str">
        <f t="shared" si="52"/>
        <v>R</v>
      </c>
      <c r="S577" s="19" t="str">
        <f t="shared" si="53"/>
        <v>YFCVTK</v>
      </c>
      <c r="Z577" s="4" t="s">
        <v>78</v>
      </c>
      <c r="AD577" s="1" t="s">
        <v>26</v>
      </c>
      <c r="AE577" s="1">
        <v>93</v>
      </c>
      <c r="AF577" s="1">
        <v>121</v>
      </c>
      <c r="AG577" s="1">
        <v>127</v>
      </c>
      <c r="AH577" s="1" t="s">
        <v>27</v>
      </c>
      <c r="AK577" s="4">
        <v>22</v>
      </c>
      <c r="AL577" s="4">
        <v>56</v>
      </c>
    </row>
    <row r="578" spans="1:38" x14ac:dyDescent="0.25">
      <c r="A578" s="1" t="str">
        <f t="shared" ref="A578:A641" si="55">CONCATENATE(B578,"_",C578,"_",H578)</f>
        <v>ACM2_human_3UON_TM3</v>
      </c>
      <c r="B578" s="45" t="s">
        <v>219</v>
      </c>
      <c r="C578" s="45" t="s">
        <v>270</v>
      </c>
      <c r="D578" s="4" t="str">
        <f>VLOOKUP(B578,Classification!A:D,2,FALSE)</f>
        <v>A</v>
      </c>
      <c r="E578" s="4" t="str">
        <f>VLOOKUP(B578,Classification!A:D,3,FALSE)</f>
        <v>Aminergic</v>
      </c>
      <c r="F578" s="4" t="str">
        <f>VLOOKUP(B578,Classification!A:D,4,FALSE)</f>
        <v>Acetylcholine(muscarinic)</v>
      </c>
      <c r="G578" s="2">
        <v>5</v>
      </c>
      <c r="H578" s="45" t="s">
        <v>25</v>
      </c>
      <c r="I578" s="2" t="s">
        <v>1223</v>
      </c>
      <c r="J578" s="5" t="str">
        <f>VLOOKUP(B578,Seqs!A:B,2,FALSE)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578" s="4" t="str">
        <f t="shared" si="54"/>
        <v>G</v>
      </c>
      <c r="L578" s="45">
        <f>VLOOKUP(B578,'NonXtal_SegEnds_Prot#'!A:AL,15,FALSE)</f>
        <v>92</v>
      </c>
      <c r="M578" s="45">
        <f>VLOOKUP(B578,'NonXtal_SegEnds_Prot#'!A:AL,16,FALSE)</f>
        <v>121</v>
      </c>
      <c r="N578" s="45">
        <f>VLOOKUP(B578,'NonXtal_SegEnds_Prot#'!A:AL,17,FALSE)</f>
        <v>127</v>
      </c>
      <c r="O578" s="4" t="str">
        <f t="shared" ref="O578:O641" si="56">MID(J578,N578,1)</f>
        <v>K</v>
      </c>
      <c r="P578" s="4"/>
      <c r="Q578" s="47" t="str">
        <f t="shared" ref="Q578:Q641" si="57">MID(J578,L578,M578-L578)</f>
        <v>GPVVCDLWLALDYVVSNASVMNLLIISFD</v>
      </c>
      <c r="R578" s="27" t="str">
        <f t="shared" ref="R578:R641" si="58">MID(J578,M578,1)</f>
        <v>R</v>
      </c>
      <c r="S578" s="19" t="str">
        <f t="shared" ref="S578:S641" si="59">MID(J578,M578+1,N578-M578)</f>
        <v>YFCVTK</v>
      </c>
      <c r="Z578" s="4" t="s">
        <v>78</v>
      </c>
      <c r="AD578" s="1" t="s">
        <v>26</v>
      </c>
      <c r="AE578" s="1">
        <v>93</v>
      </c>
      <c r="AF578" s="1">
        <v>121</v>
      </c>
      <c r="AG578" s="1">
        <v>127</v>
      </c>
      <c r="AH578" s="1" t="s">
        <v>27</v>
      </c>
      <c r="AK578" s="4">
        <v>22</v>
      </c>
      <c r="AL578" s="4">
        <v>56</v>
      </c>
    </row>
    <row r="579" spans="1:38" x14ac:dyDescent="0.25">
      <c r="A579" s="1" t="str">
        <f t="shared" si="55"/>
        <v>ACM2_human_4MQS_TM3</v>
      </c>
      <c r="B579" s="45" t="s">
        <v>219</v>
      </c>
      <c r="C579" s="45" t="s">
        <v>259</v>
      </c>
      <c r="D579" s="4" t="str">
        <f>VLOOKUP(B579,Classification!A:D,2,FALSE)</f>
        <v>A</v>
      </c>
      <c r="E579" s="4" t="str">
        <f>VLOOKUP(B579,Classification!A:D,3,FALSE)</f>
        <v>Aminergic</v>
      </c>
      <c r="F579" s="4" t="str">
        <f>VLOOKUP(B579,Classification!A:D,4,FALSE)</f>
        <v>Acetylcholine(muscarinic)</v>
      </c>
      <c r="G579" s="2">
        <v>5</v>
      </c>
      <c r="H579" s="45" t="s">
        <v>25</v>
      </c>
      <c r="I579" s="2" t="s">
        <v>1223</v>
      </c>
      <c r="J579" s="5" t="str">
        <f>VLOOKUP(B579,Seqs!A:B,2,FALSE)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579" s="4" t="str">
        <f t="shared" si="54"/>
        <v>G</v>
      </c>
      <c r="L579" s="45">
        <f>VLOOKUP(B579,'NonXtal_SegEnds_Prot#'!A:AL,15,FALSE)</f>
        <v>92</v>
      </c>
      <c r="M579" s="45">
        <f>VLOOKUP(B579,'NonXtal_SegEnds_Prot#'!A:AL,16,FALSE)</f>
        <v>121</v>
      </c>
      <c r="N579" s="45">
        <f>VLOOKUP(B579,'NonXtal_SegEnds_Prot#'!A:AL,17,FALSE)</f>
        <v>127</v>
      </c>
      <c r="O579" s="4" t="str">
        <f t="shared" si="56"/>
        <v>K</v>
      </c>
      <c r="P579" s="4"/>
      <c r="Q579" s="47" t="str">
        <f t="shared" si="57"/>
        <v>GPVVCDLWLALDYVVSNASVMNLLIISFD</v>
      </c>
      <c r="R579" s="27" t="str">
        <f t="shared" si="58"/>
        <v>R</v>
      </c>
      <c r="S579" s="19" t="str">
        <f t="shared" si="59"/>
        <v>YFCVTK</v>
      </c>
      <c r="Z579" s="4" t="s">
        <v>64</v>
      </c>
      <c r="AD579" s="1" t="s">
        <v>26</v>
      </c>
      <c r="AE579" s="1">
        <v>93</v>
      </c>
      <c r="AF579" s="1">
        <v>121</v>
      </c>
      <c r="AG579" s="1">
        <v>127</v>
      </c>
      <c r="AH579" s="1" t="s">
        <v>27</v>
      </c>
      <c r="AK579" s="4">
        <v>22</v>
      </c>
      <c r="AL579" s="4">
        <v>56</v>
      </c>
    </row>
    <row r="580" spans="1:38" x14ac:dyDescent="0.25">
      <c r="A580" s="1" t="str">
        <f t="shared" si="55"/>
        <v>ACM3_rat__wt_TM3</v>
      </c>
      <c r="B580" s="45" t="s">
        <v>236</v>
      </c>
      <c r="C580" s="45" t="s">
        <v>294</v>
      </c>
      <c r="D580" s="4" t="str">
        <f>VLOOKUP(B580,Classification!A:D,2,FALSE)</f>
        <v>A</v>
      </c>
      <c r="E580" s="4" t="str">
        <f>VLOOKUP(B580,Classification!A:D,3,FALSE)</f>
        <v>Aminergic</v>
      </c>
      <c r="F580" s="4" t="str">
        <f>VLOOKUP(B580,Classification!A:D,4,FALSE)</f>
        <v>Acetylcholine(muscarinic)</v>
      </c>
      <c r="G580" s="2">
        <v>5</v>
      </c>
      <c r="H580" s="45" t="s">
        <v>25</v>
      </c>
      <c r="I580" s="2" t="s">
        <v>1223</v>
      </c>
      <c r="J580" s="5" t="str">
        <f>VLOOKUP(B580,Seqs!A:B,2,FALSE)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580" s="4" t="str">
        <f t="shared" si="54"/>
        <v>G</v>
      </c>
      <c r="L580" s="45">
        <f>VLOOKUP(B580,'NonXtal_SegEnds_Prot#'!A:AL,15,FALSE)</f>
        <v>136</v>
      </c>
      <c r="M580" s="45">
        <f>VLOOKUP(B580,'NonXtal_SegEnds_Prot#'!A:AL,16,FALSE)</f>
        <v>165</v>
      </c>
      <c r="N580" s="45">
        <f>VLOOKUP(B580,'NonXtal_SegEnds_Prot#'!A:AL,17,FALSE)</f>
        <v>171</v>
      </c>
      <c r="O580" s="4" t="str">
        <f t="shared" si="56"/>
        <v>R</v>
      </c>
      <c r="P580" s="4"/>
      <c r="Q580" s="47" t="str">
        <f t="shared" si="57"/>
        <v>GNLACDLWLSIDYVASNASVMNLLVISFD</v>
      </c>
      <c r="R580" s="27" t="str">
        <f t="shared" si="58"/>
        <v>R</v>
      </c>
      <c r="S580" s="19" t="str">
        <f t="shared" si="59"/>
        <v>YFSITR</v>
      </c>
      <c r="Z580" s="4"/>
      <c r="AD580" s="1" t="s">
        <v>26</v>
      </c>
      <c r="AE580" s="1">
        <v>137</v>
      </c>
      <c r="AF580" s="1">
        <v>165</v>
      </c>
      <c r="AG580" s="1">
        <v>171</v>
      </c>
      <c r="AH580" s="1" t="s">
        <v>27</v>
      </c>
      <c r="AK580" s="4">
        <v>22</v>
      </c>
      <c r="AL580" s="4">
        <v>56</v>
      </c>
    </row>
    <row r="581" spans="1:38" x14ac:dyDescent="0.25">
      <c r="A581" s="1" t="str">
        <f t="shared" si="55"/>
        <v>ACM3_rat_4U15_TM3</v>
      </c>
      <c r="B581" s="45" t="s">
        <v>236</v>
      </c>
      <c r="C581" s="45" t="s">
        <v>262</v>
      </c>
      <c r="D581" s="4" t="str">
        <f>VLOOKUP(B581,Classification!A:D,2,FALSE)</f>
        <v>A</v>
      </c>
      <c r="E581" s="4" t="str">
        <f>VLOOKUP(B581,Classification!A:D,3,FALSE)</f>
        <v>Aminergic</v>
      </c>
      <c r="F581" s="4" t="str">
        <f>VLOOKUP(B581,Classification!A:D,4,FALSE)</f>
        <v>Acetylcholine(muscarinic)</v>
      </c>
      <c r="G581" s="2">
        <v>5</v>
      </c>
      <c r="H581" s="45" t="s">
        <v>25</v>
      </c>
      <c r="I581" s="2" t="s">
        <v>1223</v>
      </c>
      <c r="J581" s="5" t="str">
        <f>VLOOKUP(B581,Seqs!A:B,2,FALSE)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581" s="4" t="str">
        <f t="shared" si="54"/>
        <v>G</v>
      </c>
      <c r="L581" s="45">
        <f>VLOOKUP(B581,'NonXtal_SegEnds_Prot#'!A:AL,15,FALSE)</f>
        <v>136</v>
      </c>
      <c r="M581" s="45">
        <f>VLOOKUP(B581,'NonXtal_SegEnds_Prot#'!A:AL,16,FALSE)</f>
        <v>165</v>
      </c>
      <c r="N581" s="45">
        <f>VLOOKUP(B581,'NonXtal_SegEnds_Prot#'!A:AL,17,FALSE)</f>
        <v>171</v>
      </c>
      <c r="O581" s="4" t="str">
        <f t="shared" si="56"/>
        <v>R</v>
      </c>
      <c r="P581" s="4"/>
      <c r="Q581" s="47" t="str">
        <f t="shared" si="57"/>
        <v>GNLACDLWLSIDYVASNASVMNLLVISFD</v>
      </c>
      <c r="R581" s="27" t="str">
        <f t="shared" si="58"/>
        <v>R</v>
      </c>
      <c r="S581" s="19" t="str">
        <f t="shared" si="59"/>
        <v>YFSITR</v>
      </c>
      <c r="Z581" s="4"/>
      <c r="AD581" s="1" t="s">
        <v>26</v>
      </c>
      <c r="AE581" s="1">
        <v>137</v>
      </c>
      <c r="AF581" s="1">
        <v>165</v>
      </c>
      <c r="AG581" s="1">
        <v>171</v>
      </c>
      <c r="AH581" s="1" t="s">
        <v>27</v>
      </c>
      <c r="AK581" s="4">
        <v>22</v>
      </c>
      <c r="AL581" s="4">
        <v>56</v>
      </c>
    </row>
    <row r="582" spans="1:38" x14ac:dyDescent="0.25">
      <c r="A582" s="1" t="str">
        <f t="shared" si="55"/>
        <v>ACM4_human__wt_TM3</v>
      </c>
      <c r="B582" s="45" t="s">
        <v>220</v>
      </c>
      <c r="C582" s="45" t="s">
        <v>294</v>
      </c>
      <c r="D582" s="4" t="str">
        <f>VLOOKUP(B582,Classification!A:D,2,FALSE)</f>
        <v>A</v>
      </c>
      <c r="E582" s="4" t="str">
        <f>VLOOKUP(B582,Classification!A:D,3,FALSE)</f>
        <v>Aminergic</v>
      </c>
      <c r="F582" s="4" t="str">
        <f>VLOOKUP(B582,Classification!A:D,4,FALSE)</f>
        <v>Acetylcholine(muscarinic)</v>
      </c>
      <c r="G582" s="2">
        <v>5</v>
      </c>
      <c r="H582" s="45" t="s">
        <v>25</v>
      </c>
      <c r="I582" s="2" t="s">
        <v>1223</v>
      </c>
      <c r="J582" s="5" t="str">
        <f>VLOOKUP(B582,Seqs!A:B,2,FALSE)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582" s="4" t="str">
        <f t="shared" si="54"/>
        <v>G</v>
      </c>
      <c r="L582" s="45">
        <f>VLOOKUP(B582,'NonXtal_SegEnds_Prot#'!A:AL,15,FALSE)</f>
        <v>101</v>
      </c>
      <c r="M582" s="45">
        <f>VLOOKUP(B582,'NonXtal_SegEnds_Prot#'!A:AL,16,FALSE)</f>
        <v>130</v>
      </c>
      <c r="N582" s="45">
        <f>VLOOKUP(B582,'NonXtal_SegEnds_Prot#'!A:AL,17,FALSE)</f>
        <v>136</v>
      </c>
      <c r="O582" s="4" t="str">
        <f t="shared" si="56"/>
        <v>K</v>
      </c>
      <c r="P582" s="4"/>
      <c r="Q582" s="47" t="str">
        <f t="shared" si="57"/>
        <v>GAVVCDLWLALDYVVSNASVMNLLIISFD</v>
      </c>
      <c r="R582" s="27" t="str">
        <f t="shared" si="58"/>
        <v>R</v>
      </c>
      <c r="S582" s="19" t="str">
        <f t="shared" si="59"/>
        <v>YFCVTK</v>
      </c>
      <c r="Z582" s="4" t="s">
        <v>78</v>
      </c>
      <c r="AD582" s="1" t="s">
        <v>26</v>
      </c>
      <c r="AE582" s="1">
        <v>102</v>
      </c>
      <c r="AF582" s="1">
        <v>130</v>
      </c>
      <c r="AG582" s="1">
        <v>136</v>
      </c>
      <c r="AH582" s="1" t="s">
        <v>27</v>
      </c>
      <c r="AK582" s="4">
        <v>22</v>
      </c>
      <c r="AL582" s="4">
        <v>56</v>
      </c>
    </row>
    <row r="583" spans="1:38" x14ac:dyDescent="0.25">
      <c r="A583" s="1" t="str">
        <f t="shared" si="55"/>
        <v>ACM4_human_5DSG_TM3</v>
      </c>
      <c r="B583" s="45" t="s">
        <v>220</v>
      </c>
      <c r="C583" s="45" t="s">
        <v>252</v>
      </c>
      <c r="D583" s="4" t="str">
        <f>VLOOKUP(B583,Classification!A:D,2,FALSE)</f>
        <v>A</v>
      </c>
      <c r="E583" s="4" t="str">
        <f>VLOOKUP(B583,Classification!A:D,3,FALSE)</f>
        <v>Aminergic</v>
      </c>
      <c r="F583" s="4" t="str">
        <f>VLOOKUP(B583,Classification!A:D,4,FALSE)</f>
        <v>Acetylcholine(muscarinic)</v>
      </c>
      <c r="G583" s="2">
        <v>5</v>
      </c>
      <c r="H583" s="45" t="s">
        <v>25</v>
      </c>
      <c r="I583" s="2" t="s">
        <v>1223</v>
      </c>
      <c r="J583" s="5" t="str">
        <f>VLOOKUP(B583,Seqs!A:B,2,FALSE)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583" s="4" t="str">
        <f t="shared" si="54"/>
        <v>G</v>
      </c>
      <c r="L583" s="45">
        <f>VLOOKUP(B583,'NonXtal_SegEnds_Prot#'!A:AL,15,FALSE)</f>
        <v>101</v>
      </c>
      <c r="M583" s="45">
        <f>VLOOKUP(B583,'NonXtal_SegEnds_Prot#'!A:AL,16,FALSE)</f>
        <v>130</v>
      </c>
      <c r="N583" s="45">
        <f>VLOOKUP(B583,'NonXtal_SegEnds_Prot#'!A:AL,17,FALSE)</f>
        <v>136</v>
      </c>
      <c r="O583" s="4" t="str">
        <f t="shared" si="56"/>
        <v>K</v>
      </c>
      <c r="P583" s="4"/>
      <c r="Q583" s="47" t="str">
        <f t="shared" si="57"/>
        <v>GAVVCDLWLALDYVVSNASVMNLLIISFD</v>
      </c>
      <c r="R583" s="27" t="str">
        <f t="shared" si="58"/>
        <v>R</v>
      </c>
      <c r="S583" s="19" t="str">
        <f t="shared" si="59"/>
        <v>YFCVTK</v>
      </c>
      <c r="Z583" s="4" t="s">
        <v>78</v>
      </c>
      <c r="AD583" s="1" t="s">
        <v>26</v>
      </c>
      <c r="AE583" s="1">
        <v>102</v>
      </c>
      <c r="AF583" s="1">
        <v>130</v>
      </c>
      <c r="AG583" s="1">
        <v>136</v>
      </c>
      <c r="AH583" s="1" t="s">
        <v>27</v>
      </c>
      <c r="AK583" s="4">
        <v>22</v>
      </c>
      <c r="AL583" s="4">
        <v>56</v>
      </c>
    </row>
    <row r="584" spans="1:38" x14ac:dyDescent="0.25">
      <c r="A584" s="1" t="str">
        <f t="shared" si="55"/>
        <v>ADRB1_melga__wt_TM3</v>
      </c>
      <c r="B584" s="45" t="s">
        <v>235</v>
      </c>
      <c r="C584" s="45" t="s">
        <v>294</v>
      </c>
      <c r="D584" s="4" t="str">
        <f>VLOOKUP(B584,Classification!A:D,2,FALSE)</f>
        <v>A</v>
      </c>
      <c r="E584" s="4" t="str">
        <f>VLOOKUP(B584,Classification!A:D,3,FALSE)</f>
        <v>Aminergic</v>
      </c>
      <c r="F584" s="4" t="str">
        <f>VLOOKUP(B584,Classification!A:D,4,FALSE)</f>
        <v>Adrenoceptors</v>
      </c>
      <c r="G584" s="2">
        <v>5</v>
      </c>
      <c r="H584" s="45" t="s">
        <v>25</v>
      </c>
      <c r="I584" s="2" t="s">
        <v>1223</v>
      </c>
      <c r="J584" s="5" t="str">
        <f>VLOOKUP(B584,Seqs!A:B,2,FALSE)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4" s="4" t="str">
        <f t="shared" si="54"/>
        <v>G</v>
      </c>
      <c r="L584" s="45">
        <f>VLOOKUP(B584,'NonXtal_SegEnds_Prot#'!A:AL,15,FALSE)</f>
        <v>110</v>
      </c>
      <c r="M584" s="45">
        <f>VLOOKUP(B584,'NonXtal_SegEnds_Prot#'!A:AL,16,FALSE)</f>
        <v>139</v>
      </c>
      <c r="N584" s="45">
        <f>VLOOKUP(B584,'NonXtal_SegEnds_Prot#'!A:AL,17,FALSE)</f>
        <v>145</v>
      </c>
      <c r="O584" s="4" t="str">
        <f t="shared" si="56"/>
        <v>S</v>
      </c>
      <c r="P584" s="4"/>
      <c r="Q584" s="47" t="str">
        <f t="shared" si="57"/>
        <v>GSFLCECWTSLDVLCVTASIETLCVIAID</v>
      </c>
      <c r="R584" s="27" t="str">
        <f t="shared" si="58"/>
        <v>R</v>
      </c>
      <c r="S584" s="19" t="str">
        <f t="shared" si="59"/>
        <v>YLAITS</v>
      </c>
      <c r="Z584" s="4"/>
      <c r="AD584" s="1" t="s">
        <v>26</v>
      </c>
      <c r="AE584" s="1">
        <v>111</v>
      </c>
      <c r="AF584" s="1">
        <v>139</v>
      </c>
      <c r="AG584" s="1">
        <v>145</v>
      </c>
      <c r="AH584" s="1" t="s">
        <v>27</v>
      </c>
      <c r="AK584" s="4">
        <v>22</v>
      </c>
      <c r="AL584" s="4">
        <v>56</v>
      </c>
    </row>
    <row r="585" spans="1:38" x14ac:dyDescent="0.25">
      <c r="A585" s="1" t="str">
        <f t="shared" si="55"/>
        <v>ADRB1_melga_2Y02_TM3</v>
      </c>
      <c r="B585" s="45" t="s">
        <v>235</v>
      </c>
      <c r="C585" s="45" t="s">
        <v>1230</v>
      </c>
      <c r="D585" s="4" t="str">
        <f>VLOOKUP(B585,Classification!A:D,2,FALSE)</f>
        <v>A</v>
      </c>
      <c r="E585" s="4" t="str">
        <f>VLOOKUP(B585,Classification!A:D,3,FALSE)</f>
        <v>Aminergic</v>
      </c>
      <c r="F585" s="4" t="str">
        <f>VLOOKUP(B585,Classification!A:D,4,FALSE)</f>
        <v>Adrenoceptors</v>
      </c>
      <c r="G585" s="2">
        <v>5</v>
      </c>
      <c r="H585" s="45" t="s">
        <v>25</v>
      </c>
      <c r="I585" s="2" t="s">
        <v>1223</v>
      </c>
      <c r="J585" s="5" t="str">
        <f>VLOOKUP(B585,Seqs!A:B,2,FALSE)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5" s="4" t="str">
        <f t="shared" si="54"/>
        <v>G</v>
      </c>
      <c r="L585" s="45">
        <f>VLOOKUP(B585,'NonXtal_SegEnds_Prot#'!A:AL,15,FALSE)</f>
        <v>110</v>
      </c>
      <c r="M585" s="45">
        <f>VLOOKUP(B585,'NonXtal_SegEnds_Prot#'!A:AL,16,FALSE)</f>
        <v>139</v>
      </c>
      <c r="N585" s="45">
        <f>VLOOKUP(B585,'NonXtal_SegEnds_Prot#'!A:AL,17,FALSE)</f>
        <v>145</v>
      </c>
      <c r="O585" s="4" t="str">
        <f t="shared" si="56"/>
        <v>S</v>
      </c>
      <c r="P585" s="4"/>
      <c r="Q585" s="47" t="str">
        <f t="shared" si="57"/>
        <v>GSFLCECWTSLDVLCVTASIETLCVIAID</v>
      </c>
      <c r="R585" s="27" t="str">
        <f t="shared" si="58"/>
        <v>R</v>
      </c>
      <c r="S585" s="19" t="str">
        <f t="shared" si="59"/>
        <v>YLAITS</v>
      </c>
      <c r="Z585" s="4"/>
      <c r="AD585" s="1" t="s">
        <v>26</v>
      </c>
      <c r="AE585" s="1">
        <v>111</v>
      </c>
      <c r="AF585" s="1">
        <v>139</v>
      </c>
      <c r="AG585" s="1">
        <v>145</v>
      </c>
      <c r="AH585" s="1" t="s">
        <v>27</v>
      </c>
      <c r="AK585" s="4">
        <v>22</v>
      </c>
      <c r="AL585" s="4">
        <v>56</v>
      </c>
    </row>
    <row r="586" spans="1:38" x14ac:dyDescent="0.25">
      <c r="A586" s="1" t="str">
        <f t="shared" si="55"/>
        <v>ADRB1_melga_2YCW_TM3</v>
      </c>
      <c r="B586" s="45" t="s">
        <v>235</v>
      </c>
      <c r="C586" s="45" t="s">
        <v>1233</v>
      </c>
      <c r="D586" s="4" t="str">
        <f>VLOOKUP(B586,Classification!A:D,2,FALSE)</f>
        <v>A</v>
      </c>
      <c r="E586" s="4" t="str">
        <f>VLOOKUP(B586,Classification!A:D,3,FALSE)</f>
        <v>Aminergic</v>
      </c>
      <c r="F586" s="4" t="str">
        <f>VLOOKUP(B586,Classification!A:D,4,FALSE)</f>
        <v>Adrenoceptors</v>
      </c>
      <c r="G586" s="2">
        <v>5</v>
      </c>
      <c r="H586" s="45" t="s">
        <v>25</v>
      </c>
      <c r="I586" s="2" t="s">
        <v>1223</v>
      </c>
      <c r="J586" s="5" t="str">
        <f>VLOOKUP(B586,Seqs!A:B,2,FALSE)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6" s="4" t="str">
        <f t="shared" si="54"/>
        <v>G</v>
      </c>
      <c r="L586" s="45">
        <f>VLOOKUP(B586,'NonXtal_SegEnds_Prot#'!A:AL,15,FALSE)</f>
        <v>110</v>
      </c>
      <c r="M586" s="45">
        <f>VLOOKUP(B586,'NonXtal_SegEnds_Prot#'!A:AL,16,FALSE)</f>
        <v>139</v>
      </c>
      <c r="N586" s="45">
        <f>VLOOKUP(B586,'NonXtal_SegEnds_Prot#'!A:AL,17,FALSE)</f>
        <v>145</v>
      </c>
      <c r="O586" s="4" t="str">
        <f t="shared" si="56"/>
        <v>S</v>
      </c>
      <c r="P586" s="4"/>
      <c r="Q586" s="47" t="str">
        <f t="shared" si="57"/>
        <v>GSFLCECWTSLDVLCVTASIETLCVIAID</v>
      </c>
      <c r="R586" s="27" t="str">
        <f t="shared" si="58"/>
        <v>R</v>
      </c>
      <c r="S586" s="19" t="str">
        <f t="shared" si="59"/>
        <v>YLAITS</v>
      </c>
      <c r="Z586" s="4"/>
      <c r="AD586" s="1" t="s">
        <v>26</v>
      </c>
      <c r="AE586" s="1">
        <v>111</v>
      </c>
      <c r="AF586" s="1">
        <v>139</v>
      </c>
      <c r="AG586" s="1">
        <v>145</v>
      </c>
      <c r="AH586" s="1" t="s">
        <v>27</v>
      </c>
      <c r="AK586" s="4">
        <v>22</v>
      </c>
      <c r="AL586" s="4">
        <v>56</v>
      </c>
    </row>
    <row r="587" spans="1:38" x14ac:dyDescent="0.25">
      <c r="A587" s="1" t="str">
        <f t="shared" si="55"/>
        <v>ADRB1_melga_4BVN_TM3</v>
      </c>
      <c r="B587" s="45" t="s">
        <v>235</v>
      </c>
      <c r="C587" s="45" t="s">
        <v>273</v>
      </c>
      <c r="D587" s="4" t="str">
        <f>VLOOKUP(B587,Classification!A:D,2,FALSE)</f>
        <v>A</v>
      </c>
      <c r="E587" s="4" t="str">
        <f>VLOOKUP(B587,Classification!A:D,3,FALSE)</f>
        <v>Aminergic</v>
      </c>
      <c r="F587" s="4" t="str">
        <f>VLOOKUP(B587,Classification!A:D,4,FALSE)</f>
        <v>Adrenoceptors</v>
      </c>
      <c r="G587" s="2">
        <v>5</v>
      </c>
      <c r="H587" s="45" t="s">
        <v>25</v>
      </c>
      <c r="I587" s="2" t="s">
        <v>1223</v>
      </c>
      <c r="J587" s="5" t="str">
        <f>VLOOKUP(B587,Seqs!A:B,2,FALSE)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7" s="4" t="str">
        <f t="shared" si="54"/>
        <v>G</v>
      </c>
      <c r="L587" s="45">
        <f>VLOOKUP(B587,'NonXtal_SegEnds_Prot#'!A:AL,15,FALSE)</f>
        <v>110</v>
      </c>
      <c r="M587" s="45">
        <f>VLOOKUP(B587,'NonXtal_SegEnds_Prot#'!A:AL,16,FALSE)</f>
        <v>139</v>
      </c>
      <c r="N587" s="45">
        <f>VLOOKUP(B587,'NonXtal_SegEnds_Prot#'!A:AL,17,FALSE)</f>
        <v>145</v>
      </c>
      <c r="O587" s="4" t="str">
        <f t="shared" si="56"/>
        <v>S</v>
      </c>
      <c r="P587" s="4"/>
      <c r="Q587" s="47" t="str">
        <f t="shared" si="57"/>
        <v>GSFLCECWTSLDVLCVTASIETLCVIAID</v>
      </c>
      <c r="R587" s="27" t="str">
        <f t="shared" si="58"/>
        <v>R</v>
      </c>
      <c r="S587" s="19" t="str">
        <f t="shared" si="59"/>
        <v>YLAITS</v>
      </c>
      <c r="Z587" s="4"/>
      <c r="AD587" s="1" t="s">
        <v>26</v>
      </c>
      <c r="AE587" s="1">
        <v>111</v>
      </c>
      <c r="AF587" s="1">
        <v>139</v>
      </c>
      <c r="AG587" s="1">
        <v>145</v>
      </c>
      <c r="AH587" s="1" t="s">
        <v>27</v>
      </c>
      <c r="AK587" s="4">
        <v>22</v>
      </c>
      <c r="AL587" s="4">
        <v>56</v>
      </c>
    </row>
    <row r="588" spans="1:38" x14ac:dyDescent="0.25">
      <c r="A588" s="1" t="str">
        <f t="shared" si="55"/>
        <v>ADRB2_human__wt_TM3</v>
      </c>
      <c r="B588" s="45" t="s">
        <v>211</v>
      </c>
      <c r="C588" s="54" t="s">
        <v>294</v>
      </c>
      <c r="D588" s="4" t="str">
        <f>VLOOKUP(B588,Classification!A:D,2,FALSE)</f>
        <v>A</v>
      </c>
      <c r="E588" s="4" t="str">
        <f>VLOOKUP(B588,Classification!A:D,3,FALSE)</f>
        <v>Aminergic</v>
      </c>
      <c r="F588" s="4" t="str">
        <f>VLOOKUP(B588,Classification!A:D,4,FALSE)</f>
        <v>Adrenoceptors</v>
      </c>
      <c r="G588" s="2">
        <v>5</v>
      </c>
      <c r="H588" s="45" t="s">
        <v>25</v>
      </c>
      <c r="I588" s="2" t="s">
        <v>1223</v>
      </c>
      <c r="J588" s="5" t="str">
        <f>VLOOKUP(B588,Seqs!A:B,2,FALSE)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88" s="4" t="str">
        <f t="shared" si="54"/>
        <v>G</v>
      </c>
      <c r="L588" s="45">
        <f>VLOOKUP(B588,'NonXtal_SegEnds_Prot#'!A:AL,15,FALSE)</f>
        <v>102</v>
      </c>
      <c r="M588" s="45">
        <f>VLOOKUP(B588,'NonXtal_SegEnds_Prot#'!A:AL,16,FALSE)</f>
        <v>131</v>
      </c>
      <c r="N588" s="45">
        <f>VLOOKUP(B588,'NonXtal_SegEnds_Prot#'!A:AL,17,FALSE)</f>
        <v>137</v>
      </c>
      <c r="O588" s="4" t="str">
        <f t="shared" si="56"/>
        <v>S</v>
      </c>
      <c r="P588" s="4"/>
      <c r="Q588" s="47" t="str">
        <f t="shared" si="57"/>
        <v>GNFWCEFWTSIDVLCVTASIETLCVIAVD</v>
      </c>
      <c r="R588" s="27" t="str">
        <f t="shared" si="58"/>
        <v>R</v>
      </c>
      <c r="S588" s="19" t="str">
        <f t="shared" si="59"/>
        <v>YFAITS</v>
      </c>
      <c r="Z588" s="4" t="s">
        <v>64</v>
      </c>
      <c r="AD588" s="1" t="s">
        <v>26</v>
      </c>
      <c r="AE588" s="1">
        <v>103</v>
      </c>
      <c r="AF588" s="1">
        <v>131</v>
      </c>
      <c r="AG588" s="1">
        <v>137</v>
      </c>
      <c r="AH588" s="1" t="s">
        <v>27</v>
      </c>
      <c r="AK588" s="4">
        <v>22</v>
      </c>
      <c r="AL588" s="4">
        <v>56</v>
      </c>
    </row>
    <row r="589" spans="1:38" x14ac:dyDescent="0.25">
      <c r="A589" s="1" t="str">
        <f t="shared" si="55"/>
        <v>ADRB2_human_3D4S_TM3</v>
      </c>
      <c r="B589" s="45" t="s">
        <v>211</v>
      </c>
      <c r="C589" s="45" t="s">
        <v>267</v>
      </c>
      <c r="D589" s="4" t="str">
        <f>VLOOKUP(B589,Classification!A:D,2,FALSE)</f>
        <v>A</v>
      </c>
      <c r="E589" s="4" t="str">
        <f>VLOOKUP(B589,Classification!A:D,3,FALSE)</f>
        <v>Aminergic</v>
      </c>
      <c r="F589" s="4" t="str">
        <f>VLOOKUP(B589,Classification!A:D,4,FALSE)</f>
        <v>Adrenoceptors</v>
      </c>
      <c r="G589" s="2">
        <v>5</v>
      </c>
      <c r="H589" s="45" t="s">
        <v>25</v>
      </c>
      <c r="I589" s="2" t="s">
        <v>1223</v>
      </c>
      <c r="J589" s="5" t="str">
        <f>VLOOKUP(B589,Seqs!A:B,2,FALSE)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89" s="4" t="str">
        <f t="shared" si="54"/>
        <v>G</v>
      </c>
      <c r="L589" s="45">
        <f>VLOOKUP(B589,'NonXtal_SegEnds_Prot#'!A:AL,15,FALSE)</f>
        <v>102</v>
      </c>
      <c r="M589" s="45">
        <f>VLOOKUP(B589,'NonXtal_SegEnds_Prot#'!A:AL,16,FALSE)</f>
        <v>131</v>
      </c>
      <c r="N589" s="45">
        <f>VLOOKUP(B589,'NonXtal_SegEnds_Prot#'!A:AL,17,FALSE)</f>
        <v>137</v>
      </c>
      <c r="O589" s="4" t="str">
        <f t="shared" si="56"/>
        <v>S</v>
      </c>
      <c r="P589" s="4"/>
      <c r="Q589" s="47" t="str">
        <f t="shared" si="57"/>
        <v>GNFWCEFWTSIDVLCVTASIETLCVIAVD</v>
      </c>
      <c r="R589" s="27" t="str">
        <f t="shared" si="58"/>
        <v>R</v>
      </c>
      <c r="S589" s="19" t="str">
        <f t="shared" si="59"/>
        <v>YFAITS</v>
      </c>
      <c r="Z589" s="4"/>
      <c r="AD589" s="1" t="s">
        <v>26</v>
      </c>
      <c r="AE589" s="1">
        <v>103</v>
      </c>
      <c r="AF589" s="1">
        <v>131</v>
      </c>
      <c r="AG589" s="1">
        <v>137</v>
      </c>
      <c r="AH589" s="1" t="s">
        <v>27</v>
      </c>
      <c r="AK589" s="4">
        <v>22</v>
      </c>
      <c r="AL589" s="4">
        <v>56</v>
      </c>
    </row>
    <row r="590" spans="1:38" x14ac:dyDescent="0.25">
      <c r="A590" s="1" t="str">
        <f t="shared" si="55"/>
        <v>ADRB2_human_3P0G_TM3</v>
      </c>
      <c r="B590" s="45" t="s">
        <v>211</v>
      </c>
      <c r="C590" s="45" t="s">
        <v>257</v>
      </c>
      <c r="D590" s="4" t="str">
        <f>VLOOKUP(B590,Classification!A:D,2,FALSE)</f>
        <v>A</v>
      </c>
      <c r="E590" s="4" t="str">
        <f>VLOOKUP(B590,Classification!A:D,3,FALSE)</f>
        <v>Aminergic</v>
      </c>
      <c r="F590" s="4" t="str">
        <f>VLOOKUP(B590,Classification!A:D,4,FALSE)</f>
        <v>Adrenoceptors</v>
      </c>
      <c r="G590" s="2">
        <v>5</v>
      </c>
      <c r="H590" s="45" t="s">
        <v>25</v>
      </c>
      <c r="I590" s="2" t="s">
        <v>1223</v>
      </c>
      <c r="J590" s="5" t="str">
        <f>VLOOKUP(B590,Seqs!A:B,2,FALSE)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0" s="4" t="str">
        <f t="shared" si="54"/>
        <v>G</v>
      </c>
      <c r="L590" s="45">
        <f>VLOOKUP(B590,'NonXtal_SegEnds_Prot#'!A:AL,15,FALSE)</f>
        <v>102</v>
      </c>
      <c r="M590" s="45">
        <f>VLOOKUP(B590,'NonXtal_SegEnds_Prot#'!A:AL,16,FALSE)</f>
        <v>131</v>
      </c>
      <c r="N590" s="45">
        <f>VLOOKUP(B590,'NonXtal_SegEnds_Prot#'!A:AL,17,FALSE)</f>
        <v>137</v>
      </c>
      <c r="O590" s="4" t="str">
        <f t="shared" si="56"/>
        <v>S</v>
      </c>
      <c r="P590" s="4"/>
      <c r="Q590" s="47" t="str">
        <f t="shared" si="57"/>
        <v>GNFWCEFWTSIDVLCVTASIETLCVIAVD</v>
      </c>
      <c r="R590" s="27" t="str">
        <f t="shared" si="58"/>
        <v>R</v>
      </c>
      <c r="S590" s="19" t="str">
        <f t="shared" si="59"/>
        <v>YFAITS</v>
      </c>
      <c r="Z590" s="4"/>
      <c r="AD590" s="1" t="s">
        <v>26</v>
      </c>
      <c r="AE590" s="1">
        <v>103</v>
      </c>
      <c r="AF590" s="1">
        <v>131</v>
      </c>
      <c r="AG590" s="1">
        <v>137</v>
      </c>
      <c r="AH590" s="1" t="s">
        <v>27</v>
      </c>
      <c r="AK590" s="4">
        <v>22</v>
      </c>
      <c r="AL590" s="4">
        <v>56</v>
      </c>
    </row>
    <row r="591" spans="1:38" x14ac:dyDescent="0.25">
      <c r="A591" s="1" t="str">
        <f t="shared" si="55"/>
        <v>ADRB2_human_3SN6_TM3</v>
      </c>
      <c r="B591" s="45" t="s">
        <v>211</v>
      </c>
      <c r="C591" s="45" t="s">
        <v>277</v>
      </c>
      <c r="D591" s="4" t="str">
        <f>VLOOKUP(B591,Classification!A:D,2,FALSE)</f>
        <v>A</v>
      </c>
      <c r="E591" s="4" t="str">
        <f>VLOOKUP(B591,Classification!A:D,3,FALSE)</f>
        <v>Aminergic</v>
      </c>
      <c r="F591" s="4" t="str">
        <f>VLOOKUP(B591,Classification!A:D,4,FALSE)</f>
        <v>Adrenoceptors</v>
      </c>
      <c r="G591" s="2">
        <v>5</v>
      </c>
      <c r="H591" s="45" t="s">
        <v>25</v>
      </c>
      <c r="I591" s="2" t="s">
        <v>1223</v>
      </c>
      <c r="J591" s="5" t="str">
        <f>VLOOKUP(B591,Seqs!A:B,2,FALSE)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1" s="4" t="str">
        <f t="shared" si="54"/>
        <v>G</v>
      </c>
      <c r="L591" s="45">
        <f>VLOOKUP(B591,'NonXtal_SegEnds_Prot#'!A:AL,15,FALSE)</f>
        <v>102</v>
      </c>
      <c r="M591" s="45">
        <f>VLOOKUP(B591,'NonXtal_SegEnds_Prot#'!A:AL,16,FALSE)</f>
        <v>131</v>
      </c>
      <c r="N591" s="45">
        <f>VLOOKUP(B591,'NonXtal_SegEnds_Prot#'!A:AL,17,FALSE)</f>
        <v>137</v>
      </c>
      <c r="O591" s="4" t="str">
        <f t="shared" si="56"/>
        <v>S</v>
      </c>
      <c r="P591" s="4"/>
      <c r="Q591" s="47" t="str">
        <f t="shared" si="57"/>
        <v>GNFWCEFWTSIDVLCVTASIETLCVIAVD</v>
      </c>
      <c r="R591" s="27" t="str">
        <f t="shared" si="58"/>
        <v>R</v>
      </c>
      <c r="S591" s="19" t="str">
        <f t="shared" si="59"/>
        <v>YFAITS</v>
      </c>
      <c r="Z591" s="4" t="s">
        <v>64</v>
      </c>
      <c r="AD591" s="1" t="s">
        <v>26</v>
      </c>
      <c r="AE591" s="1">
        <v>103</v>
      </c>
      <c r="AF591" s="1">
        <v>131</v>
      </c>
      <c r="AG591" s="1">
        <v>137</v>
      </c>
      <c r="AH591" s="1" t="s">
        <v>27</v>
      </c>
      <c r="AK591" s="4">
        <v>22</v>
      </c>
      <c r="AL591" s="4">
        <v>56</v>
      </c>
    </row>
    <row r="592" spans="1:38" x14ac:dyDescent="0.25">
      <c r="A592" s="1" t="str">
        <f t="shared" si="55"/>
        <v>ADRB2_human_4LDE_TM3</v>
      </c>
      <c r="B592" s="45" t="s">
        <v>211</v>
      </c>
      <c r="C592" s="45" t="s">
        <v>268</v>
      </c>
      <c r="D592" s="4" t="str">
        <f>VLOOKUP(B592,Classification!A:D,2,FALSE)</f>
        <v>A</v>
      </c>
      <c r="E592" s="4" t="str">
        <f>VLOOKUP(B592,Classification!A:D,3,FALSE)</f>
        <v>Aminergic</v>
      </c>
      <c r="F592" s="4" t="str">
        <f>VLOOKUP(B592,Classification!A:D,4,FALSE)</f>
        <v>Adrenoceptors</v>
      </c>
      <c r="G592" s="2">
        <v>5</v>
      </c>
      <c r="H592" s="45" t="s">
        <v>25</v>
      </c>
      <c r="I592" s="2" t="s">
        <v>1223</v>
      </c>
      <c r="J592" s="5" t="str">
        <f>VLOOKUP(B592,Seqs!A:B,2,FALSE)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2" s="4" t="str">
        <f t="shared" ref="K592:K655" si="60">MID(J592,L592,1)</f>
        <v>G</v>
      </c>
      <c r="L592" s="45">
        <f>VLOOKUP(B592,'NonXtal_SegEnds_Prot#'!A:AL,15,FALSE)</f>
        <v>102</v>
      </c>
      <c r="M592" s="45">
        <f>VLOOKUP(B592,'NonXtal_SegEnds_Prot#'!A:AL,16,FALSE)</f>
        <v>131</v>
      </c>
      <c r="N592" s="45">
        <f>VLOOKUP(B592,'NonXtal_SegEnds_Prot#'!A:AL,17,FALSE)</f>
        <v>137</v>
      </c>
      <c r="O592" s="4" t="str">
        <f t="shared" si="56"/>
        <v>S</v>
      </c>
      <c r="P592" s="4"/>
      <c r="Q592" s="47" t="str">
        <f t="shared" si="57"/>
        <v>GNFWCEFWTSIDVLCVTASIETLCVIAVD</v>
      </c>
      <c r="R592" s="27" t="str">
        <f t="shared" si="58"/>
        <v>R</v>
      </c>
      <c r="S592" s="19" t="str">
        <f t="shared" si="59"/>
        <v>YFAITS</v>
      </c>
      <c r="Z592" s="4"/>
      <c r="AD592" s="1" t="s">
        <v>26</v>
      </c>
      <c r="AE592" s="1">
        <v>103</v>
      </c>
      <c r="AF592" s="1">
        <v>131</v>
      </c>
      <c r="AG592" s="1">
        <v>137</v>
      </c>
      <c r="AH592" s="1" t="s">
        <v>27</v>
      </c>
      <c r="AK592" s="4">
        <v>22</v>
      </c>
      <c r="AL592" s="4">
        <v>56</v>
      </c>
    </row>
    <row r="593" spans="1:38" x14ac:dyDescent="0.25">
      <c r="A593" s="1" t="str">
        <f t="shared" si="55"/>
        <v>ADRB2_human_4QKX_TM3</v>
      </c>
      <c r="B593" s="45" t="s">
        <v>211</v>
      </c>
      <c r="C593" s="45" t="s">
        <v>269</v>
      </c>
      <c r="D593" s="4" t="str">
        <f>VLOOKUP(B593,Classification!A:D,2,FALSE)</f>
        <v>A</v>
      </c>
      <c r="E593" s="4" t="str">
        <f>VLOOKUP(B593,Classification!A:D,3,FALSE)</f>
        <v>Aminergic</v>
      </c>
      <c r="F593" s="4" t="str">
        <f>VLOOKUP(B593,Classification!A:D,4,FALSE)</f>
        <v>Adrenoceptors</v>
      </c>
      <c r="G593" s="2">
        <v>5</v>
      </c>
      <c r="H593" s="45" t="s">
        <v>25</v>
      </c>
      <c r="I593" s="2" t="s">
        <v>1223</v>
      </c>
      <c r="J593" s="5" t="str">
        <f>VLOOKUP(B593,Seqs!A:B,2,FALSE)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3" s="4" t="str">
        <f t="shared" si="60"/>
        <v>G</v>
      </c>
      <c r="L593" s="45">
        <f>VLOOKUP(B593,'NonXtal_SegEnds_Prot#'!A:AL,15,FALSE)</f>
        <v>102</v>
      </c>
      <c r="M593" s="45">
        <f>VLOOKUP(B593,'NonXtal_SegEnds_Prot#'!A:AL,16,FALSE)</f>
        <v>131</v>
      </c>
      <c r="N593" s="45">
        <f>VLOOKUP(B593,'NonXtal_SegEnds_Prot#'!A:AL,17,FALSE)</f>
        <v>137</v>
      </c>
      <c r="O593" s="4" t="str">
        <f t="shared" si="56"/>
        <v>S</v>
      </c>
      <c r="P593" s="4"/>
      <c r="Q593" s="47" t="str">
        <f t="shared" si="57"/>
        <v>GNFWCEFWTSIDVLCVTASIETLCVIAVD</v>
      </c>
      <c r="R593" s="27" t="str">
        <f t="shared" si="58"/>
        <v>R</v>
      </c>
      <c r="S593" s="19" t="str">
        <f t="shared" si="59"/>
        <v>YFAITS</v>
      </c>
      <c r="Z593" s="4"/>
      <c r="AD593" s="1" t="s">
        <v>26</v>
      </c>
      <c r="AE593" s="1">
        <v>103</v>
      </c>
      <c r="AF593" s="1">
        <v>131</v>
      </c>
      <c r="AG593" s="1">
        <v>137</v>
      </c>
      <c r="AH593" s="1" t="s">
        <v>27</v>
      </c>
      <c r="AK593" s="4">
        <v>22</v>
      </c>
      <c r="AL593" s="4">
        <v>56</v>
      </c>
    </row>
    <row r="594" spans="1:38" x14ac:dyDescent="0.25">
      <c r="A594" s="1" t="str">
        <f t="shared" si="55"/>
        <v>AGTR1_human__wt_TM3</v>
      </c>
      <c r="B594" s="45" t="s">
        <v>212</v>
      </c>
      <c r="C594" s="45" t="s">
        <v>294</v>
      </c>
      <c r="D594" s="4" t="str">
        <f>VLOOKUP(B594,Classification!A:D,2,FALSE)</f>
        <v>A</v>
      </c>
      <c r="E594" s="4" t="str">
        <f>VLOOKUP(B594,Classification!A:D,3,FALSE)</f>
        <v>Peptide</v>
      </c>
      <c r="F594" s="4" t="str">
        <f>VLOOKUP(B594,Classification!A:D,4,FALSE)</f>
        <v>Angiotensin</v>
      </c>
      <c r="G594" s="2">
        <v>5</v>
      </c>
      <c r="H594" s="45" t="s">
        <v>25</v>
      </c>
      <c r="I594" s="2" t="s">
        <v>1223</v>
      </c>
      <c r="J594" s="5" t="str">
        <f>VLOOKUP(B594,Seqs!A:B,2,FALSE)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94" s="4" t="str">
        <f t="shared" si="60"/>
        <v>G</v>
      </c>
      <c r="L594" s="45">
        <f>VLOOKUP(B594,'NonXtal_SegEnds_Prot#'!A:AL,15,FALSE)</f>
        <v>97</v>
      </c>
      <c r="M594" s="45">
        <f>VLOOKUP(B594,'NonXtal_SegEnds_Prot#'!A:AL,16,FALSE)</f>
        <v>126</v>
      </c>
      <c r="N594" s="45">
        <f>VLOOKUP(B594,'NonXtal_SegEnds_Prot#'!A:AL,17,FALSE)</f>
        <v>132</v>
      </c>
      <c r="O594" s="4" t="str">
        <f t="shared" si="56"/>
        <v>H</v>
      </c>
      <c r="P594" s="4"/>
      <c r="Q594" s="47" t="str">
        <f t="shared" si="57"/>
        <v>GNYLCKIASASVSFNLYASVFLLTCLSID</v>
      </c>
      <c r="R594" s="27" t="str">
        <f t="shared" si="58"/>
        <v>R</v>
      </c>
      <c r="S594" s="19" t="str">
        <f t="shared" si="59"/>
        <v>YLAIVH</v>
      </c>
      <c r="Z594" s="4"/>
      <c r="AD594" s="1" t="s">
        <v>26</v>
      </c>
      <c r="AE594" s="1">
        <v>98</v>
      </c>
      <c r="AF594" s="1">
        <v>126</v>
      </c>
      <c r="AG594" s="1">
        <v>132</v>
      </c>
      <c r="AH594" s="1" t="s">
        <v>27</v>
      </c>
      <c r="AK594" s="4">
        <v>22</v>
      </c>
      <c r="AL594" s="4">
        <v>56</v>
      </c>
    </row>
    <row r="595" spans="1:38" x14ac:dyDescent="0.25">
      <c r="A595" s="1" t="str">
        <f t="shared" si="55"/>
        <v>AGTR1_human_4YAY_TM3</v>
      </c>
      <c r="B595" s="45" t="s">
        <v>212</v>
      </c>
      <c r="C595" s="45" t="s">
        <v>260</v>
      </c>
      <c r="D595" s="4" t="str">
        <f>VLOOKUP(B595,Classification!A:D,2,FALSE)</f>
        <v>A</v>
      </c>
      <c r="E595" s="4" t="str">
        <f>VLOOKUP(B595,Classification!A:D,3,FALSE)</f>
        <v>Peptide</v>
      </c>
      <c r="F595" s="4" t="str">
        <f>VLOOKUP(B595,Classification!A:D,4,FALSE)</f>
        <v>Angiotensin</v>
      </c>
      <c r="G595" s="2">
        <v>5</v>
      </c>
      <c r="H595" s="45" t="s">
        <v>25</v>
      </c>
      <c r="I595" s="2" t="s">
        <v>1223</v>
      </c>
      <c r="J595" s="5" t="str">
        <f>VLOOKUP(B595,Seqs!A:B,2,FALSE)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95" s="4" t="str">
        <f t="shared" si="60"/>
        <v>G</v>
      </c>
      <c r="L595" s="45">
        <f>VLOOKUP(B595,'NonXtal_SegEnds_Prot#'!A:AL,15,FALSE)</f>
        <v>97</v>
      </c>
      <c r="M595" s="45">
        <f>VLOOKUP(B595,'NonXtal_SegEnds_Prot#'!A:AL,16,FALSE)</f>
        <v>126</v>
      </c>
      <c r="N595" s="45">
        <f>VLOOKUP(B595,'NonXtal_SegEnds_Prot#'!A:AL,17,FALSE)</f>
        <v>132</v>
      </c>
      <c r="O595" s="4" t="str">
        <f t="shared" si="56"/>
        <v>H</v>
      </c>
      <c r="P595" s="4"/>
      <c r="Q595" s="47" t="str">
        <f t="shared" si="57"/>
        <v>GNYLCKIASASVSFNLYASVFLLTCLSID</v>
      </c>
      <c r="R595" s="27" t="str">
        <f t="shared" si="58"/>
        <v>R</v>
      </c>
      <c r="S595" s="19" t="str">
        <f t="shared" si="59"/>
        <v>YLAIVH</v>
      </c>
      <c r="Z595" s="4"/>
      <c r="AD595" s="1" t="s">
        <v>26</v>
      </c>
      <c r="AE595" s="1">
        <v>98</v>
      </c>
      <c r="AF595" s="1">
        <v>126</v>
      </c>
      <c r="AG595" s="1">
        <v>132</v>
      </c>
      <c r="AH595" s="1" t="s">
        <v>27</v>
      </c>
      <c r="AK595" s="4">
        <v>22</v>
      </c>
      <c r="AL595" s="4">
        <v>56</v>
      </c>
    </row>
    <row r="596" spans="1:38" x14ac:dyDescent="0.25">
      <c r="A596" s="1" t="str">
        <f t="shared" si="55"/>
        <v>CCR5_human__wt_TM3</v>
      </c>
      <c r="B596" s="45" t="s">
        <v>221</v>
      </c>
      <c r="C596" s="45" t="s">
        <v>294</v>
      </c>
      <c r="D596" s="4" t="str">
        <f>VLOOKUP(B596,Classification!A:D,2,FALSE)</f>
        <v>A</v>
      </c>
      <c r="E596" s="4" t="str">
        <f>VLOOKUP(B596,Classification!A:D,3,FALSE)</f>
        <v>Protein</v>
      </c>
      <c r="F596" s="4" t="str">
        <f>VLOOKUP(B596,Classification!A:D,4,FALSE)</f>
        <v>Chemokine</v>
      </c>
      <c r="G596" s="2">
        <v>5</v>
      </c>
      <c r="H596" s="45" t="s">
        <v>25</v>
      </c>
      <c r="I596" s="2" t="s">
        <v>1223</v>
      </c>
      <c r="J596" s="5" t="str">
        <f>VLOOKUP(B596,Seqs!A:B,2,FALSE)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96" s="4" t="str">
        <f t="shared" si="60"/>
        <v>G</v>
      </c>
      <c r="L596" s="45">
        <f>VLOOKUP(B596,'NonXtal_SegEnds_Prot#'!A:AL,15,FALSE)</f>
        <v>97</v>
      </c>
      <c r="M596" s="45">
        <f>VLOOKUP(B596,'NonXtal_SegEnds_Prot#'!A:AL,16,FALSE)</f>
        <v>126</v>
      </c>
      <c r="N596" s="45">
        <f>VLOOKUP(B596,'NonXtal_SegEnds_Prot#'!A:AL,17,FALSE)</f>
        <v>132</v>
      </c>
      <c r="O596" s="4" t="str">
        <f t="shared" si="56"/>
        <v>H</v>
      </c>
      <c r="P596" s="4"/>
      <c r="Q596" s="47" t="str">
        <f t="shared" si="57"/>
        <v>GNTMCQLLTGLYFIGFFSGIFFIILLTID</v>
      </c>
      <c r="R596" s="27" t="str">
        <f t="shared" si="58"/>
        <v>R</v>
      </c>
      <c r="S596" s="19" t="str">
        <f t="shared" si="59"/>
        <v>YLAVVH</v>
      </c>
      <c r="Z596" s="4"/>
      <c r="AD596" s="1" t="s">
        <v>26</v>
      </c>
      <c r="AE596" s="1">
        <v>98</v>
      </c>
      <c r="AF596" s="1">
        <v>126</v>
      </c>
      <c r="AG596" s="1">
        <v>132</v>
      </c>
      <c r="AH596" s="1" t="s">
        <v>27</v>
      </c>
      <c r="AK596" s="4">
        <v>22</v>
      </c>
      <c r="AL596" s="4">
        <v>56</v>
      </c>
    </row>
    <row r="597" spans="1:38" x14ac:dyDescent="0.25">
      <c r="A597" s="1" t="str">
        <f t="shared" si="55"/>
        <v>CCR5_human_4MBS_TM3</v>
      </c>
      <c r="B597" s="45" t="s">
        <v>221</v>
      </c>
      <c r="C597" s="45" t="s">
        <v>265</v>
      </c>
      <c r="D597" s="4" t="str">
        <f>VLOOKUP(B597,Classification!A:D,2,FALSE)</f>
        <v>A</v>
      </c>
      <c r="E597" s="4" t="str">
        <f>VLOOKUP(B597,Classification!A:D,3,FALSE)</f>
        <v>Protein</v>
      </c>
      <c r="F597" s="4" t="str">
        <f>VLOOKUP(B597,Classification!A:D,4,FALSE)</f>
        <v>Chemokine</v>
      </c>
      <c r="G597" s="2">
        <v>5</v>
      </c>
      <c r="H597" s="45" t="s">
        <v>25</v>
      </c>
      <c r="I597" s="2" t="s">
        <v>1223</v>
      </c>
      <c r="J597" s="5" t="str">
        <f>VLOOKUP(B597,Seqs!A:B,2,FALSE)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97" s="4" t="str">
        <f t="shared" si="60"/>
        <v>G</v>
      </c>
      <c r="L597" s="45">
        <f>VLOOKUP(B597,'NonXtal_SegEnds_Prot#'!A:AL,15,FALSE)</f>
        <v>97</v>
      </c>
      <c r="M597" s="45">
        <f>VLOOKUP(B597,'NonXtal_SegEnds_Prot#'!A:AL,16,FALSE)</f>
        <v>126</v>
      </c>
      <c r="N597" s="45">
        <f>VLOOKUP(B597,'NonXtal_SegEnds_Prot#'!A:AL,17,FALSE)</f>
        <v>132</v>
      </c>
      <c r="O597" s="4" t="str">
        <f t="shared" si="56"/>
        <v>H</v>
      </c>
      <c r="P597" s="4"/>
      <c r="Q597" s="47" t="str">
        <f t="shared" si="57"/>
        <v>GNTMCQLLTGLYFIGFFSGIFFIILLTID</v>
      </c>
      <c r="R597" s="27" t="str">
        <f t="shared" si="58"/>
        <v>R</v>
      </c>
      <c r="S597" s="19" t="str">
        <f t="shared" si="59"/>
        <v>YLAVVH</v>
      </c>
      <c r="Z597" s="4"/>
      <c r="AD597" s="1" t="s">
        <v>26</v>
      </c>
      <c r="AE597" s="1">
        <v>98</v>
      </c>
      <c r="AF597" s="1">
        <v>126</v>
      </c>
      <c r="AG597" s="1">
        <v>132</v>
      </c>
      <c r="AH597" s="1" t="s">
        <v>27</v>
      </c>
      <c r="AK597" s="4">
        <v>22</v>
      </c>
      <c r="AL597" s="4">
        <v>56</v>
      </c>
    </row>
    <row r="598" spans="1:38" x14ac:dyDescent="0.25">
      <c r="A598" s="1" t="str">
        <f t="shared" si="55"/>
        <v>crfr1_human__wt_TM3</v>
      </c>
      <c r="B598" s="45" t="s">
        <v>213</v>
      </c>
      <c r="C598" s="45" t="s">
        <v>294</v>
      </c>
      <c r="D598" s="4" t="str">
        <f>VLOOKUP(B598,Classification!A:D,2,FALSE)</f>
        <v>B1</v>
      </c>
      <c r="E598" s="4" t="str">
        <f>VLOOKUP(B598,Classification!A:D,3,FALSE)</f>
        <v>Peptide</v>
      </c>
      <c r="F598" s="4" t="str">
        <f>VLOOKUP(B598,Classification!A:D,4,FALSE)</f>
        <v>Corticotropin-releasingfact</v>
      </c>
      <c r="G598" s="2">
        <v>5</v>
      </c>
      <c r="H598" s="45" t="s">
        <v>25</v>
      </c>
      <c r="I598" s="2" t="s">
        <v>1223</v>
      </c>
      <c r="J598" s="5" t="str">
        <f>VLOOKUP(B598,Seqs!A:B,2,FALSE)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98" s="4" t="str">
        <f t="shared" si="60"/>
        <v>G</v>
      </c>
      <c r="L598" s="45">
        <f>VLOOKUP(B598,'NonXtal_SegEnds_Prot#'!A:AL,15,FALSE)</f>
        <v>186</v>
      </c>
      <c r="M598" s="45">
        <f>VLOOKUP(B598,'NonXtal_SegEnds_Prot#'!A:AL,16,FALSE)</f>
        <v>213</v>
      </c>
      <c r="N598" s="45">
        <f>VLOOKUP(B598,'NonXtal_SegEnds_Prot#'!A:AL,17,FALSE)</f>
        <v>219</v>
      </c>
      <c r="O598" s="4" t="str">
        <f t="shared" si="56"/>
        <v>L</v>
      </c>
      <c r="P598" s="4"/>
      <c r="Q598" s="47" t="str">
        <f t="shared" si="57"/>
        <v>GWCRLVTAAYNYFHVTNFFWMFGEGCY</v>
      </c>
      <c r="R598" s="27" t="str">
        <f t="shared" si="58"/>
        <v>L</v>
      </c>
      <c r="S598" s="19" t="str">
        <f t="shared" si="59"/>
        <v>HTAIVL</v>
      </c>
      <c r="Z598" s="4"/>
      <c r="AD598" s="1" t="s">
        <v>57</v>
      </c>
      <c r="AE598" s="1">
        <v>186</v>
      </c>
      <c r="AF598" s="1">
        <v>213</v>
      </c>
      <c r="AG598" s="1">
        <v>219</v>
      </c>
      <c r="AH598" s="1" t="s">
        <v>27</v>
      </c>
      <c r="AK598" s="4">
        <v>23</v>
      </c>
      <c r="AL598" s="4">
        <v>56</v>
      </c>
    </row>
    <row r="599" spans="1:38" x14ac:dyDescent="0.25">
      <c r="A599" s="1" t="str">
        <f t="shared" si="55"/>
        <v>crfr1_human_4K5Y_TM3</v>
      </c>
      <c r="B599" s="45" t="s">
        <v>213</v>
      </c>
      <c r="C599" s="45" t="s">
        <v>288</v>
      </c>
      <c r="D599" s="4" t="str">
        <f>VLOOKUP(B599,Classification!A:D,2,FALSE)</f>
        <v>B1</v>
      </c>
      <c r="E599" s="4" t="str">
        <f>VLOOKUP(B599,Classification!A:D,3,FALSE)</f>
        <v>Peptide</v>
      </c>
      <c r="F599" s="4" t="str">
        <f>VLOOKUP(B599,Classification!A:D,4,FALSE)</f>
        <v>Corticotropin-releasingfact</v>
      </c>
      <c r="G599" s="2">
        <v>5</v>
      </c>
      <c r="H599" s="45" t="s">
        <v>25</v>
      </c>
      <c r="I599" s="2" t="s">
        <v>1223</v>
      </c>
      <c r="J599" s="5" t="str">
        <f>VLOOKUP(B599,Seqs!A:B,2,FALSE)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99" s="4" t="str">
        <f t="shared" si="60"/>
        <v>G</v>
      </c>
      <c r="L599" s="45">
        <f>VLOOKUP(B599,'NonXtal_SegEnds_Prot#'!A:AL,15,FALSE)</f>
        <v>186</v>
      </c>
      <c r="M599" s="45">
        <f>VLOOKUP(B599,'NonXtal_SegEnds_Prot#'!A:AL,16,FALSE)</f>
        <v>213</v>
      </c>
      <c r="N599" s="45">
        <f>VLOOKUP(B599,'NonXtal_SegEnds_Prot#'!A:AL,17,FALSE)</f>
        <v>219</v>
      </c>
      <c r="O599" s="4" t="str">
        <f t="shared" si="56"/>
        <v>L</v>
      </c>
      <c r="P599" s="4"/>
      <c r="Q599" s="47" t="str">
        <f t="shared" si="57"/>
        <v>GWCRLVTAAYNYFHVTNFFWMFGEGCY</v>
      </c>
      <c r="R599" s="27" t="str">
        <f t="shared" si="58"/>
        <v>L</v>
      </c>
      <c r="S599" s="19" t="str">
        <f t="shared" si="59"/>
        <v>HTAIVL</v>
      </c>
      <c r="Z599" s="4"/>
      <c r="AD599" s="1" t="s">
        <v>57</v>
      </c>
      <c r="AE599" s="1">
        <v>186</v>
      </c>
      <c r="AF599" s="1">
        <v>213</v>
      </c>
      <c r="AG599" s="1">
        <v>219</v>
      </c>
      <c r="AH599" s="1" t="s">
        <v>27</v>
      </c>
      <c r="AK599" s="4">
        <v>23</v>
      </c>
      <c r="AL599" s="4">
        <v>56</v>
      </c>
    </row>
    <row r="600" spans="1:38" x14ac:dyDescent="0.25">
      <c r="A600" s="1" t="str">
        <f t="shared" si="55"/>
        <v>CXCR4_human__wt_TM3</v>
      </c>
      <c r="B600" s="45" t="s">
        <v>1237</v>
      </c>
      <c r="C600" s="45" t="s">
        <v>294</v>
      </c>
      <c r="D600" s="4" t="str">
        <f>VLOOKUP(B600,Classification!A:D,2,FALSE)</f>
        <v>A</v>
      </c>
      <c r="E600" s="4" t="str">
        <f>VLOOKUP(B600,Classification!A:D,3,FALSE)</f>
        <v>Protein</v>
      </c>
      <c r="F600" s="4" t="str">
        <f>VLOOKUP(B600,Classification!A:D,4,FALSE)</f>
        <v>Chemokine</v>
      </c>
      <c r="G600" s="2">
        <v>5</v>
      </c>
      <c r="H600" s="45" t="s">
        <v>25</v>
      </c>
      <c r="I600" s="2" t="s">
        <v>1223</v>
      </c>
      <c r="J600" s="5" t="str">
        <f>VLOOKUP(B600,Seqs!A:B,2,FALSE)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00" s="4" t="str">
        <f t="shared" si="60"/>
        <v>G</v>
      </c>
      <c r="L600" s="45">
        <f>VLOOKUP(B600,'NonXtal_SegEnds_Prot#'!A:AL,15,FALSE)</f>
        <v>105</v>
      </c>
      <c r="M600" s="45">
        <f>VLOOKUP(B600,'NonXtal_SegEnds_Prot#'!A:AL,16,FALSE)</f>
        <v>134</v>
      </c>
      <c r="N600" s="45">
        <f>VLOOKUP(B600,'NonXtal_SegEnds_Prot#'!A:AL,17,FALSE)</f>
        <v>140</v>
      </c>
      <c r="O600" s="4" t="str">
        <f t="shared" si="56"/>
        <v>H</v>
      </c>
      <c r="P600" s="4"/>
      <c r="Q600" s="47" t="str">
        <f t="shared" si="57"/>
        <v>GNFLCKAVHVIYTVNLYSSVLILAFISLD</v>
      </c>
      <c r="R600" s="27" t="str">
        <f t="shared" si="58"/>
        <v>R</v>
      </c>
      <c r="S600" s="19" t="str">
        <f t="shared" si="59"/>
        <v>YLAIVH</v>
      </c>
      <c r="Z600" s="4"/>
      <c r="AD600" s="1" t="s">
        <v>26</v>
      </c>
      <c r="AE600" s="1">
        <v>106</v>
      </c>
      <c r="AF600" s="1">
        <v>134</v>
      </c>
      <c r="AG600" s="1">
        <v>140</v>
      </c>
      <c r="AH600" s="1" t="s">
        <v>27</v>
      </c>
      <c r="AK600" s="4">
        <v>22</v>
      </c>
      <c r="AL600" s="4">
        <v>56</v>
      </c>
    </row>
    <row r="601" spans="1:38" x14ac:dyDescent="0.25">
      <c r="A601" s="1" t="str">
        <f t="shared" si="55"/>
        <v>CXCR4_human_3ODU_TM3</v>
      </c>
      <c r="B601" s="45" t="s">
        <v>1237</v>
      </c>
      <c r="C601" s="45" t="s">
        <v>254</v>
      </c>
      <c r="D601" s="4" t="str">
        <f>VLOOKUP(B601,Classification!A:D,2,FALSE)</f>
        <v>A</v>
      </c>
      <c r="E601" s="4" t="str">
        <f>VLOOKUP(B601,Classification!A:D,3,FALSE)</f>
        <v>Protein</v>
      </c>
      <c r="F601" s="4" t="str">
        <f>VLOOKUP(B601,Classification!A:D,4,FALSE)</f>
        <v>Chemokine</v>
      </c>
      <c r="G601" s="2">
        <v>5</v>
      </c>
      <c r="H601" s="45" t="s">
        <v>25</v>
      </c>
      <c r="I601" s="2" t="s">
        <v>1223</v>
      </c>
      <c r="J601" s="5" t="str">
        <f>VLOOKUP(B601,Seqs!A:B,2,FALSE)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01" s="4" t="str">
        <f t="shared" si="60"/>
        <v>G</v>
      </c>
      <c r="L601" s="45">
        <f>VLOOKUP(B601,'NonXtal_SegEnds_Prot#'!A:AL,15,FALSE)</f>
        <v>105</v>
      </c>
      <c r="M601" s="45">
        <f>VLOOKUP(B601,'NonXtal_SegEnds_Prot#'!A:AL,16,FALSE)</f>
        <v>134</v>
      </c>
      <c r="N601" s="45">
        <f>VLOOKUP(B601,'NonXtal_SegEnds_Prot#'!A:AL,17,FALSE)</f>
        <v>140</v>
      </c>
      <c r="O601" s="4" t="str">
        <f t="shared" si="56"/>
        <v>H</v>
      </c>
      <c r="P601" s="4"/>
      <c r="Q601" s="47" t="str">
        <f t="shared" si="57"/>
        <v>GNFLCKAVHVIYTVNLYSSVLILAFISLD</v>
      </c>
      <c r="R601" s="27" t="str">
        <f t="shared" si="58"/>
        <v>R</v>
      </c>
      <c r="S601" s="19" t="str">
        <f t="shared" si="59"/>
        <v>YLAIVH</v>
      </c>
      <c r="Z601" s="4"/>
      <c r="AD601" s="1" t="s">
        <v>26</v>
      </c>
      <c r="AE601" s="1">
        <v>106</v>
      </c>
      <c r="AF601" s="1">
        <v>134</v>
      </c>
      <c r="AG601" s="1">
        <v>140</v>
      </c>
      <c r="AH601" s="1" t="s">
        <v>27</v>
      </c>
      <c r="AK601" s="4">
        <v>22</v>
      </c>
      <c r="AL601" s="4">
        <v>56</v>
      </c>
    </row>
    <row r="602" spans="1:38" x14ac:dyDescent="0.25">
      <c r="A602" s="1" t="str">
        <f t="shared" si="55"/>
        <v>DRD3_human__wt_TM3</v>
      </c>
      <c r="B602" s="45" t="s">
        <v>222</v>
      </c>
      <c r="C602" s="45" t="s">
        <v>294</v>
      </c>
      <c r="D602" s="4" t="str">
        <f>VLOOKUP(B602,Classification!A:D,2,FALSE)</f>
        <v>A</v>
      </c>
      <c r="E602" s="4" t="str">
        <f>VLOOKUP(B602,Classification!A:D,3,FALSE)</f>
        <v>Aminergic</v>
      </c>
      <c r="F602" s="4" t="str">
        <f>VLOOKUP(B602,Classification!A:D,4,FALSE)</f>
        <v>Dopamine</v>
      </c>
      <c r="G602" s="2">
        <v>5</v>
      </c>
      <c r="H602" s="45" t="s">
        <v>25</v>
      </c>
      <c r="I602" s="2" t="s">
        <v>1223</v>
      </c>
      <c r="J602" s="5" t="str">
        <f>VLOOKUP(B602,Seqs!A:B,2,FALSE)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02" s="4" t="str">
        <f t="shared" si="60"/>
        <v>S</v>
      </c>
      <c r="L602" s="45">
        <f>VLOOKUP(B602,'NonXtal_SegEnds_Prot#'!A:AL,15,FALSE)</f>
        <v>99</v>
      </c>
      <c r="M602" s="45">
        <f>VLOOKUP(B602,'NonXtal_SegEnds_Prot#'!A:AL,16,FALSE)</f>
        <v>128</v>
      </c>
      <c r="N602" s="45">
        <f>VLOOKUP(B602,'NonXtal_SegEnds_Prot#'!A:AL,17,FALSE)</f>
        <v>134</v>
      </c>
      <c r="O602" s="4" t="str">
        <f t="shared" si="56"/>
        <v>M</v>
      </c>
      <c r="P602" s="4"/>
      <c r="Q602" s="47" t="str">
        <f t="shared" si="57"/>
        <v>SRICCDVFVTLDVMMCTASILNLCAISID</v>
      </c>
      <c r="R602" s="27" t="str">
        <f t="shared" si="58"/>
        <v>R</v>
      </c>
      <c r="S602" s="19" t="str">
        <f t="shared" si="59"/>
        <v>YTAVVM</v>
      </c>
      <c r="Z602" s="4"/>
      <c r="AD602" s="1" t="s">
        <v>26</v>
      </c>
      <c r="AE602" s="1">
        <v>100</v>
      </c>
      <c r="AF602" s="1">
        <v>128</v>
      </c>
      <c r="AG602" s="1">
        <v>134</v>
      </c>
      <c r="AH602" s="1" t="s">
        <v>27</v>
      </c>
      <c r="AK602" s="4">
        <v>22</v>
      </c>
      <c r="AL602" s="4">
        <v>56</v>
      </c>
    </row>
    <row r="603" spans="1:38" x14ac:dyDescent="0.25">
      <c r="A603" s="1" t="str">
        <f t="shared" si="55"/>
        <v>DRD3_human_3PBL_TM3</v>
      </c>
      <c r="B603" s="45" t="s">
        <v>222</v>
      </c>
      <c r="C603" s="45" t="s">
        <v>263</v>
      </c>
      <c r="D603" s="4" t="str">
        <f>VLOOKUP(B603,Classification!A:D,2,FALSE)</f>
        <v>A</v>
      </c>
      <c r="E603" s="4" t="str">
        <f>VLOOKUP(B603,Classification!A:D,3,FALSE)</f>
        <v>Aminergic</v>
      </c>
      <c r="F603" s="4" t="str">
        <f>VLOOKUP(B603,Classification!A:D,4,FALSE)</f>
        <v>Dopamine</v>
      </c>
      <c r="G603" s="2">
        <v>5</v>
      </c>
      <c r="H603" s="45" t="s">
        <v>25</v>
      </c>
      <c r="I603" s="2" t="s">
        <v>1223</v>
      </c>
      <c r="J603" s="5" t="str">
        <f>VLOOKUP(B603,Seqs!A:B,2,FALSE)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03" s="4" t="str">
        <f t="shared" si="60"/>
        <v>S</v>
      </c>
      <c r="L603" s="45">
        <f>VLOOKUP(B603,'NonXtal_SegEnds_Prot#'!A:AL,15,FALSE)</f>
        <v>99</v>
      </c>
      <c r="M603" s="45">
        <f>VLOOKUP(B603,'NonXtal_SegEnds_Prot#'!A:AL,16,FALSE)</f>
        <v>128</v>
      </c>
      <c r="N603" s="45">
        <f>VLOOKUP(B603,'NonXtal_SegEnds_Prot#'!A:AL,17,FALSE)</f>
        <v>134</v>
      </c>
      <c r="O603" s="4" t="str">
        <f t="shared" si="56"/>
        <v>M</v>
      </c>
      <c r="P603" s="4"/>
      <c r="Q603" s="47" t="str">
        <f t="shared" si="57"/>
        <v>SRICCDVFVTLDVMMCTASILNLCAISID</v>
      </c>
      <c r="R603" s="27" t="str">
        <f t="shared" si="58"/>
        <v>R</v>
      </c>
      <c r="S603" s="19" t="str">
        <f t="shared" si="59"/>
        <v>YTAVVM</v>
      </c>
      <c r="Z603" s="4"/>
      <c r="AD603" s="1" t="s">
        <v>26</v>
      </c>
      <c r="AE603" s="1">
        <v>100</v>
      </c>
      <c r="AF603" s="1">
        <v>128</v>
      </c>
      <c r="AG603" s="1">
        <v>134</v>
      </c>
      <c r="AH603" s="1" t="s">
        <v>27</v>
      </c>
      <c r="AK603" s="4">
        <v>22</v>
      </c>
      <c r="AL603" s="4">
        <v>56</v>
      </c>
    </row>
    <row r="604" spans="1:38" x14ac:dyDescent="0.25">
      <c r="A604" s="1" t="str">
        <f t="shared" si="55"/>
        <v>FFAR1_human__wt_TM3</v>
      </c>
      <c r="B604" s="45" t="s">
        <v>1368</v>
      </c>
      <c r="C604" s="45" t="s">
        <v>294</v>
      </c>
      <c r="D604" s="4" t="str">
        <f>VLOOKUP(B604,Classification!A:D,2,FALSE)</f>
        <v>A</v>
      </c>
      <c r="E604" s="4" t="str">
        <f>VLOOKUP(B604,Classification!A:D,3,FALSE)</f>
        <v>Lipid</v>
      </c>
      <c r="F604" s="4" t="str">
        <f>VLOOKUP(B604,Classification!A:D,4,FALSE)</f>
        <v>Freefattyacid</v>
      </c>
      <c r="G604" s="2">
        <v>5</v>
      </c>
      <c r="H604" s="45" t="s">
        <v>25</v>
      </c>
      <c r="I604" s="2" t="s">
        <v>1223</v>
      </c>
      <c r="J604" s="5" t="str">
        <f>VLOOKUP(B604,Seqs!A:B,2,FALSE)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04" s="4" t="str">
        <f t="shared" si="60"/>
        <v>P</v>
      </c>
      <c r="L604" s="45">
        <f>VLOOKUP(B604,'NonXtal_SegEnds_Prot#'!A:AL,15,FALSE)</f>
        <v>75</v>
      </c>
      <c r="M604" s="45">
        <f>VLOOKUP(B604,'NonXtal_SegEnds_Prot#'!A:AL,16,FALSE)</f>
        <v>104</v>
      </c>
      <c r="N604" s="45">
        <f>VLOOKUP(B604,'NonXtal_SegEnds_Prot#'!A:AL,17,FALSE)</f>
        <v>110</v>
      </c>
      <c r="O604" s="4" t="str">
        <f t="shared" si="56"/>
        <v>F</v>
      </c>
      <c r="P604" s="4"/>
      <c r="Q604" s="47" t="str">
        <f t="shared" si="57"/>
        <v>PASLCPVFAVAHFFPLYAGGGFLAALSAG</v>
      </c>
      <c r="R604" s="27" t="str">
        <f t="shared" si="58"/>
        <v>R</v>
      </c>
      <c r="S604" s="19" t="str">
        <f t="shared" si="59"/>
        <v>YLGAAF</v>
      </c>
      <c r="Z604" s="4"/>
      <c r="AD604" s="1" t="s">
        <v>26</v>
      </c>
      <c r="AE604" s="1">
        <v>76</v>
      </c>
      <c r="AF604" s="1">
        <v>104</v>
      </c>
      <c r="AG604" s="1">
        <v>110</v>
      </c>
      <c r="AH604" s="1" t="s">
        <v>27</v>
      </c>
      <c r="AK604" s="4">
        <v>22</v>
      </c>
      <c r="AL604" s="4">
        <v>56</v>
      </c>
    </row>
    <row r="605" spans="1:38" x14ac:dyDescent="0.25">
      <c r="A605" s="1" t="str">
        <f t="shared" si="55"/>
        <v>FFAR1_human_4PHU_TM3</v>
      </c>
      <c r="B605" s="45" t="s">
        <v>1368</v>
      </c>
      <c r="C605" s="45" t="s">
        <v>241</v>
      </c>
      <c r="D605" s="4" t="str">
        <f>VLOOKUP(B605,Classification!A:D,2,FALSE)</f>
        <v>A</v>
      </c>
      <c r="E605" s="4" t="str">
        <f>VLOOKUP(B605,Classification!A:D,3,FALSE)</f>
        <v>Lipid</v>
      </c>
      <c r="F605" s="4" t="str">
        <f>VLOOKUP(B605,Classification!A:D,4,FALSE)</f>
        <v>Freefattyacid</v>
      </c>
      <c r="G605" s="2">
        <v>5</v>
      </c>
      <c r="H605" s="45" t="s">
        <v>25</v>
      </c>
      <c r="I605" s="2" t="s">
        <v>1223</v>
      </c>
      <c r="J605" s="5" t="str">
        <f>VLOOKUP(B605,Seqs!A:B,2,FALSE)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05" s="4" t="str">
        <f t="shared" si="60"/>
        <v>P</v>
      </c>
      <c r="L605" s="45">
        <f>VLOOKUP(B605,'NonXtal_SegEnds_Prot#'!A:AL,15,FALSE)</f>
        <v>75</v>
      </c>
      <c r="M605" s="45">
        <f>VLOOKUP(B605,'NonXtal_SegEnds_Prot#'!A:AL,16,FALSE)</f>
        <v>104</v>
      </c>
      <c r="N605" s="45">
        <f>VLOOKUP(B605,'NonXtal_SegEnds_Prot#'!A:AL,17,FALSE)</f>
        <v>110</v>
      </c>
      <c r="O605" s="4" t="str">
        <f t="shared" si="56"/>
        <v>F</v>
      </c>
      <c r="P605" s="4"/>
      <c r="Q605" s="47" t="str">
        <f t="shared" si="57"/>
        <v>PASLCPVFAVAHFFPLYAGGGFLAALSAG</v>
      </c>
      <c r="R605" s="27" t="str">
        <f t="shared" si="58"/>
        <v>R</v>
      </c>
      <c r="S605" s="19" t="str">
        <f t="shared" si="59"/>
        <v>YLGAAF</v>
      </c>
      <c r="Z605" s="4"/>
      <c r="AD605" s="1" t="s">
        <v>26</v>
      </c>
      <c r="AE605" s="1">
        <v>76</v>
      </c>
      <c r="AF605" s="1">
        <v>104</v>
      </c>
      <c r="AG605" s="1">
        <v>110</v>
      </c>
      <c r="AH605" s="1" t="s">
        <v>27</v>
      </c>
      <c r="AK605" s="4">
        <v>22</v>
      </c>
      <c r="AL605" s="4">
        <v>56</v>
      </c>
    </row>
    <row r="606" spans="1:38" x14ac:dyDescent="0.25">
      <c r="A606" s="1" t="str">
        <f t="shared" si="55"/>
        <v>glr_human__wt_TM3</v>
      </c>
      <c r="B606" s="45" t="s">
        <v>206</v>
      </c>
      <c r="C606" s="45" t="s">
        <v>294</v>
      </c>
      <c r="D606" s="4" t="str">
        <f>VLOOKUP(B606,Classification!A:D,2,FALSE)</f>
        <v>B1</v>
      </c>
      <c r="E606" s="4" t="str">
        <f>VLOOKUP(B606,Classification!A:D,3,FALSE)</f>
        <v>Peptide</v>
      </c>
      <c r="F606" s="4" t="str">
        <f>VLOOKUP(B606,Classification!A:D,4,FALSE)</f>
        <v>Glucagonreceptorfamily</v>
      </c>
      <c r="G606" s="2">
        <v>5</v>
      </c>
      <c r="H606" s="45" t="s">
        <v>25</v>
      </c>
      <c r="I606" s="2" t="s">
        <v>1223</v>
      </c>
      <c r="J606" s="5" t="str">
        <f>VLOOKUP(B606,Seqs!A:B,2,FALSE)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06" s="4" t="str">
        <f t="shared" si="60"/>
        <v>S</v>
      </c>
      <c r="L606" s="45">
        <f>VLOOKUP(B606,'NonXtal_SegEnds_Prot#'!A:AL,15,FALSE)</f>
        <v>217</v>
      </c>
      <c r="M606" s="45">
        <f>VLOOKUP(B606,'NonXtal_SegEnds_Prot#'!A:AL,16,FALSE)</f>
        <v>249</v>
      </c>
      <c r="N606" s="45">
        <f>VLOOKUP(B606,'NonXtal_SegEnds_Prot#'!A:AL,17,FALSE)</f>
        <v>255</v>
      </c>
      <c r="O606" s="4" t="str">
        <f t="shared" si="56"/>
        <v>L</v>
      </c>
      <c r="P606" s="4"/>
      <c r="Q606" s="47" t="str">
        <f t="shared" si="57"/>
        <v>SDGAVAGCRVAAVFMQYGIVANYCWLLVEGLY</v>
      </c>
      <c r="R606" s="27" t="str">
        <f t="shared" si="58"/>
        <v>L</v>
      </c>
      <c r="S606" s="19" t="str">
        <f t="shared" si="59"/>
        <v>HNLLGL</v>
      </c>
      <c r="Z606" s="4"/>
      <c r="AD606" s="1" t="s">
        <v>176</v>
      </c>
      <c r="AE606" s="1">
        <v>217</v>
      </c>
      <c r="AF606" s="1">
        <v>249</v>
      </c>
      <c r="AG606" s="1">
        <v>255</v>
      </c>
      <c r="AH606" s="1" t="s">
        <v>27</v>
      </c>
      <c r="AK606" s="4">
        <v>18</v>
      </c>
      <c r="AL606" s="4">
        <v>56</v>
      </c>
    </row>
    <row r="607" spans="1:38" x14ac:dyDescent="0.25">
      <c r="A607" s="1" t="str">
        <f t="shared" si="55"/>
        <v>glr_human_4L6R_TM3</v>
      </c>
      <c r="B607" s="45" t="s">
        <v>206</v>
      </c>
      <c r="C607" s="45" t="s">
        <v>240</v>
      </c>
      <c r="D607" s="4" t="str">
        <f>VLOOKUP(B607,Classification!A:D,2,FALSE)</f>
        <v>B1</v>
      </c>
      <c r="E607" s="4" t="str">
        <f>VLOOKUP(B607,Classification!A:D,3,FALSE)</f>
        <v>Peptide</v>
      </c>
      <c r="F607" s="4" t="str">
        <f>VLOOKUP(B607,Classification!A:D,4,FALSE)</f>
        <v>Glucagonreceptorfamily</v>
      </c>
      <c r="G607" s="2">
        <v>5</v>
      </c>
      <c r="H607" s="45" t="s">
        <v>25</v>
      </c>
      <c r="I607" s="2" t="s">
        <v>1223</v>
      </c>
      <c r="J607" s="5" t="str">
        <f>VLOOKUP(B607,Seqs!A:B,2,FALSE)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07" s="4" t="str">
        <f t="shared" si="60"/>
        <v>S</v>
      </c>
      <c r="L607" s="45">
        <f>VLOOKUP(B607,'NonXtal_SegEnds_Prot#'!A:AL,15,FALSE)</f>
        <v>217</v>
      </c>
      <c r="M607" s="45">
        <f>VLOOKUP(B607,'NonXtal_SegEnds_Prot#'!A:AL,16,FALSE)</f>
        <v>249</v>
      </c>
      <c r="N607" s="45">
        <f>VLOOKUP(B607,'NonXtal_SegEnds_Prot#'!A:AL,17,FALSE)</f>
        <v>255</v>
      </c>
      <c r="O607" s="4" t="str">
        <f t="shared" si="56"/>
        <v>L</v>
      </c>
      <c r="P607" s="4"/>
      <c r="Q607" s="47" t="str">
        <f t="shared" si="57"/>
        <v>SDGAVAGCRVAAVFMQYGIVANYCWLLVEGLY</v>
      </c>
      <c r="R607" s="27" t="str">
        <f t="shared" si="58"/>
        <v>L</v>
      </c>
      <c r="S607" s="19" t="str">
        <f t="shared" si="59"/>
        <v>HNLLGL</v>
      </c>
      <c r="Z607" s="4"/>
      <c r="AD607" s="1" t="s">
        <v>176</v>
      </c>
      <c r="AE607" s="1">
        <v>217</v>
      </c>
      <c r="AF607" s="1">
        <v>249</v>
      </c>
      <c r="AG607" s="1">
        <v>255</v>
      </c>
      <c r="AH607" s="1" t="s">
        <v>27</v>
      </c>
      <c r="AK607" s="4">
        <v>18</v>
      </c>
      <c r="AL607" s="4">
        <v>56</v>
      </c>
    </row>
    <row r="608" spans="1:38" x14ac:dyDescent="0.25">
      <c r="A608" s="1" t="str">
        <f t="shared" si="55"/>
        <v>glr_human_5EE7_TM3</v>
      </c>
      <c r="B608" s="45" t="s">
        <v>206</v>
      </c>
      <c r="C608" s="45" t="s">
        <v>237</v>
      </c>
      <c r="D608" s="4" t="str">
        <f>VLOOKUP(B608,Classification!A:D,2,FALSE)</f>
        <v>B1</v>
      </c>
      <c r="E608" s="4" t="str">
        <f>VLOOKUP(B608,Classification!A:D,3,FALSE)</f>
        <v>Peptide</v>
      </c>
      <c r="F608" s="4" t="str">
        <f>VLOOKUP(B608,Classification!A:D,4,FALSE)</f>
        <v>Glucagonreceptorfamily</v>
      </c>
      <c r="G608" s="2">
        <v>5</v>
      </c>
      <c r="H608" s="45" t="s">
        <v>25</v>
      </c>
      <c r="I608" s="2" t="s">
        <v>1223</v>
      </c>
      <c r="J608" s="5" t="str">
        <f>VLOOKUP(B608,Seqs!A:B,2,FALSE)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08" s="4" t="str">
        <f t="shared" si="60"/>
        <v>S</v>
      </c>
      <c r="L608" s="45">
        <f>VLOOKUP(B608,'NonXtal_SegEnds_Prot#'!A:AL,15,FALSE)</f>
        <v>217</v>
      </c>
      <c r="M608" s="45">
        <f>VLOOKUP(B608,'NonXtal_SegEnds_Prot#'!A:AL,16,FALSE)</f>
        <v>249</v>
      </c>
      <c r="N608" s="45">
        <f>VLOOKUP(B608,'NonXtal_SegEnds_Prot#'!A:AL,17,FALSE)</f>
        <v>255</v>
      </c>
      <c r="O608" s="4" t="str">
        <f t="shared" si="56"/>
        <v>L</v>
      </c>
      <c r="P608" s="4"/>
      <c r="Q608" s="47" t="str">
        <f t="shared" si="57"/>
        <v>SDGAVAGCRVAAVFMQYGIVANYCWLLVEGLY</v>
      </c>
      <c r="R608" s="27" t="str">
        <f t="shared" si="58"/>
        <v>L</v>
      </c>
      <c r="S608" s="19" t="str">
        <f t="shared" si="59"/>
        <v>HNLLGL</v>
      </c>
      <c r="Z608" s="4"/>
      <c r="AD608" s="1" t="s">
        <v>157</v>
      </c>
      <c r="AE608" s="1">
        <v>218</v>
      </c>
      <c r="AF608" s="1">
        <v>249</v>
      </c>
      <c r="AG608" s="1">
        <v>254</v>
      </c>
      <c r="AH608" s="1" t="s">
        <v>144</v>
      </c>
      <c r="AK608" s="9">
        <v>19</v>
      </c>
      <c r="AL608" s="9">
        <v>55</v>
      </c>
    </row>
    <row r="609" spans="1:38" x14ac:dyDescent="0.25">
      <c r="A609" s="1" t="str">
        <f t="shared" si="55"/>
        <v>grm1_human__wt_TM3</v>
      </c>
      <c r="B609" s="45" t="s">
        <v>223</v>
      </c>
      <c r="C609" s="45" t="s">
        <v>294</v>
      </c>
      <c r="D609" s="4" t="str">
        <f>VLOOKUP(B609,Classification!A:D,2,FALSE)</f>
        <v>C</v>
      </c>
      <c r="E609" s="4" t="str">
        <f>VLOOKUP(B609,Classification!A:D,3,FALSE)</f>
        <v>Aminoacid</v>
      </c>
      <c r="F609" s="4" t="str">
        <f>VLOOKUP(B609,Classification!A:D,4,FALSE)</f>
        <v>Metabotropicglutamate</v>
      </c>
      <c r="G609" s="2">
        <v>5</v>
      </c>
      <c r="H609" s="45" t="s">
        <v>25</v>
      </c>
      <c r="I609" s="2" t="s">
        <v>1223</v>
      </c>
      <c r="J609" s="5" t="str">
        <f>VLOOKUP(B609,Seqs!A:B,2,FALSE)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609" s="4" t="str">
        <f t="shared" si="60"/>
        <v>T</v>
      </c>
      <c r="L609" s="45">
        <f>VLOOKUP(B609,'NonXtal_SegEnds_Prot#'!A:AL,15,FALSE)</f>
        <v>654</v>
      </c>
      <c r="M609" s="45">
        <f>VLOOKUP(B609,'NonXtal_SegEnds_Prot#'!A:AL,16,FALSE)</f>
        <v>682</v>
      </c>
      <c r="N609" s="45">
        <f>VLOOKUP(B609,'NonXtal_SegEnds_Prot#'!A:AL,17,FALSE)</f>
        <v>686</v>
      </c>
      <c r="O609" s="4" t="str">
        <f t="shared" si="56"/>
        <v>L</v>
      </c>
      <c r="P609" s="4"/>
      <c r="Q609" s="47" t="str">
        <f t="shared" si="57"/>
        <v>TTSCYLQRLLVGLSSAMCYSALVTKTNR</v>
      </c>
      <c r="R609" s="27" t="str">
        <f t="shared" si="58"/>
        <v>I</v>
      </c>
      <c r="S609" s="19" t="str">
        <f t="shared" si="59"/>
        <v>ARIL</v>
      </c>
      <c r="Z609" s="4"/>
      <c r="AD609" s="1" t="s">
        <v>26</v>
      </c>
      <c r="AE609" s="1">
        <v>654</v>
      </c>
      <c r="AF609" s="1">
        <v>682</v>
      </c>
      <c r="AG609" s="1">
        <v>686</v>
      </c>
      <c r="AH609" s="1" t="s">
        <v>188</v>
      </c>
      <c r="AK609" s="4">
        <v>22</v>
      </c>
      <c r="AL609" s="4">
        <v>54</v>
      </c>
    </row>
    <row r="610" spans="1:38" x14ac:dyDescent="0.25">
      <c r="A610" s="1" t="str">
        <f t="shared" si="55"/>
        <v>grm1_human_4OR2_TM3</v>
      </c>
      <c r="B610" s="45" t="s">
        <v>223</v>
      </c>
      <c r="C610" s="45" t="s">
        <v>289</v>
      </c>
      <c r="D610" s="4" t="str">
        <f>VLOOKUP(B610,Classification!A:D,2,FALSE)</f>
        <v>C</v>
      </c>
      <c r="E610" s="4" t="str">
        <f>VLOOKUP(B610,Classification!A:D,3,FALSE)</f>
        <v>Aminoacid</v>
      </c>
      <c r="F610" s="4" t="str">
        <f>VLOOKUP(B610,Classification!A:D,4,FALSE)</f>
        <v>Metabotropicglutamate</v>
      </c>
      <c r="G610" s="2">
        <v>5</v>
      </c>
      <c r="H610" s="45" t="s">
        <v>25</v>
      </c>
      <c r="I610" s="2" t="s">
        <v>1223</v>
      </c>
      <c r="J610" s="5" t="str">
        <f>VLOOKUP(B610,Seqs!A:B,2,FALSE)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610" s="4" t="str">
        <f t="shared" si="60"/>
        <v>T</v>
      </c>
      <c r="L610" s="45">
        <f>VLOOKUP(B610,'NonXtal_SegEnds_Prot#'!A:AL,15,FALSE)</f>
        <v>654</v>
      </c>
      <c r="M610" s="45">
        <f>VLOOKUP(B610,'NonXtal_SegEnds_Prot#'!A:AL,16,FALSE)</f>
        <v>682</v>
      </c>
      <c r="N610" s="45">
        <f>VLOOKUP(B610,'NonXtal_SegEnds_Prot#'!A:AL,17,FALSE)</f>
        <v>686</v>
      </c>
      <c r="O610" s="4" t="str">
        <f t="shared" si="56"/>
        <v>L</v>
      </c>
      <c r="P610" s="4"/>
      <c r="Q610" s="47" t="str">
        <f t="shared" si="57"/>
        <v>TTSCYLQRLLVGLSSAMCYSALVTKTNR</v>
      </c>
      <c r="R610" s="27" t="str">
        <f t="shared" si="58"/>
        <v>I</v>
      </c>
      <c r="S610" s="19" t="str">
        <f t="shared" si="59"/>
        <v>ARIL</v>
      </c>
      <c r="Z610" s="4"/>
      <c r="AD610" s="1" t="s">
        <v>26</v>
      </c>
      <c r="AE610" s="1">
        <v>654</v>
      </c>
      <c r="AF610" s="1">
        <v>682</v>
      </c>
      <c r="AG610" s="1">
        <v>686</v>
      </c>
      <c r="AH610" s="1" t="s">
        <v>188</v>
      </c>
      <c r="AK610" s="4">
        <v>22</v>
      </c>
      <c r="AL610" s="4">
        <v>54</v>
      </c>
    </row>
    <row r="611" spans="1:38" x14ac:dyDescent="0.25">
      <c r="A611" s="1" t="str">
        <f t="shared" si="55"/>
        <v>grm5_human__wt_TM3</v>
      </c>
      <c r="B611" s="45" t="s">
        <v>224</v>
      </c>
      <c r="C611" s="45" t="s">
        <v>294</v>
      </c>
      <c r="D611" s="4" t="str">
        <f>VLOOKUP(B611,Classification!A:D,2,FALSE)</f>
        <v>C</v>
      </c>
      <c r="E611" s="4" t="str">
        <f>VLOOKUP(B611,Classification!A:D,3,FALSE)</f>
        <v>Aminoacid</v>
      </c>
      <c r="F611" s="4" t="str">
        <f>VLOOKUP(B611,Classification!A:D,4,FALSE)</f>
        <v>Metabotropicglutamate</v>
      </c>
      <c r="G611" s="2">
        <v>5</v>
      </c>
      <c r="H611" s="45" t="s">
        <v>25</v>
      </c>
      <c r="I611" s="2" t="s">
        <v>1223</v>
      </c>
      <c r="J611" s="5" t="str">
        <f>VLOOKUP(B611,Seqs!A:B,2,FALSE)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1" s="4" t="str">
        <f t="shared" si="60"/>
        <v>Q</v>
      </c>
      <c r="L611" s="45">
        <f>VLOOKUP(B611,'NonXtal_SegEnds_Prot#'!A:AL,15,FALSE)</f>
        <v>641</v>
      </c>
      <c r="M611" s="45">
        <f>VLOOKUP(B611,'NonXtal_SegEnds_Prot#'!A:AL,16,FALSE)</f>
        <v>669</v>
      </c>
      <c r="N611" s="45">
        <f>VLOOKUP(B611,'NonXtal_SegEnds_Prot#'!A:AL,17,FALSE)</f>
        <v>673</v>
      </c>
      <c r="O611" s="4" t="str">
        <f t="shared" si="56"/>
        <v>L</v>
      </c>
      <c r="P611" s="4"/>
      <c r="Q611" s="47" t="str">
        <f t="shared" si="57"/>
        <v>QIYCYLQRIGIGLSPAMSYSALVTKTNR</v>
      </c>
      <c r="R611" s="27" t="str">
        <f t="shared" si="58"/>
        <v>I</v>
      </c>
      <c r="S611" s="19" t="str">
        <f t="shared" si="59"/>
        <v>ARIL</v>
      </c>
      <c r="Z611" s="4"/>
      <c r="AD611" s="1" t="s">
        <v>26</v>
      </c>
      <c r="AE611" s="1">
        <v>641</v>
      </c>
      <c r="AF611" s="1">
        <v>669</v>
      </c>
      <c r="AG611" s="1">
        <v>673</v>
      </c>
      <c r="AH611" s="1" t="s">
        <v>188</v>
      </c>
      <c r="AK611" s="4">
        <v>22</v>
      </c>
      <c r="AL611" s="4">
        <v>54</v>
      </c>
    </row>
    <row r="612" spans="1:38" x14ac:dyDescent="0.25">
      <c r="A612" s="1" t="str">
        <f t="shared" si="55"/>
        <v>grm5_human_4OO9_TM3</v>
      </c>
      <c r="B612" s="45" t="s">
        <v>224</v>
      </c>
      <c r="C612" s="45" t="s">
        <v>248</v>
      </c>
      <c r="D612" s="4" t="str">
        <f>VLOOKUP(B612,Classification!A:D,2,FALSE)</f>
        <v>C</v>
      </c>
      <c r="E612" s="4" t="str">
        <f>VLOOKUP(B612,Classification!A:D,3,FALSE)</f>
        <v>Aminoacid</v>
      </c>
      <c r="F612" s="4" t="str">
        <f>VLOOKUP(B612,Classification!A:D,4,FALSE)</f>
        <v>Metabotropicglutamate</v>
      </c>
      <c r="G612" s="2">
        <v>5</v>
      </c>
      <c r="H612" s="45" t="s">
        <v>25</v>
      </c>
      <c r="I612" s="2" t="s">
        <v>1223</v>
      </c>
      <c r="J612" s="5" t="str">
        <f>VLOOKUP(B612,Seqs!A:B,2,FALSE)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2" s="4" t="str">
        <f t="shared" si="60"/>
        <v>Q</v>
      </c>
      <c r="L612" s="45">
        <f>VLOOKUP(B612,'NonXtal_SegEnds_Prot#'!A:AL,15,FALSE)</f>
        <v>641</v>
      </c>
      <c r="M612" s="45">
        <f>VLOOKUP(B612,'NonXtal_SegEnds_Prot#'!A:AL,16,FALSE)</f>
        <v>669</v>
      </c>
      <c r="N612" s="45">
        <f>VLOOKUP(B612,'NonXtal_SegEnds_Prot#'!A:AL,17,FALSE)</f>
        <v>673</v>
      </c>
      <c r="O612" s="4" t="str">
        <f t="shared" si="56"/>
        <v>L</v>
      </c>
      <c r="P612" s="4"/>
      <c r="Q612" s="47" t="str">
        <f t="shared" si="57"/>
        <v>QIYCYLQRIGIGLSPAMSYSALVTKTNR</v>
      </c>
      <c r="R612" s="27" t="str">
        <f t="shared" si="58"/>
        <v>I</v>
      </c>
      <c r="S612" s="19" t="str">
        <f t="shared" si="59"/>
        <v>ARIL</v>
      </c>
      <c r="Z612" s="4"/>
      <c r="AD612" s="1" t="s">
        <v>26</v>
      </c>
      <c r="AE612" s="1">
        <v>641</v>
      </c>
      <c r="AF612" s="1">
        <v>669</v>
      </c>
      <c r="AG612" s="1">
        <v>678</v>
      </c>
      <c r="AH612" s="1" t="s">
        <v>196</v>
      </c>
      <c r="AK612" s="4">
        <v>22</v>
      </c>
      <c r="AL612" s="4">
        <v>59</v>
      </c>
    </row>
    <row r="613" spans="1:38" x14ac:dyDescent="0.25">
      <c r="A613" s="1" t="str">
        <f t="shared" si="55"/>
        <v>grm5_human_5CGC_TM3</v>
      </c>
      <c r="B613" s="45" t="s">
        <v>224</v>
      </c>
      <c r="C613" s="45" t="s">
        <v>249</v>
      </c>
      <c r="D613" s="4" t="str">
        <f>VLOOKUP(B613,Classification!A:D,2,FALSE)</f>
        <v>C</v>
      </c>
      <c r="E613" s="4" t="str">
        <f>VLOOKUP(B613,Classification!A:D,3,FALSE)</f>
        <v>Aminoacid</v>
      </c>
      <c r="F613" s="4" t="str">
        <f>VLOOKUP(B613,Classification!A:D,4,FALSE)</f>
        <v>Metabotropicglutamate</v>
      </c>
      <c r="G613" s="2">
        <v>5</v>
      </c>
      <c r="H613" s="45" t="s">
        <v>25</v>
      </c>
      <c r="I613" s="2" t="s">
        <v>1223</v>
      </c>
      <c r="J613" s="5" t="str">
        <f>VLOOKUP(B613,Seqs!A:B,2,FALSE)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3" s="4" t="str">
        <f t="shared" si="60"/>
        <v>Q</v>
      </c>
      <c r="L613" s="45">
        <f>VLOOKUP(B613,'NonXtal_SegEnds_Prot#'!A:AL,15,FALSE)</f>
        <v>641</v>
      </c>
      <c r="M613" s="45">
        <f>VLOOKUP(B613,'NonXtal_SegEnds_Prot#'!A:AL,16,FALSE)</f>
        <v>669</v>
      </c>
      <c r="N613" s="45">
        <f>VLOOKUP(B613,'NonXtal_SegEnds_Prot#'!A:AL,17,FALSE)</f>
        <v>673</v>
      </c>
      <c r="O613" s="4" t="str">
        <f t="shared" si="56"/>
        <v>L</v>
      </c>
      <c r="P613" s="4"/>
      <c r="Q613" s="47" t="str">
        <f t="shared" si="57"/>
        <v>QIYCYLQRIGIGLSPAMSYSALVTKTNR</v>
      </c>
      <c r="R613" s="27" t="str">
        <f t="shared" si="58"/>
        <v>I</v>
      </c>
      <c r="S613" s="19" t="str">
        <f t="shared" si="59"/>
        <v>ARIL</v>
      </c>
      <c r="Z613" s="4"/>
      <c r="AD613" s="1" t="s">
        <v>26</v>
      </c>
      <c r="AE613" s="1">
        <v>641</v>
      </c>
      <c r="AF613" s="1">
        <v>669</v>
      </c>
      <c r="AG613" s="1">
        <v>678</v>
      </c>
      <c r="AH613" s="1" t="s">
        <v>196</v>
      </c>
      <c r="AK613" s="4">
        <v>22</v>
      </c>
      <c r="AL613" s="4">
        <v>59</v>
      </c>
    </row>
    <row r="614" spans="1:38" x14ac:dyDescent="0.25">
      <c r="A614" s="1" t="str">
        <f t="shared" si="55"/>
        <v>grm5_human_5CGD_TM3</v>
      </c>
      <c r="B614" s="45" t="s">
        <v>224</v>
      </c>
      <c r="C614" s="45" t="s">
        <v>250</v>
      </c>
      <c r="D614" s="4" t="str">
        <f>VLOOKUP(B614,Classification!A:D,2,FALSE)</f>
        <v>C</v>
      </c>
      <c r="E614" s="4" t="str">
        <f>VLOOKUP(B614,Classification!A:D,3,FALSE)</f>
        <v>Aminoacid</v>
      </c>
      <c r="F614" s="4" t="str">
        <f>VLOOKUP(B614,Classification!A:D,4,FALSE)</f>
        <v>Metabotropicglutamate</v>
      </c>
      <c r="G614" s="2">
        <v>5</v>
      </c>
      <c r="H614" s="45" t="s">
        <v>25</v>
      </c>
      <c r="I614" s="2" t="s">
        <v>1223</v>
      </c>
      <c r="J614" s="5" t="str">
        <f>VLOOKUP(B614,Seqs!A:B,2,FALSE)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4" s="4" t="str">
        <f t="shared" si="60"/>
        <v>Q</v>
      </c>
      <c r="L614" s="45">
        <f>VLOOKUP(B614,'NonXtal_SegEnds_Prot#'!A:AL,15,FALSE)</f>
        <v>641</v>
      </c>
      <c r="M614" s="45">
        <f>VLOOKUP(B614,'NonXtal_SegEnds_Prot#'!A:AL,16,FALSE)</f>
        <v>669</v>
      </c>
      <c r="N614" s="45">
        <f>VLOOKUP(B614,'NonXtal_SegEnds_Prot#'!A:AL,17,FALSE)</f>
        <v>673</v>
      </c>
      <c r="O614" s="4" t="str">
        <f t="shared" si="56"/>
        <v>L</v>
      </c>
      <c r="P614" s="4"/>
      <c r="Q614" s="47" t="str">
        <f t="shared" si="57"/>
        <v>QIYCYLQRIGIGLSPAMSYSALVTKTNR</v>
      </c>
      <c r="R614" s="27" t="str">
        <f t="shared" si="58"/>
        <v>I</v>
      </c>
      <c r="S614" s="19" t="str">
        <f t="shared" si="59"/>
        <v>ARIL</v>
      </c>
      <c r="Z614" s="4"/>
      <c r="AD614" s="1" t="s">
        <v>26</v>
      </c>
      <c r="AE614" s="1">
        <v>641</v>
      </c>
      <c r="AF614" s="1">
        <v>669</v>
      </c>
      <c r="AG614" s="1">
        <v>678</v>
      </c>
      <c r="AH614" s="1" t="s">
        <v>196</v>
      </c>
      <c r="AK614" s="4">
        <v>22</v>
      </c>
      <c r="AL614" s="4">
        <v>59</v>
      </c>
    </row>
    <row r="615" spans="1:38" x14ac:dyDescent="0.25">
      <c r="A615" s="1" t="str">
        <f t="shared" si="55"/>
        <v>HRH1_human__wt_TM3</v>
      </c>
      <c r="B615" s="45" t="s">
        <v>225</v>
      </c>
      <c r="C615" s="45" t="s">
        <v>294</v>
      </c>
      <c r="D615" s="4" t="str">
        <f>VLOOKUP(B615,Classification!A:D,2,FALSE)</f>
        <v>A</v>
      </c>
      <c r="E615" s="4" t="str">
        <f>VLOOKUP(B615,Classification!A:D,3,FALSE)</f>
        <v>Aminergic</v>
      </c>
      <c r="F615" s="4" t="str">
        <f>VLOOKUP(B615,Classification!A:D,4,FALSE)</f>
        <v>Histamine</v>
      </c>
      <c r="G615" s="2">
        <v>5</v>
      </c>
      <c r="H615" s="45" t="s">
        <v>25</v>
      </c>
      <c r="I615" s="2" t="s">
        <v>1223</v>
      </c>
      <c r="J615" s="5" t="str">
        <f>VLOOKUP(B615,Seqs!A:B,2,FALSE)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615" s="4" t="str">
        <f t="shared" si="60"/>
        <v>G</v>
      </c>
      <c r="L615" s="45">
        <f>VLOOKUP(B615,'NonXtal_SegEnds_Prot#'!A:AL,15,FALSE)</f>
        <v>96</v>
      </c>
      <c r="M615" s="45">
        <f>VLOOKUP(B615,'NonXtal_SegEnds_Prot#'!A:AL,16,FALSE)</f>
        <v>125</v>
      </c>
      <c r="N615" s="45">
        <f>VLOOKUP(B615,'NonXtal_SegEnds_Prot#'!A:AL,17,FALSE)</f>
        <v>131</v>
      </c>
      <c r="O615" s="4" t="str">
        <f t="shared" si="56"/>
        <v>Q</v>
      </c>
      <c r="P615" s="4"/>
      <c r="Q615" s="47" t="str">
        <f t="shared" si="57"/>
        <v>GRPLCLFWLSMDYVASTASIFSVFILCID</v>
      </c>
      <c r="R615" s="27" t="str">
        <f t="shared" si="58"/>
        <v>R</v>
      </c>
      <c r="S615" s="19" t="str">
        <f t="shared" si="59"/>
        <v>YRSVQQ</v>
      </c>
      <c r="Z615" s="4"/>
      <c r="AD615" s="1" t="s">
        <v>26</v>
      </c>
      <c r="AE615" s="1">
        <v>97</v>
      </c>
      <c r="AF615" s="1">
        <v>125</v>
      </c>
      <c r="AG615" s="1">
        <v>131</v>
      </c>
      <c r="AH615" s="1" t="s">
        <v>27</v>
      </c>
      <c r="AK615" s="4">
        <v>22</v>
      </c>
      <c r="AL615" s="4">
        <v>56</v>
      </c>
    </row>
    <row r="616" spans="1:38" x14ac:dyDescent="0.25">
      <c r="A616" s="1" t="str">
        <f t="shared" si="55"/>
        <v>HRH1_human_3RZE_TM3</v>
      </c>
      <c r="B616" s="45" t="s">
        <v>225</v>
      </c>
      <c r="C616" s="45" t="s">
        <v>264</v>
      </c>
      <c r="D616" s="4" t="str">
        <f>VLOOKUP(B616,Classification!A:D,2,FALSE)</f>
        <v>A</v>
      </c>
      <c r="E616" s="4" t="str">
        <f>VLOOKUP(B616,Classification!A:D,3,FALSE)</f>
        <v>Aminergic</v>
      </c>
      <c r="F616" s="4" t="str">
        <f>VLOOKUP(B616,Classification!A:D,4,FALSE)</f>
        <v>Histamine</v>
      </c>
      <c r="G616" s="2">
        <v>5</v>
      </c>
      <c r="H616" s="45" t="s">
        <v>25</v>
      </c>
      <c r="I616" s="2" t="s">
        <v>1223</v>
      </c>
      <c r="J616" s="5" t="str">
        <f>VLOOKUP(B616,Seqs!A:B,2,FALSE)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616" s="4" t="str">
        <f t="shared" si="60"/>
        <v>G</v>
      </c>
      <c r="L616" s="45">
        <f>VLOOKUP(B616,'NonXtal_SegEnds_Prot#'!A:AL,15,FALSE)</f>
        <v>96</v>
      </c>
      <c r="M616" s="45">
        <f>VLOOKUP(B616,'NonXtal_SegEnds_Prot#'!A:AL,16,FALSE)</f>
        <v>125</v>
      </c>
      <c r="N616" s="45">
        <f>VLOOKUP(B616,'NonXtal_SegEnds_Prot#'!A:AL,17,FALSE)</f>
        <v>131</v>
      </c>
      <c r="O616" s="4" t="str">
        <f t="shared" si="56"/>
        <v>Q</v>
      </c>
      <c r="P616" s="4"/>
      <c r="Q616" s="47" t="str">
        <f t="shared" si="57"/>
        <v>GRPLCLFWLSMDYVASTASIFSVFILCID</v>
      </c>
      <c r="R616" s="27" t="str">
        <f t="shared" si="58"/>
        <v>R</v>
      </c>
      <c r="S616" s="19" t="str">
        <f t="shared" si="59"/>
        <v>YRSVQQ</v>
      </c>
      <c r="Z616" s="4"/>
      <c r="AD616" s="1" t="s">
        <v>26</v>
      </c>
      <c r="AE616" s="1">
        <v>97</v>
      </c>
      <c r="AF616" s="1">
        <v>125</v>
      </c>
      <c r="AG616" s="1">
        <v>131</v>
      </c>
      <c r="AH616" s="1" t="s">
        <v>27</v>
      </c>
      <c r="AK616" s="4">
        <v>22</v>
      </c>
      <c r="AL616" s="4">
        <v>56</v>
      </c>
    </row>
    <row r="617" spans="1:38" x14ac:dyDescent="0.25">
      <c r="A617" s="1" t="str">
        <f t="shared" si="55"/>
        <v>LPAR1_human__wt_TM3</v>
      </c>
      <c r="B617" s="45" t="s">
        <v>214</v>
      </c>
      <c r="C617" s="45" t="s">
        <v>294</v>
      </c>
      <c r="D617" s="4" t="str">
        <f>VLOOKUP(B617,Classification!A:D,2,FALSE)</f>
        <v>A</v>
      </c>
      <c r="E617" s="4" t="str">
        <f>VLOOKUP(B617,Classification!A:D,3,FALSE)</f>
        <v>Lipid</v>
      </c>
      <c r="F617" s="4" t="str">
        <f>VLOOKUP(B617,Classification!A:D,4,FALSE)</f>
        <v>Lysophospholipid(LPA)</v>
      </c>
      <c r="G617" s="2">
        <v>5</v>
      </c>
      <c r="H617" s="45" t="s">
        <v>25</v>
      </c>
      <c r="I617" s="2" t="s">
        <v>1223</v>
      </c>
      <c r="J617" s="5" t="str">
        <f>VLOOKUP(B617,Seqs!A:B,2,FALSE)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617" s="4" t="str">
        <f t="shared" si="60"/>
        <v>T</v>
      </c>
      <c r="L617" s="45">
        <f>VLOOKUP(B617,'NonXtal_SegEnds_Prot#'!A:AL,15,FALSE)</f>
        <v>117</v>
      </c>
      <c r="M617" s="45">
        <f>VLOOKUP(B617,'NonXtal_SegEnds_Prot#'!A:AL,16,FALSE)</f>
        <v>146</v>
      </c>
      <c r="N617" s="45">
        <f>VLOOKUP(B617,'NonXtal_SegEnds_Prot#'!A:AL,17,FALSE)</f>
        <v>152</v>
      </c>
      <c r="O617" s="4" t="str">
        <f t="shared" si="56"/>
        <v>R</v>
      </c>
      <c r="P617" s="4"/>
      <c r="Q617" s="47" t="str">
        <f t="shared" si="57"/>
        <v>TVSTWLLRQGLIDTSLTASVANLLAIAIE</v>
      </c>
      <c r="R617" s="27" t="str">
        <f t="shared" si="58"/>
        <v>R</v>
      </c>
      <c r="S617" s="19" t="str">
        <f t="shared" si="59"/>
        <v>HITVFR</v>
      </c>
      <c r="Z617" s="4"/>
      <c r="AD617" s="1" t="s">
        <v>26</v>
      </c>
      <c r="AE617" s="1">
        <v>118</v>
      </c>
      <c r="AF617" s="1">
        <v>146</v>
      </c>
      <c r="AG617" s="1">
        <v>152</v>
      </c>
      <c r="AH617" s="1" t="s">
        <v>27</v>
      </c>
      <c r="AK617" s="4">
        <v>22</v>
      </c>
      <c r="AL617" s="4">
        <v>56</v>
      </c>
    </row>
    <row r="618" spans="1:38" x14ac:dyDescent="0.25">
      <c r="A618" s="1" t="str">
        <f t="shared" si="55"/>
        <v>LPAR1_human_4Z35_TM3</v>
      </c>
      <c r="B618" s="45" t="s">
        <v>214</v>
      </c>
      <c r="C618" s="45" t="s">
        <v>281</v>
      </c>
      <c r="D618" s="4" t="str">
        <f>VLOOKUP(B618,Classification!A:D,2,FALSE)</f>
        <v>A</v>
      </c>
      <c r="E618" s="4" t="str">
        <f>VLOOKUP(B618,Classification!A:D,3,FALSE)</f>
        <v>Lipid</v>
      </c>
      <c r="F618" s="4" t="str">
        <f>VLOOKUP(B618,Classification!A:D,4,FALSE)</f>
        <v>Lysophospholipid(LPA)</v>
      </c>
      <c r="G618" s="2">
        <v>5</v>
      </c>
      <c r="H618" s="45" t="s">
        <v>25</v>
      </c>
      <c r="I618" s="2" t="s">
        <v>1223</v>
      </c>
      <c r="J618" s="5" t="str">
        <f>VLOOKUP(B618,Seqs!A:B,2,FALSE)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618" s="4" t="str">
        <f t="shared" si="60"/>
        <v>T</v>
      </c>
      <c r="L618" s="45">
        <f>VLOOKUP(B618,'NonXtal_SegEnds_Prot#'!A:AL,15,FALSE)</f>
        <v>117</v>
      </c>
      <c r="M618" s="45">
        <f>VLOOKUP(B618,'NonXtal_SegEnds_Prot#'!A:AL,16,FALSE)</f>
        <v>146</v>
      </c>
      <c r="N618" s="45">
        <f>VLOOKUP(B618,'NonXtal_SegEnds_Prot#'!A:AL,17,FALSE)</f>
        <v>152</v>
      </c>
      <c r="O618" s="4" t="str">
        <f t="shared" si="56"/>
        <v>R</v>
      </c>
      <c r="P618" s="4"/>
      <c r="Q618" s="47" t="str">
        <f t="shared" si="57"/>
        <v>TVSTWLLRQGLIDTSLTASVANLLAIAIE</v>
      </c>
      <c r="R618" s="27" t="str">
        <f t="shared" si="58"/>
        <v>R</v>
      </c>
      <c r="S618" s="19" t="str">
        <f t="shared" si="59"/>
        <v>HITVFR</v>
      </c>
      <c r="Z618" s="4"/>
      <c r="AD618" s="1" t="s">
        <v>26</v>
      </c>
      <c r="AE618" s="1">
        <v>118</v>
      </c>
      <c r="AF618" s="1">
        <v>146</v>
      </c>
      <c r="AG618" s="1">
        <v>152</v>
      </c>
      <c r="AH618" s="1" t="s">
        <v>27</v>
      </c>
      <c r="AK618" s="4">
        <v>22</v>
      </c>
      <c r="AL618" s="4">
        <v>56</v>
      </c>
    </row>
    <row r="619" spans="1:38" x14ac:dyDescent="0.25">
      <c r="A619" s="1" t="str">
        <f t="shared" si="55"/>
        <v>NTR1_rat__wt_TM3</v>
      </c>
      <c r="B619" s="45" t="s">
        <v>234</v>
      </c>
      <c r="C619" s="45" t="s">
        <v>294</v>
      </c>
      <c r="D619" s="4" t="str">
        <f>VLOOKUP(B619,Classification!A:D,2,FALSE)</f>
        <v>A</v>
      </c>
      <c r="E619" s="4" t="str">
        <f>VLOOKUP(B619,Classification!A:D,3,FALSE)</f>
        <v>Peptide</v>
      </c>
      <c r="F619" s="4" t="str">
        <f>VLOOKUP(B619,Classification!A:D,4,FALSE)</f>
        <v>Neurotensin</v>
      </c>
      <c r="G619" s="2">
        <v>5</v>
      </c>
      <c r="H619" s="45" t="s">
        <v>25</v>
      </c>
      <c r="I619" s="2" t="s">
        <v>1223</v>
      </c>
      <c r="J619" s="5" t="str">
        <f>VLOOKUP(B619,Seqs!A:B,2,FALSE)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619" s="4" t="str">
        <f t="shared" si="60"/>
        <v>G</v>
      </c>
      <c r="L619" s="45">
        <f>VLOOKUP(B619,'NonXtal_SegEnds_Prot#'!A:AL,15,FALSE)</f>
        <v>138</v>
      </c>
      <c r="M619" s="45">
        <f>VLOOKUP(B619,'NonXtal_SegEnds_Prot#'!A:AL,16,FALSE)</f>
        <v>167</v>
      </c>
      <c r="N619" s="45">
        <f>VLOOKUP(B619,'NonXtal_SegEnds_Prot#'!A:AL,17,FALSE)</f>
        <v>173</v>
      </c>
      <c r="O619" s="4" t="str">
        <f t="shared" si="56"/>
        <v>H</v>
      </c>
      <c r="P619" s="4"/>
      <c r="Q619" s="47" t="str">
        <f t="shared" si="57"/>
        <v>GDAGCRGYYFLRDACTYATALNVASLSVE</v>
      </c>
      <c r="R619" s="27" t="str">
        <f t="shared" si="58"/>
        <v>R</v>
      </c>
      <c r="S619" s="19" t="str">
        <f t="shared" si="59"/>
        <v>YLAICH</v>
      </c>
      <c r="Z619" s="4" t="s">
        <v>78</v>
      </c>
      <c r="AD619" s="1" t="s">
        <v>26</v>
      </c>
      <c r="AE619" s="1">
        <v>139</v>
      </c>
      <c r="AF619" s="1">
        <v>167</v>
      </c>
      <c r="AG619" s="1">
        <v>173</v>
      </c>
      <c r="AH619" s="1" t="s">
        <v>27</v>
      </c>
      <c r="AK619" s="4">
        <v>22</v>
      </c>
      <c r="AL619" s="4">
        <v>56</v>
      </c>
    </row>
    <row r="620" spans="1:38" x14ac:dyDescent="0.25">
      <c r="A620" s="1" t="str">
        <f t="shared" si="55"/>
        <v>NTR1_rat_4BOU_TM3</v>
      </c>
      <c r="B620" s="45" t="s">
        <v>234</v>
      </c>
      <c r="C620" s="45" t="s">
        <v>239</v>
      </c>
      <c r="D620" s="4" t="str">
        <f>VLOOKUP(B620,Classification!A:D,2,FALSE)</f>
        <v>A</v>
      </c>
      <c r="E620" s="4" t="str">
        <f>VLOOKUP(B620,Classification!A:D,3,FALSE)</f>
        <v>Peptide</v>
      </c>
      <c r="F620" s="4" t="str">
        <f>VLOOKUP(B620,Classification!A:D,4,FALSE)</f>
        <v>Neurotensin</v>
      </c>
      <c r="G620" s="2">
        <v>5</v>
      </c>
      <c r="H620" s="45" t="s">
        <v>25</v>
      </c>
      <c r="I620" s="2" t="s">
        <v>1223</v>
      </c>
      <c r="J620" s="5" t="str">
        <f>VLOOKUP(B620,Seqs!A:B,2,FALSE)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620" s="4" t="str">
        <f t="shared" si="60"/>
        <v>G</v>
      </c>
      <c r="L620" s="45">
        <f>VLOOKUP(B620,'NonXtal_SegEnds_Prot#'!A:AL,15,FALSE)</f>
        <v>138</v>
      </c>
      <c r="M620" s="45">
        <f>VLOOKUP(B620,'NonXtal_SegEnds_Prot#'!A:AL,16,FALSE)</f>
        <v>167</v>
      </c>
      <c r="N620" s="45">
        <f>VLOOKUP(B620,'NonXtal_SegEnds_Prot#'!A:AL,17,FALSE)</f>
        <v>173</v>
      </c>
      <c r="O620" s="4" t="str">
        <f t="shared" si="56"/>
        <v>H</v>
      </c>
      <c r="P620" s="4"/>
      <c r="Q620" s="47" t="str">
        <f t="shared" si="57"/>
        <v>GDAGCRGYYFLRDACTYATALNVASLSVE</v>
      </c>
      <c r="R620" s="27" t="str">
        <f t="shared" si="58"/>
        <v>R</v>
      </c>
      <c r="S620" s="19" t="str">
        <f t="shared" si="59"/>
        <v>YLAICH</v>
      </c>
      <c r="Z620" s="4" t="s">
        <v>78</v>
      </c>
      <c r="AD620" s="1" t="s">
        <v>26</v>
      </c>
      <c r="AE620" s="1">
        <v>139</v>
      </c>
      <c r="AF620" s="1">
        <v>167</v>
      </c>
      <c r="AG620" s="1">
        <v>173</v>
      </c>
      <c r="AH620" s="1" t="s">
        <v>27</v>
      </c>
      <c r="AK620" s="4">
        <v>22</v>
      </c>
      <c r="AL620" s="4">
        <v>56</v>
      </c>
    </row>
    <row r="621" spans="1:38" x14ac:dyDescent="0.25">
      <c r="A621" s="1" t="str">
        <f t="shared" si="55"/>
        <v>NTR1_rat_4GRV_TM3</v>
      </c>
      <c r="B621" s="45" t="s">
        <v>234</v>
      </c>
      <c r="C621" s="45" t="s">
        <v>238</v>
      </c>
      <c r="D621" s="4" t="str">
        <f>VLOOKUP(B621,Classification!A:D,2,FALSE)</f>
        <v>A</v>
      </c>
      <c r="E621" s="4" t="str">
        <f>VLOOKUP(B621,Classification!A:D,3,FALSE)</f>
        <v>Peptide</v>
      </c>
      <c r="F621" s="4" t="str">
        <f>VLOOKUP(B621,Classification!A:D,4,FALSE)</f>
        <v>Neurotensin</v>
      </c>
      <c r="G621" s="2">
        <v>5</v>
      </c>
      <c r="H621" s="45" t="s">
        <v>25</v>
      </c>
      <c r="I621" s="2" t="s">
        <v>1223</v>
      </c>
      <c r="J621" s="5" t="str">
        <f>VLOOKUP(B621,Seqs!A:B,2,FALSE)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621" s="4" t="str">
        <f t="shared" si="60"/>
        <v>G</v>
      </c>
      <c r="L621" s="45">
        <f>VLOOKUP(B621,'NonXtal_SegEnds_Prot#'!A:AL,15,FALSE)</f>
        <v>138</v>
      </c>
      <c r="M621" s="45">
        <f>VLOOKUP(B621,'NonXtal_SegEnds_Prot#'!A:AL,16,FALSE)</f>
        <v>167</v>
      </c>
      <c r="N621" s="45">
        <f>VLOOKUP(B621,'NonXtal_SegEnds_Prot#'!A:AL,17,FALSE)</f>
        <v>173</v>
      </c>
      <c r="O621" s="4" t="str">
        <f t="shared" si="56"/>
        <v>H</v>
      </c>
      <c r="P621" s="4"/>
      <c r="Q621" s="47" t="str">
        <f t="shared" si="57"/>
        <v>GDAGCRGYYFLRDACTYATALNVASLSVE</v>
      </c>
      <c r="R621" s="27" t="str">
        <f t="shared" si="58"/>
        <v>R</v>
      </c>
      <c r="S621" s="19" t="str">
        <f t="shared" si="59"/>
        <v>YLAICH</v>
      </c>
      <c r="Z621" s="4"/>
      <c r="AD621" s="1" t="s">
        <v>26</v>
      </c>
      <c r="AE621" s="1">
        <v>139</v>
      </c>
      <c r="AF621" s="1">
        <v>167</v>
      </c>
      <c r="AG621" s="1">
        <v>173</v>
      </c>
      <c r="AH621" s="1" t="s">
        <v>27</v>
      </c>
      <c r="AK621" s="4">
        <v>22</v>
      </c>
      <c r="AL621" s="4">
        <v>56</v>
      </c>
    </row>
    <row r="622" spans="1:38" x14ac:dyDescent="0.25">
      <c r="A622" s="1" t="str">
        <f t="shared" si="55"/>
        <v>OPRD_human__wt_TM3</v>
      </c>
      <c r="B622" s="45" t="s">
        <v>226</v>
      </c>
      <c r="C622" s="45" t="s">
        <v>294</v>
      </c>
      <c r="D622" s="4" t="str">
        <f>VLOOKUP(B622,Classification!A:D,2,FALSE)</f>
        <v>A</v>
      </c>
      <c r="E622" s="4" t="str">
        <f>VLOOKUP(B622,Classification!A:D,3,FALSE)</f>
        <v>Peptide</v>
      </c>
      <c r="F622" s="4" t="str">
        <f>VLOOKUP(B622,Classification!A:D,4,FALSE)</f>
        <v>Opioid</v>
      </c>
      <c r="G622" s="2">
        <v>5</v>
      </c>
      <c r="H622" s="45" t="s">
        <v>25</v>
      </c>
      <c r="I622" s="2" t="s">
        <v>1223</v>
      </c>
      <c r="J622" s="5" t="str">
        <f>VLOOKUP(B622,Seqs!A:B,2,FALSE)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622" s="4" t="str">
        <f t="shared" si="60"/>
        <v>G</v>
      </c>
      <c r="L622" s="45">
        <f>VLOOKUP(B622,'NonXtal_SegEnds_Prot#'!A:AL,15,FALSE)</f>
        <v>117</v>
      </c>
      <c r="M622" s="45">
        <f>VLOOKUP(B622,'NonXtal_SegEnds_Prot#'!A:AL,16,FALSE)</f>
        <v>146</v>
      </c>
      <c r="N622" s="45">
        <f>VLOOKUP(B622,'NonXtal_SegEnds_Prot#'!A:AL,17,FALSE)</f>
        <v>152</v>
      </c>
      <c r="O622" s="4" t="str">
        <f t="shared" si="56"/>
        <v>H</v>
      </c>
      <c r="P622" s="4"/>
      <c r="Q622" s="47" t="str">
        <f t="shared" si="57"/>
        <v>GELLCKAVLSIDYYNMFTSIFTLTMMSVD</v>
      </c>
      <c r="R622" s="27" t="str">
        <f t="shared" si="58"/>
        <v>R</v>
      </c>
      <c r="S622" s="19" t="str">
        <f t="shared" si="59"/>
        <v>YIAVCH</v>
      </c>
      <c r="Z622" s="4"/>
      <c r="AD622" s="1" t="s">
        <v>26</v>
      </c>
      <c r="AE622" s="1">
        <v>118</v>
      </c>
      <c r="AF622" s="1">
        <v>146</v>
      </c>
      <c r="AG622" s="1">
        <v>152</v>
      </c>
      <c r="AH622" s="1" t="s">
        <v>27</v>
      </c>
      <c r="AK622" s="4">
        <v>22</v>
      </c>
      <c r="AL622" s="4">
        <v>56</v>
      </c>
    </row>
    <row r="623" spans="1:38" x14ac:dyDescent="0.25">
      <c r="A623" s="1" t="str">
        <f t="shared" si="55"/>
        <v>OPRD_human_4N6H_TM3</v>
      </c>
      <c r="B623" s="45" t="s">
        <v>226</v>
      </c>
      <c r="C623" s="45" t="s">
        <v>279</v>
      </c>
      <c r="D623" s="4" t="str">
        <f>VLOOKUP(B623,Classification!A:D,2,FALSE)</f>
        <v>A</v>
      </c>
      <c r="E623" s="4" t="str">
        <f>VLOOKUP(B623,Classification!A:D,3,FALSE)</f>
        <v>Peptide</v>
      </c>
      <c r="F623" s="4" t="str">
        <f>VLOOKUP(B623,Classification!A:D,4,FALSE)</f>
        <v>Opioid</v>
      </c>
      <c r="G623" s="2">
        <v>5</v>
      </c>
      <c r="H623" s="45" t="s">
        <v>25</v>
      </c>
      <c r="I623" s="2" t="s">
        <v>1223</v>
      </c>
      <c r="J623" s="5" t="str">
        <f>VLOOKUP(B623,Seqs!A:B,2,FALSE)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623" s="4" t="str">
        <f t="shared" si="60"/>
        <v>G</v>
      </c>
      <c r="L623" s="45">
        <f>VLOOKUP(B623,'NonXtal_SegEnds_Prot#'!A:AL,15,FALSE)</f>
        <v>117</v>
      </c>
      <c r="M623" s="45">
        <f>VLOOKUP(B623,'NonXtal_SegEnds_Prot#'!A:AL,16,FALSE)</f>
        <v>146</v>
      </c>
      <c r="N623" s="45">
        <f>VLOOKUP(B623,'NonXtal_SegEnds_Prot#'!A:AL,17,FALSE)</f>
        <v>152</v>
      </c>
      <c r="O623" s="4" t="str">
        <f t="shared" si="56"/>
        <v>H</v>
      </c>
      <c r="P623" s="4"/>
      <c r="Q623" s="47" t="str">
        <f t="shared" si="57"/>
        <v>GELLCKAVLSIDYYNMFTSIFTLTMMSVD</v>
      </c>
      <c r="R623" s="27" t="str">
        <f t="shared" si="58"/>
        <v>R</v>
      </c>
      <c r="S623" s="19" t="str">
        <f t="shared" si="59"/>
        <v>YIAVCH</v>
      </c>
      <c r="Z623" s="4"/>
      <c r="AD623" s="1" t="s">
        <v>26</v>
      </c>
      <c r="AE623" s="1">
        <v>118</v>
      </c>
      <c r="AF623" s="1">
        <v>146</v>
      </c>
      <c r="AG623" s="1">
        <v>152</v>
      </c>
      <c r="AH623" s="1" t="s">
        <v>27</v>
      </c>
      <c r="AK623" s="4">
        <v>22</v>
      </c>
      <c r="AL623" s="4">
        <v>56</v>
      </c>
    </row>
    <row r="624" spans="1:38" x14ac:dyDescent="0.25">
      <c r="A624" s="1" t="str">
        <f t="shared" si="55"/>
        <v>OPRD_mouse_4EJ4_TM3</v>
      </c>
      <c r="B624" s="45" t="s">
        <v>233</v>
      </c>
      <c r="C624" s="45" t="s">
        <v>255</v>
      </c>
      <c r="D624" s="4" t="str">
        <f>VLOOKUP(B624,Classification!A:D,2,FALSE)</f>
        <v>A</v>
      </c>
      <c r="E624" s="4" t="str">
        <f>VLOOKUP(B624,Classification!A:D,3,FALSE)</f>
        <v>Peptide</v>
      </c>
      <c r="F624" s="4" t="str">
        <f>VLOOKUP(B624,Classification!A:D,4,FALSE)</f>
        <v>Opioid</v>
      </c>
      <c r="G624" s="2">
        <v>5</v>
      </c>
      <c r="H624" s="45" t="s">
        <v>25</v>
      </c>
      <c r="I624" s="2" t="s">
        <v>1223</v>
      </c>
      <c r="J624" s="5" t="str">
        <f>VLOOKUP(B624,Seqs!A:B,2,FALSE)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624" s="4" t="str">
        <f t="shared" si="60"/>
        <v>G</v>
      </c>
      <c r="L624" s="45">
        <f>VLOOKUP(B624,'NonXtal_SegEnds_Prot#'!A:AL,15,FALSE)</f>
        <v>117</v>
      </c>
      <c r="M624" s="45">
        <f>VLOOKUP(B624,'NonXtal_SegEnds_Prot#'!A:AL,16,FALSE)</f>
        <v>146</v>
      </c>
      <c r="N624" s="45">
        <f>VLOOKUP(B624,'NonXtal_SegEnds_Prot#'!A:AL,17,FALSE)</f>
        <v>152</v>
      </c>
      <c r="O624" s="4" t="str">
        <f t="shared" si="56"/>
        <v>H</v>
      </c>
      <c r="P624" s="4"/>
      <c r="Q624" s="47" t="str">
        <f t="shared" si="57"/>
        <v>GELLCKAVLSIDYYNMFTSIFTLTMMSVD</v>
      </c>
      <c r="R624" s="27" t="str">
        <f t="shared" si="58"/>
        <v>R</v>
      </c>
      <c r="S624" s="19" t="str">
        <f t="shared" si="59"/>
        <v>YIAVCH</v>
      </c>
      <c r="Z624" s="4"/>
      <c r="AD624" s="1" t="s">
        <v>26</v>
      </c>
      <c r="AE624" s="1">
        <v>118</v>
      </c>
      <c r="AF624" s="1">
        <v>146</v>
      </c>
      <c r="AG624" s="1">
        <v>152</v>
      </c>
      <c r="AH624" s="1" t="s">
        <v>27</v>
      </c>
      <c r="AK624" s="4">
        <v>22</v>
      </c>
      <c r="AL624" s="4">
        <v>56</v>
      </c>
    </row>
    <row r="625" spans="1:38" x14ac:dyDescent="0.25">
      <c r="A625" s="1" t="str">
        <f t="shared" si="55"/>
        <v>OPRK_human__wt_TM3</v>
      </c>
      <c r="B625" s="45" t="s">
        <v>227</v>
      </c>
      <c r="C625" s="45" t="s">
        <v>294</v>
      </c>
      <c r="D625" s="4" t="str">
        <f>VLOOKUP(B625,Classification!A:D,2,FALSE)</f>
        <v>A</v>
      </c>
      <c r="E625" s="4" t="str">
        <f>VLOOKUP(B625,Classification!A:D,3,FALSE)</f>
        <v>Peptide</v>
      </c>
      <c r="F625" s="4" t="str">
        <f>VLOOKUP(B625,Classification!A:D,4,FALSE)</f>
        <v>Opioid</v>
      </c>
      <c r="G625" s="2">
        <v>5</v>
      </c>
      <c r="H625" s="45" t="s">
        <v>25</v>
      </c>
      <c r="I625" s="2" t="s">
        <v>1223</v>
      </c>
      <c r="J625" s="5" t="str">
        <f>VLOOKUP(B625,Seqs!A:B,2,FALSE)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625" s="4" t="str">
        <f t="shared" si="60"/>
        <v>G</v>
      </c>
      <c r="L625" s="45">
        <f>VLOOKUP(B625,'NonXtal_SegEnds_Prot#'!A:AL,15,FALSE)</f>
        <v>127</v>
      </c>
      <c r="M625" s="45">
        <f>VLOOKUP(B625,'NonXtal_SegEnds_Prot#'!A:AL,16,FALSE)</f>
        <v>156</v>
      </c>
      <c r="N625" s="45">
        <f>VLOOKUP(B625,'NonXtal_SegEnds_Prot#'!A:AL,17,FALSE)</f>
        <v>162</v>
      </c>
      <c r="O625" s="4" t="str">
        <f t="shared" si="56"/>
        <v>H</v>
      </c>
      <c r="P625" s="4"/>
      <c r="Q625" s="47" t="str">
        <f t="shared" si="57"/>
        <v>GDVLCKIVISIDYYNMFTSIFTLTMMSVD</v>
      </c>
      <c r="R625" s="27" t="str">
        <f t="shared" si="58"/>
        <v>R</v>
      </c>
      <c r="S625" s="19" t="str">
        <f t="shared" si="59"/>
        <v>YIAVCH</v>
      </c>
      <c r="Z625" s="4"/>
      <c r="AD625" s="1" t="s">
        <v>26</v>
      </c>
      <c r="AE625" s="1">
        <v>128</v>
      </c>
      <c r="AF625" s="1">
        <v>156</v>
      </c>
      <c r="AG625" s="1">
        <v>162</v>
      </c>
      <c r="AH625" s="1" t="s">
        <v>27</v>
      </c>
      <c r="AK625" s="4">
        <v>22</v>
      </c>
      <c r="AL625" s="4">
        <v>56</v>
      </c>
    </row>
    <row r="626" spans="1:38" x14ac:dyDescent="0.25">
      <c r="A626" s="1" t="str">
        <f t="shared" si="55"/>
        <v>OPRK_human_4DJH_TM3</v>
      </c>
      <c r="B626" s="45" t="s">
        <v>227</v>
      </c>
      <c r="C626" s="45" t="s">
        <v>280</v>
      </c>
      <c r="D626" s="4" t="str">
        <f>VLOOKUP(B626,Classification!A:D,2,FALSE)</f>
        <v>A</v>
      </c>
      <c r="E626" s="4" t="str">
        <f>VLOOKUP(B626,Classification!A:D,3,FALSE)</f>
        <v>Peptide</v>
      </c>
      <c r="F626" s="4" t="str">
        <f>VLOOKUP(B626,Classification!A:D,4,FALSE)</f>
        <v>Opioid</v>
      </c>
      <c r="G626" s="2">
        <v>5</v>
      </c>
      <c r="H626" s="45" t="s">
        <v>25</v>
      </c>
      <c r="I626" s="2" t="s">
        <v>1223</v>
      </c>
      <c r="J626" s="5" t="str">
        <f>VLOOKUP(B626,Seqs!A:B,2,FALSE)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626" s="4" t="str">
        <f t="shared" si="60"/>
        <v>G</v>
      </c>
      <c r="L626" s="45">
        <f>VLOOKUP(B626,'NonXtal_SegEnds_Prot#'!A:AL,15,FALSE)</f>
        <v>127</v>
      </c>
      <c r="M626" s="45">
        <f>VLOOKUP(B626,'NonXtal_SegEnds_Prot#'!A:AL,16,FALSE)</f>
        <v>156</v>
      </c>
      <c r="N626" s="45">
        <f>VLOOKUP(B626,'NonXtal_SegEnds_Prot#'!A:AL,17,FALSE)</f>
        <v>162</v>
      </c>
      <c r="O626" s="4" t="str">
        <f t="shared" si="56"/>
        <v>H</v>
      </c>
      <c r="P626" s="4"/>
      <c r="Q626" s="47" t="str">
        <f t="shared" si="57"/>
        <v>GDVLCKIVISIDYYNMFTSIFTLTMMSVD</v>
      </c>
      <c r="R626" s="27" t="str">
        <f t="shared" si="58"/>
        <v>R</v>
      </c>
      <c r="S626" s="19" t="str">
        <f t="shared" si="59"/>
        <v>YIAVCH</v>
      </c>
      <c r="Z626" s="4"/>
      <c r="AD626" s="1" t="s">
        <v>26</v>
      </c>
      <c r="AE626" s="1">
        <v>128</v>
      </c>
      <c r="AF626" s="1">
        <v>156</v>
      </c>
      <c r="AG626" s="1">
        <v>162</v>
      </c>
      <c r="AH626" s="1" t="s">
        <v>27</v>
      </c>
      <c r="AK626" s="4">
        <v>22</v>
      </c>
      <c r="AL626" s="4">
        <v>56</v>
      </c>
    </row>
    <row r="627" spans="1:38" x14ac:dyDescent="0.25">
      <c r="A627" s="1" t="str">
        <f t="shared" si="55"/>
        <v>OPRM_mouse__wt_TM3</v>
      </c>
      <c r="B627" s="45" t="s">
        <v>232</v>
      </c>
      <c r="C627" s="45" t="s">
        <v>294</v>
      </c>
      <c r="D627" s="4" t="str">
        <f>VLOOKUP(B627,Classification!A:D,2,FALSE)</f>
        <v>A</v>
      </c>
      <c r="E627" s="4" t="str">
        <f>VLOOKUP(B627,Classification!A:D,3,FALSE)</f>
        <v>Peptide</v>
      </c>
      <c r="F627" s="4" t="str">
        <f>VLOOKUP(B627,Classification!A:D,4,FALSE)</f>
        <v>Opioid</v>
      </c>
      <c r="G627" s="2">
        <v>5</v>
      </c>
      <c r="H627" s="45" t="s">
        <v>25</v>
      </c>
      <c r="I627" s="2" t="s">
        <v>1223</v>
      </c>
      <c r="J627" s="5" t="str">
        <f>VLOOKUP(B627,Seqs!A:B,2,FALSE)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627" s="4" t="str">
        <f t="shared" si="60"/>
        <v>G</v>
      </c>
      <c r="L627" s="45">
        <f>VLOOKUP(B627,'NonXtal_SegEnds_Prot#'!A:AL,15,FALSE)</f>
        <v>136</v>
      </c>
      <c r="M627" s="45">
        <f>VLOOKUP(B627,'NonXtal_SegEnds_Prot#'!A:AL,16,FALSE)</f>
        <v>165</v>
      </c>
      <c r="N627" s="45">
        <f>VLOOKUP(B627,'NonXtal_SegEnds_Prot#'!A:AL,17,FALSE)</f>
        <v>171</v>
      </c>
      <c r="O627" s="4" t="str">
        <f t="shared" si="56"/>
        <v>H</v>
      </c>
      <c r="P627" s="4"/>
      <c r="Q627" s="47" t="str">
        <f t="shared" si="57"/>
        <v>GNILCKIVISIDYYNMFTSIFTLCTMSVD</v>
      </c>
      <c r="R627" s="27" t="str">
        <f t="shared" si="58"/>
        <v>R</v>
      </c>
      <c r="S627" s="19" t="str">
        <f t="shared" si="59"/>
        <v>YIAVCH</v>
      </c>
      <c r="Z627" s="4" t="s">
        <v>64</v>
      </c>
      <c r="AD627" s="1" t="s">
        <v>26</v>
      </c>
      <c r="AE627" s="1">
        <v>137</v>
      </c>
      <c r="AF627" s="1">
        <v>165</v>
      </c>
      <c r="AG627" s="1">
        <v>171</v>
      </c>
      <c r="AH627" s="1" t="s">
        <v>27</v>
      </c>
      <c r="AK627" s="4">
        <v>22</v>
      </c>
      <c r="AL627" s="4">
        <v>56</v>
      </c>
    </row>
    <row r="628" spans="1:38" x14ac:dyDescent="0.25">
      <c r="A628" s="1" t="str">
        <f t="shared" si="55"/>
        <v>OPRM_mouse_4DKL_TM3</v>
      </c>
      <c r="B628" s="45" t="s">
        <v>232</v>
      </c>
      <c r="C628" s="45" t="s">
        <v>256</v>
      </c>
      <c r="D628" s="4" t="str">
        <f>VLOOKUP(B628,Classification!A:D,2,FALSE)</f>
        <v>A</v>
      </c>
      <c r="E628" s="4" t="str">
        <f>VLOOKUP(B628,Classification!A:D,3,FALSE)</f>
        <v>Peptide</v>
      </c>
      <c r="F628" s="4" t="str">
        <f>VLOOKUP(B628,Classification!A:D,4,FALSE)</f>
        <v>Opioid</v>
      </c>
      <c r="G628" s="2">
        <v>5</v>
      </c>
      <c r="H628" s="45" t="s">
        <v>25</v>
      </c>
      <c r="I628" s="2" t="s">
        <v>1223</v>
      </c>
      <c r="J628" s="5" t="str">
        <f>VLOOKUP(B628,Seqs!A:B,2,FALSE)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628" s="4" t="str">
        <f t="shared" si="60"/>
        <v>G</v>
      </c>
      <c r="L628" s="45">
        <f>VLOOKUP(B628,'NonXtal_SegEnds_Prot#'!A:AL,15,FALSE)</f>
        <v>136</v>
      </c>
      <c r="M628" s="45">
        <f>VLOOKUP(B628,'NonXtal_SegEnds_Prot#'!A:AL,16,FALSE)</f>
        <v>165</v>
      </c>
      <c r="N628" s="45">
        <f>VLOOKUP(B628,'NonXtal_SegEnds_Prot#'!A:AL,17,FALSE)</f>
        <v>171</v>
      </c>
      <c r="O628" s="4" t="str">
        <f t="shared" si="56"/>
        <v>H</v>
      </c>
      <c r="P628" s="4"/>
      <c r="Q628" s="47" t="str">
        <f t="shared" si="57"/>
        <v>GNILCKIVISIDYYNMFTSIFTLCTMSVD</v>
      </c>
      <c r="R628" s="27" t="str">
        <f t="shared" si="58"/>
        <v>R</v>
      </c>
      <c r="S628" s="19" t="str">
        <f t="shared" si="59"/>
        <v>YIAVCH</v>
      </c>
      <c r="Z628" s="4"/>
      <c r="AD628" s="1" t="s">
        <v>26</v>
      </c>
      <c r="AE628" s="1">
        <v>137</v>
      </c>
      <c r="AF628" s="1">
        <v>165</v>
      </c>
      <c r="AG628" s="1">
        <v>171</v>
      </c>
      <c r="AH628" s="1" t="s">
        <v>27</v>
      </c>
      <c r="AK628" s="4">
        <v>22</v>
      </c>
      <c r="AL628" s="4">
        <v>56</v>
      </c>
    </row>
    <row r="629" spans="1:38" x14ac:dyDescent="0.25">
      <c r="A629" s="1" t="str">
        <f t="shared" si="55"/>
        <v>OPRM_mouse_5C1M_TM3</v>
      </c>
      <c r="B629" s="45" t="s">
        <v>232</v>
      </c>
      <c r="C629" s="45" t="s">
        <v>276</v>
      </c>
      <c r="D629" s="4" t="str">
        <f>VLOOKUP(B629,Classification!A:D,2,FALSE)</f>
        <v>A</v>
      </c>
      <c r="E629" s="4" t="str">
        <f>VLOOKUP(B629,Classification!A:D,3,FALSE)</f>
        <v>Peptide</v>
      </c>
      <c r="F629" s="4" t="str">
        <f>VLOOKUP(B629,Classification!A:D,4,FALSE)</f>
        <v>Opioid</v>
      </c>
      <c r="G629" s="2">
        <v>5</v>
      </c>
      <c r="H629" s="45" t="s">
        <v>25</v>
      </c>
      <c r="I629" s="2" t="s">
        <v>1223</v>
      </c>
      <c r="J629" s="5" t="str">
        <f>VLOOKUP(B629,Seqs!A:B,2,FALSE)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629" s="4" t="str">
        <f t="shared" si="60"/>
        <v>G</v>
      </c>
      <c r="L629" s="45">
        <f>VLOOKUP(B629,'NonXtal_SegEnds_Prot#'!A:AL,15,FALSE)</f>
        <v>136</v>
      </c>
      <c r="M629" s="45">
        <f>VLOOKUP(B629,'NonXtal_SegEnds_Prot#'!A:AL,16,FALSE)</f>
        <v>165</v>
      </c>
      <c r="N629" s="45">
        <f>VLOOKUP(B629,'NonXtal_SegEnds_Prot#'!A:AL,17,FALSE)</f>
        <v>171</v>
      </c>
      <c r="O629" s="4" t="str">
        <f t="shared" si="56"/>
        <v>H</v>
      </c>
      <c r="P629" s="4"/>
      <c r="Q629" s="47" t="str">
        <f t="shared" si="57"/>
        <v>GNILCKIVISIDYYNMFTSIFTLCTMSVD</v>
      </c>
      <c r="R629" s="27" t="str">
        <f t="shared" si="58"/>
        <v>R</v>
      </c>
      <c r="S629" s="19" t="str">
        <f t="shared" si="59"/>
        <v>YIAVCH</v>
      </c>
      <c r="Z629" s="4" t="s">
        <v>64</v>
      </c>
      <c r="AD629" s="1" t="s">
        <v>26</v>
      </c>
      <c r="AE629" s="1">
        <v>137</v>
      </c>
      <c r="AF629" s="1">
        <v>165</v>
      </c>
      <c r="AG629" s="1">
        <v>171</v>
      </c>
      <c r="AH629" s="1" t="s">
        <v>27</v>
      </c>
      <c r="AK629" s="4">
        <v>22</v>
      </c>
      <c r="AL629" s="4">
        <v>56</v>
      </c>
    </row>
    <row r="630" spans="1:38" x14ac:dyDescent="0.25">
      <c r="A630" s="1" t="str">
        <f t="shared" si="55"/>
        <v>OPRX_human__wt_TM3</v>
      </c>
      <c r="B630" s="45" t="s">
        <v>1373</v>
      </c>
      <c r="C630" s="45" t="s">
        <v>294</v>
      </c>
      <c r="D630" s="4" t="str">
        <f>VLOOKUP(B630,Classification!A:D,2,FALSE)</f>
        <v>A</v>
      </c>
      <c r="E630" s="4" t="str">
        <f>VLOOKUP(B630,Classification!A:D,3,FALSE)</f>
        <v>Peptide</v>
      </c>
      <c r="F630" s="4" t="str">
        <f>VLOOKUP(B630,Classification!A:D,4,FALSE)</f>
        <v>Opioid</v>
      </c>
      <c r="G630" s="2">
        <v>5</v>
      </c>
      <c r="H630" s="45" t="s">
        <v>25</v>
      </c>
      <c r="I630" s="2" t="s">
        <v>1223</v>
      </c>
      <c r="J630" s="5" t="str">
        <f>VLOOKUP(B630,Seqs!A:B,2,FALSE)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630" s="4" t="str">
        <f t="shared" si="60"/>
        <v>G</v>
      </c>
      <c r="L630" s="45">
        <f>VLOOKUP(B630,'NonXtal_SegEnds_Prot#'!A:AL,15,FALSE)</f>
        <v>119</v>
      </c>
      <c r="M630" s="45">
        <f>VLOOKUP(B630,'NonXtal_SegEnds_Prot#'!A:AL,16,FALSE)</f>
        <v>148</v>
      </c>
      <c r="N630" s="45">
        <f>VLOOKUP(B630,'NonXtal_SegEnds_Prot#'!A:AL,17,FALSE)</f>
        <v>154</v>
      </c>
      <c r="O630" s="4" t="str">
        <f t="shared" si="56"/>
        <v>H</v>
      </c>
      <c r="P630" s="4"/>
      <c r="Q630" s="47" t="str">
        <f t="shared" si="57"/>
        <v>GNALCKTVIAIDYYNMFTSTFTLTAMSVD</v>
      </c>
      <c r="R630" s="27" t="str">
        <f t="shared" si="58"/>
        <v>R</v>
      </c>
      <c r="S630" s="19" t="str">
        <f t="shared" si="59"/>
        <v>YVAICH</v>
      </c>
      <c r="Z630" s="4"/>
      <c r="AD630" s="1" t="s">
        <v>26</v>
      </c>
      <c r="AE630" s="1">
        <v>120</v>
      </c>
      <c r="AF630" s="1">
        <v>148</v>
      </c>
      <c r="AG630" s="1">
        <v>154</v>
      </c>
      <c r="AH630" s="1" t="s">
        <v>27</v>
      </c>
      <c r="AK630" s="4">
        <v>22</v>
      </c>
      <c r="AL630" s="4">
        <v>56</v>
      </c>
    </row>
    <row r="631" spans="1:38" x14ac:dyDescent="0.25">
      <c r="A631" s="1" t="str">
        <f t="shared" si="55"/>
        <v>OPRX_human_4EA3_TM3</v>
      </c>
      <c r="B631" s="45" t="s">
        <v>1373</v>
      </c>
      <c r="C631" s="45" t="s">
        <v>258</v>
      </c>
      <c r="D631" s="4" t="str">
        <f>VLOOKUP(B631,Classification!A:D,2,FALSE)</f>
        <v>A</v>
      </c>
      <c r="E631" s="4" t="str">
        <f>VLOOKUP(B631,Classification!A:D,3,FALSE)</f>
        <v>Peptide</v>
      </c>
      <c r="F631" s="4" t="str">
        <f>VLOOKUP(B631,Classification!A:D,4,FALSE)</f>
        <v>Opioid</v>
      </c>
      <c r="G631" s="2">
        <v>5</v>
      </c>
      <c r="H631" s="45" t="s">
        <v>25</v>
      </c>
      <c r="I631" s="2" t="s">
        <v>1223</v>
      </c>
      <c r="J631" s="5" t="str">
        <f>VLOOKUP(B631,Seqs!A:B,2,FALSE)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631" s="4" t="str">
        <f t="shared" si="60"/>
        <v>G</v>
      </c>
      <c r="L631" s="45">
        <f>VLOOKUP(B631,'NonXtal_SegEnds_Prot#'!A:AL,15,FALSE)</f>
        <v>119</v>
      </c>
      <c r="M631" s="45">
        <f>VLOOKUP(B631,'NonXtal_SegEnds_Prot#'!A:AL,16,FALSE)</f>
        <v>148</v>
      </c>
      <c r="N631" s="45">
        <f>VLOOKUP(B631,'NonXtal_SegEnds_Prot#'!A:AL,17,FALSE)</f>
        <v>154</v>
      </c>
      <c r="O631" s="4" t="str">
        <f t="shared" si="56"/>
        <v>H</v>
      </c>
      <c r="P631" s="4"/>
      <c r="Q631" s="47" t="str">
        <f t="shared" si="57"/>
        <v>GNALCKTVIAIDYYNMFTSTFTLTAMSVD</v>
      </c>
      <c r="R631" s="27" t="str">
        <f t="shared" si="58"/>
        <v>R</v>
      </c>
      <c r="S631" s="19" t="str">
        <f t="shared" si="59"/>
        <v>YVAICH</v>
      </c>
      <c r="Z631" s="4"/>
      <c r="AD631" s="1" t="s">
        <v>26</v>
      </c>
      <c r="AE631" s="1">
        <v>120</v>
      </c>
      <c r="AF631" s="1">
        <v>148</v>
      </c>
      <c r="AG631" s="1">
        <v>154</v>
      </c>
      <c r="AH631" s="1" t="s">
        <v>27</v>
      </c>
      <c r="AK631" s="4">
        <v>22</v>
      </c>
      <c r="AL631" s="4">
        <v>56</v>
      </c>
    </row>
    <row r="632" spans="1:38" x14ac:dyDescent="0.25">
      <c r="A632" s="1" t="str">
        <f t="shared" si="55"/>
        <v>OPSD_bovin_1U19_TM3</v>
      </c>
      <c r="B632" s="45" t="s">
        <v>231</v>
      </c>
      <c r="C632" s="45" t="s">
        <v>244</v>
      </c>
      <c r="D632" s="4" t="str">
        <f>VLOOKUP(B632,Classification!A:D,2,FALSE)</f>
        <v>A</v>
      </c>
      <c r="E632" s="4" t="str">
        <f>VLOOKUP(B632,Classification!A:D,3,FALSE)</f>
        <v>Sensory</v>
      </c>
      <c r="F632" s="4" t="str">
        <f>VLOOKUP(B632,Classification!A:D,4,FALSE)</f>
        <v>Opsins</v>
      </c>
      <c r="G632" s="2">
        <v>5</v>
      </c>
      <c r="H632" s="45" t="s">
        <v>25</v>
      </c>
      <c r="I632" s="2" t="s">
        <v>1223</v>
      </c>
      <c r="J632" s="5" t="str">
        <f>VLOOKUP(B632,Seqs!A:B,2,FALSE)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632" s="4" t="str">
        <f t="shared" si="60"/>
        <v>G</v>
      </c>
      <c r="L632" s="45">
        <f>VLOOKUP(B632,'NonXtal_SegEnds_Prot#'!A:AL,15,FALSE)</f>
        <v>106</v>
      </c>
      <c r="M632" s="45">
        <f>VLOOKUP(B632,'NonXtal_SegEnds_Prot#'!A:AL,16,FALSE)</f>
        <v>135</v>
      </c>
      <c r="N632" s="45">
        <f>VLOOKUP(B632,'NonXtal_SegEnds_Prot#'!A:AL,17,FALSE)</f>
        <v>141</v>
      </c>
      <c r="O632" s="4" t="str">
        <f t="shared" si="56"/>
        <v>K</v>
      </c>
      <c r="P632" s="4"/>
      <c r="Q632" s="47" t="str">
        <f t="shared" si="57"/>
        <v>GPTGCNLEGFFATLGGEIALWSLVVLAIE</v>
      </c>
      <c r="R632" s="27" t="str">
        <f t="shared" si="58"/>
        <v>R</v>
      </c>
      <c r="S632" s="19" t="str">
        <f t="shared" si="59"/>
        <v>YVVVCK</v>
      </c>
      <c r="Z632" s="4"/>
      <c r="AD632" s="1" t="s">
        <v>26</v>
      </c>
      <c r="AE632" s="1">
        <v>107</v>
      </c>
      <c r="AF632" s="1">
        <v>135</v>
      </c>
      <c r="AG632" s="1">
        <v>140</v>
      </c>
      <c r="AH632" s="1" t="s">
        <v>144</v>
      </c>
      <c r="AK632" s="4">
        <v>22</v>
      </c>
      <c r="AL632" s="4">
        <v>55</v>
      </c>
    </row>
    <row r="633" spans="1:38" x14ac:dyDescent="0.25">
      <c r="A633" s="1" t="str">
        <f t="shared" si="55"/>
        <v>OPSD_bovin_3DQB_TM3</v>
      </c>
      <c r="B633" s="45" t="s">
        <v>231</v>
      </c>
      <c r="C633" s="45" t="s">
        <v>245</v>
      </c>
      <c r="D633" s="4" t="str">
        <f>VLOOKUP(B633,Classification!A:D,2,FALSE)</f>
        <v>A</v>
      </c>
      <c r="E633" s="4" t="str">
        <f>VLOOKUP(B633,Classification!A:D,3,FALSE)</f>
        <v>Sensory</v>
      </c>
      <c r="F633" s="4" t="str">
        <f>VLOOKUP(B633,Classification!A:D,4,FALSE)</f>
        <v>Opsins</v>
      </c>
      <c r="G633" s="2">
        <v>5</v>
      </c>
      <c r="H633" s="45" t="s">
        <v>25</v>
      </c>
      <c r="I633" s="2" t="s">
        <v>1223</v>
      </c>
      <c r="J633" s="5" t="str">
        <f>VLOOKUP(B633,Seqs!A:B,2,FALSE)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633" s="4" t="str">
        <f t="shared" si="60"/>
        <v>G</v>
      </c>
      <c r="L633" s="45">
        <f>VLOOKUP(B633,'NonXtal_SegEnds_Prot#'!A:AL,15,FALSE)</f>
        <v>106</v>
      </c>
      <c r="M633" s="45">
        <f>VLOOKUP(B633,'NonXtal_SegEnds_Prot#'!A:AL,16,FALSE)</f>
        <v>135</v>
      </c>
      <c r="N633" s="45">
        <f>VLOOKUP(B633,'NonXtal_SegEnds_Prot#'!A:AL,17,FALSE)</f>
        <v>141</v>
      </c>
      <c r="O633" s="4" t="str">
        <f t="shared" si="56"/>
        <v>K</v>
      </c>
      <c r="P633" s="4"/>
      <c r="Q633" s="47" t="str">
        <f t="shared" si="57"/>
        <v>GPTGCNLEGFFATLGGEIALWSLVVLAIE</v>
      </c>
      <c r="R633" s="27" t="str">
        <f t="shared" si="58"/>
        <v>R</v>
      </c>
      <c r="S633" s="19" t="str">
        <f t="shared" si="59"/>
        <v>YVVVCK</v>
      </c>
      <c r="Z633" s="4"/>
      <c r="AD633" s="1" t="s">
        <v>26</v>
      </c>
      <c r="AE633" s="1">
        <v>107</v>
      </c>
      <c r="AF633" s="1">
        <v>135</v>
      </c>
      <c r="AG633" s="1">
        <v>140</v>
      </c>
      <c r="AH633" s="1" t="s">
        <v>144</v>
      </c>
      <c r="AK633" s="4">
        <v>22</v>
      </c>
      <c r="AL633" s="4">
        <v>55</v>
      </c>
    </row>
    <row r="634" spans="1:38" x14ac:dyDescent="0.25">
      <c r="A634" s="1" t="str">
        <f t="shared" si="55"/>
        <v>OPSD_human__wt_TM3</v>
      </c>
      <c r="B634" s="45" t="s">
        <v>228</v>
      </c>
      <c r="C634" s="45" t="s">
        <v>294</v>
      </c>
      <c r="D634" s="4" t="str">
        <f>VLOOKUP(B634,Classification!A:D,2,FALSE)</f>
        <v>A</v>
      </c>
      <c r="E634" s="4" t="str">
        <f>VLOOKUP(B634,Classification!A:D,3,FALSE)</f>
        <v>Sensory</v>
      </c>
      <c r="F634" s="4" t="str">
        <f>VLOOKUP(B634,Classification!A:D,4,FALSE)</f>
        <v>Opsins</v>
      </c>
      <c r="G634" s="2">
        <v>5</v>
      </c>
      <c r="H634" s="45" t="s">
        <v>25</v>
      </c>
      <c r="I634" s="2" t="s">
        <v>1223</v>
      </c>
      <c r="J634" s="5" t="str">
        <f>VLOOKUP(B634,Seqs!A:B,2,FALSE)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4" s="4" t="str">
        <f t="shared" si="60"/>
        <v>G</v>
      </c>
      <c r="L634" s="45">
        <f>VLOOKUP(B634,'NonXtal_SegEnds_Prot#'!A:AL,15,FALSE)</f>
        <v>106</v>
      </c>
      <c r="M634" s="45">
        <f>VLOOKUP(B634,'NonXtal_SegEnds_Prot#'!A:AL,16,FALSE)</f>
        <v>135</v>
      </c>
      <c r="N634" s="45">
        <f>VLOOKUP(B634,'NonXtal_SegEnds_Prot#'!A:AL,17,FALSE)</f>
        <v>141</v>
      </c>
      <c r="O634" s="4" t="str">
        <f t="shared" si="56"/>
        <v>K</v>
      </c>
      <c r="P634" s="4"/>
      <c r="Q634" s="47" t="str">
        <f t="shared" si="57"/>
        <v>GPTGCNLEGFFATLGGEIALWSLVVLAIE</v>
      </c>
      <c r="R634" s="27" t="str">
        <f t="shared" si="58"/>
        <v>R</v>
      </c>
      <c r="S634" s="19" t="str">
        <f t="shared" si="59"/>
        <v>YVVVCK</v>
      </c>
      <c r="Z634" s="4"/>
      <c r="AD634" s="1" t="s">
        <v>26</v>
      </c>
      <c r="AE634" s="1">
        <v>107</v>
      </c>
      <c r="AF634" s="1">
        <v>135</v>
      </c>
      <c r="AG634" s="1">
        <v>140</v>
      </c>
      <c r="AH634" s="1" t="s">
        <v>144</v>
      </c>
      <c r="AK634" s="4">
        <v>22</v>
      </c>
      <c r="AL634" s="4">
        <v>55</v>
      </c>
    </row>
    <row r="635" spans="1:38" x14ac:dyDescent="0.25">
      <c r="A635" s="1" t="str">
        <f t="shared" si="55"/>
        <v>OPSD_human__wt_TM3</v>
      </c>
      <c r="B635" s="45" t="s">
        <v>228</v>
      </c>
      <c r="C635" s="45" t="s">
        <v>294</v>
      </c>
      <c r="D635" s="4" t="str">
        <f>VLOOKUP(B635,Classification!A:D,2,FALSE)</f>
        <v>A</v>
      </c>
      <c r="E635" s="4" t="str">
        <f>VLOOKUP(B635,Classification!A:D,3,FALSE)</f>
        <v>Sensory</v>
      </c>
      <c r="F635" s="4" t="str">
        <f>VLOOKUP(B635,Classification!A:D,4,FALSE)</f>
        <v>Opsins</v>
      </c>
      <c r="G635" s="2">
        <v>5</v>
      </c>
      <c r="H635" s="45" t="s">
        <v>25</v>
      </c>
      <c r="I635" s="2" t="s">
        <v>1223</v>
      </c>
      <c r="J635" s="5" t="str">
        <f>VLOOKUP(B635,Seqs!A:B,2,FALSE)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5" s="4" t="str">
        <f t="shared" si="60"/>
        <v>G</v>
      </c>
      <c r="L635" s="45">
        <f>VLOOKUP(B635,'NonXtal_SegEnds_Prot#'!A:AL,15,FALSE)</f>
        <v>106</v>
      </c>
      <c r="M635" s="45">
        <f>VLOOKUP(B635,'NonXtal_SegEnds_Prot#'!A:AL,16,FALSE)</f>
        <v>135</v>
      </c>
      <c r="N635" s="45">
        <f>VLOOKUP(B635,'NonXtal_SegEnds_Prot#'!A:AL,17,FALSE)</f>
        <v>141</v>
      </c>
      <c r="O635" s="4" t="str">
        <f t="shared" si="56"/>
        <v>K</v>
      </c>
      <c r="P635" s="4"/>
      <c r="Q635" s="47" t="str">
        <f t="shared" si="57"/>
        <v>GPTGCNLEGFFATLGGEIALWSLVVLAIE</v>
      </c>
      <c r="R635" s="27" t="str">
        <f t="shared" si="58"/>
        <v>R</v>
      </c>
      <c r="S635" s="19" t="str">
        <f t="shared" si="59"/>
        <v>YVVVCK</v>
      </c>
      <c r="Z635" s="4" t="s">
        <v>64</v>
      </c>
      <c r="AD635" s="1" t="s">
        <v>26</v>
      </c>
      <c r="AE635" s="1">
        <v>107</v>
      </c>
      <c r="AF635" s="1">
        <v>135</v>
      </c>
      <c r="AG635" s="1">
        <v>140</v>
      </c>
      <c r="AH635" s="1" t="s">
        <v>144</v>
      </c>
      <c r="AK635" s="4">
        <v>22</v>
      </c>
      <c r="AL635" s="4">
        <v>55</v>
      </c>
    </row>
    <row r="636" spans="1:38" x14ac:dyDescent="0.25">
      <c r="A636" s="1" t="str">
        <f t="shared" si="55"/>
        <v>OPSD_human_4ZWJ_TM3</v>
      </c>
      <c r="B636" s="45" t="s">
        <v>228</v>
      </c>
      <c r="C636" s="45" t="s">
        <v>246</v>
      </c>
      <c r="D636" s="4" t="str">
        <f>VLOOKUP(B636,Classification!A:D,2,FALSE)</f>
        <v>A</v>
      </c>
      <c r="E636" s="4" t="str">
        <f>VLOOKUP(B636,Classification!A:D,3,FALSE)</f>
        <v>Sensory</v>
      </c>
      <c r="F636" s="4" t="str">
        <f>VLOOKUP(B636,Classification!A:D,4,FALSE)</f>
        <v>Opsins</v>
      </c>
      <c r="G636" s="2">
        <v>5</v>
      </c>
      <c r="H636" s="45" t="s">
        <v>25</v>
      </c>
      <c r="I636" s="2" t="s">
        <v>1223</v>
      </c>
      <c r="J636" s="5" t="str">
        <f>VLOOKUP(B636,Seqs!A:B,2,FALSE)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6" s="4" t="str">
        <f t="shared" si="60"/>
        <v>G</v>
      </c>
      <c r="L636" s="45">
        <f>VLOOKUP(B636,'NonXtal_SegEnds_Prot#'!A:AL,15,FALSE)</f>
        <v>106</v>
      </c>
      <c r="M636" s="45">
        <f>VLOOKUP(B636,'NonXtal_SegEnds_Prot#'!A:AL,16,FALSE)</f>
        <v>135</v>
      </c>
      <c r="N636" s="45">
        <f>VLOOKUP(B636,'NonXtal_SegEnds_Prot#'!A:AL,17,FALSE)</f>
        <v>141</v>
      </c>
      <c r="O636" s="4" t="str">
        <f t="shared" si="56"/>
        <v>K</v>
      </c>
      <c r="P636" s="4"/>
      <c r="Q636" s="47" t="str">
        <f t="shared" si="57"/>
        <v>GPTGCNLEGFFATLGGEIALWSLVVLAIE</v>
      </c>
      <c r="R636" s="27" t="str">
        <f t="shared" si="58"/>
        <v>R</v>
      </c>
      <c r="S636" s="19" t="str">
        <f t="shared" si="59"/>
        <v>YVVVCK</v>
      </c>
      <c r="Z636" s="4"/>
      <c r="AD636" s="1" t="s">
        <v>26</v>
      </c>
      <c r="AE636" s="1">
        <v>107</v>
      </c>
      <c r="AF636" s="1">
        <v>135</v>
      </c>
      <c r="AG636" s="1">
        <v>140</v>
      </c>
      <c r="AH636" s="1" t="s">
        <v>144</v>
      </c>
      <c r="AK636" s="4">
        <v>22</v>
      </c>
      <c r="AL636" s="4">
        <v>55</v>
      </c>
    </row>
    <row r="637" spans="1:38" x14ac:dyDescent="0.25">
      <c r="A637" s="1" t="str">
        <f t="shared" si="55"/>
        <v>OPSD_human_4ZWJ_TM3</v>
      </c>
      <c r="B637" s="45" t="s">
        <v>228</v>
      </c>
      <c r="C637" s="45" t="s">
        <v>246</v>
      </c>
      <c r="D637" s="4" t="str">
        <f>VLOOKUP(B637,Classification!A:D,2,FALSE)</f>
        <v>A</v>
      </c>
      <c r="E637" s="4" t="str">
        <f>VLOOKUP(B637,Classification!A:D,3,FALSE)</f>
        <v>Sensory</v>
      </c>
      <c r="F637" s="4" t="str">
        <f>VLOOKUP(B637,Classification!A:D,4,FALSE)</f>
        <v>Opsins</v>
      </c>
      <c r="G637" s="2">
        <v>5</v>
      </c>
      <c r="H637" s="45" t="s">
        <v>25</v>
      </c>
      <c r="I637" s="2" t="s">
        <v>1223</v>
      </c>
      <c r="J637" s="5" t="str">
        <f>VLOOKUP(B637,Seqs!A:B,2,FALSE)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7" s="4" t="str">
        <f t="shared" si="60"/>
        <v>G</v>
      </c>
      <c r="L637" s="45">
        <f>VLOOKUP(B637,'NonXtal_SegEnds_Prot#'!A:AL,15,FALSE)</f>
        <v>106</v>
      </c>
      <c r="M637" s="45">
        <f>VLOOKUP(B637,'NonXtal_SegEnds_Prot#'!A:AL,16,FALSE)</f>
        <v>135</v>
      </c>
      <c r="N637" s="45">
        <f>VLOOKUP(B637,'NonXtal_SegEnds_Prot#'!A:AL,17,FALSE)</f>
        <v>141</v>
      </c>
      <c r="O637" s="4" t="str">
        <f t="shared" si="56"/>
        <v>K</v>
      </c>
      <c r="P637" s="4"/>
      <c r="Q637" s="47" t="str">
        <f t="shared" si="57"/>
        <v>GPTGCNLEGFFATLGGEIALWSLVVLAIE</v>
      </c>
      <c r="R637" s="27" t="str">
        <f t="shared" si="58"/>
        <v>R</v>
      </c>
      <c r="S637" s="19" t="str">
        <f t="shared" si="59"/>
        <v>YVVVCK</v>
      </c>
      <c r="Z637" s="4" t="s">
        <v>64</v>
      </c>
      <c r="AD637" s="1" t="s">
        <v>26</v>
      </c>
      <c r="AE637" s="1">
        <v>107</v>
      </c>
      <c r="AF637" s="1">
        <v>135</v>
      </c>
      <c r="AG637" s="1">
        <v>140</v>
      </c>
      <c r="AH637" s="1" t="s">
        <v>144</v>
      </c>
      <c r="AK637" s="4">
        <v>22</v>
      </c>
      <c r="AL637" s="4">
        <v>55</v>
      </c>
    </row>
    <row r="638" spans="1:38" x14ac:dyDescent="0.25">
      <c r="A638" s="1" t="str">
        <f t="shared" si="55"/>
        <v>OPSD_todpa__wt_TM3</v>
      </c>
      <c r="B638" s="45" t="s">
        <v>291</v>
      </c>
      <c r="C638" s="45" t="s">
        <v>294</v>
      </c>
      <c r="D638" s="4" t="str">
        <f>VLOOKUP(B638,Classification!A:D,2,FALSE)</f>
        <v>A</v>
      </c>
      <c r="E638" s="4" t="str">
        <f>VLOOKUP(B638,Classification!A:D,3,FALSE)</f>
        <v>Sensory</v>
      </c>
      <c r="F638" s="4" t="str">
        <f>VLOOKUP(B638,Classification!A:D,4,FALSE)</f>
        <v>Opsins</v>
      </c>
      <c r="G638" s="2">
        <v>5</v>
      </c>
      <c r="H638" s="45" t="s">
        <v>25</v>
      </c>
      <c r="I638" s="2" t="s">
        <v>1223</v>
      </c>
      <c r="J638" s="5" t="str">
        <f>VLOOKUP(B638,Seqs!A:B,2,FALSE)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638" s="4" t="str">
        <f t="shared" si="60"/>
        <v>G</v>
      </c>
      <c r="L638" s="45">
        <f>VLOOKUP(B638,'NonXtal_SegEnds_Prot#'!A:AL,15,FALSE)</f>
        <v>104</v>
      </c>
      <c r="M638" s="45">
        <f>VLOOKUP(B638,'NonXtal_SegEnds_Prot#'!A:AL,16,FALSE)</f>
        <v>133</v>
      </c>
      <c r="N638" s="45">
        <f>VLOOKUP(B638,'NonXtal_SegEnds_Prot#'!A:AL,17,FALSE)</f>
        <v>139</v>
      </c>
      <c r="O638" s="4" t="str">
        <f t="shared" si="56"/>
        <v>R</v>
      </c>
      <c r="P638" s="4"/>
      <c r="Q638" s="47" t="str">
        <f t="shared" si="57"/>
        <v>GFAACKVYGFIGGIFGFMSIMTMAMISID</v>
      </c>
      <c r="R638" s="27" t="str">
        <f t="shared" si="58"/>
        <v>R</v>
      </c>
      <c r="S638" s="19" t="str">
        <f t="shared" si="59"/>
        <v>YNVIGR</v>
      </c>
      <c r="Z638" s="4"/>
      <c r="AD638" s="1" t="s">
        <v>26</v>
      </c>
      <c r="AE638" s="1">
        <v>105</v>
      </c>
      <c r="AF638" s="1">
        <v>133</v>
      </c>
      <c r="AG638" s="1">
        <v>138</v>
      </c>
      <c r="AH638" s="1" t="s">
        <v>144</v>
      </c>
      <c r="AK638" s="4">
        <v>22</v>
      </c>
      <c r="AL638" s="4">
        <v>55</v>
      </c>
    </row>
    <row r="639" spans="1:38" x14ac:dyDescent="0.25">
      <c r="A639" s="1" t="str">
        <f t="shared" si="55"/>
        <v>OPSD_todpa_2Z73_TM3</v>
      </c>
      <c r="B639" s="45" t="s">
        <v>291</v>
      </c>
      <c r="C639" s="45" t="s">
        <v>290</v>
      </c>
      <c r="D639" s="4" t="str">
        <f>VLOOKUP(B639,Classification!A:D,2,FALSE)</f>
        <v>A</v>
      </c>
      <c r="E639" s="4" t="str">
        <f>VLOOKUP(B639,Classification!A:D,3,FALSE)</f>
        <v>Sensory</v>
      </c>
      <c r="F639" s="4" t="str">
        <f>VLOOKUP(B639,Classification!A:D,4,FALSE)</f>
        <v>Opsins</v>
      </c>
      <c r="G639" s="2">
        <v>5</v>
      </c>
      <c r="H639" s="45" t="s">
        <v>25</v>
      </c>
      <c r="I639" s="2" t="s">
        <v>1223</v>
      </c>
      <c r="J639" s="5" t="str">
        <f>VLOOKUP(B639,Seqs!A:B,2,FALSE)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639" s="4" t="str">
        <f t="shared" si="60"/>
        <v>G</v>
      </c>
      <c r="L639" s="45">
        <f>VLOOKUP(B639,'NonXtal_SegEnds_Prot#'!A:AL,15,FALSE)</f>
        <v>104</v>
      </c>
      <c r="M639" s="45">
        <f>VLOOKUP(B639,'NonXtal_SegEnds_Prot#'!A:AL,16,FALSE)</f>
        <v>133</v>
      </c>
      <c r="N639" s="45">
        <f>VLOOKUP(B639,'NonXtal_SegEnds_Prot#'!A:AL,17,FALSE)</f>
        <v>139</v>
      </c>
      <c r="O639" s="4" t="str">
        <f t="shared" si="56"/>
        <v>R</v>
      </c>
      <c r="P639" s="4"/>
      <c r="Q639" s="47" t="str">
        <f t="shared" si="57"/>
        <v>GFAACKVYGFIGGIFGFMSIMTMAMISID</v>
      </c>
      <c r="R639" s="27" t="str">
        <f t="shared" si="58"/>
        <v>R</v>
      </c>
      <c r="S639" s="19" t="str">
        <f t="shared" si="59"/>
        <v>YNVIGR</v>
      </c>
      <c r="Z639" s="4"/>
      <c r="AD639" s="1" t="s">
        <v>26</v>
      </c>
      <c r="AE639" s="1">
        <v>105</v>
      </c>
      <c r="AF639" s="1">
        <v>133</v>
      </c>
      <c r="AG639" s="1">
        <v>138</v>
      </c>
      <c r="AH639" s="1" t="s">
        <v>144</v>
      </c>
      <c r="AK639" s="4">
        <v>22</v>
      </c>
      <c r="AL639" s="4">
        <v>55</v>
      </c>
    </row>
    <row r="640" spans="1:38" x14ac:dyDescent="0.25">
      <c r="A640" s="1" t="str">
        <f t="shared" si="55"/>
        <v>OX1R_human__wt_TM3</v>
      </c>
      <c r="B640" s="45" t="s">
        <v>1374</v>
      </c>
      <c r="C640" s="45" t="s">
        <v>294</v>
      </c>
      <c r="D640" s="4" t="str">
        <f>VLOOKUP(B640,Classification!A:D,2,FALSE)</f>
        <v>A</v>
      </c>
      <c r="E640" s="4" t="str">
        <f>VLOOKUP(B640,Classification!A:D,3,FALSE)</f>
        <v>Peptide</v>
      </c>
      <c r="F640" s="4" t="str">
        <f>VLOOKUP(B640,Classification!A:D,4,FALSE)</f>
        <v>Orexin</v>
      </c>
      <c r="G640" s="2">
        <v>5</v>
      </c>
      <c r="H640" s="45" t="s">
        <v>25</v>
      </c>
      <c r="I640" s="2" t="s">
        <v>1223</v>
      </c>
      <c r="J640" s="5" t="str">
        <f>VLOOKUP(B640,Seqs!A:B,2,FALSE)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640" s="4" t="str">
        <f t="shared" si="60"/>
        <v>G</v>
      </c>
      <c r="L640" s="45">
        <f>VLOOKUP(B640,'NonXtal_SegEnds_Prot#'!A:AL,15,FALSE)</f>
        <v>115</v>
      </c>
      <c r="M640" s="45">
        <f>VLOOKUP(B640,'NonXtal_SegEnds_Prot#'!A:AL,16,FALSE)</f>
        <v>144</v>
      </c>
      <c r="N640" s="45">
        <f>VLOOKUP(B640,'NonXtal_SegEnds_Prot#'!A:AL,17,FALSE)</f>
        <v>150</v>
      </c>
      <c r="O640" s="4" t="str">
        <f t="shared" si="56"/>
        <v>H</v>
      </c>
      <c r="P640" s="4"/>
      <c r="Q640" s="47" t="str">
        <f t="shared" si="57"/>
        <v>GHALCKVIPYLQAVSVSVAVLTLSFIALD</v>
      </c>
      <c r="R640" s="27" t="str">
        <f t="shared" si="58"/>
        <v>R</v>
      </c>
      <c r="S640" s="19" t="str">
        <f t="shared" si="59"/>
        <v>WYAICH</v>
      </c>
      <c r="Z640" s="4" t="s">
        <v>78</v>
      </c>
      <c r="AD640" s="1" t="s">
        <v>26</v>
      </c>
      <c r="AE640" s="1">
        <v>116</v>
      </c>
      <c r="AF640" s="1">
        <v>144</v>
      </c>
      <c r="AG640" s="1">
        <v>150</v>
      </c>
      <c r="AH640" s="1" t="s">
        <v>27</v>
      </c>
      <c r="AK640" s="4">
        <v>22</v>
      </c>
      <c r="AL640" s="4">
        <v>56</v>
      </c>
    </row>
    <row r="641" spans="1:38" x14ac:dyDescent="0.25">
      <c r="A641" s="1" t="str">
        <f t="shared" si="55"/>
        <v>OX1R_human_4ZJ8_TM3</v>
      </c>
      <c r="B641" s="45" t="s">
        <v>1374</v>
      </c>
      <c r="C641" s="45" t="s">
        <v>282</v>
      </c>
      <c r="D641" s="4" t="str">
        <f>VLOOKUP(B641,Classification!A:D,2,FALSE)</f>
        <v>A</v>
      </c>
      <c r="E641" s="4" t="str">
        <f>VLOOKUP(B641,Classification!A:D,3,FALSE)</f>
        <v>Peptide</v>
      </c>
      <c r="F641" s="4" t="str">
        <f>VLOOKUP(B641,Classification!A:D,4,FALSE)</f>
        <v>Orexin</v>
      </c>
      <c r="G641" s="2">
        <v>5</v>
      </c>
      <c r="H641" s="45" t="s">
        <v>25</v>
      </c>
      <c r="I641" s="2" t="s">
        <v>1223</v>
      </c>
      <c r="J641" s="5" t="str">
        <f>VLOOKUP(B641,Seqs!A:B,2,FALSE)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641" s="4" t="str">
        <f t="shared" si="60"/>
        <v>G</v>
      </c>
      <c r="L641" s="45">
        <f>VLOOKUP(B641,'NonXtal_SegEnds_Prot#'!A:AL,15,FALSE)</f>
        <v>115</v>
      </c>
      <c r="M641" s="45">
        <f>VLOOKUP(B641,'NonXtal_SegEnds_Prot#'!A:AL,16,FALSE)</f>
        <v>144</v>
      </c>
      <c r="N641" s="45">
        <f>VLOOKUP(B641,'NonXtal_SegEnds_Prot#'!A:AL,17,FALSE)</f>
        <v>150</v>
      </c>
      <c r="O641" s="4" t="str">
        <f t="shared" si="56"/>
        <v>H</v>
      </c>
      <c r="P641" s="4"/>
      <c r="Q641" s="47" t="str">
        <f t="shared" si="57"/>
        <v>GHALCKVIPYLQAVSVSVAVLTLSFIALD</v>
      </c>
      <c r="R641" s="27" t="str">
        <f t="shared" si="58"/>
        <v>R</v>
      </c>
      <c r="S641" s="19" t="str">
        <f t="shared" si="59"/>
        <v>WYAICH</v>
      </c>
      <c r="Z641" s="4" t="s">
        <v>78</v>
      </c>
      <c r="AD641" s="1" t="s">
        <v>26</v>
      </c>
      <c r="AE641" s="1">
        <v>116</v>
      </c>
      <c r="AF641" s="1">
        <v>144</v>
      </c>
      <c r="AG641" s="1">
        <v>150</v>
      </c>
      <c r="AH641" s="1" t="s">
        <v>27</v>
      </c>
      <c r="AK641" s="4">
        <v>22</v>
      </c>
      <c r="AL641" s="4">
        <v>56</v>
      </c>
    </row>
    <row r="642" spans="1:38" x14ac:dyDescent="0.25">
      <c r="A642" s="1" t="str">
        <f t="shared" ref="A642:A705" si="61">CONCATENATE(B642,"_",C642,"_",H642)</f>
        <v>OX1R_human_4ZJC_TM3</v>
      </c>
      <c r="B642" s="45" t="s">
        <v>1374</v>
      </c>
      <c r="C642" s="45" t="s">
        <v>283</v>
      </c>
      <c r="D642" s="4" t="str">
        <f>VLOOKUP(B642,Classification!A:D,2,FALSE)</f>
        <v>A</v>
      </c>
      <c r="E642" s="4" t="str">
        <f>VLOOKUP(B642,Classification!A:D,3,FALSE)</f>
        <v>Peptide</v>
      </c>
      <c r="F642" s="4" t="str">
        <f>VLOOKUP(B642,Classification!A:D,4,FALSE)</f>
        <v>Orexin</v>
      </c>
      <c r="G642" s="2">
        <v>5</v>
      </c>
      <c r="H642" s="45" t="s">
        <v>25</v>
      </c>
      <c r="I642" s="2" t="s">
        <v>1223</v>
      </c>
      <c r="J642" s="5" t="str">
        <f>VLOOKUP(B642,Seqs!A:B,2,FALSE)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642" s="4" t="str">
        <f t="shared" si="60"/>
        <v>G</v>
      </c>
      <c r="L642" s="45">
        <f>VLOOKUP(B642,'NonXtal_SegEnds_Prot#'!A:AL,15,FALSE)</f>
        <v>115</v>
      </c>
      <c r="M642" s="45">
        <f>VLOOKUP(B642,'NonXtal_SegEnds_Prot#'!A:AL,16,FALSE)</f>
        <v>144</v>
      </c>
      <c r="N642" s="45">
        <f>VLOOKUP(B642,'NonXtal_SegEnds_Prot#'!A:AL,17,FALSE)</f>
        <v>150</v>
      </c>
      <c r="O642" s="4" t="str">
        <f t="shared" ref="O642:O680" si="62">MID(J642,N642,1)</f>
        <v>H</v>
      </c>
      <c r="P642" s="4"/>
      <c r="Q642" s="47" t="str">
        <f t="shared" ref="Q642:Q705" si="63">MID(J642,L642,M642-L642)</f>
        <v>GHALCKVIPYLQAVSVSVAVLTLSFIALD</v>
      </c>
      <c r="R642" s="27" t="str">
        <f t="shared" ref="R642:R705" si="64">MID(J642,M642,1)</f>
        <v>R</v>
      </c>
      <c r="S642" s="19" t="str">
        <f t="shared" ref="S642:S705" si="65">MID(J642,M642+1,N642-M642)</f>
        <v>WYAICH</v>
      </c>
      <c r="Z642" s="4"/>
      <c r="AD642" s="1" t="s">
        <v>26</v>
      </c>
      <c r="AE642" s="1">
        <v>116</v>
      </c>
      <c r="AF642" s="1">
        <v>144</v>
      </c>
      <c r="AG642" s="1">
        <v>150</v>
      </c>
      <c r="AH642" s="1" t="s">
        <v>27</v>
      </c>
      <c r="AK642" s="4">
        <v>22</v>
      </c>
      <c r="AL642" s="4">
        <v>56</v>
      </c>
    </row>
    <row r="643" spans="1:38" x14ac:dyDescent="0.25">
      <c r="A643" s="1" t="str">
        <f t="shared" si="61"/>
        <v>OX2R_human__wt_TM3</v>
      </c>
      <c r="B643" s="45" t="s">
        <v>1375</v>
      </c>
      <c r="C643" s="45" t="s">
        <v>294</v>
      </c>
      <c r="D643" s="4" t="str">
        <f>VLOOKUP(B643,Classification!A:D,2,FALSE)</f>
        <v>A</v>
      </c>
      <c r="E643" s="4" t="str">
        <f>VLOOKUP(B643,Classification!A:D,3,FALSE)</f>
        <v>Peptide</v>
      </c>
      <c r="F643" s="4" t="str">
        <f>VLOOKUP(B643,Classification!A:D,4,FALSE)</f>
        <v>Orexin</v>
      </c>
      <c r="G643" s="2">
        <v>5</v>
      </c>
      <c r="H643" s="45" t="s">
        <v>25</v>
      </c>
      <c r="I643" s="2" t="s">
        <v>1223</v>
      </c>
      <c r="J643" s="5" t="str">
        <f>VLOOKUP(B643,Seqs!A:B,2,FALSE)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643" s="4" t="str">
        <f t="shared" si="60"/>
        <v>G</v>
      </c>
      <c r="L643" s="45">
        <f>VLOOKUP(B643,'NonXtal_SegEnds_Prot#'!A:AL,15,FALSE)</f>
        <v>123</v>
      </c>
      <c r="M643" s="45">
        <f>VLOOKUP(B643,'NonXtal_SegEnds_Prot#'!A:AL,16,FALSE)</f>
        <v>152</v>
      </c>
      <c r="N643" s="45">
        <f>VLOOKUP(B643,'NonXtal_SegEnds_Prot#'!A:AL,17,FALSE)</f>
        <v>158</v>
      </c>
      <c r="O643" s="4" t="str">
        <f t="shared" si="62"/>
        <v>H</v>
      </c>
      <c r="P643" s="4"/>
      <c r="Q643" s="47" t="str">
        <f t="shared" si="63"/>
        <v>GQSLCKVIPYLQTVSVSVSVLTLSCIALD</v>
      </c>
      <c r="R643" s="27" t="str">
        <f t="shared" si="64"/>
        <v>R</v>
      </c>
      <c r="S643" s="19" t="str">
        <f t="shared" si="65"/>
        <v>WYAICH</v>
      </c>
      <c r="Z643" s="4"/>
      <c r="AD643" s="1" t="s">
        <v>26</v>
      </c>
      <c r="AE643" s="1">
        <v>124</v>
      </c>
      <c r="AF643" s="1">
        <v>152</v>
      </c>
      <c r="AG643" s="1">
        <v>158</v>
      </c>
      <c r="AH643" s="1" t="s">
        <v>27</v>
      </c>
      <c r="AK643" s="4">
        <v>22</v>
      </c>
      <c r="AL643" s="4">
        <v>56</v>
      </c>
    </row>
    <row r="644" spans="1:38" x14ac:dyDescent="0.25">
      <c r="A644" s="1" t="str">
        <f t="shared" si="61"/>
        <v>OX2R_human_4S0V_TM3</v>
      </c>
      <c r="B644" s="45" t="s">
        <v>1375</v>
      </c>
      <c r="C644" s="45" t="s">
        <v>284</v>
      </c>
      <c r="D644" s="4" t="str">
        <f>VLOOKUP(B644,Classification!A:D,2,FALSE)</f>
        <v>A</v>
      </c>
      <c r="E644" s="4" t="str">
        <f>VLOOKUP(B644,Classification!A:D,3,FALSE)</f>
        <v>Peptide</v>
      </c>
      <c r="F644" s="4" t="str">
        <f>VLOOKUP(B644,Classification!A:D,4,FALSE)</f>
        <v>Orexin</v>
      </c>
      <c r="G644" s="2">
        <v>5</v>
      </c>
      <c r="H644" s="45" t="s">
        <v>25</v>
      </c>
      <c r="I644" s="2" t="s">
        <v>1223</v>
      </c>
      <c r="J644" s="5" t="str">
        <f>VLOOKUP(B644,Seqs!A:B,2,FALSE)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644" s="4" t="str">
        <f t="shared" si="60"/>
        <v>G</v>
      </c>
      <c r="L644" s="45">
        <f>VLOOKUP(B644,'NonXtal_SegEnds_Prot#'!A:AL,15,FALSE)</f>
        <v>123</v>
      </c>
      <c r="M644" s="45">
        <f>VLOOKUP(B644,'NonXtal_SegEnds_Prot#'!A:AL,16,FALSE)</f>
        <v>152</v>
      </c>
      <c r="N644" s="45">
        <f>VLOOKUP(B644,'NonXtal_SegEnds_Prot#'!A:AL,17,FALSE)</f>
        <v>158</v>
      </c>
      <c r="O644" s="4" t="str">
        <f t="shared" si="62"/>
        <v>H</v>
      </c>
      <c r="P644" s="4"/>
      <c r="Q644" s="47" t="str">
        <f t="shared" si="63"/>
        <v>GQSLCKVIPYLQTVSVSVSVLTLSCIALD</v>
      </c>
      <c r="R644" s="27" t="str">
        <f t="shared" si="64"/>
        <v>R</v>
      </c>
      <c r="S644" s="19" t="str">
        <f t="shared" si="65"/>
        <v>WYAICH</v>
      </c>
      <c r="Z644" s="4"/>
      <c r="AD644" s="1" t="s">
        <v>26</v>
      </c>
      <c r="AE644" s="1">
        <v>124</v>
      </c>
      <c r="AF644" s="1">
        <v>152</v>
      </c>
      <c r="AG644" s="1">
        <v>158</v>
      </c>
      <c r="AH644" s="1" t="s">
        <v>27</v>
      </c>
      <c r="AK644" s="4">
        <v>22</v>
      </c>
      <c r="AL644" s="4">
        <v>56</v>
      </c>
    </row>
    <row r="645" spans="1:38" x14ac:dyDescent="0.25">
      <c r="A645" s="1" t="str">
        <f t="shared" si="61"/>
        <v>P2RY1_human__wt_TM3</v>
      </c>
      <c r="B645" s="45" t="s">
        <v>215</v>
      </c>
      <c r="C645" s="45" t="s">
        <v>294</v>
      </c>
      <c r="D645" s="4" t="str">
        <f>VLOOKUP(B645,Classification!A:D,2,FALSE)</f>
        <v>A</v>
      </c>
      <c r="E645" s="4" t="str">
        <f>VLOOKUP(B645,Classification!A:D,3,FALSE)</f>
        <v>Nucleotide</v>
      </c>
      <c r="F645" s="4" t="str">
        <f>VLOOKUP(B645,Classification!A:D,4,FALSE)</f>
        <v>P2Y</v>
      </c>
      <c r="G645" s="2">
        <v>5</v>
      </c>
      <c r="H645" s="45" t="s">
        <v>25</v>
      </c>
      <c r="I645" s="2" t="s">
        <v>1223</v>
      </c>
      <c r="J645" s="5" t="str">
        <f>VLOOKUP(B645,Seqs!A:B,2,FALSE)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45" s="4" t="str">
        <f t="shared" si="60"/>
        <v>G</v>
      </c>
      <c r="L645" s="45">
        <f>VLOOKUP(B645,'NonXtal_SegEnds_Prot#'!A:AL,15,FALSE)</f>
        <v>120</v>
      </c>
      <c r="M645" s="45">
        <f>VLOOKUP(B645,'NonXtal_SegEnds_Prot#'!A:AL,16,FALSE)</f>
        <v>149</v>
      </c>
      <c r="N645" s="45">
        <f>VLOOKUP(B645,'NonXtal_SegEnds_Prot#'!A:AL,17,FALSE)</f>
        <v>155</v>
      </c>
      <c r="O645" s="4" t="str">
        <f t="shared" si="62"/>
        <v>Y</v>
      </c>
      <c r="P645" s="4"/>
      <c r="Q645" s="47" t="str">
        <f t="shared" si="63"/>
        <v>GDAMCKLQRFIFHVNLYGSILFLTCISAH</v>
      </c>
      <c r="R645" s="27" t="str">
        <f t="shared" si="64"/>
        <v>R</v>
      </c>
      <c r="S645" s="19" t="str">
        <f t="shared" si="65"/>
        <v>YSGVVY</v>
      </c>
      <c r="Z645" s="4"/>
      <c r="AD645" s="1" t="s">
        <v>26</v>
      </c>
      <c r="AE645" s="1">
        <v>121</v>
      </c>
      <c r="AF645" s="1">
        <v>149</v>
      </c>
      <c r="AG645" s="1">
        <v>155</v>
      </c>
      <c r="AH645" s="1" t="s">
        <v>27</v>
      </c>
      <c r="AK645" s="4">
        <v>22</v>
      </c>
      <c r="AL645" s="4">
        <v>56</v>
      </c>
    </row>
    <row r="646" spans="1:38" x14ac:dyDescent="0.25">
      <c r="A646" s="1" t="str">
        <f t="shared" si="61"/>
        <v>P2RY1_human_4xNV_TM3</v>
      </c>
      <c r="B646" s="45" t="s">
        <v>215</v>
      </c>
      <c r="C646" s="45" t="s">
        <v>274</v>
      </c>
      <c r="D646" s="4" t="str">
        <f>VLOOKUP(B646,Classification!A:D,2,FALSE)</f>
        <v>A</v>
      </c>
      <c r="E646" s="4" t="str">
        <f>VLOOKUP(B646,Classification!A:D,3,FALSE)</f>
        <v>Nucleotide</v>
      </c>
      <c r="F646" s="4" t="str">
        <f>VLOOKUP(B646,Classification!A:D,4,FALSE)</f>
        <v>P2Y</v>
      </c>
      <c r="G646" s="2">
        <v>5</v>
      </c>
      <c r="H646" s="45" t="s">
        <v>25</v>
      </c>
      <c r="I646" s="2" t="s">
        <v>1223</v>
      </c>
      <c r="J646" s="5" t="str">
        <f>VLOOKUP(B646,Seqs!A:B,2,FALSE)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46" s="4" t="str">
        <f t="shared" si="60"/>
        <v>G</v>
      </c>
      <c r="L646" s="45">
        <f>VLOOKUP(B646,'NonXtal_SegEnds_Prot#'!A:AL,15,FALSE)</f>
        <v>120</v>
      </c>
      <c r="M646" s="45">
        <f>VLOOKUP(B646,'NonXtal_SegEnds_Prot#'!A:AL,16,FALSE)</f>
        <v>149</v>
      </c>
      <c r="N646" s="45">
        <f>VLOOKUP(B646,'NonXtal_SegEnds_Prot#'!A:AL,17,FALSE)</f>
        <v>155</v>
      </c>
      <c r="O646" s="4" t="str">
        <f t="shared" si="62"/>
        <v>Y</v>
      </c>
      <c r="P646" s="4"/>
      <c r="Q646" s="47" t="str">
        <f t="shared" si="63"/>
        <v>GDAMCKLQRFIFHVNLYGSILFLTCISAH</v>
      </c>
      <c r="R646" s="27" t="str">
        <f t="shared" si="64"/>
        <v>R</v>
      </c>
      <c r="S646" s="19" t="str">
        <f t="shared" si="65"/>
        <v>YSGVVY</v>
      </c>
      <c r="Z646" s="4"/>
      <c r="AD646" s="1" t="s">
        <v>26</v>
      </c>
      <c r="AE646" s="1">
        <v>121</v>
      </c>
      <c r="AF646" s="1">
        <v>149</v>
      </c>
      <c r="AG646" s="1">
        <v>155</v>
      </c>
      <c r="AH646" s="1" t="s">
        <v>27</v>
      </c>
      <c r="AK646" s="4">
        <v>22</v>
      </c>
      <c r="AL646" s="4">
        <v>56</v>
      </c>
    </row>
    <row r="647" spans="1:38" x14ac:dyDescent="0.25">
      <c r="A647" s="1" t="str">
        <f t="shared" si="61"/>
        <v>P2Y12_human__wt_TM3</v>
      </c>
      <c r="B647" s="45" t="s">
        <v>216</v>
      </c>
      <c r="C647" s="45" t="s">
        <v>294</v>
      </c>
      <c r="D647" s="4" t="str">
        <f>VLOOKUP(B647,Classification!A:D,2,FALSE)</f>
        <v>A</v>
      </c>
      <c r="E647" s="4" t="str">
        <f>VLOOKUP(B647,Classification!A:D,3,FALSE)</f>
        <v>Nucleotide</v>
      </c>
      <c r="F647" s="4" t="str">
        <f>VLOOKUP(B647,Classification!A:D,4,FALSE)</f>
        <v>P2Y</v>
      </c>
      <c r="G647" s="2">
        <v>5</v>
      </c>
      <c r="H647" s="45" t="s">
        <v>25</v>
      </c>
      <c r="I647" s="2" t="s">
        <v>1223</v>
      </c>
      <c r="J647" s="5" t="str">
        <f>VLOOKUP(B647,Seqs!A:B,2,FALSE)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647" s="4" t="str">
        <f t="shared" si="60"/>
        <v>G</v>
      </c>
      <c r="L647" s="45">
        <f>VLOOKUP(B647,'NonXtal_SegEnds_Prot#'!A:AL,15,FALSE)</f>
        <v>90</v>
      </c>
      <c r="M647" s="45">
        <f>VLOOKUP(B647,'NonXtal_SegEnds_Prot#'!A:AL,16,FALSE)</f>
        <v>122</v>
      </c>
      <c r="N647" s="45">
        <f>VLOOKUP(B647,'NonXtal_SegEnds_Prot#'!A:AL,17,FALSE)</f>
        <v>128</v>
      </c>
      <c r="O647" s="4" t="str">
        <f t="shared" si="62"/>
        <v>R</v>
      </c>
      <c r="P647" s="4"/>
      <c r="Q647" s="47" t="str">
        <f t="shared" si="63"/>
        <v>GPLRTFVCQVTSVIFYFTMYISISFLGLITID</v>
      </c>
      <c r="R647" s="27" t="str">
        <f t="shared" si="64"/>
        <v>R</v>
      </c>
      <c r="S647" s="19" t="str">
        <f t="shared" si="65"/>
        <v>YQKTTR</v>
      </c>
      <c r="Z647" s="4"/>
      <c r="AD647" s="1" t="s">
        <v>157</v>
      </c>
      <c r="AE647" s="1">
        <v>91</v>
      </c>
      <c r="AF647" s="1">
        <v>122</v>
      </c>
      <c r="AG647" s="1">
        <v>127</v>
      </c>
      <c r="AH647" s="1" t="s">
        <v>144</v>
      </c>
      <c r="AK647" s="4">
        <v>19</v>
      </c>
      <c r="AL647" s="4">
        <v>55</v>
      </c>
    </row>
    <row r="648" spans="1:38" x14ac:dyDescent="0.25">
      <c r="A648" s="1" t="str">
        <f t="shared" si="61"/>
        <v>P2Y12_human_4PxZ_TM3</v>
      </c>
      <c r="B648" s="45" t="s">
        <v>216</v>
      </c>
      <c r="C648" s="45" t="s">
        <v>242</v>
      </c>
      <c r="D648" s="4" t="str">
        <f>VLOOKUP(B648,Classification!A:D,2,FALSE)</f>
        <v>A</v>
      </c>
      <c r="E648" s="4" t="str">
        <f>VLOOKUP(B648,Classification!A:D,3,FALSE)</f>
        <v>Nucleotide</v>
      </c>
      <c r="F648" s="4" t="str">
        <f>VLOOKUP(B648,Classification!A:D,4,FALSE)</f>
        <v>P2Y</v>
      </c>
      <c r="G648" s="2">
        <v>5</v>
      </c>
      <c r="H648" s="45" t="s">
        <v>25</v>
      </c>
      <c r="I648" s="2" t="s">
        <v>1223</v>
      </c>
      <c r="J648" s="5" t="str">
        <f>VLOOKUP(B648,Seqs!A:B,2,FALSE)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648" s="4" t="str">
        <f t="shared" si="60"/>
        <v>G</v>
      </c>
      <c r="L648" s="45">
        <f>VLOOKUP(B648,'NonXtal_SegEnds_Prot#'!A:AL,15,FALSE)</f>
        <v>90</v>
      </c>
      <c r="M648" s="45">
        <f>VLOOKUP(B648,'NonXtal_SegEnds_Prot#'!A:AL,16,FALSE)</f>
        <v>122</v>
      </c>
      <c r="N648" s="45">
        <f>VLOOKUP(B648,'NonXtal_SegEnds_Prot#'!A:AL,17,FALSE)</f>
        <v>128</v>
      </c>
      <c r="O648" s="4" t="str">
        <f t="shared" si="62"/>
        <v>R</v>
      </c>
      <c r="P648" s="4"/>
      <c r="Q648" s="47" t="str">
        <f t="shared" si="63"/>
        <v>GPLRTFVCQVTSVIFYFTMYISISFLGLITID</v>
      </c>
      <c r="R648" s="27" t="str">
        <f t="shared" si="64"/>
        <v>R</v>
      </c>
      <c r="S648" s="19" t="str">
        <f t="shared" si="65"/>
        <v>YQKTTR</v>
      </c>
      <c r="Z648" s="4"/>
      <c r="AD648" s="1" t="s">
        <v>157</v>
      </c>
      <c r="AE648" s="1">
        <v>91</v>
      </c>
      <c r="AF648" s="1">
        <v>122</v>
      </c>
      <c r="AG648" s="1">
        <v>127</v>
      </c>
      <c r="AH648" s="1" t="s">
        <v>144</v>
      </c>
      <c r="AK648" s="4">
        <v>19</v>
      </c>
      <c r="AL648" s="4">
        <v>55</v>
      </c>
    </row>
    <row r="649" spans="1:38" x14ac:dyDescent="0.25">
      <c r="A649" s="1" t="str">
        <f t="shared" si="61"/>
        <v>PAR1_human__wt_TM3</v>
      </c>
      <c r="B649" s="45" t="s">
        <v>229</v>
      </c>
      <c r="C649" s="45" t="s">
        <v>294</v>
      </c>
      <c r="D649" s="4" t="str">
        <f>VLOOKUP(B649,Classification!A:D,2,FALSE)</f>
        <v>A</v>
      </c>
      <c r="E649" s="4" t="str">
        <f>VLOOKUP(B649,Classification!A:D,3,FALSE)</f>
        <v>Peptide</v>
      </c>
      <c r="F649" s="4" t="str">
        <f>VLOOKUP(B649,Classification!A:D,4,FALSE)</f>
        <v>Proteinase-activated</v>
      </c>
      <c r="G649" s="2">
        <v>5</v>
      </c>
      <c r="H649" s="45" t="s">
        <v>25</v>
      </c>
      <c r="I649" s="2" t="s">
        <v>1223</v>
      </c>
      <c r="J649" s="5" t="str">
        <f>VLOOKUP(B649,Seqs!A:B,2,FALSE)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649" s="4" t="str">
        <f t="shared" si="60"/>
        <v>G</v>
      </c>
      <c r="L649" s="45">
        <f>VLOOKUP(B649,'NonXtal_SegEnds_Prot#'!A:AL,15,FALSE)</f>
        <v>171</v>
      </c>
      <c r="M649" s="45">
        <f>VLOOKUP(B649,'NonXtal_SegEnds_Prot#'!A:AL,16,FALSE)</f>
        <v>200</v>
      </c>
      <c r="N649" s="45">
        <f>VLOOKUP(B649,'NonXtal_SegEnds_Prot#'!A:AL,17,FALSE)</f>
        <v>206</v>
      </c>
      <c r="O649" s="4" t="str">
        <f t="shared" si="62"/>
        <v>Y</v>
      </c>
      <c r="P649" s="4"/>
      <c r="Q649" s="47" t="str">
        <f t="shared" si="63"/>
        <v>GSELCRFVTAAFYCNMYASILLMTVISID</v>
      </c>
      <c r="R649" s="27" t="str">
        <f t="shared" si="64"/>
        <v>R</v>
      </c>
      <c r="S649" s="19" t="str">
        <f t="shared" si="65"/>
        <v>FLAVVY</v>
      </c>
      <c r="Z649" s="4"/>
      <c r="AD649" s="1" t="s">
        <v>26</v>
      </c>
      <c r="AE649" s="1">
        <v>172</v>
      </c>
      <c r="AF649" s="1">
        <v>200</v>
      </c>
      <c r="AG649" s="1">
        <v>206</v>
      </c>
      <c r="AH649" s="1" t="s">
        <v>27</v>
      </c>
      <c r="AK649" s="4">
        <v>22</v>
      </c>
      <c r="AL649" s="4">
        <v>56</v>
      </c>
    </row>
    <row r="650" spans="1:38" x14ac:dyDescent="0.25">
      <c r="A650" s="1" t="str">
        <f t="shared" si="61"/>
        <v>PAR1_human_3VW7_TM3</v>
      </c>
      <c r="B650" s="45" t="s">
        <v>229</v>
      </c>
      <c r="C650" s="45" t="s">
        <v>285</v>
      </c>
      <c r="D650" s="4" t="str">
        <f>VLOOKUP(B650,Classification!A:D,2,FALSE)</f>
        <v>A</v>
      </c>
      <c r="E650" s="4" t="str">
        <f>VLOOKUP(B650,Classification!A:D,3,FALSE)</f>
        <v>Peptide</v>
      </c>
      <c r="F650" s="4" t="str">
        <f>VLOOKUP(B650,Classification!A:D,4,FALSE)</f>
        <v>Proteinase-activated</v>
      </c>
      <c r="G650" s="2">
        <v>5</v>
      </c>
      <c r="H650" s="45" t="s">
        <v>25</v>
      </c>
      <c r="I650" s="2" t="s">
        <v>1223</v>
      </c>
      <c r="J650" s="5" t="str">
        <f>VLOOKUP(B650,Seqs!A:B,2,FALSE)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650" s="4" t="str">
        <f t="shared" si="60"/>
        <v>G</v>
      </c>
      <c r="L650" s="45">
        <f>VLOOKUP(B650,'NonXtal_SegEnds_Prot#'!A:AL,15,FALSE)</f>
        <v>171</v>
      </c>
      <c r="M650" s="45">
        <f>VLOOKUP(B650,'NonXtal_SegEnds_Prot#'!A:AL,16,FALSE)</f>
        <v>200</v>
      </c>
      <c r="N650" s="45">
        <f>VLOOKUP(B650,'NonXtal_SegEnds_Prot#'!A:AL,17,FALSE)</f>
        <v>206</v>
      </c>
      <c r="O650" s="4" t="str">
        <f t="shared" si="62"/>
        <v>Y</v>
      </c>
      <c r="P650" s="4"/>
      <c r="Q650" s="47" t="str">
        <f t="shared" si="63"/>
        <v>GSELCRFVTAAFYCNMYASILLMTVISID</v>
      </c>
      <c r="R650" s="27" t="str">
        <f t="shared" si="64"/>
        <v>R</v>
      </c>
      <c r="S650" s="19" t="str">
        <f t="shared" si="65"/>
        <v>FLAVVY</v>
      </c>
      <c r="Z650" s="4"/>
      <c r="AD650" s="1" t="s">
        <v>26</v>
      </c>
      <c r="AE650" s="1">
        <v>172</v>
      </c>
      <c r="AF650" s="1">
        <v>200</v>
      </c>
      <c r="AG650" s="1">
        <v>206</v>
      </c>
      <c r="AH650" s="1" t="s">
        <v>27</v>
      </c>
      <c r="AK650" s="4">
        <v>22</v>
      </c>
      <c r="AL650" s="4">
        <v>56</v>
      </c>
    </row>
    <row r="651" spans="1:38" x14ac:dyDescent="0.25">
      <c r="A651" s="1" t="str">
        <f t="shared" si="61"/>
        <v>S1PR1_human__wt_TM3</v>
      </c>
      <c r="B651" s="45" t="s">
        <v>217</v>
      </c>
      <c r="C651" s="45" t="s">
        <v>294</v>
      </c>
      <c r="D651" s="4" t="str">
        <f>VLOOKUP(B651,Classification!A:D,2,FALSE)</f>
        <v>A</v>
      </c>
      <c r="E651" s="4" t="str">
        <f>VLOOKUP(B651,Classification!A:D,3,FALSE)</f>
        <v>Lipid</v>
      </c>
      <c r="F651" s="4" t="str">
        <f>VLOOKUP(B651,Classification!A:D,4,FALSE)</f>
        <v>Lysophospholipid(S1P)</v>
      </c>
      <c r="G651" s="2">
        <v>5</v>
      </c>
      <c r="H651" s="45" t="s">
        <v>25</v>
      </c>
      <c r="I651" s="2" t="s">
        <v>1223</v>
      </c>
      <c r="J651" s="5" t="str">
        <f>VLOOKUP(B651,Seqs!A:B,2,FALSE)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651" s="4" t="str">
        <f t="shared" si="60"/>
        <v>T</v>
      </c>
      <c r="L651" s="45">
        <f>VLOOKUP(B651,'NonXtal_SegEnds_Prot#'!A:AL,15,FALSE)</f>
        <v>113</v>
      </c>
      <c r="M651" s="45">
        <f>VLOOKUP(B651,'NonXtal_SegEnds_Prot#'!A:AL,16,FALSE)</f>
        <v>142</v>
      </c>
      <c r="N651" s="45">
        <f>VLOOKUP(B651,'NonXtal_SegEnds_Prot#'!A:AL,17,FALSE)</f>
        <v>148</v>
      </c>
      <c r="O651" s="4" t="str">
        <f t="shared" si="62"/>
        <v>K</v>
      </c>
      <c r="P651" s="4"/>
      <c r="Q651" s="47" t="str">
        <f t="shared" si="63"/>
        <v>TPAQWFLREGSMFVALSASVFSLLAIAIE</v>
      </c>
      <c r="R651" s="27" t="str">
        <f t="shared" si="64"/>
        <v>R</v>
      </c>
      <c r="S651" s="19" t="str">
        <f t="shared" si="65"/>
        <v>YITMLK</v>
      </c>
      <c r="Z651" s="4"/>
      <c r="AD651" s="1" t="s">
        <v>26</v>
      </c>
      <c r="AE651" s="1">
        <v>114</v>
      </c>
      <c r="AF651" s="1">
        <v>142</v>
      </c>
      <c r="AG651" s="1">
        <v>147</v>
      </c>
      <c r="AH651" s="1" t="s">
        <v>144</v>
      </c>
      <c r="AK651" s="4">
        <v>22</v>
      </c>
      <c r="AL651" s="4">
        <v>55</v>
      </c>
    </row>
    <row r="652" spans="1:38" x14ac:dyDescent="0.25">
      <c r="A652" s="1" t="str">
        <f t="shared" si="61"/>
        <v>S1PR1_human_3V2Y_TM3</v>
      </c>
      <c r="B652" s="45" t="s">
        <v>217</v>
      </c>
      <c r="C652" s="45" t="s">
        <v>286</v>
      </c>
      <c r="D652" s="4" t="str">
        <f>VLOOKUP(B652,Classification!A:D,2,FALSE)</f>
        <v>A</v>
      </c>
      <c r="E652" s="4" t="str">
        <f>VLOOKUP(B652,Classification!A:D,3,FALSE)</f>
        <v>Lipid</v>
      </c>
      <c r="F652" s="4" t="str">
        <f>VLOOKUP(B652,Classification!A:D,4,FALSE)</f>
        <v>Lysophospholipid(S1P)</v>
      </c>
      <c r="G652" s="2">
        <v>5</v>
      </c>
      <c r="H652" s="45" t="s">
        <v>25</v>
      </c>
      <c r="I652" s="2" t="s">
        <v>1223</v>
      </c>
      <c r="J652" s="5" t="str">
        <f>VLOOKUP(B652,Seqs!A:B,2,FALSE)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652" s="4" t="str">
        <f t="shared" si="60"/>
        <v>T</v>
      </c>
      <c r="L652" s="45">
        <f>VLOOKUP(B652,'NonXtal_SegEnds_Prot#'!A:AL,15,FALSE)</f>
        <v>113</v>
      </c>
      <c r="M652" s="45">
        <f>VLOOKUP(B652,'NonXtal_SegEnds_Prot#'!A:AL,16,FALSE)</f>
        <v>142</v>
      </c>
      <c r="N652" s="45">
        <f>VLOOKUP(B652,'NonXtal_SegEnds_Prot#'!A:AL,17,FALSE)</f>
        <v>148</v>
      </c>
      <c r="O652" s="4" t="str">
        <f t="shared" si="62"/>
        <v>K</v>
      </c>
      <c r="P652" s="4"/>
      <c r="Q652" s="47" t="str">
        <f t="shared" si="63"/>
        <v>TPAQWFLREGSMFVALSASVFSLLAIAIE</v>
      </c>
      <c r="R652" s="27" t="str">
        <f t="shared" si="64"/>
        <v>R</v>
      </c>
      <c r="S652" s="19" t="str">
        <f t="shared" si="65"/>
        <v>YITMLK</v>
      </c>
      <c r="Z652" s="4"/>
      <c r="AD652" s="1" t="s">
        <v>26</v>
      </c>
      <c r="AE652" s="1">
        <v>114</v>
      </c>
      <c r="AF652" s="1">
        <v>142</v>
      </c>
      <c r="AG652" s="1">
        <v>147</v>
      </c>
      <c r="AH652" s="1" t="s">
        <v>144</v>
      </c>
      <c r="AK652" s="4">
        <v>22</v>
      </c>
      <c r="AL652" s="4">
        <v>55</v>
      </c>
    </row>
    <row r="653" spans="1:38" x14ac:dyDescent="0.25">
      <c r="A653" s="1" t="str">
        <f t="shared" si="61"/>
        <v>smo_human__wt_TM3</v>
      </c>
      <c r="B653" s="45" t="s">
        <v>207</v>
      </c>
      <c r="C653" s="45" t="s">
        <v>294</v>
      </c>
      <c r="D653" s="4" t="str">
        <f>VLOOKUP(B653,Classification!A:D,2,FALSE)</f>
        <v>F</v>
      </c>
      <c r="E653" s="4" t="str">
        <f>VLOOKUP(B653,Classification!A:D,3,FALSE)</f>
        <v>Protein</v>
      </c>
      <c r="F653" s="4" t="str">
        <f>VLOOKUP(B653,Classification!A:D,4,FALSE)</f>
        <v>Frizzled</v>
      </c>
      <c r="G653" s="2">
        <v>5</v>
      </c>
      <c r="H653" s="45" t="s">
        <v>25</v>
      </c>
      <c r="I653" s="2" t="s">
        <v>1223</v>
      </c>
      <c r="J653" s="5" t="str">
        <f>VLOOKUP(B653,Seqs!A:B,2,FALSE)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653" s="4" t="str">
        <f t="shared" si="60"/>
        <v>L</v>
      </c>
      <c r="L653" s="45">
        <f>VLOOKUP(B653,'NonXtal_SegEnds_Prot#'!A:AL,15,FALSE)</f>
        <v>312</v>
      </c>
      <c r="M653" s="45">
        <f>VLOOKUP(B653,'NonXtal_SegEnds_Prot#'!A:AL,16,FALSE)</f>
        <v>339</v>
      </c>
      <c r="N653" s="45">
        <f>VLOOKUP(B653,'NonXtal_SegEnds_Prot#'!A:AL,17,FALSE)</f>
        <v>348</v>
      </c>
      <c r="O653" s="4" t="str">
        <f t="shared" si="62"/>
        <v>T</v>
      </c>
      <c r="P653" s="4"/>
      <c r="Q653" s="47" t="str">
        <f t="shared" si="63"/>
        <v>LSCVIIFVIVYYALMAGVVWFVVLTYA</v>
      </c>
      <c r="R653" s="27" t="str">
        <f t="shared" si="64"/>
        <v>W</v>
      </c>
      <c r="S653" s="19" t="str">
        <f t="shared" si="65"/>
        <v>HTSFKALGT</v>
      </c>
      <c r="Z653" s="4"/>
      <c r="AD653" s="1" t="s">
        <v>57</v>
      </c>
      <c r="AE653" s="1">
        <v>312</v>
      </c>
      <c r="AF653" s="1">
        <v>339</v>
      </c>
      <c r="AG653" s="1">
        <v>348</v>
      </c>
      <c r="AH653" s="1" t="s">
        <v>196</v>
      </c>
      <c r="AK653" s="4">
        <v>23</v>
      </c>
      <c r="AL653" s="4">
        <v>59</v>
      </c>
    </row>
    <row r="654" spans="1:38" x14ac:dyDescent="0.25">
      <c r="A654" s="1" t="str">
        <f t="shared" si="61"/>
        <v>smo_human_4JKV_TM3</v>
      </c>
      <c r="B654" s="45" t="s">
        <v>207</v>
      </c>
      <c r="C654" s="45" t="s">
        <v>278</v>
      </c>
      <c r="D654" s="4" t="str">
        <f>VLOOKUP(B654,Classification!A:D,2,FALSE)</f>
        <v>F</v>
      </c>
      <c r="E654" s="4" t="str">
        <f>VLOOKUP(B654,Classification!A:D,3,FALSE)</f>
        <v>Protein</v>
      </c>
      <c r="F654" s="4" t="str">
        <f>VLOOKUP(B654,Classification!A:D,4,FALSE)</f>
        <v>Frizzled</v>
      </c>
      <c r="G654" s="2">
        <v>5</v>
      </c>
      <c r="H654" s="45" t="s">
        <v>25</v>
      </c>
      <c r="I654" s="2" t="s">
        <v>1223</v>
      </c>
      <c r="J654" s="5" t="str">
        <f>VLOOKUP(B654,Seqs!A:B,2,FALSE)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654" s="4" t="str">
        <f t="shared" si="60"/>
        <v>L</v>
      </c>
      <c r="L654" s="45">
        <f>VLOOKUP(B654,'NonXtal_SegEnds_Prot#'!A:AL,15,FALSE)</f>
        <v>312</v>
      </c>
      <c r="M654" s="45">
        <f>VLOOKUP(B654,'NonXtal_SegEnds_Prot#'!A:AL,16,FALSE)</f>
        <v>339</v>
      </c>
      <c r="N654" s="45">
        <f>VLOOKUP(B654,'NonXtal_SegEnds_Prot#'!A:AL,17,FALSE)</f>
        <v>348</v>
      </c>
      <c r="O654" s="4" t="str">
        <f t="shared" si="62"/>
        <v>T</v>
      </c>
      <c r="P654" s="4"/>
      <c r="Q654" s="47" t="str">
        <f t="shared" si="63"/>
        <v>LSCVIIFVIVYYALMAGVVWFVVLTYA</v>
      </c>
      <c r="R654" s="27" t="str">
        <f t="shared" si="64"/>
        <v>W</v>
      </c>
      <c r="S654" s="19" t="str">
        <f t="shared" si="65"/>
        <v>HTSFKALGT</v>
      </c>
      <c r="Z654" s="4"/>
      <c r="AD654" s="1" t="s">
        <v>57</v>
      </c>
      <c r="AE654" s="1">
        <v>312</v>
      </c>
      <c r="AF654" s="1">
        <v>339</v>
      </c>
      <c r="AG654" s="1">
        <v>348</v>
      </c>
      <c r="AH654" s="1" t="s">
        <v>196</v>
      </c>
      <c r="AK654" s="4">
        <v>23</v>
      </c>
      <c r="AL654" s="4">
        <v>59</v>
      </c>
    </row>
    <row r="655" spans="1:38" x14ac:dyDescent="0.25">
      <c r="A655" s="1" t="str">
        <f t="shared" si="61"/>
        <v>smo_human_4QIN_TM3</v>
      </c>
      <c r="B655" s="45" t="s">
        <v>207</v>
      </c>
      <c r="C655" s="45" t="s">
        <v>247</v>
      </c>
      <c r="D655" s="4" t="str">
        <f>VLOOKUP(B655,Classification!A:D,2,FALSE)</f>
        <v>F</v>
      </c>
      <c r="E655" s="4" t="str">
        <f>VLOOKUP(B655,Classification!A:D,3,FALSE)</f>
        <v>Protein</v>
      </c>
      <c r="F655" s="4" t="str">
        <f>VLOOKUP(B655,Classification!A:D,4,FALSE)</f>
        <v>Frizzled</v>
      </c>
      <c r="G655" s="2">
        <v>5</v>
      </c>
      <c r="H655" s="45" t="s">
        <v>25</v>
      </c>
      <c r="I655" s="2" t="s">
        <v>1223</v>
      </c>
      <c r="J655" s="5" t="str">
        <f>VLOOKUP(B655,Seqs!A:B,2,FALSE)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655" s="4" t="str">
        <f t="shared" si="60"/>
        <v>L</v>
      </c>
      <c r="L655" s="45">
        <f>VLOOKUP(B655,'NonXtal_SegEnds_Prot#'!A:AL,15,FALSE)</f>
        <v>312</v>
      </c>
      <c r="M655" s="45">
        <f>VLOOKUP(B655,'NonXtal_SegEnds_Prot#'!A:AL,16,FALSE)</f>
        <v>339</v>
      </c>
      <c r="N655" s="45">
        <f>VLOOKUP(B655,'NonXtal_SegEnds_Prot#'!A:AL,17,FALSE)</f>
        <v>348</v>
      </c>
      <c r="O655" s="4" t="str">
        <f t="shared" si="62"/>
        <v>T</v>
      </c>
      <c r="P655" s="4"/>
      <c r="Q655" s="47" t="str">
        <f t="shared" si="63"/>
        <v>LSCVIIFVIVYYALMAGVVWFVVLTYA</v>
      </c>
      <c r="R655" s="27" t="str">
        <f t="shared" si="64"/>
        <v>W</v>
      </c>
      <c r="S655" s="19" t="str">
        <f t="shared" si="65"/>
        <v>HTSFKALGT</v>
      </c>
      <c r="Z655" s="4"/>
      <c r="AD655" s="1" t="s">
        <v>57</v>
      </c>
      <c r="AE655" s="1">
        <v>312</v>
      </c>
      <c r="AF655" s="1">
        <v>339</v>
      </c>
      <c r="AG655" s="1">
        <v>344</v>
      </c>
      <c r="AH655" s="1" t="s">
        <v>188</v>
      </c>
      <c r="AK655" s="4">
        <v>23</v>
      </c>
      <c r="AL655" s="4">
        <v>54</v>
      </c>
    </row>
    <row r="656" spans="1:38" x14ac:dyDescent="0.25">
      <c r="A656" s="1" t="str">
        <f t="shared" si="61"/>
        <v>US28_hcmva__wt_TM3</v>
      </c>
      <c r="B656" s="45" t="s">
        <v>230</v>
      </c>
      <c r="C656" s="45" t="s">
        <v>294</v>
      </c>
      <c r="D656" s="4" t="str">
        <f>VLOOKUP(B656,Classification!A:D,2,FALSE)</f>
        <v>A</v>
      </c>
      <c r="E656" s="4" t="str">
        <f>VLOOKUP(B656,Classification!A:D,3,FALSE)</f>
        <v>Peptide</v>
      </c>
      <c r="F656" s="4" t="str">
        <f>VLOOKUP(B656,Classification!A:D,4,FALSE)</f>
        <v>Chemokine</v>
      </c>
      <c r="G656" s="2">
        <v>5</v>
      </c>
      <c r="H656" s="45" t="s">
        <v>25</v>
      </c>
      <c r="I656" s="2" t="s">
        <v>1223</v>
      </c>
      <c r="J656" s="5" t="str">
        <f>VLOOKUP(B656,Seqs!A:B,2,FALSE)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656" s="4" t="str">
        <f t="shared" ref="K656:K719" si="66">MID(J656,L656,1)</f>
        <v>P</v>
      </c>
      <c r="L656" s="45">
        <f>VLOOKUP(B656,'NonXtal_SegEnds_Prot#'!A:AL,15,FALSE)</f>
        <v>103</v>
      </c>
      <c r="M656" s="45">
        <f>VLOOKUP(B656,'NonXtal_SegEnds_Prot#'!A:AL,16,FALSE)</f>
        <v>129</v>
      </c>
      <c r="N656" s="45">
        <f>VLOOKUP(B656,'NonXtal_SegEnds_Prot#'!A:AL,17,FALSE)</f>
        <v>135</v>
      </c>
      <c r="O656" s="4" t="str">
        <f t="shared" si="62"/>
        <v>Y</v>
      </c>
      <c r="P656" s="4"/>
      <c r="Q656" s="47" t="str">
        <f t="shared" si="63"/>
        <v>PCTLLTACFYVAMFASLCFITEIALD</v>
      </c>
      <c r="R656" s="27" t="str">
        <f t="shared" si="64"/>
        <v>R</v>
      </c>
      <c r="S656" s="19" t="str">
        <f t="shared" si="65"/>
        <v>YYAIVY</v>
      </c>
      <c r="Z656" s="4" t="s">
        <v>64</v>
      </c>
      <c r="AD656" s="1" t="s">
        <v>164</v>
      </c>
      <c r="AE656" s="1">
        <v>104</v>
      </c>
      <c r="AF656" s="1">
        <v>129</v>
      </c>
      <c r="AG656" s="1">
        <v>135</v>
      </c>
      <c r="AH656" s="1" t="s">
        <v>27</v>
      </c>
      <c r="AK656" s="4">
        <v>25</v>
      </c>
      <c r="AL656" s="4">
        <v>56</v>
      </c>
    </row>
    <row r="657" spans="1:38" x14ac:dyDescent="0.25">
      <c r="A657" s="1" t="str">
        <f t="shared" si="61"/>
        <v>US28_hcmva_4xT1_TM3</v>
      </c>
      <c r="B657" s="45" t="s">
        <v>230</v>
      </c>
      <c r="C657" s="45" t="s">
        <v>287</v>
      </c>
      <c r="D657" s="4" t="str">
        <f>VLOOKUP(B657,Classification!A:D,2,FALSE)</f>
        <v>A</v>
      </c>
      <c r="E657" s="4" t="str">
        <f>VLOOKUP(B657,Classification!A:D,3,FALSE)</f>
        <v>Peptide</v>
      </c>
      <c r="F657" s="4" t="str">
        <f>VLOOKUP(B657,Classification!A:D,4,FALSE)</f>
        <v>Chemokine</v>
      </c>
      <c r="G657" s="2">
        <v>5</v>
      </c>
      <c r="H657" s="45" t="s">
        <v>25</v>
      </c>
      <c r="I657" s="2" t="s">
        <v>1223</v>
      </c>
      <c r="J657" s="5" t="str">
        <f>VLOOKUP(B657,Seqs!A:B,2,FALSE)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657" s="4" t="str">
        <f t="shared" si="66"/>
        <v>P</v>
      </c>
      <c r="L657" s="45">
        <f>VLOOKUP(B657,'NonXtal_SegEnds_Prot#'!A:AL,15,FALSE)</f>
        <v>103</v>
      </c>
      <c r="M657" s="45">
        <f>VLOOKUP(B657,'NonXtal_SegEnds_Prot#'!A:AL,16,FALSE)</f>
        <v>129</v>
      </c>
      <c r="N657" s="45">
        <f>VLOOKUP(B657,'NonXtal_SegEnds_Prot#'!A:AL,17,FALSE)</f>
        <v>135</v>
      </c>
      <c r="O657" s="4" t="str">
        <f t="shared" si="62"/>
        <v>Y</v>
      </c>
      <c r="P657" s="4"/>
      <c r="Q657" s="47" t="str">
        <f t="shared" si="63"/>
        <v>PCTLLTACFYVAMFASLCFITEIALD</v>
      </c>
      <c r="R657" s="27" t="str">
        <f t="shared" si="64"/>
        <v>R</v>
      </c>
      <c r="S657" s="19" t="str">
        <f t="shared" si="65"/>
        <v>YYAIVY</v>
      </c>
      <c r="Z657" s="4" t="s">
        <v>64</v>
      </c>
      <c r="AD657" s="1" t="s">
        <v>164</v>
      </c>
      <c r="AE657" s="1">
        <v>104</v>
      </c>
      <c r="AF657" s="1">
        <v>129</v>
      </c>
      <c r="AG657" s="1">
        <v>135</v>
      </c>
      <c r="AH657" s="1" t="s">
        <v>27</v>
      </c>
      <c r="AK657" s="4">
        <v>25</v>
      </c>
      <c r="AL657" s="4">
        <v>56</v>
      </c>
    </row>
    <row r="658" spans="1:38" x14ac:dyDescent="0.25">
      <c r="A658" s="1" t="str">
        <f t="shared" si="61"/>
        <v>5ht1b_human__wt_ICL2</v>
      </c>
      <c r="B658" s="45" t="s">
        <v>208</v>
      </c>
      <c r="C658" s="45" t="s">
        <v>294</v>
      </c>
      <c r="D658" s="4" t="str">
        <f>VLOOKUP(B658,Classification!A:D,2,FALSE)</f>
        <v>A</v>
      </c>
      <c r="E658" s="4" t="str">
        <f>VLOOKUP(B658,Classification!A:D,3,FALSE)</f>
        <v>Aminergic</v>
      </c>
      <c r="F658" s="4" t="str">
        <f>VLOOKUP(B658,Classification!A:D,4,FALSE)</f>
        <v>5-Hydroxytryptamine</v>
      </c>
      <c r="G658" s="2">
        <v>6</v>
      </c>
      <c r="H658" s="45" t="s">
        <v>28</v>
      </c>
      <c r="I658" s="2" t="s">
        <v>1223</v>
      </c>
      <c r="J658" s="5" t="str">
        <f>VLOOKUP(B658,Seqs!A:B,2,FALSE)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658" s="4" t="str">
        <f t="shared" si="66"/>
        <v>A</v>
      </c>
      <c r="L658" s="45">
        <f>VLOOKUP(B658,'NonXtal_SegEnds_Prot#'!A:AL,18,FALSE)</f>
        <v>154</v>
      </c>
      <c r="M658" s="45">
        <f>VLOOKUP(B658,'NonXtal_SegEnds_Prot#'!A:AL,19,FALSE)</f>
        <v>154</v>
      </c>
      <c r="N658" s="45">
        <f>VLOOKUP(B658,'NonXtal_SegEnds_Prot#'!A:AL,20,FALSE)</f>
        <v>161</v>
      </c>
      <c r="O658" s="4" t="str">
        <f t="shared" si="62"/>
        <v>R</v>
      </c>
      <c r="P658" s="4"/>
      <c r="Q658" s="47" t="str">
        <f t="shared" si="63"/>
        <v/>
      </c>
      <c r="R658" s="27" t="str">
        <f t="shared" si="64"/>
        <v>A</v>
      </c>
      <c r="S658" s="19" t="str">
        <f t="shared" si="65"/>
        <v>VEYSAKR</v>
      </c>
      <c r="Z658" s="4"/>
      <c r="AD658" s="1" t="s">
        <v>29</v>
      </c>
      <c r="AE658" s="1">
        <v>154</v>
      </c>
      <c r="AF658" s="1">
        <v>154</v>
      </c>
      <c r="AG658" s="1">
        <v>161</v>
      </c>
      <c r="AH658" s="1" t="s">
        <v>30</v>
      </c>
      <c r="AK658" s="4">
        <v>50</v>
      </c>
      <c r="AL658" s="4">
        <v>57</v>
      </c>
    </row>
    <row r="659" spans="1:38" x14ac:dyDescent="0.25">
      <c r="A659" s="1" t="str">
        <f t="shared" si="61"/>
        <v>5ht1b_human_4IAQ_ICL2</v>
      </c>
      <c r="B659" s="45" t="s">
        <v>208</v>
      </c>
      <c r="C659" s="53" t="s">
        <v>1249</v>
      </c>
      <c r="D659" s="4" t="str">
        <f>VLOOKUP(B659,Classification!A:D,2,FALSE)</f>
        <v>A</v>
      </c>
      <c r="E659" s="4" t="str">
        <f>VLOOKUP(B659,Classification!A:D,3,FALSE)</f>
        <v>Aminergic</v>
      </c>
      <c r="F659" s="4" t="str">
        <f>VLOOKUP(B659,Classification!A:D,4,FALSE)</f>
        <v>5-Hydroxytryptamine</v>
      </c>
      <c r="G659" s="2">
        <v>6</v>
      </c>
      <c r="H659" s="45" t="s">
        <v>28</v>
      </c>
      <c r="I659" s="2" t="s">
        <v>1223</v>
      </c>
      <c r="J659" s="5" t="str">
        <f>VLOOKUP(B659,Seqs!A:B,2,FALSE)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659" s="4" t="str">
        <f t="shared" si="66"/>
        <v>A</v>
      </c>
      <c r="L659" s="45">
        <f>VLOOKUP(B659,'NonXtal_SegEnds_Prot#'!A:AL,18,FALSE)</f>
        <v>154</v>
      </c>
      <c r="M659" s="45">
        <f>VLOOKUP(B659,'NonXtal_SegEnds_Prot#'!A:AL,19,FALSE)</f>
        <v>154</v>
      </c>
      <c r="N659" s="45">
        <f>VLOOKUP(B659,'NonXtal_SegEnds_Prot#'!A:AL,20,FALSE)</f>
        <v>161</v>
      </c>
      <c r="O659" s="4" t="str">
        <f t="shared" si="62"/>
        <v>R</v>
      </c>
      <c r="P659" s="4"/>
      <c r="Q659" s="47" t="str">
        <f t="shared" si="63"/>
        <v/>
      </c>
      <c r="R659" s="27" t="str">
        <f t="shared" si="64"/>
        <v>A</v>
      </c>
      <c r="S659" s="19" t="str">
        <f t="shared" si="65"/>
        <v>VEYSAKR</v>
      </c>
      <c r="Z659" s="4"/>
      <c r="AD659" s="1" t="s">
        <v>29</v>
      </c>
      <c r="AE659" s="1">
        <v>154</v>
      </c>
      <c r="AF659" s="1">
        <v>154</v>
      </c>
      <c r="AG659" s="1">
        <v>161</v>
      </c>
      <c r="AH659" s="1" t="s">
        <v>30</v>
      </c>
      <c r="AK659" s="4">
        <v>50</v>
      </c>
      <c r="AL659" s="4">
        <v>57</v>
      </c>
    </row>
    <row r="660" spans="1:38" x14ac:dyDescent="0.25">
      <c r="A660" s="1" t="str">
        <f t="shared" si="61"/>
        <v>5ht1b_human_4IAR_ICL2</v>
      </c>
      <c r="B660" s="45" t="s">
        <v>208</v>
      </c>
      <c r="C660" s="45" t="s">
        <v>251</v>
      </c>
      <c r="D660" s="4" t="str">
        <f>VLOOKUP(B660,Classification!A:D,2,FALSE)</f>
        <v>A</v>
      </c>
      <c r="E660" s="4" t="str">
        <f>VLOOKUP(B660,Classification!A:D,3,FALSE)</f>
        <v>Aminergic</v>
      </c>
      <c r="F660" s="4" t="str">
        <f>VLOOKUP(B660,Classification!A:D,4,FALSE)</f>
        <v>5-Hydroxytryptamine</v>
      </c>
      <c r="G660" s="2">
        <v>6</v>
      </c>
      <c r="H660" s="45" t="s">
        <v>28</v>
      </c>
      <c r="I660" s="2" t="s">
        <v>1223</v>
      </c>
      <c r="J660" s="5" t="str">
        <f>VLOOKUP(B660,Seqs!A:B,2,FALSE)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660" s="4" t="str">
        <f t="shared" si="66"/>
        <v>A</v>
      </c>
      <c r="L660" s="45">
        <f>VLOOKUP(B660,'NonXtal_SegEnds_Prot#'!A:AL,18,FALSE)</f>
        <v>154</v>
      </c>
      <c r="M660" s="45">
        <f>VLOOKUP(B660,'NonXtal_SegEnds_Prot#'!A:AL,19,FALSE)</f>
        <v>154</v>
      </c>
      <c r="N660" s="45">
        <f>VLOOKUP(B660,'NonXtal_SegEnds_Prot#'!A:AL,20,FALSE)</f>
        <v>161</v>
      </c>
      <c r="O660" s="4" t="str">
        <f t="shared" si="62"/>
        <v>R</v>
      </c>
      <c r="P660" s="4"/>
      <c r="Q660" s="47" t="str">
        <f t="shared" si="63"/>
        <v/>
      </c>
      <c r="R660" s="27" t="str">
        <f t="shared" si="64"/>
        <v>A</v>
      </c>
      <c r="S660" s="19" t="str">
        <f t="shared" si="65"/>
        <v>VEYSAKR</v>
      </c>
      <c r="Z660" s="4"/>
      <c r="AD660" s="1" t="s">
        <v>29</v>
      </c>
      <c r="AE660" s="1">
        <v>154</v>
      </c>
      <c r="AF660" s="1">
        <v>154</v>
      </c>
      <c r="AG660" s="1">
        <v>161</v>
      </c>
      <c r="AH660" s="1" t="s">
        <v>30</v>
      </c>
      <c r="AK660" s="4">
        <v>50</v>
      </c>
      <c r="AL660" s="4">
        <v>57</v>
      </c>
    </row>
    <row r="661" spans="1:38" x14ac:dyDescent="0.25">
      <c r="A661" s="1" t="str">
        <f t="shared" si="61"/>
        <v>5ht2b_human__wt_ICL2</v>
      </c>
      <c r="B661" s="45" t="s">
        <v>209</v>
      </c>
      <c r="C661" s="45" t="s">
        <v>294</v>
      </c>
      <c r="D661" s="4" t="str">
        <f>VLOOKUP(B661,Classification!A:D,2,FALSE)</f>
        <v>A</v>
      </c>
      <c r="E661" s="4" t="str">
        <f>VLOOKUP(B661,Classification!A:D,3,FALSE)</f>
        <v>Aminergic</v>
      </c>
      <c r="F661" s="4" t="str">
        <f>VLOOKUP(B661,Classification!A:D,4,FALSE)</f>
        <v>5-Hydroxytryptamine</v>
      </c>
      <c r="G661" s="2">
        <v>6</v>
      </c>
      <c r="H661" s="45" t="s">
        <v>28</v>
      </c>
      <c r="I661" s="2" t="s">
        <v>1223</v>
      </c>
      <c r="J661" s="5" t="str">
        <f>VLOOKUP(B661,Seqs!A:B,2,FALSE)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661" s="4" t="str">
        <f t="shared" si="66"/>
        <v>P</v>
      </c>
      <c r="L661" s="45">
        <f>VLOOKUP(B661,'NonXtal_SegEnds_Prot#'!A:AL,18,FALSE)</f>
        <v>160</v>
      </c>
      <c r="M661" s="45">
        <f>VLOOKUP(B661,'NonXtal_SegEnds_Prot#'!A:AL,19,FALSE)</f>
        <v>160</v>
      </c>
      <c r="N661" s="45">
        <f>VLOOKUP(B661,'NonXtal_SegEnds_Prot#'!A:AL,20,FALSE)</f>
        <v>167</v>
      </c>
      <c r="O661" s="4" t="str">
        <f t="shared" si="62"/>
        <v>N</v>
      </c>
      <c r="P661" s="4"/>
      <c r="Q661" s="47" t="str">
        <f t="shared" si="63"/>
        <v/>
      </c>
      <c r="R661" s="28" t="str">
        <f t="shared" si="64"/>
        <v>P</v>
      </c>
      <c r="S661" s="20" t="str">
        <f t="shared" si="65"/>
        <v>IQANQYN</v>
      </c>
      <c r="Z661" s="4"/>
      <c r="AD661" s="1" t="s">
        <v>29</v>
      </c>
      <c r="AE661" s="1">
        <v>160</v>
      </c>
      <c r="AF661" s="1">
        <v>160</v>
      </c>
      <c r="AG661" s="1">
        <v>162</v>
      </c>
      <c r="AH661" s="1" t="s">
        <v>30</v>
      </c>
      <c r="AK661" s="4">
        <v>50</v>
      </c>
      <c r="AL661" s="4">
        <v>57</v>
      </c>
    </row>
    <row r="662" spans="1:38" x14ac:dyDescent="0.25">
      <c r="A662" s="1" t="str">
        <f t="shared" si="61"/>
        <v>5ht2b_human_4IB4_ICL2</v>
      </c>
      <c r="B662" s="45" t="s">
        <v>209</v>
      </c>
      <c r="C662" s="45" t="s">
        <v>261</v>
      </c>
      <c r="D662" s="4" t="str">
        <f>VLOOKUP(B662,Classification!A:D,2,FALSE)</f>
        <v>A</v>
      </c>
      <c r="E662" s="4" t="str">
        <f>VLOOKUP(B662,Classification!A:D,3,FALSE)</f>
        <v>Aminergic</v>
      </c>
      <c r="F662" s="4" t="str">
        <f>VLOOKUP(B662,Classification!A:D,4,FALSE)</f>
        <v>5-Hydroxytryptamine</v>
      </c>
      <c r="G662" s="2">
        <v>6</v>
      </c>
      <c r="H662" s="45" t="s">
        <v>28</v>
      </c>
      <c r="I662" s="2" t="s">
        <v>1223</v>
      </c>
      <c r="J662" s="5" t="str">
        <f>VLOOKUP(B662,Seqs!A:B,2,FALSE)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662" s="4" t="str">
        <f t="shared" si="66"/>
        <v>P</v>
      </c>
      <c r="L662" s="45">
        <f>VLOOKUP(B662,'NonXtal_SegEnds_Prot#'!A:AL,18,FALSE)</f>
        <v>160</v>
      </c>
      <c r="M662" s="45">
        <f>VLOOKUP(B662,'NonXtal_SegEnds_Prot#'!A:AL,19,FALSE)</f>
        <v>160</v>
      </c>
      <c r="N662" s="45">
        <f>VLOOKUP(B662,'NonXtal_SegEnds_Prot#'!A:AL,20,FALSE)</f>
        <v>167</v>
      </c>
      <c r="O662" s="4" t="str">
        <f t="shared" si="62"/>
        <v>N</v>
      </c>
      <c r="P662" s="4"/>
      <c r="Q662" s="47" t="str">
        <f t="shared" si="63"/>
        <v/>
      </c>
      <c r="R662" s="28" t="str">
        <f t="shared" si="64"/>
        <v>P</v>
      </c>
      <c r="S662" s="20" t="str">
        <f t="shared" si="65"/>
        <v>IQANQYN</v>
      </c>
      <c r="Z662" s="4"/>
      <c r="AD662" s="1" t="s">
        <v>29</v>
      </c>
      <c r="AE662" s="1">
        <v>160</v>
      </c>
      <c r="AF662" s="1">
        <v>160</v>
      </c>
      <c r="AG662" s="1">
        <v>162</v>
      </c>
      <c r="AH662" s="1" t="s">
        <v>1228</v>
      </c>
      <c r="AK662" s="4">
        <v>50</v>
      </c>
      <c r="AL662" s="4">
        <v>52</v>
      </c>
    </row>
    <row r="663" spans="1:38" x14ac:dyDescent="0.25">
      <c r="A663" s="1" t="str">
        <f t="shared" si="61"/>
        <v>AA2AR_human__wt_ICL2</v>
      </c>
      <c r="B663" s="45" t="s">
        <v>210</v>
      </c>
      <c r="C663" s="45" t="s">
        <v>294</v>
      </c>
      <c r="D663" s="4" t="str">
        <f>VLOOKUP(B663,Classification!A:D,2,FALSE)</f>
        <v>A</v>
      </c>
      <c r="E663" s="4" t="str">
        <f>VLOOKUP(B663,Classification!A:D,3,FALSE)</f>
        <v>Nucleotide</v>
      </c>
      <c r="F663" s="4" t="str">
        <f>VLOOKUP(B663,Classification!A:D,4,FALSE)</f>
        <v>Adenosine</v>
      </c>
      <c r="G663" s="2">
        <v>6</v>
      </c>
      <c r="H663" s="45" t="s">
        <v>28</v>
      </c>
      <c r="I663" s="2" t="s">
        <v>1223</v>
      </c>
      <c r="J663" s="5" t="str">
        <f>VLOOKUP(B663,Seqs!A:B,2,FALSE)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3" s="4" t="str">
        <f t="shared" si="66"/>
        <v>P</v>
      </c>
      <c r="L663" s="45">
        <f>VLOOKUP(B663,'NonXtal_SegEnds_Prot#'!A:AL,18,FALSE)</f>
        <v>109</v>
      </c>
      <c r="M663" s="45">
        <f>VLOOKUP(B663,'NonXtal_SegEnds_Prot#'!A:AL,19,FALSE)</f>
        <v>109</v>
      </c>
      <c r="N663" s="45">
        <f>VLOOKUP(B663,'NonXtal_SegEnds_Prot#'!A:AL,20,FALSE)</f>
        <v>116</v>
      </c>
      <c r="O663" s="4" t="str">
        <f t="shared" si="62"/>
        <v>V</v>
      </c>
      <c r="P663" s="4"/>
      <c r="Q663" s="47" t="str">
        <f t="shared" si="63"/>
        <v/>
      </c>
      <c r="R663" s="27" t="str">
        <f t="shared" si="64"/>
        <v>P</v>
      </c>
      <c r="S663" s="19" t="str">
        <f t="shared" si="65"/>
        <v>LRYNGLV</v>
      </c>
      <c r="Z663" s="4" t="s">
        <v>64</v>
      </c>
      <c r="AD663" s="1" t="s">
        <v>29</v>
      </c>
      <c r="AE663" s="1">
        <v>109</v>
      </c>
      <c r="AF663" s="1">
        <v>109</v>
      </c>
      <c r="AG663" s="1">
        <v>115</v>
      </c>
      <c r="AH663" s="1" t="s">
        <v>69</v>
      </c>
      <c r="AK663" s="4">
        <v>50</v>
      </c>
      <c r="AL663" s="4">
        <v>56</v>
      </c>
    </row>
    <row r="664" spans="1:38" x14ac:dyDescent="0.25">
      <c r="A664" s="1" t="str">
        <f t="shared" si="61"/>
        <v>AA2AR_human_2YDV_ICL2</v>
      </c>
      <c r="B664" s="45" t="s">
        <v>210</v>
      </c>
      <c r="C664" s="45" t="s">
        <v>271</v>
      </c>
      <c r="D664" s="4" t="str">
        <f>VLOOKUP(B664,Classification!A:D,2,FALSE)</f>
        <v>A</v>
      </c>
      <c r="E664" s="4" t="str">
        <f>VLOOKUP(B664,Classification!A:D,3,FALSE)</f>
        <v>Nucleotide</v>
      </c>
      <c r="F664" s="4" t="str">
        <f>VLOOKUP(B664,Classification!A:D,4,FALSE)</f>
        <v>Adenosine</v>
      </c>
      <c r="G664" s="2">
        <v>6</v>
      </c>
      <c r="H664" s="45" t="s">
        <v>28</v>
      </c>
      <c r="I664" s="2" t="s">
        <v>1223</v>
      </c>
      <c r="J664" s="5" t="str">
        <f>VLOOKUP(B664,Seqs!A:B,2,FALSE)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4" s="4" t="str">
        <f t="shared" si="66"/>
        <v>P</v>
      </c>
      <c r="L664" s="45">
        <f>VLOOKUP(B664,'NonXtal_SegEnds_Prot#'!A:AL,18,FALSE)</f>
        <v>109</v>
      </c>
      <c r="M664" s="45">
        <f>VLOOKUP(B664,'NonXtal_SegEnds_Prot#'!A:AL,19,FALSE)</f>
        <v>109</v>
      </c>
      <c r="N664" s="45">
        <f>VLOOKUP(B664,'NonXtal_SegEnds_Prot#'!A:AL,20,FALSE)</f>
        <v>116</v>
      </c>
      <c r="O664" s="4" t="str">
        <f t="shared" si="62"/>
        <v>V</v>
      </c>
      <c r="P664" s="4"/>
      <c r="Q664" s="47" t="str">
        <f t="shared" si="63"/>
        <v/>
      </c>
      <c r="R664" s="27" t="str">
        <f t="shared" si="64"/>
        <v>P</v>
      </c>
      <c r="S664" s="19" t="str">
        <f t="shared" si="65"/>
        <v>LRYNGLV</v>
      </c>
      <c r="Z664" s="4" t="s">
        <v>64</v>
      </c>
      <c r="AD664" s="1" t="s">
        <v>29</v>
      </c>
      <c r="AE664" s="1">
        <v>109</v>
      </c>
      <c r="AF664" s="1">
        <v>109</v>
      </c>
      <c r="AG664" s="1">
        <v>115</v>
      </c>
      <c r="AH664" s="1" t="s">
        <v>69</v>
      </c>
      <c r="AK664" s="4">
        <v>50</v>
      </c>
      <c r="AL664" s="4">
        <v>56</v>
      </c>
    </row>
    <row r="665" spans="1:38" x14ac:dyDescent="0.25">
      <c r="A665" s="1" t="str">
        <f t="shared" si="61"/>
        <v>AA2AR_human_3REY_ICL2</v>
      </c>
      <c r="B665" s="45" t="s">
        <v>210</v>
      </c>
      <c r="C665" s="45" t="s">
        <v>275</v>
      </c>
      <c r="D665" s="4" t="str">
        <f>VLOOKUP(B665,Classification!A:D,2,FALSE)</f>
        <v>A</v>
      </c>
      <c r="E665" s="4" t="str">
        <f>VLOOKUP(B665,Classification!A:D,3,FALSE)</f>
        <v>Nucleotide</v>
      </c>
      <c r="F665" s="4" t="str">
        <f>VLOOKUP(B665,Classification!A:D,4,FALSE)</f>
        <v>Adenosine</v>
      </c>
      <c r="G665" s="2">
        <v>6</v>
      </c>
      <c r="H665" s="45" t="s">
        <v>28</v>
      </c>
      <c r="I665" s="2" t="s">
        <v>1223</v>
      </c>
      <c r="J665" s="5" t="str">
        <f>VLOOKUP(B665,Seqs!A:B,2,FALSE)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5" s="4" t="str">
        <f t="shared" si="66"/>
        <v>P</v>
      </c>
      <c r="L665" s="45">
        <f>VLOOKUP(B665,'NonXtal_SegEnds_Prot#'!A:AL,18,FALSE)</f>
        <v>109</v>
      </c>
      <c r="M665" s="45">
        <f>VLOOKUP(B665,'NonXtal_SegEnds_Prot#'!A:AL,19,FALSE)</f>
        <v>109</v>
      </c>
      <c r="N665" s="45">
        <f>VLOOKUP(B665,'NonXtal_SegEnds_Prot#'!A:AL,20,FALSE)</f>
        <v>116</v>
      </c>
      <c r="O665" s="4" t="str">
        <f t="shared" si="62"/>
        <v>V</v>
      </c>
      <c r="P665" s="4"/>
      <c r="Q665" s="47" t="str">
        <f t="shared" si="63"/>
        <v/>
      </c>
      <c r="R665" s="27" t="str">
        <f t="shared" si="64"/>
        <v>P</v>
      </c>
      <c r="S665" s="19" t="str">
        <f t="shared" si="65"/>
        <v>LRYNGLV</v>
      </c>
      <c r="Z665" s="4" t="s">
        <v>78</v>
      </c>
      <c r="AD665" s="1" t="s">
        <v>29</v>
      </c>
      <c r="AE665" s="1">
        <v>109</v>
      </c>
      <c r="AF665" s="1">
        <v>109</v>
      </c>
      <c r="AG665" s="1">
        <v>115</v>
      </c>
      <c r="AH665" s="1" t="s">
        <v>69</v>
      </c>
      <c r="AK665" s="4">
        <v>50</v>
      </c>
      <c r="AL665" s="4">
        <v>56</v>
      </c>
    </row>
    <row r="666" spans="1:38" x14ac:dyDescent="0.25">
      <c r="A666" s="1" t="str">
        <f t="shared" si="61"/>
        <v>AA2AR_human_4EIY_ICL2</v>
      </c>
      <c r="B666" s="45" t="s">
        <v>210</v>
      </c>
      <c r="C666" s="45" t="s">
        <v>272</v>
      </c>
      <c r="D666" s="4" t="str">
        <f>VLOOKUP(B666,Classification!A:D,2,FALSE)</f>
        <v>A</v>
      </c>
      <c r="E666" s="4" t="str">
        <f>VLOOKUP(B666,Classification!A:D,3,FALSE)</f>
        <v>Nucleotide</v>
      </c>
      <c r="F666" s="4" t="str">
        <f>VLOOKUP(B666,Classification!A:D,4,FALSE)</f>
        <v>Adenosine</v>
      </c>
      <c r="G666" s="2">
        <v>6</v>
      </c>
      <c r="H666" s="45" t="s">
        <v>28</v>
      </c>
      <c r="I666" s="2" t="s">
        <v>1223</v>
      </c>
      <c r="J666" s="5" t="str">
        <f>VLOOKUP(B666,Seqs!A:B,2,FALSE)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6" s="4" t="str">
        <f t="shared" si="66"/>
        <v>P</v>
      </c>
      <c r="L666" s="45">
        <f>VLOOKUP(B666,'NonXtal_SegEnds_Prot#'!A:AL,18,FALSE)</f>
        <v>109</v>
      </c>
      <c r="M666" s="45">
        <f>VLOOKUP(B666,'NonXtal_SegEnds_Prot#'!A:AL,19,FALSE)</f>
        <v>109</v>
      </c>
      <c r="N666" s="45">
        <f>VLOOKUP(B666,'NonXtal_SegEnds_Prot#'!A:AL,20,FALSE)</f>
        <v>116</v>
      </c>
      <c r="O666" s="4" t="str">
        <f t="shared" si="62"/>
        <v>V</v>
      </c>
      <c r="P666" s="4"/>
      <c r="Q666" s="47" t="str">
        <f t="shared" si="63"/>
        <v/>
      </c>
      <c r="R666" s="27" t="str">
        <f t="shared" si="64"/>
        <v>P</v>
      </c>
      <c r="S666" s="19" t="str">
        <f t="shared" si="65"/>
        <v>LRYNGLV</v>
      </c>
      <c r="Z666" s="4"/>
      <c r="AD666" s="1" t="s">
        <v>29</v>
      </c>
      <c r="AE666" s="1">
        <v>109</v>
      </c>
      <c r="AF666" s="1">
        <v>109</v>
      </c>
      <c r="AG666" s="1">
        <v>115</v>
      </c>
      <c r="AH666" s="1" t="s">
        <v>69</v>
      </c>
      <c r="AK666" s="4">
        <v>50</v>
      </c>
      <c r="AL666" s="4">
        <v>56</v>
      </c>
    </row>
    <row r="667" spans="1:38" x14ac:dyDescent="0.25">
      <c r="A667" s="1" t="str">
        <f t="shared" si="61"/>
        <v>ACM1_human__wt_ICL2</v>
      </c>
      <c r="B667" s="45" t="s">
        <v>218</v>
      </c>
      <c r="C667" s="45" t="s">
        <v>294</v>
      </c>
      <c r="D667" s="4" t="str">
        <f>VLOOKUP(B667,Classification!A:D,2,FALSE)</f>
        <v>A</v>
      </c>
      <c r="E667" s="4" t="str">
        <f>VLOOKUP(B667,Classification!A:D,3,FALSE)</f>
        <v>Aminergic</v>
      </c>
      <c r="F667" s="4" t="str">
        <f>VLOOKUP(B667,Classification!A:D,4,FALSE)</f>
        <v>Acetylcholine(muscarinic)</v>
      </c>
      <c r="G667" s="2">
        <v>6</v>
      </c>
      <c r="H667" s="45" t="s">
        <v>28</v>
      </c>
      <c r="I667" s="2" t="s">
        <v>1223</v>
      </c>
      <c r="J667" s="5" t="str">
        <f>VLOOKUP(B667,Seqs!A:B,2,FALSE)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667" s="4" t="str">
        <f t="shared" si="66"/>
        <v>P</v>
      </c>
      <c r="L667" s="45">
        <f>VLOOKUP(B667,'NonXtal_SegEnds_Prot#'!A:AL,18,FALSE)</f>
        <v>130</v>
      </c>
      <c r="M667" s="45">
        <f>VLOOKUP(B667,'NonXtal_SegEnds_Prot#'!A:AL,19,FALSE)</f>
        <v>130</v>
      </c>
      <c r="N667" s="45">
        <f>VLOOKUP(B667,'NonXtal_SegEnds_Prot#'!A:AL,20,FALSE)</f>
        <v>137</v>
      </c>
      <c r="O667" s="4" t="str">
        <f t="shared" si="62"/>
        <v>R</v>
      </c>
      <c r="P667" s="4"/>
      <c r="Q667" s="47" t="str">
        <f t="shared" si="63"/>
        <v/>
      </c>
      <c r="R667" s="27" t="str">
        <f t="shared" si="64"/>
        <v>P</v>
      </c>
      <c r="S667" s="19" t="str">
        <f t="shared" si="65"/>
        <v>LSYRAKR</v>
      </c>
      <c r="Z667" s="4" t="s">
        <v>78</v>
      </c>
      <c r="AD667" s="1" t="s">
        <v>29</v>
      </c>
      <c r="AE667" s="1">
        <v>130</v>
      </c>
      <c r="AF667" s="1">
        <v>130</v>
      </c>
      <c r="AG667" s="1">
        <v>137</v>
      </c>
      <c r="AH667" s="1" t="s">
        <v>30</v>
      </c>
      <c r="AK667" s="4">
        <v>50</v>
      </c>
      <c r="AL667" s="4">
        <v>57</v>
      </c>
    </row>
    <row r="668" spans="1:38" x14ac:dyDescent="0.25">
      <c r="A668" s="1" t="str">
        <f t="shared" si="61"/>
        <v>ACM1_human_5CXV_ICL2</v>
      </c>
      <c r="B668" s="45" t="s">
        <v>218</v>
      </c>
      <c r="C668" s="45" t="s">
        <v>253</v>
      </c>
      <c r="D668" s="4" t="str">
        <f>VLOOKUP(B668,Classification!A:D,2,FALSE)</f>
        <v>A</v>
      </c>
      <c r="E668" s="4" t="str">
        <f>VLOOKUP(B668,Classification!A:D,3,FALSE)</f>
        <v>Aminergic</v>
      </c>
      <c r="F668" s="4" t="str">
        <f>VLOOKUP(B668,Classification!A:D,4,FALSE)</f>
        <v>Acetylcholine(muscarinic)</v>
      </c>
      <c r="G668" s="2">
        <v>6</v>
      </c>
      <c r="H668" s="45" t="s">
        <v>28</v>
      </c>
      <c r="I668" s="2" t="s">
        <v>1223</v>
      </c>
      <c r="J668" s="5" t="str">
        <f>VLOOKUP(B668,Seqs!A:B,2,FALSE)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668" s="4" t="str">
        <f t="shared" si="66"/>
        <v>P</v>
      </c>
      <c r="L668" s="45">
        <f>VLOOKUP(B668,'NonXtal_SegEnds_Prot#'!A:AL,18,FALSE)</f>
        <v>130</v>
      </c>
      <c r="M668" s="45">
        <f>VLOOKUP(B668,'NonXtal_SegEnds_Prot#'!A:AL,19,FALSE)</f>
        <v>130</v>
      </c>
      <c r="N668" s="45">
        <f>VLOOKUP(B668,'NonXtal_SegEnds_Prot#'!A:AL,20,FALSE)</f>
        <v>137</v>
      </c>
      <c r="O668" s="4" t="str">
        <f t="shared" si="62"/>
        <v>R</v>
      </c>
      <c r="P668" s="4"/>
      <c r="Q668" s="47" t="str">
        <f t="shared" si="63"/>
        <v/>
      </c>
      <c r="R668" s="27" t="str">
        <f t="shared" si="64"/>
        <v>P</v>
      </c>
      <c r="S668" s="19" t="str">
        <f t="shared" si="65"/>
        <v>LSYRAKR</v>
      </c>
      <c r="Z668" s="4" t="s">
        <v>78</v>
      </c>
      <c r="AD668" s="1" t="s">
        <v>29</v>
      </c>
      <c r="AE668" s="1">
        <v>130</v>
      </c>
      <c r="AF668" s="1">
        <v>130</v>
      </c>
      <c r="AG668" s="1">
        <v>137</v>
      </c>
      <c r="AH668" s="1" t="s">
        <v>30</v>
      </c>
      <c r="AK668" s="4">
        <v>50</v>
      </c>
      <c r="AL668" s="4">
        <v>57</v>
      </c>
    </row>
    <row r="669" spans="1:38" x14ac:dyDescent="0.25">
      <c r="A669" s="1" t="str">
        <f t="shared" si="61"/>
        <v>ACM2_human__wt_ICL2</v>
      </c>
      <c r="B669" s="45" t="s">
        <v>219</v>
      </c>
      <c r="C669" s="45" t="s">
        <v>294</v>
      </c>
      <c r="D669" s="4" t="str">
        <f>VLOOKUP(B669,Classification!A:D,2,FALSE)</f>
        <v>A</v>
      </c>
      <c r="E669" s="4" t="str">
        <f>VLOOKUP(B669,Classification!A:D,3,FALSE)</f>
        <v>Aminergic</v>
      </c>
      <c r="F669" s="4" t="str">
        <f>VLOOKUP(B669,Classification!A:D,4,FALSE)</f>
        <v>Acetylcholine(muscarinic)</v>
      </c>
      <c r="G669" s="2">
        <v>6</v>
      </c>
      <c r="H669" s="45" t="s">
        <v>28</v>
      </c>
      <c r="I669" s="2" t="s">
        <v>1223</v>
      </c>
      <c r="J669" s="5" t="str">
        <f>VLOOKUP(B669,Seqs!A:B,2,FALSE)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669" s="4" t="str">
        <f t="shared" si="66"/>
        <v>P</v>
      </c>
      <c r="L669" s="45">
        <f>VLOOKUP(B669,'NonXtal_SegEnds_Prot#'!A:AL,18,FALSE)</f>
        <v>128</v>
      </c>
      <c r="M669" s="45">
        <f>VLOOKUP(B669,'NonXtal_SegEnds_Prot#'!A:AL,19,FALSE)</f>
        <v>128</v>
      </c>
      <c r="N669" s="45">
        <f>VLOOKUP(B669,'NonXtal_SegEnds_Prot#'!A:AL,20,FALSE)</f>
        <v>135</v>
      </c>
      <c r="O669" s="4" t="str">
        <f t="shared" si="62"/>
        <v>R</v>
      </c>
      <c r="P669" s="4"/>
      <c r="Q669" s="47" t="str">
        <f t="shared" si="63"/>
        <v/>
      </c>
      <c r="R669" s="27" t="str">
        <f t="shared" si="64"/>
        <v>P</v>
      </c>
      <c r="S669" s="19" t="str">
        <f t="shared" si="65"/>
        <v>LTYPVKR</v>
      </c>
      <c r="Z669" s="4" t="s">
        <v>78</v>
      </c>
      <c r="AD669" s="1" t="s">
        <v>29</v>
      </c>
      <c r="AE669" s="1">
        <v>128</v>
      </c>
      <c r="AF669" s="1">
        <v>128</v>
      </c>
      <c r="AG669" s="1">
        <v>135</v>
      </c>
      <c r="AH669" s="1" t="s">
        <v>30</v>
      </c>
      <c r="AK669" s="4">
        <v>50</v>
      </c>
      <c r="AL669" s="4">
        <v>57</v>
      </c>
    </row>
    <row r="670" spans="1:38" x14ac:dyDescent="0.25">
      <c r="A670" s="1" t="str">
        <f t="shared" si="61"/>
        <v>ACM2_human_3UON_ICL2</v>
      </c>
      <c r="B670" s="45" t="s">
        <v>219</v>
      </c>
      <c r="C670" s="45" t="s">
        <v>270</v>
      </c>
      <c r="D670" s="4" t="str">
        <f>VLOOKUP(B670,Classification!A:D,2,FALSE)</f>
        <v>A</v>
      </c>
      <c r="E670" s="4" t="str">
        <f>VLOOKUP(B670,Classification!A:D,3,FALSE)</f>
        <v>Aminergic</v>
      </c>
      <c r="F670" s="4" t="str">
        <f>VLOOKUP(B670,Classification!A:D,4,FALSE)</f>
        <v>Acetylcholine(muscarinic)</v>
      </c>
      <c r="G670" s="2">
        <v>6</v>
      </c>
      <c r="H670" s="45" t="s">
        <v>28</v>
      </c>
      <c r="I670" s="2" t="s">
        <v>1223</v>
      </c>
      <c r="J670" s="5" t="str">
        <f>VLOOKUP(B670,Seqs!A:B,2,FALSE)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670" s="4" t="str">
        <f t="shared" si="66"/>
        <v>P</v>
      </c>
      <c r="L670" s="45">
        <f>VLOOKUP(B670,'NonXtal_SegEnds_Prot#'!A:AL,18,FALSE)</f>
        <v>128</v>
      </c>
      <c r="M670" s="45">
        <f>VLOOKUP(B670,'NonXtal_SegEnds_Prot#'!A:AL,19,FALSE)</f>
        <v>128</v>
      </c>
      <c r="N670" s="45">
        <f>VLOOKUP(B670,'NonXtal_SegEnds_Prot#'!A:AL,20,FALSE)</f>
        <v>135</v>
      </c>
      <c r="O670" s="4" t="str">
        <f t="shared" si="62"/>
        <v>R</v>
      </c>
      <c r="P670" s="4"/>
      <c r="Q670" s="47" t="str">
        <f t="shared" si="63"/>
        <v/>
      </c>
      <c r="R670" s="27" t="str">
        <f t="shared" si="64"/>
        <v>P</v>
      </c>
      <c r="S670" s="19" t="str">
        <f t="shared" si="65"/>
        <v>LTYPVKR</v>
      </c>
      <c r="Z670" s="4" t="s">
        <v>78</v>
      </c>
      <c r="AD670" s="1" t="s">
        <v>29</v>
      </c>
      <c r="AE670" s="1">
        <v>128</v>
      </c>
      <c r="AF670" s="1">
        <v>128</v>
      </c>
      <c r="AG670" s="1">
        <v>135</v>
      </c>
      <c r="AH670" s="1" t="s">
        <v>30</v>
      </c>
      <c r="AK670" s="4">
        <v>50</v>
      </c>
      <c r="AL670" s="4">
        <v>57</v>
      </c>
    </row>
    <row r="671" spans="1:38" x14ac:dyDescent="0.25">
      <c r="A671" s="1" t="str">
        <f t="shared" si="61"/>
        <v>ACM2_human_4MQS_ICL2</v>
      </c>
      <c r="B671" s="45" t="s">
        <v>219</v>
      </c>
      <c r="C671" s="45" t="s">
        <v>259</v>
      </c>
      <c r="D671" s="4" t="str">
        <f>VLOOKUP(B671,Classification!A:D,2,FALSE)</f>
        <v>A</v>
      </c>
      <c r="E671" s="4" t="str">
        <f>VLOOKUP(B671,Classification!A:D,3,FALSE)</f>
        <v>Aminergic</v>
      </c>
      <c r="F671" s="4" t="str">
        <f>VLOOKUP(B671,Classification!A:D,4,FALSE)</f>
        <v>Acetylcholine(muscarinic)</v>
      </c>
      <c r="G671" s="2">
        <v>6</v>
      </c>
      <c r="H671" s="45" t="s">
        <v>28</v>
      </c>
      <c r="I671" s="2" t="s">
        <v>1223</v>
      </c>
      <c r="J671" s="5" t="str">
        <f>VLOOKUP(B671,Seqs!A:B,2,FALSE)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671" s="4" t="str">
        <f t="shared" si="66"/>
        <v>P</v>
      </c>
      <c r="L671" s="45">
        <f>VLOOKUP(B671,'NonXtal_SegEnds_Prot#'!A:AL,18,FALSE)</f>
        <v>128</v>
      </c>
      <c r="M671" s="45">
        <f>VLOOKUP(B671,'NonXtal_SegEnds_Prot#'!A:AL,19,FALSE)</f>
        <v>128</v>
      </c>
      <c r="N671" s="45">
        <f>VLOOKUP(B671,'NonXtal_SegEnds_Prot#'!A:AL,20,FALSE)</f>
        <v>135</v>
      </c>
      <c r="O671" s="4" t="str">
        <f t="shared" si="62"/>
        <v>R</v>
      </c>
      <c r="P671" s="4"/>
      <c r="Q671" s="47" t="str">
        <f t="shared" si="63"/>
        <v/>
      </c>
      <c r="R671" s="27" t="str">
        <f t="shared" si="64"/>
        <v>P</v>
      </c>
      <c r="S671" s="19" t="str">
        <f t="shared" si="65"/>
        <v>LTYPVKR</v>
      </c>
      <c r="Z671" s="4" t="s">
        <v>64</v>
      </c>
      <c r="AD671" s="1" t="s">
        <v>29</v>
      </c>
      <c r="AE671" s="1">
        <v>128</v>
      </c>
      <c r="AF671" s="1">
        <v>128</v>
      </c>
      <c r="AG671" s="1">
        <v>135</v>
      </c>
      <c r="AH671" s="1" t="s">
        <v>30</v>
      </c>
      <c r="AK671" s="4">
        <v>50</v>
      </c>
      <c r="AL671" s="4">
        <v>57</v>
      </c>
    </row>
    <row r="672" spans="1:38" x14ac:dyDescent="0.25">
      <c r="A672" s="1" t="str">
        <f t="shared" si="61"/>
        <v>ACM3_rat__wt_ICL2</v>
      </c>
      <c r="B672" s="45" t="s">
        <v>236</v>
      </c>
      <c r="C672" s="45" t="s">
        <v>294</v>
      </c>
      <c r="D672" s="4" t="str">
        <f>VLOOKUP(B672,Classification!A:D,2,FALSE)</f>
        <v>A</v>
      </c>
      <c r="E672" s="4" t="str">
        <f>VLOOKUP(B672,Classification!A:D,3,FALSE)</f>
        <v>Aminergic</v>
      </c>
      <c r="F672" s="4" t="str">
        <f>VLOOKUP(B672,Classification!A:D,4,FALSE)</f>
        <v>Acetylcholine(muscarinic)</v>
      </c>
      <c r="G672" s="2">
        <v>6</v>
      </c>
      <c r="H672" s="45" t="s">
        <v>28</v>
      </c>
      <c r="I672" s="2" t="s">
        <v>1223</v>
      </c>
      <c r="J672" s="5" t="str">
        <f>VLOOKUP(B672,Seqs!A:B,2,FALSE)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672" s="4" t="str">
        <f t="shared" si="66"/>
        <v>P</v>
      </c>
      <c r="L672" s="45">
        <f>VLOOKUP(B672,'NonXtal_SegEnds_Prot#'!A:AL,18,FALSE)</f>
        <v>172</v>
      </c>
      <c r="M672" s="45">
        <f>VLOOKUP(B672,'NonXtal_SegEnds_Prot#'!A:AL,19,FALSE)</f>
        <v>172</v>
      </c>
      <c r="N672" s="45">
        <f>VLOOKUP(B672,'NonXtal_SegEnds_Prot#'!A:AL,20,FALSE)</f>
        <v>179</v>
      </c>
      <c r="O672" s="4" t="str">
        <f t="shared" si="62"/>
        <v>R</v>
      </c>
      <c r="P672" s="4"/>
      <c r="Q672" s="47" t="str">
        <f t="shared" si="63"/>
        <v/>
      </c>
      <c r="R672" s="27" t="str">
        <f t="shared" si="64"/>
        <v>P</v>
      </c>
      <c r="S672" s="19" t="str">
        <f t="shared" si="65"/>
        <v>LTYRAKR</v>
      </c>
      <c r="Z672" s="4"/>
      <c r="AD672" s="1" t="s">
        <v>29</v>
      </c>
      <c r="AE672" s="1">
        <v>172</v>
      </c>
      <c r="AF672" s="1">
        <v>172</v>
      </c>
      <c r="AG672" s="1">
        <v>179</v>
      </c>
      <c r="AH672" s="1" t="s">
        <v>30</v>
      </c>
      <c r="AK672" s="4">
        <v>50</v>
      </c>
      <c r="AL672" s="4">
        <v>57</v>
      </c>
    </row>
    <row r="673" spans="1:38" x14ac:dyDescent="0.25">
      <c r="A673" s="1" t="str">
        <f t="shared" si="61"/>
        <v>ACM3_rat_4U15_ICL2</v>
      </c>
      <c r="B673" s="45" t="s">
        <v>236</v>
      </c>
      <c r="C673" s="45" t="s">
        <v>262</v>
      </c>
      <c r="D673" s="4" t="str">
        <f>VLOOKUP(B673,Classification!A:D,2,FALSE)</f>
        <v>A</v>
      </c>
      <c r="E673" s="4" t="str">
        <f>VLOOKUP(B673,Classification!A:D,3,FALSE)</f>
        <v>Aminergic</v>
      </c>
      <c r="F673" s="4" t="str">
        <f>VLOOKUP(B673,Classification!A:D,4,FALSE)</f>
        <v>Acetylcholine(muscarinic)</v>
      </c>
      <c r="G673" s="2">
        <v>6</v>
      </c>
      <c r="H673" s="45" t="s">
        <v>28</v>
      </c>
      <c r="I673" s="2" t="s">
        <v>1223</v>
      </c>
      <c r="J673" s="5" t="str">
        <f>VLOOKUP(B673,Seqs!A:B,2,FALSE)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673" s="4" t="str">
        <f t="shared" si="66"/>
        <v>P</v>
      </c>
      <c r="L673" s="45">
        <f>VLOOKUP(B673,'NonXtal_SegEnds_Prot#'!A:AL,18,FALSE)</f>
        <v>172</v>
      </c>
      <c r="M673" s="45">
        <f>VLOOKUP(B673,'NonXtal_SegEnds_Prot#'!A:AL,19,FALSE)</f>
        <v>172</v>
      </c>
      <c r="N673" s="45">
        <f>VLOOKUP(B673,'NonXtal_SegEnds_Prot#'!A:AL,20,FALSE)</f>
        <v>179</v>
      </c>
      <c r="O673" s="4" t="str">
        <f t="shared" si="62"/>
        <v>R</v>
      </c>
      <c r="P673" s="4"/>
      <c r="Q673" s="47" t="str">
        <f t="shared" si="63"/>
        <v/>
      </c>
      <c r="R673" s="27" t="str">
        <f t="shared" si="64"/>
        <v>P</v>
      </c>
      <c r="S673" s="19" t="str">
        <f t="shared" si="65"/>
        <v>LTYRAKR</v>
      </c>
      <c r="Z673" s="4"/>
      <c r="AD673" s="1" t="s">
        <v>29</v>
      </c>
      <c r="AE673" s="1">
        <v>172</v>
      </c>
      <c r="AF673" s="1">
        <v>172</v>
      </c>
      <c r="AG673" s="1">
        <v>179</v>
      </c>
      <c r="AH673" s="1" t="s">
        <v>30</v>
      </c>
      <c r="AK673" s="4">
        <v>50</v>
      </c>
      <c r="AL673" s="4">
        <v>57</v>
      </c>
    </row>
    <row r="674" spans="1:38" x14ac:dyDescent="0.25">
      <c r="A674" s="1" t="str">
        <f t="shared" si="61"/>
        <v>ACM4_human__wt_ICL2</v>
      </c>
      <c r="B674" s="45" t="s">
        <v>220</v>
      </c>
      <c r="C674" s="45" t="s">
        <v>294</v>
      </c>
      <c r="D674" s="4" t="str">
        <f>VLOOKUP(B674,Classification!A:D,2,FALSE)</f>
        <v>A</v>
      </c>
      <c r="E674" s="4" t="str">
        <f>VLOOKUP(B674,Classification!A:D,3,FALSE)</f>
        <v>Aminergic</v>
      </c>
      <c r="F674" s="4" t="str">
        <f>VLOOKUP(B674,Classification!A:D,4,FALSE)</f>
        <v>Acetylcholine(muscarinic)</v>
      </c>
      <c r="G674" s="2">
        <v>6</v>
      </c>
      <c r="H674" s="45" t="s">
        <v>28</v>
      </c>
      <c r="I674" s="2" t="s">
        <v>1223</v>
      </c>
      <c r="J674" s="5" t="str">
        <f>VLOOKUP(B674,Seqs!A:B,2,FALSE)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674" s="4" t="str">
        <f t="shared" si="66"/>
        <v>P</v>
      </c>
      <c r="L674" s="45">
        <f>VLOOKUP(B674,'NonXtal_SegEnds_Prot#'!A:AL,18,FALSE)</f>
        <v>137</v>
      </c>
      <c r="M674" s="45">
        <f>VLOOKUP(B674,'NonXtal_SegEnds_Prot#'!A:AL,19,FALSE)</f>
        <v>137</v>
      </c>
      <c r="N674" s="45">
        <f>VLOOKUP(B674,'NonXtal_SegEnds_Prot#'!A:AL,20,FALSE)</f>
        <v>144</v>
      </c>
      <c r="O674" s="4" t="str">
        <f t="shared" si="62"/>
        <v>R</v>
      </c>
      <c r="P674" s="4"/>
      <c r="Q674" s="47" t="str">
        <f t="shared" si="63"/>
        <v/>
      </c>
      <c r="R674" s="27" t="str">
        <f t="shared" si="64"/>
        <v>P</v>
      </c>
      <c r="S674" s="19" t="str">
        <f t="shared" si="65"/>
        <v>LTYPARR</v>
      </c>
      <c r="Z674" s="4" t="s">
        <v>78</v>
      </c>
      <c r="AD674" s="1" t="s">
        <v>29</v>
      </c>
      <c r="AE674" s="1">
        <v>137</v>
      </c>
      <c r="AF674" s="1">
        <v>137</v>
      </c>
      <c r="AG674" s="1">
        <v>144</v>
      </c>
      <c r="AH674" s="1" t="s">
        <v>30</v>
      </c>
      <c r="AK674" s="4">
        <v>50</v>
      </c>
      <c r="AL674" s="4">
        <v>57</v>
      </c>
    </row>
    <row r="675" spans="1:38" x14ac:dyDescent="0.25">
      <c r="A675" s="1" t="str">
        <f t="shared" si="61"/>
        <v>ACM4_human_5DSG_ICL2</v>
      </c>
      <c r="B675" s="45" t="s">
        <v>220</v>
      </c>
      <c r="C675" s="45" t="s">
        <v>252</v>
      </c>
      <c r="D675" s="4" t="str">
        <f>VLOOKUP(B675,Classification!A:D,2,FALSE)</f>
        <v>A</v>
      </c>
      <c r="E675" s="4" t="str">
        <f>VLOOKUP(B675,Classification!A:D,3,FALSE)</f>
        <v>Aminergic</v>
      </c>
      <c r="F675" s="4" t="str">
        <f>VLOOKUP(B675,Classification!A:D,4,FALSE)</f>
        <v>Acetylcholine(muscarinic)</v>
      </c>
      <c r="G675" s="2">
        <v>6</v>
      </c>
      <c r="H675" s="45" t="s">
        <v>28</v>
      </c>
      <c r="I675" s="2" t="s">
        <v>1223</v>
      </c>
      <c r="J675" s="5" t="str">
        <f>VLOOKUP(B675,Seqs!A:B,2,FALSE)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675" s="4" t="str">
        <f t="shared" si="66"/>
        <v>P</v>
      </c>
      <c r="L675" s="45">
        <f>VLOOKUP(B675,'NonXtal_SegEnds_Prot#'!A:AL,18,FALSE)</f>
        <v>137</v>
      </c>
      <c r="M675" s="45">
        <f>VLOOKUP(B675,'NonXtal_SegEnds_Prot#'!A:AL,19,FALSE)</f>
        <v>137</v>
      </c>
      <c r="N675" s="45">
        <f>VLOOKUP(B675,'NonXtal_SegEnds_Prot#'!A:AL,20,FALSE)</f>
        <v>144</v>
      </c>
      <c r="O675" s="4" t="str">
        <f t="shared" si="62"/>
        <v>R</v>
      </c>
      <c r="P675" s="4"/>
      <c r="Q675" s="47" t="str">
        <f t="shared" si="63"/>
        <v/>
      </c>
      <c r="R675" s="27" t="str">
        <f t="shared" si="64"/>
        <v>P</v>
      </c>
      <c r="S675" s="19" t="str">
        <f t="shared" si="65"/>
        <v>LTYPARR</v>
      </c>
      <c r="Z675" s="4" t="s">
        <v>78</v>
      </c>
      <c r="AD675" s="1" t="s">
        <v>29</v>
      </c>
      <c r="AE675" s="1">
        <v>137</v>
      </c>
      <c r="AF675" s="1">
        <v>137</v>
      </c>
      <c r="AG675" s="1">
        <v>144</v>
      </c>
      <c r="AH675" s="1" t="s">
        <v>30</v>
      </c>
      <c r="AK675" s="4">
        <v>50</v>
      </c>
      <c r="AL675" s="4">
        <v>57</v>
      </c>
    </row>
    <row r="676" spans="1:38" x14ac:dyDescent="0.25">
      <c r="A676" s="1" t="str">
        <f t="shared" si="61"/>
        <v>ADRB1_melga__wt_ICL2</v>
      </c>
      <c r="B676" s="45" t="s">
        <v>235</v>
      </c>
      <c r="C676" s="45" t="s">
        <v>294</v>
      </c>
      <c r="D676" s="4" t="str">
        <f>VLOOKUP(B676,Classification!A:D,2,FALSE)</f>
        <v>A</v>
      </c>
      <c r="E676" s="4" t="str">
        <f>VLOOKUP(B676,Classification!A:D,3,FALSE)</f>
        <v>Aminergic</v>
      </c>
      <c r="F676" s="4" t="str">
        <f>VLOOKUP(B676,Classification!A:D,4,FALSE)</f>
        <v>Adrenoceptors</v>
      </c>
      <c r="G676" s="2">
        <v>6</v>
      </c>
      <c r="H676" s="45" t="s">
        <v>28</v>
      </c>
      <c r="I676" s="2" t="s">
        <v>1223</v>
      </c>
      <c r="J676" s="5" t="str">
        <f>VLOOKUP(B676,Seqs!A:B,2,FALSE)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6" s="4" t="str">
        <f t="shared" si="66"/>
        <v>P</v>
      </c>
      <c r="L676" s="45">
        <f>VLOOKUP(B676,'NonXtal_SegEnds_Prot#'!A:AL,18,FALSE)</f>
        <v>146</v>
      </c>
      <c r="M676" s="45">
        <f>VLOOKUP(B676,'NonXtal_SegEnds_Prot#'!A:AL,19,FALSE)</f>
        <v>146</v>
      </c>
      <c r="N676" s="45">
        <f>VLOOKUP(B676,'NonXtal_SegEnds_Prot#'!A:AL,20,FALSE)</f>
        <v>153</v>
      </c>
      <c r="O676" s="4" t="str">
        <f t="shared" si="62"/>
        <v>M</v>
      </c>
      <c r="P676" s="4"/>
      <c r="Q676" s="47" t="str">
        <f t="shared" si="63"/>
        <v/>
      </c>
      <c r="R676" s="27" t="str">
        <f t="shared" si="64"/>
        <v>P</v>
      </c>
      <c r="S676" s="19" t="str">
        <f t="shared" si="65"/>
        <v>FRYQSLM</v>
      </c>
      <c r="Z676" s="4"/>
      <c r="AD676" s="1" t="s">
        <v>29</v>
      </c>
      <c r="AE676" s="1">
        <v>146</v>
      </c>
      <c r="AF676" s="1">
        <v>146</v>
      </c>
      <c r="AG676" s="1">
        <v>153</v>
      </c>
      <c r="AH676" s="1" t="s">
        <v>30</v>
      </c>
      <c r="AK676" s="4">
        <v>50</v>
      </c>
      <c r="AL676" s="4">
        <v>57</v>
      </c>
    </row>
    <row r="677" spans="1:38" x14ac:dyDescent="0.25">
      <c r="A677" s="1" t="str">
        <f t="shared" si="61"/>
        <v>ADRB1_melga_2Y02_ICL2</v>
      </c>
      <c r="B677" s="45" t="s">
        <v>235</v>
      </c>
      <c r="C677" s="45" t="s">
        <v>1230</v>
      </c>
      <c r="D677" s="4" t="str">
        <f>VLOOKUP(B677,Classification!A:D,2,FALSE)</f>
        <v>A</v>
      </c>
      <c r="E677" s="4" t="str">
        <f>VLOOKUP(B677,Classification!A:D,3,FALSE)</f>
        <v>Aminergic</v>
      </c>
      <c r="F677" s="4" t="str">
        <f>VLOOKUP(B677,Classification!A:D,4,FALSE)</f>
        <v>Adrenoceptors</v>
      </c>
      <c r="G677" s="2">
        <v>6</v>
      </c>
      <c r="H677" s="45" t="s">
        <v>28</v>
      </c>
      <c r="I677" s="2" t="s">
        <v>1223</v>
      </c>
      <c r="J677" s="5" t="str">
        <f>VLOOKUP(B677,Seqs!A:B,2,FALSE)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7" s="4" t="str">
        <f t="shared" si="66"/>
        <v>P</v>
      </c>
      <c r="L677" s="45">
        <f>VLOOKUP(B677,'NonXtal_SegEnds_Prot#'!A:AL,18,FALSE)</f>
        <v>146</v>
      </c>
      <c r="M677" s="45">
        <f>VLOOKUP(B677,'NonXtal_SegEnds_Prot#'!A:AL,19,FALSE)</f>
        <v>146</v>
      </c>
      <c r="N677" s="45">
        <f>VLOOKUP(B677,'NonXtal_SegEnds_Prot#'!A:AL,20,FALSE)</f>
        <v>153</v>
      </c>
      <c r="O677" s="4" t="str">
        <f t="shared" si="62"/>
        <v>M</v>
      </c>
      <c r="P677" s="4"/>
      <c r="Q677" s="47" t="str">
        <f t="shared" si="63"/>
        <v/>
      </c>
      <c r="R677" s="27" t="str">
        <f t="shared" si="64"/>
        <v>P</v>
      </c>
      <c r="S677" s="19" t="str">
        <f t="shared" si="65"/>
        <v>FRYQSLM</v>
      </c>
      <c r="Z677" s="4"/>
      <c r="AD677" s="1" t="s">
        <v>29</v>
      </c>
      <c r="AE677" s="1">
        <v>146</v>
      </c>
      <c r="AF677" s="1">
        <v>146</v>
      </c>
      <c r="AG677" s="1">
        <v>153</v>
      </c>
      <c r="AH677" s="1" t="s">
        <v>30</v>
      </c>
      <c r="AK677" s="4">
        <v>50</v>
      </c>
      <c r="AL677" s="4">
        <v>57</v>
      </c>
    </row>
    <row r="678" spans="1:38" x14ac:dyDescent="0.25">
      <c r="A678" s="1" t="str">
        <f t="shared" si="61"/>
        <v>ADRB1_melga_2YCW_ICL2</v>
      </c>
      <c r="B678" s="45" t="s">
        <v>235</v>
      </c>
      <c r="C678" s="45" t="s">
        <v>1233</v>
      </c>
      <c r="D678" s="4" t="str">
        <f>VLOOKUP(B678,Classification!A:D,2,FALSE)</f>
        <v>A</v>
      </c>
      <c r="E678" s="4" t="str">
        <f>VLOOKUP(B678,Classification!A:D,3,FALSE)</f>
        <v>Aminergic</v>
      </c>
      <c r="F678" s="4" t="str">
        <f>VLOOKUP(B678,Classification!A:D,4,FALSE)</f>
        <v>Adrenoceptors</v>
      </c>
      <c r="G678" s="2">
        <v>6</v>
      </c>
      <c r="H678" s="45" t="s">
        <v>28</v>
      </c>
      <c r="I678" s="2" t="s">
        <v>1223</v>
      </c>
      <c r="J678" s="5" t="str">
        <f>VLOOKUP(B678,Seqs!A:B,2,FALSE)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8" s="4" t="str">
        <f t="shared" si="66"/>
        <v>P</v>
      </c>
      <c r="L678" s="45">
        <f>VLOOKUP(B678,'NonXtal_SegEnds_Prot#'!A:AL,18,FALSE)</f>
        <v>146</v>
      </c>
      <c r="M678" s="45">
        <f>VLOOKUP(B678,'NonXtal_SegEnds_Prot#'!A:AL,19,FALSE)</f>
        <v>146</v>
      </c>
      <c r="N678" s="45">
        <f>VLOOKUP(B678,'NonXtal_SegEnds_Prot#'!A:AL,20,FALSE)</f>
        <v>153</v>
      </c>
      <c r="O678" s="4" t="str">
        <f t="shared" si="62"/>
        <v>M</v>
      </c>
      <c r="P678" s="4"/>
      <c r="Q678" s="47" t="str">
        <f t="shared" si="63"/>
        <v/>
      </c>
      <c r="R678" s="27" t="str">
        <f t="shared" si="64"/>
        <v>P</v>
      </c>
      <c r="S678" s="19" t="str">
        <f t="shared" si="65"/>
        <v>FRYQSLM</v>
      </c>
      <c r="Z678" s="4"/>
      <c r="AD678" s="1" t="s">
        <v>29</v>
      </c>
      <c r="AE678" s="1">
        <v>146</v>
      </c>
      <c r="AF678" s="1">
        <v>146</v>
      </c>
      <c r="AG678" s="1">
        <v>153</v>
      </c>
      <c r="AH678" s="1" t="s">
        <v>30</v>
      </c>
      <c r="AK678" s="4">
        <v>50</v>
      </c>
      <c r="AL678" s="4">
        <v>57</v>
      </c>
    </row>
    <row r="679" spans="1:38" x14ac:dyDescent="0.25">
      <c r="A679" s="1" t="str">
        <f t="shared" si="61"/>
        <v>ADRB1_melga_4BVN_ICL2</v>
      </c>
      <c r="B679" s="45" t="s">
        <v>235</v>
      </c>
      <c r="C679" s="45" t="s">
        <v>273</v>
      </c>
      <c r="D679" s="4" t="str">
        <f>VLOOKUP(B679,Classification!A:D,2,FALSE)</f>
        <v>A</v>
      </c>
      <c r="E679" s="4" t="str">
        <f>VLOOKUP(B679,Classification!A:D,3,FALSE)</f>
        <v>Aminergic</v>
      </c>
      <c r="F679" s="4" t="str">
        <f>VLOOKUP(B679,Classification!A:D,4,FALSE)</f>
        <v>Adrenoceptors</v>
      </c>
      <c r="G679" s="2">
        <v>6</v>
      </c>
      <c r="H679" s="45" t="s">
        <v>28</v>
      </c>
      <c r="I679" s="2" t="s">
        <v>1223</v>
      </c>
      <c r="J679" s="5" t="str">
        <f>VLOOKUP(B679,Seqs!A:B,2,FALSE)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9" s="4" t="str">
        <f t="shared" si="66"/>
        <v>P</v>
      </c>
      <c r="L679" s="45">
        <f>VLOOKUP(B679,'NonXtal_SegEnds_Prot#'!A:AL,18,FALSE)</f>
        <v>146</v>
      </c>
      <c r="M679" s="45">
        <f>VLOOKUP(B679,'NonXtal_SegEnds_Prot#'!A:AL,19,FALSE)</f>
        <v>146</v>
      </c>
      <c r="N679" s="45">
        <f>VLOOKUP(B679,'NonXtal_SegEnds_Prot#'!A:AL,20,FALSE)</f>
        <v>153</v>
      </c>
      <c r="O679" s="4" t="str">
        <f t="shared" si="62"/>
        <v>M</v>
      </c>
      <c r="P679" s="4"/>
      <c r="Q679" s="47" t="str">
        <f t="shared" si="63"/>
        <v/>
      </c>
      <c r="R679" s="27" t="str">
        <f t="shared" si="64"/>
        <v>P</v>
      </c>
      <c r="S679" s="19" t="str">
        <f t="shared" si="65"/>
        <v>FRYQSLM</v>
      </c>
      <c r="Z679" s="4"/>
      <c r="AD679" s="1" t="s">
        <v>29</v>
      </c>
      <c r="AE679" s="1">
        <v>146</v>
      </c>
      <c r="AF679" s="1">
        <v>146</v>
      </c>
      <c r="AG679" s="1">
        <v>153</v>
      </c>
      <c r="AH679" s="1" t="s">
        <v>30</v>
      </c>
      <c r="AK679" s="4">
        <v>50</v>
      </c>
      <c r="AL679" s="4">
        <v>57</v>
      </c>
    </row>
    <row r="680" spans="1:38" x14ac:dyDescent="0.25">
      <c r="A680" s="1" t="str">
        <f t="shared" si="61"/>
        <v>ADRB2_human__wt_ICL2</v>
      </c>
      <c r="B680" s="45" t="s">
        <v>211</v>
      </c>
      <c r="C680" s="54" t="s">
        <v>294</v>
      </c>
      <c r="D680" s="4" t="str">
        <f>VLOOKUP(B680,Classification!A:D,2,FALSE)</f>
        <v>A</v>
      </c>
      <c r="E680" s="4" t="str">
        <f>VLOOKUP(B680,Classification!A:D,3,FALSE)</f>
        <v>Aminergic</v>
      </c>
      <c r="F680" s="4" t="str">
        <f>VLOOKUP(B680,Classification!A:D,4,FALSE)</f>
        <v>Adrenoceptors</v>
      </c>
      <c r="G680" s="2">
        <v>6</v>
      </c>
      <c r="H680" s="45" t="s">
        <v>28</v>
      </c>
      <c r="I680" s="2" t="s">
        <v>1223</v>
      </c>
      <c r="J680" s="5" t="str">
        <f>VLOOKUP(B680,Seqs!A:B,2,FALSE)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0" s="4" t="str">
        <f t="shared" si="66"/>
        <v>P</v>
      </c>
      <c r="L680" s="45">
        <f>VLOOKUP(B680,'NonXtal_SegEnds_Prot#'!A:AL,18,FALSE)</f>
        <v>138</v>
      </c>
      <c r="M680" s="45">
        <f>VLOOKUP(B680,'NonXtal_SegEnds_Prot#'!A:AL,19,FALSE)</f>
        <v>138</v>
      </c>
      <c r="N680" s="45">
        <f>VLOOKUP(B680,'NonXtal_SegEnds_Prot#'!A:AL,20,FALSE)</f>
        <v>145</v>
      </c>
      <c r="O680" s="4" t="str">
        <f t="shared" si="62"/>
        <v>L</v>
      </c>
      <c r="P680" s="4"/>
      <c r="Q680" s="47" t="str">
        <f t="shared" si="63"/>
        <v/>
      </c>
      <c r="R680" s="28" t="str">
        <f t="shared" si="64"/>
        <v>P</v>
      </c>
      <c r="S680" s="20" t="str">
        <f t="shared" si="65"/>
        <v>FKYQSLL</v>
      </c>
      <c r="Z680" s="4" t="s">
        <v>64</v>
      </c>
      <c r="AD680" s="1" t="s">
        <v>29</v>
      </c>
      <c r="AE680" s="1">
        <v>138</v>
      </c>
      <c r="AF680" s="1">
        <v>138</v>
      </c>
      <c r="AG680" s="1">
        <v>145</v>
      </c>
      <c r="AH680" s="1" t="s">
        <v>30</v>
      </c>
      <c r="AK680" s="4">
        <v>50</v>
      </c>
      <c r="AL680" s="4">
        <v>57</v>
      </c>
    </row>
    <row r="681" spans="1:38" x14ac:dyDescent="0.25">
      <c r="A681" s="1" t="str">
        <f t="shared" si="61"/>
        <v>ADRB2_human_3D4S_ICL2</v>
      </c>
      <c r="B681" s="45" t="s">
        <v>211</v>
      </c>
      <c r="C681" s="45" t="s">
        <v>267</v>
      </c>
      <c r="D681" s="4" t="str">
        <f>VLOOKUP(B681,Classification!A:D,2,FALSE)</f>
        <v>A</v>
      </c>
      <c r="E681" s="4" t="str">
        <f>VLOOKUP(B681,Classification!A:D,3,FALSE)</f>
        <v>Aminergic</v>
      </c>
      <c r="F681" s="4" t="str">
        <f>VLOOKUP(B681,Classification!A:D,4,FALSE)</f>
        <v>Adrenoceptors</v>
      </c>
      <c r="G681" s="2">
        <v>6</v>
      </c>
      <c r="H681" s="45" t="s">
        <v>28</v>
      </c>
      <c r="I681" s="2" t="s">
        <v>1223</v>
      </c>
      <c r="J681" s="5" t="str">
        <f>VLOOKUP(B681,Seqs!A:B,2,FALSE)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1" s="4" t="str">
        <f t="shared" si="66"/>
        <v>P</v>
      </c>
      <c r="L681" s="45">
        <f>VLOOKUP(B681,'NonXtal_SegEnds_Prot#'!A:AL,18,FALSE)</f>
        <v>138</v>
      </c>
      <c r="M681" s="45">
        <f>VLOOKUP(B681,'NonXtal_SegEnds_Prot#'!A:AL,19,FALSE)</f>
        <v>138</v>
      </c>
      <c r="N681" s="45">
        <f>VLOOKUP(B681,'NonXtal_SegEnds_Prot#'!A:AL,20,FALSE)</f>
        <v>145</v>
      </c>
      <c r="O681" s="4" t="s">
        <v>129</v>
      </c>
      <c r="P681" s="4"/>
      <c r="Q681" s="47" t="str">
        <f t="shared" si="63"/>
        <v/>
      </c>
      <c r="R681" s="28" t="str">
        <f t="shared" si="64"/>
        <v>P</v>
      </c>
      <c r="S681" s="20" t="str">
        <f t="shared" si="65"/>
        <v>FKYQSLL</v>
      </c>
      <c r="Z681" s="4"/>
      <c r="AD681" s="1" t="s">
        <v>29</v>
      </c>
      <c r="AE681" s="1">
        <v>138</v>
      </c>
      <c r="AF681" s="1">
        <v>138</v>
      </c>
      <c r="AG681" s="1">
        <v>145</v>
      </c>
      <c r="AH681" s="1" t="s">
        <v>30</v>
      </c>
      <c r="AK681" s="4" t="s">
        <v>129</v>
      </c>
      <c r="AL681" s="4" t="s">
        <v>129</v>
      </c>
    </row>
    <row r="682" spans="1:38" x14ac:dyDescent="0.25">
      <c r="A682" s="1" t="str">
        <f t="shared" si="61"/>
        <v>ADRB2_human_3P0G_ICL2</v>
      </c>
      <c r="B682" s="45" t="s">
        <v>211</v>
      </c>
      <c r="C682" s="45" t="s">
        <v>257</v>
      </c>
      <c r="D682" s="4" t="str">
        <f>VLOOKUP(B682,Classification!A:D,2,FALSE)</f>
        <v>A</v>
      </c>
      <c r="E682" s="4" t="str">
        <f>VLOOKUP(B682,Classification!A:D,3,FALSE)</f>
        <v>Aminergic</v>
      </c>
      <c r="F682" s="4" t="str">
        <f>VLOOKUP(B682,Classification!A:D,4,FALSE)</f>
        <v>Adrenoceptors</v>
      </c>
      <c r="G682" s="2">
        <v>6</v>
      </c>
      <c r="H682" s="45" t="s">
        <v>28</v>
      </c>
      <c r="I682" s="2" t="s">
        <v>1223</v>
      </c>
      <c r="J682" s="5" t="str">
        <f>VLOOKUP(B682,Seqs!A:B,2,FALSE)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2" s="4" t="str">
        <f t="shared" si="66"/>
        <v>P</v>
      </c>
      <c r="L682" s="45">
        <f>VLOOKUP(B682,'NonXtal_SegEnds_Prot#'!A:AL,18,FALSE)</f>
        <v>138</v>
      </c>
      <c r="M682" s="45">
        <f>VLOOKUP(B682,'NonXtal_SegEnds_Prot#'!A:AL,19,FALSE)</f>
        <v>138</v>
      </c>
      <c r="N682" s="45">
        <f>VLOOKUP(B682,'NonXtal_SegEnds_Prot#'!A:AL,20,FALSE)</f>
        <v>145</v>
      </c>
      <c r="O682" s="4" t="str">
        <f t="shared" ref="O682:O745" si="67">MID(J682,N682,1)</f>
        <v>L</v>
      </c>
      <c r="P682" s="4"/>
      <c r="Q682" s="47" t="str">
        <f t="shared" si="63"/>
        <v/>
      </c>
      <c r="R682" s="28" t="str">
        <f t="shared" si="64"/>
        <v>P</v>
      </c>
      <c r="S682" s="20" t="str">
        <f t="shared" si="65"/>
        <v>FKYQSLL</v>
      </c>
      <c r="Z682" s="4"/>
      <c r="AD682" s="1" t="s">
        <v>29</v>
      </c>
      <c r="AE682" s="1">
        <v>138</v>
      </c>
      <c r="AF682" s="1">
        <v>138</v>
      </c>
      <c r="AG682" s="1">
        <v>145</v>
      </c>
      <c r="AH682" s="1" t="s">
        <v>30</v>
      </c>
      <c r="AK682" s="4">
        <v>50</v>
      </c>
      <c r="AL682" s="4">
        <v>57</v>
      </c>
    </row>
    <row r="683" spans="1:38" x14ac:dyDescent="0.25">
      <c r="A683" s="1" t="str">
        <f t="shared" si="61"/>
        <v>ADRB2_human_3SN6_ICL2</v>
      </c>
      <c r="B683" s="45" t="s">
        <v>211</v>
      </c>
      <c r="C683" s="45" t="s">
        <v>277</v>
      </c>
      <c r="D683" s="4" t="str">
        <f>VLOOKUP(B683,Classification!A:D,2,FALSE)</f>
        <v>A</v>
      </c>
      <c r="E683" s="4" t="str">
        <f>VLOOKUP(B683,Classification!A:D,3,FALSE)</f>
        <v>Aminergic</v>
      </c>
      <c r="F683" s="4" t="str">
        <f>VLOOKUP(B683,Classification!A:D,4,FALSE)</f>
        <v>Adrenoceptors</v>
      </c>
      <c r="G683" s="2">
        <v>6</v>
      </c>
      <c r="H683" s="45" t="s">
        <v>28</v>
      </c>
      <c r="I683" s="2" t="s">
        <v>1223</v>
      </c>
      <c r="J683" s="5" t="str">
        <f>VLOOKUP(B683,Seqs!A:B,2,FALSE)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3" s="4" t="str">
        <f t="shared" si="66"/>
        <v>P</v>
      </c>
      <c r="L683" s="45">
        <f>VLOOKUP(B683,'NonXtal_SegEnds_Prot#'!A:AL,18,FALSE)</f>
        <v>138</v>
      </c>
      <c r="M683" s="45">
        <f>VLOOKUP(B683,'NonXtal_SegEnds_Prot#'!A:AL,19,FALSE)</f>
        <v>138</v>
      </c>
      <c r="N683" s="45">
        <f>VLOOKUP(B683,'NonXtal_SegEnds_Prot#'!A:AL,20,FALSE)</f>
        <v>145</v>
      </c>
      <c r="O683" s="4" t="str">
        <f t="shared" si="67"/>
        <v>L</v>
      </c>
      <c r="P683" s="4"/>
      <c r="Q683" s="47" t="str">
        <f t="shared" si="63"/>
        <v/>
      </c>
      <c r="R683" s="27" t="str">
        <f t="shared" si="64"/>
        <v>P</v>
      </c>
      <c r="S683" s="19" t="str">
        <f t="shared" si="65"/>
        <v>FKYQSLL</v>
      </c>
      <c r="Z683" s="4" t="s">
        <v>64</v>
      </c>
      <c r="AD683" s="1" t="s">
        <v>29</v>
      </c>
      <c r="AE683" s="1">
        <v>138</v>
      </c>
      <c r="AF683" s="1">
        <v>138</v>
      </c>
      <c r="AG683" s="1">
        <v>145</v>
      </c>
      <c r="AH683" s="1" t="s">
        <v>30</v>
      </c>
      <c r="AK683" s="4">
        <v>50</v>
      </c>
      <c r="AL683" s="4">
        <v>57</v>
      </c>
    </row>
    <row r="684" spans="1:38" x14ac:dyDescent="0.25">
      <c r="A684" s="1" t="str">
        <f t="shared" si="61"/>
        <v>ADRB2_human_4LDE_ICL2</v>
      </c>
      <c r="B684" s="45" t="s">
        <v>211</v>
      </c>
      <c r="C684" s="45" t="s">
        <v>268</v>
      </c>
      <c r="D684" s="4" t="str">
        <f>VLOOKUP(B684,Classification!A:D,2,FALSE)</f>
        <v>A</v>
      </c>
      <c r="E684" s="4" t="str">
        <f>VLOOKUP(B684,Classification!A:D,3,FALSE)</f>
        <v>Aminergic</v>
      </c>
      <c r="F684" s="4" t="str">
        <f>VLOOKUP(B684,Classification!A:D,4,FALSE)</f>
        <v>Adrenoceptors</v>
      </c>
      <c r="G684" s="2">
        <v>6</v>
      </c>
      <c r="H684" s="45" t="s">
        <v>28</v>
      </c>
      <c r="I684" s="2" t="s">
        <v>1223</v>
      </c>
      <c r="J684" s="5" t="str">
        <f>VLOOKUP(B684,Seqs!A:B,2,FALSE)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4" s="4" t="str">
        <f t="shared" si="66"/>
        <v>P</v>
      </c>
      <c r="L684" s="45">
        <f>VLOOKUP(B684,'NonXtal_SegEnds_Prot#'!A:AL,18,FALSE)</f>
        <v>138</v>
      </c>
      <c r="M684" s="45">
        <f>VLOOKUP(B684,'NonXtal_SegEnds_Prot#'!A:AL,19,FALSE)</f>
        <v>138</v>
      </c>
      <c r="N684" s="45">
        <f>VLOOKUP(B684,'NonXtal_SegEnds_Prot#'!A:AL,20,FALSE)</f>
        <v>145</v>
      </c>
      <c r="O684" s="4" t="str">
        <f t="shared" si="67"/>
        <v>L</v>
      </c>
      <c r="P684" s="4"/>
      <c r="Q684" s="47" t="str">
        <f t="shared" si="63"/>
        <v/>
      </c>
      <c r="R684" s="27" t="str">
        <f t="shared" si="64"/>
        <v>P</v>
      </c>
      <c r="S684" s="19" t="str">
        <f t="shared" si="65"/>
        <v>FKYQSLL</v>
      </c>
      <c r="Z684" s="4"/>
      <c r="AD684" s="1" t="s">
        <v>29</v>
      </c>
      <c r="AE684" s="1">
        <v>138</v>
      </c>
      <c r="AF684" s="1">
        <v>138</v>
      </c>
      <c r="AG684" s="1">
        <v>145</v>
      </c>
      <c r="AH684" s="1" t="s">
        <v>30</v>
      </c>
      <c r="AK684" s="4">
        <v>50</v>
      </c>
      <c r="AL684" s="4">
        <v>57</v>
      </c>
    </row>
    <row r="685" spans="1:38" x14ac:dyDescent="0.25">
      <c r="A685" s="1" t="str">
        <f t="shared" si="61"/>
        <v>ADRB2_human_4QKX_ICL2</v>
      </c>
      <c r="B685" s="45" t="s">
        <v>211</v>
      </c>
      <c r="C685" s="45" t="s">
        <v>269</v>
      </c>
      <c r="D685" s="4" t="str">
        <f>VLOOKUP(B685,Classification!A:D,2,FALSE)</f>
        <v>A</v>
      </c>
      <c r="E685" s="4" t="str">
        <f>VLOOKUP(B685,Classification!A:D,3,FALSE)</f>
        <v>Aminergic</v>
      </c>
      <c r="F685" s="4" t="str">
        <f>VLOOKUP(B685,Classification!A:D,4,FALSE)</f>
        <v>Adrenoceptors</v>
      </c>
      <c r="G685" s="2">
        <v>6</v>
      </c>
      <c r="H685" s="45" t="s">
        <v>28</v>
      </c>
      <c r="I685" s="2" t="s">
        <v>1223</v>
      </c>
      <c r="J685" s="5" t="str">
        <f>VLOOKUP(B685,Seqs!A:B,2,FALSE)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5" s="4" t="str">
        <f t="shared" si="66"/>
        <v>P</v>
      </c>
      <c r="L685" s="45">
        <f>VLOOKUP(B685,'NonXtal_SegEnds_Prot#'!A:AL,18,FALSE)</f>
        <v>138</v>
      </c>
      <c r="M685" s="45">
        <f>VLOOKUP(B685,'NonXtal_SegEnds_Prot#'!A:AL,19,FALSE)</f>
        <v>138</v>
      </c>
      <c r="N685" s="45">
        <f>VLOOKUP(B685,'NonXtal_SegEnds_Prot#'!A:AL,20,FALSE)</f>
        <v>145</v>
      </c>
      <c r="O685" s="4" t="str">
        <f t="shared" si="67"/>
        <v>L</v>
      </c>
      <c r="P685" s="4"/>
      <c r="Q685" s="47" t="str">
        <f t="shared" si="63"/>
        <v/>
      </c>
      <c r="R685" s="27" t="str">
        <f t="shared" si="64"/>
        <v>P</v>
      </c>
      <c r="S685" s="19" t="str">
        <f t="shared" si="65"/>
        <v>FKYQSLL</v>
      </c>
      <c r="Z685" s="4"/>
      <c r="AD685" s="1" t="s">
        <v>29</v>
      </c>
      <c r="AE685" s="1">
        <v>138</v>
      </c>
      <c r="AF685" s="1">
        <v>138</v>
      </c>
      <c r="AG685" s="1">
        <v>145</v>
      </c>
      <c r="AH685" s="1" t="s">
        <v>30</v>
      </c>
      <c r="AK685" s="4">
        <v>50</v>
      </c>
      <c r="AL685" s="4">
        <v>57</v>
      </c>
    </row>
    <row r="686" spans="1:38" x14ac:dyDescent="0.25">
      <c r="A686" s="1" t="str">
        <f t="shared" si="61"/>
        <v>AGTR1_human__wt_ICL2</v>
      </c>
      <c r="B686" s="45" t="s">
        <v>212</v>
      </c>
      <c r="C686" s="45" t="s">
        <v>294</v>
      </c>
      <c r="D686" s="4" t="str">
        <f>VLOOKUP(B686,Classification!A:D,2,FALSE)</f>
        <v>A</v>
      </c>
      <c r="E686" s="4" t="str">
        <f>VLOOKUP(B686,Classification!A:D,3,FALSE)</f>
        <v>Peptide</v>
      </c>
      <c r="F686" s="4" t="str">
        <f>VLOOKUP(B686,Classification!A:D,4,FALSE)</f>
        <v>Angiotensin</v>
      </c>
      <c r="G686" s="2">
        <v>6</v>
      </c>
      <c r="H686" s="45" t="s">
        <v>28</v>
      </c>
      <c r="I686" s="2" t="s">
        <v>1223</v>
      </c>
      <c r="J686" s="5" t="str">
        <f>VLOOKUP(B686,Seqs!A:B,2,FALSE)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686" s="4" t="str">
        <f t="shared" si="66"/>
        <v>P</v>
      </c>
      <c r="L686" s="45">
        <f>VLOOKUP(B686,'NonXtal_SegEnds_Prot#'!A:AL,18,FALSE)</f>
        <v>133</v>
      </c>
      <c r="M686" s="45">
        <f>VLOOKUP(B686,'NonXtal_SegEnds_Prot#'!A:AL,19,FALSE)</f>
        <v>133</v>
      </c>
      <c r="N686" s="45">
        <f>VLOOKUP(B686,'NonXtal_SegEnds_Prot#'!A:AL,20,FALSE)</f>
        <v>140</v>
      </c>
      <c r="O686" s="4" t="str">
        <f t="shared" si="67"/>
        <v>R</v>
      </c>
      <c r="P686" s="4"/>
      <c r="Q686" s="47" t="str">
        <f t="shared" si="63"/>
        <v/>
      </c>
      <c r="R686" s="27" t="str">
        <f t="shared" si="64"/>
        <v>P</v>
      </c>
      <c r="S686" s="19" t="str">
        <f t="shared" si="65"/>
        <v>MKSRLRR</v>
      </c>
      <c r="Z686" s="4"/>
      <c r="AD686" s="1" t="s">
        <v>29</v>
      </c>
      <c r="AE686" s="1">
        <v>133</v>
      </c>
      <c r="AF686" s="1">
        <v>133</v>
      </c>
      <c r="AG686" s="1">
        <v>140</v>
      </c>
      <c r="AH686" s="1" t="s">
        <v>30</v>
      </c>
      <c r="AK686" s="4">
        <v>50</v>
      </c>
      <c r="AL686" s="4">
        <v>57</v>
      </c>
    </row>
    <row r="687" spans="1:38" x14ac:dyDescent="0.25">
      <c r="A687" s="1" t="str">
        <f t="shared" si="61"/>
        <v>AGTR1_human_4YAY_ICL2</v>
      </c>
      <c r="B687" s="45" t="s">
        <v>212</v>
      </c>
      <c r="C687" s="45" t="s">
        <v>260</v>
      </c>
      <c r="D687" s="4" t="str">
        <f>VLOOKUP(B687,Classification!A:D,2,FALSE)</f>
        <v>A</v>
      </c>
      <c r="E687" s="4" t="str">
        <f>VLOOKUP(B687,Classification!A:D,3,FALSE)</f>
        <v>Peptide</v>
      </c>
      <c r="F687" s="4" t="str">
        <f>VLOOKUP(B687,Classification!A:D,4,FALSE)</f>
        <v>Angiotensin</v>
      </c>
      <c r="G687" s="2">
        <v>6</v>
      </c>
      <c r="H687" s="45" t="s">
        <v>28</v>
      </c>
      <c r="I687" s="2" t="s">
        <v>1223</v>
      </c>
      <c r="J687" s="5" t="str">
        <f>VLOOKUP(B687,Seqs!A:B,2,FALSE)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687" s="4" t="str">
        <f t="shared" si="66"/>
        <v>P</v>
      </c>
      <c r="L687" s="45">
        <f>VLOOKUP(B687,'NonXtal_SegEnds_Prot#'!A:AL,18,FALSE)</f>
        <v>133</v>
      </c>
      <c r="M687" s="45">
        <f>VLOOKUP(B687,'NonXtal_SegEnds_Prot#'!A:AL,19,FALSE)</f>
        <v>133</v>
      </c>
      <c r="N687" s="45">
        <f>VLOOKUP(B687,'NonXtal_SegEnds_Prot#'!A:AL,20,FALSE)</f>
        <v>140</v>
      </c>
      <c r="O687" s="4" t="str">
        <f t="shared" si="67"/>
        <v>R</v>
      </c>
      <c r="P687" s="4"/>
      <c r="Q687" s="47" t="str">
        <f t="shared" si="63"/>
        <v/>
      </c>
      <c r="R687" s="28" t="str">
        <f t="shared" si="64"/>
        <v>P</v>
      </c>
      <c r="S687" s="20" t="str">
        <f t="shared" si="65"/>
        <v>MKSRLRR</v>
      </c>
      <c r="Z687" s="4"/>
      <c r="AD687" s="1" t="s">
        <v>29</v>
      </c>
      <c r="AE687" s="1">
        <v>133</v>
      </c>
      <c r="AF687" s="1">
        <v>133</v>
      </c>
      <c r="AG687" s="1">
        <v>137</v>
      </c>
      <c r="AH687" s="1" t="s">
        <v>142</v>
      </c>
      <c r="AK687" s="4">
        <v>50</v>
      </c>
      <c r="AL687" s="4">
        <v>54</v>
      </c>
    </row>
    <row r="688" spans="1:38" x14ac:dyDescent="0.25">
      <c r="A688" s="1" t="str">
        <f t="shared" si="61"/>
        <v>CCR5_human__wt_ICL2</v>
      </c>
      <c r="B688" s="45" t="s">
        <v>221</v>
      </c>
      <c r="C688" s="45" t="s">
        <v>294</v>
      </c>
      <c r="D688" s="4" t="str">
        <f>VLOOKUP(B688,Classification!A:D,2,FALSE)</f>
        <v>A</v>
      </c>
      <c r="E688" s="4" t="str">
        <f>VLOOKUP(B688,Classification!A:D,3,FALSE)</f>
        <v>Protein</v>
      </c>
      <c r="F688" s="4" t="str">
        <f>VLOOKUP(B688,Classification!A:D,4,FALSE)</f>
        <v>Chemokine</v>
      </c>
      <c r="G688" s="2">
        <v>6</v>
      </c>
      <c r="H688" s="45" t="s">
        <v>28</v>
      </c>
      <c r="I688" s="2" t="s">
        <v>1223</v>
      </c>
      <c r="J688" s="5" t="str">
        <f>VLOOKUP(B688,Seqs!A:B,2,FALSE)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688" s="4" t="str">
        <f t="shared" si="66"/>
        <v>A</v>
      </c>
      <c r="L688" s="45">
        <f>VLOOKUP(B688,'NonXtal_SegEnds_Prot#'!A:AL,18,FALSE)</f>
        <v>133</v>
      </c>
      <c r="M688" s="45">
        <f>VLOOKUP(B688,'NonXtal_SegEnds_Prot#'!A:AL,19,FALSE)</f>
        <v>133</v>
      </c>
      <c r="N688" s="45">
        <f>VLOOKUP(B688,'NonXtal_SegEnds_Prot#'!A:AL,20,FALSE)</f>
        <v>140</v>
      </c>
      <c r="O688" s="4" t="str">
        <f t="shared" si="67"/>
        <v>R</v>
      </c>
      <c r="P688" s="4"/>
      <c r="Q688" s="47" t="str">
        <f t="shared" si="63"/>
        <v/>
      </c>
      <c r="R688" s="27" t="str">
        <f t="shared" si="64"/>
        <v>A</v>
      </c>
      <c r="S688" s="19" t="str">
        <f t="shared" si="65"/>
        <v>VFALKAR</v>
      </c>
      <c r="Z688" s="4"/>
      <c r="AD688" s="1" t="s">
        <v>29</v>
      </c>
      <c r="AE688" s="1">
        <v>133</v>
      </c>
      <c r="AF688" s="1">
        <v>133</v>
      </c>
      <c r="AG688" s="1">
        <v>140</v>
      </c>
      <c r="AH688" s="1" t="s">
        <v>30</v>
      </c>
      <c r="AK688" s="4">
        <v>50</v>
      </c>
      <c r="AL688" s="4">
        <v>57</v>
      </c>
    </row>
    <row r="689" spans="1:38" x14ac:dyDescent="0.25">
      <c r="A689" s="1" t="str">
        <f t="shared" si="61"/>
        <v>CCR5_human_4MBS_ICL2</v>
      </c>
      <c r="B689" s="45" t="s">
        <v>221</v>
      </c>
      <c r="C689" s="45" t="s">
        <v>265</v>
      </c>
      <c r="D689" s="4" t="str">
        <f>VLOOKUP(B689,Classification!A:D,2,FALSE)</f>
        <v>A</v>
      </c>
      <c r="E689" s="4" t="str">
        <f>VLOOKUP(B689,Classification!A:D,3,FALSE)</f>
        <v>Protein</v>
      </c>
      <c r="F689" s="4" t="str">
        <f>VLOOKUP(B689,Classification!A:D,4,FALSE)</f>
        <v>Chemokine</v>
      </c>
      <c r="G689" s="2">
        <v>6</v>
      </c>
      <c r="H689" s="45" t="s">
        <v>28</v>
      </c>
      <c r="I689" s="2" t="s">
        <v>1223</v>
      </c>
      <c r="J689" s="5" t="str">
        <f>VLOOKUP(B689,Seqs!A:B,2,FALSE)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689" s="4" t="str">
        <f t="shared" si="66"/>
        <v>A</v>
      </c>
      <c r="L689" s="45">
        <f>VLOOKUP(B689,'NonXtal_SegEnds_Prot#'!A:AL,18,FALSE)</f>
        <v>133</v>
      </c>
      <c r="M689" s="45">
        <f>VLOOKUP(B689,'NonXtal_SegEnds_Prot#'!A:AL,19,FALSE)</f>
        <v>133</v>
      </c>
      <c r="N689" s="45">
        <f>VLOOKUP(B689,'NonXtal_SegEnds_Prot#'!A:AL,20,FALSE)</f>
        <v>140</v>
      </c>
      <c r="O689" s="4" t="str">
        <f t="shared" si="67"/>
        <v>R</v>
      </c>
      <c r="P689" s="4"/>
      <c r="Q689" s="47" t="str">
        <f t="shared" si="63"/>
        <v/>
      </c>
      <c r="R689" s="27" t="str">
        <f t="shared" si="64"/>
        <v>A</v>
      </c>
      <c r="S689" s="19" t="str">
        <f t="shared" si="65"/>
        <v>VFALKAR</v>
      </c>
      <c r="Z689" s="4"/>
      <c r="AD689" s="1" t="s">
        <v>29</v>
      </c>
      <c r="AE689" s="1">
        <v>133</v>
      </c>
      <c r="AF689" s="1">
        <v>133</v>
      </c>
      <c r="AG689" s="1">
        <v>140</v>
      </c>
      <c r="AH689" s="1" t="s">
        <v>30</v>
      </c>
      <c r="AK689" s="4">
        <v>50</v>
      </c>
      <c r="AL689" s="4">
        <v>57</v>
      </c>
    </row>
    <row r="690" spans="1:38" x14ac:dyDescent="0.25">
      <c r="A690" s="1" t="str">
        <f t="shared" si="61"/>
        <v>crfr1_human__wt_ICL2</v>
      </c>
      <c r="B690" s="45" t="s">
        <v>213</v>
      </c>
      <c r="C690" s="45" t="s">
        <v>294</v>
      </c>
      <c r="D690" s="4" t="str">
        <f>VLOOKUP(B690,Classification!A:D,2,FALSE)</f>
        <v>B1</v>
      </c>
      <c r="E690" s="4" t="str">
        <f>VLOOKUP(B690,Classification!A:D,3,FALSE)</f>
        <v>Peptide</v>
      </c>
      <c r="F690" s="4" t="str">
        <f>VLOOKUP(B690,Classification!A:D,4,FALSE)</f>
        <v>Corticotropin-releasingfact</v>
      </c>
      <c r="G690" s="2">
        <v>6</v>
      </c>
      <c r="H690" s="45" t="s">
        <v>28</v>
      </c>
      <c r="I690" s="2" t="s">
        <v>36</v>
      </c>
      <c r="J690" s="5" t="str">
        <f>VLOOKUP(B690,Seqs!A:B,2,FALSE)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690" s="4" t="e">
        <f t="shared" si="66"/>
        <v>#VALUE!</v>
      </c>
      <c r="L690" s="45" t="str">
        <f>VLOOKUP(B690,'NonXtal_SegEnds_Prot#'!A:AL,18,FALSE)</f>
        <v>-</v>
      </c>
      <c r="M690" s="45" t="str">
        <f>VLOOKUP(B690,'NonXtal_SegEnds_Prot#'!A:AL,19,FALSE)</f>
        <v>-</v>
      </c>
      <c r="N690" s="45" t="str">
        <f>VLOOKUP(B690,'NonXtal_SegEnds_Prot#'!A:AL,20,FALSE)</f>
        <v>-</v>
      </c>
      <c r="O690" s="4" t="e">
        <f t="shared" si="67"/>
        <v>#VALUE!</v>
      </c>
      <c r="P690" s="4"/>
      <c r="Q690" s="47" t="e">
        <f t="shared" si="63"/>
        <v>#VALUE!</v>
      </c>
      <c r="R690" s="27" t="e">
        <f t="shared" si="64"/>
        <v>#VALUE!</v>
      </c>
      <c r="S690" s="19" t="e">
        <f t="shared" si="65"/>
        <v>#VALUE!</v>
      </c>
      <c r="Z690" s="4"/>
      <c r="AD690" s="1" t="s">
        <v>129</v>
      </c>
      <c r="AE690" s="1" t="s">
        <v>129</v>
      </c>
      <c r="AF690" s="1" t="s">
        <v>129</v>
      </c>
      <c r="AG690" s="1" t="s">
        <v>129</v>
      </c>
      <c r="AH690" s="1" t="s">
        <v>129</v>
      </c>
      <c r="AK690" s="4" t="s">
        <v>129</v>
      </c>
      <c r="AL690" s="4" t="s">
        <v>129</v>
      </c>
    </row>
    <row r="691" spans="1:38" x14ac:dyDescent="0.25">
      <c r="A691" s="1" t="str">
        <f t="shared" si="61"/>
        <v>crfr1_human_4K5Y_ICL2</v>
      </c>
      <c r="B691" s="45" t="s">
        <v>213</v>
      </c>
      <c r="C691" s="45" t="s">
        <v>288</v>
      </c>
      <c r="D691" s="4" t="str">
        <f>VLOOKUP(B691,Classification!A:D,2,FALSE)</f>
        <v>B1</v>
      </c>
      <c r="E691" s="4" t="str">
        <f>VLOOKUP(B691,Classification!A:D,3,FALSE)</f>
        <v>Peptide</v>
      </c>
      <c r="F691" s="4" t="str">
        <f>VLOOKUP(B691,Classification!A:D,4,FALSE)</f>
        <v>Corticotropin-releasingfact</v>
      </c>
      <c r="G691" s="2">
        <v>6</v>
      </c>
      <c r="H691" s="45" t="s">
        <v>28</v>
      </c>
      <c r="I691" s="2" t="s">
        <v>36</v>
      </c>
      <c r="J691" s="5" t="str">
        <f>VLOOKUP(B691,Seqs!A:B,2,FALSE)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691" s="4" t="e">
        <f t="shared" si="66"/>
        <v>#VALUE!</v>
      </c>
      <c r="L691" s="45" t="str">
        <f>VLOOKUP(B691,'NonXtal_SegEnds_Prot#'!A:AL,18,FALSE)</f>
        <v>-</v>
      </c>
      <c r="M691" s="45" t="str">
        <f>VLOOKUP(B691,'NonXtal_SegEnds_Prot#'!A:AL,19,FALSE)</f>
        <v>-</v>
      </c>
      <c r="N691" s="45" t="str">
        <f>VLOOKUP(B691,'NonXtal_SegEnds_Prot#'!A:AL,20,FALSE)</f>
        <v>-</v>
      </c>
      <c r="O691" s="4" t="e">
        <f t="shared" si="67"/>
        <v>#VALUE!</v>
      </c>
      <c r="P691" s="4"/>
      <c r="Q691" s="47" t="e">
        <f t="shared" si="63"/>
        <v>#VALUE!</v>
      </c>
      <c r="R691" s="27" t="e">
        <f t="shared" si="64"/>
        <v>#VALUE!</v>
      </c>
      <c r="S691" s="19" t="e">
        <f t="shared" si="65"/>
        <v>#VALUE!</v>
      </c>
      <c r="Z691" s="4"/>
      <c r="AD691" s="1" t="s">
        <v>129</v>
      </c>
      <c r="AE691" s="1" t="s">
        <v>129</v>
      </c>
      <c r="AF691" s="1" t="s">
        <v>129</v>
      </c>
      <c r="AG691" s="1" t="s">
        <v>129</v>
      </c>
      <c r="AH691" s="1" t="s">
        <v>129</v>
      </c>
      <c r="AK691" s="4" t="s">
        <v>129</v>
      </c>
      <c r="AL691" s="4" t="s">
        <v>129</v>
      </c>
    </row>
    <row r="692" spans="1:38" x14ac:dyDescent="0.25">
      <c r="A692" s="1" t="str">
        <f t="shared" si="61"/>
        <v>CXCR4_human__wt_ICL2</v>
      </c>
      <c r="B692" s="45" t="s">
        <v>1237</v>
      </c>
      <c r="C692" s="45" t="s">
        <v>294</v>
      </c>
      <c r="D692" s="4" t="str">
        <f>VLOOKUP(B692,Classification!A:D,2,FALSE)</f>
        <v>A</v>
      </c>
      <c r="E692" s="4" t="str">
        <f>VLOOKUP(B692,Classification!A:D,3,FALSE)</f>
        <v>Protein</v>
      </c>
      <c r="F692" s="4" t="str">
        <f>VLOOKUP(B692,Classification!A:D,4,FALSE)</f>
        <v>Chemokine</v>
      </c>
      <c r="G692" s="2">
        <v>6</v>
      </c>
      <c r="H692" s="45" t="s">
        <v>28</v>
      </c>
      <c r="I692" s="2" t="s">
        <v>1223</v>
      </c>
      <c r="J692" s="5" t="str">
        <f>VLOOKUP(B692,Seqs!A:B,2,FALSE)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92" s="4" t="str">
        <f t="shared" si="66"/>
        <v>A</v>
      </c>
      <c r="L692" s="45">
        <f>VLOOKUP(B692,'NonXtal_SegEnds_Prot#'!A:AL,18,FALSE)</f>
        <v>141</v>
      </c>
      <c r="M692" s="45">
        <f>VLOOKUP(B692,'NonXtal_SegEnds_Prot#'!A:AL,19,FALSE)</f>
        <v>141</v>
      </c>
      <c r="N692" s="45">
        <f>VLOOKUP(B692,'NonXtal_SegEnds_Prot#'!A:AL,20,FALSE)</f>
        <v>148</v>
      </c>
      <c r="O692" s="4" t="str">
        <f t="shared" si="67"/>
        <v>R</v>
      </c>
      <c r="P692" s="4"/>
      <c r="Q692" s="47" t="str">
        <f t="shared" si="63"/>
        <v/>
      </c>
      <c r="R692" s="27" t="str">
        <f t="shared" si="64"/>
        <v>A</v>
      </c>
      <c r="S692" s="19" t="str">
        <f t="shared" si="65"/>
        <v>TNSQRPR</v>
      </c>
      <c r="Z692" s="4"/>
      <c r="AD692" s="1" t="s">
        <v>29</v>
      </c>
      <c r="AE692" s="1">
        <v>141</v>
      </c>
      <c r="AF692" s="1">
        <v>141</v>
      </c>
      <c r="AG692" s="1">
        <v>153</v>
      </c>
      <c r="AH692" s="1" t="s">
        <v>109</v>
      </c>
      <c r="AK692" s="4">
        <v>50</v>
      </c>
      <c r="AL692" s="4">
        <v>62</v>
      </c>
    </row>
    <row r="693" spans="1:38" x14ac:dyDescent="0.25">
      <c r="A693" s="1" t="str">
        <f t="shared" si="61"/>
        <v>CXCR4_human_3ODU_ICL2</v>
      </c>
      <c r="B693" s="45" t="s">
        <v>1237</v>
      </c>
      <c r="C693" s="45" t="s">
        <v>254</v>
      </c>
      <c r="D693" s="4" t="str">
        <f>VLOOKUP(B693,Classification!A:D,2,FALSE)</f>
        <v>A</v>
      </c>
      <c r="E693" s="4" t="str">
        <f>VLOOKUP(B693,Classification!A:D,3,FALSE)</f>
        <v>Protein</v>
      </c>
      <c r="F693" s="4" t="str">
        <f>VLOOKUP(B693,Classification!A:D,4,FALSE)</f>
        <v>Chemokine</v>
      </c>
      <c r="G693" s="2">
        <v>6</v>
      </c>
      <c r="H693" s="45" t="s">
        <v>28</v>
      </c>
      <c r="I693" s="2" t="s">
        <v>1223</v>
      </c>
      <c r="J693" s="5" t="str">
        <f>VLOOKUP(B693,Seqs!A:B,2,FALSE)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93" s="4" t="str">
        <f t="shared" si="66"/>
        <v>A</v>
      </c>
      <c r="L693" s="45">
        <f>VLOOKUP(B693,'NonXtal_SegEnds_Prot#'!A:AL,18,FALSE)</f>
        <v>141</v>
      </c>
      <c r="M693" s="45">
        <f>VLOOKUP(B693,'NonXtal_SegEnds_Prot#'!A:AL,19,FALSE)</f>
        <v>141</v>
      </c>
      <c r="N693" s="45">
        <f>VLOOKUP(B693,'NonXtal_SegEnds_Prot#'!A:AL,20,FALSE)</f>
        <v>148</v>
      </c>
      <c r="O693" s="4" t="str">
        <f t="shared" si="67"/>
        <v>R</v>
      </c>
      <c r="P693" s="4"/>
      <c r="Q693" s="47" t="str">
        <f t="shared" si="63"/>
        <v/>
      </c>
      <c r="R693" s="27" t="str">
        <f t="shared" si="64"/>
        <v>A</v>
      </c>
      <c r="S693" s="19" t="str">
        <f t="shared" si="65"/>
        <v>TNSQRPR</v>
      </c>
      <c r="Z693" s="4"/>
      <c r="AD693" s="1" t="s">
        <v>29</v>
      </c>
      <c r="AE693" s="1">
        <v>141</v>
      </c>
      <c r="AF693" s="1">
        <v>141</v>
      </c>
      <c r="AG693" s="1">
        <v>153</v>
      </c>
      <c r="AH693" s="1" t="s">
        <v>109</v>
      </c>
      <c r="AK693" s="4">
        <v>50</v>
      </c>
      <c r="AL693" s="4">
        <v>62</v>
      </c>
    </row>
    <row r="694" spans="1:38" x14ac:dyDescent="0.25">
      <c r="A694" s="1" t="str">
        <f t="shared" si="61"/>
        <v>DRD3_human__wt_ICL2</v>
      </c>
      <c r="B694" s="45" t="s">
        <v>222</v>
      </c>
      <c r="C694" s="45" t="s">
        <v>294</v>
      </c>
      <c r="D694" s="4" t="str">
        <f>VLOOKUP(B694,Classification!A:D,2,FALSE)</f>
        <v>A</v>
      </c>
      <c r="E694" s="4" t="str">
        <f>VLOOKUP(B694,Classification!A:D,3,FALSE)</f>
        <v>Aminergic</v>
      </c>
      <c r="F694" s="4" t="str">
        <f>VLOOKUP(B694,Classification!A:D,4,FALSE)</f>
        <v>Dopamine</v>
      </c>
      <c r="G694" s="2">
        <v>6</v>
      </c>
      <c r="H694" s="45" t="s">
        <v>28</v>
      </c>
      <c r="I694" s="2" t="s">
        <v>1223</v>
      </c>
      <c r="J694" s="5" t="str">
        <f>VLOOKUP(B694,Seqs!A:B,2,FALSE)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94" s="4" t="str">
        <f t="shared" si="66"/>
        <v>P</v>
      </c>
      <c r="L694" s="45">
        <f>VLOOKUP(B694,'NonXtal_SegEnds_Prot#'!A:AL,18,FALSE)</f>
        <v>135</v>
      </c>
      <c r="M694" s="45">
        <f>VLOOKUP(B694,'NonXtal_SegEnds_Prot#'!A:AL,19,FALSE)</f>
        <v>135</v>
      </c>
      <c r="N694" s="45">
        <f>VLOOKUP(B694,'NonXtal_SegEnds_Prot#'!A:AL,20,FALSE)</f>
        <v>143</v>
      </c>
      <c r="O694" s="4" t="str">
        <f t="shared" si="67"/>
        <v>G</v>
      </c>
      <c r="P694" s="4"/>
      <c r="Q694" s="47" t="str">
        <f t="shared" si="63"/>
        <v/>
      </c>
      <c r="R694" s="27" t="str">
        <f t="shared" si="64"/>
        <v>P</v>
      </c>
      <c r="S694" s="19" t="str">
        <f t="shared" si="65"/>
        <v>VHYQHGTG</v>
      </c>
      <c r="Z694" s="4"/>
      <c r="AD694" s="1" t="s">
        <v>29</v>
      </c>
      <c r="AE694" s="1">
        <v>135</v>
      </c>
      <c r="AF694" s="1">
        <v>135</v>
      </c>
      <c r="AG694" s="1">
        <v>143</v>
      </c>
      <c r="AH694" s="1" t="s">
        <v>116</v>
      </c>
      <c r="AK694" s="4">
        <v>50</v>
      </c>
      <c r="AL694" s="4">
        <v>58</v>
      </c>
    </row>
    <row r="695" spans="1:38" x14ac:dyDescent="0.25">
      <c r="A695" s="1" t="str">
        <f t="shared" si="61"/>
        <v>DRD3_human_3PBL_ICL2</v>
      </c>
      <c r="B695" s="45" t="s">
        <v>222</v>
      </c>
      <c r="C695" s="45" t="s">
        <v>263</v>
      </c>
      <c r="D695" s="4" t="str">
        <f>VLOOKUP(B695,Classification!A:D,2,FALSE)</f>
        <v>A</v>
      </c>
      <c r="E695" s="4" t="str">
        <f>VLOOKUP(B695,Classification!A:D,3,FALSE)</f>
        <v>Aminergic</v>
      </c>
      <c r="F695" s="4" t="str">
        <f>VLOOKUP(B695,Classification!A:D,4,FALSE)</f>
        <v>Dopamine</v>
      </c>
      <c r="G695" s="2">
        <v>6</v>
      </c>
      <c r="H695" s="45" t="s">
        <v>28</v>
      </c>
      <c r="I695" s="2" t="s">
        <v>1223</v>
      </c>
      <c r="J695" s="5" t="str">
        <f>VLOOKUP(B695,Seqs!A:B,2,FALSE)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95" s="4" t="str">
        <f t="shared" si="66"/>
        <v>P</v>
      </c>
      <c r="L695" s="45">
        <f>VLOOKUP(B695,'NonXtal_SegEnds_Prot#'!A:AL,18,FALSE)</f>
        <v>135</v>
      </c>
      <c r="M695" s="45">
        <f>VLOOKUP(B695,'NonXtal_SegEnds_Prot#'!A:AL,19,FALSE)</f>
        <v>135</v>
      </c>
      <c r="N695" s="45">
        <f>VLOOKUP(B695,'NonXtal_SegEnds_Prot#'!A:AL,20,FALSE)</f>
        <v>143</v>
      </c>
      <c r="O695" s="4" t="str">
        <f t="shared" si="67"/>
        <v>G</v>
      </c>
      <c r="P695" s="4"/>
      <c r="Q695" s="47" t="str">
        <f t="shared" si="63"/>
        <v/>
      </c>
      <c r="R695" s="27" t="str">
        <f t="shared" si="64"/>
        <v>P</v>
      </c>
      <c r="S695" s="19" t="str">
        <f t="shared" si="65"/>
        <v>VHYQHGTG</v>
      </c>
      <c r="Z695" s="4"/>
      <c r="AD695" s="1" t="s">
        <v>29</v>
      </c>
      <c r="AE695" s="1">
        <v>135</v>
      </c>
      <c r="AF695" s="1">
        <v>135</v>
      </c>
      <c r="AG695" s="1">
        <v>143</v>
      </c>
      <c r="AH695" s="1" t="s">
        <v>116</v>
      </c>
      <c r="AK695" s="4">
        <v>50</v>
      </c>
      <c r="AL695" s="4">
        <v>58</v>
      </c>
    </row>
    <row r="696" spans="1:38" x14ac:dyDescent="0.25">
      <c r="A696" s="1" t="str">
        <f t="shared" si="61"/>
        <v>FFAR1_human__wt_ICL2</v>
      </c>
      <c r="B696" s="45" t="s">
        <v>1368</v>
      </c>
      <c r="C696" s="45" t="s">
        <v>294</v>
      </c>
      <c r="D696" s="4" t="str">
        <f>VLOOKUP(B696,Classification!A:D,2,FALSE)</f>
        <v>A</v>
      </c>
      <c r="E696" s="4" t="str">
        <f>VLOOKUP(B696,Classification!A:D,3,FALSE)</f>
        <v>Lipid</v>
      </c>
      <c r="F696" s="4" t="str">
        <f>VLOOKUP(B696,Classification!A:D,4,FALSE)</f>
        <v>Freefattyacid</v>
      </c>
      <c r="G696" s="2">
        <v>6</v>
      </c>
      <c r="H696" s="45" t="s">
        <v>28</v>
      </c>
      <c r="I696" s="2" t="s">
        <v>1223</v>
      </c>
      <c r="J696" s="5" t="str">
        <f>VLOOKUP(B696,Seqs!A:B,2,FALSE)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96" s="4" t="str">
        <f t="shared" si="66"/>
        <v>P</v>
      </c>
      <c r="L696" s="45">
        <f>VLOOKUP(B696,'NonXtal_SegEnds_Prot#'!A:AL,18,FALSE)</f>
        <v>111</v>
      </c>
      <c r="M696" s="45">
        <f>VLOOKUP(B696,'NonXtal_SegEnds_Prot#'!A:AL,19,FALSE)</f>
        <v>111</v>
      </c>
      <c r="N696" s="45">
        <f>VLOOKUP(B696,'NonXtal_SegEnds_Prot#'!A:AL,20,FALSE)</f>
        <v>118</v>
      </c>
      <c r="O696" s="4" t="str">
        <f t="shared" si="67"/>
        <v>R</v>
      </c>
      <c r="P696" s="4"/>
      <c r="Q696" s="47" t="str">
        <f t="shared" si="63"/>
        <v/>
      </c>
      <c r="R696" s="27" t="str">
        <f t="shared" si="64"/>
        <v>P</v>
      </c>
      <c r="S696" s="19" t="str">
        <f t="shared" si="65"/>
        <v>LGYQAFR</v>
      </c>
      <c r="Z696" s="4"/>
      <c r="AD696" s="1" t="s">
        <v>29</v>
      </c>
      <c r="AE696" s="1">
        <v>111</v>
      </c>
      <c r="AF696" s="1">
        <v>111</v>
      </c>
      <c r="AG696" s="1">
        <v>118</v>
      </c>
      <c r="AH696" s="1" t="s">
        <v>30</v>
      </c>
      <c r="AK696" s="4">
        <v>50</v>
      </c>
      <c r="AL696" s="4">
        <v>57</v>
      </c>
    </row>
    <row r="697" spans="1:38" x14ac:dyDescent="0.25">
      <c r="A697" s="1" t="str">
        <f t="shared" si="61"/>
        <v>FFAR1_human_4PHU_ICL2</v>
      </c>
      <c r="B697" s="45" t="s">
        <v>1368</v>
      </c>
      <c r="C697" s="45" t="s">
        <v>241</v>
      </c>
      <c r="D697" s="4" t="str">
        <f>VLOOKUP(B697,Classification!A:D,2,FALSE)</f>
        <v>A</v>
      </c>
      <c r="E697" s="4" t="str">
        <f>VLOOKUP(B697,Classification!A:D,3,FALSE)</f>
        <v>Lipid</v>
      </c>
      <c r="F697" s="4" t="str">
        <f>VLOOKUP(B697,Classification!A:D,4,FALSE)</f>
        <v>Freefattyacid</v>
      </c>
      <c r="G697" s="2">
        <v>6</v>
      </c>
      <c r="H697" s="45" t="s">
        <v>28</v>
      </c>
      <c r="I697" s="2" t="s">
        <v>1223</v>
      </c>
      <c r="J697" s="5" t="str">
        <f>VLOOKUP(B697,Seqs!A:B,2,FALSE)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97" s="4" t="str">
        <f t="shared" si="66"/>
        <v>P</v>
      </c>
      <c r="L697" s="45">
        <f>VLOOKUP(B697,'NonXtal_SegEnds_Prot#'!A:AL,18,FALSE)</f>
        <v>111</v>
      </c>
      <c r="M697" s="45">
        <f>VLOOKUP(B697,'NonXtal_SegEnds_Prot#'!A:AL,19,FALSE)</f>
        <v>111</v>
      </c>
      <c r="N697" s="45">
        <f>VLOOKUP(B697,'NonXtal_SegEnds_Prot#'!A:AL,20,FALSE)</f>
        <v>118</v>
      </c>
      <c r="O697" s="4" t="str">
        <f t="shared" si="67"/>
        <v>R</v>
      </c>
      <c r="P697" s="4" t="s">
        <v>58</v>
      </c>
      <c r="Q697" s="47" t="str">
        <f t="shared" si="63"/>
        <v/>
      </c>
      <c r="R697" s="28" t="str">
        <f t="shared" si="64"/>
        <v>P</v>
      </c>
      <c r="S697" s="20" t="str">
        <f t="shared" si="65"/>
        <v>LGYQAFR</v>
      </c>
      <c r="Z697" s="4"/>
      <c r="AD697" s="1" t="s">
        <v>29</v>
      </c>
      <c r="AE697" s="1">
        <v>111</v>
      </c>
      <c r="AF697" s="1">
        <v>111</v>
      </c>
      <c r="AG697" s="1">
        <v>118</v>
      </c>
      <c r="AH697" s="1" t="s">
        <v>30</v>
      </c>
      <c r="AK697" s="4">
        <v>50</v>
      </c>
      <c r="AL697" s="4">
        <v>57</v>
      </c>
    </row>
    <row r="698" spans="1:38" x14ac:dyDescent="0.25">
      <c r="A698" s="1" t="str">
        <f t="shared" si="61"/>
        <v>glr_human__wt_ICL2</v>
      </c>
      <c r="B698" s="45" t="s">
        <v>206</v>
      </c>
      <c r="C698" s="45" t="s">
        <v>294</v>
      </c>
      <c r="D698" s="4" t="str">
        <f>VLOOKUP(B698,Classification!A:D,2,FALSE)</f>
        <v>B1</v>
      </c>
      <c r="E698" s="4" t="str">
        <f>VLOOKUP(B698,Classification!A:D,3,FALSE)</f>
        <v>Peptide</v>
      </c>
      <c r="F698" s="4" t="str">
        <f>VLOOKUP(B698,Classification!A:D,4,FALSE)</f>
        <v>Glucagonreceptorfamily</v>
      </c>
      <c r="G698" s="2">
        <v>6</v>
      </c>
      <c r="H698" s="45" t="s">
        <v>28</v>
      </c>
      <c r="I698" s="2" t="s">
        <v>36</v>
      </c>
      <c r="J698" s="5" t="str">
        <f>VLOOKUP(B698,Seqs!A:B,2,FALSE)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98" s="4" t="e">
        <f t="shared" si="66"/>
        <v>#VALUE!</v>
      </c>
      <c r="L698" s="45" t="str">
        <f>VLOOKUP(B698,'NonXtal_SegEnds_Prot#'!A:AL,18,FALSE)</f>
        <v>-</v>
      </c>
      <c r="M698" s="45" t="str">
        <f>VLOOKUP(B698,'NonXtal_SegEnds_Prot#'!A:AL,19,FALSE)</f>
        <v>-</v>
      </c>
      <c r="N698" s="45" t="str">
        <f>VLOOKUP(B698,'NonXtal_SegEnds_Prot#'!A:AL,20,FALSE)</f>
        <v>-</v>
      </c>
      <c r="O698" s="4" t="e">
        <f t="shared" si="67"/>
        <v>#VALUE!</v>
      </c>
      <c r="P698" s="4"/>
      <c r="Q698" s="47" t="e">
        <f t="shared" si="63"/>
        <v>#VALUE!</v>
      </c>
      <c r="R698" s="27" t="e">
        <f t="shared" si="64"/>
        <v>#VALUE!</v>
      </c>
      <c r="S698" s="19" t="e">
        <f t="shared" si="65"/>
        <v>#VALUE!</v>
      </c>
      <c r="Z698" s="4"/>
      <c r="AD698" s="1" t="s">
        <v>129</v>
      </c>
      <c r="AE698" s="1" t="s">
        <v>129</v>
      </c>
      <c r="AF698" s="1" t="s">
        <v>129</v>
      </c>
      <c r="AG698" s="1" t="s">
        <v>129</v>
      </c>
      <c r="AH698" s="1" t="s">
        <v>129</v>
      </c>
      <c r="AK698" s="4" t="s">
        <v>129</v>
      </c>
      <c r="AL698" s="4" t="s">
        <v>129</v>
      </c>
    </row>
    <row r="699" spans="1:38" x14ac:dyDescent="0.25">
      <c r="A699" s="1" t="str">
        <f t="shared" si="61"/>
        <v>glr_human_4L6R_ICL2</v>
      </c>
      <c r="B699" s="45" t="s">
        <v>206</v>
      </c>
      <c r="C699" s="45" t="s">
        <v>240</v>
      </c>
      <c r="D699" s="4" t="str">
        <f>VLOOKUP(B699,Classification!A:D,2,FALSE)</f>
        <v>B1</v>
      </c>
      <c r="E699" s="4" t="str">
        <f>VLOOKUP(B699,Classification!A:D,3,FALSE)</f>
        <v>Peptide</v>
      </c>
      <c r="F699" s="4" t="str">
        <f>VLOOKUP(B699,Classification!A:D,4,FALSE)</f>
        <v>Glucagonreceptorfamily</v>
      </c>
      <c r="G699" s="2">
        <v>6</v>
      </c>
      <c r="H699" s="45" t="s">
        <v>28</v>
      </c>
      <c r="I699" s="2" t="s">
        <v>36</v>
      </c>
      <c r="J699" s="5" t="str">
        <f>VLOOKUP(B699,Seqs!A:B,2,FALSE)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99" s="4" t="e">
        <f t="shared" si="66"/>
        <v>#VALUE!</v>
      </c>
      <c r="L699" s="45" t="str">
        <f>VLOOKUP(B699,'NonXtal_SegEnds_Prot#'!A:AL,18,FALSE)</f>
        <v>-</v>
      </c>
      <c r="M699" s="45" t="str">
        <f>VLOOKUP(B699,'NonXtal_SegEnds_Prot#'!A:AL,19,FALSE)</f>
        <v>-</v>
      </c>
      <c r="N699" s="45" t="str">
        <f>VLOOKUP(B699,'NonXtal_SegEnds_Prot#'!A:AL,20,FALSE)</f>
        <v>-</v>
      </c>
      <c r="O699" s="4" t="e">
        <f t="shared" si="67"/>
        <v>#VALUE!</v>
      </c>
      <c r="P699" s="4"/>
      <c r="Q699" s="47" t="e">
        <f t="shared" si="63"/>
        <v>#VALUE!</v>
      </c>
      <c r="R699" s="27" t="e">
        <f t="shared" si="64"/>
        <v>#VALUE!</v>
      </c>
      <c r="S699" s="19" t="e">
        <f t="shared" si="65"/>
        <v>#VALUE!</v>
      </c>
      <c r="Z699" s="4"/>
      <c r="AD699" s="1" t="s">
        <v>129</v>
      </c>
      <c r="AE699" s="1" t="s">
        <v>129</v>
      </c>
      <c r="AF699" s="1" t="s">
        <v>129</v>
      </c>
      <c r="AG699" s="1" t="s">
        <v>129</v>
      </c>
      <c r="AH699" s="1" t="s">
        <v>129</v>
      </c>
      <c r="AK699" s="4" t="s">
        <v>129</v>
      </c>
      <c r="AL699" s="4" t="s">
        <v>129</v>
      </c>
    </row>
    <row r="700" spans="1:38" x14ac:dyDescent="0.25">
      <c r="A700" s="1" t="str">
        <f t="shared" si="61"/>
        <v>glr_human_5EE7_ICL2</v>
      </c>
      <c r="B700" s="45" t="s">
        <v>206</v>
      </c>
      <c r="C700" s="45" t="s">
        <v>237</v>
      </c>
      <c r="D700" s="4" t="str">
        <f>VLOOKUP(B700,Classification!A:D,2,FALSE)</f>
        <v>B1</v>
      </c>
      <c r="E700" s="4" t="str">
        <f>VLOOKUP(B700,Classification!A:D,3,FALSE)</f>
        <v>Peptide</v>
      </c>
      <c r="F700" s="4" t="str">
        <f>VLOOKUP(B700,Classification!A:D,4,FALSE)</f>
        <v>Glucagonreceptorfamily</v>
      </c>
      <c r="G700" s="2">
        <v>6</v>
      </c>
      <c r="H700" s="45" t="s">
        <v>28</v>
      </c>
      <c r="I700" s="2" t="s">
        <v>36</v>
      </c>
      <c r="J700" s="5" t="str">
        <f>VLOOKUP(B700,Seqs!A:B,2,FALSE)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00" s="4" t="e">
        <f t="shared" si="66"/>
        <v>#VALUE!</v>
      </c>
      <c r="L700" s="45" t="str">
        <f>VLOOKUP(B700,'NonXtal_SegEnds_Prot#'!A:AL,18,FALSE)</f>
        <v>-</v>
      </c>
      <c r="M700" s="45" t="str">
        <f>VLOOKUP(B700,'NonXtal_SegEnds_Prot#'!A:AL,19,FALSE)</f>
        <v>-</v>
      </c>
      <c r="N700" s="45" t="str">
        <f>VLOOKUP(B700,'NonXtal_SegEnds_Prot#'!A:AL,20,FALSE)</f>
        <v>-</v>
      </c>
      <c r="O700" s="4" t="e">
        <f t="shared" si="67"/>
        <v>#VALUE!</v>
      </c>
      <c r="P700" s="4"/>
      <c r="Q700" s="47" t="e">
        <f t="shared" si="63"/>
        <v>#VALUE!</v>
      </c>
      <c r="R700" s="27" t="e">
        <f t="shared" si="64"/>
        <v>#VALUE!</v>
      </c>
      <c r="S700" s="19" t="e">
        <f t="shared" si="65"/>
        <v>#VALUE!</v>
      </c>
      <c r="Z700" s="4"/>
      <c r="AD700" s="1" t="s">
        <v>129</v>
      </c>
      <c r="AE700" s="1" t="s">
        <v>129</v>
      </c>
      <c r="AF700" s="1" t="s">
        <v>129</v>
      </c>
      <c r="AG700" s="1" t="s">
        <v>129</v>
      </c>
      <c r="AH700" s="1" t="s">
        <v>129</v>
      </c>
      <c r="AK700" s="4" t="s">
        <v>129</v>
      </c>
      <c r="AL700" s="4" t="s">
        <v>129</v>
      </c>
    </row>
    <row r="701" spans="1:38" x14ac:dyDescent="0.25">
      <c r="A701" s="1" t="str">
        <f t="shared" si="61"/>
        <v>grm1_human__wt_ICL2</v>
      </c>
      <c r="B701" s="45" t="s">
        <v>223</v>
      </c>
      <c r="C701" s="45" t="s">
        <v>294</v>
      </c>
      <c r="D701" s="4" t="str">
        <f>VLOOKUP(B701,Classification!A:D,2,FALSE)</f>
        <v>C</v>
      </c>
      <c r="E701" s="4" t="str">
        <f>VLOOKUP(B701,Classification!A:D,3,FALSE)</f>
        <v>Aminoacid</v>
      </c>
      <c r="F701" s="4" t="str">
        <f>VLOOKUP(B701,Classification!A:D,4,FALSE)</f>
        <v>Metabotropicglutamate</v>
      </c>
      <c r="G701" s="2">
        <v>6</v>
      </c>
      <c r="H701" s="45" t="s">
        <v>28</v>
      </c>
      <c r="I701" s="2" t="s">
        <v>189</v>
      </c>
      <c r="J701" s="5" t="str">
        <f>VLOOKUP(B701,Seqs!A:B,2,FALSE)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01" s="4" t="e">
        <f t="shared" si="66"/>
        <v>#VALUE!</v>
      </c>
      <c r="L701" s="45" t="str">
        <f>VLOOKUP(B701,'NonXtal_SegEnds_Prot#'!A:AL,18,FALSE)</f>
        <v>-</v>
      </c>
      <c r="M701" s="45" t="str">
        <f>VLOOKUP(B701,'NonXtal_SegEnds_Prot#'!A:AL,19,FALSE)</f>
        <v>-</v>
      </c>
      <c r="N701" s="45" t="str">
        <f>VLOOKUP(B701,'NonXtal_SegEnds_Prot#'!A:AL,20,FALSE)</f>
        <v>-</v>
      </c>
      <c r="O701" s="4" t="e">
        <f t="shared" si="67"/>
        <v>#VALUE!</v>
      </c>
      <c r="P701" s="4"/>
      <c r="Q701" s="47" t="e">
        <f t="shared" si="63"/>
        <v>#VALUE!</v>
      </c>
      <c r="R701" s="28" t="e">
        <f t="shared" si="64"/>
        <v>#VALUE!</v>
      </c>
      <c r="S701" s="20" t="e">
        <f t="shared" si="65"/>
        <v>#VALUE!</v>
      </c>
      <c r="Z701" s="4"/>
      <c r="AD701" s="1" t="s">
        <v>129</v>
      </c>
      <c r="AE701" s="1" t="s">
        <v>129</v>
      </c>
      <c r="AF701" s="1" t="s">
        <v>129</v>
      </c>
      <c r="AG701" s="1" t="s">
        <v>129</v>
      </c>
      <c r="AH701" s="1" t="s">
        <v>129</v>
      </c>
      <c r="AK701" s="4" t="s">
        <v>129</v>
      </c>
      <c r="AL701" s="4" t="s">
        <v>129</v>
      </c>
    </row>
    <row r="702" spans="1:38" x14ac:dyDescent="0.25">
      <c r="A702" s="1" t="str">
        <f t="shared" si="61"/>
        <v>grm1_human_4OR2_ICL2</v>
      </c>
      <c r="B702" s="45" t="s">
        <v>223</v>
      </c>
      <c r="C702" s="45" t="s">
        <v>289</v>
      </c>
      <c r="D702" s="4" t="str">
        <f>VLOOKUP(B702,Classification!A:D,2,FALSE)</f>
        <v>C</v>
      </c>
      <c r="E702" s="4" t="str">
        <f>VLOOKUP(B702,Classification!A:D,3,FALSE)</f>
        <v>Aminoacid</v>
      </c>
      <c r="F702" s="4" t="str">
        <f>VLOOKUP(B702,Classification!A:D,4,FALSE)</f>
        <v>Metabotropicglutamate</v>
      </c>
      <c r="G702" s="2">
        <v>6</v>
      </c>
      <c r="H702" s="45" t="s">
        <v>28</v>
      </c>
      <c r="I702" s="2" t="s">
        <v>189</v>
      </c>
      <c r="J702" s="5" t="str">
        <f>VLOOKUP(B702,Seqs!A:B,2,FALSE)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02" s="4" t="e">
        <f t="shared" si="66"/>
        <v>#VALUE!</v>
      </c>
      <c r="L702" s="45" t="str">
        <f>VLOOKUP(B702,'NonXtal_SegEnds_Prot#'!A:AL,18,FALSE)</f>
        <v>-</v>
      </c>
      <c r="M702" s="45" t="str">
        <f>VLOOKUP(B702,'NonXtal_SegEnds_Prot#'!A:AL,19,FALSE)</f>
        <v>-</v>
      </c>
      <c r="N702" s="45" t="str">
        <f>VLOOKUP(B702,'NonXtal_SegEnds_Prot#'!A:AL,20,FALSE)</f>
        <v>-</v>
      </c>
      <c r="O702" s="4" t="e">
        <f t="shared" si="67"/>
        <v>#VALUE!</v>
      </c>
      <c r="P702" s="4"/>
      <c r="Q702" s="47" t="e">
        <f t="shared" si="63"/>
        <v>#VALUE!</v>
      </c>
      <c r="R702" s="28" t="e">
        <f t="shared" si="64"/>
        <v>#VALUE!</v>
      </c>
      <c r="S702" s="20" t="e">
        <f t="shared" si="65"/>
        <v>#VALUE!</v>
      </c>
      <c r="Z702" s="4"/>
      <c r="AD702" s="1" t="s">
        <v>129</v>
      </c>
      <c r="AE702" s="1" t="s">
        <v>129</v>
      </c>
      <c r="AF702" s="1" t="s">
        <v>129</v>
      </c>
      <c r="AG702" s="1" t="s">
        <v>129</v>
      </c>
      <c r="AH702" s="1" t="s">
        <v>129</v>
      </c>
      <c r="AK702" s="4" t="s">
        <v>129</v>
      </c>
      <c r="AL702" s="4" t="s">
        <v>129</v>
      </c>
    </row>
    <row r="703" spans="1:38" x14ac:dyDescent="0.25">
      <c r="A703" s="1" t="str">
        <f t="shared" si="61"/>
        <v>grm5_human__wt_ICL2</v>
      </c>
      <c r="B703" s="45" t="s">
        <v>224</v>
      </c>
      <c r="C703" s="45" t="s">
        <v>294</v>
      </c>
      <c r="D703" s="4" t="str">
        <f>VLOOKUP(B703,Classification!A:D,2,FALSE)</f>
        <v>C</v>
      </c>
      <c r="E703" s="4" t="str">
        <f>VLOOKUP(B703,Classification!A:D,3,FALSE)</f>
        <v>Aminoacid</v>
      </c>
      <c r="F703" s="4" t="str">
        <f>VLOOKUP(B703,Classification!A:D,4,FALSE)</f>
        <v>Metabotropicglutamate</v>
      </c>
      <c r="G703" s="2">
        <v>6</v>
      </c>
      <c r="H703" s="45" t="s">
        <v>28</v>
      </c>
      <c r="I703" s="2" t="s">
        <v>189</v>
      </c>
      <c r="J703" s="5" t="str">
        <f>VLOOKUP(B703,Seqs!A:B,2,FALSE)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3" s="4" t="e">
        <f t="shared" si="66"/>
        <v>#VALUE!</v>
      </c>
      <c r="L703" s="45" t="str">
        <f>VLOOKUP(B703,'NonXtal_SegEnds_Prot#'!A:AL,18,FALSE)</f>
        <v>-</v>
      </c>
      <c r="M703" s="45" t="str">
        <f>VLOOKUP(B703,'NonXtal_SegEnds_Prot#'!A:AL,19,FALSE)</f>
        <v>-</v>
      </c>
      <c r="N703" s="45" t="str">
        <f>VLOOKUP(B703,'NonXtal_SegEnds_Prot#'!A:AL,20,FALSE)</f>
        <v>-</v>
      </c>
      <c r="O703" s="4" t="e">
        <f t="shared" si="67"/>
        <v>#VALUE!</v>
      </c>
      <c r="P703" s="4"/>
      <c r="Q703" s="47" t="e">
        <f t="shared" si="63"/>
        <v>#VALUE!</v>
      </c>
      <c r="R703" s="27" t="e">
        <f t="shared" si="64"/>
        <v>#VALUE!</v>
      </c>
      <c r="S703" s="19" t="e">
        <f t="shared" si="65"/>
        <v>#VALUE!</v>
      </c>
      <c r="Z703" s="4"/>
      <c r="AD703" s="1" t="s">
        <v>129</v>
      </c>
      <c r="AE703" s="1" t="s">
        <v>129</v>
      </c>
      <c r="AF703" s="1" t="s">
        <v>129</v>
      </c>
      <c r="AG703" s="1" t="s">
        <v>129</v>
      </c>
      <c r="AH703" s="1" t="s">
        <v>129</v>
      </c>
      <c r="AK703" s="4" t="s">
        <v>129</v>
      </c>
      <c r="AL703" s="4" t="s">
        <v>129</v>
      </c>
    </row>
    <row r="704" spans="1:38" x14ac:dyDescent="0.25">
      <c r="A704" s="1" t="str">
        <f t="shared" si="61"/>
        <v>grm5_human_4OO9_ICL2</v>
      </c>
      <c r="B704" s="45" t="s">
        <v>224</v>
      </c>
      <c r="C704" s="45" t="s">
        <v>248</v>
      </c>
      <c r="D704" s="4" t="str">
        <f>VLOOKUP(B704,Classification!A:D,2,FALSE)</f>
        <v>C</v>
      </c>
      <c r="E704" s="4" t="str">
        <f>VLOOKUP(B704,Classification!A:D,3,FALSE)</f>
        <v>Aminoacid</v>
      </c>
      <c r="F704" s="4" t="str">
        <f>VLOOKUP(B704,Classification!A:D,4,FALSE)</f>
        <v>Metabotropicglutamate</v>
      </c>
      <c r="G704" s="2">
        <v>6</v>
      </c>
      <c r="H704" s="45" t="s">
        <v>28</v>
      </c>
      <c r="I704" s="2" t="s">
        <v>189</v>
      </c>
      <c r="J704" s="5" t="str">
        <f>VLOOKUP(B704,Seqs!A:B,2,FALSE)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4" s="4" t="e">
        <f t="shared" si="66"/>
        <v>#VALUE!</v>
      </c>
      <c r="L704" s="45" t="str">
        <f>VLOOKUP(B704,'NonXtal_SegEnds_Prot#'!A:AL,18,FALSE)</f>
        <v>-</v>
      </c>
      <c r="M704" s="45" t="str">
        <f>VLOOKUP(B704,'NonXtal_SegEnds_Prot#'!A:AL,19,FALSE)</f>
        <v>-</v>
      </c>
      <c r="N704" s="45" t="str">
        <f>VLOOKUP(B704,'NonXtal_SegEnds_Prot#'!A:AL,20,FALSE)</f>
        <v>-</v>
      </c>
      <c r="O704" s="4" t="e">
        <f t="shared" si="67"/>
        <v>#VALUE!</v>
      </c>
      <c r="P704" s="4"/>
      <c r="Q704" s="47" t="e">
        <f t="shared" si="63"/>
        <v>#VALUE!</v>
      </c>
      <c r="R704" s="27" t="e">
        <f t="shared" si="64"/>
        <v>#VALUE!</v>
      </c>
      <c r="S704" s="19" t="e">
        <f t="shared" si="65"/>
        <v>#VALUE!</v>
      </c>
      <c r="Z704" s="4"/>
      <c r="AD704" s="1" t="s">
        <v>129</v>
      </c>
      <c r="AE704" s="1" t="s">
        <v>129</v>
      </c>
      <c r="AF704" s="1" t="s">
        <v>129</v>
      </c>
      <c r="AG704" s="1" t="s">
        <v>129</v>
      </c>
      <c r="AH704" s="1" t="s">
        <v>129</v>
      </c>
      <c r="AK704" s="4" t="s">
        <v>129</v>
      </c>
      <c r="AL704" s="4" t="s">
        <v>129</v>
      </c>
    </row>
    <row r="705" spans="1:38" x14ac:dyDescent="0.25">
      <c r="A705" s="1" t="str">
        <f t="shared" si="61"/>
        <v>grm5_human_5CGC_ICL2</v>
      </c>
      <c r="B705" s="45" t="s">
        <v>224</v>
      </c>
      <c r="C705" s="45" t="s">
        <v>249</v>
      </c>
      <c r="D705" s="4" t="str">
        <f>VLOOKUP(B705,Classification!A:D,2,FALSE)</f>
        <v>C</v>
      </c>
      <c r="E705" s="4" t="str">
        <f>VLOOKUP(B705,Classification!A:D,3,FALSE)</f>
        <v>Aminoacid</v>
      </c>
      <c r="F705" s="4" t="str">
        <f>VLOOKUP(B705,Classification!A:D,4,FALSE)</f>
        <v>Metabotropicglutamate</v>
      </c>
      <c r="G705" s="2">
        <v>6</v>
      </c>
      <c r="H705" s="45" t="s">
        <v>28</v>
      </c>
      <c r="I705" s="2" t="s">
        <v>189</v>
      </c>
      <c r="J705" s="5" t="str">
        <f>VLOOKUP(B705,Seqs!A:B,2,FALSE)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5" s="4" t="e">
        <f t="shared" si="66"/>
        <v>#VALUE!</v>
      </c>
      <c r="L705" s="45" t="str">
        <f>VLOOKUP(B705,'NonXtal_SegEnds_Prot#'!A:AL,18,FALSE)</f>
        <v>-</v>
      </c>
      <c r="M705" s="45" t="str">
        <f>VLOOKUP(B705,'NonXtal_SegEnds_Prot#'!A:AL,19,FALSE)</f>
        <v>-</v>
      </c>
      <c r="N705" s="45" t="str">
        <f>VLOOKUP(B705,'NonXtal_SegEnds_Prot#'!A:AL,20,FALSE)</f>
        <v>-</v>
      </c>
      <c r="O705" s="4" t="e">
        <f t="shared" si="67"/>
        <v>#VALUE!</v>
      </c>
      <c r="P705" s="4"/>
      <c r="Q705" s="47" t="e">
        <f t="shared" si="63"/>
        <v>#VALUE!</v>
      </c>
      <c r="R705" s="27" t="e">
        <f t="shared" si="64"/>
        <v>#VALUE!</v>
      </c>
      <c r="S705" s="19" t="e">
        <f t="shared" si="65"/>
        <v>#VALUE!</v>
      </c>
      <c r="Z705" s="4"/>
      <c r="AD705" s="1" t="s">
        <v>129</v>
      </c>
      <c r="AE705" s="1" t="s">
        <v>129</v>
      </c>
      <c r="AF705" s="1" t="s">
        <v>129</v>
      </c>
      <c r="AG705" s="1" t="s">
        <v>129</v>
      </c>
      <c r="AH705" s="1" t="s">
        <v>129</v>
      </c>
      <c r="AK705" s="4" t="s">
        <v>129</v>
      </c>
      <c r="AL705" s="4" t="s">
        <v>129</v>
      </c>
    </row>
    <row r="706" spans="1:38" x14ac:dyDescent="0.25">
      <c r="A706" s="1" t="str">
        <f t="shared" ref="A706:A769" si="68">CONCATENATE(B706,"_",C706,"_",H706)</f>
        <v>grm5_human_5CGD_ICL2</v>
      </c>
      <c r="B706" s="45" t="s">
        <v>224</v>
      </c>
      <c r="C706" s="45" t="s">
        <v>250</v>
      </c>
      <c r="D706" s="4" t="str">
        <f>VLOOKUP(B706,Classification!A:D,2,FALSE)</f>
        <v>C</v>
      </c>
      <c r="E706" s="4" t="str">
        <f>VLOOKUP(B706,Classification!A:D,3,FALSE)</f>
        <v>Aminoacid</v>
      </c>
      <c r="F706" s="4" t="str">
        <f>VLOOKUP(B706,Classification!A:D,4,FALSE)</f>
        <v>Metabotropicglutamate</v>
      </c>
      <c r="G706" s="2">
        <v>6</v>
      </c>
      <c r="H706" s="45" t="s">
        <v>28</v>
      </c>
      <c r="I706" s="2" t="s">
        <v>189</v>
      </c>
      <c r="J706" s="5" t="str">
        <f>VLOOKUP(B706,Seqs!A:B,2,FALSE)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6" s="4" t="e">
        <f t="shared" si="66"/>
        <v>#VALUE!</v>
      </c>
      <c r="L706" s="45" t="str">
        <f>VLOOKUP(B706,'NonXtal_SegEnds_Prot#'!A:AL,18,FALSE)</f>
        <v>-</v>
      </c>
      <c r="M706" s="45" t="str">
        <f>VLOOKUP(B706,'NonXtal_SegEnds_Prot#'!A:AL,19,FALSE)</f>
        <v>-</v>
      </c>
      <c r="N706" s="45" t="str">
        <f>VLOOKUP(B706,'NonXtal_SegEnds_Prot#'!A:AL,20,FALSE)</f>
        <v>-</v>
      </c>
      <c r="O706" s="4" t="e">
        <f t="shared" si="67"/>
        <v>#VALUE!</v>
      </c>
      <c r="P706" s="4"/>
      <c r="Q706" s="47" t="e">
        <f t="shared" ref="Q706:Q769" si="69">MID(J706,L706,M706-L706)</f>
        <v>#VALUE!</v>
      </c>
      <c r="R706" s="27" t="e">
        <f t="shared" ref="R706:R769" si="70">MID(J706,M706,1)</f>
        <v>#VALUE!</v>
      </c>
      <c r="S706" s="19" t="e">
        <f t="shared" ref="S706:S769" si="71">MID(J706,M706+1,N706-M706)</f>
        <v>#VALUE!</v>
      </c>
      <c r="Z706" s="4"/>
      <c r="AD706" s="1" t="s">
        <v>129</v>
      </c>
      <c r="AE706" s="1" t="s">
        <v>129</v>
      </c>
      <c r="AF706" s="1" t="s">
        <v>129</v>
      </c>
      <c r="AG706" s="1" t="s">
        <v>129</v>
      </c>
      <c r="AH706" s="1" t="s">
        <v>129</v>
      </c>
      <c r="AK706" s="4" t="s">
        <v>129</v>
      </c>
      <c r="AL706" s="4" t="s">
        <v>129</v>
      </c>
    </row>
    <row r="707" spans="1:38" x14ac:dyDescent="0.25">
      <c r="A707" s="1" t="str">
        <f t="shared" si="68"/>
        <v>HRH1_human__wt_ICL2</v>
      </c>
      <c r="B707" s="45" t="s">
        <v>225</v>
      </c>
      <c r="C707" s="45" t="s">
        <v>294</v>
      </c>
      <c r="D707" s="4" t="str">
        <f>VLOOKUP(B707,Classification!A:D,2,FALSE)</f>
        <v>A</v>
      </c>
      <c r="E707" s="4" t="str">
        <f>VLOOKUP(B707,Classification!A:D,3,FALSE)</f>
        <v>Aminergic</v>
      </c>
      <c r="F707" s="4" t="str">
        <f>VLOOKUP(B707,Classification!A:D,4,FALSE)</f>
        <v>Histamine</v>
      </c>
      <c r="G707" s="2">
        <v>6</v>
      </c>
      <c r="H707" s="45" t="s">
        <v>28</v>
      </c>
      <c r="I707" s="2" t="s">
        <v>1223</v>
      </c>
      <c r="J707" s="5" t="str">
        <f>VLOOKUP(B707,Seqs!A:B,2,FALSE)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707" s="4" t="str">
        <f t="shared" si="66"/>
        <v>P</v>
      </c>
      <c r="L707" s="45">
        <f>VLOOKUP(B707,'NonXtal_SegEnds_Prot#'!A:AL,18,FALSE)</f>
        <v>132</v>
      </c>
      <c r="M707" s="45">
        <f>VLOOKUP(B707,'NonXtal_SegEnds_Prot#'!A:AL,19,FALSE)</f>
        <v>132</v>
      </c>
      <c r="N707" s="45">
        <f>VLOOKUP(B707,'NonXtal_SegEnds_Prot#'!A:AL,20,FALSE)</f>
        <v>139</v>
      </c>
      <c r="O707" s="4" t="str">
        <f t="shared" si="67"/>
        <v>R</v>
      </c>
      <c r="P707" s="4"/>
      <c r="Q707" s="47" t="str">
        <f t="shared" si="69"/>
        <v/>
      </c>
      <c r="R707" s="27" t="str">
        <f t="shared" si="70"/>
        <v>P</v>
      </c>
      <c r="S707" s="19" t="str">
        <f t="shared" si="71"/>
        <v>LRYLKYR</v>
      </c>
      <c r="Z707" s="4"/>
      <c r="AD707" s="1" t="s">
        <v>29</v>
      </c>
      <c r="AE707" s="1">
        <v>132</v>
      </c>
      <c r="AF707" s="1">
        <v>132</v>
      </c>
      <c r="AG707" s="1">
        <v>139</v>
      </c>
      <c r="AH707" s="1" t="s">
        <v>30</v>
      </c>
      <c r="AK707" s="4">
        <v>50</v>
      </c>
      <c r="AL707" s="4">
        <v>57</v>
      </c>
    </row>
    <row r="708" spans="1:38" x14ac:dyDescent="0.25">
      <c r="A708" s="1" t="str">
        <f t="shared" si="68"/>
        <v>HRH1_human_3RZE_ICL2</v>
      </c>
      <c r="B708" s="45" t="s">
        <v>225</v>
      </c>
      <c r="C708" s="45" t="s">
        <v>264</v>
      </c>
      <c r="D708" s="4" t="str">
        <f>VLOOKUP(B708,Classification!A:D,2,FALSE)</f>
        <v>A</v>
      </c>
      <c r="E708" s="4" t="str">
        <f>VLOOKUP(B708,Classification!A:D,3,FALSE)</f>
        <v>Aminergic</v>
      </c>
      <c r="F708" s="4" t="str">
        <f>VLOOKUP(B708,Classification!A:D,4,FALSE)</f>
        <v>Histamine</v>
      </c>
      <c r="G708" s="2">
        <v>6</v>
      </c>
      <c r="H708" s="45" t="s">
        <v>28</v>
      </c>
      <c r="I708" s="2" t="s">
        <v>1223</v>
      </c>
      <c r="J708" s="5" t="str">
        <f>VLOOKUP(B708,Seqs!A:B,2,FALSE)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708" s="4" t="str">
        <f t="shared" si="66"/>
        <v>P</v>
      </c>
      <c r="L708" s="45">
        <f>VLOOKUP(B708,'NonXtal_SegEnds_Prot#'!A:AL,18,FALSE)</f>
        <v>132</v>
      </c>
      <c r="M708" s="45">
        <f>VLOOKUP(B708,'NonXtal_SegEnds_Prot#'!A:AL,19,FALSE)</f>
        <v>132</v>
      </c>
      <c r="N708" s="45">
        <f>VLOOKUP(B708,'NonXtal_SegEnds_Prot#'!A:AL,20,FALSE)</f>
        <v>139</v>
      </c>
      <c r="O708" s="4" t="str">
        <f t="shared" si="67"/>
        <v>R</v>
      </c>
      <c r="P708" s="4" t="s">
        <v>58</v>
      </c>
      <c r="Q708" s="47" t="str">
        <f t="shared" si="69"/>
        <v/>
      </c>
      <c r="R708" s="28" t="str">
        <f t="shared" si="70"/>
        <v>P</v>
      </c>
      <c r="S708" s="20" t="str">
        <f t="shared" si="71"/>
        <v>LRYLKYR</v>
      </c>
      <c r="Z708" s="4"/>
      <c r="AD708" s="1" t="s">
        <v>29</v>
      </c>
      <c r="AE708" s="1">
        <v>132</v>
      </c>
      <c r="AF708" s="1">
        <v>132</v>
      </c>
      <c r="AG708" s="1">
        <v>139</v>
      </c>
      <c r="AH708" s="1" t="s">
        <v>30</v>
      </c>
      <c r="AK708" s="4">
        <v>50</v>
      </c>
      <c r="AL708" s="4">
        <v>57</v>
      </c>
    </row>
    <row r="709" spans="1:38" x14ac:dyDescent="0.25">
      <c r="A709" s="1" t="str">
        <f t="shared" si="68"/>
        <v>LPAR1_human__wt_ICL2</v>
      </c>
      <c r="B709" s="45" t="s">
        <v>214</v>
      </c>
      <c r="C709" s="45" t="s">
        <v>294</v>
      </c>
      <c r="D709" s="4" t="str">
        <f>VLOOKUP(B709,Classification!A:D,2,FALSE)</f>
        <v>A</v>
      </c>
      <c r="E709" s="4" t="str">
        <f>VLOOKUP(B709,Classification!A:D,3,FALSE)</f>
        <v>Lipid</v>
      </c>
      <c r="F709" s="4" t="str">
        <f>VLOOKUP(B709,Classification!A:D,4,FALSE)</f>
        <v>Lysophospholipid(LPA)</v>
      </c>
      <c r="G709" s="2">
        <v>6</v>
      </c>
      <c r="H709" s="45" t="s">
        <v>28</v>
      </c>
      <c r="I709" s="2" t="s">
        <v>126</v>
      </c>
      <c r="J709" s="5" t="str">
        <f>VLOOKUP(B709,Seqs!A:B,2,FALSE)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09" s="4" t="str">
        <f t="shared" si="66"/>
        <v>M</v>
      </c>
      <c r="L709" s="45">
        <f>VLOOKUP(B709,'NonXtal_SegEnds_Prot#'!A:AL,18,FALSE)</f>
        <v>153</v>
      </c>
      <c r="M709" s="45">
        <f>VLOOKUP(B709,'NonXtal_SegEnds_Prot#'!A:AL,19,FALSE)</f>
        <v>153</v>
      </c>
      <c r="N709" s="45">
        <f>VLOOKUP(B709,'NonXtal_SegEnds_Prot#'!A:AL,20,FALSE)</f>
        <v>160</v>
      </c>
      <c r="O709" s="4" t="str">
        <f t="shared" si="67"/>
        <v>S</v>
      </c>
      <c r="P709" s="4"/>
      <c r="Q709" s="47" t="str">
        <f t="shared" si="69"/>
        <v/>
      </c>
      <c r="R709" s="28" t="str">
        <f t="shared" si="70"/>
        <v>M</v>
      </c>
      <c r="S709" s="20" t="str">
        <f t="shared" si="71"/>
        <v>QLHTRMS</v>
      </c>
      <c r="Z709" s="4"/>
      <c r="AD709" s="1" t="s">
        <v>29</v>
      </c>
      <c r="AE709" s="1">
        <v>153</v>
      </c>
      <c r="AF709" s="1">
        <v>153</v>
      </c>
      <c r="AG709" s="1">
        <v>156</v>
      </c>
      <c r="AH709" s="1" t="s">
        <v>127</v>
      </c>
      <c r="AK709" s="4">
        <v>50</v>
      </c>
      <c r="AL709" s="4">
        <v>53</v>
      </c>
    </row>
    <row r="710" spans="1:38" x14ac:dyDescent="0.25">
      <c r="A710" s="1" t="str">
        <f t="shared" si="68"/>
        <v>LPAR1_human_4Z35_ICL2</v>
      </c>
      <c r="B710" s="45" t="s">
        <v>214</v>
      </c>
      <c r="C710" s="45" t="s">
        <v>281</v>
      </c>
      <c r="D710" s="4" t="str">
        <f>VLOOKUP(B710,Classification!A:D,2,FALSE)</f>
        <v>A</v>
      </c>
      <c r="E710" s="4" t="str">
        <f>VLOOKUP(B710,Classification!A:D,3,FALSE)</f>
        <v>Lipid</v>
      </c>
      <c r="F710" s="4" t="str">
        <f>VLOOKUP(B710,Classification!A:D,4,FALSE)</f>
        <v>Lysophospholipid(LPA)</v>
      </c>
      <c r="G710" s="2">
        <v>6</v>
      </c>
      <c r="H710" s="45" t="s">
        <v>28</v>
      </c>
      <c r="I710" s="2" t="s">
        <v>126</v>
      </c>
      <c r="J710" s="5" t="str">
        <f>VLOOKUP(B710,Seqs!A:B,2,FALSE)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10" s="4" t="str">
        <f t="shared" si="66"/>
        <v>M</v>
      </c>
      <c r="L710" s="45">
        <f>VLOOKUP(B710,'NonXtal_SegEnds_Prot#'!A:AL,18,FALSE)</f>
        <v>153</v>
      </c>
      <c r="M710" s="45">
        <f>VLOOKUP(B710,'NonXtal_SegEnds_Prot#'!A:AL,19,FALSE)</f>
        <v>153</v>
      </c>
      <c r="N710" s="45">
        <f>VLOOKUP(B710,'NonXtal_SegEnds_Prot#'!A:AL,20,FALSE)</f>
        <v>160</v>
      </c>
      <c r="O710" s="4" t="str">
        <f t="shared" si="67"/>
        <v>S</v>
      </c>
      <c r="P710" s="4"/>
      <c r="Q710" s="47" t="str">
        <f t="shared" si="69"/>
        <v/>
      </c>
      <c r="R710" s="28" t="str">
        <f t="shared" si="70"/>
        <v>M</v>
      </c>
      <c r="S710" s="20" t="str">
        <f t="shared" si="71"/>
        <v>QLHTRMS</v>
      </c>
      <c r="Z710" s="4"/>
      <c r="AD710" s="1" t="s">
        <v>29</v>
      </c>
      <c r="AE710" s="1">
        <v>153</v>
      </c>
      <c r="AF710" s="1">
        <v>153</v>
      </c>
      <c r="AG710" s="1">
        <v>156</v>
      </c>
      <c r="AH710" s="1" t="s">
        <v>127</v>
      </c>
      <c r="AK710" s="4">
        <v>50</v>
      </c>
      <c r="AL710" s="4">
        <v>53</v>
      </c>
    </row>
    <row r="711" spans="1:38" x14ac:dyDescent="0.25">
      <c r="A711" s="1" t="str">
        <f t="shared" si="68"/>
        <v>NTR1_rat__wt_ICL2</v>
      </c>
      <c r="B711" s="45" t="s">
        <v>234</v>
      </c>
      <c r="C711" s="45" t="s">
        <v>294</v>
      </c>
      <c r="D711" s="4" t="str">
        <f>VLOOKUP(B711,Classification!A:D,2,FALSE)</f>
        <v>A</v>
      </c>
      <c r="E711" s="4" t="str">
        <f>VLOOKUP(B711,Classification!A:D,3,FALSE)</f>
        <v>Peptide</v>
      </c>
      <c r="F711" s="4" t="str">
        <f>VLOOKUP(B711,Classification!A:D,4,FALSE)</f>
        <v>Neurotensin</v>
      </c>
      <c r="G711" s="2">
        <v>6</v>
      </c>
      <c r="H711" s="45" t="s">
        <v>28</v>
      </c>
      <c r="I711" s="2" t="s">
        <v>1223</v>
      </c>
      <c r="J711" s="5" t="str">
        <f>VLOOKUP(B711,Seqs!A:B,2,FALSE)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711" s="4" t="str">
        <f t="shared" si="66"/>
        <v>P</v>
      </c>
      <c r="L711" s="45">
        <f>VLOOKUP(B711,'NonXtal_SegEnds_Prot#'!A:AL,18,FALSE)</f>
        <v>174</v>
      </c>
      <c r="M711" s="45">
        <f>VLOOKUP(B711,'NonXtal_SegEnds_Prot#'!A:AL,19,FALSE)</f>
        <v>174</v>
      </c>
      <c r="N711" s="45">
        <f>VLOOKUP(B711,'NonXtal_SegEnds_Prot#'!A:AL,20,FALSE)</f>
        <v>181</v>
      </c>
      <c r="O711" s="4" t="str">
        <f t="shared" si="67"/>
        <v>M</v>
      </c>
      <c r="P711" s="4"/>
      <c r="Q711" s="47" t="str">
        <f t="shared" si="69"/>
        <v/>
      </c>
      <c r="R711" s="27" t="str">
        <f t="shared" si="70"/>
        <v>P</v>
      </c>
      <c r="S711" s="19" t="str">
        <f t="shared" si="71"/>
        <v>FKAKTLM</v>
      </c>
      <c r="Z711" s="4" t="s">
        <v>78</v>
      </c>
      <c r="AD711" s="1" t="s">
        <v>29</v>
      </c>
      <c r="AE711" s="1">
        <v>173</v>
      </c>
      <c r="AF711" s="1">
        <v>174</v>
      </c>
      <c r="AG711" s="1">
        <v>183</v>
      </c>
      <c r="AH711" s="1" t="s">
        <v>133</v>
      </c>
      <c r="AK711" s="4">
        <v>50</v>
      </c>
      <c r="AL711" s="4">
        <v>59</v>
      </c>
    </row>
    <row r="712" spans="1:38" x14ac:dyDescent="0.25">
      <c r="A712" s="1" t="str">
        <f t="shared" si="68"/>
        <v>NTR1_rat_4BOU_ICL2</v>
      </c>
      <c r="B712" s="45" t="s">
        <v>234</v>
      </c>
      <c r="C712" s="45" t="s">
        <v>239</v>
      </c>
      <c r="D712" s="4" t="str">
        <f>VLOOKUP(B712,Classification!A:D,2,FALSE)</f>
        <v>A</v>
      </c>
      <c r="E712" s="4" t="str">
        <f>VLOOKUP(B712,Classification!A:D,3,FALSE)</f>
        <v>Peptide</v>
      </c>
      <c r="F712" s="4" t="str">
        <f>VLOOKUP(B712,Classification!A:D,4,FALSE)</f>
        <v>Neurotensin</v>
      </c>
      <c r="G712" s="2">
        <v>6</v>
      </c>
      <c r="H712" s="45" t="s">
        <v>28</v>
      </c>
      <c r="I712" s="2" t="s">
        <v>1223</v>
      </c>
      <c r="J712" s="5" t="str">
        <f>VLOOKUP(B712,Seqs!A:B,2,FALSE)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712" s="4" t="str">
        <f t="shared" si="66"/>
        <v>P</v>
      </c>
      <c r="L712" s="45">
        <f>VLOOKUP(B712,'NonXtal_SegEnds_Prot#'!A:AL,18,FALSE)</f>
        <v>174</v>
      </c>
      <c r="M712" s="45">
        <f>VLOOKUP(B712,'NonXtal_SegEnds_Prot#'!A:AL,19,FALSE)</f>
        <v>174</v>
      </c>
      <c r="N712" s="45">
        <f>VLOOKUP(B712,'NonXtal_SegEnds_Prot#'!A:AL,20,FALSE)</f>
        <v>181</v>
      </c>
      <c r="O712" s="4" t="str">
        <f t="shared" si="67"/>
        <v>M</v>
      </c>
      <c r="P712" s="4"/>
      <c r="Q712" s="47" t="str">
        <f t="shared" si="69"/>
        <v/>
      </c>
      <c r="R712" s="27" t="str">
        <f t="shared" si="70"/>
        <v>P</v>
      </c>
      <c r="S712" s="19" t="str">
        <f t="shared" si="71"/>
        <v>FKAKTLM</v>
      </c>
      <c r="Z712" s="4" t="s">
        <v>78</v>
      </c>
      <c r="AD712" s="1" t="s">
        <v>29</v>
      </c>
      <c r="AE712" s="1">
        <v>173</v>
      </c>
      <c r="AF712" s="1">
        <v>174</v>
      </c>
      <c r="AG712" s="1">
        <v>183</v>
      </c>
      <c r="AH712" s="1" t="s">
        <v>133</v>
      </c>
      <c r="AK712" s="4">
        <v>50</v>
      </c>
      <c r="AL712" s="4">
        <v>59</v>
      </c>
    </row>
    <row r="713" spans="1:38" x14ac:dyDescent="0.25">
      <c r="A713" s="1" t="str">
        <f t="shared" si="68"/>
        <v>NTR1_rat_4GRV_ICL2</v>
      </c>
      <c r="B713" s="45" t="s">
        <v>234</v>
      </c>
      <c r="C713" s="45" t="s">
        <v>238</v>
      </c>
      <c r="D713" s="4" t="str">
        <f>VLOOKUP(B713,Classification!A:D,2,FALSE)</f>
        <v>A</v>
      </c>
      <c r="E713" s="4" t="str">
        <f>VLOOKUP(B713,Classification!A:D,3,FALSE)</f>
        <v>Peptide</v>
      </c>
      <c r="F713" s="4" t="str">
        <f>VLOOKUP(B713,Classification!A:D,4,FALSE)</f>
        <v>Neurotensin</v>
      </c>
      <c r="G713" s="2">
        <v>6</v>
      </c>
      <c r="H713" s="45" t="s">
        <v>28</v>
      </c>
      <c r="I713" s="2" t="s">
        <v>1223</v>
      </c>
      <c r="J713" s="5" t="str">
        <f>VLOOKUP(B713,Seqs!A:B,2,FALSE)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713" s="4" t="str">
        <f t="shared" si="66"/>
        <v>P</v>
      </c>
      <c r="L713" s="45">
        <f>VLOOKUP(B713,'NonXtal_SegEnds_Prot#'!A:AL,18,FALSE)</f>
        <v>174</v>
      </c>
      <c r="M713" s="45">
        <f>VLOOKUP(B713,'NonXtal_SegEnds_Prot#'!A:AL,19,FALSE)</f>
        <v>174</v>
      </c>
      <c r="N713" s="45">
        <f>VLOOKUP(B713,'NonXtal_SegEnds_Prot#'!A:AL,20,FALSE)</f>
        <v>181</v>
      </c>
      <c r="O713" s="4" t="str">
        <f t="shared" si="67"/>
        <v>M</v>
      </c>
      <c r="P713" s="4"/>
      <c r="Q713" s="47" t="str">
        <f t="shared" si="69"/>
        <v/>
      </c>
      <c r="R713" s="27" t="str">
        <f t="shared" si="70"/>
        <v>P</v>
      </c>
      <c r="S713" s="19" t="str">
        <f t="shared" si="71"/>
        <v>FKAKTLM</v>
      </c>
      <c r="Z713" s="4"/>
      <c r="AD713" s="1" t="s">
        <v>29</v>
      </c>
      <c r="AE713" s="1">
        <v>173</v>
      </c>
      <c r="AF713" s="1">
        <v>174</v>
      </c>
      <c r="AG713" s="1">
        <v>183</v>
      </c>
      <c r="AH713" s="1" t="s">
        <v>133</v>
      </c>
      <c r="AK713" s="4">
        <v>50</v>
      </c>
      <c r="AL713" s="4">
        <v>59</v>
      </c>
    </row>
    <row r="714" spans="1:38" x14ac:dyDescent="0.25">
      <c r="A714" s="1" t="str">
        <f t="shared" si="68"/>
        <v>OPRD_human__wt_ICL2</v>
      </c>
      <c r="B714" s="45" t="s">
        <v>226</v>
      </c>
      <c r="C714" s="45" t="s">
        <v>294</v>
      </c>
      <c r="D714" s="4" t="str">
        <f>VLOOKUP(B714,Classification!A:D,2,FALSE)</f>
        <v>A</v>
      </c>
      <c r="E714" s="4" t="str">
        <f>VLOOKUP(B714,Classification!A:D,3,FALSE)</f>
        <v>Peptide</v>
      </c>
      <c r="F714" s="4" t="str">
        <f>VLOOKUP(B714,Classification!A:D,4,FALSE)</f>
        <v>Opioid</v>
      </c>
      <c r="G714" s="2">
        <v>6</v>
      </c>
      <c r="H714" s="45" t="s">
        <v>28</v>
      </c>
      <c r="I714" s="2" t="s">
        <v>1223</v>
      </c>
      <c r="J714" s="5" t="str">
        <f>VLOOKUP(B714,Seqs!A:B,2,FALSE)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14" s="4" t="str">
        <f t="shared" si="66"/>
        <v>P</v>
      </c>
      <c r="L714" s="45">
        <f>VLOOKUP(B714,'NonXtal_SegEnds_Prot#'!A:AL,18,FALSE)</f>
        <v>153</v>
      </c>
      <c r="M714" s="45">
        <f>VLOOKUP(B714,'NonXtal_SegEnds_Prot#'!A:AL,19,FALSE)</f>
        <v>153</v>
      </c>
      <c r="N714" s="45">
        <f>VLOOKUP(B714,'NonXtal_SegEnds_Prot#'!A:AL,20,FALSE)</f>
        <v>160</v>
      </c>
      <c r="O714" s="4" t="str">
        <f t="shared" si="67"/>
        <v>R</v>
      </c>
      <c r="P714" s="4"/>
      <c r="Q714" s="47" t="str">
        <f t="shared" si="69"/>
        <v/>
      </c>
      <c r="R714" s="27" t="str">
        <f t="shared" si="70"/>
        <v>P</v>
      </c>
      <c r="S714" s="19" t="str">
        <f t="shared" si="71"/>
        <v>VKALDFR</v>
      </c>
      <c r="Z714" s="4"/>
      <c r="AD714" s="1" t="s">
        <v>29</v>
      </c>
      <c r="AE714" s="1">
        <v>153</v>
      </c>
      <c r="AF714" s="1">
        <v>153</v>
      </c>
      <c r="AG714" s="1">
        <v>160</v>
      </c>
      <c r="AH714" s="1" t="s">
        <v>30</v>
      </c>
      <c r="AK714" s="4">
        <v>50</v>
      </c>
      <c r="AL714" s="4">
        <v>57</v>
      </c>
    </row>
    <row r="715" spans="1:38" x14ac:dyDescent="0.25">
      <c r="A715" s="1" t="str">
        <f t="shared" si="68"/>
        <v>OPRD_human_4N6H_ICL2</v>
      </c>
      <c r="B715" s="45" t="s">
        <v>226</v>
      </c>
      <c r="C715" s="45" t="s">
        <v>279</v>
      </c>
      <c r="D715" s="4" t="str">
        <f>VLOOKUP(B715,Classification!A:D,2,FALSE)</f>
        <v>A</v>
      </c>
      <c r="E715" s="4" t="str">
        <f>VLOOKUP(B715,Classification!A:D,3,FALSE)</f>
        <v>Peptide</v>
      </c>
      <c r="F715" s="4" t="str">
        <f>VLOOKUP(B715,Classification!A:D,4,FALSE)</f>
        <v>Opioid</v>
      </c>
      <c r="G715" s="2">
        <v>6</v>
      </c>
      <c r="H715" s="45" t="s">
        <v>28</v>
      </c>
      <c r="I715" s="2" t="s">
        <v>1223</v>
      </c>
      <c r="J715" s="5" t="str">
        <f>VLOOKUP(B715,Seqs!A:B,2,FALSE)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15" s="4" t="str">
        <f t="shared" si="66"/>
        <v>P</v>
      </c>
      <c r="L715" s="45">
        <f>VLOOKUP(B715,'NonXtal_SegEnds_Prot#'!A:AL,18,FALSE)</f>
        <v>153</v>
      </c>
      <c r="M715" s="45">
        <f>VLOOKUP(B715,'NonXtal_SegEnds_Prot#'!A:AL,19,FALSE)</f>
        <v>153</v>
      </c>
      <c r="N715" s="45">
        <f>VLOOKUP(B715,'NonXtal_SegEnds_Prot#'!A:AL,20,FALSE)</f>
        <v>160</v>
      </c>
      <c r="O715" s="4" t="str">
        <f t="shared" si="67"/>
        <v>R</v>
      </c>
      <c r="P715" s="4"/>
      <c r="Q715" s="47" t="str">
        <f t="shared" si="69"/>
        <v/>
      </c>
      <c r="R715" s="27" t="str">
        <f t="shared" si="70"/>
        <v>P</v>
      </c>
      <c r="S715" s="19" t="str">
        <f t="shared" si="71"/>
        <v>VKALDFR</v>
      </c>
      <c r="Z715" s="4"/>
      <c r="AD715" s="1" t="s">
        <v>29</v>
      </c>
      <c r="AE715" s="1">
        <v>153</v>
      </c>
      <c r="AF715" s="1">
        <v>153</v>
      </c>
      <c r="AG715" s="1">
        <v>160</v>
      </c>
      <c r="AH715" s="1" t="s">
        <v>30</v>
      </c>
      <c r="AK715" s="4">
        <v>50</v>
      </c>
      <c r="AL715" s="4">
        <v>57</v>
      </c>
    </row>
    <row r="716" spans="1:38" x14ac:dyDescent="0.25">
      <c r="A716" s="1" t="str">
        <f t="shared" si="68"/>
        <v>OPRD_mouse_4EJ4_ICL2</v>
      </c>
      <c r="B716" s="45" t="s">
        <v>233</v>
      </c>
      <c r="C716" s="45" t="s">
        <v>255</v>
      </c>
      <c r="D716" s="4" t="str">
        <f>VLOOKUP(B716,Classification!A:D,2,FALSE)</f>
        <v>A</v>
      </c>
      <c r="E716" s="4" t="str">
        <f>VLOOKUP(B716,Classification!A:D,3,FALSE)</f>
        <v>Peptide</v>
      </c>
      <c r="F716" s="4" t="str">
        <f>VLOOKUP(B716,Classification!A:D,4,FALSE)</f>
        <v>Opioid</v>
      </c>
      <c r="G716" s="2">
        <v>6</v>
      </c>
      <c r="H716" s="45" t="s">
        <v>28</v>
      </c>
      <c r="I716" s="2" t="s">
        <v>1223</v>
      </c>
      <c r="J716" s="5" t="str">
        <f>VLOOKUP(B716,Seqs!A:B,2,FALSE)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716" s="4" t="str">
        <f t="shared" si="66"/>
        <v>P</v>
      </c>
      <c r="L716" s="45">
        <f>VLOOKUP(B716,'NonXtal_SegEnds_Prot#'!A:AL,18,FALSE)</f>
        <v>153</v>
      </c>
      <c r="M716" s="45">
        <f>VLOOKUP(B716,'NonXtal_SegEnds_Prot#'!A:AL,19,FALSE)</f>
        <v>153</v>
      </c>
      <c r="N716" s="45">
        <f>VLOOKUP(B716,'NonXtal_SegEnds_Prot#'!A:AL,20,FALSE)</f>
        <v>160</v>
      </c>
      <c r="O716" s="4" t="str">
        <f t="shared" si="67"/>
        <v>R</v>
      </c>
      <c r="P716" s="4"/>
      <c r="Q716" s="47" t="str">
        <f t="shared" si="69"/>
        <v/>
      </c>
      <c r="R716" s="27" t="str">
        <f t="shared" si="70"/>
        <v>P</v>
      </c>
      <c r="S716" s="19" t="str">
        <f t="shared" si="71"/>
        <v>VKALDFR</v>
      </c>
      <c r="Z716" s="4"/>
      <c r="AD716" s="1" t="s">
        <v>29</v>
      </c>
      <c r="AE716" s="1">
        <v>153</v>
      </c>
      <c r="AF716" s="1">
        <v>153</v>
      </c>
      <c r="AG716" s="1">
        <v>160</v>
      </c>
      <c r="AH716" s="1" t="s">
        <v>30</v>
      </c>
      <c r="AK716" s="4">
        <v>50</v>
      </c>
      <c r="AL716" s="4">
        <v>57</v>
      </c>
    </row>
    <row r="717" spans="1:38" x14ac:dyDescent="0.25">
      <c r="A717" s="1" t="str">
        <f t="shared" si="68"/>
        <v>OPRK_human__wt_ICL2</v>
      </c>
      <c r="B717" s="45" t="s">
        <v>227</v>
      </c>
      <c r="C717" s="45" t="s">
        <v>294</v>
      </c>
      <c r="D717" s="4" t="str">
        <f>VLOOKUP(B717,Classification!A:D,2,FALSE)</f>
        <v>A</v>
      </c>
      <c r="E717" s="4" t="str">
        <f>VLOOKUP(B717,Classification!A:D,3,FALSE)</f>
        <v>Peptide</v>
      </c>
      <c r="F717" s="4" t="str">
        <f>VLOOKUP(B717,Classification!A:D,4,FALSE)</f>
        <v>Opioid</v>
      </c>
      <c r="G717" s="2">
        <v>6</v>
      </c>
      <c r="H717" s="45" t="s">
        <v>28</v>
      </c>
      <c r="I717" s="2" t="s">
        <v>1223</v>
      </c>
      <c r="J717" s="5" t="str">
        <f>VLOOKUP(B717,Seqs!A:B,2,FALSE)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17" s="4" t="str">
        <f t="shared" si="66"/>
        <v>P</v>
      </c>
      <c r="L717" s="45">
        <f>VLOOKUP(B717,'NonXtal_SegEnds_Prot#'!A:AL,18,FALSE)</f>
        <v>163</v>
      </c>
      <c r="M717" s="45">
        <f>VLOOKUP(B717,'NonXtal_SegEnds_Prot#'!A:AL,19,FALSE)</f>
        <v>163</v>
      </c>
      <c r="N717" s="45">
        <f>VLOOKUP(B717,'NonXtal_SegEnds_Prot#'!A:AL,20,FALSE)</f>
        <v>170</v>
      </c>
      <c r="O717" s="4" t="str">
        <f t="shared" si="67"/>
        <v>R</v>
      </c>
      <c r="P717" s="4"/>
      <c r="Q717" s="47" t="str">
        <f t="shared" si="69"/>
        <v/>
      </c>
      <c r="R717" s="27" t="str">
        <f t="shared" si="70"/>
        <v>P</v>
      </c>
      <c r="S717" s="19" t="str">
        <f t="shared" si="71"/>
        <v>VKALDFR</v>
      </c>
      <c r="Z717" s="4"/>
      <c r="AD717" s="1" t="s">
        <v>29</v>
      </c>
      <c r="AE717" s="1">
        <v>163</v>
      </c>
      <c r="AF717" s="1">
        <v>163</v>
      </c>
      <c r="AG717" s="1">
        <v>167</v>
      </c>
      <c r="AH717" s="1" t="s">
        <v>142</v>
      </c>
      <c r="AK717" s="4">
        <v>50</v>
      </c>
      <c r="AL717" s="4">
        <v>54</v>
      </c>
    </row>
    <row r="718" spans="1:38" x14ac:dyDescent="0.25">
      <c r="A718" s="1" t="str">
        <f t="shared" si="68"/>
        <v>OPRK_human_4DJH_ICL2</v>
      </c>
      <c r="B718" s="45" t="s">
        <v>227</v>
      </c>
      <c r="C718" s="45" t="s">
        <v>280</v>
      </c>
      <c r="D718" s="4" t="str">
        <f>VLOOKUP(B718,Classification!A:D,2,FALSE)</f>
        <v>A</v>
      </c>
      <c r="E718" s="4" t="str">
        <f>VLOOKUP(B718,Classification!A:D,3,FALSE)</f>
        <v>Peptide</v>
      </c>
      <c r="F718" s="4" t="str">
        <f>VLOOKUP(B718,Classification!A:D,4,FALSE)</f>
        <v>Opioid</v>
      </c>
      <c r="G718" s="2">
        <v>6</v>
      </c>
      <c r="H718" s="45" t="s">
        <v>28</v>
      </c>
      <c r="I718" s="2" t="s">
        <v>1223</v>
      </c>
      <c r="J718" s="5" t="str">
        <f>VLOOKUP(B718,Seqs!A:B,2,FALSE)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18" s="4" t="str">
        <f t="shared" si="66"/>
        <v>P</v>
      </c>
      <c r="L718" s="45">
        <f>VLOOKUP(B718,'NonXtal_SegEnds_Prot#'!A:AL,18,FALSE)</f>
        <v>163</v>
      </c>
      <c r="M718" s="45">
        <f>VLOOKUP(B718,'NonXtal_SegEnds_Prot#'!A:AL,19,FALSE)</f>
        <v>163</v>
      </c>
      <c r="N718" s="45">
        <f>VLOOKUP(B718,'NonXtal_SegEnds_Prot#'!A:AL,20,FALSE)</f>
        <v>170</v>
      </c>
      <c r="O718" s="4" t="str">
        <f t="shared" si="67"/>
        <v>R</v>
      </c>
      <c r="P718" s="4"/>
      <c r="Q718" s="47" t="str">
        <f t="shared" si="69"/>
        <v/>
      </c>
      <c r="R718" s="27" t="str">
        <f t="shared" si="70"/>
        <v>P</v>
      </c>
      <c r="S718" s="19" t="str">
        <f t="shared" si="71"/>
        <v>VKALDFR</v>
      </c>
      <c r="Z718" s="4"/>
      <c r="AD718" s="1" t="s">
        <v>29</v>
      </c>
      <c r="AE718" s="1">
        <v>163</v>
      </c>
      <c r="AF718" s="1">
        <v>163</v>
      </c>
      <c r="AG718" s="1">
        <v>167</v>
      </c>
      <c r="AH718" s="1" t="s">
        <v>142</v>
      </c>
      <c r="AK718" s="4">
        <v>50</v>
      </c>
      <c r="AL718" s="4">
        <v>54</v>
      </c>
    </row>
    <row r="719" spans="1:38" x14ac:dyDescent="0.25">
      <c r="A719" s="1" t="str">
        <f t="shared" si="68"/>
        <v>OPRM_mouse__wt_ICL2</v>
      </c>
      <c r="B719" s="45" t="s">
        <v>232</v>
      </c>
      <c r="C719" s="45" t="s">
        <v>294</v>
      </c>
      <c r="D719" s="4" t="str">
        <f>VLOOKUP(B719,Classification!A:D,2,FALSE)</f>
        <v>A</v>
      </c>
      <c r="E719" s="4" t="str">
        <f>VLOOKUP(B719,Classification!A:D,3,FALSE)</f>
        <v>Peptide</v>
      </c>
      <c r="F719" s="4" t="str">
        <f>VLOOKUP(B719,Classification!A:D,4,FALSE)</f>
        <v>Opioid</v>
      </c>
      <c r="G719" s="2">
        <v>6</v>
      </c>
      <c r="H719" s="45" t="s">
        <v>28</v>
      </c>
      <c r="I719" s="2" t="s">
        <v>1223</v>
      </c>
      <c r="J719" s="5" t="str">
        <f>VLOOKUP(B719,Seqs!A:B,2,FALSE)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19" s="4" t="str">
        <f t="shared" si="66"/>
        <v>P</v>
      </c>
      <c r="L719" s="45">
        <f>VLOOKUP(B719,'NonXtal_SegEnds_Prot#'!A:AL,18,FALSE)</f>
        <v>172</v>
      </c>
      <c r="M719" s="45">
        <f>VLOOKUP(B719,'NonXtal_SegEnds_Prot#'!A:AL,19,FALSE)</f>
        <v>172</v>
      </c>
      <c r="N719" s="45">
        <f>VLOOKUP(B719,'NonXtal_SegEnds_Prot#'!A:AL,20,FALSE)</f>
        <v>179</v>
      </c>
      <c r="O719" s="4" t="str">
        <f t="shared" si="67"/>
        <v>R</v>
      </c>
      <c r="P719" s="4"/>
      <c r="Q719" s="47" t="str">
        <f t="shared" si="69"/>
        <v/>
      </c>
      <c r="R719" s="27" t="str">
        <f t="shared" si="70"/>
        <v>P</v>
      </c>
      <c r="S719" s="19" t="str">
        <f t="shared" si="71"/>
        <v>VKALDFR</v>
      </c>
      <c r="Z719" s="4" t="s">
        <v>64</v>
      </c>
      <c r="AD719" s="1" t="s">
        <v>29</v>
      </c>
      <c r="AE719" s="1">
        <v>174</v>
      </c>
      <c r="AF719" s="1">
        <v>172</v>
      </c>
      <c r="AG719" s="1">
        <v>181</v>
      </c>
      <c r="AH719" s="1" t="s">
        <v>30</v>
      </c>
      <c r="AK719" s="4">
        <v>50</v>
      </c>
      <c r="AL719" s="4">
        <v>57</v>
      </c>
    </row>
    <row r="720" spans="1:38" x14ac:dyDescent="0.25">
      <c r="A720" s="1" t="str">
        <f t="shared" si="68"/>
        <v>OPRM_mouse_4DKL_ICL2</v>
      </c>
      <c r="B720" s="45" t="s">
        <v>232</v>
      </c>
      <c r="C720" s="45" t="s">
        <v>256</v>
      </c>
      <c r="D720" s="4" t="str">
        <f>VLOOKUP(B720,Classification!A:D,2,FALSE)</f>
        <v>A</v>
      </c>
      <c r="E720" s="4" t="str">
        <f>VLOOKUP(B720,Classification!A:D,3,FALSE)</f>
        <v>Peptide</v>
      </c>
      <c r="F720" s="4" t="str">
        <f>VLOOKUP(B720,Classification!A:D,4,FALSE)</f>
        <v>Opioid</v>
      </c>
      <c r="G720" s="2">
        <v>6</v>
      </c>
      <c r="H720" s="45" t="s">
        <v>28</v>
      </c>
      <c r="I720" s="2" t="s">
        <v>1223</v>
      </c>
      <c r="J720" s="5" t="str">
        <f>VLOOKUP(B720,Seqs!A:B,2,FALSE)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20" s="4" t="str">
        <f t="shared" ref="K720:K783" si="72">MID(J720,L720,1)</f>
        <v>P</v>
      </c>
      <c r="L720" s="45">
        <f>VLOOKUP(B720,'NonXtal_SegEnds_Prot#'!A:AL,18,FALSE)</f>
        <v>172</v>
      </c>
      <c r="M720" s="45">
        <f>VLOOKUP(B720,'NonXtal_SegEnds_Prot#'!A:AL,19,FALSE)</f>
        <v>172</v>
      </c>
      <c r="N720" s="45">
        <f>VLOOKUP(B720,'NonXtal_SegEnds_Prot#'!A:AL,20,FALSE)</f>
        <v>179</v>
      </c>
      <c r="O720" s="4" t="str">
        <f t="shared" si="67"/>
        <v>R</v>
      </c>
      <c r="P720" s="4"/>
      <c r="Q720" s="47" t="str">
        <f t="shared" si="69"/>
        <v/>
      </c>
      <c r="R720" s="27" t="str">
        <f t="shared" si="70"/>
        <v>P</v>
      </c>
      <c r="S720" s="19" t="str">
        <f t="shared" si="71"/>
        <v>VKALDFR</v>
      </c>
      <c r="Z720" s="4"/>
      <c r="AD720" s="1" t="s">
        <v>29</v>
      </c>
      <c r="AE720" s="1">
        <v>174</v>
      </c>
      <c r="AF720" s="1">
        <v>172</v>
      </c>
      <c r="AG720" s="1">
        <v>181</v>
      </c>
      <c r="AH720" s="1" t="s">
        <v>30</v>
      </c>
      <c r="AK720" s="4">
        <v>50</v>
      </c>
      <c r="AL720" s="4">
        <v>57</v>
      </c>
    </row>
    <row r="721" spans="1:38" x14ac:dyDescent="0.25">
      <c r="A721" s="1" t="str">
        <f t="shared" si="68"/>
        <v>OPRM_mouse_5C1M_ICL2</v>
      </c>
      <c r="B721" s="45" t="s">
        <v>232</v>
      </c>
      <c r="C721" s="45" t="s">
        <v>276</v>
      </c>
      <c r="D721" s="4" t="str">
        <f>VLOOKUP(B721,Classification!A:D,2,FALSE)</f>
        <v>A</v>
      </c>
      <c r="E721" s="4" t="str">
        <f>VLOOKUP(B721,Classification!A:D,3,FALSE)</f>
        <v>Peptide</v>
      </c>
      <c r="F721" s="4" t="str">
        <f>VLOOKUP(B721,Classification!A:D,4,FALSE)</f>
        <v>Opioid</v>
      </c>
      <c r="G721" s="2">
        <v>6</v>
      </c>
      <c r="H721" s="45" t="s">
        <v>28</v>
      </c>
      <c r="I721" s="2" t="s">
        <v>1223</v>
      </c>
      <c r="J721" s="5" t="str">
        <f>VLOOKUP(B721,Seqs!A:B,2,FALSE)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21" s="4" t="str">
        <f t="shared" si="72"/>
        <v>P</v>
      </c>
      <c r="L721" s="45">
        <f>VLOOKUP(B721,'NonXtal_SegEnds_Prot#'!A:AL,18,FALSE)</f>
        <v>172</v>
      </c>
      <c r="M721" s="45">
        <f>VLOOKUP(B721,'NonXtal_SegEnds_Prot#'!A:AL,19,FALSE)</f>
        <v>172</v>
      </c>
      <c r="N721" s="45">
        <f>VLOOKUP(B721,'NonXtal_SegEnds_Prot#'!A:AL,20,FALSE)</f>
        <v>179</v>
      </c>
      <c r="O721" s="4" t="str">
        <f t="shared" si="67"/>
        <v>R</v>
      </c>
      <c r="P721" s="4"/>
      <c r="Q721" s="47" t="str">
        <f t="shared" si="69"/>
        <v/>
      </c>
      <c r="R721" s="27" t="str">
        <f t="shared" si="70"/>
        <v>P</v>
      </c>
      <c r="S721" s="19" t="str">
        <f t="shared" si="71"/>
        <v>VKALDFR</v>
      </c>
      <c r="Z721" s="4" t="s">
        <v>64</v>
      </c>
      <c r="AD721" s="1" t="s">
        <v>29</v>
      </c>
      <c r="AE721" s="1">
        <v>174</v>
      </c>
      <c r="AF721" s="1">
        <v>172</v>
      </c>
      <c r="AG721" s="1">
        <v>181</v>
      </c>
      <c r="AH721" s="1" t="s">
        <v>30</v>
      </c>
      <c r="AK721" s="4">
        <v>50</v>
      </c>
      <c r="AL721" s="4">
        <v>57</v>
      </c>
    </row>
    <row r="722" spans="1:38" x14ac:dyDescent="0.25">
      <c r="A722" s="1" t="str">
        <f t="shared" si="68"/>
        <v>OPRX_human__wt_ICL2</v>
      </c>
      <c r="B722" s="45" t="s">
        <v>1373</v>
      </c>
      <c r="C722" s="45" t="s">
        <v>294</v>
      </c>
      <c r="D722" s="4" t="str">
        <f>VLOOKUP(B722,Classification!A:D,2,FALSE)</f>
        <v>A</v>
      </c>
      <c r="E722" s="4" t="str">
        <f>VLOOKUP(B722,Classification!A:D,3,FALSE)</f>
        <v>Peptide</v>
      </c>
      <c r="F722" s="4" t="str">
        <f>VLOOKUP(B722,Classification!A:D,4,FALSE)</f>
        <v>Opioid</v>
      </c>
      <c r="G722" s="2">
        <v>6</v>
      </c>
      <c r="H722" s="45" t="s">
        <v>28</v>
      </c>
      <c r="I722" s="2" t="s">
        <v>1223</v>
      </c>
      <c r="J722" s="5" t="str">
        <f>VLOOKUP(B722,Seqs!A:B,2,FALSE)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22" s="4" t="str">
        <f t="shared" si="72"/>
        <v>P</v>
      </c>
      <c r="L722" s="45">
        <f>VLOOKUP(B722,'NonXtal_SegEnds_Prot#'!A:AL,18,FALSE)</f>
        <v>155</v>
      </c>
      <c r="M722" s="45">
        <f>VLOOKUP(B722,'NonXtal_SegEnds_Prot#'!A:AL,19,FALSE)</f>
        <v>155</v>
      </c>
      <c r="N722" s="45">
        <f>VLOOKUP(B722,'NonXtal_SegEnds_Prot#'!A:AL,20,FALSE)</f>
        <v>162</v>
      </c>
      <c r="O722" s="4" t="str">
        <f t="shared" si="67"/>
        <v>R</v>
      </c>
      <c r="P722" s="4"/>
      <c r="Q722" s="47" t="str">
        <f t="shared" si="69"/>
        <v/>
      </c>
      <c r="R722" s="27" t="str">
        <f t="shared" si="70"/>
        <v>P</v>
      </c>
      <c r="S722" s="19" t="str">
        <f t="shared" si="71"/>
        <v>IRALDVR</v>
      </c>
      <c r="Z722" s="4"/>
      <c r="AD722" s="1" t="s">
        <v>29</v>
      </c>
      <c r="AE722" s="1">
        <v>155</v>
      </c>
      <c r="AF722" s="1">
        <v>155</v>
      </c>
      <c r="AG722" s="1">
        <v>162</v>
      </c>
      <c r="AH722" s="1" t="s">
        <v>30</v>
      </c>
      <c r="AK722" s="4">
        <v>50</v>
      </c>
      <c r="AL722" s="4">
        <v>57</v>
      </c>
    </row>
    <row r="723" spans="1:38" x14ac:dyDescent="0.25">
      <c r="A723" s="1" t="str">
        <f t="shared" si="68"/>
        <v>OPRX_human_4EA3_ICL2</v>
      </c>
      <c r="B723" s="45" t="s">
        <v>1373</v>
      </c>
      <c r="C723" s="45" t="s">
        <v>258</v>
      </c>
      <c r="D723" s="4" t="str">
        <f>VLOOKUP(B723,Classification!A:D,2,FALSE)</f>
        <v>A</v>
      </c>
      <c r="E723" s="4" t="str">
        <f>VLOOKUP(B723,Classification!A:D,3,FALSE)</f>
        <v>Peptide</v>
      </c>
      <c r="F723" s="4" t="str">
        <f>VLOOKUP(B723,Classification!A:D,4,FALSE)</f>
        <v>Opioid</v>
      </c>
      <c r="G723" s="2">
        <v>6</v>
      </c>
      <c r="H723" s="45" t="s">
        <v>28</v>
      </c>
      <c r="I723" s="2" t="s">
        <v>1223</v>
      </c>
      <c r="J723" s="5" t="str">
        <f>VLOOKUP(B723,Seqs!A:B,2,FALSE)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23" s="4" t="str">
        <f t="shared" si="72"/>
        <v>P</v>
      </c>
      <c r="L723" s="45">
        <f>VLOOKUP(B723,'NonXtal_SegEnds_Prot#'!A:AL,18,FALSE)</f>
        <v>155</v>
      </c>
      <c r="M723" s="45">
        <f>VLOOKUP(B723,'NonXtal_SegEnds_Prot#'!A:AL,19,FALSE)</f>
        <v>155</v>
      </c>
      <c r="N723" s="45">
        <f>VLOOKUP(B723,'NonXtal_SegEnds_Prot#'!A:AL,20,FALSE)</f>
        <v>162</v>
      </c>
      <c r="O723" s="4" t="str">
        <f t="shared" si="67"/>
        <v>R</v>
      </c>
      <c r="P723" s="4" t="s">
        <v>1367</v>
      </c>
      <c r="Q723" s="47" t="str">
        <f t="shared" si="69"/>
        <v/>
      </c>
      <c r="R723" s="28" t="str">
        <f t="shared" si="70"/>
        <v>P</v>
      </c>
      <c r="S723" s="20" t="str">
        <f t="shared" si="71"/>
        <v>IRALDVR</v>
      </c>
      <c r="Z723" s="4"/>
      <c r="AD723" s="1" t="s">
        <v>29</v>
      </c>
      <c r="AE723" s="1">
        <v>155</v>
      </c>
      <c r="AF723" s="1">
        <v>155</v>
      </c>
      <c r="AG723" s="1">
        <v>162</v>
      </c>
      <c r="AH723" s="1" t="s">
        <v>30</v>
      </c>
      <c r="AK723" s="4">
        <v>50</v>
      </c>
      <c r="AL723" s="4">
        <v>57</v>
      </c>
    </row>
    <row r="724" spans="1:38" x14ac:dyDescent="0.25">
      <c r="A724" s="1" t="str">
        <f t="shared" si="68"/>
        <v>OPSD_bovin_1U19_ICL2</v>
      </c>
      <c r="B724" s="45" t="s">
        <v>231</v>
      </c>
      <c r="C724" s="45" t="s">
        <v>244</v>
      </c>
      <c r="D724" s="4" t="str">
        <f>VLOOKUP(B724,Classification!A:D,2,FALSE)</f>
        <v>A</v>
      </c>
      <c r="E724" s="4" t="str">
        <f>VLOOKUP(B724,Classification!A:D,3,FALSE)</f>
        <v>Sensory</v>
      </c>
      <c r="F724" s="4" t="str">
        <f>VLOOKUP(B724,Classification!A:D,4,FALSE)</f>
        <v>Opsins</v>
      </c>
      <c r="G724" s="2">
        <v>6</v>
      </c>
      <c r="H724" s="45" t="s">
        <v>28</v>
      </c>
      <c r="I724" s="2" t="s">
        <v>1223</v>
      </c>
      <c r="J724" s="5" t="str">
        <f>VLOOKUP(B724,Seqs!A:B,2,FALSE)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724" s="4" t="str">
        <f t="shared" si="72"/>
        <v>P</v>
      </c>
      <c r="L724" s="45">
        <f>VLOOKUP(B724,'NonXtal_SegEnds_Prot#'!A:AL,18,FALSE)</f>
        <v>142</v>
      </c>
      <c r="M724" s="45">
        <f>VLOOKUP(B724,'NonXtal_SegEnds_Prot#'!A:AL,19,FALSE)</f>
        <v>142</v>
      </c>
      <c r="N724" s="45">
        <f>VLOOKUP(B724,'NonXtal_SegEnds_Prot#'!A:AL,20,FALSE)</f>
        <v>149</v>
      </c>
      <c r="O724" s="4" t="str">
        <f t="shared" si="67"/>
        <v>G</v>
      </c>
      <c r="P724" s="4" t="s">
        <v>58</v>
      </c>
      <c r="Q724" s="47" t="str">
        <f t="shared" si="69"/>
        <v/>
      </c>
      <c r="R724" s="28" t="str">
        <f t="shared" si="70"/>
        <v>P</v>
      </c>
      <c r="S724" s="20" t="str">
        <f t="shared" si="71"/>
        <v>MSNFRFG</v>
      </c>
      <c r="Z724" s="4"/>
      <c r="AD724" s="1" t="s">
        <v>29</v>
      </c>
      <c r="AE724" s="1">
        <v>142</v>
      </c>
      <c r="AF724" s="1">
        <v>142</v>
      </c>
      <c r="AG724" s="1">
        <v>142</v>
      </c>
      <c r="AH724" s="1" t="s">
        <v>29</v>
      </c>
      <c r="AK724" s="4">
        <v>50</v>
      </c>
      <c r="AL724" s="4">
        <v>50</v>
      </c>
    </row>
    <row r="725" spans="1:38" x14ac:dyDescent="0.25">
      <c r="A725" s="1" t="str">
        <f t="shared" si="68"/>
        <v>OPSD_bovin_3DQB_ICL2</v>
      </c>
      <c r="B725" s="45" t="s">
        <v>231</v>
      </c>
      <c r="C725" s="45" t="s">
        <v>245</v>
      </c>
      <c r="D725" s="4" t="str">
        <f>VLOOKUP(B725,Classification!A:D,2,FALSE)</f>
        <v>A</v>
      </c>
      <c r="E725" s="4" t="str">
        <f>VLOOKUP(B725,Classification!A:D,3,FALSE)</f>
        <v>Sensory</v>
      </c>
      <c r="F725" s="4" t="str">
        <f>VLOOKUP(B725,Classification!A:D,4,FALSE)</f>
        <v>Opsins</v>
      </c>
      <c r="G725" s="2">
        <v>6</v>
      </c>
      <c r="H725" s="45" t="s">
        <v>28</v>
      </c>
      <c r="I725" s="2" t="s">
        <v>1223</v>
      </c>
      <c r="J725" s="5" t="str">
        <f>VLOOKUP(B725,Seqs!A:B,2,FALSE)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725" s="4" t="str">
        <f t="shared" si="72"/>
        <v>P</v>
      </c>
      <c r="L725" s="45">
        <f>VLOOKUP(B725,'NonXtal_SegEnds_Prot#'!A:AL,18,FALSE)</f>
        <v>142</v>
      </c>
      <c r="M725" s="45">
        <f>VLOOKUP(B725,'NonXtal_SegEnds_Prot#'!A:AL,19,FALSE)</f>
        <v>142</v>
      </c>
      <c r="N725" s="45">
        <f>VLOOKUP(B725,'NonXtal_SegEnds_Prot#'!A:AL,20,FALSE)</f>
        <v>149</v>
      </c>
      <c r="O725" s="4" t="str">
        <f t="shared" si="67"/>
        <v>G</v>
      </c>
      <c r="P725" s="4" t="s">
        <v>58</v>
      </c>
      <c r="Q725" s="47" t="str">
        <f t="shared" si="69"/>
        <v/>
      </c>
      <c r="R725" s="28" t="str">
        <f t="shared" si="70"/>
        <v>P</v>
      </c>
      <c r="S725" s="20" t="str">
        <f t="shared" si="71"/>
        <v>MSNFRFG</v>
      </c>
      <c r="Z725" s="4"/>
      <c r="AD725" s="1" t="s">
        <v>29</v>
      </c>
      <c r="AE725" s="1">
        <v>142</v>
      </c>
      <c r="AF725" s="1">
        <v>142</v>
      </c>
      <c r="AG725" s="1">
        <v>142</v>
      </c>
      <c r="AH725" s="1" t="s">
        <v>29</v>
      </c>
      <c r="AK725" s="4">
        <v>50</v>
      </c>
      <c r="AL725" s="4">
        <v>50</v>
      </c>
    </row>
    <row r="726" spans="1:38" x14ac:dyDescent="0.25">
      <c r="A726" s="1" t="str">
        <f t="shared" si="68"/>
        <v>OPSD_human__wt_ICL2</v>
      </c>
      <c r="B726" s="45" t="s">
        <v>228</v>
      </c>
      <c r="C726" s="45" t="s">
        <v>294</v>
      </c>
      <c r="D726" s="4" t="str">
        <f>VLOOKUP(B726,Classification!A:D,2,FALSE)</f>
        <v>A</v>
      </c>
      <c r="E726" s="4" t="str">
        <f>VLOOKUP(B726,Classification!A:D,3,FALSE)</f>
        <v>Sensory</v>
      </c>
      <c r="F726" s="4" t="str">
        <f>VLOOKUP(B726,Classification!A:D,4,FALSE)</f>
        <v>Opsins</v>
      </c>
      <c r="G726" s="2">
        <v>6</v>
      </c>
      <c r="H726" s="45" t="s">
        <v>28</v>
      </c>
      <c r="I726" s="2" t="s">
        <v>1223</v>
      </c>
      <c r="J726" s="5" t="str">
        <f>VLOOKUP(B726,Seqs!A:B,2,FALSE)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6" s="4" t="str">
        <f t="shared" si="72"/>
        <v>P</v>
      </c>
      <c r="L726" s="45">
        <f>VLOOKUP(B726,'NonXtal_SegEnds_Prot#'!A:AL,18,FALSE)</f>
        <v>142</v>
      </c>
      <c r="M726" s="45">
        <f>VLOOKUP(B726,'NonXtal_SegEnds_Prot#'!A:AL,19,FALSE)</f>
        <v>142</v>
      </c>
      <c r="N726" s="45">
        <f>VLOOKUP(B726,'NonXtal_SegEnds_Prot#'!A:AL,20,FALSE)</f>
        <v>149</v>
      </c>
      <c r="O726" s="4" t="str">
        <f t="shared" si="67"/>
        <v>G</v>
      </c>
      <c r="P726" s="4"/>
      <c r="Q726" s="47" t="str">
        <f t="shared" si="69"/>
        <v/>
      </c>
      <c r="R726" s="27" t="str">
        <f t="shared" si="70"/>
        <v>P</v>
      </c>
      <c r="S726" s="19" t="str">
        <f t="shared" si="71"/>
        <v>MSNFRFG</v>
      </c>
      <c r="Z726" s="4"/>
      <c r="AD726" s="1" t="s">
        <v>29</v>
      </c>
      <c r="AE726" s="1">
        <v>142</v>
      </c>
      <c r="AF726" s="1">
        <v>142</v>
      </c>
      <c r="AG726" s="1">
        <v>149</v>
      </c>
      <c r="AH726" s="1" t="s">
        <v>30</v>
      </c>
      <c r="AK726" s="4">
        <v>50</v>
      </c>
      <c r="AL726" s="4">
        <v>57</v>
      </c>
    </row>
    <row r="727" spans="1:38" x14ac:dyDescent="0.25">
      <c r="A727" s="1" t="str">
        <f t="shared" si="68"/>
        <v>OPSD_human__wt_ICL2</v>
      </c>
      <c r="B727" s="45" t="s">
        <v>228</v>
      </c>
      <c r="C727" s="45" t="s">
        <v>294</v>
      </c>
      <c r="D727" s="4" t="str">
        <f>VLOOKUP(B727,Classification!A:D,2,FALSE)</f>
        <v>A</v>
      </c>
      <c r="E727" s="4" t="str">
        <f>VLOOKUP(B727,Classification!A:D,3,FALSE)</f>
        <v>Sensory</v>
      </c>
      <c r="F727" s="4" t="str">
        <f>VLOOKUP(B727,Classification!A:D,4,FALSE)</f>
        <v>Opsins</v>
      </c>
      <c r="G727" s="2">
        <v>6</v>
      </c>
      <c r="H727" s="45" t="s">
        <v>28</v>
      </c>
      <c r="I727" s="2" t="s">
        <v>1223</v>
      </c>
      <c r="J727" s="5" t="str">
        <f>VLOOKUP(B727,Seqs!A:B,2,FALSE)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7" s="4" t="str">
        <f t="shared" si="72"/>
        <v>P</v>
      </c>
      <c r="L727" s="45">
        <f>VLOOKUP(B727,'NonXtal_SegEnds_Prot#'!A:AL,18,FALSE)</f>
        <v>142</v>
      </c>
      <c r="M727" s="45">
        <f>VLOOKUP(B727,'NonXtal_SegEnds_Prot#'!A:AL,19,FALSE)</f>
        <v>142</v>
      </c>
      <c r="N727" s="45">
        <f>VLOOKUP(B727,'NonXtal_SegEnds_Prot#'!A:AL,20,FALSE)</f>
        <v>149</v>
      </c>
      <c r="O727" s="4" t="str">
        <f t="shared" si="67"/>
        <v>G</v>
      </c>
      <c r="P727" s="4"/>
      <c r="Q727" s="47" t="str">
        <f t="shared" si="69"/>
        <v/>
      </c>
      <c r="R727" s="27" t="str">
        <f t="shared" si="70"/>
        <v>P</v>
      </c>
      <c r="S727" s="19" t="str">
        <f t="shared" si="71"/>
        <v>MSNFRFG</v>
      </c>
      <c r="Z727" s="4" t="s">
        <v>64</v>
      </c>
      <c r="AD727" s="1" t="s">
        <v>29</v>
      </c>
      <c r="AE727" s="1">
        <v>142</v>
      </c>
      <c r="AF727" s="1">
        <v>142</v>
      </c>
      <c r="AG727" s="1">
        <v>149</v>
      </c>
      <c r="AH727" s="1" t="s">
        <v>30</v>
      </c>
      <c r="AK727" s="4">
        <v>50</v>
      </c>
      <c r="AL727" s="4">
        <v>57</v>
      </c>
    </row>
    <row r="728" spans="1:38" x14ac:dyDescent="0.25">
      <c r="A728" s="1" t="str">
        <f t="shared" si="68"/>
        <v>OPSD_human_4ZWJ_ICL2</v>
      </c>
      <c r="B728" s="45" t="s">
        <v>228</v>
      </c>
      <c r="C728" s="45" t="s">
        <v>246</v>
      </c>
      <c r="D728" s="4" t="str">
        <f>VLOOKUP(B728,Classification!A:D,2,FALSE)</f>
        <v>A</v>
      </c>
      <c r="E728" s="4" t="str">
        <f>VLOOKUP(B728,Classification!A:D,3,FALSE)</f>
        <v>Sensory</v>
      </c>
      <c r="F728" s="4" t="str">
        <f>VLOOKUP(B728,Classification!A:D,4,FALSE)</f>
        <v>Opsins</v>
      </c>
      <c r="G728" s="2">
        <v>6</v>
      </c>
      <c r="H728" s="45" t="s">
        <v>28</v>
      </c>
      <c r="I728" s="2" t="s">
        <v>1223</v>
      </c>
      <c r="J728" s="5" t="str">
        <f>VLOOKUP(B728,Seqs!A:B,2,FALSE)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8" s="4" t="str">
        <f t="shared" si="72"/>
        <v>P</v>
      </c>
      <c r="L728" s="45">
        <f>VLOOKUP(B728,'NonXtal_SegEnds_Prot#'!A:AL,18,FALSE)</f>
        <v>142</v>
      </c>
      <c r="M728" s="45">
        <f>VLOOKUP(B728,'NonXtal_SegEnds_Prot#'!A:AL,19,FALSE)</f>
        <v>142</v>
      </c>
      <c r="N728" s="45">
        <f>VLOOKUP(B728,'NonXtal_SegEnds_Prot#'!A:AL,20,FALSE)</f>
        <v>149</v>
      </c>
      <c r="O728" s="4" t="str">
        <f t="shared" si="67"/>
        <v>G</v>
      </c>
      <c r="P728" s="4"/>
      <c r="Q728" s="47" t="str">
        <f t="shared" si="69"/>
        <v/>
      </c>
      <c r="R728" s="27" t="str">
        <f t="shared" si="70"/>
        <v>P</v>
      </c>
      <c r="S728" s="19" t="str">
        <f t="shared" si="71"/>
        <v>MSNFRFG</v>
      </c>
      <c r="Z728" s="4"/>
      <c r="AD728" s="1" t="s">
        <v>29</v>
      </c>
      <c r="AE728" s="1">
        <v>142</v>
      </c>
      <c r="AF728" s="1">
        <v>142</v>
      </c>
      <c r="AG728" s="1">
        <v>149</v>
      </c>
      <c r="AH728" s="1" t="s">
        <v>30</v>
      </c>
      <c r="AK728" s="4">
        <v>50</v>
      </c>
      <c r="AL728" s="4">
        <v>57</v>
      </c>
    </row>
    <row r="729" spans="1:38" x14ac:dyDescent="0.25">
      <c r="A729" s="1" t="str">
        <f t="shared" si="68"/>
        <v>OPSD_human_4ZWJ_ICL2</v>
      </c>
      <c r="B729" s="45" t="s">
        <v>228</v>
      </c>
      <c r="C729" s="45" t="s">
        <v>246</v>
      </c>
      <c r="D729" s="4" t="str">
        <f>VLOOKUP(B729,Classification!A:D,2,FALSE)</f>
        <v>A</v>
      </c>
      <c r="E729" s="4" t="str">
        <f>VLOOKUP(B729,Classification!A:D,3,FALSE)</f>
        <v>Sensory</v>
      </c>
      <c r="F729" s="4" t="str">
        <f>VLOOKUP(B729,Classification!A:D,4,FALSE)</f>
        <v>Opsins</v>
      </c>
      <c r="G729" s="2">
        <v>6</v>
      </c>
      <c r="H729" s="45" t="s">
        <v>28</v>
      </c>
      <c r="I729" s="2" t="s">
        <v>1223</v>
      </c>
      <c r="J729" s="5" t="str">
        <f>VLOOKUP(B729,Seqs!A:B,2,FALSE)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9" s="4" t="str">
        <f t="shared" si="72"/>
        <v>P</v>
      </c>
      <c r="L729" s="45">
        <f>VLOOKUP(B729,'NonXtal_SegEnds_Prot#'!A:AL,18,FALSE)</f>
        <v>142</v>
      </c>
      <c r="M729" s="45">
        <f>VLOOKUP(B729,'NonXtal_SegEnds_Prot#'!A:AL,19,FALSE)</f>
        <v>142</v>
      </c>
      <c r="N729" s="45">
        <f>VLOOKUP(B729,'NonXtal_SegEnds_Prot#'!A:AL,20,FALSE)</f>
        <v>149</v>
      </c>
      <c r="O729" s="4" t="str">
        <f t="shared" si="67"/>
        <v>G</v>
      </c>
      <c r="P729" s="4"/>
      <c r="Q729" s="47" t="str">
        <f t="shared" si="69"/>
        <v/>
      </c>
      <c r="R729" s="27" t="str">
        <f t="shared" si="70"/>
        <v>P</v>
      </c>
      <c r="S729" s="19" t="str">
        <f t="shared" si="71"/>
        <v>MSNFRFG</v>
      </c>
      <c r="Z729" s="4" t="s">
        <v>64</v>
      </c>
      <c r="AD729" s="1" t="s">
        <v>29</v>
      </c>
      <c r="AE729" s="1">
        <v>142</v>
      </c>
      <c r="AF729" s="1">
        <v>142</v>
      </c>
      <c r="AG729" s="1">
        <v>149</v>
      </c>
      <c r="AH729" s="1" t="s">
        <v>30</v>
      </c>
      <c r="AK729" s="4">
        <v>50</v>
      </c>
      <c r="AL729" s="4">
        <v>57</v>
      </c>
    </row>
    <row r="730" spans="1:38" x14ac:dyDescent="0.25">
      <c r="A730" s="1" t="str">
        <f t="shared" si="68"/>
        <v>OPSD_todpa__wt_ICL2</v>
      </c>
      <c r="B730" s="45" t="s">
        <v>291</v>
      </c>
      <c r="C730" s="45" t="s">
        <v>294</v>
      </c>
      <c r="D730" s="4" t="str">
        <f>VLOOKUP(B730,Classification!A:D,2,FALSE)</f>
        <v>A</v>
      </c>
      <c r="E730" s="4" t="str">
        <f>VLOOKUP(B730,Classification!A:D,3,FALSE)</f>
        <v>Sensory</v>
      </c>
      <c r="F730" s="4" t="str">
        <f>VLOOKUP(B730,Classification!A:D,4,FALSE)</f>
        <v>Opsins</v>
      </c>
      <c r="G730" s="2">
        <v>6</v>
      </c>
      <c r="H730" s="45" t="s">
        <v>28</v>
      </c>
      <c r="I730" s="2" t="s">
        <v>1223</v>
      </c>
      <c r="J730" s="5" t="str">
        <f>VLOOKUP(B730,Seqs!A:B,2,FALSE)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730" s="4" t="str">
        <f t="shared" si="72"/>
        <v>P</v>
      </c>
      <c r="L730" s="45">
        <f>VLOOKUP(B730,'NonXtal_SegEnds_Prot#'!A:AL,18,FALSE)</f>
        <v>140</v>
      </c>
      <c r="M730" s="45">
        <f>VLOOKUP(B730,'NonXtal_SegEnds_Prot#'!A:AL,19,FALSE)</f>
        <v>140</v>
      </c>
      <c r="N730" s="45">
        <f>VLOOKUP(B730,'NonXtal_SegEnds_Prot#'!A:AL,20,FALSE)</f>
        <v>147</v>
      </c>
      <c r="O730" s="4" t="str">
        <f t="shared" si="67"/>
        <v>M</v>
      </c>
      <c r="P730" s="4"/>
      <c r="Q730" s="47" t="str">
        <f t="shared" si="69"/>
        <v/>
      </c>
      <c r="R730" s="27" t="str">
        <f t="shared" si="70"/>
        <v>P</v>
      </c>
      <c r="S730" s="19" t="str">
        <f t="shared" si="71"/>
        <v>MAASKKM</v>
      </c>
      <c r="Z730" s="4"/>
      <c r="AD730" s="1" t="s">
        <v>29</v>
      </c>
      <c r="AE730" s="1">
        <v>140</v>
      </c>
      <c r="AF730" s="1">
        <v>140</v>
      </c>
      <c r="AG730" s="1">
        <v>147</v>
      </c>
      <c r="AH730" s="1" t="s">
        <v>30</v>
      </c>
      <c r="AK730" s="4">
        <v>50</v>
      </c>
      <c r="AL730" s="4">
        <v>57</v>
      </c>
    </row>
    <row r="731" spans="1:38" x14ac:dyDescent="0.25">
      <c r="A731" s="1" t="str">
        <f t="shared" si="68"/>
        <v>OPSD_todpa_quid_ICL2</v>
      </c>
      <c r="B731" s="45" t="s">
        <v>291</v>
      </c>
      <c r="C731" s="45" t="s">
        <v>243</v>
      </c>
      <c r="D731" s="4" t="str">
        <f>VLOOKUP(B731,Classification!A:D,2,FALSE)</f>
        <v>A</v>
      </c>
      <c r="E731" s="4" t="str">
        <f>VLOOKUP(B731,Classification!A:D,3,FALSE)</f>
        <v>Sensory</v>
      </c>
      <c r="F731" s="4" t="str">
        <f>VLOOKUP(B731,Classification!A:D,4,FALSE)</f>
        <v>Opsins</v>
      </c>
      <c r="G731" s="2">
        <v>6</v>
      </c>
      <c r="H731" s="45" t="s">
        <v>28</v>
      </c>
      <c r="I731" s="2" t="s">
        <v>1223</v>
      </c>
      <c r="J731" s="5" t="str">
        <f>VLOOKUP(B731,Seqs!A:B,2,FALSE)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731" s="4" t="str">
        <f t="shared" si="72"/>
        <v>P</v>
      </c>
      <c r="L731" s="45">
        <f>VLOOKUP(B731,'NonXtal_SegEnds_Prot#'!A:AL,18,FALSE)</f>
        <v>140</v>
      </c>
      <c r="M731" s="45">
        <f>VLOOKUP(B731,'NonXtal_SegEnds_Prot#'!A:AL,19,FALSE)</f>
        <v>140</v>
      </c>
      <c r="N731" s="45">
        <f>VLOOKUP(B731,'NonXtal_SegEnds_Prot#'!A:AL,20,FALSE)</f>
        <v>147</v>
      </c>
      <c r="O731" s="4" t="str">
        <f t="shared" si="67"/>
        <v>M</v>
      </c>
      <c r="P731" s="4" t="s">
        <v>58</v>
      </c>
      <c r="Q731" s="47" t="str">
        <f t="shared" si="69"/>
        <v/>
      </c>
      <c r="R731" s="28" t="str">
        <f t="shared" si="70"/>
        <v>P</v>
      </c>
      <c r="S731" s="20" t="str">
        <f t="shared" si="71"/>
        <v>MAASKKM</v>
      </c>
      <c r="Z731" s="4"/>
      <c r="AD731" s="1" t="s">
        <v>29</v>
      </c>
      <c r="AE731" s="1">
        <v>140</v>
      </c>
      <c r="AF731" s="1">
        <v>140</v>
      </c>
      <c r="AG731" s="1">
        <v>140</v>
      </c>
      <c r="AH731" s="1" t="s">
        <v>29</v>
      </c>
      <c r="AK731" s="4">
        <v>50</v>
      </c>
      <c r="AL731" s="4">
        <v>50</v>
      </c>
    </row>
    <row r="732" spans="1:38" x14ac:dyDescent="0.25">
      <c r="A732" s="1" t="str">
        <f t="shared" si="68"/>
        <v>OX1R_human__wt_ICL2</v>
      </c>
      <c r="B732" s="45" t="s">
        <v>1374</v>
      </c>
      <c r="C732" s="45" t="s">
        <v>294</v>
      </c>
      <c r="D732" s="4" t="str">
        <f>VLOOKUP(B732,Classification!A:D,2,FALSE)</f>
        <v>A</v>
      </c>
      <c r="E732" s="4" t="str">
        <f>VLOOKUP(B732,Classification!A:D,3,FALSE)</f>
        <v>Peptide</v>
      </c>
      <c r="F732" s="4" t="str">
        <f>VLOOKUP(B732,Classification!A:D,4,FALSE)</f>
        <v>Orexin</v>
      </c>
      <c r="G732" s="2">
        <v>6</v>
      </c>
      <c r="H732" s="45" t="s">
        <v>28</v>
      </c>
      <c r="I732" s="2" t="s">
        <v>126</v>
      </c>
      <c r="J732" s="5" t="str">
        <f>VLOOKUP(B732,Seqs!A:B,2,FALSE)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732" s="4" t="str">
        <f t="shared" si="72"/>
        <v>P</v>
      </c>
      <c r="L732" s="45">
        <f>VLOOKUP(B732,'NonXtal_SegEnds_Prot#'!A:AL,18,FALSE)</f>
        <v>151</v>
      </c>
      <c r="M732" s="45">
        <f>VLOOKUP(B732,'NonXtal_SegEnds_Prot#'!A:AL,19,FALSE)</f>
        <v>151</v>
      </c>
      <c r="N732" s="45">
        <f>VLOOKUP(B732,'NonXtal_SegEnds_Prot#'!A:AL,20,FALSE)</f>
        <v>157</v>
      </c>
      <c r="O732" s="4" t="str">
        <f t="shared" si="67"/>
        <v>T</v>
      </c>
      <c r="P732" s="4"/>
      <c r="Q732" s="47" t="str">
        <f t="shared" si="69"/>
        <v/>
      </c>
      <c r="R732" s="27" t="str">
        <f t="shared" si="70"/>
        <v>P</v>
      </c>
      <c r="S732" s="19" t="str">
        <f t="shared" si="71"/>
        <v>LLFKST</v>
      </c>
      <c r="Z732" s="4" t="s">
        <v>78</v>
      </c>
      <c r="AD732" s="1" t="s">
        <v>29</v>
      </c>
      <c r="AE732" s="1">
        <v>151</v>
      </c>
      <c r="AF732" s="1">
        <v>151</v>
      </c>
      <c r="AG732" s="1">
        <v>157</v>
      </c>
      <c r="AH732" s="1" t="s">
        <v>30</v>
      </c>
      <c r="AK732" s="4">
        <v>50</v>
      </c>
      <c r="AL732" s="4">
        <v>57</v>
      </c>
    </row>
    <row r="733" spans="1:38" x14ac:dyDescent="0.25">
      <c r="A733" s="1" t="str">
        <f t="shared" si="68"/>
        <v>OX1R_human_4ZJ8_ICL2</v>
      </c>
      <c r="B733" s="45" t="s">
        <v>1374</v>
      </c>
      <c r="C733" s="45" t="s">
        <v>282</v>
      </c>
      <c r="D733" s="4" t="str">
        <f>VLOOKUP(B733,Classification!A:D,2,FALSE)</f>
        <v>A</v>
      </c>
      <c r="E733" s="4" t="str">
        <f>VLOOKUP(B733,Classification!A:D,3,FALSE)</f>
        <v>Peptide</v>
      </c>
      <c r="F733" s="4" t="str">
        <f>VLOOKUP(B733,Classification!A:D,4,FALSE)</f>
        <v>Orexin</v>
      </c>
      <c r="G733" s="2">
        <v>6</v>
      </c>
      <c r="H733" s="45" t="s">
        <v>28</v>
      </c>
      <c r="I733" s="2" t="s">
        <v>126</v>
      </c>
      <c r="J733" s="5" t="str">
        <f>VLOOKUP(B733,Seqs!A:B,2,FALSE)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733" s="4" t="str">
        <f t="shared" si="72"/>
        <v>P</v>
      </c>
      <c r="L733" s="45">
        <f>VLOOKUP(B733,'NonXtal_SegEnds_Prot#'!A:AL,18,FALSE)</f>
        <v>151</v>
      </c>
      <c r="M733" s="45">
        <f>VLOOKUP(B733,'NonXtal_SegEnds_Prot#'!A:AL,19,FALSE)</f>
        <v>151</v>
      </c>
      <c r="N733" s="45">
        <f>VLOOKUP(B733,'NonXtal_SegEnds_Prot#'!A:AL,20,FALSE)</f>
        <v>157</v>
      </c>
      <c r="O733" s="4" t="str">
        <f t="shared" si="67"/>
        <v>T</v>
      </c>
      <c r="P733" s="4" t="s">
        <v>58</v>
      </c>
      <c r="Q733" s="47" t="str">
        <f t="shared" si="69"/>
        <v/>
      </c>
      <c r="R733" s="28" t="str">
        <f t="shared" si="70"/>
        <v>P</v>
      </c>
      <c r="S733" s="20" t="str">
        <f t="shared" si="71"/>
        <v>LLFKST</v>
      </c>
      <c r="Z733" s="4" t="s">
        <v>78</v>
      </c>
      <c r="AD733" s="1" t="s">
        <v>29</v>
      </c>
      <c r="AE733" s="1">
        <v>151</v>
      </c>
      <c r="AF733" s="1">
        <v>151</v>
      </c>
      <c r="AG733" s="1">
        <v>157</v>
      </c>
      <c r="AH733" s="1" t="s">
        <v>30</v>
      </c>
      <c r="AK733" s="4">
        <v>50</v>
      </c>
      <c r="AL733" s="4">
        <v>57</v>
      </c>
    </row>
    <row r="734" spans="1:38" x14ac:dyDescent="0.25">
      <c r="A734" s="1" t="str">
        <f t="shared" si="68"/>
        <v>OX1R_human_4ZJC_ICL2</v>
      </c>
      <c r="B734" s="45" t="s">
        <v>1374</v>
      </c>
      <c r="C734" s="45" t="s">
        <v>283</v>
      </c>
      <c r="D734" s="4" t="str">
        <f>VLOOKUP(B734,Classification!A:D,2,FALSE)</f>
        <v>A</v>
      </c>
      <c r="E734" s="4" t="str">
        <f>VLOOKUP(B734,Classification!A:D,3,FALSE)</f>
        <v>Peptide</v>
      </c>
      <c r="F734" s="4" t="str">
        <f>VLOOKUP(B734,Classification!A:D,4,FALSE)</f>
        <v>Orexin</v>
      </c>
      <c r="G734" s="2">
        <v>6</v>
      </c>
      <c r="H734" s="45" t="s">
        <v>28</v>
      </c>
      <c r="I734" s="2" t="s">
        <v>126</v>
      </c>
      <c r="J734" s="5" t="str">
        <f>VLOOKUP(B734,Seqs!A:B,2,FALSE)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734" s="4" t="str">
        <f t="shared" si="72"/>
        <v>P</v>
      </c>
      <c r="L734" s="45">
        <f>VLOOKUP(B734,'NonXtal_SegEnds_Prot#'!A:AL,18,FALSE)</f>
        <v>151</v>
      </c>
      <c r="M734" s="45">
        <f>VLOOKUP(B734,'NonXtal_SegEnds_Prot#'!A:AL,19,FALSE)</f>
        <v>151</v>
      </c>
      <c r="N734" s="45">
        <f>VLOOKUP(B734,'NonXtal_SegEnds_Prot#'!A:AL,20,FALSE)</f>
        <v>157</v>
      </c>
      <c r="O734" s="4" t="str">
        <f t="shared" si="67"/>
        <v>T</v>
      </c>
      <c r="P734" s="4" t="s">
        <v>58</v>
      </c>
      <c r="Q734" s="47" t="str">
        <f t="shared" si="69"/>
        <v/>
      </c>
      <c r="R734" s="28" t="str">
        <f t="shared" si="70"/>
        <v>P</v>
      </c>
      <c r="S734" s="20" t="str">
        <f t="shared" si="71"/>
        <v>LLFKST</v>
      </c>
      <c r="Z734" s="4"/>
      <c r="AD734" s="1" t="s">
        <v>29</v>
      </c>
      <c r="AE734" s="1">
        <v>151</v>
      </c>
      <c r="AF734" s="1">
        <v>151</v>
      </c>
      <c r="AG734" s="1">
        <v>157</v>
      </c>
      <c r="AH734" s="1" t="s">
        <v>30</v>
      </c>
      <c r="AK734" s="4">
        <v>50</v>
      </c>
      <c r="AL734" s="4">
        <v>57</v>
      </c>
    </row>
    <row r="735" spans="1:38" x14ac:dyDescent="0.25">
      <c r="A735" s="1" t="str">
        <f t="shared" si="68"/>
        <v>OX2R_human__wt_ICL2</v>
      </c>
      <c r="B735" s="45" t="s">
        <v>1375</v>
      </c>
      <c r="C735" s="45" t="s">
        <v>294</v>
      </c>
      <c r="D735" s="4" t="str">
        <f>VLOOKUP(B735,Classification!A:D,2,FALSE)</f>
        <v>A</v>
      </c>
      <c r="E735" s="4" t="str">
        <f>VLOOKUP(B735,Classification!A:D,3,FALSE)</f>
        <v>Peptide</v>
      </c>
      <c r="F735" s="4" t="str">
        <f>VLOOKUP(B735,Classification!A:D,4,FALSE)</f>
        <v>Orexin</v>
      </c>
      <c r="G735" s="2">
        <v>6</v>
      </c>
      <c r="H735" s="45" t="s">
        <v>28</v>
      </c>
      <c r="I735" s="2" t="s">
        <v>126</v>
      </c>
      <c r="J735" s="5" t="str">
        <f>VLOOKUP(B735,Seqs!A:B,2,FALSE)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735" s="4" t="str">
        <f t="shared" si="72"/>
        <v>P</v>
      </c>
      <c r="L735" s="45">
        <f>VLOOKUP(B735,'NonXtal_SegEnds_Prot#'!A:AL,18,FALSE)</f>
        <v>159</v>
      </c>
      <c r="M735" s="45">
        <f>VLOOKUP(B735,'NonXtal_SegEnds_Prot#'!A:AL,19,FALSE)</f>
        <v>159</v>
      </c>
      <c r="N735" s="45">
        <f>VLOOKUP(B735,'NonXtal_SegEnds_Prot#'!A:AL,20,FALSE)</f>
        <v>165</v>
      </c>
      <c r="O735" s="4" t="str">
        <f t="shared" si="67"/>
        <v>T</v>
      </c>
      <c r="P735" s="4"/>
      <c r="Q735" s="47" t="str">
        <f t="shared" si="69"/>
        <v/>
      </c>
      <c r="R735" s="28" t="str">
        <f t="shared" si="70"/>
        <v>P</v>
      </c>
      <c r="S735" s="20" t="str">
        <f t="shared" si="71"/>
        <v>LMFKST</v>
      </c>
      <c r="Z735" s="4"/>
      <c r="AD735" s="1" t="s">
        <v>29</v>
      </c>
      <c r="AE735" s="1">
        <v>159</v>
      </c>
      <c r="AF735" s="1">
        <v>159</v>
      </c>
      <c r="AG735" s="1">
        <v>166</v>
      </c>
      <c r="AH735" s="1" t="s">
        <v>30</v>
      </c>
      <c r="AK735" s="4">
        <v>50</v>
      </c>
      <c r="AL735" s="4">
        <v>57</v>
      </c>
    </row>
    <row r="736" spans="1:38" x14ac:dyDescent="0.25">
      <c r="A736" s="1" t="str">
        <f t="shared" si="68"/>
        <v>OX2R_human_4S0V_ICL2</v>
      </c>
      <c r="B736" s="45" t="s">
        <v>1375</v>
      </c>
      <c r="C736" s="45" t="s">
        <v>284</v>
      </c>
      <c r="D736" s="4" t="str">
        <f>VLOOKUP(B736,Classification!A:D,2,FALSE)</f>
        <v>A</v>
      </c>
      <c r="E736" s="4" t="str">
        <f>VLOOKUP(B736,Classification!A:D,3,FALSE)</f>
        <v>Peptide</v>
      </c>
      <c r="F736" s="4" t="str">
        <f>VLOOKUP(B736,Classification!A:D,4,FALSE)</f>
        <v>Orexin</v>
      </c>
      <c r="G736" s="2">
        <v>6</v>
      </c>
      <c r="H736" s="45" t="s">
        <v>28</v>
      </c>
      <c r="I736" s="2" t="s">
        <v>126</v>
      </c>
      <c r="J736" s="5" t="str">
        <f>VLOOKUP(B736,Seqs!A:B,2,FALSE)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736" s="4" t="str">
        <f t="shared" si="72"/>
        <v>P</v>
      </c>
      <c r="L736" s="45">
        <f>VLOOKUP(B736,'NonXtal_SegEnds_Prot#'!A:AL,18,FALSE)</f>
        <v>159</v>
      </c>
      <c r="M736" s="45">
        <f>VLOOKUP(B736,'NonXtal_SegEnds_Prot#'!A:AL,19,FALSE)</f>
        <v>159</v>
      </c>
      <c r="N736" s="45">
        <f>VLOOKUP(B736,'NonXtal_SegEnds_Prot#'!A:AL,20,FALSE)</f>
        <v>165</v>
      </c>
      <c r="O736" s="4" t="str">
        <f t="shared" si="67"/>
        <v>T</v>
      </c>
      <c r="P736" s="4" t="s">
        <v>1227</v>
      </c>
      <c r="Q736" s="47" t="str">
        <f t="shared" si="69"/>
        <v/>
      </c>
      <c r="R736" s="28" t="str">
        <f t="shared" si="70"/>
        <v>P</v>
      </c>
      <c r="S736" s="20" t="str">
        <f t="shared" si="71"/>
        <v>LMFKST</v>
      </c>
      <c r="Z736" s="4"/>
      <c r="AD736" s="1" t="s">
        <v>29</v>
      </c>
      <c r="AE736" s="1">
        <v>159</v>
      </c>
      <c r="AF736" s="1">
        <v>159</v>
      </c>
      <c r="AG736" s="1">
        <v>166</v>
      </c>
      <c r="AH736" s="1" t="s">
        <v>30</v>
      </c>
      <c r="AK736" s="4">
        <v>50</v>
      </c>
      <c r="AL736" s="4">
        <v>57</v>
      </c>
    </row>
    <row r="737" spans="1:38" x14ac:dyDescent="0.25">
      <c r="A737" s="1" t="str">
        <f t="shared" si="68"/>
        <v>P2RY1_human__wt_ICL2</v>
      </c>
      <c r="B737" s="45" t="s">
        <v>215</v>
      </c>
      <c r="C737" s="45" t="s">
        <v>294</v>
      </c>
      <c r="D737" s="4" t="str">
        <f>VLOOKUP(B737,Classification!A:D,2,FALSE)</f>
        <v>A</v>
      </c>
      <c r="E737" s="4" t="str">
        <f>VLOOKUP(B737,Classification!A:D,3,FALSE)</f>
        <v>Nucleotide</v>
      </c>
      <c r="F737" s="4" t="str">
        <f>VLOOKUP(B737,Classification!A:D,4,FALSE)</f>
        <v>P2Y</v>
      </c>
      <c r="G737" s="2">
        <v>6</v>
      </c>
      <c r="H737" s="45" t="s">
        <v>28</v>
      </c>
      <c r="I737" s="2" t="s">
        <v>1223</v>
      </c>
      <c r="J737" s="5" t="str">
        <f>VLOOKUP(B737,Seqs!A:B,2,FALSE)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737" s="4" t="str">
        <f t="shared" si="72"/>
        <v>P</v>
      </c>
      <c r="L737" s="45">
        <f>VLOOKUP(B737,'NonXtal_SegEnds_Prot#'!A:AL,18,FALSE)</f>
        <v>156</v>
      </c>
      <c r="M737" s="45">
        <f>VLOOKUP(B737,'NonXtal_SegEnds_Prot#'!A:AL,19,FALSE)</f>
        <v>156</v>
      </c>
      <c r="N737" s="45">
        <f>VLOOKUP(B737,'NonXtal_SegEnds_Prot#'!A:AL,20,FALSE)</f>
        <v>163</v>
      </c>
      <c r="O737" s="4" t="str">
        <f t="shared" si="67"/>
        <v>L</v>
      </c>
      <c r="P737" s="4"/>
      <c r="Q737" s="47" t="str">
        <f t="shared" si="69"/>
        <v/>
      </c>
      <c r="R737" s="27" t="str">
        <f t="shared" si="70"/>
        <v>P</v>
      </c>
      <c r="S737" s="19" t="str">
        <f t="shared" si="71"/>
        <v>LKSLGRL</v>
      </c>
      <c r="Z737" s="4"/>
      <c r="AD737" s="1" t="s">
        <v>29</v>
      </c>
      <c r="AE737" s="1">
        <v>156</v>
      </c>
      <c r="AF737" s="1">
        <v>156</v>
      </c>
      <c r="AG737" s="1">
        <v>163</v>
      </c>
      <c r="AH737" s="1" t="s">
        <v>30</v>
      </c>
      <c r="AK737" s="4">
        <v>50</v>
      </c>
      <c r="AL737" s="4">
        <v>57</v>
      </c>
    </row>
    <row r="738" spans="1:38" x14ac:dyDescent="0.25">
      <c r="A738" s="1" t="str">
        <f t="shared" si="68"/>
        <v>P2RY1_human_4xNV_ICL2</v>
      </c>
      <c r="B738" s="45" t="s">
        <v>215</v>
      </c>
      <c r="C738" s="45" t="s">
        <v>274</v>
      </c>
      <c r="D738" s="4" t="str">
        <f>VLOOKUP(B738,Classification!A:D,2,FALSE)</f>
        <v>A</v>
      </c>
      <c r="E738" s="4" t="str">
        <f>VLOOKUP(B738,Classification!A:D,3,FALSE)</f>
        <v>Nucleotide</v>
      </c>
      <c r="F738" s="4" t="str">
        <f>VLOOKUP(B738,Classification!A:D,4,FALSE)</f>
        <v>P2Y</v>
      </c>
      <c r="G738" s="2">
        <v>6</v>
      </c>
      <c r="H738" s="45" t="s">
        <v>28</v>
      </c>
      <c r="I738" s="2" t="s">
        <v>1223</v>
      </c>
      <c r="J738" s="5" t="str">
        <f>VLOOKUP(B738,Seqs!A:B,2,FALSE)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738" s="4" t="str">
        <f t="shared" si="72"/>
        <v>P</v>
      </c>
      <c r="L738" s="45">
        <f>VLOOKUP(B738,'NonXtal_SegEnds_Prot#'!A:AL,18,FALSE)</f>
        <v>156</v>
      </c>
      <c r="M738" s="45">
        <f>VLOOKUP(B738,'NonXtal_SegEnds_Prot#'!A:AL,19,FALSE)</f>
        <v>156</v>
      </c>
      <c r="N738" s="45">
        <f>VLOOKUP(B738,'NonXtal_SegEnds_Prot#'!A:AL,20,FALSE)</f>
        <v>163</v>
      </c>
      <c r="O738" s="4" t="str">
        <f t="shared" si="67"/>
        <v>L</v>
      </c>
      <c r="P738" s="4" t="s">
        <v>1227</v>
      </c>
      <c r="Q738" s="47" t="str">
        <f t="shared" si="69"/>
        <v/>
      </c>
      <c r="R738" s="28" t="str">
        <f t="shared" si="70"/>
        <v>P</v>
      </c>
      <c r="S738" s="20" t="str">
        <f t="shared" si="71"/>
        <v>LKSLGRL</v>
      </c>
      <c r="Z738" s="4"/>
      <c r="AD738" s="1" t="s">
        <v>29</v>
      </c>
      <c r="AE738" s="1">
        <v>156</v>
      </c>
      <c r="AF738" s="1">
        <v>156</v>
      </c>
      <c r="AG738" s="1">
        <v>163</v>
      </c>
      <c r="AH738" s="1" t="s">
        <v>30</v>
      </c>
      <c r="AK738" s="4">
        <v>50</v>
      </c>
      <c r="AL738" s="4">
        <v>57</v>
      </c>
    </row>
    <row r="739" spans="1:38" x14ac:dyDescent="0.25">
      <c r="A739" s="1" t="str">
        <f t="shared" si="68"/>
        <v>P2Y12_human__wt_ICL2</v>
      </c>
      <c r="B739" s="45" t="s">
        <v>216</v>
      </c>
      <c r="C739" s="45" t="s">
        <v>294</v>
      </c>
      <c r="D739" s="4" t="str">
        <f>VLOOKUP(B739,Classification!A:D,2,FALSE)</f>
        <v>A</v>
      </c>
      <c r="E739" s="4" t="str">
        <f>VLOOKUP(B739,Classification!A:D,3,FALSE)</f>
        <v>Nucleotide</v>
      </c>
      <c r="F739" s="4" t="str">
        <f>VLOOKUP(B739,Classification!A:D,4,FALSE)</f>
        <v>P2Y</v>
      </c>
      <c r="G739" s="2">
        <v>6</v>
      </c>
      <c r="H739" s="45" t="s">
        <v>28</v>
      </c>
      <c r="I739" s="2" t="s">
        <v>1223</v>
      </c>
      <c r="J739" s="5" t="str">
        <f>VLOOKUP(B739,Seqs!A:B,2,FALSE)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739" s="4" t="str">
        <f t="shared" si="72"/>
        <v>P</v>
      </c>
      <c r="L739" s="45">
        <f>VLOOKUP(B739,'NonXtal_SegEnds_Prot#'!A:AL,18,FALSE)</f>
        <v>129</v>
      </c>
      <c r="M739" s="45">
        <f>VLOOKUP(B739,'NonXtal_SegEnds_Prot#'!A:AL,19,FALSE)</f>
        <v>129</v>
      </c>
      <c r="N739" s="45">
        <f>VLOOKUP(B739,'NonXtal_SegEnds_Prot#'!A:AL,20,FALSE)</f>
        <v>136</v>
      </c>
      <c r="O739" s="4" t="str">
        <f t="shared" si="67"/>
        <v>K</v>
      </c>
      <c r="P739" s="4"/>
      <c r="Q739" s="47" t="str">
        <f t="shared" si="69"/>
        <v/>
      </c>
      <c r="R739" s="27" t="str">
        <f t="shared" si="70"/>
        <v>P</v>
      </c>
      <c r="S739" s="19" t="str">
        <f t="shared" si="71"/>
        <v>FKTSNPK</v>
      </c>
      <c r="Z739" s="4"/>
      <c r="AD739" s="1" t="s">
        <v>29</v>
      </c>
      <c r="AE739" s="1">
        <v>129</v>
      </c>
      <c r="AF739" s="1">
        <v>129</v>
      </c>
      <c r="AG739" s="1">
        <v>136</v>
      </c>
      <c r="AH739" s="1" t="s">
        <v>30</v>
      </c>
      <c r="AK739" s="4">
        <v>50</v>
      </c>
      <c r="AL739" s="4">
        <v>57</v>
      </c>
    </row>
    <row r="740" spans="1:38" x14ac:dyDescent="0.25">
      <c r="A740" s="1" t="str">
        <f t="shared" si="68"/>
        <v>P2Y12_human_4PxZ_ICL2</v>
      </c>
      <c r="B740" s="45" t="s">
        <v>216</v>
      </c>
      <c r="C740" s="45" t="s">
        <v>242</v>
      </c>
      <c r="D740" s="4" t="str">
        <f>VLOOKUP(B740,Classification!A:D,2,FALSE)</f>
        <v>A</v>
      </c>
      <c r="E740" s="4" t="str">
        <f>VLOOKUP(B740,Classification!A:D,3,FALSE)</f>
        <v>Nucleotide</v>
      </c>
      <c r="F740" s="4" t="str">
        <f>VLOOKUP(B740,Classification!A:D,4,FALSE)</f>
        <v>P2Y</v>
      </c>
      <c r="G740" s="2">
        <v>6</v>
      </c>
      <c r="H740" s="45" t="s">
        <v>28</v>
      </c>
      <c r="I740" s="2" t="s">
        <v>1223</v>
      </c>
      <c r="J740" s="5" t="str">
        <f>VLOOKUP(B740,Seqs!A:B,2,FALSE)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740" s="4" t="str">
        <f t="shared" si="72"/>
        <v>P</v>
      </c>
      <c r="L740" s="45">
        <f>VLOOKUP(B740,'NonXtal_SegEnds_Prot#'!A:AL,18,FALSE)</f>
        <v>129</v>
      </c>
      <c r="M740" s="45">
        <f>VLOOKUP(B740,'NonXtal_SegEnds_Prot#'!A:AL,19,FALSE)</f>
        <v>129</v>
      </c>
      <c r="N740" s="45">
        <f>VLOOKUP(B740,'NonXtal_SegEnds_Prot#'!A:AL,20,FALSE)</f>
        <v>136</v>
      </c>
      <c r="O740" s="4" t="str">
        <f t="shared" si="67"/>
        <v>K</v>
      </c>
      <c r="P740" s="4" t="s">
        <v>1227</v>
      </c>
      <c r="Q740" s="47" t="str">
        <f t="shared" si="69"/>
        <v/>
      </c>
      <c r="R740" s="28" t="str">
        <f t="shared" si="70"/>
        <v>P</v>
      </c>
      <c r="S740" s="20" t="str">
        <f t="shared" si="71"/>
        <v>FKTSNPK</v>
      </c>
      <c r="Z740" s="4"/>
      <c r="AD740" s="1" t="s">
        <v>29</v>
      </c>
      <c r="AE740" s="1">
        <v>129</v>
      </c>
      <c r="AF740" s="1">
        <v>129</v>
      </c>
      <c r="AG740" s="1">
        <v>129</v>
      </c>
      <c r="AH740" s="1" t="s">
        <v>29</v>
      </c>
      <c r="AK740" s="4">
        <v>50</v>
      </c>
      <c r="AL740" s="4">
        <v>50</v>
      </c>
    </row>
    <row r="741" spans="1:38" x14ac:dyDescent="0.25">
      <c r="A741" s="1" t="str">
        <f t="shared" si="68"/>
        <v>PAR1_human__wt_ICL2</v>
      </c>
      <c r="B741" s="45" t="s">
        <v>229</v>
      </c>
      <c r="C741" s="45" t="s">
        <v>294</v>
      </c>
      <c r="D741" s="4" t="str">
        <f>VLOOKUP(B741,Classification!A:D,2,FALSE)</f>
        <v>A</v>
      </c>
      <c r="E741" s="4" t="str">
        <f>VLOOKUP(B741,Classification!A:D,3,FALSE)</f>
        <v>Peptide</v>
      </c>
      <c r="F741" s="4" t="str">
        <f>VLOOKUP(B741,Classification!A:D,4,FALSE)</f>
        <v>Proteinase-activated</v>
      </c>
      <c r="G741" s="2">
        <v>6</v>
      </c>
      <c r="H741" s="45" t="s">
        <v>28</v>
      </c>
      <c r="I741" s="2" t="s">
        <v>1223</v>
      </c>
      <c r="J741" s="5" t="str">
        <f>VLOOKUP(B741,Seqs!A:B,2,FALSE)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741" s="4" t="str">
        <f t="shared" si="72"/>
        <v>P</v>
      </c>
      <c r="L741" s="45">
        <f>VLOOKUP(B741,'NonXtal_SegEnds_Prot#'!A:AL,18,FALSE)</f>
        <v>207</v>
      </c>
      <c r="M741" s="45">
        <f>VLOOKUP(B741,'NonXtal_SegEnds_Prot#'!A:AL,19,FALSE)</f>
        <v>207</v>
      </c>
      <c r="N741" s="45">
        <f>VLOOKUP(B741,'NonXtal_SegEnds_Prot#'!A:AL,20,FALSE)</f>
        <v>214</v>
      </c>
      <c r="O741" s="4" t="str">
        <f t="shared" si="67"/>
        <v>R</v>
      </c>
      <c r="P741" s="4"/>
      <c r="Q741" s="47" t="str">
        <f t="shared" si="69"/>
        <v/>
      </c>
      <c r="R741" s="27" t="str">
        <f t="shared" si="70"/>
        <v>P</v>
      </c>
      <c r="S741" s="19" t="str">
        <f t="shared" si="71"/>
        <v>MQSLSWR</v>
      </c>
      <c r="Z741" s="4"/>
      <c r="AD741" s="1" t="s">
        <v>29</v>
      </c>
      <c r="AE741" s="1">
        <v>207</v>
      </c>
      <c r="AF741" s="1">
        <v>207</v>
      </c>
      <c r="AG741" s="1">
        <v>214</v>
      </c>
      <c r="AH741" s="1" t="s">
        <v>30</v>
      </c>
      <c r="AK741" s="4">
        <v>50</v>
      </c>
      <c r="AL741" s="4">
        <v>57</v>
      </c>
    </row>
    <row r="742" spans="1:38" x14ac:dyDescent="0.25">
      <c r="A742" s="1" t="str">
        <f t="shared" si="68"/>
        <v>PAR1_human_3VW7_ICL2</v>
      </c>
      <c r="B742" s="45" t="s">
        <v>229</v>
      </c>
      <c r="C742" s="45" t="s">
        <v>285</v>
      </c>
      <c r="D742" s="4" t="str">
        <f>VLOOKUP(B742,Classification!A:D,2,FALSE)</f>
        <v>A</v>
      </c>
      <c r="E742" s="4" t="str">
        <f>VLOOKUP(B742,Classification!A:D,3,FALSE)</f>
        <v>Peptide</v>
      </c>
      <c r="F742" s="4" t="str">
        <f>VLOOKUP(B742,Classification!A:D,4,FALSE)</f>
        <v>Proteinase-activated</v>
      </c>
      <c r="G742" s="2">
        <v>6</v>
      </c>
      <c r="H742" s="45" t="s">
        <v>28</v>
      </c>
      <c r="I742" s="2" t="s">
        <v>1223</v>
      </c>
      <c r="J742" s="5" t="str">
        <f>VLOOKUP(B742,Seqs!A:B,2,FALSE)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742" s="4" t="str">
        <f t="shared" si="72"/>
        <v>P</v>
      </c>
      <c r="L742" s="45">
        <f>VLOOKUP(B742,'NonXtal_SegEnds_Prot#'!A:AL,18,FALSE)</f>
        <v>207</v>
      </c>
      <c r="M742" s="45">
        <f>VLOOKUP(B742,'NonXtal_SegEnds_Prot#'!A:AL,19,FALSE)</f>
        <v>207</v>
      </c>
      <c r="N742" s="45">
        <f>VLOOKUP(B742,'NonXtal_SegEnds_Prot#'!A:AL,20,FALSE)</f>
        <v>214</v>
      </c>
      <c r="O742" s="4" t="str">
        <f t="shared" si="67"/>
        <v>R</v>
      </c>
      <c r="P742" s="4" t="s">
        <v>1227</v>
      </c>
      <c r="Q742" s="47" t="str">
        <f t="shared" si="69"/>
        <v/>
      </c>
      <c r="R742" s="28" t="str">
        <f t="shared" si="70"/>
        <v>P</v>
      </c>
      <c r="S742" s="20" t="str">
        <f t="shared" si="71"/>
        <v>MQSLSWR</v>
      </c>
      <c r="Z742" s="4"/>
      <c r="AD742" s="1" t="s">
        <v>29</v>
      </c>
      <c r="AE742" s="1">
        <v>207</v>
      </c>
      <c r="AF742" s="1">
        <v>207</v>
      </c>
      <c r="AG742" s="1">
        <v>214</v>
      </c>
      <c r="AH742" s="1" t="s">
        <v>30</v>
      </c>
      <c r="AK742" s="4">
        <v>50</v>
      </c>
      <c r="AL742" s="4">
        <v>57</v>
      </c>
    </row>
    <row r="743" spans="1:38" x14ac:dyDescent="0.25">
      <c r="A743" s="1" t="str">
        <f t="shared" si="68"/>
        <v>S1PR1_human__wt_ICL2</v>
      </c>
      <c r="B743" s="45" t="s">
        <v>217</v>
      </c>
      <c r="C743" s="45" t="s">
        <v>294</v>
      </c>
      <c r="D743" s="4" t="str">
        <f>VLOOKUP(B743,Classification!A:D,2,FALSE)</f>
        <v>A</v>
      </c>
      <c r="E743" s="4" t="str">
        <f>VLOOKUP(B743,Classification!A:D,3,FALSE)</f>
        <v>Lipid</v>
      </c>
      <c r="F743" s="4" t="str">
        <f>VLOOKUP(B743,Classification!A:D,4,FALSE)</f>
        <v>Lysophospholipid(S1P)</v>
      </c>
      <c r="G743" s="2">
        <v>6</v>
      </c>
      <c r="H743" s="45" t="s">
        <v>28</v>
      </c>
      <c r="I743" s="2" t="s">
        <v>126</v>
      </c>
      <c r="J743" s="5" t="str">
        <f>VLOOKUP(B743,Seqs!A:B,2,FALSE)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743" s="4" t="str">
        <f t="shared" si="72"/>
        <v>M</v>
      </c>
      <c r="L743" s="45">
        <f>VLOOKUP(B743,'NonXtal_SegEnds_Prot#'!A:AL,18,FALSE)</f>
        <v>149</v>
      </c>
      <c r="M743" s="45">
        <f>VLOOKUP(B743,'NonXtal_SegEnds_Prot#'!A:AL,19,FALSE)</f>
        <v>149</v>
      </c>
      <c r="N743" s="45">
        <f>VLOOKUP(B743,'NonXtal_SegEnds_Prot#'!A:AL,20,FALSE)</f>
        <v>156</v>
      </c>
      <c r="O743" s="4" t="str">
        <f t="shared" si="67"/>
        <v>N</v>
      </c>
      <c r="P743" s="4"/>
      <c r="Q743" s="47" t="str">
        <f t="shared" si="69"/>
        <v/>
      </c>
      <c r="R743" s="27" t="str">
        <f t="shared" si="70"/>
        <v>M</v>
      </c>
      <c r="S743" s="19" t="str">
        <f t="shared" si="71"/>
        <v>KLHNGSN</v>
      </c>
      <c r="Z743" s="4"/>
      <c r="AD743" s="1" t="s">
        <v>29</v>
      </c>
      <c r="AE743" s="1">
        <v>149</v>
      </c>
      <c r="AF743" s="1">
        <v>149</v>
      </c>
      <c r="AG743" s="1">
        <v>152</v>
      </c>
      <c r="AH743" s="1" t="s">
        <v>127</v>
      </c>
      <c r="AK743" s="4">
        <v>50</v>
      </c>
      <c r="AL743" s="4">
        <v>53</v>
      </c>
    </row>
    <row r="744" spans="1:38" x14ac:dyDescent="0.25">
      <c r="A744" s="1" t="str">
        <f t="shared" si="68"/>
        <v>S1PR1_human_3V2Y_ICL2</v>
      </c>
      <c r="B744" s="45" t="s">
        <v>217</v>
      </c>
      <c r="C744" s="45" t="s">
        <v>286</v>
      </c>
      <c r="D744" s="4" t="str">
        <f>VLOOKUP(B744,Classification!A:D,2,FALSE)</f>
        <v>A</v>
      </c>
      <c r="E744" s="4" t="str">
        <f>VLOOKUP(B744,Classification!A:D,3,FALSE)</f>
        <v>Lipid</v>
      </c>
      <c r="F744" s="4" t="str">
        <f>VLOOKUP(B744,Classification!A:D,4,FALSE)</f>
        <v>Lysophospholipid(S1P)</v>
      </c>
      <c r="G744" s="2">
        <v>6</v>
      </c>
      <c r="H744" s="45" t="s">
        <v>28</v>
      </c>
      <c r="I744" s="2" t="s">
        <v>126</v>
      </c>
      <c r="J744" s="5" t="str">
        <f>VLOOKUP(B744,Seqs!A:B,2,FALSE)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744" s="4" t="str">
        <f t="shared" si="72"/>
        <v>M</v>
      </c>
      <c r="L744" s="45">
        <f>VLOOKUP(B744,'NonXtal_SegEnds_Prot#'!A:AL,18,FALSE)</f>
        <v>149</v>
      </c>
      <c r="M744" s="45">
        <f>VLOOKUP(B744,'NonXtal_SegEnds_Prot#'!A:AL,19,FALSE)</f>
        <v>149</v>
      </c>
      <c r="N744" s="45">
        <f>VLOOKUP(B744,'NonXtal_SegEnds_Prot#'!A:AL,20,FALSE)</f>
        <v>156</v>
      </c>
      <c r="O744" s="4" t="str">
        <f t="shared" si="67"/>
        <v>N</v>
      </c>
      <c r="P744" s="4"/>
      <c r="Q744" s="47" t="str">
        <f t="shared" si="69"/>
        <v/>
      </c>
      <c r="R744" s="28" t="str">
        <f t="shared" si="70"/>
        <v>M</v>
      </c>
      <c r="S744" s="20" t="str">
        <f t="shared" si="71"/>
        <v>KLHNGSN</v>
      </c>
      <c r="Z744" s="4"/>
      <c r="AD744" s="1" t="s">
        <v>29</v>
      </c>
      <c r="AE744" s="1">
        <v>149</v>
      </c>
      <c r="AF744" s="1">
        <v>149</v>
      </c>
      <c r="AG744" s="1">
        <v>152</v>
      </c>
      <c r="AH744" s="1" t="s">
        <v>127</v>
      </c>
      <c r="AK744" s="4">
        <v>50</v>
      </c>
      <c r="AL744" s="4">
        <v>53</v>
      </c>
    </row>
    <row r="745" spans="1:38" x14ac:dyDescent="0.25">
      <c r="A745" s="1" t="str">
        <f t="shared" si="68"/>
        <v>smo_human__wt_ICL2</v>
      </c>
      <c r="B745" s="45" t="s">
        <v>207</v>
      </c>
      <c r="C745" s="45" t="s">
        <v>294</v>
      </c>
      <c r="D745" s="4" t="str">
        <f>VLOOKUP(B745,Classification!A:D,2,FALSE)</f>
        <v>F</v>
      </c>
      <c r="E745" s="4" t="str">
        <f>VLOOKUP(B745,Classification!A:D,3,FALSE)</f>
        <v>Protein</v>
      </c>
      <c r="F745" s="4" t="str">
        <f>VLOOKUP(B745,Classification!A:D,4,FALSE)</f>
        <v>Frizzled</v>
      </c>
      <c r="G745" s="2">
        <v>6</v>
      </c>
      <c r="H745" s="45" t="s">
        <v>28</v>
      </c>
      <c r="I745" s="2" t="s">
        <v>189</v>
      </c>
      <c r="J745" s="5" t="str">
        <f>VLOOKUP(B745,Seqs!A:B,2,FALSE)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745" s="4" t="e">
        <f t="shared" si="72"/>
        <v>#VALUE!</v>
      </c>
      <c r="L745" s="45" t="str">
        <f>VLOOKUP(B745,'NonXtal_SegEnds_Prot#'!A:AL,18,FALSE)</f>
        <v>-</v>
      </c>
      <c r="M745" s="45" t="str">
        <f>VLOOKUP(B745,'NonXtal_SegEnds_Prot#'!A:AL,19,FALSE)</f>
        <v>-</v>
      </c>
      <c r="N745" s="45" t="str">
        <f>VLOOKUP(B745,'NonXtal_SegEnds_Prot#'!A:AL,20,FALSE)</f>
        <v>-</v>
      </c>
      <c r="O745" s="4" t="e">
        <f t="shared" si="67"/>
        <v>#VALUE!</v>
      </c>
      <c r="P745" s="4"/>
      <c r="Q745" s="47" t="e">
        <f t="shared" si="69"/>
        <v>#VALUE!</v>
      </c>
      <c r="R745" s="27" t="e">
        <f t="shared" si="70"/>
        <v>#VALUE!</v>
      </c>
      <c r="S745" s="19" t="e">
        <f t="shared" si="71"/>
        <v>#VALUE!</v>
      </c>
      <c r="Z745" s="4"/>
      <c r="AD745" s="1" t="s">
        <v>129</v>
      </c>
      <c r="AE745" s="1" t="s">
        <v>129</v>
      </c>
      <c r="AF745" s="1" t="s">
        <v>129</v>
      </c>
      <c r="AG745" s="1" t="s">
        <v>129</v>
      </c>
      <c r="AH745" s="1" t="s">
        <v>129</v>
      </c>
      <c r="AK745" s="4" t="s">
        <v>129</v>
      </c>
      <c r="AL745" s="4" t="s">
        <v>129</v>
      </c>
    </row>
    <row r="746" spans="1:38" x14ac:dyDescent="0.25">
      <c r="A746" s="1" t="str">
        <f t="shared" si="68"/>
        <v>smo_human_4JKV_ICL2</v>
      </c>
      <c r="B746" s="45" t="s">
        <v>207</v>
      </c>
      <c r="C746" s="45" t="s">
        <v>278</v>
      </c>
      <c r="D746" s="4" t="str">
        <f>VLOOKUP(B746,Classification!A:D,2,FALSE)</f>
        <v>F</v>
      </c>
      <c r="E746" s="4" t="str">
        <f>VLOOKUP(B746,Classification!A:D,3,FALSE)</f>
        <v>Protein</v>
      </c>
      <c r="F746" s="4" t="str">
        <f>VLOOKUP(B746,Classification!A:D,4,FALSE)</f>
        <v>Frizzled</v>
      </c>
      <c r="G746" s="2">
        <v>6</v>
      </c>
      <c r="H746" s="45" t="s">
        <v>28</v>
      </c>
      <c r="I746" s="2" t="s">
        <v>189</v>
      </c>
      <c r="J746" s="5" t="str">
        <f>VLOOKUP(B746,Seqs!A:B,2,FALSE)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746" s="4" t="e">
        <f t="shared" si="72"/>
        <v>#VALUE!</v>
      </c>
      <c r="L746" s="45" t="str">
        <f>VLOOKUP(B746,'NonXtal_SegEnds_Prot#'!A:AL,18,FALSE)</f>
        <v>-</v>
      </c>
      <c r="M746" s="45" t="str">
        <f>VLOOKUP(B746,'NonXtal_SegEnds_Prot#'!A:AL,19,FALSE)</f>
        <v>-</v>
      </c>
      <c r="N746" s="45" t="str">
        <f>VLOOKUP(B746,'NonXtal_SegEnds_Prot#'!A:AL,20,FALSE)</f>
        <v>-</v>
      </c>
      <c r="O746" s="4" t="e">
        <f t="shared" ref="O746:O809" si="73">MID(J746,N746,1)</f>
        <v>#VALUE!</v>
      </c>
      <c r="P746" s="4"/>
      <c r="Q746" s="47" t="e">
        <f t="shared" si="69"/>
        <v>#VALUE!</v>
      </c>
      <c r="R746" s="28" t="e">
        <f t="shared" si="70"/>
        <v>#VALUE!</v>
      </c>
      <c r="S746" s="20" t="e">
        <f t="shared" si="71"/>
        <v>#VALUE!</v>
      </c>
      <c r="Z746" s="4"/>
      <c r="AD746" s="1" t="s">
        <v>129</v>
      </c>
      <c r="AE746" s="1" t="s">
        <v>129</v>
      </c>
      <c r="AF746" s="1" t="s">
        <v>129</v>
      </c>
      <c r="AG746" s="1" t="s">
        <v>129</v>
      </c>
      <c r="AH746" s="1" t="s">
        <v>129</v>
      </c>
      <c r="AK746" s="4" t="s">
        <v>129</v>
      </c>
      <c r="AL746" s="4" t="s">
        <v>129</v>
      </c>
    </row>
    <row r="747" spans="1:38" x14ac:dyDescent="0.25">
      <c r="A747" s="1" t="str">
        <f t="shared" si="68"/>
        <v>smo_human_4QIN_ICL2</v>
      </c>
      <c r="B747" s="45" t="s">
        <v>207</v>
      </c>
      <c r="C747" s="45" t="s">
        <v>247</v>
      </c>
      <c r="D747" s="4" t="str">
        <f>VLOOKUP(B747,Classification!A:D,2,FALSE)</f>
        <v>F</v>
      </c>
      <c r="E747" s="4" t="str">
        <f>VLOOKUP(B747,Classification!A:D,3,FALSE)</f>
        <v>Protein</v>
      </c>
      <c r="F747" s="4" t="str">
        <f>VLOOKUP(B747,Classification!A:D,4,FALSE)</f>
        <v>Frizzled</v>
      </c>
      <c r="G747" s="2">
        <v>6</v>
      </c>
      <c r="H747" s="45" t="s">
        <v>28</v>
      </c>
      <c r="I747" s="2" t="s">
        <v>189</v>
      </c>
      <c r="J747" s="5" t="str">
        <f>VLOOKUP(B747,Seqs!A:B,2,FALSE)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747" s="4" t="e">
        <f t="shared" si="72"/>
        <v>#VALUE!</v>
      </c>
      <c r="L747" s="45" t="str">
        <f>VLOOKUP(B747,'NonXtal_SegEnds_Prot#'!A:AL,18,FALSE)</f>
        <v>-</v>
      </c>
      <c r="M747" s="45" t="str">
        <f>VLOOKUP(B747,'NonXtal_SegEnds_Prot#'!A:AL,19,FALSE)</f>
        <v>-</v>
      </c>
      <c r="N747" s="45" t="str">
        <f>VLOOKUP(B747,'NonXtal_SegEnds_Prot#'!A:AL,20,FALSE)</f>
        <v>-</v>
      </c>
      <c r="O747" s="4" t="e">
        <f t="shared" si="73"/>
        <v>#VALUE!</v>
      </c>
      <c r="P747" s="4"/>
      <c r="Q747" s="47" t="e">
        <f t="shared" si="69"/>
        <v>#VALUE!</v>
      </c>
      <c r="R747" s="27" t="e">
        <f t="shared" si="70"/>
        <v>#VALUE!</v>
      </c>
      <c r="S747" s="19" t="e">
        <f t="shared" si="71"/>
        <v>#VALUE!</v>
      </c>
      <c r="Z747" s="4"/>
      <c r="AD747" s="1" t="s">
        <v>129</v>
      </c>
      <c r="AE747" s="1" t="s">
        <v>129</v>
      </c>
      <c r="AF747" s="1" t="s">
        <v>129</v>
      </c>
      <c r="AG747" s="1" t="s">
        <v>129</v>
      </c>
      <c r="AH747" s="1" t="s">
        <v>129</v>
      </c>
      <c r="AK747" s="4" t="s">
        <v>129</v>
      </c>
      <c r="AL747" s="4" t="s">
        <v>129</v>
      </c>
    </row>
    <row r="748" spans="1:38" x14ac:dyDescent="0.25">
      <c r="A748" s="1" t="str">
        <f t="shared" si="68"/>
        <v>US28_hcmva__wt_ICL2</v>
      </c>
      <c r="B748" s="45" t="s">
        <v>230</v>
      </c>
      <c r="C748" s="45" t="s">
        <v>294</v>
      </c>
      <c r="D748" s="4" t="str">
        <f>VLOOKUP(B748,Classification!A:D,2,FALSE)</f>
        <v>A</v>
      </c>
      <c r="E748" s="4" t="str">
        <f>VLOOKUP(B748,Classification!A:D,3,FALSE)</f>
        <v>Peptide</v>
      </c>
      <c r="F748" s="4" t="str">
        <f>VLOOKUP(B748,Classification!A:D,4,FALSE)</f>
        <v>Chemokine</v>
      </c>
      <c r="G748" s="2">
        <v>6</v>
      </c>
      <c r="H748" s="45" t="s">
        <v>28</v>
      </c>
      <c r="I748" s="2" t="s">
        <v>126</v>
      </c>
      <c r="J748" s="5" t="str">
        <f>VLOOKUP(B748,Seqs!A:B,2,FALSE)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748" s="4" t="e">
        <f t="shared" si="72"/>
        <v>#VALUE!</v>
      </c>
      <c r="L748" s="45" t="str">
        <f>VLOOKUP(B748,'NonXtal_SegEnds_Prot#'!A:AL,18,FALSE)</f>
        <v>-</v>
      </c>
      <c r="M748" s="45" t="str">
        <f>VLOOKUP(B748,'NonXtal_SegEnds_Prot#'!A:AL,19,FALSE)</f>
        <v>-</v>
      </c>
      <c r="N748" s="45" t="str">
        <f>VLOOKUP(B748,'NonXtal_SegEnds_Prot#'!A:AL,20,FALSE)</f>
        <v>-</v>
      </c>
      <c r="O748" s="4" t="e">
        <f t="shared" si="73"/>
        <v>#VALUE!</v>
      </c>
      <c r="P748" s="4"/>
      <c r="Q748" s="47" t="e">
        <f t="shared" si="69"/>
        <v>#VALUE!</v>
      </c>
      <c r="R748" s="27" t="e">
        <f t="shared" si="70"/>
        <v>#VALUE!</v>
      </c>
      <c r="S748" s="19" t="e">
        <f t="shared" si="71"/>
        <v>#VALUE!</v>
      </c>
      <c r="Z748" s="4" t="s">
        <v>64</v>
      </c>
      <c r="AD748" s="1" t="s">
        <v>29</v>
      </c>
      <c r="AE748" s="1">
        <v>136</v>
      </c>
      <c r="AF748" s="1">
        <v>136</v>
      </c>
      <c r="AG748" s="1">
        <v>139</v>
      </c>
      <c r="AH748" s="1" t="s">
        <v>142</v>
      </c>
      <c r="AK748" s="4">
        <v>50</v>
      </c>
      <c r="AL748" s="4">
        <v>54</v>
      </c>
    </row>
    <row r="749" spans="1:38" x14ac:dyDescent="0.25">
      <c r="A749" s="1" t="str">
        <f t="shared" si="68"/>
        <v>US28_hcmva_4xT1_ICL2</v>
      </c>
      <c r="B749" s="45" t="s">
        <v>230</v>
      </c>
      <c r="C749" s="45" t="s">
        <v>287</v>
      </c>
      <c r="D749" s="4" t="str">
        <f>VLOOKUP(B749,Classification!A:D,2,FALSE)</f>
        <v>A</v>
      </c>
      <c r="E749" s="4" t="str">
        <f>VLOOKUP(B749,Classification!A:D,3,FALSE)</f>
        <v>Peptide</v>
      </c>
      <c r="F749" s="4" t="str">
        <f>VLOOKUP(B749,Classification!A:D,4,FALSE)</f>
        <v>Chemokine</v>
      </c>
      <c r="G749" s="2">
        <v>6</v>
      </c>
      <c r="H749" s="45" t="s">
        <v>28</v>
      </c>
      <c r="I749" s="2" t="s">
        <v>126</v>
      </c>
      <c r="J749" s="5" t="str">
        <f>VLOOKUP(B749,Seqs!A:B,2,FALSE)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749" s="4" t="e">
        <f t="shared" si="72"/>
        <v>#VALUE!</v>
      </c>
      <c r="L749" s="45" t="str">
        <f>VLOOKUP(B749,'NonXtal_SegEnds_Prot#'!A:AL,18,FALSE)</f>
        <v>-</v>
      </c>
      <c r="M749" s="45" t="str">
        <f>VLOOKUP(B749,'NonXtal_SegEnds_Prot#'!A:AL,19,FALSE)</f>
        <v>-</v>
      </c>
      <c r="N749" s="45" t="str">
        <f>VLOOKUP(B749,'NonXtal_SegEnds_Prot#'!A:AL,20,FALSE)</f>
        <v>-</v>
      </c>
      <c r="O749" s="4" t="e">
        <f t="shared" si="73"/>
        <v>#VALUE!</v>
      </c>
      <c r="P749" s="4"/>
      <c r="Q749" s="47" t="e">
        <f t="shared" si="69"/>
        <v>#VALUE!</v>
      </c>
      <c r="R749" s="28" t="e">
        <f t="shared" si="70"/>
        <v>#VALUE!</v>
      </c>
      <c r="S749" s="20" t="e">
        <f t="shared" si="71"/>
        <v>#VALUE!</v>
      </c>
      <c r="Z749" s="4" t="s">
        <v>64</v>
      </c>
      <c r="AD749" s="1" t="s">
        <v>29</v>
      </c>
      <c r="AE749" s="1">
        <v>136</v>
      </c>
      <c r="AF749" s="1">
        <v>136</v>
      </c>
      <c r="AG749" s="1">
        <v>139</v>
      </c>
      <c r="AH749" s="1" t="s">
        <v>142</v>
      </c>
      <c r="AK749" s="4">
        <v>50</v>
      </c>
      <c r="AL749" s="4">
        <v>54</v>
      </c>
    </row>
    <row r="750" spans="1:38" x14ac:dyDescent="0.25">
      <c r="A750" s="1" t="str">
        <f t="shared" si="68"/>
        <v>5ht1b_human__wt_TM4</v>
      </c>
      <c r="B750" s="45" t="s">
        <v>208</v>
      </c>
      <c r="C750" s="45" t="s">
        <v>294</v>
      </c>
      <c r="D750" s="4" t="str">
        <f>VLOOKUP(B750,Classification!A:D,2,FALSE)</f>
        <v>A</v>
      </c>
      <c r="E750" s="4" t="str">
        <f>VLOOKUP(B750,Classification!A:D,3,FALSE)</f>
        <v>Aminergic</v>
      </c>
      <c r="F750" s="4" t="str">
        <f>VLOOKUP(B750,Classification!A:D,4,FALSE)</f>
        <v>5-Hydroxytryptamine</v>
      </c>
      <c r="G750" s="2">
        <v>7</v>
      </c>
      <c r="H750" s="45" t="s">
        <v>31</v>
      </c>
      <c r="I750" s="2" t="s">
        <v>1223</v>
      </c>
      <c r="J750" s="5" t="str">
        <f>VLOOKUP(B750,Seqs!A:B,2,FALSE)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50" s="4" t="str">
        <f t="shared" si="72"/>
        <v>P</v>
      </c>
      <c r="L750" s="45">
        <f>VLOOKUP(B750,'NonXtal_SegEnds_Prot#'!A:AL,21,FALSE)</f>
        <v>163</v>
      </c>
      <c r="M750" s="45">
        <f>VLOOKUP(B750,'NonXtal_SegEnds_Prot#'!A:AL,22,FALSE)</f>
        <v>174</v>
      </c>
      <c r="N750" s="45">
        <f>VLOOKUP(B750,'NonXtal_SegEnds_Prot#'!A:AL,23,FALSE)</f>
        <v>187</v>
      </c>
      <c r="O750" s="4" t="str">
        <f t="shared" si="73"/>
        <v>W</v>
      </c>
      <c r="P750" s="4"/>
      <c r="Q750" s="47" t="str">
        <f t="shared" si="69"/>
        <v>PKRAAVMIALV</v>
      </c>
      <c r="R750" s="27" t="str">
        <f t="shared" si="70"/>
        <v>W</v>
      </c>
      <c r="S750" s="19" t="str">
        <f t="shared" si="71"/>
        <v>VFSISISLPPFFW</v>
      </c>
      <c r="Z750" s="4"/>
      <c r="AD750" s="1" t="s">
        <v>32</v>
      </c>
      <c r="AE750" s="1">
        <v>163</v>
      </c>
      <c r="AF750" s="1">
        <v>174</v>
      </c>
      <c r="AG750" s="1">
        <v>188</v>
      </c>
      <c r="AH750" s="1" t="s">
        <v>33</v>
      </c>
      <c r="AK750" s="4">
        <v>39</v>
      </c>
      <c r="AL750" s="4">
        <v>64</v>
      </c>
    </row>
    <row r="751" spans="1:38" x14ac:dyDescent="0.25">
      <c r="A751" s="1" t="str">
        <f t="shared" si="68"/>
        <v>5ht1b_human_4IAQ_TM4</v>
      </c>
      <c r="B751" s="45" t="s">
        <v>208</v>
      </c>
      <c r="C751" s="53" t="s">
        <v>1249</v>
      </c>
      <c r="D751" s="4" t="str">
        <f>VLOOKUP(B751,Classification!A:D,2,FALSE)</f>
        <v>A</v>
      </c>
      <c r="E751" s="4" t="str">
        <f>VLOOKUP(B751,Classification!A:D,3,FALSE)</f>
        <v>Aminergic</v>
      </c>
      <c r="F751" s="4" t="str">
        <f>VLOOKUP(B751,Classification!A:D,4,FALSE)</f>
        <v>5-Hydroxytryptamine</v>
      </c>
      <c r="G751" s="2">
        <v>7</v>
      </c>
      <c r="H751" s="45" t="s">
        <v>31</v>
      </c>
      <c r="I751" s="2" t="s">
        <v>1223</v>
      </c>
      <c r="J751" s="5" t="str">
        <f>VLOOKUP(B751,Seqs!A:B,2,FALSE)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51" s="4" t="str">
        <f t="shared" si="72"/>
        <v>P</v>
      </c>
      <c r="L751" s="45">
        <f>VLOOKUP(B751,'NonXtal_SegEnds_Prot#'!A:AL,21,FALSE)</f>
        <v>163</v>
      </c>
      <c r="M751" s="45">
        <f>VLOOKUP(B751,'NonXtal_SegEnds_Prot#'!A:AL,22,FALSE)</f>
        <v>174</v>
      </c>
      <c r="N751" s="45">
        <f>VLOOKUP(B751,'NonXtal_SegEnds_Prot#'!A:AL,23,FALSE)</f>
        <v>187</v>
      </c>
      <c r="O751" s="4" t="str">
        <f t="shared" si="73"/>
        <v>W</v>
      </c>
      <c r="P751" s="4"/>
      <c r="Q751" s="47" t="str">
        <f t="shared" si="69"/>
        <v>PKRAAVMIALV</v>
      </c>
      <c r="R751" s="28" t="str">
        <f t="shared" si="70"/>
        <v>W</v>
      </c>
      <c r="S751" s="20" t="str">
        <f t="shared" si="71"/>
        <v>VFSISISLPPFFW</v>
      </c>
      <c r="Z751" s="4"/>
      <c r="AD751" s="1" t="s">
        <v>32</v>
      </c>
      <c r="AE751" s="1">
        <v>163</v>
      </c>
      <c r="AF751" s="1">
        <v>174</v>
      </c>
      <c r="AG751" s="1">
        <v>184</v>
      </c>
      <c r="AH751" s="1" t="s">
        <v>34</v>
      </c>
      <c r="AK751" s="4">
        <v>39</v>
      </c>
      <c r="AL751" s="4">
        <v>60</v>
      </c>
    </row>
    <row r="752" spans="1:38" x14ac:dyDescent="0.25">
      <c r="A752" s="1" t="str">
        <f t="shared" si="68"/>
        <v>5ht1b_human_4IAR_TM4</v>
      </c>
      <c r="B752" s="45" t="s">
        <v>208</v>
      </c>
      <c r="C752" s="45" t="s">
        <v>251</v>
      </c>
      <c r="D752" s="4" t="str">
        <f>VLOOKUP(B752,Classification!A:D,2,FALSE)</f>
        <v>A</v>
      </c>
      <c r="E752" s="4" t="str">
        <f>VLOOKUP(B752,Classification!A:D,3,FALSE)</f>
        <v>Aminergic</v>
      </c>
      <c r="F752" s="4" t="str">
        <f>VLOOKUP(B752,Classification!A:D,4,FALSE)</f>
        <v>5-Hydroxytryptamine</v>
      </c>
      <c r="G752" s="2">
        <v>7</v>
      </c>
      <c r="H752" s="45" t="s">
        <v>31</v>
      </c>
      <c r="I752" s="2" t="s">
        <v>1223</v>
      </c>
      <c r="J752" s="5" t="str">
        <f>VLOOKUP(B752,Seqs!A:B,2,FALSE)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52" s="4" t="str">
        <f t="shared" si="72"/>
        <v>P</v>
      </c>
      <c r="L752" s="45">
        <f>VLOOKUP(B752,'NonXtal_SegEnds_Prot#'!A:AL,21,FALSE)</f>
        <v>163</v>
      </c>
      <c r="M752" s="45">
        <f>VLOOKUP(B752,'NonXtal_SegEnds_Prot#'!A:AL,22,FALSE)</f>
        <v>174</v>
      </c>
      <c r="N752" s="45">
        <f>VLOOKUP(B752,'NonXtal_SegEnds_Prot#'!A:AL,23,FALSE)</f>
        <v>187</v>
      </c>
      <c r="O752" s="4" t="str">
        <f t="shared" si="73"/>
        <v>W</v>
      </c>
      <c r="P752" s="4"/>
      <c r="Q752" s="47" t="str">
        <f t="shared" si="69"/>
        <v>PKRAAVMIALV</v>
      </c>
      <c r="R752" s="28" t="str">
        <f t="shared" si="70"/>
        <v>W</v>
      </c>
      <c r="S752" s="20" t="str">
        <f t="shared" si="71"/>
        <v>VFSISISLPPFFW</v>
      </c>
      <c r="Z752" s="4"/>
      <c r="AD752" s="1" t="s">
        <v>32</v>
      </c>
      <c r="AE752" s="1">
        <v>163</v>
      </c>
      <c r="AF752" s="1">
        <v>174</v>
      </c>
      <c r="AG752" s="1">
        <v>184</v>
      </c>
      <c r="AH752" s="1" t="s">
        <v>34</v>
      </c>
      <c r="AK752" s="4">
        <v>39</v>
      </c>
      <c r="AL752" s="4">
        <v>60</v>
      </c>
    </row>
    <row r="753" spans="1:38" x14ac:dyDescent="0.25">
      <c r="A753" s="1" t="str">
        <f t="shared" si="68"/>
        <v>AA2AR_human__wt_TM4</v>
      </c>
      <c r="B753" s="45" t="s">
        <v>210</v>
      </c>
      <c r="C753" s="45" t="s">
        <v>294</v>
      </c>
      <c r="D753" s="4" t="str">
        <f>VLOOKUP(B753,Classification!A:D,2,FALSE)</f>
        <v>A</v>
      </c>
      <c r="E753" s="4" t="str">
        <f>VLOOKUP(B753,Classification!A:D,3,FALSE)</f>
        <v>Nucleotide</v>
      </c>
      <c r="F753" s="4" t="str">
        <f>VLOOKUP(B753,Classification!A:D,4,FALSE)</f>
        <v>Adenosine</v>
      </c>
      <c r="G753" s="2">
        <v>7</v>
      </c>
      <c r="H753" s="45" t="s">
        <v>31</v>
      </c>
      <c r="I753" s="2" t="s">
        <v>1223</v>
      </c>
      <c r="J753" s="5" t="str">
        <f>VLOOKUP(B753,Seqs!A:B,2,FALSE)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3" s="4" t="str">
        <f t="shared" si="72"/>
        <v>G</v>
      </c>
      <c r="L753" s="45">
        <f>VLOOKUP(B753,'NonXtal_SegEnds_Prot#'!A:AL,21,FALSE)</f>
        <v>118</v>
      </c>
      <c r="M753" s="45">
        <f>VLOOKUP(B753,'NonXtal_SegEnds_Prot#'!A:AL,22,FALSE)</f>
        <v>129</v>
      </c>
      <c r="N753" s="45">
        <f>VLOOKUP(B753,'NonXtal_SegEnds_Prot#'!A:AL,23,FALSE)</f>
        <v>142</v>
      </c>
      <c r="O753" s="4" t="str">
        <f t="shared" si="73"/>
        <v>G</v>
      </c>
      <c r="P753" s="4"/>
      <c r="Q753" s="47" t="str">
        <f t="shared" si="69"/>
        <v>GTRAKGIIAIC</v>
      </c>
      <c r="R753" s="27" t="str">
        <f t="shared" si="70"/>
        <v>W</v>
      </c>
      <c r="S753" s="19" t="str">
        <f t="shared" si="71"/>
        <v>VLSFAIGLTPMLG</v>
      </c>
      <c r="Z753" s="4" t="s">
        <v>64</v>
      </c>
      <c r="AD753" s="1" t="s">
        <v>32</v>
      </c>
      <c r="AE753" s="1">
        <v>118</v>
      </c>
      <c r="AF753" s="1">
        <v>129</v>
      </c>
      <c r="AG753" s="1">
        <v>141</v>
      </c>
      <c r="AH753" s="1" t="s">
        <v>70</v>
      </c>
      <c r="AK753" s="4">
        <v>39</v>
      </c>
      <c r="AL753" s="4">
        <v>62</v>
      </c>
    </row>
    <row r="754" spans="1:38" x14ac:dyDescent="0.25">
      <c r="A754" s="1" t="str">
        <f t="shared" si="68"/>
        <v>AA2AR_human_2YDV_TM4</v>
      </c>
      <c r="B754" s="45" t="s">
        <v>210</v>
      </c>
      <c r="C754" s="45" t="s">
        <v>271</v>
      </c>
      <c r="D754" s="4" t="str">
        <f>VLOOKUP(B754,Classification!A:D,2,FALSE)</f>
        <v>A</v>
      </c>
      <c r="E754" s="4" t="str">
        <f>VLOOKUP(B754,Classification!A:D,3,FALSE)</f>
        <v>Nucleotide</v>
      </c>
      <c r="F754" s="4" t="str">
        <f>VLOOKUP(B754,Classification!A:D,4,FALSE)</f>
        <v>Adenosine</v>
      </c>
      <c r="G754" s="2">
        <v>7</v>
      </c>
      <c r="H754" s="45" t="s">
        <v>31</v>
      </c>
      <c r="I754" s="2" t="s">
        <v>1223</v>
      </c>
      <c r="J754" s="5" t="str">
        <f>VLOOKUP(B754,Seqs!A:B,2,FALSE)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4" s="4" t="str">
        <f t="shared" si="72"/>
        <v>G</v>
      </c>
      <c r="L754" s="45">
        <f>VLOOKUP(B754,'NonXtal_SegEnds_Prot#'!A:AL,21,FALSE)</f>
        <v>118</v>
      </c>
      <c r="M754" s="45">
        <f>VLOOKUP(B754,'NonXtal_SegEnds_Prot#'!A:AL,22,FALSE)</f>
        <v>129</v>
      </c>
      <c r="N754" s="45">
        <f>VLOOKUP(B754,'NonXtal_SegEnds_Prot#'!A:AL,23,FALSE)</f>
        <v>142</v>
      </c>
      <c r="O754" s="4" t="str">
        <f t="shared" si="73"/>
        <v>G</v>
      </c>
      <c r="P754" s="4"/>
      <c r="Q754" s="47" t="str">
        <f t="shared" si="69"/>
        <v>GTRAKGIIAIC</v>
      </c>
      <c r="R754" s="27" t="str">
        <f t="shared" si="70"/>
        <v>W</v>
      </c>
      <c r="S754" s="19" t="str">
        <f t="shared" si="71"/>
        <v>VLSFAIGLTPMLG</v>
      </c>
      <c r="Z754" s="4" t="s">
        <v>64</v>
      </c>
      <c r="AD754" s="1" t="s">
        <v>32</v>
      </c>
      <c r="AE754" s="1">
        <v>118</v>
      </c>
      <c r="AF754" s="1">
        <v>129</v>
      </c>
      <c r="AG754" s="1">
        <v>141</v>
      </c>
      <c r="AH754" s="1" t="s">
        <v>70</v>
      </c>
      <c r="AK754" s="4">
        <v>39</v>
      </c>
      <c r="AL754" s="4">
        <v>62</v>
      </c>
    </row>
    <row r="755" spans="1:38" x14ac:dyDescent="0.25">
      <c r="A755" s="1" t="str">
        <f t="shared" si="68"/>
        <v>AA2AR_human_3REY_TM4</v>
      </c>
      <c r="B755" s="45" t="s">
        <v>210</v>
      </c>
      <c r="C755" s="45" t="s">
        <v>275</v>
      </c>
      <c r="D755" s="4" t="str">
        <f>VLOOKUP(B755,Classification!A:D,2,FALSE)</f>
        <v>A</v>
      </c>
      <c r="E755" s="4" t="str">
        <f>VLOOKUP(B755,Classification!A:D,3,FALSE)</f>
        <v>Nucleotide</v>
      </c>
      <c r="F755" s="4" t="str">
        <f>VLOOKUP(B755,Classification!A:D,4,FALSE)</f>
        <v>Adenosine</v>
      </c>
      <c r="G755" s="2">
        <v>7</v>
      </c>
      <c r="H755" s="45" t="s">
        <v>31</v>
      </c>
      <c r="I755" s="2" t="s">
        <v>1223</v>
      </c>
      <c r="J755" s="5" t="str">
        <f>VLOOKUP(B755,Seqs!A:B,2,FALSE)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5" s="4" t="str">
        <f t="shared" si="72"/>
        <v>G</v>
      </c>
      <c r="L755" s="45">
        <f>VLOOKUP(B755,'NonXtal_SegEnds_Prot#'!A:AL,21,FALSE)</f>
        <v>118</v>
      </c>
      <c r="M755" s="45">
        <f>VLOOKUP(B755,'NonXtal_SegEnds_Prot#'!A:AL,22,FALSE)</f>
        <v>129</v>
      </c>
      <c r="N755" s="45">
        <f>VLOOKUP(B755,'NonXtal_SegEnds_Prot#'!A:AL,23,FALSE)</f>
        <v>142</v>
      </c>
      <c r="O755" s="4" t="str">
        <f t="shared" si="73"/>
        <v>G</v>
      </c>
      <c r="P755" s="4"/>
      <c r="Q755" s="47" t="str">
        <f t="shared" si="69"/>
        <v>GTRAKGIIAIC</v>
      </c>
      <c r="R755" s="27" t="str">
        <f t="shared" si="70"/>
        <v>W</v>
      </c>
      <c r="S755" s="19" t="str">
        <f t="shared" si="71"/>
        <v>VLSFAIGLTPMLG</v>
      </c>
      <c r="Z755" s="4" t="s">
        <v>78</v>
      </c>
      <c r="AD755" s="1" t="s">
        <v>32</v>
      </c>
      <c r="AE755" s="1">
        <v>118</v>
      </c>
      <c r="AF755" s="1">
        <v>129</v>
      </c>
      <c r="AG755" s="1">
        <v>141</v>
      </c>
      <c r="AH755" s="1" t="s">
        <v>70</v>
      </c>
      <c r="AK755" s="4">
        <v>39</v>
      </c>
      <c r="AL755" s="4">
        <v>62</v>
      </c>
    </row>
    <row r="756" spans="1:38" x14ac:dyDescent="0.25">
      <c r="A756" s="1" t="str">
        <f t="shared" si="68"/>
        <v>AA2AR_human_4EIY_TM4</v>
      </c>
      <c r="B756" s="45" t="s">
        <v>210</v>
      </c>
      <c r="C756" s="45" t="s">
        <v>272</v>
      </c>
      <c r="D756" s="4" t="str">
        <f>VLOOKUP(B756,Classification!A:D,2,FALSE)</f>
        <v>A</v>
      </c>
      <c r="E756" s="4" t="str">
        <f>VLOOKUP(B756,Classification!A:D,3,FALSE)</f>
        <v>Nucleotide</v>
      </c>
      <c r="F756" s="4" t="str">
        <f>VLOOKUP(B756,Classification!A:D,4,FALSE)</f>
        <v>Adenosine</v>
      </c>
      <c r="G756" s="2">
        <v>7</v>
      </c>
      <c r="H756" s="45" t="s">
        <v>31</v>
      </c>
      <c r="I756" s="2" t="s">
        <v>1223</v>
      </c>
      <c r="J756" s="5" t="str">
        <f>VLOOKUP(B756,Seqs!A:B,2,FALSE)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6" s="4" t="str">
        <f t="shared" si="72"/>
        <v>G</v>
      </c>
      <c r="L756" s="45">
        <f>VLOOKUP(B756,'NonXtal_SegEnds_Prot#'!A:AL,21,FALSE)</f>
        <v>118</v>
      </c>
      <c r="M756" s="45">
        <f>VLOOKUP(B756,'NonXtal_SegEnds_Prot#'!A:AL,22,FALSE)</f>
        <v>129</v>
      </c>
      <c r="N756" s="45">
        <f>VLOOKUP(B756,'NonXtal_SegEnds_Prot#'!A:AL,23,FALSE)</f>
        <v>142</v>
      </c>
      <c r="O756" s="4" t="str">
        <f t="shared" si="73"/>
        <v>G</v>
      </c>
      <c r="P756" s="4"/>
      <c r="Q756" s="47" t="str">
        <f t="shared" si="69"/>
        <v>GTRAKGIIAIC</v>
      </c>
      <c r="R756" s="27" t="str">
        <f t="shared" si="70"/>
        <v>W</v>
      </c>
      <c r="S756" s="19" t="str">
        <f t="shared" si="71"/>
        <v>VLSFAIGLTPMLG</v>
      </c>
      <c r="Z756" s="4"/>
      <c r="AD756" s="1" t="s">
        <v>32</v>
      </c>
      <c r="AE756" s="1">
        <v>118</v>
      </c>
      <c r="AF756" s="1">
        <v>129</v>
      </c>
      <c r="AG756" s="1">
        <v>141</v>
      </c>
      <c r="AH756" s="1" t="s">
        <v>70</v>
      </c>
      <c r="AK756" s="4">
        <v>39</v>
      </c>
      <c r="AL756" s="4">
        <v>62</v>
      </c>
    </row>
    <row r="757" spans="1:38" x14ac:dyDescent="0.25">
      <c r="A757" s="1" t="str">
        <f t="shared" si="68"/>
        <v>ACM1_human__wt_TM4</v>
      </c>
      <c r="B757" s="45" t="s">
        <v>218</v>
      </c>
      <c r="C757" s="45" t="s">
        <v>294</v>
      </c>
      <c r="D757" s="4" t="str">
        <f>VLOOKUP(B757,Classification!A:D,2,FALSE)</f>
        <v>A</v>
      </c>
      <c r="E757" s="4" t="str">
        <f>VLOOKUP(B757,Classification!A:D,3,FALSE)</f>
        <v>Aminergic</v>
      </c>
      <c r="F757" s="4" t="str">
        <f>VLOOKUP(B757,Classification!A:D,4,FALSE)</f>
        <v>Acetylcholine(muscarinic)</v>
      </c>
      <c r="G757" s="2">
        <v>7</v>
      </c>
      <c r="H757" s="45" t="s">
        <v>31</v>
      </c>
      <c r="I757" s="2" t="s">
        <v>1223</v>
      </c>
      <c r="J757" s="5" t="str">
        <f>VLOOKUP(B757,Seqs!A:B,2,FALSE)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757" s="4" t="str">
        <f t="shared" si="72"/>
        <v>P</v>
      </c>
      <c r="L757" s="45">
        <f>VLOOKUP(B757,'NonXtal_SegEnds_Prot#'!A:AL,21,FALSE)</f>
        <v>139</v>
      </c>
      <c r="M757" s="45">
        <f>VLOOKUP(B757,'NonXtal_SegEnds_Prot#'!A:AL,22,FALSE)</f>
        <v>150</v>
      </c>
      <c r="N757" s="45">
        <f>VLOOKUP(B757,'NonXtal_SegEnds_Prot#'!A:AL,23,FALSE)</f>
        <v>169</v>
      </c>
      <c r="O757" s="4" t="str">
        <f t="shared" si="73"/>
        <v>G</v>
      </c>
      <c r="P757" s="4"/>
      <c r="Q757" s="47" t="str">
        <f t="shared" si="69"/>
        <v>PRRAALMIGLA</v>
      </c>
      <c r="R757" s="27" t="str">
        <f t="shared" si="70"/>
        <v>W</v>
      </c>
      <c r="S757" s="19" t="str">
        <f t="shared" si="71"/>
        <v>LVSFVLWAPAILFWQYLVG</v>
      </c>
      <c r="Z757" s="4" t="s">
        <v>78</v>
      </c>
      <c r="AD757" s="1" t="s">
        <v>32</v>
      </c>
      <c r="AE757" s="1">
        <v>139</v>
      </c>
      <c r="AF757" s="1">
        <v>150</v>
      </c>
      <c r="AG757" s="1">
        <v>163</v>
      </c>
      <c r="AH757" s="1" t="s">
        <v>81</v>
      </c>
      <c r="AK757" s="4">
        <v>39</v>
      </c>
      <c r="AL757" s="4">
        <v>63</v>
      </c>
    </row>
    <row r="758" spans="1:38" x14ac:dyDescent="0.25">
      <c r="A758" s="1" t="str">
        <f t="shared" si="68"/>
        <v>ACM1_human_5CXV_TM4</v>
      </c>
      <c r="B758" s="45" t="s">
        <v>218</v>
      </c>
      <c r="C758" s="45" t="s">
        <v>253</v>
      </c>
      <c r="D758" s="4" t="str">
        <f>VLOOKUP(B758,Classification!A:D,2,FALSE)</f>
        <v>A</v>
      </c>
      <c r="E758" s="4" t="str">
        <f>VLOOKUP(B758,Classification!A:D,3,FALSE)</f>
        <v>Aminergic</v>
      </c>
      <c r="F758" s="4" t="str">
        <f>VLOOKUP(B758,Classification!A:D,4,FALSE)</f>
        <v>Acetylcholine(muscarinic)</v>
      </c>
      <c r="G758" s="2">
        <v>7</v>
      </c>
      <c r="H758" s="45" t="s">
        <v>31</v>
      </c>
      <c r="I758" s="2" t="s">
        <v>1223</v>
      </c>
      <c r="J758" s="5" t="str">
        <f>VLOOKUP(B758,Seqs!A:B,2,FALSE)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758" s="4" t="str">
        <f t="shared" si="72"/>
        <v>P</v>
      </c>
      <c r="L758" s="45">
        <f>VLOOKUP(B758,'NonXtal_SegEnds_Prot#'!A:AL,21,FALSE)</f>
        <v>139</v>
      </c>
      <c r="M758" s="45">
        <f>VLOOKUP(B758,'NonXtal_SegEnds_Prot#'!A:AL,22,FALSE)</f>
        <v>150</v>
      </c>
      <c r="N758" s="45">
        <f>VLOOKUP(B758,'NonXtal_SegEnds_Prot#'!A:AL,23,FALSE)</f>
        <v>169</v>
      </c>
      <c r="O758" s="4" t="str">
        <f t="shared" si="73"/>
        <v>G</v>
      </c>
      <c r="P758" s="4"/>
      <c r="Q758" s="47" t="str">
        <f t="shared" si="69"/>
        <v>PRRAALMIGLA</v>
      </c>
      <c r="R758" s="27" t="str">
        <f t="shared" si="70"/>
        <v>W</v>
      </c>
      <c r="S758" s="19" t="str">
        <f t="shared" si="71"/>
        <v>LVSFVLWAPAILFWQYLVG</v>
      </c>
      <c r="Z758" s="4" t="s">
        <v>78</v>
      </c>
      <c r="AD758" s="1" t="s">
        <v>32</v>
      </c>
      <c r="AE758" s="1">
        <v>139</v>
      </c>
      <c r="AF758" s="1">
        <v>150</v>
      </c>
      <c r="AG758" s="1">
        <v>163</v>
      </c>
      <c r="AH758" s="1" t="s">
        <v>81</v>
      </c>
      <c r="AK758" s="4">
        <v>39</v>
      </c>
      <c r="AL758" s="4">
        <v>63</v>
      </c>
    </row>
    <row r="759" spans="1:38" x14ac:dyDescent="0.25">
      <c r="A759" s="1" t="str">
        <f t="shared" si="68"/>
        <v>ACM2_human__wt_TM4</v>
      </c>
      <c r="B759" s="45" t="s">
        <v>219</v>
      </c>
      <c r="C759" s="45" t="s">
        <v>294</v>
      </c>
      <c r="D759" s="4" t="str">
        <f>VLOOKUP(B759,Classification!A:D,2,FALSE)</f>
        <v>A</v>
      </c>
      <c r="E759" s="4" t="str">
        <f>VLOOKUP(B759,Classification!A:D,3,FALSE)</f>
        <v>Aminergic</v>
      </c>
      <c r="F759" s="4" t="str">
        <f>VLOOKUP(B759,Classification!A:D,4,FALSE)</f>
        <v>Acetylcholine(muscarinic)</v>
      </c>
      <c r="G759" s="2">
        <v>7</v>
      </c>
      <c r="H759" s="45" t="s">
        <v>31</v>
      </c>
      <c r="I759" s="2" t="s">
        <v>1223</v>
      </c>
      <c r="J759" s="5" t="str">
        <f>VLOOKUP(B759,Seqs!A:B,2,FALSE)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759" s="4" t="str">
        <f t="shared" si="72"/>
        <v>T</v>
      </c>
      <c r="L759" s="45">
        <f>VLOOKUP(B759,'NonXtal_SegEnds_Prot#'!A:AL,21,FALSE)</f>
        <v>137</v>
      </c>
      <c r="M759" s="45">
        <f>VLOOKUP(B759,'NonXtal_SegEnds_Prot#'!A:AL,22,FALSE)</f>
        <v>148</v>
      </c>
      <c r="N759" s="45">
        <f>VLOOKUP(B759,'NonXtal_SegEnds_Prot#'!A:AL,23,FALSE)</f>
        <v>167</v>
      </c>
      <c r="O759" s="4" t="str">
        <f t="shared" si="73"/>
        <v>G</v>
      </c>
      <c r="P759" s="4"/>
      <c r="Q759" s="47" t="str">
        <f t="shared" si="69"/>
        <v>TKMAGMMIAAA</v>
      </c>
      <c r="R759" s="27" t="str">
        <f t="shared" si="70"/>
        <v>W</v>
      </c>
      <c r="S759" s="19" t="str">
        <f t="shared" si="71"/>
        <v>VLSFILWAPAILFWQFIVG</v>
      </c>
      <c r="Z759" s="4" t="s">
        <v>78</v>
      </c>
      <c r="AD759" s="1" t="s">
        <v>32</v>
      </c>
      <c r="AE759" s="1">
        <v>137</v>
      </c>
      <c r="AF759" s="1">
        <v>148</v>
      </c>
      <c r="AG759" s="1">
        <v>161</v>
      </c>
      <c r="AH759" s="1" t="s">
        <v>81</v>
      </c>
      <c r="AK759" s="4">
        <v>39</v>
      </c>
      <c r="AL759" s="4">
        <v>63</v>
      </c>
    </row>
    <row r="760" spans="1:38" x14ac:dyDescent="0.25">
      <c r="A760" s="1" t="str">
        <f t="shared" si="68"/>
        <v>ACM2_human_3UON_TM4</v>
      </c>
      <c r="B760" s="45" t="s">
        <v>219</v>
      </c>
      <c r="C760" s="45" t="s">
        <v>270</v>
      </c>
      <c r="D760" s="4" t="str">
        <f>VLOOKUP(B760,Classification!A:D,2,FALSE)</f>
        <v>A</v>
      </c>
      <c r="E760" s="4" t="str">
        <f>VLOOKUP(B760,Classification!A:D,3,FALSE)</f>
        <v>Aminergic</v>
      </c>
      <c r="F760" s="4" t="str">
        <f>VLOOKUP(B760,Classification!A:D,4,FALSE)</f>
        <v>Acetylcholine(muscarinic)</v>
      </c>
      <c r="G760" s="2">
        <v>7</v>
      </c>
      <c r="H760" s="45" t="s">
        <v>31</v>
      </c>
      <c r="I760" s="2" t="s">
        <v>1223</v>
      </c>
      <c r="J760" s="5" t="str">
        <f>VLOOKUP(B760,Seqs!A:B,2,FALSE)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760" s="4" t="str">
        <f t="shared" si="72"/>
        <v>T</v>
      </c>
      <c r="L760" s="45">
        <f>VLOOKUP(B760,'NonXtal_SegEnds_Prot#'!A:AL,21,FALSE)</f>
        <v>137</v>
      </c>
      <c r="M760" s="45">
        <f>VLOOKUP(B760,'NonXtal_SegEnds_Prot#'!A:AL,22,FALSE)</f>
        <v>148</v>
      </c>
      <c r="N760" s="45">
        <f>VLOOKUP(B760,'NonXtal_SegEnds_Prot#'!A:AL,23,FALSE)</f>
        <v>167</v>
      </c>
      <c r="O760" s="4" t="str">
        <f t="shared" si="73"/>
        <v>G</v>
      </c>
      <c r="P760" s="4"/>
      <c r="Q760" s="47" t="str">
        <f t="shared" si="69"/>
        <v>TKMAGMMIAAA</v>
      </c>
      <c r="R760" s="27" t="str">
        <f t="shared" si="70"/>
        <v>W</v>
      </c>
      <c r="S760" s="19" t="str">
        <f t="shared" si="71"/>
        <v>VLSFILWAPAILFWQFIVG</v>
      </c>
      <c r="Z760" s="4" t="s">
        <v>78</v>
      </c>
      <c r="AD760" s="1" t="s">
        <v>32</v>
      </c>
      <c r="AE760" s="1">
        <v>137</v>
      </c>
      <c r="AF760" s="1">
        <v>148</v>
      </c>
      <c r="AG760" s="1">
        <v>161</v>
      </c>
      <c r="AH760" s="1" t="s">
        <v>81</v>
      </c>
      <c r="AK760" s="4">
        <v>39</v>
      </c>
      <c r="AL760" s="4">
        <v>63</v>
      </c>
    </row>
    <row r="761" spans="1:38" x14ac:dyDescent="0.25">
      <c r="A761" s="1" t="str">
        <f t="shared" si="68"/>
        <v>ACM2_human_4MQS_TM4</v>
      </c>
      <c r="B761" s="45" t="s">
        <v>219</v>
      </c>
      <c r="C761" s="45" t="s">
        <v>259</v>
      </c>
      <c r="D761" s="4" t="str">
        <f>VLOOKUP(B761,Classification!A:D,2,FALSE)</f>
        <v>A</v>
      </c>
      <c r="E761" s="4" t="str">
        <f>VLOOKUP(B761,Classification!A:D,3,FALSE)</f>
        <v>Aminergic</v>
      </c>
      <c r="F761" s="4" t="str">
        <f>VLOOKUP(B761,Classification!A:D,4,FALSE)</f>
        <v>Acetylcholine(muscarinic)</v>
      </c>
      <c r="G761" s="2">
        <v>7</v>
      </c>
      <c r="H761" s="45" t="s">
        <v>31</v>
      </c>
      <c r="I761" s="2" t="s">
        <v>1223</v>
      </c>
      <c r="J761" s="5" t="str">
        <f>VLOOKUP(B761,Seqs!A:B,2,FALSE)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761" s="4" t="str">
        <f t="shared" si="72"/>
        <v>T</v>
      </c>
      <c r="L761" s="45">
        <f>VLOOKUP(B761,'NonXtal_SegEnds_Prot#'!A:AL,21,FALSE)</f>
        <v>137</v>
      </c>
      <c r="M761" s="45">
        <f>VLOOKUP(B761,'NonXtal_SegEnds_Prot#'!A:AL,22,FALSE)</f>
        <v>148</v>
      </c>
      <c r="N761" s="45">
        <f>VLOOKUP(B761,'NonXtal_SegEnds_Prot#'!A:AL,23,FALSE)</f>
        <v>167</v>
      </c>
      <c r="O761" s="4" t="str">
        <f t="shared" si="73"/>
        <v>G</v>
      </c>
      <c r="P761" s="4"/>
      <c r="Q761" s="47" t="str">
        <f t="shared" si="69"/>
        <v>TKMAGMMIAAA</v>
      </c>
      <c r="R761" s="27" t="str">
        <f t="shared" si="70"/>
        <v>W</v>
      </c>
      <c r="S761" s="19" t="str">
        <f t="shared" si="71"/>
        <v>VLSFILWAPAILFWQFIVG</v>
      </c>
      <c r="Z761" s="4" t="s">
        <v>64</v>
      </c>
      <c r="AD761" s="1" t="s">
        <v>32</v>
      </c>
      <c r="AE761" s="1">
        <v>137</v>
      </c>
      <c r="AF761" s="1">
        <v>148</v>
      </c>
      <c r="AG761" s="1">
        <v>161</v>
      </c>
      <c r="AH761" s="1" t="s">
        <v>81</v>
      </c>
      <c r="AK761" s="4">
        <v>39</v>
      </c>
      <c r="AL761" s="4">
        <v>63</v>
      </c>
    </row>
    <row r="762" spans="1:38" x14ac:dyDescent="0.25">
      <c r="A762" s="1" t="str">
        <f t="shared" si="68"/>
        <v>ACM3_rat__wt_TM4</v>
      </c>
      <c r="B762" s="45" t="s">
        <v>236</v>
      </c>
      <c r="C762" s="45" t="s">
        <v>294</v>
      </c>
      <c r="D762" s="4" t="str">
        <f>VLOOKUP(B762,Classification!A:D,2,FALSE)</f>
        <v>A</v>
      </c>
      <c r="E762" s="4" t="str">
        <f>VLOOKUP(B762,Classification!A:D,3,FALSE)</f>
        <v>Aminergic</v>
      </c>
      <c r="F762" s="4" t="str">
        <f>VLOOKUP(B762,Classification!A:D,4,FALSE)</f>
        <v>Acetylcholine(muscarinic)</v>
      </c>
      <c r="G762" s="2">
        <v>7</v>
      </c>
      <c r="H762" s="45" t="s">
        <v>31</v>
      </c>
      <c r="I762" s="2" t="s">
        <v>1223</v>
      </c>
      <c r="J762" s="5" t="str">
        <f>VLOOKUP(B762,Seqs!A:B,2,FALSE)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762" s="4" t="str">
        <f t="shared" si="72"/>
        <v>T</v>
      </c>
      <c r="L762" s="45">
        <f>VLOOKUP(B762,'NonXtal_SegEnds_Prot#'!A:AL,21,FALSE)</f>
        <v>181</v>
      </c>
      <c r="M762" s="45">
        <f>VLOOKUP(B762,'NonXtal_SegEnds_Prot#'!A:AL,22,FALSE)</f>
        <v>192</v>
      </c>
      <c r="N762" s="45">
        <f>VLOOKUP(B762,'NonXtal_SegEnds_Prot#'!A:AL,23,FALSE)</f>
        <v>211</v>
      </c>
      <c r="O762" s="4" t="str">
        <f t="shared" si="73"/>
        <v>G</v>
      </c>
      <c r="P762" s="4"/>
      <c r="Q762" s="47" t="str">
        <f t="shared" si="69"/>
        <v>TKRAGVMIGLA</v>
      </c>
      <c r="R762" s="27" t="str">
        <f t="shared" si="70"/>
        <v>W</v>
      </c>
      <c r="S762" s="19" t="str">
        <f t="shared" si="71"/>
        <v>VISFVLWAPAILFWQYFVG</v>
      </c>
      <c r="Z762" s="4"/>
      <c r="AD762" s="1" t="s">
        <v>32</v>
      </c>
      <c r="AE762" s="1">
        <v>181</v>
      </c>
      <c r="AF762" s="1">
        <v>192</v>
      </c>
      <c r="AG762" s="1">
        <v>205</v>
      </c>
      <c r="AH762" s="1" t="s">
        <v>81</v>
      </c>
      <c r="AK762" s="4">
        <v>39</v>
      </c>
      <c r="AL762" s="4">
        <v>63</v>
      </c>
    </row>
    <row r="763" spans="1:38" x14ac:dyDescent="0.25">
      <c r="A763" s="1" t="str">
        <f t="shared" si="68"/>
        <v>ACM3_rat_4U15_TM4</v>
      </c>
      <c r="B763" s="45" t="s">
        <v>236</v>
      </c>
      <c r="C763" s="45" t="s">
        <v>262</v>
      </c>
      <c r="D763" s="4" t="str">
        <f>VLOOKUP(B763,Classification!A:D,2,FALSE)</f>
        <v>A</v>
      </c>
      <c r="E763" s="4" t="str">
        <f>VLOOKUP(B763,Classification!A:D,3,FALSE)</f>
        <v>Aminergic</v>
      </c>
      <c r="F763" s="4" t="str">
        <f>VLOOKUP(B763,Classification!A:D,4,FALSE)</f>
        <v>Acetylcholine(muscarinic)</v>
      </c>
      <c r="G763" s="2">
        <v>7</v>
      </c>
      <c r="H763" s="45" t="s">
        <v>31</v>
      </c>
      <c r="I763" s="2" t="s">
        <v>1223</v>
      </c>
      <c r="J763" s="5" t="str">
        <f>VLOOKUP(B763,Seqs!A:B,2,FALSE)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763" s="4" t="str">
        <f t="shared" si="72"/>
        <v>T</v>
      </c>
      <c r="L763" s="45">
        <f>VLOOKUP(B763,'NonXtal_SegEnds_Prot#'!A:AL,21,FALSE)</f>
        <v>181</v>
      </c>
      <c r="M763" s="45">
        <f>VLOOKUP(B763,'NonXtal_SegEnds_Prot#'!A:AL,22,FALSE)</f>
        <v>192</v>
      </c>
      <c r="N763" s="45">
        <f>VLOOKUP(B763,'NonXtal_SegEnds_Prot#'!A:AL,23,FALSE)</f>
        <v>211</v>
      </c>
      <c r="O763" s="4" t="str">
        <f t="shared" si="73"/>
        <v>G</v>
      </c>
      <c r="P763" s="4"/>
      <c r="Q763" s="47" t="str">
        <f t="shared" si="69"/>
        <v>TKRAGVMIGLA</v>
      </c>
      <c r="R763" s="27" t="str">
        <f t="shared" si="70"/>
        <v>W</v>
      </c>
      <c r="S763" s="19" t="str">
        <f t="shared" si="71"/>
        <v>VISFVLWAPAILFWQYFVG</v>
      </c>
      <c r="Z763" s="4"/>
      <c r="AD763" s="1" t="s">
        <v>32</v>
      </c>
      <c r="AE763" s="1">
        <v>181</v>
      </c>
      <c r="AF763" s="1">
        <v>192</v>
      </c>
      <c r="AG763" s="1">
        <v>205</v>
      </c>
      <c r="AH763" s="1" t="s">
        <v>81</v>
      </c>
      <c r="AK763" s="4">
        <v>39</v>
      </c>
      <c r="AL763" s="4">
        <v>63</v>
      </c>
    </row>
    <row r="764" spans="1:38" x14ac:dyDescent="0.25">
      <c r="A764" s="1" t="str">
        <f t="shared" si="68"/>
        <v>ACM4_human__wt_TM4</v>
      </c>
      <c r="B764" s="45" t="s">
        <v>220</v>
      </c>
      <c r="C764" s="45" t="s">
        <v>294</v>
      </c>
      <c r="D764" s="4" t="str">
        <f>VLOOKUP(B764,Classification!A:D,2,FALSE)</f>
        <v>A</v>
      </c>
      <c r="E764" s="4" t="str">
        <f>VLOOKUP(B764,Classification!A:D,3,FALSE)</f>
        <v>Aminergic</v>
      </c>
      <c r="F764" s="4" t="str">
        <f>VLOOKUP(B764,Classification!A:D,4,FALSE)</f>
        <v>Acetylcholine(muscarinic)</v>
      </c>
      <c r="G764" s="2">
        <v>7</v>
      </c>
      <c r="H764" s="45" t="s">
        <v>31</v>
      </c>
      <c r="I764" s="2" t="s">
        <v>1223</v>
      </c>
      <c r="J764" s="5" t="str">
        <f>VLOOKUP(B764,Seqs!A:B,2,FALSE)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764" s="4" t="str">
        <f t="shared" si="72"/>
        <v>T</v>
      </c>
      <c r="L764" s="45">
        <f>VLOOKUP(B764,'NonXtal_SegEnds_Prot#'!A:AL,21,FALSE)</f>
        <v>146</v>
      </c>
      <c r="M764" s="45">
        <f>VLOOKUP(B764,'NonXtal_SegEnds_Prot#'!A:AL,22,FALSE)</f>
        <v>157</v>
      </c>
      <c r="N764" s="45">
        <f>VLOOKUP(B764,'NonXtal_SegEnds_Prot#'!A:AL,23,FALSE)</f>
        <v>176</v>
      </c>
      <c r="O764" s="4" t="str">
        <f t="shared" si="73"/>
        <v>G</v>
      </c>
      <c r="P764" s="4"/>
      <c r="Q764" s="47" t="str">
        <f t="shared" si="69"/>
        <v>TKMAGLMIAAA</v>
      </c>
      <c r="R764" s="27" t="str">
        <f t="shared" si="70"/>
        <v>W</v>
      </c>
      <c r="S764" s="19" t="str">
        <f t="shared" si="71"/>
        <v>VLSFVLWAPAILFWQFVVG</v>
      </c>
      <c r="Z764" s="4" t="s">
        <v>78</v>
      </c>
      <c r="AD764" s="1" t="s">
        <v>32</v>
      </c>
      <c r="AE764" s="1">
        <v>146</v>
      </c>
      <c r="AF764" s="1">
        <v>157</v>
      </c>
      <c r="AG764" s="1">
        <v>170</v>
      </c>
      <c r="AH764" s="1" t="s">
        <v>81</v>
      </c>
      <c r="AK764" s="4">
        <v>39</v>
      </c>
      <c r="AL764" s="4">
        <v>63</v>
      </c>
    </row>
    <row r="765" spans="1:38" x14ac:dyDescent="0.25">
      <c r="A765" s="1" t="str">
        <f t="shared" si="68"/>
        <v>ACM4_human_5DSG_TM4</v>
      </c>
      <c r="B765" s="45" t="s">
        <v>220</v>
      </c>
      <c r="C765" s="45" t="s">
        <v>252</v>
      </c>
      <c r="D765" s="4" t="str">
        <f>VLOOKUP(B765,Classification!A:D,2,FALSE)</f>
        <v>A</v>
      </c>
      <c r="E765" s="4" t="str">
        <f>VLOOKUP(B765,Classification!A:D,3,FALSE)</f>
        <v>Aminergic</v>
      </c>
      <c r="F765" s="4" t="str">
        <f>VLOOKUP(B765,Classification!A:D,4,FALSE)</f>
        <v>Acetylcholine(muscarinic)</v>
      </c>
      <c r="G765" s="2">
        <v>7</v>
      </c>
      <c r="H765" s="45" t="s">
        <v>31</v>
      </c>
      <c r="I765" s="2" t="s">
        <v>1223</v>
      </c>
      <c r="J765" s="5" t="str">
        <f>VLOOKUP(B765,Seqs!A:B,2,FALSE)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765" s="4" t="str">
        <f t="shared" si="72"/>
        <v>T</v>
      </c>
      <c r="L765" s="45">
        <f>VLOOKUP(B765,'NonXtal_SegEnds_Prot#'!A:AL,21,FALSE)</f>
        <v>146</v>
      </c>
      <c r="M765" s="45">
        <f>VLOOKUP(B765,'NonXtal_SegEnds_Prot#'!A:AL,22,FALSE)</f>
        <v>157</v>
      </c>
      <c r="N765" s="45">
        <f>VLOOKUP(B765,'NonXtal_SegEnds_Prot#'!A:AL,23,FALSE)</f>
        <v>176</v>
      </c>
      <c r="O765" s="4" t="str">
        <f t="shared" si="73"/>
        <v>G</v>
      </c>
      <c r="P765" s="4"/>
      <c r="Q765" s="47" t="str">
        <f t="shared" si="69"/>
        <v>TKMAGLMIAAA</v>
      </c>
      <c r="R765" s="27" t="str">
        <f t="shared" si="70"/>
        <v>W</v>
      </c>
      <c r="S765" s="19" t="str">
        <f t="shared" si="71"/>
        <v>VLSFVLWAPAILFWQFVVG</v>
      </c>
      <c r="Z765" s="4" t="s">
        <v>78</v>
      </c>
      <c r="AD765" s="1" t="s">
        <v>32</v>
      </c>
      <c r="AE765" s="1">
        <v>146</v>
      </c>
      <c r="AF765" s="1">
        <v>157</v>
      </c>
      <c r="AG765" s="1">
        <v>170</v>
      </c>
      <c r="AH765" s="1" t="s">
        <v>81</v>
      </c>
      <c r="AK765" s="4">
        <v>39</v>
      </c>
      <c r="AL765" s="4">
        <v>63</v>
      </c>
    </row>
    <row r="766" spans="1:38" x14ac:dyDescent="0.25">
      <c r="A766" s="1" t="str">
        <f t="shared" si="68"/>
        <v>ADRB1_melga__wt_TM4</v>
      </c>
      <c r="B766" s="45" t="s">
        <v>235</v>
      </c>
      <c r="C766" s="45" t="s">
        <v>294</v>
      </c>
      <c r="D766" s="4" t="str">
        <f>VLOOKUP(B766,Classification!A:D,2,FALSE)</f>
        <v>A</v>
      </c>
      <c r="E766" s="4" t="str">
        <f>VLOOKUP(B766,Classification!A:D,3,FALSE)</f>
        <v>Aminergic</v>
      </c>
      <c r="F766" s="4" t="str">
        <f>VLOOKUP(B766,Classification!A:D,4,FALSE)</f>
        <v>Adrenoceptors</v>
      </c>
      <c r="G766" s="2">
        <v>7</v>
      </c>
      <c r="H766" s="45" t="s">
        <v>31</v>
      </c>
      <c r="I766" s="2" t="s">
        <v>1223</v>
      </c>
      <c r="J766" s="5" t="str">
        <f>VLOOKUP(B766,Seqs!A:B,2,FALSE)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6" s="4" t="str">
        <f t="shared" si="72"/>
        <v>R</v>
      </c>
      <c r="L766" s="45">
        <f>VLOOKUP(B766,'NonXtal_SegEnds_Prot#'!A:AL,21,FALSE)</f>
        <v>155</v>
      </c>
      <c r="M766" s="45">
        <f>VLOOKUP(B766,'NonXtal_SegEnds_Prot#'!A:AL,22,FALSE)</f>
        <v>166</v>
      </c>
      <c r="N766" s="45">
        <f>VLOOKUP(B766,'NonXtal_SegEnds_Prot#'!A:AL,23,FALSE)</f>
        <v>180</v>
      </c>
      <c r="O766" s="4" t="str">
        <f t="shared" si="73"/>
        <v>H</v>
      </c>
      <c r="P766" s="4"/>
      <c r="Q766" s="47" t="str">
        <f t="shared" si="69"/>
        <v>RARAKVIICTV</v>
      </c>
      <c r="R766" s="27" t="str">
        <f t="shared" si="70"/>
        <v>W</v>
      </c>
      <c r="S766" s="19" t="str">
        <f t="shared" si="71"/>
        <v>AISALVSFLPIMMH</v>
      </c>
      <c r="Z766" s="4"/>
      <c r="AD766" s="1" t="s">
        <v>32</v>
      </c>
      <c r="AE766" s="1">
        <v>155</v>
      </c>
      <c r="AF766" s="1">
        <v>166</v>
      </c>
      <c r="AG766" s="1">
        <v>179</v>
      </c>
      <c r="AH766" s="1" t="s">
        <v>81</v>
      </c>
      <c r="AK766" s="4">
        <v>39</v>
      </c>
      <c r="AL766" s="4">
        <v>63</v>
      </c>
    </row>
    <row r="767" spans="1:38" x14ac:dyDescent="0.25">
      <c r="A767" s="1" t="str">
        <f t="shared" si="68"/>
        <v>ADRB1_melga_2Y02_TM4</v>
      </c>
      <c r="B767" s="45" t="s">
        <v>235</v>
      </c>
      <c r="C767" s="45" t="s">
        <v>1230</v>
      </c>
      <c r="D767" s="4" t="str">
        <f>VLOOKUP(B767,Classification!A:D,2,FALSE)</f>
        <v>A</v>
      </c>
      <c r="E767" s="4" t="str">
        <f>VLOOKUP(B767,Classification!A:D,3,FALSE)</f>
        <v>Aminergic</v>
      </c>
      <c r="F767" s="4" t="str">
        <f>VLOOKUP(B767,Classification!A:D,4,FALSE)</f>
        <v>Adrenoceptors</v>
      </c>
      <c r="G767" s="2">
        <v>7</v>
      </c>
      <c r="H767" s="45" t="s">
        <v>31</v>
      </c>
      <c r="I767" s="2" t="s">
        <v>1223</v>
      </c>
      <c r="J767" s="5" t="str">
        <f>VLOOKUP(B767,Seqs!A:B,2,FALSE)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7" s="4" t="str">
        <f t="shared" si="72"/>
        <v>R</v>
      </c>
      <c r="L767" s="45">
        <f>VLOOKUP(B767,'NonXtal_SegEnds_Prot#'!A:AL,21,FALSE)</f>
        <v>155</v>
      </c>
      <c r="M767" s="45">
        <f>VLOOKUP(B767,'NonXtal_SegEnds_Prot#'!A:AL,22,FALSE)</f>
        <v>166</v>
      </c>
      <c r="N767" s="45">
        <f>VLOOKUP(B767,'NonXtal_SegEnds_Prot#'!A:AL,23,FALSE)</f>
        <v>180</v>
      </c>
      <c r="O767" s="4" t="str">
        <f t="shared" si="73"/>
        <v>H</v>
      </c>
      <c r="P767" s="4"/>
      <c r="Q767" s="47" t="str">
        <f t="shared" si="69"/>
        <v>RARAKVIICTV</v>
      </c>
      <c r="R767" s="27" t="str">
        <f t="shared" si="70"/>
        <v>W</v>
      </c>
      <c r="S767" s="19" t="str">
        <f t="shared" si="71"/>
        <v>AISALVSFLPIMMH</v>
      </c>
      <c r="Z767" s="4"/>
      <c r="AD767" s="1" t="s">
        <v>32</v>
      </c>
      <c r="AE767" s="1">
        <v>155</v>
      </c>
      <c r="AF767" s="1">
        <v>166</v>
      </c>
      <c r="AG767" s="1">
        <v>179</v>
      </c>
      <c r="AH767" s="1" t="s">
        <v>81</v>
      </c>
      <c r="AK767" s="4">
        <v>39</v>
      </c>
      <c r="AL767" s="4">
        <v>63</v>
      </c>
    </row>
    <row r="768" spans="1:38" x14ac:dyDescent="0.25">
      <c r="A768" s="1" t="str">
        <f t="shared" si="68"/>
        <v>ADRB1_melga_2YCW_TM4</v>
      </c>
      <c r="B768" s="45" t="s">
        <v>235</v>
      </c>
      <c r="C768" s="45" t="s">
        <v>1233</v>
      </c>
      <c r="D768" s="4" t="str">
        <f>VLOOKUP(B768,Classification!A:D,2,FALSE)</f>
        <v>A</v>
      </c>
      <c r="E768" s="4" t="str">
        <f>VLOOKUP(B768,Classification!A:D,3,FALSE)</f>
        <v>Aminergic</v>
      </c>
      <c r="F768" s="4" t="str">
        <f>VLOOKUP(B768,Classification!A:D,4,FALSE)</f>
        <v>Adrenoceptors</v>
      </c>
      <c r="G768" s="2">
        <v>7</v>
      </c>
      <c r="H768" s="45" t="s">
        <v>31</v>
      </c>
      <c r="I768" s="2" t="s">
        <v>1223</v>
      </c>
      <c r="J768" s="5" t="str">
        <f>VLOOKUP(B768,Seqs!A:B,2,FALSE)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8" s="4" t="str">
        <f t="shared" si="72"/>
        <v>R</v>
      </c>
      <c r="L768" s="45">
        <f>VLOOKUP(B768,'NonXtal_SegEnds_Prot#'!A:AL,21,FALSE)</f>
        <v>155</v>
      </c>
      <c r="M768" s="45">
        <f>VLOOKUP(B768,'NonXtal_SegEnds_Prot#'!A:AL,22,FALSE)</f>
        <v>166</v>
      </c>
      <c r="N768" s="45">
        <f>VLOOKUP(B768,'NonXtal_SegEnds_Prot#'!A:AL,23,FALSE)</f>
        <v>180</v>
      </c>
      <c r="O768" s="4" t="str">
        <f t="shared" si="73"/>
        <v>H</v>
      </c>
      <c r="P768" s="4"/>
      <c r="Q768" s="47" t="str">
        <f t="shared" si="69"/>
        <v>RARAKVIICTV</v>
      </c>
      <c r="R768" s="27" t="str">
        <f t="shared" si="70"/>
        <v>W</v>
      </c>
      <c r="S768" s="19" t="str">
        <f t="shared" si="71"/>
        <v>AISALVSFLPIMMH</v>
      </c>
      <c r="Z768" s="4"/>
      <c r="AD768" s="1" t="s">
        <v>32</v>
      </c>
      <c r="AE768" s="1">
        <v>155</v>
      </c>
      <c r="AF768" s="1">
        <v>166</v>
      </c>
      <c r="AG768" s="1">
        <v>179</v>
      </c>
      <c r="AH768" s="1" t="s">
        <v>81</v>
      </c>
      <c r="AK768" s="4">
        <v>39</v>
      </c>
      <c r="AL768" s="4">
        <v>63</v>
      </c>
    </row>
    <row r="769" spans="1:38" x14ac:dyDescent="0.25">
      <c r="A769" s="1" t="str">
        <f t="shared" si="68"/>
        <v>ADRB1_melga_4BVN_TM4</v>
      </c>
      <c r="B769" s="45" t="s">
        <v>235</v>
      </c>
      <c r="C769" s="45" t="s">
        <v>273</v>
      </c>
      <c r="D769" s="4" t="str">
        <f>VLOOKUP(B769,Classification!A:D,2,FALSE)</f>
        <v>A</v>
      </c>
      <c r="E769" s="4" t="str">
        <f>VLOOKUP(B769,Classification!A:D,3,FALSE)</f>
        <v>Aminergic</v>
      </c>
      <c r="F769" s="4" t="str">
        <f>VLOOKUP(B769,Classification!A:D,4,FALSE)</f>
        <v>Adrenoceptors</v>
      </c>
      <c r="G769" s="2">
        <v>7</v>
      </c>
      <c r="H769" s="45" t="s">
        <v>31</v>
      </c>
      <c r="I769" s="2" t="s">
        <v>1223</v>
      </c>
      <c r="J769" s="5" t="str">
        <f>VLOOKUP(B769,Seqs!A:B,2,FALSE)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9" s="4" t="str">
        <f t="shared" si="72"/>
        <v>R</v>
      </c>
      <c r="L769" s="45">
        <f>VLOOKUP(B769,'NonXtal_SegEnds_Prot#'!A:AL,21,FALSE)</f>
        <v>155</v>
      </c>
      <c r="M769" s="45">
        <f>VLOOKUP(B769,'NonXtal_SegEnds_Prot#'!A:AL,22,FALSE)</f>
        <v>166</v>
      </c>
      <c r="N769" s="45">
        <f>VLOOKUP(B769,'NonXtal_SegEnds_Prot#'!A:AL,23,FALSE)</f>
        <v>180</v>
      </c>
      <c r="O769" s="4" t="str">
        <f t="shared" si="73"/>
        <v>H</v>
      </c>
      <c r="P769" s="4"/>
      <c r="Q769" s="47" t="str">
        <f t="shared" si="69"/>
        <v>RARAKVIICTV</v>
      </c>
      <c r="R769" s="27" t="str">
        <f t="shared" si="70"/>
        <v>W</v>
      </c>
      <c r="S769" s="19" t="str">
        <f t="shared" si="71"/>
        <v>AISALVSFLPIMMH</v>
      </c>
      <c r="Z769" s="4"/>
      <c r="AD769" s="1" t="s">
        <v>32</v>
      </c>
      <c r="AE769" s="1">
        <v>155</v>
      </c>
      <c r="AF769" s="1">
        <v>166</v>
      </c>
      <c r="AG769" s="1">
        <v>179</v>
      </c>
      <c r="AH769" s="1" t="s">
        <v>81</v>
      </c>
      <c r="AK769" s="4">
        <v>39</v>
      </c>
      <c r="AL769" s="4">
        <v>63</v>
      </c>
    </row>
    <row r="770" spans="1:38" x14ac:dyDescent="0.25">
      <c r="A770" s="1" t="str">
        <f t="shared" ref="A770:A833" si="74">CONCATENATE(B770,"_",C770,"_",H770)</f>
        <v>ADRB2_human__wt_TM4</v>
      </c>
      <c r="B770" s="45" t="s">
        <v>211</v>
      </c>
      <c r="C770" s="54" t="s">
        <v>294</v>
      </c>
      <c r="D770" s="4" t="str">
        <f>VLOOKUP(B770,Classification!A:D,2,FALSE)</f>
        <v>A</v>
      </c>
      <c r="E770" s="4" t="str">
        <f>VLOOKUP(B770,Classification!A:D,3,FALSE)</f>
        <v>Aminergic</v>
      </c>
      <c r="F770" s="4" t="str">
        <f>VLOOKUP(B770,Classification!A:D,4,FALSE)</f>
        <v>Adrenoceptors</v>
      </c>
      <c r="G770" s="2">
        <v>7</v>
      </c>
      <c r="H770" s="45" t="s">
        <v>31</v>
      </c>
      <c r="I770" s="2" t="s">
        <v>1223</v>
      </c>
      <c r="J770" s="5" t="str">
        <f>VLOOKUP(B770,Seqs!A:B,2,FALSE)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0" s="4" t="str">
        <f t="shared" si="72"/>
        <v>K</v>
      </c>
      <c r="L770" s="45">
        <f>VLOOKUP(B770,'NonXtal_SegEnds_Prot#'!A:AL,21,FALSE)</f>
        <v>147</v>
      </c>
      <c r="M770" s="45">
        <f>VLOOKUP(B770,'NonXtal_SegEnds_Prot#'!A:AL,22,FALSE)</f>
        <v>158</v>
      </c>
      <c r="N770" s="45">
        <f>VLOOKUP(B770,'NonXtal_SegEnds_Prot#'!A:AL,23,FALSE)</f>
        <v>172</v>
      </c>
      <c r="O770" s="4" t="str">
        <f t="shared" si="73"/>
        <v>H</v>
      </c>
      <c r="P770" s="4"/>
      <c r="Q770" s="47" t="str">
        <f t="shared" ref="Q770:Q833" si="75">MID(J770,L770,M770-L770)</f>
        <v>KNKARVIILMV</v>
      </c>
      <c r="R770" s="27" t="str">
        <f t="shared" ref="R770:R833" si="76">MID(J770,M770,1)</f>
        <v>W</v>
      </c>
      <c r="S770" s="19" t="str">
        <f t="shared" ref="S770:S833" si="77">MID(J770,M770+1,N770-M770)</f>
        <v>IVSGLTSFLPIQMH</v>
      </c>
      <c r="Z770" s="4" t="s">
        <v>64</v>
      </c>
      <c r="AD770" s="1" t="s">
        <v>32</v>
      </c>
      <c r="AE770" s="1">
        <v>147</v>
      </c>
      <c r="AF770" s="1">
        <v>158</v>
      </c>
      <c r="AG770" s="1">
        <v>171</v>
      </c>
      <c r="AH770" s="1" t="s">
        <v>81</v>
      </c>
      <c r="AK770" s="4">
        <v>39</v>
      </c>
      <c r="AL770" s="4">
        <v>63</v>
      </c>
    </row>
    <row r="771" spans="1:38" x14ac:dyDescent="0.25">
      <c r="A771" s="1" t="str">
        <f t="shared" si="74"/>
        <v>ADRB2_human_3D4S_TM4</v>
      </c>
      <c r="B771" s="45" t="s">
        <v>211</v>
      </c>
      <c r="C771" s="45" t="s">
        <v>267</v>
      </c>
      <c r="D771" s="4" t="str">
        <f>VLOOKUP(B771,Classification!A:D,2,FALSE)</f>
        <v>A</v>
      </c>
      <c r="E771" s="4" t="str">
        <f>VLOOKUP(B771,Classification!A:D,3,FALSE)</f>
        <v>Aminergic</v>
      </c>
      <c r="F771" s="4" t="str">
        <f>VLOOKUP(B771,Classification!A:D,4,FALSE)</f>
        <v>Adrenoceptors</v>
      </c>
      <c r="G771" s="2">
        <v>7</v>
      </c>
      <c r="H771" s="45" t="s">
        <v>31</v>
      </c>
      <c r="I771" s="2" t="s">
        <v>1223</v>
      </c>
      <c r="J771" s="5" t="str">
        <f>VLOOKUP(B771,Seqs!A:B,2,FALSE)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1" s="4" t="str">
        <f t="shared" si="72"/>
        <v>K</v>
      </c>
      <c r="L771" s="45">
        <f>VLOOKUP(B771,'NonXtal_SegEnds_Prot#'!A:AL,21,FALSE)</f>
        <v>147</v>
      </c>
      <c r="M771" s="45">
        <f>VLOOKUP(B771,'NonXtal_SegEnds_Prot#'!A:AL,22,FALSE)</f>
        <v>158</v>
      </c>
      <c r="N771" s="45">
        <f>VLOOKUP(B771,'NonXtal_SegEnds_Prot#'!A:AL,23,FALSE)</f>
        <v>172</v>
      </c>
      <c r="O771" s="4" t="str">
        <f t="shared" si="73"/>
        <v>H</v>
      </c>
      <c r="P771" s="4"/>
      <c r="Q771" s="47" t="str">
        <f t="shared" si="75"/>
        <v>KNKARVIILMV</v>
      </c>
      <c r="R771" s="27" t="str">
        <f t="shared" si="76"/>
        <v>W</v>
      </c>
      <c r="S771" s="19" t="str">
        <f t="shared" si="77"/>
        <v>IVSGLTSFLPIQMH</v>
      </c>
      <c r="Z771" s="4"/>
      <c r="AD771" s="1" t="s">
        <v>32</v>
      </c>
      <c r="AE771" s="1">
        <v>147</v>
      </c>
      <c r="AF771" s="1">
        <v>158</v>
      </c>
      <c r="AG771" s="1">
        <v>171</v>
      </c>
      <c r="AH771" s="1" t="s">
        <v>81</v>
      </c>
      <c r="AK771" s="4">
        <v>39</v>
      </c>
      <c r="AL771" s="4">
        <v>63</v>
      </c>
    </row>
    <row r="772" spans="1:38" x14ac:dyDescent="0.25">
      <c r="A772" s="1" t="str">
        <f t="shared" si="74"/>
        <v>ADRB2_human_3P0G_TM4</v>
      </c>
      <c r="B772" s="45" t="s">
        <v>211</v>
      </c>
      <c r="C772" s="45" t="s">
        <v>257</v>
      </c>
      <c r="D772" s="4" t="str">
        <f>VLOOKUP(B772,Classification!A:D,2,FALSE)</f>
        <v>A</v>
      </c>
      <c r="E772" s="4" t="str">
        <f>VLOOKUP(B772,Classification!A:D,3,FALSE)</f>
        <v>Aminergic</v>
      </c>
      <c r="F772" s="4" t="str">
        <f>VLOOKUP(B772,Classification!A:D,4,FALSE)</f>
        <v>Adrenoceptors</v>
      </c>
      <c r="G772" s="2">
        <v>7</v>
      </c>
      <c r="H772" s="45" t="s">
        <v>31</v>
      </c>
      <c r="I772" s="2" t="s">
        <v>1223</v>
      </c>
      <c r="J772" s="5" t="str">
        <f>VLOOKUP(B772,Seqs!A:B,2,FALSE)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2" s="4" t="str">
        <f t="shared" si="72"/>
        <v>K</v>
      </c>
      <c r="L772" s="45">
        <f>VLOOKUP(B772,'NonXtal_SegEnds_Prot#'!A:AL,21,FALSE)</f>
        <v>147</v>
      </c>
      <c r="M772" s="45">
        <f>VLOOKUP(B772,'NonXtal_SegEnds_Prot#'!A:AL,22,FALSE)</f>
        <v>158</v>
      </c>
      <c r="N772" s="45">
        <f>VLOOKUP(B772,'NonXtal_SegEnds_Prot#'!A:AL,23,FALSE)</f>
        <v>172</v>
      </c>
      <c r="O772" s="4" t="str">
        <f t="shared" si="73"/>
        <v>H</v>
      </c>
      <c r="P772" s="4"/>
      <c r="Q772" s="47" t="str">
        <f t="shared" si="75"/>
        <v>KNKARVIILMV</v>
      </c>
      <c r="R772" s="27" t="str">
        <f t="shared" si="76"/>
        <v>W</v>
      </c>
      <c r="S772" s="19" t="str">
        <f t="shared" si="77"/>
        <v>IVSGLTSFLPIQMH</v>
      </c>
      <c r="Z772" s="4"/>
      <c r="AD772" s="1" t="s">
        <v>32</v>
      </c>
      <c r="AE772" s="1">
        <v>147</v>
      </c>
      <c r="AF772" s="1">
        <v>158</v>
      </c>
      <c r="AG772" s="1">
        <v>171</v>
      </c>
      <c r="AH772" s="1" t="s">
        <v>81</v>
      </c>
      <c r="AK772" s="4">
        <v>39</v>
      </c>
      <c r="AL772" s="4">
        <v>63</v>
      </c>
    </row>
    <row r="773" spans="1:38" x14ac:dyDescent="0.25">
      <c r="A773" s="1" t="str">
        <f t="shared" si="74"/>
        <v>ADRB2_human_3SN6_TM4</v>
      </c>
      <c r="B773" s="45" t="s">
        <v>211</v>
      </c>
      <c r="C773" s="45" t="s">
        <v>277</v>
      </c>
      <c r="D773" s="4" t="str">
        <f>VLOOKUP(B773,Classification!A:D,2,FALSE)</f>
        <v>A</v>
      </c>
      <c r="E773" s="4" t="str">
        <f>VLOOKUP(B773,Classification!A:D,3,FALSE)</f>
        <v>Aminergic</v>
      </c>
      <c r="F773" s="4" t="str">
        <f>VLOOKUP(B773,Classification!A:D,4,FALSE)</f>
        <v>Adrenoceptors</v>
      </c>
      <c r="G773" s="2">
        <v>7</v>
      </c>
      <c r="H773" s="45" t="s">
        <v>31</v>
      </c>
      <c r="I773" s="2" t="s">
        <v>1223</v>
      </c>
      <c r="J773" s="5" t="str">
        <f>VLOOKUP(B773,Seqs!A:B,2,FALSE)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3" s="4" t="str">
        <f t="shared" si="72"/>
        <v>K</v>
      </c>
      <c r="L773" s="45">
        <f>VLOOKUP(B773,'NonXtal_SegEnds_Prot#'!A:AL,21,FALSE)</f>
        <v>147</v>
      </c>
      <c r="M773" s="45">
        <f>VLOOKUP(B773,'NonXtal_SegEnds_Prot#'!A:AL,22,FALSE)</f>
        <v>158</v>
      </c>
      <c r="N773" s="45">
        <f>VLOOKUP(B773,'NonXtal_SegEnds_Prot#'!A:AL,23,FALSE)</f>
        <v>172</v>
      </c>
      <c r="O773" s="4" t="str">
        <f t="shared" si="73"/>
        <v>H</v>
      </c>
      <c r="P773" s="4"/>
      <c r="Q773" s="47" t="str">
        <f t="shared" si="75"/>
        <v>KNKARVIILMV</v>
      </c>
      <c r="R773" s="27" t="str">
        <f t="shared" si="76"/>
        <v>W</v>
      </c>
      <c r="S773" s="19" t="str">
        <f t="shared" si="77"/>
        <v>IVSGLTSFLPIQMH</v>
      </c>
      <c r="Z773" s="4" t="s">
        <v>64</v>
      </c>
      <c r="AD773" s="1" t="s">
        <v>32</v>
      </c>
      <c r="AE773" s="1">
        <v>147</v>
      </c>
      <c r="AF773" s="1">
        <v>158</v>
      </c>
      <c r="AG773" s="1">
        <v>171</v>
      </c>
      <c r="AH773" s="1" t="s">
        <v>81</v>
      </c>
      <c r="AK773" s="4">
        <v>39</v>
      </c>
      <c r="AL773" s="4">
        <v>63</v>
      </c>
    </row>
    <row r="774" spans="1:38" x14ac:dyDescent="0.25">
      <c r="A774" s="1" t="str">
        <f t="shared" si="74"/>
        <v>ADRB2_human_4LDE_TM4</v>
      </c>
      <c r="B774" s="45" t="s">
        <v>211</v>
      </c>
      <c r="C774" s="45" t="s">
        <v>268</v>
      </c>
      <c r="D774" s="4" t="str">
        <f>VLOOKUP(B774,Classification!A:D,2,FALSE)</f>
        <v>A</v>
      </c>
      <c r="E774" s="4" t="str">
        <f>VLOOKUP(B774,Classification!A:D,3,FALSE)</f>
        <v>Aminergic</v>
      </c>
      <c r="F774" s="4" t="str">
        <f>VLOOKUP(B774,Classification!A:D,4,FALSE)</f>
        <v>Adrenoceptors</v>
      </c>
      <c r="G774" s="2">
        <v>7</v>
      </c>
      <c r="H774" s="45" t="s">
        <v>31</v>
      </c>
      <c r="I774" s="2" t="s">
        <v>1223</v>
      </c>
      <c r="J774" s="5" t="str">
        <f>VLOOKUP(B774,Seqs!A:B,2,FALSE)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4" s="4" t="str">
        <f t="shared" si="72"/>
        <v>K</v>
      </c>
      <c r="L774" s="45">
        <f>VLOOKUP(B774,'NonXtal_SegEnds_Prot#'!A:AL,21,FALSE)</f>
        <v>147</v>
      </c>
      <c r="M774" s="45">
        <f>VLOOKUP(B774,'NonXtal_SegEnds_Prot#'!A:AL,22,FALSE)</f>
        <v>158</v>
      </c>
      <c r="N774" s="45">
        <f>VLOOKUP(B774,'NonXtal_SegEnds_Prot#'!A:AL,23,FALSE)</f>
        <v>172</v>
      </c>
      <c r="O774" s="4" t="str">
        <f t="shared" si="73"/>
        <v>H</v>
      </c>
      <c r="P774" s="4"/>
      <c r="Q774" s="47" t="str">
        <f t="shared" si="75"/>
        <v>KNKARVIILMV</v>
      </c>
      <c r="R774" s="27" t="str">
        <f t="shared" si="76"/>
        <v>W</v>
      </c>
      <c r="S774" s="19" t="str">
        <f t="shared" si="77"/>
        <v>IVSGLTSFLPIQMH</v>
      </c>
      <c r="Z774" s="4"/>
      <c r="AD774" s="1" t="s">
        <v>32</v>
      </c>
      <c r="AE774" s="1">
        <v>147</v>
      </c>
      <c r="AF774" s="1">
        <v>158</v>
      </c>
      <c r="AG774" s="1">
        <v>171</v>
      </c>
      <c r="AH774" s="1" t="s">
        <v>81</v>
      </c>
      <c r="AK774" s="4">
        <v>39</v>
      </c>
      <c r="AL774" s="4">
        <v>63</v>
      </c>
    </row>
    <row r="775" spans="1:38" x14ac:dyDescent="0.25">
      <c r="A775" s="1" t="str">
        <f t="shared" si="74"/>
        <v>ADRB2_human_4QKX_TM4</v>
      </c>
      <c r="B775" s="45" t="s">
        <v>211</v>
      </c>
      <c r="C775" s="45" t="s">
        <v>269</v>
      </c>
      <c r="D775" s="4" t="str">
        <f>VLOOKUP(B775,Classification!A:D,2,FALSE)</f>
        <v>A</v>
      </c>
      <c r="E775" s="4" t="str">
        <f>VLOOKUP(B775,Classification!A:D,3,FALSE)</f>
        <v>Aminergic</v>
      </c>
      <c r="F775" s="4" t="str">
        <f>VLOOKUP(B775,Classification!A:D,4,FALSE)</f>
        <v>Adrenoceptors</v>
      </c>
      <c r="G775" s="2">
        <v>7</v>
      </c>
      <c r="H775" s="45" t="s">
        <v>31</v>
      </c>
      <c r="I775" s="2" t="s">
        <v>1223</v>
      </c>
      <c r="J775" s="5" t="str">
        <f>VLOOKUP(B775,Seqs!A:B,2,FALSE)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5" s="4" t="str">
        <f t="shared" si="72"/>
        <v>K</v>
      </c>
      <c r="L775" s="45">
        <f>VLOOKUP(B775,'NonXtal_SegEnds_Prot#'!A:AL,21,FALSE)</f>
        <v>147</v>
      </c>
      <c r="M775" s="45">
        <f>VLOOKUP(B775,'NonXtal_SegEnds_Prot#'!A:AL,22,FALSE)</f>
        <v>158</v>
      </c>
      <c r="N775" s="45">
        <f>VLOOKUP(B775,'NonXtal_SegEnds_Prot#'!A:AL,23,FALSE)</f>
        <v>172</v>
      </c>
      <c r="O775" s="4" t="str">
        <f t="shared" si="73"/>
        <v>H</v>
      </c>
      <c r="P775" s="4"/>
      <c r="Q775" s="47" t="str">
        <f t="shared" si="75"/>
        <v>KNKARVIILMV</v>
      </c>
      <c r="R775" s="27" t="str">
        <f t="shared" si="76"/>
        <v>W</v>
      </c>
      <c r="S775" s="19" t="str">
        <f t="shared" si="77"/>
        <v>IVSGLTSFLPIQMH</v>
      </c>
      <c r="Z775" s="4"/>
      <c r="AD775" s="1" t="s">
        <v>32</v>
      </c>
      <c r="AE775" s="1">
        <v>147</v>
      </c>
      <c r="AF775" s="1">
        <v>158</v>
      </c>
      <c r="AG775" s="1">
        <v>171</v>
      </c>
      <c r="AH775" s="1" t="s">
        <v>81</v>
      </c>
      <c r="AK775" s="4">
        <v>39</v>
      </c>
      <c r="AL775" s="4">
        <v>63</v>
      </c>
    </row>
    <row r="776" spans="1:38" x14ac:dyDescent="0.25">
      <c r="A776" s="1" t="str">
        <f t="shared" si="74"/>
        <v>FFAR1_human__wt_TM4</v>
      </c>
      <c r="B776" s="45" t="s">
        <v>1368</v>
      </c>
      <c r="C776" s="45" t="s">
        <v>294</v>
      </c>
      <c r="D776" s="4" t="str">
        <f>VLOOKUP(B776,Classification!A:D,2,FALSE)</f>
        <v>A</v>
      </c>
      <c r="E776" s="4" t="str">
        <f>VLOOKUP(B776,Classification!A:D,3,FALSE)</f>
        <v>Lipid</v>
      </c>
      <c r="F776" s="4" t="str">
        <f>VLOOKUP(B776,Classification!A:D,4,FALSE)</f>
        <v>Freefattyacid</v>
      </c>
      <c r="G776" s="2">
        <v>7</v>
      </c>
      <c r="H776" s="45" t="s">
        <v>31</v>
      </c>
      <c r="I776" s="2" t="s">
        <v>1223</v>
      </c>
      <c r="J776" s="5" t="str">
        <f>VLOOKUP(B776,Seqs!A:B,2,FALSE)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776" s="4" t="str">
        <f t="shared" si="72"/>
        <v>P</v>
      </c>
      <c r="L776" s="45">
        <f>VLOOKUP(B776,'NonXtal_SegEnds_Prot#'!A:AL,21,FALSE)</f>
        <v>120</v>
      </c>
      <c r="M776" s="45">
        <f>VLOOKUP(B776,'NonXtal_SegEnds_Prot#'!A:AL,22,FALSE)</f>
        <v>131</v>
      </c>
      <c r="N776" s="45">
        <f>VLOOKUP(B776,'NonXtal_SegEnds_Prot#'!A:AL,23,FALSE)</f>
        <v>145</v>
      </c>
      <c r="O776" s="4" t="str">
        <f t="shared" si="73"/>
        <v>E</v>
      </c>
      <c r="P776" s="4"/>
      <c r="Q776" s="47" t="str">
        <f t="shared" si="75"/>
        <v>PCYSWGVCAAI</v>
      </c>
      <c r="R776" s="28" t="str">
        <f t="shared" si="76"/>
        <v>W</v>
      </c>
      <c r="S776" s="20" t="str">
        <f t="shared" si="77"/>
        <v>ALVLCHLGLVFGLE</v>
      </c>
      <c r="Z776" s="4"/>
      <c r="AD776" s="1" t="s">
        <v>32</v>
      </c>
      <c r="AE776" s="1">
        <v>120</v>
      </c>
      <c r="AF776" s="1">
        <v>131</v>
      </c>
      <c r="AG776" s="1">
        <v>144</v>
      </c>
      <c r="AH776" s="1" t="s">
        <v>81</v>
      </c>
      <c r="AK776" s="4">
        <v>39</v>
      </c>
      <c r="AL776" s="4">
        <v>63</v>
      </c>
    </row>
    <row r="777" spans="1:38" x14ac:dyDescent="0.25">
      <c r="A777" s="1" t="str">
        <f t="shared" si="74"/>
        <v>FFAR1_human_4PHU_TM4</v>
      </c>
      <c r="B777" s="45" t="s">
        <v>1368</v>
      </c>
      <c r="C777" s="45" t="s">
        <v>241</v>
      </c>
      <c r="D777" s="4" t="str">
        <f>VLOOKUP(B777,Classification!A:D,2,FALSE)</f>
        <v>A</v>
      </c>
      <c r="E777" s="4" t="str">
        <f>VLOOKUP(B777,Classification!A:D,3,FALSE)</f>
        <v>Lipid</v>
      </c>
      <c r="F777" s="4" t="str">
        <f>VLOOKUP(B777,Classification!A:D,4,FALSE)</f>
        <v>Freefattyacid</v>
      </c>
      <c r="G777" s="2">
        <v>7</v>
      </c>
      <c r="H777" s="45" t="s">
        <v>31</v>
      </c>
      <c r="I777" s="2" t="s">
        <v>1223</v>
      </c>
      <c r="J777" s="5" t="str">
        <f>VLOOKUP(B777,Seqs!A:B,2,FALSE)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777" s="4" t="str">
        <f t="shared" si="72"/>
        <v>P</v>
      </c>
      <c r="L777" s="45">
        <f>VLOOKUP(B777,'NonXtal_SegEnds_Prot#'!A:AL,21,FALSE)</f>
        <v>120</v>
      </c>
      <c r="M777" s="45">
        <f>VLOOKUP(B777,'NonXtal_SegEnds_Prot#'!A:AL,22,FALSE)</f>
        <v>131</v>
      </c>
      <c r="N777" s="45">
        <f>VLOOKUP(B777,'NonXtal_SegEnds_Prot#'!A:AL,23,FALSE)</f>
        <v>145</v>
      </c>
      <c r="O777" s="4" t="str">
        <f t="shared" si="73"/>
        <v>E</v>
      </c>
      <c r="P777" s="4"/>
      <c r="Q777" s="47" t="str">
        <f t="shared" si="75"/>
        <v>PCYSWGVCAAI</v>
      </c>
      <c r="R777" s="28" t="str">
        <f t="shared" si="76"/>
        <v>W</v>
      </c>
      <c r="S777" s="20" t="str">
        <f t="shared" si="77"/>
        <v>ALVLCHLGLVFGLE</v>
      </c>
      <c r="Z777" s="4"/>
      <c r="AD777" s="1" t="s">
        <v>119</v>
      </c>
      <c r="AE777" s="1">
        <v>121</v>
      </c>
      <c r="AF777" s="1">
        <v>131</v>
      </c>
      <c r="AG777" s="1">
        <v>144</v>
      </c>
      <c r="AH777" s="1" t="s">
        <v>81</v>
      </c>
      <c r="AK777" s="4">
        <v>40</v>
      </c>
      <c r="AL777" s="4">
        <v>63</v>
      </c>
    </row>
    <row r="778" spans="1:38" x14ac:dyDescent="0.25">
      <c r="A778" s="1" t="str">
        <f t="shared" si="74"/>
        <v>glr_human__wt_TM4</v>
      </c>
      <c r="B778" s="45" t="s">
        <v>206</v>
      </c>
      <c r="C778" s="45" t="s">
        <v>294</v>
      </c>
      <c r="D778" s="4" t="str">
        <f>VLOOKUP(B778,Classification!A:D,2,FALSE)</f>
        <v>B1</v>
      </c>
      <c r="E778" s="4" t="str">
        <f>VLOOKUP(B778,Classification!A:D,3,FALSE)</f>
        <v>Peptide</v>
      </c>
      <c r="F778" s="4" t="str">
        <f>VLOOKUP(B778,Classification!A:D,4,FALSE)</f>
        <v>Glucagonreceptorfamily</v>
      </c>
      <c r="G778" s="2">
        <v>7</v>
      </c>
      <c r="H778" s="45" t="s">
        <v>31</v>
      </c>
      <c r="I778" s="2" t="s">
        <v>1223</v>
      </c>
      <c r="J778" s="5" t="str">
        <f>VLOOKUP(B778,Seqs!A:B,2,FALSE)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78" s="4" t="str">
        <f t="shared" si="72"/>
        <v>S</v>
      </c>
      <c r="L778" s="45">
        <f>VLOOKUP(B778,'NonXtal_SegEnds_Prot#'!A:AL,21,FALSE)</f>
        <v>262</v>
      </c>
      <c r="M778" s="45">
        <f>VLOOKUP(B778,'NonXtal_SegEnds_Prot#'!A:AL,22,FALSE)</f>
        <v>272</v>
      </c>
      <c r="N778" s="45">
        <f>VLOOKUP(B778,'NonXtal_SegEnds_Prot#'!A:AL,23,FALSE)</f>
        <v>290</v>
      </c>
      <c r="O778" s="4" t="str">
        <f t="shared" si="73"/>
        <v>E</v>
      </c>
      <c r="P778" s="4"/>
      <c r="Q778" s="47" t="str">
        <f t="shared" si="75"/>
        <v>SFFSLYLGIG</v>
      </c>
      <c r="R778" s="27" t="str">
        <f t="shared" si="76"/>
        <v>W</v>
      </c>
      <c r="S778" s="19" t="str">
        <f t="shared" si="77"/>
        <v>GAPMLFVVPWAVVKCLFE</v>
      </c>
      <c r="Z778" s="4"/>
      <c r="AD778" s="1" t="s">
        <v>110</v>
      </c>
      <c r="AE778" s="1">
        <v>265</v>
      </c>
      <c r="AF778" s="1">
        <v>272</v>
      </c>
      <c r="AG778" s="1">
        <v>290</v>
      </c>
      <c r="AH778" s="1" t="s">
        <v>168</v>
      </c>
      <c r="AK778" s="4">
        <v>43</v>
      </c>
      <c r="AL778" s="4">
        <v>68</v>
      </c>
    </row>
    <row r="779" spans="1:38" x14ac:dyDescent="0.25">
      <c r="A779" s="1" t="str">
        <f t="shared" si="74"/>
        <v>glr_human_4L6R_TM4</v>
      </c>
      <c r="B779" s="45" t="s">
        <v>206</v>
      </c>
      <c r="C779" s="45" t="s">
        <v>240</v>
      </c>
      <c r="D779" s="4" t="str">
        <f>VLOOKUP(B779,Classification!A:D,2,FALSE)</f>
        <v>B1</v>
      </c>
      <c r="E779" s="4" t="str">
        <f>VLOOKUP(B779,Classification!A:D,3,FALSE)</f>
        <v>Peptide</v>
      </c>
      <c r="F779" s="4" t="str">
        <f>VLOOKUP(B779,Classification!A:D,4,FALSE)</f>
        <v>Glucagonreceptorfamily</v>
      </c>
      <c r="G779" s="2">
        <v>7</v>
      </c>
      <c r="H779" s="45" t="s">
        <v>31</v>
      </c>
      <c r="I779" s="2" t="s">
        <v>1223</v>
      </c>
      <c r="J779" s="5" t="str">
        <f>VLOOKUP(B779,Seqs!A:B,2,FALSE)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79" s="4" t="str">
        <f t="shared" si="72"/>
        <v>S</v>
      </c>
      <c r="L779" s="45">
        <f>VLOOKUP(B779,'NonXtal_SegEnds_Prot#'!A:AL,21,FALSE)</f>
        <v>262</v>
      </c>
      <c r="M779" s="45">
        <f>VLOOKUP(B779,'NonXtal_SegEnds_Prot#'!A:AL,22,FALSE)</f>
        <v>272</v>
      </c>
      <c r="N779" s="45">
        <f>VLOOKUP(B779,'NonXtal_SegEnds_Prot#'!A:AL,23,FALSE)</f>
        <v>290</v>
      </c>
      <c r="O779" s="4" t="str">
        <f t="shared" si="73"/>
        <v>E</v>
      </c>
      <c r="P779" s="4" t="s">
        <v>58</v>
      </c>
      <c r="Q779" s="47" t="str">
        <f t="shared" si="75"/>
        <v>SFFSLYLGIG</v>
      </c>
      <c r="R779" s="28" t="str">
        <f t="shared" si="76"/>
        <v>W</v>
      </c>
      <c r="S779" s="20" t="str">
        <f t="shared" si="77"/>
        <v>GAPMLFVVPWAVVKCLFE</v>
      </c>
      <c r="Z779" s="4"/>
      <c r="AD779" s="1" t="s">
        <v>177</v>
      </c>
      <c r="AE779" s="1">
        <v>267</v>
      </c>
      <c r="AF779" s="1">
        <v>272</v>
      </c>
      <c r="AG779" s="1">
        <v>290</v>
      </c>
      <c r="AH779" s="1" t="s">
        <v>168</v>
      </c>
      <c r="AK779" s="4">
        <v>45</v>
      </c>
      <c r="AL779" s="4">
        <v>68</v>
      </c>
    </row>
    <row r="780" spans="1:38" x14ac:dyDescent="0.25">
      <c r="A780" s="1" t="str">
        <f t="shared" si="74"/>
        <v>glr_human_5EE7_TM4</v>
      </c>
      <c r="B780" s="45" t="s">
        <v>206</v>
      </c>
      <c r="C780" s="45" t="s">
        <v>237</v>
      </c>
      <c r="D780" s="4" t="str">
        <f>VLOOKUP(B780,Classification!A:D,2,FALSE)</f>
        <v>B1</v>
      </c>
      <c r="E780" s="4" t="str">
        <f>VLOOKUP(B780,Classification!A:D,3,FALSE)</f>
        <v>Peptide</v>
      </c>
      <c r="F780" s="4" t="str">
        <f>VLOOKUP(B780,Classification!A:D,4,FALSE)</f>
        <v>Glucagonreceptorfamily</v>
      </c>
      <c r="G780" s="2">
        <v>7</v>
      </c>
      <c r="H780" s="45" t="s">
        <v>31</v>
      </c>
      <c r="I780" s="2" t="s">
        <v>1223</v>
      </c>
      <c r="J780" s="5" t="str">
        <f>VLOOKUP(B780,Seqs!A:B,2,FALSE)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80" s="4" t="str">
        <f t="shared" si="72"/>
        <v>S</v>
      </c>
      <c r="L780" s="45">
        <f>VLOOKUP(B780,'NonXtal_SegEnds_Prot#'!A:AL,21,FALSE)</f>
        <v>262</v>
      </c>
      <c r="M780" s="45">
        <f>VLOOKUP(B780,'NonXtal_SegEnds_Prot#'!A:AL,22,FALSE)</f>
        <v>272</v>
      </c>
      <c r="N780" s="45">
        <f>VLOOKUP(B780,'NonXtal_SegEnds_Prot#'!A:AL,23,FALSE)</f>
        <v>290</v>
      </c>
      <c r="O780" s="4" t="str">
        <f t="shared" si="73"/>
        <v>E</v>
      </c>
      <c r="P780" s="4"/>
      <c r="Q780" s="47" t="str">
        <f t="shared" si="75"/>
        <v>SFFSLYLGIG</v>
      </c>
      <c r="R780" s="27" t="str">
        <f t="shared" si="76"/>
        <v>W</v>
      </c>
      <c r="S780" s="19" t="str">
        <f t="shared" si="77"/>
        <v>GAPMLFVVPWAVVKCLFE</v>
      </c>
      <c r="Z780" s="4"/>
      <c r="AD780" s="1" t="s">
        <v>181</v>
      </c>
      <c r="AE780" s="1">
        <v>263</v>
      </c>
      <c r="AF780" s="1">
        <v>272</v>
      </c>
      <c r="AG780" s="1">
        <v>290</v>
      </c>
      <c r="AH780" s="1" t="s">
        <v>168</v>
      </c>
      <c r="AK780" s="9">
        <v>41</v>
      </c>
      <c r="AL780" s="4">
        <v>68</v>
      </c>
    </row>
    <row r="781" spans="1:38" x14ac:dyDescent="0.25">
      <c r="A781" s="1" t="str">
        <f t="shared" si="74"/>
        <v>grm1_human__wt_TM4</v>
      </c>
      <c r="B781" s="45" t="s">
        <v>223</v>
      </c>
      <c r="C781" s="45" t="s">
        <v>294</v>
      </c>
      <c r="D781" s="4" t="str">
        <f>VLOOKUP(B781,Classification!A:D,2,FALSE)</f>
        <v>C</v>
      </c>
      <c r="E781" s="4" t="str">
        <f>VLOOKUP(B781,Classification!A:D,3,FALSE)</f>
        <v>Aminoacid</v>
      </c>
      <c r="F781" s="4" t="str">
        <f>VLOOKUP(B781,Classification!A:D,4,FALSE)</f>
        <v>Metabotropicglutamate</v>
      </c>
      <c r="G781" s="2">
        <v>7</v>
      </c>
      <c r="H781" s="45" t="s">
        <v>31</v>
      </c>
      <c r="I781" s="2" t="s">
        <v>1223</v>
      </c>
      <c r="J781" s="5" t="str">
        <f>VLOOKUP(B781,Seqs!A:B,2,FALSE)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81" s="4" t="str">
        <f t="shared" si="72"/>
        <v>A</v>
      </c>
      <c r="L781" s="45">
        <f>VLOOKUP(B781,'NonXtal_SegEnds_Prot#'!A:AL,21,FALSE)</f>
        <v>703</v>
      </c>
      <c r="M781" s="45">
        <f>VLOOKUP(B781,'NonXtal_SegEnds_Prot#'!A:AL,22,FALSE)</f>
        <v>714</v>
      </c>
      <c r="N781" s="45">
        <f>VLOOKUP(B781,'NonXtal_SegEnds_Prot#'!A:AL,23,FALSE)</f>
        <v>728</v>
      </c>
      <c r="O781" s="4" t="str">
        <f t="shared" si="73"/>
        <v>E</v>
      </c>
      <c r="P781" s="4"/>
      <c r="Q781" s="47" t="str">
        <f t="shared" si="75"/>
        <v>AWAQVIIASIL</v>
      </c>
      <c r="R781" s="27" t="str">
        <f t="shared" si="76"/>
        <v>I</v>
      </c>
      <c r="S781" s="19" t="str">
        <f t="shared" si="77"/>
        <v>SVQLTLVVTLIIME</v>
      </c>
      <c r="Z781" s="4"/>
      <c r="AD781" s="1" t="s">
        <v>32</v>
      </c>
      <c r="AE781" s="1">
        <v>703</v>
      </c>
      <c r="AF781" s="1">
        <v>714</v>
      </c>
      <c r="AG781" s="1">
        <v>728</v>
      </c>
      <c r="AH781" s="1" t="s">
        <v>33</v>
      </c>
      <c r="AK781" s="4">
        <v>39</v>
      </c>
      <c r="AL781" s="4">
        <v>64</v>
      </c>
    </row>
    <row r="782" spans="1:38" x14ac:dyDescent="0.25">
      <c r="A782" s="1" t="str">
        <f t="shared" si="74"/>
        <v>grm1_human_4OR2_TM4</v>
      </c>
      <c r="B782" s="45" t="s">
        <v>223</v>
      </c>
      <c r="C782" s="45" t="s">
        <v>289</v>
      </c>
      <c r="D782" s="4" t="str">
        <f>VLOOKUP(B782,Classification!A:D,2,FALSE)</f>
        <v>C</v>
      </c>
      <c r="E782" s="4" t="str">
        <f>VLOOKUP(B782,Classification!A:D,3,FALSE)</f>
        <v>Aminoacid</v>
      </c>
      <c r="F782" s="4" t="str">
        <f>VLOOKUP(B782,Classification!A:D,4,FALSE)</f>
        <v>Metabotropicglutamate</v>
      </c>
      <c r="G782" s="2">
        <v>7</v>
      </c>
      <c r="H782" s="45" t="s">
        <v>31</v>
      </c>
      <c r="I782" s="2" t="s">
        <v>1223</v>
      </c>
      <c r="J782" s="5" t="str">
        <f>VLOOKUP(B782,Seqs!A:B,2,FALSE)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82" s="4" t="str">
        <f t="shared" si="72"/>
        <v>A</v>
      </c>
      <c r="L782" s="45">
        <f>VLOOKUP(B782,'NonXtal_SegEnds_Prot#'!A:AL,21,FALSE)</f>
        <v>703</v>
      </c>
      <c r="M782" s="45">
        <f>VLOOKUP(B782,'NonXtal_SegEnds_Prot#'!A:AL,22,FALSE)</f>
        <v>714</v>
      </c>
      <c r="N782" s="45">
        <f>VLOOKUP(B782,'NonXtal_SegEnds_Prot#'!A:AL,23,FALSE)</f>
        <v>728</v>
      </c>
      <c r="O782" s="4" t="str">
        <f t="shared" si="73"/>
        <v>E</v>
      </c>
      <c r="P782" s="4"/>
      <c r="Q782" s="47" t="str">
        <f t="shared" si="75"/>
        <v>AWAQVIIASIL</v>
      </c>
      <c r="R782" s="27" t="str">
        <f t="shared" si="76"/>
        <v>I</v>
      </c>
      <c r="S782" s="19" t="str">
        <f t="shared" si="77"/>
        <v>SVQLTLVVTLIIME</v>
      </c>
      <c r="Z782" s="4"/>
      <c r="AD782" s="1" t="s">
        <v>32</v>
      </c>
      <c r="AE782" s="1">
        <v>703</v>
      </c>
      <c r="AF782" s="1">
        <v>714</v>
      </c>
      <c r="AG782" s="1">
        <v>728</v>
      </c>
      <c r="AH782" s="1" t="s">
        <v>33</v>
      </c>
      <c r="AK782" s="4">
        <v>39</v>
      </c>
      <c r="AL782" s="4">
        <v>64</v>
      </c>
    </row>
    <row r="783" spans="1:38" x14ac:dyDescent="0.25">
      <c r="A783" s="1" t="str">
        <f t="shared" si="74"/>
        <v>grm5_human__wt_TM4</v>
      </c>
      <c r="B783" s="45" t="s">
        <v>224</v>
      </c>
      <c r="C783" s="45" t="s">
        <v>294</v>
      </c>
      <c r="D783" s="4" t="str">
        <f>VLOOKUP(B783,Classification!A:D,2,FALSE)</f>
        <v>C</v>
      </c>
      <c r="E783" s="4" t="str">
        <f>VLOOKUP(B783,Classification!A:D,3,FALSE)</f>
        <v>Aminoacid</v>
      </c>
      <c r="F783" s="4" t="str">
        <f>VLOOKUP(B783,Classification!A:D,4,FALSE)</f>
        <v>Metabotropicglutamate</v>
      </c>
      <c r="G783" s="2">
        <v>7</v>
      </c>
      <c r="H783" s="45" t="s">
        <v>31</v>
      </c>
      <c r="I783" s="2" t="s">
        <v>1223</v>
      </c>
      <c r="J783" s="5" t="str">
        <f>VLOOKUP(B783,Seqs!A:B,2,FALSE)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3" s="4" t="str">
        <f t="shared" si="72"/>
        <v>A</v>
      </c>
      <c r="L783" s="45">
        <f>VLOOKUP(B783,'NonXtal_SegEnds_Prot#'!A:AL,21,FALSE)</f>
        <v>690</v>
      </c>
      <c r="M783" s="45">
        <f>VLOOKUP(B783,'NonXtal_SegEnds_Prot#'!A:AL,22,FALSE)</f>
        <v>701</v>
      </c>
      <c r="N783" s="45">
        <f>VLOOKUP(B783,'NonXtal_SegEnds_Prot#'!A:AL,23,FALSE)</f>
        <v>715</v>
      </c>
      <c r="O783" s="4" t="str">
        <f t="shared" si="73"/>
        <v>E</v>
      </c>
      <c r="P783" s="4"/>
      <c r="Q783" s="47" t="str">
        <f t="shared" si="75"/>
        <v>ACAQLVIAFIL</v>
      </c>
      <c r="R783" s="27" t="str">
        <f t="shared" si="76"/>
        <v>I</v>
      </c>
      <c r="S783" s="19" t="str">
        <f t="shared" si="77"/>
        <v>CIQLGIIVALFIME</v>
      </c>
      <c r="Z783" s="4"/>
      <c r="AD783" s="1" t="s">
        <v>32</v>
      </c>
      <c r="AE783" s="1">
        <v>690</v>
      </c>
      <c r="AF783" s="1">
        <v>701</v>
      </c>
      <c r="AG783" s="1">
        <v>715</v>
      </c>
      <c r="AH783" s="1" t="s">
        <v>33</v>
      </c>
      <c r="AK783" s="4">
        <v>39</v>
      </c>
      <c r="AL783" s="4">
        <v>64</v>
      </c>
    </row>
    <row r="784" spans="1:38" x14ac:dyDescent="0.25">
      <c r="A784" s="1" t="str">
        <f t="shared" si="74"/>
        <v>grm5_human_4OO9_TM4</v>
      </c>
      <c r="B784" s="45" t="s">
        <v>224</v>
      </c>
      <c r="C784" s="45" t="s">
        <v>248</v>
      </c>
      <c r="D784" s="4" t="str">
        <f>VLOOKUP(B784,Classification!A:D,2,FALSE)</f>
        <v>C</v>
      </c>
      <c r="E784" s="4" t="str">
        <f>VLOOKUP(B784,Classification!A:D,3,FALSE)</f>
        <v>Aminoacid</v>
      </c>
      <c r="F784" s="4" t="str">
        <f>VLOOKUP(B784,Classification!A:D,4,FALSE)</f>
        <v>Metabotropicglutamate</v>
      </c>
      <c r="G784" s="2">
        <v>7</v>
      </c>
      <c r="H784" s="45" t="s">
        <v>31</v>
      </c>
      <c r="I784" s="2" t="s">
        <v>1223</v>
      </c>
      <c r="J784" s="5" t="str">
        <f>VLOOKUP(B784,Seqs!A:B,2,FALSE)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4" s="4" t="str">
        <f t="shared" ref="K784:K847" si="78">MID(J784,L784,1)</f>
        <v>A</v>
      </c>
      <c r="L784" s="45">
        <f>VLOOKUP(B784,'NonXtal_SegEnds_Prot#'!A:AL,21,FALSE)</f>
        <v>690</v>
      </c>
      <c r="M784" s="45">
        <f>VLOOKUP(B784,'NonXtal_SegEnds_Prot#'!A:AL,22,FALSE)</f>
        <v>701</v>
      </c>
      <c r="N784" s="45">
        <f>VLOOKUP(B784,'NonXtal_SegEnds_Prot#'!A:AL,23,FALSE)</f>
        <v>715</v>
      </c>
      <c r="O784" s="4" t="str">
        <f t="shared" si="73"/>
        <v>E</v>
      </c>
      <c r="P784" s="4"/>
      <c r="Q784" s="47" t="str">
        <f t="shared" si="75"/>
        <v>ACAQLVIAFIL</v>
      </c>
      <c r="R784" s="27" t="str">
        <f t="shared" si="76"/>
        <v>I</v>
      </c>
      <c r="S784" s="19" t="str">
        <f t="shared" si="77"/>
        <v>CIQLGIIVALFIME</v>
      </c>
      <c r="Z784" s="4"/>
      <c r="AD784" s="1" t="s">
        <v>32</v>
      </c>
      <c r="AE784" s="1">
        <v>690</v>
      </c>
      <c r="AF784" s="1">
        <v>701</v>
      </c>
      <c r="AG784" s="1">
        <v>715</v>
      </c>
      <c r="AH784" s="1" t="s">
        <v>33</v>
      </c>
      <c r="AK784" s="4">
        <v>39</v>
      </c>
      <c r="AL784" s="4">
        <v>64</v>
      </c>
    </row>
    <row r="785" spans="1:38" x14ac:dyDescent="0.25">
      <c r="A785" s="1" t="str">
        <f t="shared" si="74"/>
        <v>grm5_human_5CGC_TM4</v>
      </c>
      <c r="B785" s="45" t="s">
        <v>224</v>
      </c>
      <c r="C785" s="45" t="s">
        <v>249</v>
      </c>
      <c r="D785" s="4" t="str">
        <f>VLOOKUP(B785,Classification!A:D,2,FALSE)</f>
        <v>C</v>
      </c>
      <c r="E785" s="4" t="str">
        <f>VLOOKUP(B785,Classification!A:D,3,FALSE)</f>
        <v>Aminoacid</v>
      </c>
      <c r="F785" s="4" t="str">
        <f>VLOOKUP(B785,Classification!A:D,4,FALSE)</f>
        <v>Metabotropicglutamate</v>
      </c>
      <c r="G785" s="2">
        <v>7</v>
      </c>
      <c r="H785" s="45" t="s">
        <v>31</v>
      </c>
      <c r="I785" s="2" t="s">
        <v>1223</v>
      </c>
      <c r="J785" s="5" t="str">
        <f>VLOOKUP(B785,Seqs!A:B,2,FALSE)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5" s="4" t="str">
        <f t="shared" si="78"/>
        <v>A</v>
      </c>
      <c r="L785" s="45">
        <f>VLOOKUP(B785,'NonXtal_SegEnds_Prot#'!A:AL,21,FALSE)</f>
        <v>690</v>
      </c>
      <c r="M785" s="45">
        <f>VLOOKUP(B785,'NonXtal_SegEnds_Prot#'!A:AL,22,FALSE)</f>
        <v>701</v>
      </c>
      <c r="N785" s="45">
        <f>VLOOKUP(B785,'NonXtal_SegEnds_Prot#'!A:AL,23,FALSE)</f>
        <v>715</v>
      </c>
      <c r="O785" s="4" t="str">
        <f t="shared" si="73"/>
        <v>E</v>
      </c>
      <c r="P785" s="4"/>
      <c r="Q785" s="47" t="str">
        <f t="shared" si="75"/>
        <v>ACAQLVIAFIL</v>
      </c>
      <c r="R785" s="27" t="str">
        <f t="shared" si="76"/>
        <v>I</v>
      </c>
      <c r="S785" s="19" t="str">
        <f t="shared" si="77"/>
        <v>CIQLGIIVALFIME</v>
      </c>
      <c r="Z785" s="4"/>
      <c r="AD785" s="1" t="s">
        <v>32</v>
      </c>
      <c r="AE785" s="1">
        <v>690</v>
      </c>
      <c r="AF785" s="1">
        <v>701</v>
      </c>
      <c r="AG785" s="1">
        <v>715</v>
      </c>
      <c r="AH785" s="1" t="s">
        <v>33</v>
      </c>
      <c r="AK785" s="4">
        <v>39</v>
      </c>
      <c r="AL785" s="4">
        <v>64</v>
      </c>
    </row>
    <row r="786" spans="1:38" x14ac:dyDescent="0.25">
      <c r="A786" s="1" t="str">
        <f t="shared" si="74"/>
        <v>grm5_human_5CGD_TM4</v>
      </c>
      <c r="B786" s="45" t="s">
        <v>224</v>
      </c>
      <c r="C786" s="45" t="s">
        <v>250</v>
      </c>
      <c r="D786" s="4" t="str">
        <f>VLOOKUP(B786,Classification!A:D,2,FALSE)</f>
        <v>C</v>
      </c>
      <c r="E786" s="4" t="str">
        <f>VLOOKUP(B786,Classification!A:D,3,FALSE)</f>
        <v>Aminoacid</v>
      </c>
      <c r="F786" s="4" t="str">
        <f>VLOOKUP(B786,Classification!A:D,4,FALSE)</f>
        <v>Metabotropicglutamate</v>
      </c>
      <c r="G786" s="2">
        <v>7</v>
      </c>
      <c r="H786" s="45" t="s">
        <v>31</v>
      </c>
      <c r="I786" s="2" t="s">
        <v>1223</v>
      </c>
      <c r="J786" s="5" t="str">
        <f>VLOOKUP(B786,Seqs!A:B,2,FALSE)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6" s="4" t="str">
        <f t="shared" si="78"/>
        <v>A</v>
      </c>
      <c r="L786" s="45">
        <f>VLOOKUP(B786,'NonXtal_SegEnds_Prot#'!A:AL,21,FALSE)</f>
        <v>690</v>
      </c>
      <c r="M786" s="45">
        <f>VLOOKUP(B786,'NonXtal_SegEnds_Prot#'!A:AL,22,FALSE)</f>
        <v>701</v>
      </c>
      <c r="N786" s="45">
        <f>VLOOKUP(B786,'NonXtal_SegEnds_Prot#'!A:AL,23,FALSE)</f>
        <v>715</v>
      </c>
      <c r="O786" s="4" t="str">
        <f t="shared" si="73"/>
        <v>E</v>
      </c>
      <c r="P786" s="4"/>
      <c r="Q786" s="47" t="str">
        <f t="shared" si="75"/>
        <v>ACAQLVIAFIL</v>
      </c>
      <c r="R786" s="27" t="str">
        <f t="shared" si="76"/>
        <v>I</v>
      </c>
      <c r="S786" s="19" t="str">
        <f t="shared" si="77"/>
        <v>CIQLGIIVALFIME</v>
      </c>
      <c r="Z786" s="4"/>
      <c r="AD786" s="1" t="s">
        <v>32</v>
      </c>
      <c r="AE786" s="1">
        <v>690</v>
      </c>
      <c r="AF786" s="1">
        <v>701</v>
      </c>
      <c r="AG786" s="1">
        <v>715</v>
      </c>
      <c r="AH786" s="1" t="s">
        <v>33</v>
      </c>
      <c r="AK786" s="4">
        <v>39</v>
      </c>
      <c r="AL786" s="4">
        <v>64</v>
      </c>
    </row>
    <row r="787" spans="1:38" x14ac:dyDescent="0.25">
      <c r="A787" s="1" t="str">
        <f t="shared" si="74"/>
        <v>LPAR1_human__wt_TM4</v>
      </c>
      <c r="B787" s="45" t="s">
        <v>214</v>
      </c>
      <c r="C787" s="45" t="s">
        <v>294</v>
      </c>
      <c r="D787" s="4" t="str">
        <f>VLOOKUP(B787,Classification!A:D,2,FALSE)</f>
        <v>A</v>
      </c>
      <c r="E787" s="4" t="str">
        <f>VLOOKUP(B787,Classification!A:D,3,FALSE)</f>
        <v>Lipid</v>
      </c>
      <c r="F787" s="4" t="str">
        <f>VLOOKUP(B787,Classification!A:D,4,FALSE)</f>
        <v>Lysophospholipid(LPA)</v>
      </c>
      <c r="G787" s="2">
        <v>7</v>
      </c>
      <c r="H787" s="45" t="s">
        <v>31</v>
      </c>
      <c r="I787" s="2" t="s">
        <v>1223</v>
      </c>
      <c r="J787" s="5" t="str">
        <f>VLOOKUP(B787,Seqs!A:B,2,FALSE)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87" s="4" t="str">
        <f t="shared" si="78"/>
        <v>N</v>
      </c>
      <c r="L787" s="45">
        <f>VLOOKUP(B787,'NonXtal_SegEnds_Prot#'!A:AL,21,FALSE)</f>
        <v>161</v>
      </c>
      <c r="M787" s="45">
        <f>VLOOKUP(B787,'NonXtal_SegEnds_Prot#'!A:AL,22,FALSE)</f>
        <v>172</v>
      </c>
      <c r="N787" s="45">
        <f>VLOOKUP(B787,'NonXtal_SegEnds_Prot#'!A:AL,23,FALSE)</f>
        <v>185</v>
      </c>
      <c r="O787" s="4" t="str">
        <f t="shared" si="73"/>
        <v>G</v>
      </c>
      <c r="P787" s="4"/>
      <c r="Q787" s="47" t="str">
        <f t="shared" si="75"/>
        <v>NRRVVVVIVVI</v>
      </c>
      <c r="R787" s="27" t="str">
        <f t="shared" si="76"/>
        <v>W</v>
      </c>
      <c r="S787" s="19" t="str">
        <f t="shared" si="77"/>
        <v>TMAIVMGAIPSVG</v>
      </c>
      <c r="Z787" s="4"/>
      <c r="AD787" s="1" t="s">
        <v>128</v>
      </c>
      <c r="AE787" s="1">
        <v>158</v>
      </c>
      <c r="AF787" s="1">
        <v>172</v>
      </c>
      <c r="AG787" s="1">
        <v>184</v>
      </c>
      <c r="AH787" s="1" t="s">
        <v>70</v>
      </c>
      <c r="AK787" s="4">
        <v>36</v>
      </c>
      <c r="AL787" s="4">
        <v>62</v>
      </c>
    </row>
    <row r="788" spans="1:38" x14ac:dyDescent="0.25">
      <c r="A788" s="1" t="str">
        <f t="shared" si="74"/>
        <v>LPAR1_human_4Z35_TM4</v>
      </c>
      <c r="B788" s="45" t="s">
        <v>214</v>
      </c>
      <c r="C788" s="45" t="s">
        <v>281</v>
      </c>
      <c r="D788" s="4" t="str">
        <f>VLOOKUP(B788,Classification!A:D,2,FALSE)</f>
        <v>A</v>
      </c>
      <c r="E788" s="4" t="str">
        <f>VLOOKUP(B788,Classification!A:D,3,FALSE)</f>
        <v>Lipid</v>
      </c>
      <c r="F788" s="4" t="str">
        <f>VLOOKUP(B788,Classification!A:D,4,FALSE)</f>
        <v>Lysophospholipid(LPA)</v>
      </c>
      <c r="G788" s="2">
        <v>7</v>
      </c>
      <c r="H788" s="45" t="s">
        <v>31</v>
      </c>
      <c r="I788" s="2" t="s">
        <v>1223</v>
      </c>
      <c r="J788" s="5" t="str">
        <f>VLOOKUP(B788,Seqs!A:B,2,FALSE)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88" s="4" t="str">
        <f t="shared" si="78"/>
        <v>N</v>
      </c>
      <c r="L788" s="45">
        <f>VLOOKUP(B788,'NonXtal_SegEnds_Prot#'!A:AL,21,FALSE)</f>
        <v>161</v>
      </c>
      <c r="M788" s="45">
        <f>VLOOKUP(B788,'NonXtal_SegEnds_Prot#'!A:AL,22,FALSE)</f>
        <v>172</v>
      </c>
      <c r="N788" s="45">
        <f>VLOOKUP(B788,'NonXtal_SegEnds_Prot#'!A:AL,23,FALSE)</f>
        <v>185</v>
      </c>
      <c r="O788" s="4" t="str">
        <f t="shared" si="73"/>
        <v>G</v>
      </c>
      <c r="P788" s="4"/>
      <c r="Q788" s="47" t="str">
        <f t="shared" si="75"/>
        <v>NRRVVVVIVVI</v>
      </c>
      <c r="R788" s="27" t="str">
        <f t="shared" si="76"/>
        <v>W</v>
      </c>
      <c r="S788" s="19" t="str">
        <f t="shared" si="77"/>
        <v>TMAIVMGAIPSVG</v>
      </c>
      <c r="Z788" s="4"/>
      <c r="AD788" s="1" t="s">
        <v>128</v>
      </c>
      <c r="AE788" s="1">
        <v>158</v>
      </c>
      <c r="AF788" s="1">
        <v>172</v>
      </c>
      <c r="AG788" s="1">
        <v>184</v>
      </c>
      <c r="AH788" s="1" t="s">
        <v>70</v>
      </c>
      <c r="AK788" s="4">
        <v>36</v>
      </c>
      <c r="AL788" s="4">
        <v>62</v>
      </c>
    </row>
    <row r="789" spans="1:38" x14ac:dyDescent="0.25">
      <c r="A789" s="1" t="str">
        <f t="shared" si="74"/>
        <v>OPRD_human__wt_TM4</v>
      </c>
      <c r="B789" s="45" t="s">
        <v>226</v>
      </c>
      <c r="C789" s="45" t="s">
        <v>294</v>
      </c>
      <c r="D789" s="4" t="str">
        <f>VLOOKUP(B789,Classification!A:D,2,FALSE)</f>
        <v>A</v>
      </c>
      <c r="E789" s="4" t="str">
        <f>VLOOKUP(B789,Classification!A:D,3,FALSE)</f>
        <v>Peptide</v>
      </c>
      <c r="F789" s="4" t="str">
        <f>VLOOKUP(B789,Classification!A:D,4,FALSE)</f>
        <v>Opioid</v>
      </c>
      <c r="G789" s="2">
        <v>7</v>
      </c>
      <c r="H789" s="45" t="s">
        <v>31</v>
      </c>
      <c r="I789" s="2" t="s">
        <v>1223</v>
      </c>
      <c r="J789" s="5" t="str">
        <f>VLOOKUP(B789,Seqs!A:B,2,FALSE)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89" s="4" t="str">
        <f t="shared" si="78"/>
        <v>P</v>
      </c>
      <c r="L789" s="45">
        <f>VLOOKUP(B789,'NonXtal_SegEnds_Prot#'!A:AL,21,FALSE)</f>
        <v>162</v>
      </c>
      <c r="M789" s="45">
        <f>VLOOKUP(B789,'NonXtal_SegEnds_Prot#'!A:AL,22,FALSE)</f>
        <v>173</v>
      </c>
      <c r="N789" s="45">
        <f>VLOOKUP(B789,'NonXtal_SegEnds_Prot#'!A:AL,23,FALSE)</f>
        <v>187</v>
      </c>
      <c r="O789" s="4" t="str">
        <f t="shared" si="73"/>
        <v>A</v>
      </c>
      <c r="P789" s="4"/>
      <c r="Q789" s="47" t="str">
        <f t="shared" si="75"/>
        <v>PAKAKLINICI</v>
      </c>
      <c r="R789" s="27" t="str">
        <f t="shared" si="76"/>
        <v>W</v>
      </c>
      <c r="S789" s="19" t="str">
        <f t="shared" si="77"/>
        <v>VLASGVGVPIMVMA</v>
      </c>
      <c r="Z789" s="4"/>
      <c r="AD789" s="1" t="s">
        <v>32</v>
      </c>
      <c r="AE789" s="1">
        <v>162</v>
      </c>
      <c r="AF789" s="1">
        <v>173</v>
      </c>
      <c r="AG789" s="1">
        <v>186</v>
      </c>
      <c r="AH789" s="1" t="s">
        <v>81</v>
      </c>
      <c r="AK789" s="4">
        <v>39</v>
      </c>
      <c r="AL789" s="4">
        <v>63</v>
      </c>
    </row>
    <row r="790" spans="1:38" x14ac:dyDescent="0.25">
      <c r="A790" s="1" t="str">
        <f t="shared" si="74"/>
        <v>OPRD_human_4N6H_TM4</v>
      </c>
      <c r="B790" s="45" t="s">
        <v>226</v>
      </c>
      <c r="C790" s="45" t="s">
        <v>279</v>
      </c>
      <c r="D790" s="4" t="str">
        <f>VLOOKUP(B790,Classification!A:D,2,FALSE)</f>
        <v>A</v>
      </c>
      <c r="E790" s="4" t="str">
        <f>VLOOKUP(B790,Classification!A:D,3,FALSE)</f>
        <v>Peptide</v>
      </c>
      <c r="F790" s="4" t="str">
        <f>VLOOKUP(B790,Classification!A:D,4,FALSE)</f>
        <v>Opioid</v>
      </c>
      <c r="G790" s="2">
        <v>7</v>
      </c>
      <c r="H790" s="45" t="s">
        <v>31</v>
      </c>
      <c r="I790" s="2" t="s">
        <v>1223</v>
      </c>
      <c r="J790" s="5" t="str">
        <f>VLOOKUP(B790,Seqs!A:B,2,FALSE)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90" s="4" t="str">
        <f t="shared" si="78"/>
        <v>P</v>
      </c>
      <c r="L790" s="45">
        <f>VLOOKUP(B790,'NonXtal_SegEnds_Prot#'!A:AL,21,FALSE)</f>
        <v>162</v>
      </c>
      <c r="M790" s="45">
        <f>VLOOKUP(B790,'NonXtal_SegEnds_Prot#'!A:AL,22,FALSE)</f>
        <v>173</v>
      </c>
      <c r="N790" s="45">
        <f>VLOOKUP(B790,'NonXtal_SegEnds_Prot#'!A:AL,23,FALSE)</f>
        <v>187</v>
      </c>
      <c r="O790" s="4" t="str">
        <f t="shared" si="73"/>
        <v>A</v>
      </c>
      <c r="P790" s="4"/>
      <c r="Q790" s="47" t="str">
        <f t="shared" si="75"/>
        <v>PAKAKLINICI</v>
      </c>
      <c r="R790" s="27" t="str">
        <f t="shared" si="76"/>
        <v>W</v>
      </c>
      <c r="S790" s="19" t="str">
        <f t="shared" si="77"/>
        <v>VLASGVGVPIMVMA</v>
      </c>
      <c r="Z790" s="4"/>
      <c r="AD790" s="1" t="s">
        <v>32</v>
      </c>
      <c r="AE790" s="1">
        <v>162</v>
      </c>
      <c r="AF790" s="1">
        <v>173</v>
      </c>
      <c r="AG790" s="1">
        <v>186</v>
      </c>
      <c r="AH790" s="1" t="s">
        <v>81</v>
      </c>
      <c r="AK790" s="4">
        <v>39</v>
      </c>
      <c r="AL790" s="4">
        <v>63</v>
      </c>
    </row>
    <row r="791" spans="1:38" x14ac:dyDescent="0.25">
      <c r="A791" s="1" t="str">
        <f t="shared" si="74"/>
        <v>OPRD_mouse_4EJ4_TM4</v>
      </c>
      <c r="B791" s="45" t="s">
        <v>233</v>
      </c>
      <c r="C791" s="45" t="s">
        <v>255</v>
      </c>
      <c r="D791" s="4" t="str">
        <f>VLOOKUP(B791,Classification!A:D,2,FALSE)</f>
        <v>A</v>
      </c>
      <c r="E791" s="4" t="str">
        <f>VLOOKUP(B791,Classification!A:D,3,FALSE)</f>
        <v>Peptide</v>
      </c>
      <c r="F791" s="4" t="str">
        <f>VLOOKUP(B791,Classification!A:D,4,FALSE)</f>
        <v>Opioid</v>
      </c>
      <c r="G791" s="2">
        <v>7</v>
      </c>
      <c r="H791" s="45" t="s">
        <v>31</v>
      </c>
      <c r="I791" s="2" t="s">
        <v>1223</v>
      </c>
      <c r="J791" s="5" t="str">
        <f>VLOOKUP(B791,Seqs!A:B,2,FALSE)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791" s="4" t="str">
        <f t="shared" si="78"/>
        <v>P</v>
      </c>
      <c r="L791" s="45">
        <f>VLOOKUP(B791,'NonXtal_SegEnds_Prot#'!A:AL,21,FALSE)</f>
        <v>162</v>
      </c>
      <c r="M791" s="45">
        <f>VLOOKUP(B791,'NonXtal_SegEnds_Prot#'!A:AL,22,FALSE)</f>
        <v>173</v>
      </c>
      <c r="N791" s="45">
        <f>VLOOKUP(B791,'NonXtal_SegEnds_Prot#'!A:AL,23,FALSE)</f>
        <v>187</v>
      </c>
      <c r="O791" s="4" t="str">
        <f t="shared" si="73"/>
        <v>A</v>
      </c>
      <c r="P791" s="4"/>
      <c r="Q791" s="47" t="str">
        <f t="shared" si="75"/>
        <v>PAKAKLINICI</v>
      </c>
      <c r="R791" s="27" t="str">
        <f t="shared" si="76"/>
        <v>W</v>
      </c>
      <c r="S791" s="19" t="str">
        <f t="shared" si="77"/>
        <v>VLASGVGVPIMVMA</v>
      </c>
      <c r="Z791" s="4"/>
      <c r="AD791" s="1" t="s">
        <v>32</v>
      </c>
      <c r="AE791" s="1">
        <v>162</v>
      </c>
      <c r="AF791" s="1">
        <v>173</v>
      </c>
      <c r="AG791" s="1">
        <v>186</v>
      </c>
      <c r="AH791" s="1" t="s">
        <v>81</v>
      </c>
      <c r="AK791" s="4">
        <v>39</v>
      </c>
      <c r="AL791" s="4">
        <v>63</v>
      </c>
    </row>
    <row r="792" spans="1:38" x14ac:dyDescent="0.25">
      <c r="A792" s="1" t="str">
        <f t="shared" si="74"/>
        <v>OPRK_human__wt_TM4</v>
      </c>
      <c r="B792" s="45" t="s">
        <v>227</v>
      </c>
      <c r="C792" s="45" t="s">
        <v>294</v>
      </c>
      <c r="D792" s="4" t="str">
        <f>VLOOKUP(B792,Classification!A:D,2,FALSE)</f>
        <v>A</v>
      </c>
      <c r="E792" s="4" t="str">
        <f>VLOOKUP(B792,Classification!A:D,3,FALSE)</f>
        <v>Peptide</v>
      </c>
      <c r="F792" s="4" t="str">
        <f>VLOOKUP(B792,Classification!A:D,4,FALSE)</f>
        <v>Opioid</v>
      </c>
      <c r="G792" s="2">
        <v>7</v>
      </c>
      <c r="H792" s="45" t="s">
        <v>31</v>
      </c>
      <c r="I792" s="2" t="s">
        <v>1223</v>
      </c>
      <c r="J792" s="5" t="str">
        <f>VLOOKUP(B792,Seqs!A:B,2,FALSE)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92" s="4" t="str">
        <f t="shared" si="78"/>
        <v>P</v>
      </c>
      <c r="L792" s="45">
        <f>VLOOKUP(B792,'NonXtal_SegEnds_Prot#'!A:AL,21,FALSE)</f>
        <v>172</v>
      </c>
      <c r="M792" s="45">
        <f>VLOOKUP(B792,'NonXtal_SegEnds_Prot#'!A:AL,22,FALSE)</f>
        <v>183</v>
      </c>
      <c r="N792" s="45">
        <f>VLOOKUP(B792,'NonXtal_SegEnds_Prot#'!A:AL,23,FALSE)</f>
        <v>197</v>
      </c>
      <c r="O792" s="4" t="str">
        <f t="shared" si="73"/>
        <v>G</v>
      </c>
      <c r="P792" s="4"/>
      <c r="Q792" s="47" t="str">
        <f t="shared" si="75"/>
        <v>PLKAKIINICI</v>
      </c>
      <c r="R792" s="27" t="str">
        <f t="shared" si="76"/>
        <v>W</v>
      </c>
      <c r="S792" s="19" t="str">
        <f t="shared" si="77"/>
        <v>LLSSSVGISAIVLG</v>
      </c>
      <c r="Z792" s="4"/>
      <c r="AD792" s="1" t="s">
        <v>143</v>
      </c>
      <c r="AE792" s="1">
        <v>170</v>
      </c>
      <c r="AF792" s="1">
        <v>183</v>
      </c>
      <c r="AG792" s="1">
        <v>196</v>
      </c>
      <c r="AH792" s="1" t="s">
        <v>81</v>
      </c>
      <c r="AK792" s="4">
        <v>37</v>
      </c>
      <c r="AL792" s="4">
        <v>63</v>
      </c>
    </row>
    <row r="793" spans="1:38" x14ac:dyDescent="0.25">
      <c r="A793" s="1" t="str">
        <f t="shared" si="74"/>
        <v>OPRK_human_4DJH_TM4</v>
      </c>
      <c r="B793" s="45" t="s">
        <v>227</v>
      </c>
      <c r="C793" s="45" t="s">
        <v>280</v>
      </c>
      <c r="D793" s="4" t="str">
        <f>VLOOKUP(B793,Classification!A:D,2,FALSE)</f>
        <v>A</v>
      </c>
      <c r="E793" s="4" t="str">
        <f>VLOOKUP(B793,Classification!A:D,3,FALSE)</f>
        <v>Peptide</v>
      </c>
      <c r="F793" s="4" t="str">
        <f>VLOOKUP(B793,Classification!A:D,4,FALSE)</f>
        <v>Opioid</v>
      </c>
      <c r="G793" s="2">
        <v>7</v>
      </c>
      <c r="H793" s="45" t="s">
        <v>31</v>
      </c>
      <c r="I793" s="2" t="s">
        <v>1223</v>
      </c>
      <c r="J793" s="5" t="str">
        <f>VLOOKUP(B793,Seqs!A:B,2,FALSE)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93" s="4" t="str">
        <f t="shared" si="78"/>
        <v>P</v>
      </c>
      <c r="L793" s="45">
        <f>VLOOKUP(B793,'NonXtal_SegEnds_Prot#'!A:AL,21,FALSE)</f>
        <v>172</v>
      </c>
      <c r="M793" s="45">
        <f>VLOOKUP(B793,'NonXtal_SegEnds_Prot#'!A:AL,22,FALSE)</f>
        <v>183</v>
      </c>
      <c r="N793" s="45">
        <f>VLOOKUP(B793,'NonXtal_SegEnds_Prot#'!A:AL,23,FALSE)</f>
        <v>197</v>
      </c>
      <c r="O793" s="4" t="str">
        <f t="shared" si="73"/>
        <v>G</v>
      </c>
      <c r="P793" s="4"/>
      <c r="Q793" s="47" t="str">
        <f t="shared" si="75"/>
        <v>PLKAKIINICI</v>
      </c>
      <c r="R793" s="27" t="str">
        <f t="shared" si="76"/>
        <v>W</v>
      </c>
      <c r="S793" s="19" t="str">
        <f t="shared" si="77"/>
        <v>LLSSSVGISAIVLG</v>
      </c>
      <c r="Z793" s="4"/>
      <c r="AD793" s="1" t="s">
        <v>143</v>
      </c>
      <c r="AE793" s="1">
        <v>170</v>
      </c>
      <c r="AF793" s="1">
        <v>183</v>
      </c>
      <c r="AG793" s="1">
        <v>196</v>
      </c>
      <c r="AH793" s="1" t="s">
        <v>81</v>
      </c>
      <c r="AK793" s="4">
        <v>37</v>
      </c>
      <c r="AL793" s="4">
        <v>63</v>
      </c>
    </row>
    <row r="794" spans="1:38" x14ac:dyDescent="0.25">
      <c r="A794" s="1" t="str">
        <f t="shared" si="74"/>
        <v>OPRM_mouse__wt_TM4</v>
      </c>
      <c r="B794" s="45" t="s">
        <v>232</v>
      </c>
      <c r="C794" s="45" t="s">
        <v>294</v>
      </c>
      <c r="D794" s="4" t="str">
        <f>VLOOKUP(B794,Classification!A:D,2,FALSE)</f>
        <v>A</v>
      </c>
      <c r="E794" s="4" t="str">
        <f>VLOOKUP(B794,Classification!A:D,3,FALSE)</f>
        <v>Peptide</v>
      </c>
      <c r="F794" s="4" t="str">
        <f>VLOOKUP(B794,Classification!A:D,4,FALSE)</f>
        <v>Opioid</v>
      </c>
      <c r="G794" s="2">
        <v>7</v>
      </c>
      <c r="H794" s="45" t="s">
        <v>31</v>
      </c>
      <c r="I794" s="2" t="s">
        <v>1223</v>
      </c>
      <c r="J794" s="5" t="str">
        <f>VLOOKUP(B794,Seqs!A:B,2,FALSE)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94" s="4" t="str">
        <f t="shared" si="78"/>
        <v>P</v>
      </c>
      <c r="L794" s="45">
        <f>VLOOKUP(B794,'NonXtal_SegEnds_Prot#'!A:AL,21,FALSE)</f>
        <v>181</v>
      </c>
      <c r="M794" s="45">
        <f>VLOOKUP(B794,'NonXtal_SegEnds_Prot#'!A:AL,22,FALSE)</f>
        <v>192</v>
      </c>
      <c r="N794" s="45">
        <f>VLOOKUP(B794,'NonXtal_SegEnds_Prot#'!A:AL,23,FALSE)</f>
        <v>206</v>
      </c>
      <c r="O794" s="4" t="str">
        <f t="shared" si="73"/>
        <v>A</v>
      </c>
      <c r="P794" s="4"/>
      <c r="Q794" s="47" t="str">
        <f t="shared" si="75"/>
        <v>PRNAKIVNVCN</v>
      </c>
      <c r="R794" s="27" t="str">
        <f t="shared" si="76"/>
        <v>W</v>
      </c>
      <c r="S794" s="19" t="str">
        <f t="shared" si="77"/>
        <v>ILSSAIGLPVMFMA</v>
      </c>
      <c r="Z794" s="4" t="s">
        <v>64</v>
      </c>
      <c r="AD794" s="1" t="s">
        <v>32</v>
      </c>
      <c r="AE794" s="1">
        <v>183</v>
      </c>
      <c r="AF794" s="1">
        <v>192</v>
      </c>
      <c r="AG794" s="1">
        <v>205</v>
      </c>
      <c r="AH794" s="1" t="s">
        <v>81</v>
      </c>
      <c r="AK794" s="4">
        <v>39</v>
      </c>
      <c r="AL794" s="4">
        <v>63</v>
      </c>
    </row>
    <row r="795" spans="1:38" x14ac:dyDescent="0.25">
      <c r="A795" s="1" t="str">
        <f t="shared" si="74"/>
        <v>OPRM_mouse_4DKL_TM4</v>
      </c>
      <c r="B795" s="45" t="s">
        <v>232</v>
      </c>
      <c r="C795" s="45" t="s">
        <v>256</v>
      </c>
      <c r="D795" s="4" t="str">
        <f>VLOOKUP(B795,Classification!A:D,2,FALSE)</f>
        <v>A</v>
      </c>
      <c r="E795" s="4" t="str">
        <f>VLOOKUP(B795,Classification!A:D,3,FALSE)</f>
        <v>Peptide</v>
      </c>
      <c r="F795" s="4" t="str">
        <f>VLOOKUP(B795,Classification!A:D,4,FALSE)</f>
        <v>Opioid</v>
      </c>
      <c r="G795" s="2">
        <v>7</v>
      </c>
      <c r="H795" s="45" t="s">
        <v>31</v>
      </c>
      <c r="I795" s="2" t="s">
        <v>1223</v>
      </c>
      <c r="J795" s="5" t="str">
        <f>VLOOKUP(B795,Seqs!A:B,2,FALSE)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95" s="4" t="str">
        <f t="shared" si="78"/>
        <v>P</v>
      </c>
      <c r="L795" s="45">
        <f>VLOOKUP(B795,'NonXtal_SegEnds_Prot#'!A:AL,21,FALSE)</f>
        <v>181</v>
      </c>
      <c r="M795" s="45">
        <f>VLOOKUP(B795,'NonXtal_SegEnds_Prot#'!A:AL,22,FALSE)</f>
        <v>192</v>
      </c>
      <c r="N795" s="45">
        <f>VLOOKUP(B795,'NonXtal_SegEnds_Prot#'!A:AL,23,FALSE)</f>
        <v>206</v>
      </c>
      <c r="O795" s="4" t="str">
        <f t="shared" si="73"/>
        <v>A</v>
      </c>
      <c r="P795" s="4"/>
      <c r="Q795" s="47" t="str">
        <f t="shared" si="75"/>
        <v>PRNAKIVNVCN</v>
      </c>
      <c r="R795" s="27" t="str">
        <f t="shared" si="76"/>
        <v>W</v>
      </c>
      <c r="S795" s="19" t="str">
        <f t="shared" si="77"/>
        <v>ILSSAIGLPVMFMA</v>
      </c>
      <c r="Z795" s="4"/>
      <c r="AD795" s="1" t="s">
        <v>32</v>
      </c>
      <c r="AE795" s="1">
        <v>183</v>
      </c>
      <c r="AF795" s="1">
        <v>192</v>
      </c>
      <c r="AG795" s="1">
        <v>205</v>
      </c>
      <c r="AH795" s="1" t="s">
        <v>81</v>
      </c>
      <c r="AK795" s="4">
        <v>39</v>
      </c>
      <c r="AL795" s="4">
        <v>63</v>
      </c>
    </row>
    <row r="796" spans="1:38" x14ac:dyDescent="0.25">
      <c r="A796" s="1" t="str">
        <f t="shared" si="74"/>
        <v>OPRM_mouse_5C1M_TM4</v>
      </c>
      <c r="B796" s="45" t="s">
        <v>232</v>
      </c>
      <c r="C796" s="45" t="s">
        <v>276</v>
      </c>
      <c r="D796" s="4" t="str">
        <f>VLOOKUP(B796,Classification!A:D,2,FALSE)</f>
        <v>A</v>
      </c>
      <c r="E796" s="4" t="str">
        <f>VLOOKUP(B796,Classification!A:D,3,FALSE)</f>
        <v>Peptide</v>
      </c>
      <c r="F796" s="4" t="str">
        <f>VLOOKUP(B796,Classification!A:D,4,FALSE)</f>
        <v>Opioid</v>
      </c>
      <c r="G796" s="2">
        <v>7</v>
      </c>
      <c r="H796" s="45" t="s">
        <v>31</v>
      </c>
      <c r="I796" s="2" t="s">
        <v>1223</v>
      </c>
      <c r="J796" s="5" t="str">
        <f>VLOOKUP(B796,Seqs!A:B,2,FALSE)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96" s="4" t="str">
        <f t="shared" si="78"/>
        <v>P</v>
      </c>
      <c r="L796" s="45">
        <f>VLOOKUP(B796,'NonXtal_SegEnds_Prot#'!A:AL,21,FALSE)</f>
        <v>181</v>
      </c>
      <c r="M796" s="45">
        <f>VLOOKUP(B796,'NonXtal_SegEnds_Prot#'!A:AL,22,FALSE)</f>
        <v>192</v>
      </c>
      <c r="N796" s="45">
        <f>VLOOKUP(B796,'NonXtal_SegEnds_Prot#'!A:AL,23,FALSE)</f>
        <v>206</v>
      </c>
      <c r="O796" s="4" t="str">
        <f t="shared" si="73"/>
        <v>A</v>
      </c>
      <c r="P796" s="4"/>
      <c r="Q796" s="47" t="str">
        <f t="shared" si="75"/>
        <v>PRNAKIVNVCN</v>
      </c>
      <c r="R796" s="27" t="str">
        <f t="shared" si="76"/>
        <v>W</v>
      </c>
      <c r="S796" s="19" t="str">
        <f t="shared" si="77"/>
        <v>ILSSAIGLPVMFMA</v>
      </c>
      <c r="Z796" s="4" t="s">
        <v>64</v>
      </c>
      <c r="AD796" s="1" t="s">
        <v>32</v>
      </c>
      <c r="AE796" s="1">
        <v>183</v>
      </c>
      <c r="AF796" s="1">
        <v>192</v>
      </c>
      <c r="AG796" s="1">
        <v>205</v>
      </c>
      <c r="AH796" s="1" t="s">
        <v>81</v>
      </c>
      <c r="AK796" s="4">
        <v>39</v>
      </c>
      <c r="AL796" s="4">
        <v>63</v>
      </c>
    </row>
    <row r="797" spans="1:38" x14ac:dyDescent="0.25">
      <c r="A797" s="1" t="str">
        <f t="shared" si="74"/>
        <v>OPRX_human__wt_TM4</v>
      </c>
      <c r="B797" s="45" t="s">
        <v>1373</v>
      </c>
      <c r="C797" s="45" t="s">
        <v>294</v>
      </c>
      <c r="D797" s="4" t="str">
        <f>VLOOKUP(B797,Classification!A:D,2,FALSE)</f>
        <v>A</v>
      </c>
      <c r="E797" s="4" t="str">
        <f>VLOOKUP(B797,Classification!A:D,3,FALSE)</f>
        <v>Peptide</v>
      </c>
      <c r="F797" s="4" t="str">
        <f>VLOOKUP(B797,Classification!A:D,4,FALSE)</f>
        <v>Opioid</v>
      </c>
      <c r="G797" s="2">
        <v>7</v>
      </c>
      <c r="H797" s="45" t="s">
        <v>31</v>
      </c>
      <c r="I797" s="2" t="s">
        <v>1223</v>
      </c>
      <c r="J797" s="5" t="str">
        <f>VLOOKUP(B797,Seqs!A:B,2,FALSE)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97" s="4" t="str">
        <f t="shared" si="78"/>
        <v>S</v>
      </c>
      <c r="L797" s="45">
        <f>VLOOKUP(B797,'NonXtal_SegEnds_Prot#'!A:AL,21,FALSE)</f>
        <v>164</v>
      </c>
      <c r="M797" s="45">
        <f>VLOOKUP(B797,'NonXtal_SegEnds_Prot#'!A:AL,22,FALSE)</f>
        <v>175</v>
      </c>
      <c r="N797" s="45">
        <f>VLOOKUP(B797,'NonXtal_SegEnds_Prot#'!A:AL,23,FALSE)</f>
        <v>189</v>
      </c>
      <c r="O797" s="4" t="str">
        <f t="shared" si="73"/>
        <v>G</v>
      </c>
      <c r="P797" s="4"/>
      <c r="Q797" s="47" t="str">
        <f t="shared" si="75"/>
        <v>SSKAQAVNVAI</v>
      </c>
      <c r="R797" s="27" t="str">
        <f t="shared" si="76"/>
        <v>W</v>
      </c>
      <c r="S797" s="19" t="str">
        <f t="shared" si="77"/>
        <v>ALASVVGVPVAIMG</v>
      </c>
      <c r="Z797" s="4"/>
      <c r="AD797" s="1" t="s">
        <v>32</v>
      </c>
      <c r="AE797" s="1">
        <v>164</v>
      </c>
      <c r="AF797" s="1">
        <v>175</v>
      </c>
      <c r="AG797" s="1">
        <v>188</v>
      </c>
      <c r="AH797" s="1" t="s">
        <v>81</v>
      </c>
      <c r="AK797" s="4">
        <v>39</v>
      </c>
      <c r="AL797" s="4">
        <v>63</v>
      </c>
    </row>
    <row r="798" spans="1:38" x14ac:dyDescent="0.25">
      <c r="A798" s="1" t="str">
        <f t="shared" si="74"/>
        <v>OPRX_human_4EA3_TM4</v>
      </c>
      <c r="B798" s="45" t="s">
        <v>1373</v>
      </c>
      <c r="C798" s="45" t="s">
        <v>258</v>
      </c>
      <c r="D798" s="4" t="str">
        <f>VLOOKUP(B798,Classification!A:D,2,FALSE)</f>
        <v>A</v>
      </c>
      <c r="E798" s="4" t="str">
        <f>VLOOKUP(B798,Classification!A:D,3,FALSE)</f>
        <v>Peptide</v>
      </c>
      <c r="F798" s="4" t="str">
        <f>VLOOKUP(B798,Classification!A:D,4,FALSE)</f>
        <v>Opioid</v>
      </c>
      <c r="G798" s="2">
        <v>7</v>
      </c>
      <c r="H798" s="45" t="s">
        <v>31</v>
      </c>
      <c r="I798" s="2" t="s">
        <v>1223</v>
      </c>
      <c r="J798" s="5" t="str">
        <f>VLOOKUP(B798,Seqs!A:B,2,FALSE)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98" s="4" t="str">
        <f t="shared" si="78"/>
        <v>S</v>
      </c>
      <c r="L798" s="45">
        <f>VLOOKUP(B798,'NonXtal_SegEnds_Prot#'!A:AL,21,FALSE)</f>
        <v>164</v>
      </c>
      <c r="M798" s="45">
        <f>VLOOKUP(B798,'NonXtal_SegEnds_Prot#'!A:AL,22,FALSE)</f>
        <v>175</v>
      </c>
      <c r="N798" s="45">
        <f>VLOOKUP(B798,'NonXtal_SegEnds_Prot#'!A:AL,23,FALSE)</f>
        <v>189</v>
      </c>
      <c r="O798" s="4" t="str">
        <f t="shared" si="73"/>
        <v>G</v>
      </c>
      <c r="P798" s="4"/>
      <c r="Q798" s="47" t="str">
        <f t="shared" si="75"/>
        <v>SSKAQAVNVAI</v>
      </c>
      <c r="R798" s="27" t="str">
        <f t="shared" si="76"/>
        <v>W</v>
      </c>
      <c r="S798" s="19" t="str">
        <f t="shared" si="77"/>
        <v>ALASVVGVPVAIMG</v>
      </c>
      <c r="Z798" s="4"/>
      <c r="AD798" s="1" t="s">
        <v>32</v>
      </c>
      <c r="AE798" s="1">
        <v>164</v>
      </c>
      <c r="AF798" s="1">
        <v>175</v>
      </c>
      <c r="AG798" s="1">
        <v>188</v>
      </c>
      <c r="AH798" s="1" t="s">
        <v>81</v>
      </c>
      <c r="AK798" s="4">
        <v>39</v>
      </c>
      <c r="AL798" s="4">
        <v>63</v>
      </c>
    </row>
    <row r="799" spans="1:38" x14ac:dyDescent="0.25">
      <c r="A799" s="1" t="str">
        <f t="shared" si="74"/>
        <v>OPSD_bovin_1U19_TM4</v>
      </c>
      <c r="B799" s="45" t="s">
        <v>231</v>
      </c>
      <c r="C799" s="45" t="s">
        <v>244</v>
      </c>
      <c r="D799" s="4" t="str">
        <f>VLOOKUP(B799,Classification!A:D,2,FALSE)</f>
        <v>A</v>
      </c>
      <c r="E799" s="4" t="str">
        <f>VLOOKUP(B799,Classification!A:D,3,FALSE)</f>
        <v>Sensory</v>
      </c>
      <c r="F799" s="4" t="str">
        <f>VLOOKUP(B799,Classification!A:D,4,FALSE)</f>
        <v>Opsins</v>
      </c>
      <c r="G799" s="2">
        <v>7</v>
      </c>
      <c r="H799" s="45" t="s">
        <v>31</v>
      </c>
      <c r="I799" s="2" t="s">
        <v>1223</v>
      </c>
      <c r="J799" s="5" t="str">
        <f>VLOOKUP(B799,Seqs!A:B,2,FALSE)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799" s="4" t="str">
        <f t="shared" si="78"/>
        <v>E</v>
      </c>
      <c r="L799" s="45">
        <f>VLOOKUP(B799,'NonXtal_SegEnds_Prot#'!A:AL,21,FALSE)</f>
        <v>150</v>
      </c>
      <c r="M799" s="45">
        <f>VLOOKUP(B799,'NonXtal_SegEnds_Prot#'!A:AL,22,FALSE)</f>
        <v>161</v>
      </c>
      <c r="N799" s="45">
        <f>VLOOKUP(B799,'NonXtal_SegEnds_Prot#'!A:AL,23,FALSE)</f>
        <v>173</v>
      </c>
      <c r="O799" s="4" t="str">
        <f t="shared" si="73"/>
        <v>V</v>
      </c>
      <c r="P799" s="4"/>
      <c r="Q799" s="47" t="str">
        <f t="shared" si="75"/>
        <v>ENHAIMGVAFT</v>
      </c>
      <c r="R799" s="27" t="str">
        <f t="shared" si="76"/>
        <v>W</v>
      </c>
      <c r="S799" s="19" t="str">
        <f t="shared" si="77"/>
        <v>VMALACAAPPLV</v>
      </c>
      <c r="Z799" s="4"/>
      <c r="AD799" s="1" t="s">
        <v>32</v>
      </c>
      <c r="AE799" s="1">
        <v>150</v>
      </c>
      <c r="AF799" s="1">
        <v>161</v>
      </c>
      <c r="AG799" s="1">
        <v>173</v>
      </c>
      <c r="AH799" s="1" t="s">
        <v>70</v>
      </c>
      <c r="AK799" s="4">
        <v>39</v>
      </c>
      <c r="AL799" s="4">
        <v>62</v>
      </c>
    </row>
    <row r="800" spans="1:38" x14ac:dyDescent="0.25">
      <c r="A800" s="1" t="str">
        <f t="shared" si="74"/>
        <v>OPSD_bovin_3DQB_TM4</v>
      </c>
      <c r="B800" s="45" t="s">
        <v>231</v>
      </c>
      <c r="C800" s="45" t="s">
        <v>245</v>
      </c>
      <c r="D800" s="4" t="str">
        <f>VLOOKUP(B800,Classification!A:D,2,FALSE)</f>
        <v>A</v>
      </c>
      <c r="E800" s="4" t="str">
        <f>VLOOKUP(B800,Classification!A:D,3,FALSE)</f>
        <v>Sensory</v>
      </c>
      <c r="F800" s="4" t="str">
        <f>VLOOKUP(B800,Classification!A:D,4,FALSE)</f>
        <v>Opsins</v>
      </c>
      <c r="G800" s="2">
        <v>7</v>
      </c>
      <c r="H800" s="45" t="s">
        <v>31</v>
      </c>
      <c r="I800" s="2" t="s">
        <v>1223</v>
      </c>
      <c r="J800" s="5" t="str">
        <f>VLOOKUP(B800,Seqs!A:B,2,FALSE)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800" s="4" t="str">
        <f t="shared" si="78"/>
        <v>E</v>
      </c>
      <c r="L800" s="45">
        <f>VLOOKUP(B800,'NonXtal_SegEnds_Prot#'!A:AL,21,FALSE)</f>
        <v>150</v>
      </c>
      <c r="M800" s="45">
        <f>VLOOKUP(B800,'NonXtal_SegEnds_Prot#'!A:AL,22,FALSE)</f>
        <v>161</v>
      </c>
      <c r="N800" s="45">
        <f>VLOOKUP(B800,'NonXtal_SegEnds_Prot#'!A:AL,23,FALSE)</f>
        <v>173</v>
      </c>
      <c r="O800" s="4" t="str">
        <f t="shared" si="73"/>
        <v>V</v>
      </c>
      <c r="P800" s="4"/>
      <c r="Q800" s="47" t="str">
        <f t="shared" si="75"/>
        <v>ENHAIMGVAFT</v>
      </c>
      <c r="R800" s="27" t="str">
        <f t="shared" si="76"/>
        <v>W</v>
      </c>
      <c r="S800" s="19" t="str">
        <f t="shared" si="77"/>
        <v>VMALACAAPPLV</v>
      </c>
      <c r="Z800" s="4"/>
      <c r="AD800" s="1" t="s">
        <v>32</v>
      </c>
      <c r="AE800" s="1">
        <v>150</v>
      </c>
      <c r="AF800" s="1">
        <v>161</v>
      </c>
      <c r="AG800" s="1">
        <v>173</v>
      </c>
      <c r="AH800" s="1" t="s">
        <v>70</v>
      </c>
      <c r="AK800" s="4">
        <v>39</v>
      </c>
      <c r="AL800" s="4">
        <v>62</v>
      </c>
    </row>
    <row r="801" spans="1:38" x14ac:dyDescent="0.25">
      <c r="A801" s="1" t="str">
        <f t="shared" si="74"/>
        <v>OPSD_human__wt_TM4</v>
      </c>
      <c r="B801" s="45" t="s">
        <v>228</v>
      </c>
      <c r="C801" s="45" t="s">
        <v>294</v>
      </c>
      <c r="D801" s="4" t="str">
        <f>VLOOKUP(B801,Classification!A:D,2,FALSE)</f>
        <v>A</v>
      </c>
      <c r="E801" s="4" t="str">
        <f>VLOOKUP(B801,Classification!A:D,3,FALSE)</f>
        <v>Sensory</v>
      </c>
      <c r="F801" s="4" t="str">
        <f>VLOOKUP(B801,Classification!A:D,4,FALSE)</f>
        <v>Opsins</v>
      </c>
      <c r="G801" s="2">
        <v>7</v>
      </c>
      <c r="H801" s="45" t="s">
        <v>31</v>
      </c>
      <c r="I801" s="2" t="s">
        <v>1223</v>
      </c>
      <c r="J801" s="5" t="str">
        <f>VLOOKUP(B801,Seqs!A:B,2,FALSE)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1" s="4" t="str">
        <f t="shared" si="78"/>
        <v>E</v>
      </c>
      <c r="L801" s="45">
        <f>VLOOKUP(B801,'NonXtal_SegEnds_Prot#'!A:AL,21,FALSE)</f>
        <v>150</v>
      </c>
      <c r="M801" s="45">
        <f>VLOOKUP(B801,'NonXtal_SegEnds_Prot#'!A:AL,22,FALSE)</f>
        <v>161</v>
      </c>
      <c r="N801" s="45">
        <f>VLOOKUP(B801,'NonXtal_SegEnds_Prot#'!A:AL,23,FALSE)</f>
        <v>173</v>
      </c>
      <c r="O801" s="4" t="str">
        <f t="shared" si="73"/>
        <v>A</v>
      </c>
      <c r="P801" s="4"/>
      <c r="Q801" s="47" t="str">
        <f t="shared" si="75"/>
        <v>ENHAIMGVAFT</v>
      </c>
      <c r="R801" s="27" t="str">
        <f t="shared" si="76"/>
        <v>W</v>
      </c>
      <c r="S801" s="19" t="str">
        <f t="shared" si="77"/>
        <v>VMALACAAPPLA</v>
      </c>
      <c r="Z801" s="4"/>
      <c r="AD801" s="1" t="s">
        <v>32</v>
      </c>
      <c r="AE801" s="1">
        <v>150</v>
      </c>
      <c r="AF801" s="1">
        <v>161</v>
      </c>
      <c r="AG801" s="1">
        <v>173</v>
      </c>
      <c r="AH801" s="1" t="s">
        <v>70</v>
      </c>
      <c r="AK801" s="4">
        <v>39</v>
      </c>
      <c r="AL801" s="4">
        <v>62</v>
      </c>
    </row>
    <row r="802" spans="1:38" x14ac:dyDescent="0.25">
      <c r="A802" s="1" t="str">
        <f t="shared" si="74"/>
        <v>OPSD_human__wt_TM4</v>
      </c>
      <c r="B802" s="45" t="s">
        <v>228</v>
      </c>
      <c r="C802" s="45" t="s">
        <v>294</v>
      </c>
      <c r="D802" s="4" t="str">
        <f>VLOOKUP(B802,Classification!A:D,2,FALSE)</f>
        <v>A</v>
      </c>
      <c r="E802" s="4" t="str">
        <f>VLOOKUP(B802,Classification!A:D,3,FALSE)</f>
        <v>Sensory</v>
      </c>
      <c r="F802" s="4" t="str">
        <f>VLOOKUP(B802,Classification!A:D,4,FALSE)</f>
        <v>Opsins</v>
      </c>
      <c r="G802" s="2">
        <v>7</v>
      </c>
      <c r="H802" s="45" t="s">
        <v>31</v>
      </c>
      <c r="I802" s="2" t="s">
        <v>1223</v>
      </c>
      <c r="J802" s="5" t="str">
        <f>VLOOKUP(B802,Seqs!A:B,2,FALSE)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2" s="4" t="str">
        <f t="shared" si="78"/>
        <v>E</v>
      </c>
      <c r="L802" s="45">
        <f>VLOOKUP(B802,'NonXtal_SegEnds_Prot#'!A:AL,21,FALSE)</f>
        <v>150</v>
      </c>
      <c r="M802" s="45">
        <f>VLOOKUP(B802,'NonXtal_SegEnds_Prot#'!A:AL,22,FALSE)</f>
        <v>161</v>
      </c>
      <c r="N802" s="45">
        <f>VLOOKUP(B802,'NonXtal_SegEnds_Prot#'!A:AL,23,FALSE)</f>
        <v>173</v>
      </c>
      <c r="O802" s="4" t="str">
        <f t="shared" si="73"/>
        <v>A</v>
      </c>
      <c r="P802" s="4"/>
      <c r="Q802" s="47" t="str">
        <f t="shared" si="75"/>
        <v>ENHAIMGVAFT</v>
      </c>
      <c r="R802" s="27" t="str">
        <f t="shared" si="76"/>
        <v>W</v>
      </c>
      <c r="S802" s="19" t="str">
        <f t="shared" si="77"/>
        <v>VMALACAAPPLA</v>
      </c>
      <c r="Z802" s="4" t="s">
        <v>64</v>
      </c>
      <c r="AD802" s="1" t="s">
        <v>32</v>
      </c>
      <c r="AE802" s="1">
        <v>150</v>
      </c>
      <c r="AF802" s="1">
        <v>161</v>
      </c>
      <c r="AG802" s="1">
        <v>173</v>
      </c>
      <c r="AH802" s="1" t="s">
        <v>70</v>
      </c>
      <c r="AK802" s="4">
        <v>39</v>
      </c>
      <c r="AL802" s="4">
        <v>62</v>
      </c>
    </row>
    <row r="803" spans="1:38" x14ac:dyDescent="0.25">
      <c r="A803" s="1" t="str">
        <f t="shared" si="74"/>
        <v>OPSD_human_4ZWJ_TM4</v>
      </c>
      <c r="B803" s="45" t="s">
        <v>228</v>
      </c>
      <c r="C803" s="45" t="s">
        <v>246</v>
      </c>
      <c r="D803" s="4" t="str">
        <f>VLOOKUP(B803,Classification!A:D,2,FALSE)</f>
        <v>A</v>
      </c>
      <c r="E803" s="4" t="str">
        <f>VLOOKUP(B803,Classification!A:D,3,FALSE)</f>
        <v>Sensory</v>
      </c>
      <c r="F803" s="4" t="str">
        <f>VLOOKUP(B803,Classification!A:D,4,FALSE)</f>
        <v>Opsins</v>
      </c>
      <c r="G803" s="2">
        <v>7</v>
      </c>
      <c r="H803" s="45" t="s">
        <v>31</v>
      </c>
      <c r="I803" s="2" t="s">
        <v>1223</v>
      </c>
      <c r="J803" s="5" t="str">
        <f>VLOOKUP(B803,Seqs!A:B,2,FALSE)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3" s="4" t="str">
        <f t="shared" si="78"/>
        <v>E</v>
      </c>
      <c r="L803" s="45">
        <f>VLOOKUP(B803,'NonXtal_SegEnds_Prot#'!A:AL,21,FALSE)</f>
        <v>150</v>
      </c>
      <c r="M803" s="45">
        <f>VLOOKUP(B803,'NonXtal_SegEnds_Prot#'!A:AL,22,FALSE)</f>
        <v>161</v>
      </c>
      <c r="N803" s="45">
        <f>VLOOKUP(B803,'NonXtal_SegEnds_Prot#'!A:AL,23,FALSE)</f>
        <v>173</v>
      </c>
      <c r="O803" s="4" t="str">
        <f t="shared" si="73"/>
        <v>A</v>
      </c>
      <c r="P803" s="4"/>
      <c r="Q803" s="47" t="str">
        <f t="shared" si="75"/>
        <v>ENHAIMGVAFT</v>
      </c>
      <c r="R803" s="27" t="str">
        <f t="shared" si="76"/>
        <v>W</v>
      </c>
      <c r="S803" s="19" t="str">
        <f t="shared" si="77"/>
        <v>VMALACAAPPLA</v>
      </c>
      <c r="Z803" s="4"/>
      <c r="AD803" s="1" t="s">
        <v>32</v>
      </c>
      <c r="AE803" s="1">
        <v>150</v>
      </c>
      <c r="AF803" s="1">
        <v>161</v>
      </c>
      <c r="AG803" s="1">
        <v>173</v>
      </c>
      <c r="AH803" s="1" t="s">
        <v>70</v>
      </c>
      <c r="AK803" s="4">
        <v>39</v>
      </c>
      <c r="AL803" s="4">
        <v>62</v>
      </c>
    </row>
    <row r="804" spans="1:38" x14ac:dyDescent="0.25">
      <c r="A804" s="1" t="str">
        <f t="shared" si="74"/>
        <v>OPSD_human_4ZWJ_TM4</v>
      </c>
      <c r="B804" s="45" t="s">
        <v>228</v>
      </c>
      <c r="C804" s="45" t="s">
        <v>246</v>
      </c>
      <c r="D804" s="4" t="str">
        <f>VLOOKUP(B804,Classification!A:D,2,FALSE)</f>
        <v>A</v>
      </c>
      <c r="E804" s="4" t="str">
        <f>VLOOKUP(B804,Classification!A:D,3,FALSE)</f>
        <v>Sensory</v>
      </c>
      <c r="F804" s="4" t="str">
        <f>VLOOKUP(B804,Classification!A:D,4,FALSE)</f>
        <v>Opsins</v>
      </c>
      <c r="G804" s="2">
        <v>7</v>
      </c>
      <c r="H804" s="45" t="s">
        <v>31</v>
      </c>
      <c r="I804" s="2" t="s">
        <v>1223</v>
      </c>
      <c r="J804" s="5" t="str">
        <f>VLOOKUP(B804,Seqs!A:B,2,FALSE)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4" s="4" t="str">
        <f t="shared" si="78"/>
        <v>E</v>
      </c>
      <c r="L804" s="45">
        <f>VLOOKUP(B804,'NonXtal_SegEnds_Prot#'!A:AL,21,FALSE)</f>
        <v>150</v>
      </c>
      <c r="M804" s="45">
        <f>VLOOKUP(B804,'NonXtal_SegEnds_Prot#'!A:AL,22,FALSE)</f>
        <v>161</v>
      </c>
      <c r="N804" s="45">
        <f>VLOOKUP(B804,'NonXtal_SegEnds_Prot#'!A:AL,23,FALSE)</f>
        <v>173</v>
      </c>
      <c r="O804" s="4" t="str">
        <f t="shared" si="73"/>
        <v>A</v>
      </c>
      <c r="P804" s="4"/>
      <c r="Q804" s="47" t="str">
        <f t="shared" si="75"/>
        <v>ENHAIMGVAFT</v>
      </c>
      <c r="R804" s="27" t="str">
        <f t="shared" si="76"/>
        <v>W</v>
      </c>
      <c r="S804" s="19" t="str">
        <f t="shared" si="77"/>
        <v>VMALACAAPPLA</v>
      </c>
      <c r="Z804" s="4" t="s">
        <v>64</v>
      </c>
      <c r="AD804" s="1" t="s">
        <v>32</v>
      </c>
      <c r="AE804" s="1">
        <v>150</v>
      </c>
      <c r="AF804" s="1">
        <v>161</v>
      </c>
      <c r="AG804" s="1">
        <v>173</v>
      </c>
      <c r="AH804" s="1" t="s">
        <v>70</v>
      </c>
      <c r="AK804" s="4">
        <v>39</v>
      </c>
      <c r="AL804" s="4">
        <v>62</v>
      </c>
    </row>
    <row r="805" spans="1:38" x14ac:dyDescent="0.25">
      <c r="A805" s="1" t="str">
        <f t="shared" si="74"/>
        <v>S1PR1_human__wt_TM4</v>
      </c>
      <c r="B805" s="45" t="s">
        <v>217</v>
      </c>
      <c r="C805" s="45" t="s">
        <v>294</v>
      </c>
      <c r="D805" s="4" t="str">
        <f>VLOOKUP(B805,Classification!A:D,2,FALSE)</f>
        <v>A</v>
      </c>
      <c r="E805" s="4" t="str">
        <f>VLOOKUP(B805,Classification!A:D,3,FALSE)</f>
        <v>Lipid</v>
      </c>
      <c r="F805" s="4" t="str">
        <f>VLOOKUP(B805,Classification!A:D,4,FALSE)</f>
        <v>Lysophospholipid(S1P)</v>
      </c>
      <c r="G805" s="2">
        <v>7</v>
      </c>
      <c r="H805" s="45" t="s">
        <v>31</v>
      </c>
      <c r="I805" s="2" t="s">
        <v>1223</v>
      </c>
      <c r="J805" s="5" t="str">
        <f>VLOOKUP(B805,Seqs!A:B,2,FALSE)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05" s="4" t="str">
        <f t="shared" si="78"/>
        <v>N</v>
      </c>
      <c r="L805" s="45">
        <f>VLOOKUP(B805,'NonXtal_SegEnds_Prot#'!A:AL,21,FALSE)</f>
        <v>157</v>
      </c>
      <c r="M805" s="45">
        <f>VLOOKUP(B805,'NonXtal_SegEnds_Prot#'!A:AL,22,FALSE)</f>
        <v>168</v>
      </c>
      <c r="N805" s="45">
        <f>VLOOKUP(B805,'NonXtal_SegEnds_Prot#'!A:AL,23,FALSE)</f>
        <v>181</v>
      </c>
      <c r="O805" s="4" t="str">
        <f t="shared" si="73"/>
        <v>G</v>
      </c>
      <c r="P805" s="4"/>
      <c r="Q805" s="47" t="str">
        <f t="shared" si="75"/>
        <v>NFRLFLLISAC</v>
      </c>
      <c r="R805" s="27" t="str">
        <f t="shared" si="76"/>
        <v>W</v>
      </c>
      <c r="S805" s="19" t="str">
        <f t="shared" si="77"/>
        <v>VISLILGGLPIMG</v>
      </c>
      <c r="Z805" s="4"/>
      <c r="AD805" s="1" t="s">
        <v>32</v>
      </c>
      <c r="AE805" s="1">
        <v>157</v>
      </c>
      <c r="AF805" s="1">
        <v>168</v>
      </c>
      <c r="AG805" s="1">
        <v>180</v>
      </c>
      <c r="AH805" s="1" t="s">
        <v>70</v>
      </c>
      <c r="AK805" s="4">
        <v>39</v>
      </c>
      <c r="AL805" s="4">
        <v>62</v>
      </c>
    </row>
    <row r="806" spans="1:38" x14ac:dyDescent="0.25">
      <c r="A806" s="1" t="str">
        <f t="shared" si="74"/>
        <v>S1PR1_human_3V2Y_TM4</v>
      </c>
      <c r="B806" s="45" t="s">
        <v>217</v>
      </c>
      <c r="C806" s="45" t="s">
        <v>286</v>
      </c>
      <c r="D806" s="4" t="str">
        <f>VLOOKUP(B806,Classification!A:D,2,FALSE)</f>
        <v>A</v>
      </c>
      <c r="E806" s="4" t="str">
        <f>VLOOKUP(B806,Classification!A:D,3,FALSE)</f>
        <v>Lipid</v>
      </c>
      <c r="F806" s="4" t="str">
        <f>VLOOKUP(B806,Classification!A:D,4,FALSE)</f>
        <v>Lysophospholipid(S1P)</v>
      </c>
      <c r="G806" s="2">
        <v>7</v>
      </c>
      <c r="H806" s="45" t="s">
        <v>31</v>
      </c>
      <c r="I806" s="2" t="s">
        <v>1223</v>
      </c>
      <c r="J806" s="5" t="str">
        <f>VLOOKUP(B806,Seqs!A:B,2,FALSE)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06" s="4" t="str">
        <f t="shared" si="78"/>
        <v>N</v>
      </c>
      <c r="L806" s="45">
        <f>VLOOKUP(B806,'NonXtal_SegEnds_Prot#'!A:AL,21,FALSE)</f>
        <v>157</v>
      </c>
      <c r="M806" s="45">
        <f>VLOOKUP(B806,'NonXtal_SegEnds_Prot#'!A:AL,22,FALSE)</f>
        <v>168</v>
      </c>
      <c r="N806" s="45">
        <f>VLOOKUP(B806,'NonXtal_SegEnds_Prot#'!A:AL,23,FALSE)</f>
        <v>181</v>
      </c>
      <c r="O806" s="4" t="str">
        <f t="shared" si="73"/>
        <v>G</v>
      </c>
      <c r="P806" s="4"/>
      <c r="Q806" s="47" t="str">
        <f t="shared" si="75"/>
        <v>NFRLFLLISAC</v>
      </c>
      <c r="R806" s="27" t="str">
        <f t="shared" si="76"/>
        <v>W</v>
      </c>
      <c r="S806" s="19" t="str">
        <f t="shared" si="77"/>
        <v>VISLILGGLPIMG</v>
      </c>
      <c r="Z806" s="4"/>
      <c r="AD806" s="1" t="s">
        <v>32</v>
      </c>
      <c r="AE806" s="1">
        <v>157</v>
      </c>
      <c r="AF806" s="1">
        <v>168</v>
      </c>
      <c r="AG806" s="1">
        <v>180</v>
      </c>
      <c r="AH806" s="1" t="s">
        <v>70</v>
      </c>
      <c r="AK806" s="4">
        <v>39</v>
      </c>
      <c r="AL806" s="4">
        <v>62</v>
      </c>
    </row>
    <row r="807" spans="1:38" x14ac:dyDescent="0.25">
      <c r="A807" s="1" t="str">
        <f t="shared" si="74"/>
        <v>smo_human__wt_TM4</v>
      </c>
      <c r="B807" s="45" t="s">
        <v>207</v>
      </c>
      <c r="C807" s="45" t="s">
        <v>294</v>
      </c>
      <c r="D807" s="4" t="str">
        <f>VLOOKUP(B807,Classification!A:D,2,FALSE)</f>
        <v>F</v>
      </c>
      <c r="E807" s="4" t="str">
        <f>VLOOKUP(B807,Classification!A:D,3,FALSE)</f>
        <v>Protein</v>
      </c>
      <c r="F807" s="4" t="str">
        <f>VLOOKUP(B807,Classification!A:D,4,FALSE)</f>
        <v>Frizzled</v>
      </c>
      <c r="G807" s="2">
        <v>7</v>
      </c>
      <c r="H807" s="45" t="s">
        <v>31</v>
      </c>
      <c r="I807" s="2" t="s">
        <v>1223</v>
      </c>
      <c r="J807" s="5" t="str">
        <f>VLOOKUP(B807,Seqs!A:B,2,FALSE)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07" s="4" t="str">
        <f t="shared" si="78"/>
        <v>L</v>
      </c>
      <c r="L807" s="45">
        <f>VLOOKUP(B807,'NonXtal_SegEnds_Prot#'!A:AL,21,FALSE)</f>
        <v>353</v>
      </c>
      <c r="M807" s="45">
        <f>VLOOKUP(B807,'NonXtal_SegEnds_Prot#'!A:AL,22,FALSE)</f>
        <v>365</v>
      </c>
      <c r="N807" s="45">
        <f>VLOOKUP(B807,'NonXtal_SegEnds_Prot#'!A:AL,23,FALSE)</f>
        <v>378</v>
      </c>
      <c r="O807" s="4" t="str">
        <f t="shared" si="73"/>
        <v>V</v>
      </c>
      <c r="P807" s="4"/>
      <c r="Q807" s="47" t="str">
        <f t="shared" si="75"/>
        <v>LSGKTSYFHLLT</v>
      </c>
      <c r="R807" s="27" t="str">
        <f t="shared" si="76"/>
        <v>W</v>
      </c>
      <c r="S807" s="19" t="str">
        <f t="shared" si="77"/>
        <v>SLPFVLTVAILAV</v>
      </c>
      <c r="Z807" s="4"/>
      <c r="AD807" s="1" t="s">
        <v>128</v>
      </c>
      <c r="AE807" s="1">
        <v>352</v>
      </c>
      <c r="AF807" s="1">
        <v>365</v>
      </c>
      <c r="AG807" s="1">
        <v>378</v>
      </c>
      <c r="AH807" s="1" t="s">
        <v>81</v>
      </c>
      <c r="AK807" s="4">
        <v>36</v>
      </c>
      <c r="AL807" s="4">
        <v>63</v>
      </c>
    </row>
    <row r="808" spans="1:38" x14ac:dyDescent="0.25">
      <c r="A808" s="1" t="str">
        <f t="shared" si="74"/>
        <v>smo_human_4JKV_TM4</v>
      </c>
      <c r="B808" s="45" t="s">
        <v>207</v>
      </c>
      <c r="C808" s="45" t="s">
        <v>278</v>
      </c>
      <c r="D808" s="4" t="str">
        <f>VLOOKUP(B808,Classification!A:D,2,FALSE)</f>
        <v>F</v>
      </c>
      <c r="E808" s="4" t="str">
        <f>VLOOKUP(B808,Classification!A:D,3,FALSE)</f>
        <v>Protein</v>
      </c>
      <c r="F808" s="4" t="str">
        <f>VLOOKUP(B808,Classification!A:D,4,FALSE)</f>
        <v>Frizzled</v>
      </c>
      <c r="G808" s="2">
        <v>7</v>
      </c>
      <c r="H808" s="45" t="s">
        <v>31</v>
      </c>
      <c r="I808" s="2" t="s">
        <v>1223</v>
      </c>
      <c r="J808" s="5" t="str">
        <f>VLOOKUP(B808,Seqs!A:B,2,FALSE)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08" s="4" t="str">
        <f t="shared" si="78"/>
        <v>L</v>
      </c>
      <c r="L808" s="45">
        <f>VLOOKUP(B808,'NonXtal_SegEnds_Prot#'!A:AL,21,FALSE)</f>
        <v>353</v>
      </c>
      <c r="M808" s="45">
        <f>VLOOKUP(B808,'NonXtal_SegEnds_Prot#'!A:AL,22,FALSE)</f>
        <v>365</v>
      </c>
      <c r="N808" s="45">
        <f>VLOOKUP(B808,'NonXtal_SegEnds_Prot#'!A:AL,23,FALSE)</f>
        <v>378</v>
      </c>
      <c r="O808" s="4" t="str">
        <f t="shared" si="73"/>
        <v>V</v>
      </c>
      <c r="P808" s="4"/>
      <c r="Q808" s="47" t="str">
        <f t="shared" si="75"/>
        <v>LSGKTSYFHLLT</v>
      </c>
      <c r="R808" s="27" t="str">
        <f t="shared" si="76"/>
        <v>W</v>
      </c>
      <c r="S808" s="19" t="str">
        <f t="shared" si="77"/>
        <v>SLPFVLTVAILAV</v>
      </c>
      <c r="Z808" s="4"/>
      <c r="AD808" s="1" t="s">
        <v>177</v>
      </c>
      <c r="AE808" s="1">
        <v>360</v>
      </c>
      <c r="AF808" s="1">
        <v>365</v>
      </c>
      <c r="AG808" s="1">
        <v>378</v>
      </c>
      <c r="AH808" s="1" t="s">
        <v>81</v>
      </c>
      <c r="AK808" s="4">
        <v>45</v>
      </c>
      <c r="AL808" s="4">
        <v>63</v>
      </c>
    </row>
    <row r="809" spans="1:38" x14ac:dyDescent="0.25">
      <c r="A809" s="1" t="str">
        <f t="shared" si="74"/>
        <v>smo_human_4QIN_TM4</v>
      </c>
      <c r="B809" s="45" t="s">
        <v>207</v>
      </c>
      <c r="C809" s="45" t="s">
        <v>247</v>
      </c>
      <c r="D809" s="4" t="str">
        <f>VLOOKUP(B809,Classification!A:D,2,FALSE)</f>
        <v>F</v>
      </c>
      <c r="E809" s="4" t="str">
        <f>VLOOKUP(B809,Classification!A:D,3,FALSE)</f>
        <v>Protein</v>
      </c>
      <c r="F809" s="4" t="str">
        <f>VLOOKUP(B809,Classification!A:D,4,FALSE)</f>
        <v>Frizzled</v>
      </c>
      <c r="G809" s="2">
        <v>7</v>
      </c>
      <c r="H809" s="45" t="s">
        <v>31</v>
      </c>
      <c r="I809" s="2" t="s">
        <v>1223</v>
      </c>
      <c r="J809" s="5" t="str">
        <f>VLOOKUP(B809,Seqs!A:B,2,FALSE)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09" s="4" t="str">
        <f t="shared" si="78"/>
        <v>L</v>
      </c>
      <c r="L809" s="45">
        <f>VLOOKUP(B809,'NonXtal_SegEnds_Prot#'!A:AL,21,FALSE)</f>
        <v>353</v>
      </c>
      <c r="M809" s="45">
        <f>VLOOKUP(B809,'NonXtal_SegEnds_Prot#'!A:AL,22,FALSE)</f>
        <v>365</v>
      </c>
      <c r="N809" s="45">
        <f>VLOOKUP(B809,'NonXtal_SegEnds_Prot#'!A:AL,23,FALSE)</f>
        <v>378</v>
      </c>
      <c r="O809" s="4" t="str">
        <f t="shared" si="73"/>
        <v>V</v>
      </c>
      <c r="P809" s="4"/>
      <c r="Q809" s="47" t="str">
        <f t="shared" si="75"/>
        <v>LSGKTSYFHLLT</v>
      </c>
      <c r="R809" s="27" t="str">
        <f t="shared" si="76"/>
        <v>W</v>
      </c>
      <c r="S809" s="19" t="str">
        <f t="shared" si="77"/>
        <v>SLPFVLTVAILAV</v>
      </c>
      <c r="Z809" s="4"/>
      <c r="AD809" s="1" t="s">
        <v>128</v>
      </c>
      <c r="AE809" s="1">
        <v>352</v>
      </c>
      <c r="AF809" s="1">
        <v>365</v>
      </c>
      <c r="AG809" s="1">
        <v>378</v>
      </c>
      <c r="AH809" s="1" t="s">
        <v>81</v>
      </c>
      <c r="AK809" s="4">
        <v>36</v>
      </c>
      <c r="AL809" s="4">
        <v>63</v>
      </c>
    </row>
    <row r="810" spans="1:38" x14ac:dyDescent="0.25">
      <c r="A810" s="1" t="str">
        <f t="shared" si="74"/>
        <v>5ht1b_human__wt_ECL2</v>
      </c>
      <c r="B810" s="45" t="s">
        <v>208</v>
      </c>
      <c r="C810" s="45" t="s">
        <v>294</v>
      </c>
      <c r="D810" s="4" t="str">
        <f>VLOOKUP(B810,Classification!A:D,2,FALSE)</f>
        <v>A</v>
      </c>
      <c r="E810" s="4" t="str">
        <f>VLOOKUP(B810,Classification!A:D,3,FALSE)</f>
        <v>Aminergic</v>
      </c>
      <c r="F810" s="4" t="str">
        <f>VLOOKUP(B810,Classification!A:D,4,FALSE)</f>
        <v>5-Hydroxytryptamine</v>
      </c>
      <c r="G810" s="2">
        <v>8</v>
      </c>
      <c r="H810" s="45" t="s">
        <v>35</v>
      </c>
      <c r="I810" s="2" t="s">
        <v>36</v>
      </c>
      <c r="J810" s="5" t="str">
        <f>VLOOKUP(B810,Seqs!A:B,2,FALSE)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810" s="4" t="str">
        <f t="shared" si="78"/>
        <v>C</v>
      </c>
      <c r="L810" s="45">
        <f>VLOOKUP(B810,'NonXtal_SegEnds_Prot#'!A:AL,24,FALSE)</f>
        <v>199</v>
      </c>
      <c r="M810" s="45">
        <f>VLOOKUP(B810,'NonXtal_SegEnds_Prot#'!A:AL,25,FALSE)</f>
        <v>199</v>
      </c>
      <c r="N810" s="45">
        <f>VLOOKUP(B810,'NonXtal_SegEnds_Prot#'!A:AL,26,FALSE)</f>
        <v>201</v>
      </c>
      <c r="O810" s="4" t="str">
        <f t="shared" ref="O810:O873" si="79">MID(J810,N810,1)</f>
        <v>V</v>
      </c>
      <c r="P810" s="4"/>
      <c r="Q810" s="47" t="str">
        <f t="shared" si="75"/>
        <v/>
      </c>
      <c r="R810" s="27" t="str">
        <f t="shared" si="76"/>
        <v>C</v>
      </c>
      <c r="S810" s="19" t="str">
        <f t="shared" si="77"/>
        <v>VV</v>
      </c>
      <c r="Z810" s="4"/>
      <c r="AD810" s="1" t="s">
        <v>37</v>
      </c>
      <c r="AE810" s="1">
        <v>199</v>
      </c>
      <c r="AF810" s="1">
        <v>199</v>
      </c>
      <c r="AG810" s="1">
        <v>201</v>
      </c>
      <c r="AH810" s="1" t="s">
        <v>38</v>
      </c>
      <c r="AK810" s="4">
        <v>50</v>
      </c>
      <c r="AL810" s="4">
        <v>52</v>
      </c>
    </row>
    <row r="811" spans="1:38" x14ac:dyDescent="0.25">
      <c r="A811" s="1" t="str">
        <f t="shared" si="74"/>
        <v>5ht1b_human_4IAQ_ECL2</v>
      </c>
      <c r="B811" s="45" t="s">
        <v>208</v>
      </c>
      <c r="C811" s="53" t="s">
        <v>1249</v>
      </c>
      <c r="D811" s="4" t="str">
        <f>VLOOKUP(B811,Classification!A:D,2,FALSE)</f>
        <v>A</v>
      </c>
      <c r="E811" s="4" t="str">
        <f>VLOOKUP(B811,Classification!A:D,3,FALSE)</f>
        <v>Aminergic</v>
      </c>
      <c r="F811" s="4" t="str">
        <f>VLOOKUP(B811,Classification!A:D,4,FALSE)</f>
        <v>5-Hydroxytryptamine</v>
      </c>
      <c r="G811" s="2">
        <v>8</v>
      </c>
      <c r="H811" s="45" t="s">
        <v>35</v>
      </c>
      <c r="I811" s="2" t="s">
        <v>36</v>
      </c>
      <c r="J811" s="5" t="str">
        <f>VLOOKUP(B811,Seqs!A:B,2,FALSE)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811" s="4" t="str">
        <f t="shared" si="78"/>
        <v>C</v>
      </c>
      <c r="L811" s="45">
        <f>VLOOKUP(B811,'NonXtal_SegEnds_Prot#'!A:AL,24,FALSE)</f>
        <v>199</v>
      </c>
      <c r="M811" s="45">
        <f>VLOOKUP(B811,'NonXtal_SegEnds_Prot#'!A:AL,25,FALSE)</f>
        <v>199</v>
      </c>
      <c r="N811" s="45">
        <f>VLOOKUP(B811,'NonXtal_SegEnds_Prot#'!A:AL,26,FALSE)</f>
        <v>201</v>
      </c>
      <c r="O811" s="4" t="str">
        <f t="shared" si="79"/>
        <v>V</v>
      </c>
      <c r="P811" s="26" t="s">
        <v>1227</v>
      </c>
      <c r="Q811" s="47" t="str">
        <f t="shared" si="75"/>
        <v/>
      </c>
      <c r="R811" s="28" t="str">
        <f t="shared" si="76"/>
        <v>C</v>
      </c>
      <c r="S811" s="20" t="str">
        <f t="shared" si="77"/>
        <v>VV</v>
      </c>
      <c r="Z811" s="4"/>
      <c r="AD811" s="1" t="s">
        <v>37</v>
      </c>
      <c r="AE811" s="1">
        <v>199</v>
      </c>
      <c r="AF811" s="1">
        <v>199</v>
      </c>
      <c r="AG811" s="1">
        <v>201</v>
      </c>
      <c r="AH811" s="1" t="s">
        <v>38</v>
      </c>
      <c r="AK811" s="4">
        <v>50</v>
      </c>
      <c r="AL811" s="4">
        <v>52</v>
      </c>
    </row>
    <row r="812" spans="1:38" x14ac:dyDescent="0.25">
      <c r="A812" s="1" t="str">
        <f t="shared" si="74"/>
        <v>5ht1b_human_4IAR_ECL2</v>
      </c>
      <c r="B812" s="45" t="s">
        <v>208</v>
      </c>
      <c r="C812" s="45" t="s">
        <v>251</v>
      </c>
      <c r="D812" s="4" t="str">
        <f>VLOOKUP(B812,Classification!A:D,2,FALSE)</f>
        <v>A</v>
      </c>
      <c r="E812" s="4" t="str">
        <f>VLOOKUP(B812,Classification!A:D,3,FALSE)</f>
        <v>Aminergic</v>
      </c>
      <c r="F812" s="4" t="str">
        <f>VLOOKUP(B812,Classification!A:D,4,FALSE)</f>
        <v>5-Hydroxytryptamine</v>
      </c>
      <c r="G812" s="2">
        <v>8</v>
      </c>
      <c r="H812" s="45" t="s">
        <v>35</v>
      </c>
      <c r="I812" s="2" t="s">
        <v>36</v>
      </c>
      <c r="J812" s="5" t="str">
        <f>VLOOKUP(B812,Seqs!A:B,2,FALSE)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812" s="4" t="str">
        <f t="shared" si="78"/>
        <v>C</v>
      </c>
      <c r="L812" s="45">
        <f>VLOOKUP(B812,'NonXtal_SegEnds_Prot#'!A:AL,24,FALSE)</f>
        <v>199</v>
      </c>
      <c r="M812" s="45">
        <f>VLOOKUP(B812,'NonXtal_SegEnds_Prot#'!A:AL,25,FALSE)</f>
        <v>199</v>
      </c>
      <c r="N812" s="45">
        <f>VLOOKUP(B812,'NonXtal_SegEnds_Prot#'!A:AL,26,FALSE)</f>
        <v>201</v>
      </c>
      <c r="O812" s="4" t="str">
        <f t="shared" si="79"/>
        <v>V</v>
      </c>
      <c r="P812" s="26" t="s">
        <v>1227</v>
      </c>
      <c r="Q812" s="47" t="str">
        <f t="shared" si="75"/>
        <v/>
      </c>
      <c r="R812" s="28" t="str">
        <f t="shared" si="76"/>
        <v>C</v>
      </c>
      <c r="S812" s="20" t="str">
        <f t="shared" si="77"/>
        <v>VV</v>
      </c>
      <c r="Z812" s="4"/>
      <c r="AD812" s="1" t="s">
        <v>37</v>
      </c>
      <c r="AE812" s="1">
        <v>199</v>
      </c>
      <c r="AF812" s="1">
        <v>199</v>
      </c>
      <c r="AG812" s="1">
        <v>201</v>
      </c>
      <c r="AH812" s="1" t="s">
        <v>38</v>
      </c>
      <c r="AK812" s="4">
        <v>50</v>
      </c>
      <c r="AL812" s="4">
        <v>52</v>
      </c>
    </row>
    <row r="813" spans="1:38" x14ac:dyDescent="0.25">
      <c r="A813" s="1" t="str">
        <f t="shared" si="74"/>
        <v>5ht2b_human__wt_ECL2</v>
      </c>
      <c r="B813" s="45" t="s">
        <v>209</v>
      </c>
      <c r="C813" s="45" t="s">
        <v>294</v>
      </c>
      <c r="D813" s="4" t="str">
        <f>VLOOKUP(B813,Classification!A:D,2,FALSE)</f>
        <v>A</v>
      </c>
      <c r="E813" s="4" t="str">
        <f>VLOOKUP(B813,Classification!A:D,3,FALSE)</f>
        <v>Aminergic</v>
      </c>
      <c r="F813" s="4" t="str">
        <f>VLOOKUP(B813,Classification!A:D,4,FALSE)</f>
        <v>5-Hydroxytryptamine</v>
      </c>
      <c r="G813" s="2">
        <v>8</v>
      </c>
      <c r="H813" s="45" t="s">
        <v>35</v>
      </c>
      <c r="I813" s="2" t="s">
        <v>36</v>
      </c>
      <c r="J813" s="5" t="str">
        <f>VLOOKUP(B813,Seqs!A:B,2,FALSE)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813" s="4" t="str">
        <f t="shared" si="78"/>
        <v>C</v>
      </c>
      <c r="L813" s="45">
        <f>VLOOKUP(B813,'NonXtal_SegEnds_Prot#'!A:AL,24,FALSE)</f>
        <v>207</v>
      </c>
      <c r="M813" s="45">
        <f>VLOOKUP(B813,'NonXtal_SegEnds_Prot#'!A:AL,25,FALSE)</f>
        <v>207</v>
      </c>
      <c r="N813" s="45">
        <f>VLOOKUP(B813,'NonXtal_SegEnds_Prot#'!A:AL,26,FALSE)</f>
        <v>209</v>
      </c>
      <c r="O813" s="4" t="str">
        <f t="shared" si="79"/>
        <v>L</v>
      </c>
      <c r="P813" s="4"/>
      <c r="Q813" s="47" t="str">
        <f t="shared" si="75"/>
        <v/>
      </c>
      <c r="R813" s="27" t="str">
        <f t="shared" si="76"/>
        <v>C</v>
      </c>
      <c r="S813" s="19" t="str">
        <f t="shared" si="77"/>
        <v>VL</v>
      </c>
      <c r="Z813" s="4"/>
      <c r="AD813" s="1" t="s">
        <v>37</v>
      </c>
      <c r="AE813" s="1">
        <v>207</v>
      </c>
      <c r="AF813" s="1">
        <v>207</v>
      </c>
      <c r="AG813" s="1">
        <v>209</v>
      </c>
      <c r="AH813" s="1" t="s">
        <v>38</v>
      </c>
      <c r="AK813" s="4">
        <v>50</v>
      </c>
      <c r="AL813" s="4">
        <v>52</v>
      </c>
    </row>
    <row r="814" spans="1:38" x14ac:dyDescent="0.25">
      <c r="A814" s="1" t="str">
        <f t="shared" si="74"/>
        <v>5ht2b_human_4IB4_ECL2</v>
      </c>
      <c r="B814" s="45" t="s">
        <v>209</v>
      </c>
      <c r="C814" s="45" t="s">
        <v>261</v>
      </c>
      <c r="D814" s="4" t="str">
        <f>VLOOKUP(B814,Classification!A:D,2,FALSE)</f>
        <v>A</v>
      </c>
      <c r="E814" s="4" t="str">
        <f>VLOOKUP(B814,Classification!A:D,3,FALSE)</f>
        <v>Aminergic</v>
      </c>
      <c r="F814" s="4" t="str">
        <f>VLOOKUP(B814,Classification!A:D,4,FALSE)</f>
        <v>5-Hydroxytryptamine</v>
      </c>
      <c r="G814" s="2">
        <v>8</v>
      </c>
      <c r="H814" s="45" t="s">
        <v>35</v>
      </c>
      <c r="I814" s="2" t="s">
        <v>36</v>
      </c>
      <c r="J814" s="5" t="str">
        <f>VLOOKUP(B814,Seqs!A:B,2,FALSE)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814" s="4" t="str">
        <f t="shared" si="78"/>
        <v>C</v>
      </c>
      <c r="L814" s="45">
        <f>VLOOKUP(B814,'NonXtal_SegEnds_Prot#'!A:AL,24,FALSE)</f>
        <v>207</v>
      </c>
      <c r="M814" s="45">
        <f>VLOOKUP(B814,'NonXtal_SegEnds_Prot#'!A:AL,25,FALSE)</f>
        <v>207</v>
      </c>
      <c r="N814" s="45">
        <f>VLOOKUP(B814,'NonXtal_SegEnds_Prot#'!A:AL,26,FALSE)</f>
        <v>209</v>
      </c>
      <c r="O814" s="4" t="str">
        <f t="shared" si="79"/>
        <v>L</v>
      </c>
      <c r="P814" s="26" t="s">
        <v>1227</v>
      </c>
      <c r="Q814" s="47" t="str">
        <f t="shared" si="75"/>
        <v/>
      </c>
      <c r="R814" s="28" t="str">
        <f t="shared" si="76"/>
        <v>C</v>
      </c>
      <c r="S814" s="20" t="str">
        <f t="shared" si="77"/>
        <v>VL</v>
      </c>
      <c r="Z814" s="4"/>
      <c r="AD814" s="1" t="s">
        <v>37</v>
      </c>
      <c r="AE814" s="1">
        <v>207</v>
      </c>
      <c r="AF814" s="1">
        <v>207</v>
      </c>
      <c r="AG814" s="1">
        <v>209</v>
      </c>
      <c r="AH814" s="1" t="s">
        <v>38</v>
      </c>
      <c r="AK814" s="4">
        <v>50</v>
      </c>
      <c r="AL814" s="4">
        <v>52</v>
      </c>
    </row>
    <row r="815" spans="1:38" x14ac:dyDescent="0.25">
      <c r="A815" s="1" t="str">
        <f t="shared" si="74"/>
        <v>AA2AR_human__wt_ECL2</v>
      </c>
      <c r="B815" s="45" t="s">
        <v>210</v>
      </c>
      <c r="C815" s="45" t="s">
        <v>294</v>
      </c>
      <c r="D815" s="4" t="str">
        <f>VLOOKUP(B815,Classification!A:D,2,FALSE)</f>
        <v>A</v>
      </c>
      <c r="E815" s="4" t="str">
        <f>VLOOKUP(B815,Classification!A:D,3,FALSE)</f>
        <v>Nucleotide</v>
      </c>
      <c r="F815" s="4" t="str">
        <f>VLOOKUP(B815,Classification!A:D,4,FALSE)</f>
        <v>Adenosine</v>
      </c>
      <c r="G815" s="2">
        <v>8</v>
      </c>
      <c r="H815" s="45" t="s">
        <v>35</v>
      </c>
      <c r="I815" s="2" t="s">
        <v>71</v>
      </c>
      <c r="J815" s="5" t="str">
        <f>VLOOKUP(B815,Seqs!A:B,2,FALSE)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5" s="4" t="str">
        <f t="shared" si="78"/>
        <v>C</v>
      </c>
      <c r="L815" s="45">
        <f>VLOOKUP(B815,'NonXtal_SegEnds_Prot#'!A:AL,24,FALSE)</f>
        <v>166</v>
      </c>
      <c r="M815" s="45">
        <f>VLOOKUP(B815,'NonXtal_SegEnds_Prot#'!A:AL,25,FALSE)</f>
        <v>166</v>
      </c>
      <c r="N815" s="45">
        <f>VLOOKUP(B815,'NonXtal_SegEnds_Prot#'!A:AL,26,FALSE)</f>
        <v>168</v>
      </c>
      <c r="O815" s="4" t="str">
        <f t="shared" si="79"/>
        <v>F</v>
      </c>
      <c r="P815" s="4"/>
      <c r="Q815" s="47" t="str">
        <f t="shared" si="75"/>
        <v/>
      </c>
      <c r="R815" s="27" t="str">
        <f t="shared" si="76"/>
        <v>C</v>
      </c>
      <c r="S815" s="19" t="str">
        <f t="shared" si="77"/>
        <v>LF</v>
      </c>
      <c r="Z815" s="4" t="s">
        <v>64</v>
      </c>
      <c r="AD815" s="1" t="s">
        <v>37</v>
      </c>
      <c r="AE815" s="1">
        <v>166</v>
      </c>
      <c r="AF815" s="1">
        <v>166</v>
      </c>
      <c r="AG815" s="1">
        <v>168</v>
      </c>
      <c r="AH815" s="1" t="s">
        <v>38</v>
      </c>
      <c r="AK815" s="4">
        <v>50</v>
      </c>
      <c r="AL815" s="4">
        <v>52</v>
      </c>
    </row>
    <row r="816" spans="1:38" x14ac:dyDescent="0.25">
      <c r="A816" s="1" t="str">
        <f t="shared" si="74"/>
        <v>AA2AR_human_2YDV_ECL2</v>
      </c>
      <c r="B816" s="45" t="s">
        <v>210</v>
      </c>
      <c r="C816" s="45" t="s">
        <v>271</v>
      </c>
      <c r="D816" s="4" t="str">
        <f>VLOOKUP(B816,Classification!A:D,2,FALSE)</f>
        <v>A</v>
      </c>
      <c r="E816" s="4" t="str">
        <f>VLOOKUP(B816,Classification!A:D,3,FALSE)</f>
        <v>Nucleotide</v>
      </c>
      <c r="F816" s="4" t="str">
        <f>VLOOKUP(B816,Classification!A:D,4,FALSE)</f>
        <v>Adenosine</v>
      </c>
      <c r="G816" s="2">
        <v>8</v>
      </c>
      <c r="H816" s="45" t="s">
        <v>35</v>
      </c>
      <c r="I816" s="2" t="s">
        <v>71</v>
      </c>
      <c r="J816" s="5" t="str">
        <f>VLOOKUP(B816,Seqs!A:B,2,FALSE)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6" s="4" t="str">
        <f t="shared" si="78"/>
        <v>C</v>
      </c>
      <c r="L816" s="45">
        <f>VLOOKUP(B816,'NonXtal_SegEnds_Prot#'!A:AL,24,FALSE)</f>
        <v>166</v>
      </c>
      <c r="M816" s="45">
        <f>VLOOKUP(B816,'NonXtal_SegEnds_Prot#'!A:AL,25,FALSE)</f>
        <v>166</v>
      </c>
      <c r="N816" s="45">
        <f>VLOOKUP(B816,'NonXtal_SegEnds_Prot#'!A:AL,26,FALSE)</f>
        <v>168</v>
      </c>
      <c r="O816" s="4" t="str">
        <f t="shared" si="79"/>
        <v>F</v>
      </c>
      <c r="P816" s="4"/>
      <c r="Q816" s="47" t="str">
        <f t="shared" si="75"/>
        <v/>
      </c>
      <c r="R816" s="27" t="str">
        <f t="shared" si="76"/>
        <v>C</v>
      </c>
      <c r="S816" s="19" t="str">
        <f t="shared" si="77"/>
        <v>LF</v>
      </c>
      <c r="Z816" s="4" t="s">
        <v>64</v>
      </c>
      <c r="AD816" s="1" t="s">
        <v>37</v>
      </c>
      <c r="AE816" s="1">
        <v>166</v>
      </c>
      <c r="AF816" s="1">
        <v>166</v>
      </c>
      <c r="AG816" s="1">
        <v>168</v>
      </c>
      <c r="AH816" s="1" t="s">
        <v>38</v>
      </c>
      <c r="AK816" s="4">
        <v>50</v>
      </c>
      <c r="AL816" s="4">
        <v>52</v>
      </c>
    </row>
    <row r="817" spans="1:38" x14ac:dyDescent="0.25">
      <c r="A817" s="1" t="str">
        <f t="shared" si="74"/>
        <v>AA2AR_human_3REY_ECL2</v>
      </c>
      <c r="B817" s="45" t="s">
        <v>210</v>
      </c>
      <c r="C817" s="45" t="s">
        <v>275</v>
      </c>
      <c r="D817" s="4" t="str">
        <f>VLOOKUP(B817,Classification!A:D,2,FALSE)</f>
        <v>A</v>
      </c>
      <c r="E817" s="4" t="str">
        <f>VLOOKUP(B817,Classification!A:D,3,FALSE)</f>
        <v>Nucleotide</v>
      </c>
      <c r="F817" s="4" t="str">
        <f>VLOOKUP(B817,Classification!A:D,4,FALSE)</f>
        <v>Adenosine</v>
      </c>
      <c r="G817" s="2">
        <v>8</v>
      </c>
      <c r="H817" s="45" t="s">
        <v>35</v>
      </c>
      <c r="I817" s="2" t="s">
        <v>71</v>
      </c>
      <c r="J817" s="5" t="str">
        <f>VLOOKUP(B817,Seqs!A:B,2,FALSE)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7" s="4" t="str">
        <f t="shared" si="78"/>
        <v>C</v>
      </c>
      <c r="L817" s="45">
        <f>VLOOKUP(B817,'NonXtal_SegEnds_Prot#'!A:AL,24,FALSE)</f>
        <v>166</v>
      </c>
      <c r="M817" s="45">
        <f>VLOOKUP(B817,'NonXtal_SegEnds_Prot#'!A:AL,25,FALSE)</f>
        <v>166</v>
      </c>
      <c r="N817" s="45">
        <f>VLOOKUP(B817,'NonXtal_SegEnds_Prot#'!A:AL,26,FALSE)</f>
        <v>168</v>
      </c>
      <c r="O817" s="4" t="str">
        <f t="shared" si="79"/>
        <v>F</v>
      </c>
      <c r="P817" s="4"/>
      <c r="Q817" s="47" t="str">
        <f t="shared" si="75"/>
        <v/>
      </c>
      <c r="R817" s="27" t="str">
        <f t="shared" si="76"/>
        <v>C</v>
      </c>
      <c r="S817" s="19" t="str">
        <f t="shared" si="77"/>
        <v>LF</v>
      </c>
      <c r="Z817" s="4" t="s">
        <v>78</v>
      </c>
      <c r="AD817" s="1" t="s">
        <v>37</v>
      </c>
      <c r="AE817" s="1">
        <v>166</v>
      </c>
      <c r="AF817" s="1">
        <v>166</v>
      </c>
      <c r="AG817" s="1">
        <v>168</v>
      </c>
      <c r="AH817" s="1" t="s">
        <v>38</v>
      </c>
      <c r="AK817" s="4">
        <v>50</v>
      </c>
      <c r="AL817" s="4">
        <v>52</v>
      </c>
    </row>
    <row r="818" spans="1:38" x14ac:dyDescent="0.25">
      <c r="A818" s="1" t="str">
        <f t="shared" si="74"/>
        <v>AA2AR_human_4EIY_ECL2</v>
      </c>
      <c r="B818" s="45" t="s">
        <v>210</v>
      </c>
      <c r="C818" s="45" t="s">
        <v>272</v>
      </c>
      <c r="D818" s="4" t="str">
        <f>VLOOKUP(B818,Classification!A:D,2,FALSE)</f>
        <v>A</v>
      </c>
      <c r="E818" s="4" t="str">
        <f>VLOOKUP(B818,Classification!A:D,3,FALSE)</f>
        <v>Nucleotide</v>
      </c>
      <c r="F818" s="4" t="str">
        <f>VLOOKUP(B818,Classification!A:D,4,FALSE)</f>
        <v>Adenosine</v>
      </c>
      <c r="G818" s="2">
        <v>8</v>
      </c>
      <c r="H818" s="45" t="s">
        <v>35</v>
      </c>
      <c r="I818" s="2" t="s">
        <v>71</v>
      </c>
      <c r="J818" s="5" t="str">
        <f>VLOOKUP(B818,Seqs!A:B,2,FALSE)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8" s="4" t="str">
        <f t="shared" si="78"/>
        <v>C</v>
      </c>
      <c r="L818" s="45">
        <f>VLOOKUP(B818,'NonXtal_SegEnds_Prot#'!A:AL,24,FALSE)</f>
        <v>166</v>
      </c>
      <c r="M818" s="45">
        <f>VLOOKUP(B818,'NonXtal_SegEnds_Prot#'!A:AL,25,FALSE)</f>
        <v>166</v>
      </c>
      <c r="N818" s="45">
        <f>VLOOKUP(B818,'NonXtal_SegEnds_Prot#'!A:AL,26,FALSE)</f>
        <v>168</v>
      </c>
      <c r="O818" s="4" t="str">
        <f t="shared" si="79"/>
        <v>F</v>
      </c>
      <c r="P818" s="4"/>
      <c r="Q818" s="47" t="str">
        <f t="shared" si="75"/>
        <v/>
      </c>
      <c r="R818" s="27" t="str">
        <f t="shared" si="76"/>
        <v>C</v>
      </c>
      <c r="S818" s="19" t="str">
        <f t="shared" si="77"/>
        <v>LF</v>
      </c>
      <c r="Z818" s="4"/>
      <c r="AD818" s="1" t="s">
        <v>37</v>
      </c>
      <c r="AE818" s="1">
        <v>166</v>
      </c>
      <c r="AF818" s="1">
        <v>166</v>
      </c>
      <c r="AG818" s="1">
        <v>168</v>
      </c>
      <c r="AH818" s="1" t="s">
        <v>38</v>
      </c>
      <c r="AK818" s="4">
        <v>50</v>
      </c>
      <c r="AL818" s="4">
        <v>52</v>
      </c>
    </row>
    <row r="819" spans="1:38" x14ac:dyDescent="0.25">
      <c r="A819" s="1" t="str">
        <f t="shared" si="74"/>
        <v>ACM1_human__wt_ECL2</v>
      </c>
      <c r="B819" s="45" t="s">
        <v>218</v>
      </c>
      <c r="C819" s="45" t="s">
        <v>294</v>
      </c>
      <c r="D819" s="4" t="str">
        <f>VLOOKUP(B819,Classification!A:D,2,FALSE)</f>
        <v>A</v>
      </c>
      <c r="E819" s="4" t="str">
        <f>VLOOKUP(B819,Classification!A:D,3,FALSE)</f>
        <v>Aminergic</v>
      </c>
      <c r="F819" s="4" t="str">
        <f>VLOOKUP(B819,Classification!A:D,4,FALSE)</f>
        <v>Acetylcholine(muscarinic)</v>
      </c>
      <c r="G819" s="2">
        <v>8</v>
      </c>
      <c r="H819" s="45" t="s">
        <v>35</v>
      </c>
      <c r="I819" s="2" t="s">
        <v>36</v>
      </c>
      <c r="J819" s="5" t="str">
        <f>VLOOKUP(B819,Seqs!A:B,2,FALSE)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19" s="4" t="str">
        <f t="shared" si="78"/>
        <v>C</v>
      </c>
      <c r="L819" s="45">
        <f>VLOOKUP(B819,'NonXtal_SegEnds_Prot#'!A:AL,24,FALSE)</f>
        <v>178</v>
      </c>
      <c r="M819" s="45">
        <f>VLOOKUP(B819,'NonXtal_SegEnds_Prot#'!A:AL,25,FALSE)</f>
        <v>178</v>
      </c>
      <c r="N819" s="45">
        <f>VLOOKUP(B819,'NonXtal_SegEnds_Prot#'!A:AL,26,FALSE)</f>
        <v>180</v>
      </c>
      <c r="O819" s="4" t="str">
        <f t="shared" si="79"/>
        <v>I</v>
      </c>
      <c r="P819" s="4"/>
      <c r="Q819" s="47" t="str">
        <f t="shared" si="75"/>
        <v/>
      </c>
      <c r="R819" s="27" t="str">
        <f t="shared" si="76"/>
        <v>C</v>
      </c>
      <c r="S819" s="19" t="str">
        <f t="shared" si="77"/>
        <v>YI</v>
      </c>
      <c r="Z819" s="4" t="s">
        <v>78</v>
      </c>
      <c r="AD819" s="1" t="s">
        <v>37</v>
      </c>
      <c r="AE819" s="1">
        <v>178</v>
      </c>
      <c r="AF819" s="1">
        <v>178</v>
      </c>
      <c r="AG819" s="1">
        <v>180</v>
      </c>
      <c r="AH819" s="1" t="s">
        <v>38</v>
      </c>
      <c r="AK819" s="4">
        <v>50</v>
      </c>
      <c r="AL819" s="4">
        <v>52</v>
      </c>
    </row>
    <row r="820" spans="1:38" x14ac:dyDescent="0.25">
      <c r="A820" s="1" t="str">
        <f t="shared" si="74"/>
        <v>ACM1_human_5CXV_ECL2</v>
      </c>
      <c r="B820" s="45" t="s">
        <v>218</v>
      </c>
      <c r="C820" s="45" t="s">
        <v>253</v>
      </c>
      <c r="D820" s="4" t="str">
        <f>VLOOKUP(B820,Classification!A:D,2,FALSE)</f>
        <v>A</v>
      </c>
      <c r="E820" s="4" t="str">
        <f>VLOOKUP(B820,Classification!A:D,3,FALSE)</f>
        <v>Aminergic</v>
      </c>
      <c r="F820" s="4" t="str">
        <f>VLOOKUP(B820,Classification!A:D,4,FALSE)</f>
        <v>Acetylcholine(muscarinic)</v>
      </c>
      <c r="G820" s="2">
        <v>8</v>
      </c>
      <c r="H820" s="45" t="s">
        <v>35</v>
      </c>
      <c r="I820" s="2" t="s">
        <v>36</v>
      </c>
      <c r="J820" s="5" t="str">
        <f>VLOOKUP(B820,Seqs!A:B,2,FALSE)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20" s="4" t="str">
        <f t="shared" si="78"/>
        <v>C</v>
      </c>
      <c r="L820" s="45">
        <f>VLOOKUP(B820,'NonXtal_SegEnds_Prot#'!A:AL,24,FALSE)</f>
        <v>178</v>
      </c>
      <c r="M820" s="45">
        <f>VLOOKUP(B820,'NonXtal_SegEnds_Prot#'!A:AL,25,FALSE)</f>
        <v>178</v>
      </c>
      <c r="N820" s="45">
        <f>VLOOKUP(B820,'NonXtal_SegEnds_Prot#'!A:AL,26,FALSE)</f>
        <v>180</v>
      </c>
      <c r="O820" s="4" t="str">
        <f t="shared" si="79"/>
        <v>I</v>
      </c>
      <c r="P820" s="4"/>
      <c r="Q820" s="47" t="str">
        <f t="shared" si="75"/>
        <v/>
      </c>
      <c r="R820" s="27" t="str">
        <f t="shared" si="76"/>
        <v>C</v>
      </c>
      <c r="S820" s="19" t="str">
        <f t="shared" si="77"/>
        <v>YI</v>
      </c>
      <c r="Z820" s="4" t="s">
        <v>78</v>
      </c>
      <c r="AD820" s="1" t="s">
        <v>37</v>
      </c>
      <c r="AE820" s="1">
        <v>178</v>
      </c>
      <c r="AF820" s="1">
        <v>178</v>
      </c>
      <c r="AG820" s="1">
        <v>180</v>
      </c>
      <c r="AH820" s="1" t="s">
        <v>38</v>
      </c>
      <c r="AK820" s="4">
        <v>50</v>
      </c>
      <c r="AL820" s="4">
        <v>52</v>
      </c>
    </row>
    <row r="821" spans="1:38" x14ac:dyDescent="0.25">
      <c r="A821" s="1" t="str">
        <f t="shared" si="74"/>
        <v>ACM2_human__wt_ECL2</v>
      </c>
      <c r="B821" s="45" t="s">
        <v>219</v>
      </c>
      <c r="C821" s="45" t="s">
        <v>294</v>
      </c>
      <c r="D821" s="4" t="str">
        <f>VLOOKUP(B821,Classification!A:D,2,FALSE)</f>
        <v>A</v>
      </c>
      <c r="E821" s="4" t="str">
        <f>VLOOKUP(B821,Classification!A:D,3,FALSE)</f>
        <v>Aminergic</v>
      </c>
      <c r="F821" s="4" t="str">
        <f>VLOOKUP(B821,Classification!A:D,4,FALSE)</f>
        <v>Acetylcholine(muscarinic)</v>
      </c>
      <c r="G821" s="2">
        <v>8</v>
      </c>
      <c r="H821" s="45" t="s">
        <v>35</v>
      </c>
      <c r="I821" s="2" t="s">
        <v>36</v>
      </c>
      <c r="J821" s="5" t="str">
        <f>VLOOKUP(B821,Seqs!A:B,2,FALSE)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1" s="4" t="str">
        <f t="shared" si="78"/>
        <v>C</v>
      </c>
      <c r="L821" s="45">
        <f>VLOOKUP(B821,'NonXtal_SegEnds_Prot#'!A:AL,24,FALSE)</f>
        <v>176</v>
      </c>
      <c r="M821" s="45">
        <f>VLOOKUP(B821,'NonXtal_SegEnds_Prot#'!A:AL,25,FALSE)</f>
        <v>176</v>
      </c>
      <c r="N821" s="45">
        <f>VLOOKUP(B821,'NonXtal_SegEnds_Prot#'!A:AL,26,FALSE)</f>
        <v>178</v>
      </c>
      <c r="O821" s="4" t="str">
        <f t="shared" si="79"/>
        <v>I</v>
      </c>
      <c r="P821" s="4"/>
      <c r="Q821" s="47" t="str">
        <f t="shared" si="75"/>
        <v/>
      </c>
      <c r="R821" s="27" t="str">
        <f t="shared" si="76"/>
        <v>C</v>
      </c>
      <c r="S821" s="19" t="str">
        <f t="shared" si="77"/>
        <v>YI</v>
      </c>
      <c r="Z821" s="4" t="s">
        <v>78</v>
      </c>
      <c r="AD821" s="1" t="s">
        <v>37</v>
      </c>
      <c r="AE821" s="1">
        <v>176</v>
      </c>
      <c r="AF821" s="1">
        <v>176</v>
      </c>
      <c r="AG821" s="1">
        <v>178</v>
      </c>
      <c r="AH821" s="1" t="s">
        <v>38</v>
      </c>
      <c r="AK821" s="4">
        <v>50</v>
      </c>
      <c r="AL821" s="4">
        <v>52</v>
      </c>
    </row>
    <row r="822" spans="1:38" x14ac:dyDescent="0.25">
      <c r="A822" s="1" t="str">
        <f t="shared" si="74"/>
        <v>ACM2_human_3UON_ECL2</v>
      </c>
      <c r="B822" s="45" t="s">
        <v>219</v>
      </c>
      <c r="C822" s="45" t="s">
        <v>270</v>
      </c>
      <c r="D822" s="4" t="str">
        <f>VLOOKUP(B822,Classification!A:D,2,FALSE)</f>
        <v>A</v>
      </c>
      <c r="E822" s="4" t="str">
        <f>VLOOKUP(B822,Classification!A:D,3,FALSE)</f>
        <v>Aminergic</v>
      </c>
      <c r="F822" s="4" t="str">
        <f>VLOOKUP(B822,Classification!A:D,4,FALSE)</f>
        <v>Acetylcholine(muscarinic)</v>
      </c>
      <c r="G822" s="2">
        <v>8</v>
      </c>
      <c r="H822" s="45" t="s">
        <v>35</v>
      </c>
      <c r="I822" s="2" t="s">
        <v>36</v>
      </c>
      <c r="J822" s="5" t="str">
        <f>VLOOKUP(B822,Seqs!A:B,2,FALSE)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2" s="4" t="str">
        <f t="shared" si="78"/>
        <v>C</v>
      </c>
      <c r="L822" s="45">
        <f>VLOOKUP(B822,'NonXtal_SegEnds_Prot#'!A:AL,24,FALSE)</f>
        <v>176</v>
      </c>
      <c r="M822" s="45">
        <f>VLOOKUP(B822,'NonXtal_SegEnds_Prot#'!A:AL,25,FALSE)</f>
        <v>176</v>
      </c>
      <c r="N822" s="45">
        <f>VLOOKUP(B822,'NonXtal_SegEnds_Prot#'!A:AL,26,FALSE)</f>
        <v>178</v>
      </c>
      <c r="O822" s="4" t="str">
        <f t="shared" si="79"/>
        <v>I</v>
      </c>
      <c r="P822" s="4"/>
      <c r="Q822" s="47" t="str">
        <f t="shared" si="75"/>
        <v/>
      </c>
      <c r="R822" s="27" t="str">
        <f t="shared" si="76"/>
        <v>C</v>
      </c>
      <c r="S822" s="19" t="str">
        <f t="shared" si="77"/>
        <v>YI</v>
      </c>
      <c r="Z822" s="4" t="s">
        <v>78</v>
      </c>
      <c r="AD822" s="1" t="s">
        <v>37</v>
      </c>
      <c r="AE822" s="1">
        <v>176</v>
      </c>
      <c r="AF822" s="1">
        <v>176</v>
      </c>
      <c r="AG822" s="1">
        <v>178</v>
      </c>
      <c r="AH822" s="1" t="s">
        <v>38</v>
      </c>
      <c r="AK822" s="4">
        <v>50</v>
      </c>
      <c r="AL822" s="4">
        <v>52</v>
      </c>
    </row>
    <row r="823" spans="1:38" x14ac:dyDescent="0.25">
      <c r="A823" s="1" t="str">
        <f t="shared" si="74"/>
        <v>ACM2_human_4MQS_ECL2</v>
      </c>
      <c r="B823" s="45" t="s">
        <v>219</v>
      </c>
      <c r="C823" s="45" t="s">
        <v>259</v>
      </c>
      <c r="D823" s="4" t="str">
        <f>VLOOKUP(B823,Classification!A:D,2,FALSE)</f>
        <v>A</v>
      </c>
      <c r="E823" s="4" t="str">
        <f>VLOOKUP(B823,Classification!A:D,3,FALSE)</f>
        <v>Aminergic</v>
      </c>
      <c r="F823" s="4" t="str">
        <f>VLOOKUP(B823,Classification!A:D,4,FALSE)</f>
        <v>Acetylcholine(muscarinic)</v>
      </c>
      <c r="G823" s="2">
        <v>8</v>
      </c>
      <c r="H823" s="45" t="s">
        <v>35</v>
      </c>
      <c r="I823" s="2" t="s">
        <v>36</v>
      </c>
      <c r="J823" s="5" t="str">
        <f>VLOOKUP(B823,Seqs!A:B,2,FALSE)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3" s="4" t="str">
        <f t="shared" si="78"/>
        <v>C</v>
      </c>
      <c r="L823" s="45">
        <f>VLOOKUP(B823,'NonXtal_SegEnds_Prot#'!A:AL,24,FALSE)</f>
        <v>176</v>
      </c>
      <c r="M823" s="45">
        <f>VLOOKUP(B823,'NonXtal_SegEnds_Prot#'!A:AL,25,FALSE)</f>
        <v>176</v>
      </c>
      <c r="N823" s="45">
        <f>VLOOKUP(B823,'NonXtal_SegEnds_Prot#'!A:AL,26,FALSE)</f>
        <v>178</v>
      </c>
      <c r="O823" s="4" t="str">
        <f t="shared" si="79"/>
        <v>I</v>
      </c>
      <c r="P823" s="4"/>
      <c r="Q823" s="47" t="str">
        <f t="shared" si="75"/>
        <v/>
      </c>
      <c r="R823" s="27" t="str">
        <f t="shared" si="76"/>
        <v>C</v>
      </c>
      <c r="S823" s="19" t="str">
        <f t="shared" si="77"/>
        <v>YI</v>
      </c>
      <c r="Z823" s="4" t="s">
        <v>64</v>
      </c>
      <c r="AD823" s="1" t="s">
        <v>37</v>
      </c>
      <c r="AE823" s="1">
        <v>176</v>
      </c>
      <c r="AF823" s="1">
        <v>176</v>
      </c>
      <c r="AG823" s="1">
        <v>178</v>
      </c>
      <c r="AH823" s="1" t="s">
        <v>38</v>
      </c>
      <c r="AK823" s="4">
        <v>50</v>
      </c>
      <c r="AL823" s="4">
        <v>52</v>
      </c>
    </row>
    <row r="824" spans="1:38" x14ac:dyDescent="0.25">
      <c r="A824" s="1" t="str">
        <f t="shared" si="74"/>
        <v>ACM3_rat__wt_ECL2</v>
      </c>
      <c r="B824" s="45" t="s">
        <v>236</v>
      </c>
      <c r="C824" s="45" t="s">
        <v>294</v>
      </c>
      <c r="D824" s="4" t="str">
        <f>VLOOKUP(B824,Classification!A:D,2,FALSE)</f>
        <v>A</v>
      </c>
      <c r="E824" s="4" t="str">
        <f>VLOOKUP(B824,Classification!A:D,3,FALSE)</f>
        <v>Aminergic</v>
      </c>
      <c r="F824" s="4" t="str">
        <f>VLOOKUP(B824,Classification!A:D,4,FALSE)</f>
        <v>Acetylcholine(muscarinic)</v>
      </c>
      <c r="G824" s="2">
        <v>8</v>
      </c>
      <c r="H824" s="45" t="s">
        <v>35</v>
      </c>
      <c r="I824" s="2" t="s">
        <v>36</v>
      </c>
      <c r="J824" s="5" t="str">
        <f>VLOOKUP(B824,Seqs!A:B,2,FALSE)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24" s="4" t="str">
        <f t="shared" si="78"/>
        <v>C</v>
      </c>
      <c r="L824" s="45">
        <f>VLOOKUP(B824,'NonXtal_SegEnds_Prot#'!A:AL,24,FALSE)</f>
        <v>220</v>
      </c>
      <c r="M824" s="45">
        <f>VLOOKUP(B824,'NonXtal_SegEnds_Prot#'!A:AL,25,FALSE)</f>
        <v>220</v>
      </c>
      <c r="N824" s="45">
        <f>VLOOKUP(B824,'NonXtal_SegEnds_Prot#'!A:AL,26,FALSE)</f>
        <v>222</v>
      </c>
      <c r="O824" s="4" t="str">
        <f t="shared" si="79"/>
        <v>I</v>
      </c>
      <c r="P824" s="4"/>
      <c r="Q824" s="47" t="str">
        <f t="shared" si="75"/>
        <v/>
      </c>
      <c r="R824" s="27" t="str">
        <f t="shared" si="76"/>
        <v>C</v>
      </c>
      <c r="S824" s="19" t="str">
        <f t="shared" si="77"/>
        <v>FI</v>
      </c>
      <c r="Z824" s="4"/>
      <c r="AD824" s="1" t="s">
        <v>37</v>
      </c>
      <c r="AE824" s="1">
        <v>220</v>
      </c>
      <c r="AF824" s="1">
        <v>220</v>
      </c>
      <c r="AG824" s="1">
        <v>222</v>
      </c>
      <c r="AH824" s="1" t="s">
        <v>38</v>
      </c>
      <c r="AK824" s="4">
        <v>50</v>
      </c>
      <c r="AL824" s="4">
        <v>52</v>
      </c>
    </row>
    <row r="825" spans="1:38" x14ac:dyDescent="0.25">
      <c r="A825" s="1" t="str">
        <f t="shared" si="74"/>
        <v>ACM3_rat_4U15_ECL2</v>
      </c>
      <c r="B825" s="45" t="s">
        <v>236</v>
      </c>
      <c r="C825" s="45" t="s">
        <v>262</v>
      </c>
      <c r="D825" s="4" t="str">
        <f>VLOOKUP(B825,Classification!A:D,2,FALSE)</f>
        <v>A</v>
      </c>
      <c r="E825" s="4" t="str">
        <f>VLOOKUP(B825,Classification!A:D,3,FALSE)</f>
        <v>Aminergic</v>
      </c>
      <c r="F825" s="4" t="str">
        <f>VLOOKUP(B825,Classification!A:D,4,FALSE)</f>
        <v>Acetylcholine(muscarinic)</v>
      </c>
      <c r="G825" s="2">
        <v>8</v>
      </c>
      <c r="H825" s="45" t="s">
        <v>35</v>
      </c>
      <c r="I825" s="2" t="s">
        <v>36</v>
      </c>
      <c r="J825" s="5" t="str">
        <f>VLOOKUP(B825,Seqs!A:B,2,FALSE)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25" s="4" t="str">
        <f t="shared" si="78"/>
        <v>C</v>
      </c>
      <c r="L825" s="45">
        <f>VLOOKUP(B825,'NonXtal_SegEnds_Prot#'!A:AL,24,FALSE)</f>
        <v>220</v>
      </c>
      <c r="M825" s="45">
        <f>VLOOKUP(B825,'NonXtal_SegEnds_Prot#'!A:AL,25,FALSE)</f>
        <v>220</v>
      </c>
      <c r="N825" s="45">
        <f>VLOOKUP(B825,'NonXtal_SegEnds_Prot#'!A:AL,26,FALSE)</f>
        <v>222</v>
      </c>
      <c r="O825" s="4" t="str">
        <f t="shared" si="79"/>
        <v>I</v>
      </c>
      <c r="P825" s="4"/>
      <c r="Q825" s="47" t="str">
        <f t="shared" si="75"/>
        <v/>
      </c>
      <c r="R825" s="27" t="str">
        <f t="shared" si="76"/>
        <v>C</v>
      </c>
      <c r="S825" s="19" t="str">
        <f t="shared" si="77"/>
        <v>FI</v>
      </c>
      <c r="Z825" s="4"/>
      <c r="AD825" s="1" t="s">
        <v>37</v>
      </c>
      <c r="AE825" s="1">
        <v>220</v>
      </c>
      <c r="AF825" s="1">
        <v>220</v>
      </c>
      <c r="AG825" s="1">
        <v>222</v>
      </c>
      <c r="AH825" s="1" t="s">
        <v>38</v>
      </c>
      <c r="AK825" s="4">
        <v>50</v>
      </c>
      <c r="AL825" s="4">
        <v>52</v>
      </c>
    </row>
    <row r="826" spans="1:38" x14ac:dyDescent="0.25">
      <c r="A826" s="1" t="str">
        <f t="shared" si="74"/>
        <v>ACM4_human__wt_ECL2</v>
      </c>
      <c r="B826" s="45" t="s">
        <v>220</v>
      </c>
      <c r="C826" s="45" t="s">
        <v>294</v>
      </c>
      <c r="D826" s="4" t="str">
        <f>VLOOKUP(B826,Classification!A:D,2,FALSE)</f>
        <v>A</v>
      </c>
      <c r="E826" s="4" t="str">
        <f>VLOOKUP(B826,Classification!A:D,3,FALSE)</f>
        <v>Aminergic</v>
      </c>
      <c r="F826" s="4" t="str">
        <f>VLOOKUP(B826,Classification!A:D,4,FALSE)</f>
        <v>Acetylcholine(muscarinic)</v>
      </c>
      <c r="G826" s="2">
        <v>8</v>
      </c>
      <c r="H826" s="45" t="s">
        <v>35</v>
      </c>
      <c r="I826" s="2" t="s">
        <v>36</v>
      </c>
      <c r="J826" s="5" t="str">
        <f>VLOOKUP(B826,Seqs!A:B,2,FALSE)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26" s="4" t="str">
        <f t="shared" si="78"/>
        <v>C</v>
      </c>
      <c r="L826" s="45">
        <f>VLOOKUP(B826,'NonXtal_SegEnds_Prot#'!A:AL,24,FALSE)</f>
        <v>185</v>
      </c>
      <c r="M826" s="45">
        <f>VLOOKUP(B826,'NonXtal_SegEnds_Prot#'!A:AL,25,FALSE)</f>
        <v>185</v>
      </c>
      <c r="N826" s="45">
        <f>VLOOKUP(B826,'NonXtal_SegEnds_Prot#'!A:AL,26,FALSE)</f>
        <v>187</v>
      </c>
      <c r="O826" s="4" t="str">
        <f t="shared" si="79"/>
        <v>I</v>
      </c>
      <c r="P826" s="4"/>
      <c r="Q826" s="47" t="str">
        <f t="shared" si="75"/>
        <v/>
      </c>
      <c r="R826" s="27" t="str">
        <f t="shared" si="76"/>
        <v>C</v>
      </c>
      <c r="S826" s="19" t="str">
        <f t="shared" si="77"/>
        <v>FI</v>
      </c>
      <c r="Z826" s="4" t="s">
        <v>78</v>
      </c>
      <c r="AD826" s="1" t="s">
        <v>37</v>
      </c>
      <c r="AE826" s="1">
        <v>185</v>
      </c>
      <c r="AF826" s="1">
        <v>185</v>
      </c>
      <c r="AG826" s="1">
        <v>187</v>
      </c>
      <c r="AH826" s="1" t="s">
        <v>38</v>
      </c>
      <c r="AK826" s="4">
        <v>50</v>
      </c>
      <c r="AL826" s="4">
        <v>52</v>
      </c>
    </row>
    <row r="827" spans="1:38" x14ac:dyDescent="0.25">
      <c r="A827" s="1" t="str">
        <f t="shared" si="74"/>
        <v>ACM4_human_5DSG_ECL2</v>
      </c>
      <c r="B827" s="45" t="s">
        <v>220</v>
      </c>
      <c r="C827" s="45" t="s">
        <v>252</v>
      </c>
      <c r="D827" s="4" t="str">
        <f>VLOOKUP(B827,Classification!A:D,2,FALSE)</f>
        <v>A</v>
      </c>
      <c r="E827" s="4" t="str">
        <f>VLOOKUP(B827,Classification!A:D,3,FALSE)</f>
        <v>Aminergic</v>
      </c>
      <c r="F827" s="4" t="str">
        <f>VLOOKUP(B827,Classification!A:D,4,FALSE)</f>
        <v>Acetylcholine(muscarinic)</v>
      </c>
      <c r="G827" s="2">
        <v>8</v>
      </c>
      <c r="H827" s="45" t="s">
        <v>35</v>
      </c>
      <c r="I827" s="2" t="s">
        <v>36</v>
      </c>
      <c r="J827" s="5" t="str">
        <f>VLOOKUP(B827,Seqs!A:B,2,FALSE)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27" s="4" t="str">
        <f t="shared" si="78"/>
        <v>C</v>
      </c>
      <c r="L827" s="45">
        <f>VLOOKUP(B827,'NonXtal_SegEnds_Prot#'!A:AL,24,FALSE)</f>
        <v>185</v>
      </c>
      <c r="M827" s="45">
        <f>VLOOKUP(B827,'NonXtal_SegEnds_Prot#'!A:AL,25,FALSE)</f>
        <v>185</v>
      </c>
      <c r="N827" s="45">
        <f>VLOOKUP(B827,'NonXtal_SegEnds_Prot#'!A:AL,26,FALSE)</f>
        <v>187</v>
      </c>
      <c r="O827" s="4" t="str">
        <f t="shared" si="79"/>
        <v>I</v>
      </c>
      <c r="P827" s="4"/>
      <c r="Q827" s="47" t="str">
        <f t="shared" si="75"/>
        <v/>
      </c>
      <c r="R827" s="27" t="str">
        <f t="shared" si="76"/>
        <v>C</v>
      </c>
      <c r="S827" s="19" t="str">
        <f t="shared" si="77"/>
        <v>FI</v>
      </c>
      <c r="Z827" s="4" t="s">
        <v>78</v>
      </c>
      <c r="AD827" s="1" t="s">
        <v>37</v>
      </c>
      <c r="AE827" s="1">
        <v>185</v>
      </c>
      <c r="AF827" s="1">
        <v>185</v>
      </c>
      <c r="AG827" s="1">
        <v>187</v>
      </c>
      <c r="AH827" s="1" t="s">
        <v>38</v>
      </c>
      <c r="AK827" s="4">
        <v>50</v>
      </c>
      <c r="AL827" s="4">
        <v>52</v>
      </c>
    </row>
    <row r="828" spans="1:38" x14ac:dyDescent="0.25">
      <c r="A828" s="1" t="str">
        <f t="shared" si="74"/>
        <v>ADRB1_melga__wt_ECL2</v>
      </c>
      <c r="B828" s="45" t="s">
        <v>235</v>
      </c>
      <c r="C828" s="45" t="s">
        <v>294</v>
      </c>
      <c r="D828" s="4" t="str">
        <f>VLOOKUP(B828,Classification!A:D,2,FALSE)</f>
        <v>A</v>
      </c>
      <c r="E828" s="4" t="str">
        <f>VLOOKUP(B828,Classification!A:D,3,FALSE)</f>
        <v>Aminergic</v>
      </c>
      <c r="F828" s="4" t="str">
        <f>VLOOKUP(B828,Classification!A:D,4,FALSE)</f>
        <v>Adrenoceptors</v>
      </c>
      <c r="G828" s="2">
        <v>8</v>
      </c>
      <c r="H828" s="45" t="s">
        <v>35</v>
      </c>
      <c r="I828" s="2" t="s">
        <v>1305</v>
      </c>
      <c r="J828" s="5" t="str">
        <f>VLOOKUP(B828,Seqs!A:B,2,FALSE)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28" s="4" t="str">
        <f t="shared" si="78"/>
        <v>C</v>
      </c>
      <c r="L828" s="45">
        <f>VLOOKUP(B828,'NonXtal_SegEnds_Prot#'!A:AL,24,FALSE)</f>
        <v>199</v>
      </c>
      <c r="M828" s="45">
        <f>VLOOKUP(B828,'NonXtal_SegEnds_Prot#'!A:AL,25,FALSE)</f>
        <v>199</v>
      </c>
      <c r="N828" s="45">
        <f>VLOOKUP(B828,'NonXtal_SegEnds_Prot#'!A:AL,26,FALSE)</f>
        <v>201</v>
      </c>
      <c r="O828" s="4" t="str">
        <f t="shared" si="79"/>
        <v>F</v>
      </c>
      <c r="P828" s="4"/>
      <c r="Q828" s="47" t="str">
        <f t="shared" si="75"/>
        <v/>
      </c>
      <c r="R828" s="27" t="str">
        <f t="shared" si="76"/>
        <v>C</v>
      </c>
      <c r="S828" s="19" t="str">
        <f t="shared" si="77"/>
        <v>DF</v>
      </c>
      <c r="Z828" s="4"/>
      <c r="AD828" s="1" t="s">
        <v>37</v>
      </c>
      <c r="AE828" s="1">
        <v>199</v>
      </c>
      <c r="AF828" s="1">
        <v>199</v>
      </c>
      <c r="AG828" s="1">
        <v>201</v>
      </c>
      <c r="AH828" s="1" t="s">
        <v>38</v>
      </c>
      <c r="AK828" s="4">
        <v>50</v>
      </c>
      <c r="AL828" s="4">
        <v>52</v>
      </c>
    </row>
    <row r="829" spans="1:38" x14ac:dyDescent="0.25">
      <c r="A829" s="1" t="str">
        <f t="shared" si="74"/>
        <v>ADRB1_melga_2Y02_ECL2</v>
      </c>
      <c r="B829" s="45" t="s">
        <v>235</v>
      </c>
      <c r="C829" s="45" t="s">
        <v>1230</v>
      </c>
      <c r="D829" s="4" t="str">
        <f>VLOOKUP(B829,Classification!A:D,2,FALSE)</f>
        <v>A</v>
      </c>
      <c r="E829" s="4" t="str">
        <f>VLOOKUP(B829,Classification!A:D,3,FALSE)</f>
        <v>Aminergic</v>
      </c>
      <c r="F829" s="4" t="str">
        <f>VLOOKUP(B829,Classification!A:D,4,FALSE)</f>
        <v>Adrenoceptors</v>
      </c>
      <c r="G829" s="2">
        <v>8</v>
      </c>
      <c r="H829" s="45" t="s">
        <v>35</v>
      </c>
      <c r="I829" s="2" t="s">
        <v>1305</v>
      </c>
      <c r="J829" s="5" t="str">
        <f>VLOOKUP(B829,Seqs!A:B,2,FALSE)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29" s="4" t="str">
        <f t="shared" si="78"/>
        <v>C</v>
      </c>
      <c r="L829" s="45">
        <f>VLOOKUP(B829,'NonXtal_SegEnds_Prot#'!A:AL,24,FALSE)</f>
        <v>199</v>
      </c>
      <c r="M829" s="45">
        <f>VLOOKUP(B829,'NonXtal_SegEnds_Prot#'!A:AL,25,FALSE)</f>
        <v>199</v>
      </c>
      <c r="N829" s="45">
        <f>VLOOKUP(B829,'NonXtal_SegEnds_Prot#'!A:AL,26,FALSE)</f>
        <v>201</v>
      </c>
      <c r="O829" s="4" t="str">
        <f t="shared" si="79"/>
        <v>F</v>
      </c>
      <c r="P829" s="4"/>
      <c r="Q829" s="47" t="str">
        <f t="shared" si="75"/>
        <v/>
      </c>
      <c r="R829" s="27" t="str">
        <f t="shared" si="76"/>
        <v>C</v>
      </c>
      <c r="S829" s="19" t="str">
        <f t="shared" si="77"/>
        <v>DF</v>
      </c>
      <c r="Z829" s="4"/>
      <c r="AD829" s="1" t="s">
        <v>37</v>
      </c>
      <c r="AE829" s="1">
        <v>199</v>
      </c>
      <c r="AF829" s="1">
        <v>199</v>
      </c>
      <c r="AG829" s="1">
        <v>201</v>
      </c>
      <c r="AH829" s="1" t="s">
        <v>38</v>
      </c>
      <c r="AK829" s="4">
        <v>50</v>
      </c>
      <c r="AL829" s="4">
        <v>52</v>
      </c>
    </row>
    <row r="830" spans="1:38" x14ac:dyDescent="0.25">
      <c r="A830" s="1" t="str">
        <f t="shared" si="74"/>
        <v>ADRB1_melga_2YCW_ECL2</v>
      </c>
      <c r="B830" s="45" t="s">
        <v>235</v>
      </c>
      <c r="C830" s="45" t="s">
        <v>1233</v>
      </c>
      <c r="D830" s="4" t="str">
        <f>VLOOKUP(B830,Classification!A:D,2,FALSE)</f>
        <v>A</v>
      </c>
      <c r="E830" s="4" t="str">
        <f>VLOOKUP(B830,Classification!A:D,3,FALSE)</f>
        <v>Aminergic</v>
      </c>
      <c r="F830" s="4" t="str">
        <f>VLOOKUP(B830,Classification!A:D,4,FALSE)</f>
        <v>Adrenoceptors</v>
      </c>
      <c r="G830" s="2">
        <v>8</v>
      </c>
      <c r="H830" s="45" t="s">
        <v>35</v>
      </c>
      <c r="I830" s="2" t="s">
        <v>1305</v>
      </c>
      <c r="J830" s="5" t="str">
        <f>VLOOKUP(B830,Seqs!A:B,2,FALSE)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30" s="4" t="str">
        <f t="shared" si="78"/>
        <v>C</v>
      </c>
      <c r="L830" s="45">
        <f>VLOOKUP(B830,'NonXtal_SegEnds_Prot#'!A:AL,24,FALSE)</f>
        <v>199</v>
      </c>
      <c r="M830" s="45">
        <f>VLOOKUP(B830,'NonXtal_SegEnds_Prot#'!A:AL,25,FALSE)</f>
        <v>199</v>
      </c>
      <c r="N830" s="45">
        <f>VLOOKUP(B830,'NonXtal_SegEnds_Prot#'!A:AL,26,FALSE)</f>
        <v>201</v>
      </c>
      <c r="O830" s="4" t="str">
        <f t="shared" si="79"/>
        <v>F</v>
      </c>
      <c r="P830" s="4"/>
      <c r="Q830" s="47" t="str">
        <f t="shared" si="75"/>
        <v/>
      </c>
      <c r="R830" s="27" t="str">
        <f t="shared" si="76"/>
        <v>C</v>
      </c>
      <c r="S830" s="19" t="str">
        <f t="shared" si="77"/>
        <v>DF</v>
      </c>
      <c r="Z830" s="4"/>
      <c r="AD830" s="1" t="s">
        <v>37</v>
      </c>
      <c r="AE830" s="1">
        <v>199</v>
      </c>
      <c r="AF830" s="1">
        <v>199</v>
      </c>
      <c r="AG830" s="1">
        <v>201</v>
      </c>
      <c r="AH830" s="1" t="s">
        <v>38</v>
      </c>
      <c r="AK830" s="4">
        <v>50</v>
      </c>
      <c r="AL830" s="4">
        <v>52</v>
      </c>
    </row>
    <row r="831" spans="1:38" x14ac:dyDescent="0.25">
      <c r="A831" s="1" t="str">
        <f t="shared" si="74"/>
        <v>ADRB1_melga_4BVN_ECL2</v>
      </c>
      <c r="B831" s="45" t="s">
        <v>235</v>
      </c>
      <c r="C831" s="45" t="s">
        <v>273</v>
      </c>
      <c r="D831" s="4" t="str">
        <f>VLOOKUP(B831,Classification!A:D,2,FALSE)</f>
        <v>A</v>
      </c>
      <c r="E831" s="4" t="str">
        <f>VLOOKUP(B831,Classification!A:D,3,FALSE)</f>
        <v>Aminergic</v>
      </c>
      <c r="F831" s="4" t="str">
        <f>VLOOKUP(B831,Classification!A:D,4,FALSE)</f>
        <v>Adrenoceptors</v>
      </c>
      <c r="G831" s="2">
        <v>8</v>
      </c>
      <c r="H831" s="45" t="s">
        <v>35</v>
      </c>
      <c r="I831" s="2" t="s">
        <v>1305</v>
      </c>
      <c r="J831" s="5" t="str">
        <f>VLOOKUP(B831,Seqs!A:B,2,FALSE)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31" s="4" t="str">
        <f t="shared" si="78"/>
        <v>C</v>
      </c>
      <c r="L831" s="45">
        <f>VLOOKUP(B831,'NonXtal_SegEnds_Prot#'!A:AL,24,FALSE)</f>
        <v>199</v>
      </c>
      <c r="M831" s="45">
        <f>VLOOKUP(B831,'NonXtal_SegEnds_Prot#'!A:AL,25,FALSE)</f>
        <v>199</v>
      </c>
      <c r="N831" s="45">
        <f>VLOOKUP(B831,'NonXtal_SegEnds_Prot#'!A:AL,26,FALSE)</f>
        <v>201</v>
      </c>
      <c r="O831" s="4" t="str">
        <f t="shared" si="79"/>
        <v>F</v>
      </c>
      <c r="P831" s="4"/>
      <c r="Q831" s="47" t="str">
        <f t="shared" si="75"/>
        <v/>
      </c>
      <c r="R831" s="27" t="str">
        <f t="shared" si="76"/>
        <v>C</v>
      </c>
      <c r="S831" s="19" t="str">
        <f t="shared" si="77"/>
        <v>DF</v>
      </c>
      <c r="Z831" s="4"/>
      <c r="AD831" s="1" t="s">
        <v>37</v>
      </c>
      <c r="AE831" s="1">
        <v>199</v>
      </c>
      <c r="AF831" s="1">
        <v>199</v>
      </c>
      <c r="AG831" s="1">
        <v>201</v>
      </c>
      <c r="AH831" s="1" t="s">
        <v>38</v>
      </c>
      <c r="AK831" s="4">
        <v>50</v>
      </c>
      <c r="AL831" s="4">
        <v>52</v>
      </c>
    </row>
    <row r="832" spans="1:38" x14ac:dyDescent="0.25">
      <c r="A832" s="1" t="str">
        <f t="shared" si="74"/>
        <v>ADRB2_human__wt_ECL2</v>
      </c>
      <c r="B832" s="45" t="s">
        <v>211</v>
      </c>
      <c r="C832" s="54" t="s">
        <v>294</v>
      </c>
      <c r="D832" s="4" t="str">
        <f>VLOOKUP(B832,Classification!A:D,2,FALSE)</f>
        <v>A</v>
      </c>
      <c r="E832" s="4" t="str">
        <f>VLOOKUP(B832,Classification!A:D,3,FALSE)</f>
        <v>Aminergic</v>
      </c>
      <c r="F832" s="4" t="str">
        <f>VLOOKUP(B832,Classification!A:D,4,FALSE)</f>
        <v>Adrenoceptors</v>
      </c>
      <c r="G832" s="2">
        <v>8</v>
      </c>
      <c r="H832" s="45" t="s">
        <v>35</v>
      </c>
      <c r="I832" s="2" t="s">
        <v>1305</v>
      </c>
      <c r="J832" s="5" t="str">
        <f>VLOOKUP(B832,Seqs!A:B,2,FALSE)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2" s="4" t="str">
        <f t="shared" si="78"/>
        <v>C</v>
      </c>
      <c r="L832" s="45">
        <f>VLOOKUP(B832,'NonXtal_SegEnds_Prot#'!A:AL,24,FALSE)</f>
        <v>191</v>
      </c>
      <c r="M832" s="45">
        <f>VLOOKUP(B832,'NonXtal_SegEnds_Prot#'!A:AL,25,FALSE)</f>
        <v>191</v>
      </c>
      <c r="N832" s="45">
        <f>VLOOKUP(B832,'NonXtal_SegEnds_Prot#'!A:AL,26,FALSE)</f>
        <v>193</v>
      </c>
      <c r="O832" s="4" t="str">
        <f t="shared" si="79"/>
        <v>F</v>
      </c>
      <c r="P832" s="4"/>
      <c r="Q832" s="47" t="str">
        <f t="shared" si="75"/>
        <v/>
      </c>
      <c r="R832" s="28" t="str">
        <f t="shared" si="76"/>
        <v>C</v>
      </c>
      <c r="S832" s="20" t="str">
        <f t="shared" si="77"/>
        <v>DF</v>
      </c>
      <c r="Z832" s="4" t="s">
        <v>64</v>
      </c>
      <c r="AD832" s="1" t="s">
        <v>37</v>
      </c>
      <c r="AE832" s="1">
        <v>191</v>
      </c>
      <c r="AF832" s="1">
        <v>191</v>
      </c>
      <c r="AG832" s="1">
        <v>193</v>
      </c>
      <c r="AH832" s="1" t="s">
        <v>38</v>
      </c>
      <c r="AK832" s="4">
        <v>50</v>
      </c>
      <c r="AL832" s="4">
        <v>52</v>
      </c>
    </row>
    <row r="833" spans="1:38" x14ac:dyDescent="0.25">
      <c r="A833" s="1" t="str">
        <f t="shared" si="74"/>
        <v>ADRB2_human_3D4S_ECL2</v>
      </c>
      <c r="B833" s="45" t="s">
        <v>211</v>
      </c>
      <c r="C833" s="45" t="s">
        <v>267</v>
      </c>
      <c r="D833" s="4" t="str">
        <f>VLOOKUP(B833,Classification!A:D,2,FALSE)</f>
        <v>A</v>
      </c>
      <c r="E833" s="4" t="str">
        <f>VLOOKUP(B833,Classification!A:D,3,FALSE)</f>
        <v>Aminergic</v>
      </c>
      <c r="F833" s="4" t="str">
        <f>VLOOKUP(B833,Classification!A:D,4,FALSE)</f>
        <v>Adrenoceptors</v>
      </c>
      <c r="G833" s="2">
        <v>8</v>
      </c>
      <c r="H833" s="45" t="s">
        <v>35</v>
      </c>
      <c r="I833" s="2" t="s">
        <v>1305</v>
      </c>
      <c r="J833" s="5" t="str">
        <f>VLOOKUP(B833,Seqs!A:B,2,FALSE)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3" s="4" t="str">
        <f t="shared" si="78"/>
        <v>C</v>
      </c>
      <c r="L833" s="45">
        <f>VLOOKUP(B833,'NonXtal_SegEnds_Prot#'!A:AL,24,FALSE)</f>
        <v>191</v>
      </c>
      <c r="M833" s="45">
        <f>VLOOKUP(B833,'NonXtal_SegEnds_Prot#'!A:AL,25,FALSE)</f>
        <v>191</v>
      </c>
      <c r="N833" s="45">
        <f>VLOOKUP(B833,'NonXtal_SegEnds_Prot#'!A:AL,26,FALSE)</f>
        <v>193</v>
      </c>
      <c r="O833" s="4" t="str">
        <f t="shared" si="79"/>
        <v>F</v>
      </c>
      <c r="P833" s="4"/>
      <c r="Q833" s="47" t="str">
        <f t="shared" si="75"/>
        <v/>
      </c>
      <c r="R833" s="27" t="str">
        <f t="shared" si="76"/>
        <v>C</v>
      </c>
      <c r="S833" s="19" t="str">
        <f t="shared" si="77"/>
        <v>DF</v>
      </c>
      <c r="Z833" s="4"/>
      <c r="AD833" s="1" t="s">
        <v>37</v>
      </c>
      <c r="AE833" s="1">
        <v>191</v>
      </c>
      <c r="AF833" s="1">
        <v>191</v>
      </c>
      <c r="AG833" s="1">
        <v>193</v>
      </c>
      <c r="AH833" s="1" t="s">
        <v>38</v>
      </c>
      <c r="AK833" s="4">
        <v>50</v>
      </c>
      <c r="AL833" s="4">
        <v>52</v>
      </c>
    </row>
    <row r="834" spans="1:38" x14ac:dyDescent="0.25">
      <c r="A834" s="1" t="str">
        <f t="shared" ref="A834:A897" si="80">CONCATENATE(B834,"_",C834,"_",H834)</f>
        <v>ADRB2_human_3P0G_ECL2</v>
      </c>
      <c r="B834" s="45" t="s">
        <v>211</v>
      </c>
      <c r="C834" s="45" t="s">
        <v>257</v>
      </c>
      <c r="D834" s="4" t="str">
        <f>VLOOKUP(B834,Classification!A:D,2,FALSE)</f>
        <v>A</v>
      </c>
      <c r="E834" s="4" t="str">
        <f>VLOOKUP(B834,Classification!A:D,3,FALSE)</f>
        <v>Aminergic</v>
      </c>
      <c r="F834" s="4" t="str">
        <f>VLOOKUP(B834,Classification!A:D,4,FALSE)</f>
        <v>Adrenoceptors</v>
      </c>
      <c r="G834" s="2">
        <v>8</v>
      </c>
      <c r="H834" s="45" t="s">
        <v>35</v>
      </c>
      <c r="I834" s="2" t="s">
        <v>1305</v>
      </c>
      <c r="J834" s="5" t="str">
        <f>VLOOKUP(B834,Seqs!A:B,2,FALSE)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4" s="4" t="str">
        <f t="shared" si="78"/>
        <v>C</v>
      </c>
      <c r="L834" s="45">
        <f>VLOOKUP(B834,'NonXtal_SegEnds_Prot#'!A:AL,24,FALSE)</f>
        <v>191</v>
      </c>
      <c r="M834" s="45">
        <f>VLOOKUP(B834,'NonXtal_SegEnds_Prot#'!A:AL,25,FALSE)</f>
        <v>191</v>
      </c>
      <c r="N834" s="45">
        <f>VLOOKUP(B834,'NonXtal_SegEnds_Prot#'!A:AL,26,FALSE)</f>
        <v>193</v>
      </c>
      <c r="O834" s="4" t="str">
        <f t="shared" si="79"/>
        <v>F</v>
      </c>
      <c r="P834" s="4"/>
      <c r="Q834" s="47" t="str">
        <f t="shared" ref="Q834:Q897" si="81">MID(J834,L834,M834-L834)</f>
        <v/>
      </c>
      <c r="R834" s="27" t="str">
        <f t="shared" ref="R834:R897" si="82">MID(J834,M834,1)</f>
        <v>C</v>
      </c>
      <c r="S834" s="19" t="str">
        <f t="shared" ref="S834:S897" si="83">MID(J834,M834+1,N834-M834)</f>
        <v>DF</v>
      </c>
      <c r="Z834" s="4"/>
      <c r="AD834" s="1" t="s">
        <v>37</v>
      </c>
      <c r="AE834" s="1">
        <v>191</v>
      </c>
      <c r="AF834" s="1">
        <v>191</v>
      </c>
      <c r="AG834" s="1">
        <v>193</v>
      </c>
      <c r="AH834" s="1" t="s">
        <v>38</v>
      </c>
      <c r="AK834" s="4">
        <v>50</v>
      </c>
      <c r="AL834" s="4">
        <v>52</v>
      </c>
    </row>
    <row r="835" spans="1:38" x14ac:dyDescent="0.25">
      <c r="A835" s="1" t="str">
        <f t="shared" si="80"/>
        <v>ADRB2_human_3SN6_ECL2</v>
      </c>
      <c r="B835" s="45" t="s">
        <v>211</v>
      </c>
      <c r="C835" s="45" t="s">
        <v>277</v>
      </c>
      <c r="D835" s="4" t="str">
        <f>VLOOKUP(B835,Classification!A:D,2,FALSE)</f>
        <v>A</v>
      </c>
      <c r="E835" s="4" t="str">
        <f>VLOOKUP(B835,Classification!A:D,3,FALSE)</f>
        <v>Aminergic</v>
      </c>
      <c r="F835" s="4" t="str">
        <f>VLOOKUP(B835,Classification!A:D,4,FALSE)</f>
        <v>Adrenoceptors</v>
      </c>
      <c r="G835" s="2">
        <v>8</v>
      </c>
      <c r="H835" s="45" t="s">
        <v>35</v>
      </c>
      <c r="I835" s="2" t="s">
        <v>1305</v>
      </c>
      <c r="J835" s="5" t="str">
        <f>VLOOKUP(B835,Seqs!A:B,2,FALSE)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5" s="4" t="str">
        <f t="shared" si="78"/>
        <v>C</v>
      </c>
      <c r="L835" s="45">
        <f>VLOOKUP(B835,'NonXtal_SegEnds_Prot#'!A:AL,24,FALSE)</f>
        <v>191</v>
      </c>
      <c r="M835" s="45">
        <f>VLOOKUP(B835,'NonXtal_SegEnds_Prot#'!A:AL,25,FALSE)</f>
        <v>191</v>
      </c>
      <c r="N835" s="45">
        <f>VLOOKUP(B835,'NonXtal_SegEnds_Prot#'!A:AL,26,FALSE)</f>
        <v>193</v>
      </c>
      <c r="O835" s="4" t="str">
        <f t="shared" si="79"/>
        <v>F</v>
      </c>
      <c r="P835" s="26" t="s">
        <v>1227</v>
      </c>
      <c r="Q835" s="47" t="str">
        <f t="shared" si="81"/>
        <v/>
      </c>
      <c r="R835" s="28" t="str">
        <f t="shared" si="82"/>
        <v>C</v>
      </c>
      <c r="S835" s="20" t="str">
        <f t="shared" si="83"/>
        <v>DF</v>
      </c>
      <c r="Z835" s="4" t="s">
        <v>64</v>
      </c>
      <c r="AD835" s="1" t="s">
        <v>37</v>
      </c>
      <c r="AE835" s="1">
        <v>191</v>
      </c>
      <c r="AF835" s="1">
        <v>191</v>
      </c>
      <c r="AG835" s="1">
        <v>193</v>
      </c>
      <c r="AH835" s="1" t="s">
        <v>38</v>
      </c>
      <c r="AK835" s="4">
        <v>50</v>
      </c>
      <c r="AL835" s="4">
        <v>52</v>
      </c>
    </row>
    <row r="836" spans="1:38" x14ac:dyDescent="0.25">
      <c r="A836" s="1" t="str">
        <f t="shared" si="80"/>
        <v>ADRB2_human_4LDE_ECL2</v>
      </c>
      <c r="B836" s="45" t="s">
        <v>211</v>
      </c>
      <c r="C836" s="45" t="s">
        <v>268</v>
      </c>
      <c r="D836" s="4" t="str">
        <f>VLOOKUP(B836,Classification!A:D,2,FALSE)</f>
        <v>A</v>
      </c>
      <c r="E836" s="4" t="str">
        <f>VLOOKUP(B836,Classification!A:D,3,FALSE)</f>
        <v>Aminergic</v>
      </c>
      <c r="F836" s="4" t="str">
        <f>VLOOKUP(B836,Classification!A:D,4,FALSE)</f>
        <v>Adrenoceptors</v>
      </c>
      <c r="G836" s="2">
        <v>8</v>
      </c>
      <c r="H836" s="45" t="s">
        <v>35</v>
      </c>
      <c r="I836" s="2" t="s">
        <v>1305</v>
      </c>
      <c r="J836" s="5" t="str">
        <f>VLOOKUP(B836,Seqs!A:B,2,FALSE)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6" s="4" t="str">
        <f t="shared" si="78"/>
        <v>C</v>
      </c>
      <c r="L836" s="45">
        <f>VLOOKUP(B836,'NonXtal_SegEnds_Prot#'!A:AL,24,FALSE)</f>
        <v>191</v>
      </c>
      <c r="M836" s="45">
        <f>VLOOKUP(B836,'NonXtal_SegEnds_Prot#'!A:AL,25,FALSE)</f>
        <v>191</v>
      </c>
      <c r="N836" s="45">
        <f>VLOOKUP(B836,'NonXtal_SegEnds_Prot#'!A:AL,26,FALSE)</f>
        <v>193</v>
      </c>
      <c r="O836" s="4" t="str">
        <f t="shared" si="79"/>
        <v>F</v>
      </c>
      <c r="P836" s="4"/>
      <c r="Q836" s="47" t="str">
        <f t="shared" si="81"/>
        <v/>
      </c>
      <c r="R836" s="27" t="str">
        <f t="shared" si="82"/>
        <v>C</v>
      </c>
      <c r="S836" s="19" t="str">
        <f t="shared" si="83"/>
        <v>DF</v>
      </c>
      <c r="Z836" s="4"/>
      <c r="AD836" s="1" t="s">
        <v>37</v>
      </c>
      <c r="AE836" s="1">
        <v>191</v>
      </c>
      <c r="AF836" s="1">
        <v>191</v>
      </c>
      <c r="AG836" s="1">
        <v>193</v>
      </c>
      <c r="AH836" s="1" t="s">
        <v>38</v>
      </c>
      <c r="AK836" s="4">
        <v>50</v>
      </c>
      <c r="AL836" s="4">
        <v>52</v>
      </c>
    </row>
    <row r="837" spans="1:38" x14ac:dyDescent="0.25">
      <c r="A837" s="1" t="str">
        <f t="shared" si="80"/>
        <v>ADRB2_human_4QKX_ECL2</v>
      </c>
      <c r="B837" s="45" t="s">
        <v>211</v>
      </c>
      <c r="C837" s="45" t="s">
        <v>269</v>
      </c>
      <c r="D837" s="4" t="str">
        <f>VLOOKUP(B837,Classification!A:D,2,FALSE)</f>
        <v>A</v>
      </c>
      <c r="E837" s="4" t="str">
        <f>VLOOKUP(B837,Classification!A:D,3,FALSE)</f>
        <v>Aminergic</v>
      </c>
      <c r="F837" s="4" t="str">
        <f>VLOOKUP(B837,Classification!A:D,4,FALSE)</f>
        <v>Adrenoceptors</v>
      </c>
      <c r="G837" s="2">
        <v>8</v>
      </c>
      <c r="H837" s="45" t="s">
        <v>35</v>
      </c>
      <c r="I837" s="2" t="s">
        <v>1305</v>
      </c>
      <c r="J837" s="5" t="str">
        <f>VLOOKUP(B837,Seqs!A:B,2,FALSE)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7" s="4" t="str">
        <f t="shared" si="78"/>
        <v>C</v>
      </c>
      <c r="L837" s="45">
        <f>VLOOKUP(B837,'NonXtal_SegEnds_Prot#'!A:AL,24,FALSE)</f>
        <v>191</v>
      </c>
      <c r="M837" s="45">
        <f>VLOOKUP(B837,'NonXtal_SegEnds_Prot#'!A:AL,25,FALSE)</f>
        <v>191</v>
      </c>
      <c r="N837" s="45">
        <f>VLOOKUP(B837,'NonXtal_SegEnds_Prot#'!A:AL,26,FALSE)</f>
        <v>193</v>
      </c>
      <c r="O837" s="4" t="str">
        <f t="shared" si="79"/>
        <v>F</v>
      </c>
      <c r="P837" s="4"/>
      <c r="Q837" s="47" t="str">
        <f t="shared" si="81"/>
        <v/>
      </c>
      <c r="R837" s="27" t="str">
        <f t="shared" si="82"/>
        <v>C</v>
      </c>
      <c r="S837" s="19" t="str">
        <f t="shared" si="83"/>
        <v>DF</v>
      </c>
      <c r="Z837" s="4"/>
      <c r="AD837" s="1" t="s">
        <v>37</v>
      </c>
      <c r="AE837" s="1">
        <v>191</v>
      </c>
      <c r="AF837" s="1">
        <v>191</v>
      </c>
      <c r="AG837" s="1">
        <v>193</v>
      </c>
      <c r="AH837" s="1" t="s">
        <v>38</v>
      </c>
      <c r="AK837" s="4">
        <v>50</v>
      </c>
      <c r="AL837" s="4">
        <v>52</v>
      </c>
    </row>
    <row r="838" spans="1:38" x14ac:dyDescent="0.25">
      <c r="A838" s="1" t="str">
        <f t="shared" si="80"/>
        <v>AGTR1_human__wt_ECL2</v>
      </c>
      <c r="B838" s="45" t="s">
        <v>212</v>
      </c>
      <c r="C838" s="45" t="s">
        <v>294</v>
      </c>
      <c r="D838" s="4" t="str">
        <f>VLOOKUP(B838,Classification!A:D,2,FALSE)</f>
        <v>A</v>
      </c>
      <c r="E838" s="4" t="str">
        <f>VLOOKUP(B838,Classification!A:D,3,FALSE)</f>
        <v>Peptide</v>
      </c>
      <c r="F838" s="4" t="str">
        <f>VLOOKUP(B838,Classification!A:D,4,FALSE)</f>
        <v>Angiotensin</v>
      </c>
      <c r="G838" s="2">
        <v>8</v>
      </c>
      <c r="H838" s="45" t="s">
        <v>35</v>
      </c>
      <c r="I838" s="2" t="s">
        <v>67</v>
      </c>
      <c r="J838" s="5" t="str">
        <f>VLOOKUP(B838,Seqs!A:B,2,FALSE)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838" s="4" t="str">
        <f t="shared" si="78"/>
        <v>C</v>
      </c>
      <c r="L838" s="45">
        <f>VLOOKUP(B838,'NonXtal_SegEnds_Prot#'!A:AL,24,FALSE)</f>
        <v>180</v>
      </c>
      <c r="M838" s="45">
        <f>VLOOKUP(B838,'NonXtal_SegEnds_Prot#'!A:AL,25,FALSE)</f>
        <v>180</v>
      </c>
      <c r="N838" s="45">
        <f>VLOOKUP(B838,'NonXtal_SegEnds_Prot#'!A:AL,26,FALSE)</f>
        <v>182</v>
      </c>
      <c r="O838" s="4" t="str">
        <f t="shared" si="79"/>
        <v>F</v>
      </c>
      <c r="P838" s="4"/>
      <c r="Q838" s="47" t="str">
        <f t="shared" si="81"/>
        <v/>
      </c>
      <c r="R838" s="27" t="str">
        <f t="shared" si="82"/>
        <v>C</v>
      </c>
      <c r="S838" s="19" t="str">
        <f t="shared" si="83"/>
        <v>AF</v>
      </c>
      <c r="Z838" s="4"/>
      <c r="AD838" s="1" t="s">
        <v>37</v>
      </c>
      <c r="AE838" s="1">
        <v>180</v>
      </c>
      <c r="AF838" s="1">
        <v>180</v>
      </c>
      <c r="AG838" s="1">
        <v>182</v>
      </c>
      <c r="AH838" s="1" t="s">
        <v>38</v>
      </c>
      <c r="AK838" s="4">
        <v>50</v>
      </c>
      <c r="AL838" s="4">
        <v>52</v>
      </c>
    </row>
    <row r="839" spans="1:38" x14ac:dyDescent="0.25">
      <c r="A839" s="1" t="str">
        <f t="shared" si="80"/>
        <v>AGTR1_human_4YAY_ECL2</v>
      </c>
      <c r="B839" s="45" t="s">
        <v>212</v>
      </c>
      <c r="C839" s="45" t="s">
        <v>260</v>
      </c>
      <c r="D839" s="4" t="str">
        <f>VLOOKUP(B839,Classification!A:D,2,FALSE)</f>
        <v>A</v>
      </c>
      <c r="E839" s="4" t="str">
        <f>VLOOKUP(B839,Classification!A:D,3,FALSE)</f>
        <v>Peptide</v>
      </c>
      <c r="F839" s="4" t="str">
        <f>VLOOKUP(B839,Classification!A:D,4,FALSE)</f>
        <v>Angiotensin</v>
      </c>
      <c r="G839" s="2">
        <v>8</v>
      </c>
      <c r="H839" s="45" t="s">
        <v>35</v>
      </c>
      <c r="I839" s="2" t="s">
        <v>67</v>
      </c>
      <c r="J839" s="5" t="str">
        <f>VLOOKUP(B839,Seqs!A:B,2,FALSE)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839" s="4" t="str">
        <f t="shared" si="78"/>
        <v>C</v>
      </c>
      <c r="L839" s="45">
        <f>VLOOKUP(B839,'NonXtal_SegEnds_Prot#'!A:AL,24,FALSE)</f>
        <v>180</v>
      </c>
      <c r="M839" s="45">
        <f>VLOOKUP(B839,'NonXtal_SegEnds_Prot#'!A:AL,25,FALSE)</f>
        <v>180</v>
      </c>
      <c r="N839" s="45">
        <f>VLOOKUP(B839,'NonXtal_SegEnds_Prot#'!A:AL,26,FALSE)</f>
        <v>182</v>
      </c>
      <c r="O839" s="4" t="str">
        <f t="shared" si="79"/>
        <v>F</v>
      </c>
      <c r="P839" s="26" t="s">
        <v>1227</v>
      </c>
      <c r="Q839" s="47" t="str">
        <f t="shared" si="81"/>
        <v/>
      </c>
      <c r="R839" s="28" t="str">
        <f t="shared" si="82"/>
        <v>C</v>
      </c>
      <c r="S839" s="20" t="str">
        <f t="shared" si="83"/>
        <v>AF</v>
      </c>
      <c r="Z839" s="4"/>
      <c r="AD839" s="1" t="s">
        <v>37</v>
      </c>
      <c r="AE839" s="1">
        <v>180</v>
      </c>
      <c r="AF839" s="1">
        <v>180</v>
      </c>
      <c r="AG839" s="1">
        <v>182</v>
      </c>
      <c r="AH839" s="1" t="s">
        <v>38</v>
      </c>
      <c r="AK839" s="4">
        <v>50</v>
      </c>
      <c r="AL839" s="4">
        <v>52</v>
      </c>
    </row>
    <row r="840" spans="1:38" x14ac:dyDescent="0.25">
      <c r="A840" s="1" t="str">
        <f t="shared" si="80"/>
        <v>CCR5_human__wt_ECL2</v>
      </c>
      <c r="B840" s="45" t="s">
        <v>221</v>
      </c>
      <c r="C840" s="45" t="s">
        <v>294</v>
      </c>
      <c r="D840" s="4" t="str">
        <f>VLOOKUP(B840,Classification!A:D,2,FALSE)</f>
        <v>A</v>
      </c>
      <c r="E840" s="4" t="str">
        <f>VLOOKUP(B840,Classification!A:D,3,FALSE)</f>
        <v>Protein</v>
      </c>
      <c r="F840" s="4" t="str">
        <f>VLOOKUP(B840,Classification!A:D,4,FALSE)</f>
        <v>Chemokine</v>
      </c>
      <c r="G840" s="2">
        <v>8</v>
      </c>
      <c r="H840" s="45" t="s">
        <v>35</v>
      </c>
      <c r="I840" s="2" t="s">
        <v>67</v>
      </c>
      <c r="J840" s="5" t="str">
        <f>VLOOKUP(B840,Seqs!A:B,2,FALSE)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840" s="4" t="str">
        <f t="shared" si="78"/>
        <v>C</v>
      </c>
      <c r="L840" s="45">
        <f>VLOOKUP(B840,'NonXtal_SegEnds_Prot#'!A:AL,24,FALSE)</f>
        <v>178</v>
      </c>
      <c r="M840" s="45">
        <f>VLOOKUP(B840,'NonXtal_SegEnds_Prot#'!A:AL,25,FALSE)</f>
        <v>178</v>
      </c>
      <c r="N840" s="45">
        <f>VLOOKUP(B840,'NonXtal_SegEnds_Prot#'!A:AL,26,FALSE)</f>
        <v>180</v>
      </c>
      <c r="O840" s="4" t="str">
        <f t="shared" si="79"/>
        <v>S</v>
      </c>
      <c r="P840" s="4"/>
      <c r="Q840" s="47" t="str">
        <f t="shared" si="81"/>
        <v/>
      </c>
      <c r="R840" s="27" t="str">
        <f t="shared" si="82"/>
        <v>C</v>
      </c>
      <c r="S840" s="19" t="str">
        <f t="shared" si="83"/>
        <v>SS</v>
      </c>
      <c r="Z840" s="4"/>
      <c r="AD840" s="1" t="s">
        <v>37</v>
      </c>
      <c r="AE840" s="1">
        <v>178</v>
      </c>
      <c r="AF840" s="1">
        <v>178</v>
      </c>
      <c r="AG840" s="1">
        <v>180</v>
      </c>
      <c r="AH840" s="1" t="s">
        <v>38</v>
      </c>
      <c r="AK840" s="4">
        <v>50</v>
      </c>
      <c r="AL840" s="4">
        <v>52</v>
      </c>
    </row>
    <row r="841" spans="1:38" x14ac:dyDescent="0.25">
      <c r="A841" s="1" t="str">
        <f t="shared" si="80"/>
        <v>CCR5_human_4MBS_ECL2</v>
      </c>
      <c r="B841" s="45" t="s">
        <v>221</v>
      </c>
      <c r="C841" s="45" t="s">
        <v>265</v>
      </c>
      <c r="D841" s="4" t="str">
        <f>VLOOKUP(B841,Classification!A:D,2,FALSE)</f>
        <v>A</v>
      </c>
      <c r="E841" s="4" t="str">
        <f>VLOOKUP(B841,Classification!A:D,3,FALSE)</f>
        <v>Protein</v>
      </c>
      <c r="F841" s="4" t="str">
        <f>VLOOKUP(B841,Classification!A:D,4,FALSE)</f>
        <v>Chemokine</v>
      </c>
      <c r="G841" s="2">
        <v>8</v>
      </c>
      <c r="H841" s="45" t="s">
        <v>35</v>
      </c>
      <c r="I841" s="2" t="s">
        <v>67</v>
      </c>
      <c r="J841" s="5" t="str">
        <f>VLOOKUP(B841,Seqs!A:B,2,FALSE)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841" s="4" t="str">
        <f t="shared" si="78"/>
        <v>C</v>
      </c>
      <c r="L841" s="45">
        <f>VLOOKUP(B841,'NonXtal_SegEnds_Prot#'!A:AL,24,FALSE)</f>
        <v>178</v>
      </c>
      <c r="M841" s="45">
        <f>VLOOKUP(B841,'NonXtal_SegEnds_Prot#'!A:AL,25,FALSE)</f>
        <v>178</v>
      </c>
      <c r="N841" s="45">
        <f>VLOOKUP(B841,'NonXtal_SegEnds_Prot#'!A:AL,26,FALSE)</f>
        <v>180</v>
      </c>
      <c r="O841" s="4" t="str">
        <f t="shared" si="79"/>
        <v>S</v>
      </c>
      <c r="P841" s="4"/>
      <c r="Q841" s="47" t="str">
        <f t="shared" si="81"/>
        <v/>
      </c>
      <c r="R841" s="27" t="str">
        <f t="shared" si="82"/>
        <v>C</v>
      </c>
      <c r="S841" s="19" t="str">
        <f t="shared" si="83"/>
        <v>SS</v>
      </c>
      <c r="Z841" s="4"/>
      <c r="AD841" s="1" t="s">
        <v>37</v>
      </c>
      <c r="AE841" s="1">
        <v>178</v>
      </c>
      <c r="AF841" s="1">
        <v>178</v>
      </c>
      <c r="AG841" s="1">
        <v>180</v>
      </c>
      <c r="AH841" s="1" t="s">
        <v>38</v>
      </c>
      <c r="AK841" s="4">
        <v>50</v>
      </c>
      <c r="AL841" s="4">
        <v>52</v>
      </c>
    </row>
    <row r="842" spans="1:38" x14ac:dyDescent="0.25">
      <c r="A842" s="1" t="str">
        <f t="shared" si="80"/>
        <v>crfr1_human__wt_ECL2</v>
      </c>
      <c r="B842" s="45" t="s">
        <v>213</v>
      </c>
      <c r="C842" s="45" t="s">
        <v>294</v>
      </c>
      <c r="D842" s="4" t="str">
        <f>VLOOKUP(B842,Classification!A:D,2,FALSE)</f>
        <v>B1</v>
      </c>
      <c r="E842" s="4" t="str">
        <f>VLOOKUP(B842,Classification!A:D,3,FALSE)</f>
        <v>Peptide</v>
      </c>
      <c r="F842" s="4" t="str">
        <f>VLOOKUP(B842,Classification!A:D,4,FALSE)</f>
        <v>Corticotropin-releasingfact</v>
      </c>
      <c r="G842" s="2">
        <v>8</v>
      </c>
      <c r="H842" s="45" t="s">
        <v>35</v>
      </c>
      <c r="I842" s="2" t="s">
        <v>36</v>
      </c>
      <c r="J842" s="5" t="str">
        <f>VLOOKUP(B842,Seqs!A:B,2,FALSE)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842" s="4" t="str">
        <f t="shared" si="78"/>
        <v>C</v>
      </c>
      <c r="L842" s="45">
        <f>VLOOKUP(B842,'NonXtal_SegEnds_Prot#'!A:AL,24,FALSE)</f>
        <v>258</v>
      </c>
      <c r="M842" s="45">
        <f>VLOOKUP(B842,'NonXtal_SegEnds_Prot#'!A:AL,25,FALSE)</f>
        <v>258</v>
      </c>
      <c r="N842" s="45">
        <f>VLOOKUP(B842,'NonXtal_SegEnds_Prot#'!A:AL,26,FALSE)</f>
        <v>260</v>
      </c>
      <c r="O842" s="4" t="str">
        <f t="shared" si="79"/>
        <v>F</v>
      </c>
      <c r="P842" s="4"/>
      <c r="Q842" s="47" t="str">
        <f t="shared" si="81"/>
        <v/>
      </c>
      <c r="R842" s="27" t="str">
        <f t="shared" si="82"/>
        <v>C</v>
      </c>
      <c r="S842" s="19" t="str">
        <f t="shared" si="83"/>
        <v>WF</v>
      </c>
      <c r="Z842" s="4"/>
      <c r="AD842" s="1" t="s">
        <v>37</v>
      </c>
      <c r="AE842" s="1">
        <v>258</v>
      </c>
      <c r="AF842" s="1">
        <v>258</v>
      </c>
      <c r="AG842" s="1">
        <v>260</v>
      </c>
      <c r="AH842" s="1" t="s">
        <v>38</v>
      </c>
      <c r="AK842" s="4">
        <v>50</v>
      </c>
      <c r="AL842" s="4">
        <v>52</v>
      </c>
    </row>
    <row r="843" spans="1:38" x14ac:dyDescent="0.25">
      <c r="A843" s="1" t="str">
        <f t="shared" si="80"/>
        <v>crfr1_human_4K5Y_ECL2</v>
      </c>
      <c r="B843" s="45" t="s">
        <v>213</v>
      </c>
      <c r="C843" s="45" t="s">
        <v>288</v>
      </c>
      <c r="D843" s="4" t="str">
        <f>VLOOKUP(B843,Classification!A:D,2,FALSE)</f>
        <v>B1</v>
      </c>
      <c r="E843" s="4" t="str">
        <f>VLOOKUP(B843,Classification!A:D,3,FALSE)</f>
        <v>Peptide</v>
      </c>
      <c r="F843" s="4" t="str">
        <f>VLOOKUP(B843,Classification!A:D,4,FALSE)</f>
        <v>Corticotropin-releasingfact</v>
      </c>
      <c r="G843" s="2">
        <v>8</v>
      </c>
      <c r="H843" s="45" t="s">
        <v>35</v>
      </c>
      <c r="I843" s="2" t="s">
        <v>36</v>
      </c>
      <c r="J843" s="5" t="str">
        <f>VLOOKUP(B843,Seqs!A:B,2,FALSE)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843" s="4" t="str">
        <f t="shared" si="78"/>
        <v>C</v>
      </c>
      <c r="L843" s="45">
        <f>VLOOKUP(B843,'NonXtal_SegEnds_Prot#'!A:AL,24,FALSE)</f>
        <v>258</v>
      </c>
      <c r="M843" s="45">
        <f>VLOOKUP(B843,'NonXtal_SegEnds_Prot#'!A:AL,25,FALSE)</f>
        <v>258</v>
      </c>
      <c r="N843" s="45">
        <f>VLOOKUP(B843,'NonXtal_SegEnds_Prot#'!A:AL,26,FALSE)</f>
        <v>260</v>
      </c>
      <c r="O843" s="4" t="str">
        <f t="shared" si="79"/>
        <v>F</v>
      </c>
      <c r="P843" s="4"/>
      <c r="Q843" s="47" t="str">
        <f t="shared" si="81"/>
        <v/>
      </c>
      <c r="R843" s="27" t="str">
        <f t="shared" si="82"/>
        <v>C</v>
      </c>
      <c r="S843" s="19" t="str">
        <f t="shared" si="83"/>
        <v>WF</v>
      </c>
      <c r="Z843" s="4"/>
      <c r="AD843" s="1" t="s">
        <v>37</v>
      </c>
      <c r="AE843" s="1">
        <v>258</v>
      </c>
      <c r="AF843" s="1">
        <v>258</v>
      </c>
      <c r="AG843" s="1">
        <v>260</v>
      </c>
      <c r="AH843" s="1" t="s">
        <v>38</v>
      </c>
      <c r="AK843" s="4">
        <v>50</v>
      </c>
      <c r="AL843" s="4">
        <v>52</v>
      </c>
    </row>
    <row r="844" spans="1:38" x14ac:dyDescent="0.25">
      <c r="A844" s="1" t="str">
        <f t="shared" si="80"/>
        <v>CXCR4_human__wt_ECL2</v>
      </c>
      <c r="B844" s="45" t="s">
        <v>1237</v>
      </c>
      <c r="C844" s="45" t="s">
        <v>294</v>
      </c>
      <c r="D844" s="4" t="str">
        <f>VLOOKUP(B844,Classification!A:D,2,FALSE)</f>
        <v>A</v>
      </c>
      <c r="E844" s="4" t="str">
        <f>VLOOKUP(B844,Classification!A:D,3,FALSE)</f>
        <v>Protein</v>
      </c>
      <c r="F844" s="4" t="str">
        <f>VLOOKUP(B844,Classification!A:D,4,FALSE)</f>
        <v>Chemokine</v>
      </c>
      <c r="G844" s="2">
        <v>8</v>
      </c>
      <c r="H844" s="45" t="s">
        <v>35</v>
      </c>
      <c r="I844" s="2" t="s">
        <v>67</v>
      </c>
      <c r="J844" s="5" t="str">
        <f>VLOOKUP(B844,Seqs!A:B,2,FALSE)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844" s="4" t="str">
        <f t="shared" si="78"/>
        <v>C</v>
      </c>
      <c r="L844" s="45">
        <f>VLOOKUP(B844,'NonXtal_SegEnds_Prot#'!A:AL,24,FALSE)</f>
        <v>186</v>
      </c>
      <c r="M844" s="45">
        <f>VLOOKUP(B844,'NonXtal_SegEnds_Prot#'!A:AL,25,FALSE)</f>
        <v>186</v>
      </c>
      <c r="N844" s="45">
        <f>VLOOKUP(B844,'NonXtal_SegEnds_Prot#'!A:AL,26,FALSE)</f>
        <v>188</v>
      </c>
      <c r="O844" s="4" t="str">
        <f t="shared" si="79"/>
        <v>R</v>
      </c>
      <c r="P844" s="4"/>
      <c r="Q844" s="47" t="str">
        <f t="shared" si="81"/>
        <v/>
      </c>
      <c r="R844" s="27" t="str">
        <f t="shared" si="82"/>
        <v>C</v>
      </c>
      <c r="S844" s="19" t="str">
        <f t="shared" si="83"/>
        <v>DR</v>
      </c>
      <c r="Z844" s="4"/>
      <c r="AD844" s="1" t="s">
        <v>37</v>
      </c>
      <c r="AE844" s="1">
        <v>186</v>
      </c>
      <c r="AF844" s="1">
        <v>186</v>
      </c>
      <c r="AG844" s="1">
        <v>188</v>
      </c>
      <c r="AH844" s="1" t="s">
        <v>38</v>
      </c>
      <c r="AK844" s="4">
        <v>50</v>
      </c>
      <c r="AL844" s="4">
        <v>52</v>
      </c>
    </row>
    <row r="845" spans="1:38" x14ac:dyDescent="0.25">
      <c r="A845" s="1" t="str">
        <f t="shared" si="80"/>
        <v>CXCR4_human_3ODU_ECL2</v>
      </c>
      <c r="B845" s="45" t="s">
        <v>1237</v>
      </c>
      <c r="C845" s="45" t="s">
        <v>254</v>
      </c>
      <c r="D845" s="4" t="str">
        <f>VLOOKUP(B845,Classification!A:D,2,FALSE)</f>
        <v>A</v>
      </c>
      <c r="E845" s="4" t="str">
        <f>VLOOKUP(B845,Classification!A:D,3,FALSE)</f>
        <v>Protein</v>
      </c>
      <c r="F845" s="4" t="str">
        <f>VLOOKUP(B845,Classification!A:D,4,FALSE)</f>
        <v>Chemokine</v>
      </c>
      <c r="G845" s="2">
        <v>8</v>
      </c>
      <c r="H845" s="45" t="s">
        <v>35</v>
      </c>
      <c r="I845" s="2" t="s">
        <v>67</v>
      </c>
      <c r="J845" s="5" t="str">
        <f>VLOOKUP(B845,Seqs!A:B,2,FALSE)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845" s="4" t="str">
        <f t="shared" si="78"/>
        <v>C</v>
      </c>
      <c r="L845" s="45">
        <f>VLOOKUP(B845,'NonXtal_SegEnds_Prot#'!A:AL,24,FALSE)</f>
        <v>186</v>
      </c>
      <c r="M845" s="45">
        <f>VLOOKUP(B845,'NonXtal_SegEnds_Prot#'!A:AL,25,FALSE)</f>
        <v>186</v>
      </c>
      <c r="N845" s="45">
        <f>VLOOKUP(B845,'NonXtal_SegEnds_Prot#'!A:AL,26,FALSE)</f>
        <v>188</v>
      </c>
      <c r="O845" s="4" t="str">
        <f t="shared" si="79"/>
        <v>R</v>
      </c>
      <c r="P845" s="4"/>
      <c r="Q845" s="47" t="str">
        <f t="shared" si="81"/>
        <v/>
      </c>
      <c r="R845" s="27" t="str">
        <f t="shared" si="82"/>
        <v>C</v>
      </c>
      <c r="S845" s="19" t="str">
        <f t="shared" si="83"/>
        <v>DR</v>
      </c>
      <c r="Z845" s="4"/>
      <c r="AD845" s="1" t="s">
        <v>37</v>
      </c>
      <c r="AE845" s="1">
        <v>186</v>
      </c>
      <c r="AF845" s="1">
        <v>186</v>
      </c>
      <c r="AG845" s="1">
        <v>188</v>
      </c>
      <c r="AH845" s="1" t="s">
        <v>38</v>
      </c>
      <c r="AK845" s="4">
        <v>50</v>
      </c>
      <c r="AL845" s="4">
        <v>52</v>
      </c>
    </row>
    <row r="846" spans="1:38" x14ac:dyDescent="0.25">
      <c r="A846" s="1" t="str">
        <f t="shared" si="80"/>
        <v>DRD3_human__wt_ECL2</v>
      </c>
      <c r="B846" s="45" t="s">
        <v>222</v>
      </c>
      <c r="C846" s="45" t="s">
        <v>294</v>
      </c>
      <c r="D846" s="4" t="str">
        <f>VLOOKUP(B846,Classification!A:D,2,FALSE)</f>
        <v>A</v>
      </c>
      <c r="E846" s="4" t="str">
        <f>VLOOKUP(B846,Classification!A:D,3,FALSE)</f>
        <v>Aminergic</v>
      </c>
      <c r="F846" s="4" t="str">
        <f>VLOOKUP(B846,Classification!A:D,4,FALSE)</f>
        <v>Dopamine</v>
      </c>
      <c r="G846" s="2">
        <v>8</v>
      </c>
      <c r="H846" s="45" t="s">
        <v>35</v>
      </c>
      <c r="I846" s="2" t="s">
        <v>36</v>
      </c>
      <c r="J846" s="5" t="str">
        <f>VLOOKUP(B846,Seqs!A:B,2,FALSE)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846" s="4" t="str">
        <f t="shared" si="78"/>
        <v>C</v>
      </c>
      <c r="L846" s="45">
        <f>VLOOKUP(B846,'NonXtal_SegEnds_Prot#'!A:AL,24,FALSE)</f>
        <v>181</v>
      </c>
      <c r="M846" s="45">
        <f>VLOOKUP(B846,'NonXtal_SegEnds_Prot#'!A:AL,25,FALSE)</f>
        <v>181</v>
      </c>
      <c r="N846" s="45">
        <f>VLOOKUP(B846,'NonXtal_SegEnds_Prot#'!A:AL,26,FALSE)</f>
        <v>183</v>
      </c>
      <c r="O846" s="4" t="str">
        <f t="shared" si="79"/>
        <v>I</v>
      </c>
      <c r="P846" s="4"/>
      <c r="Q846" s="47" t="str">
        <f t="shared" si="81"/>
        <v/>
      </c>
      <c r="R846" s="27" t="str">
        <f t="shared" si="82"/>
        <v>C</v>
      </c>
      <c r="S846" s="19" t="str">
        <f t="shared" si="83"/>
        <v>SI</v>
      </c>
      <c r="Z846" s="4"/>
      <c r="AD846" s="1" t="s">
        <v>37</v>
      </c>
      <c r="AE846" s="1">
        <v>181</v>
      </c>
      <c r="AF846" s="1">
        <v>181</v>
      </c>
      <c r="AG846" s="1">
        <v>183</v>
      </c>
      <c r="AH846" s="1" t="s">
        <v>38</v>
      </c>
      <c r="AK846" s="4">
        <v>50</v>
      </c>
      <c r="AL846" s="4">
        <v>52</v>
      </c>
    </row>
    <row r="847" spans="1:38" x14ac:dyDescent="0.25">
      <c r="A847" s="1" t="str">
        <f t="shared" si="80"/>
        <v>DRD3_human_3PBL_ECL2</v>
      </c>
      <c r="B847" s="45" t="s">
        <v>222</v>
      </c>
      <c r="C847" s="45" t="s">
        <v>263</v>
      </c>
      <c r="D847" s="4" t="str">
        <f>VLOOKUP(B847,Classification!A:D,2,FALSE)</f>
        <v>A</v>
      </c>
      <c r="E847" s="4" t="str">
        <f>VLOOKUP(B847,Classification!A:D,3,FALSE)</f>
        <v>Aminergic</v>
      </c>
      <c r="F847" s="4" t="str">
        <f>VLOOKUP(B847,Classification!A:D,4,FALSE)</f>
        <v>Dopamine</v>
      </c>
      <c r="G847" s="2">
        <v>8</v>
      </c>
      <c r="H847" s="45" t="s">
        <v>35</v>
      </c>
      <c r="I847" s="2" t="s">
        <v>36</v>
      </c>
      <c r="J847" s="5" t="str">
        <f>VLOOKUP(B847,Seqs!A:B,2,FALSE)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847" s="4" t="str">
        <f t="shared" si="78"/>
        <v>C</v>
      </c>
      <c r="L847" s="45">
        <f>VLOOKUP(B847,'NonXtal_SegEnds_Prot#'!A:AL,24,FALSE)</f>
        <v>181</v>
      </c>
      <c r="M847" s="45">
        <f>VLOOKUP(B847,'NonXtal_SegEnds_Prot#'!A:AL,25,FALSE)</f>
        <v>181</v>
      </c>
      <c r="N847" s="45">
        <f>VLOOKUP(B847,'NonXtal_SegEnds_Prot#'!A:AL,26,FALSE)</f>
        <v>183</v>
      </c>
      <c r="O847" s="4" t="str">
        <f t="shared" si="79"/>
        <v>I</v>
      </c>
      <c r="P847" s="4"/>
      <c r="Q847" s="47" t="str">
        <f t="shared" si="81"/>
        <v/>
      </c>
      <c r="R847" s="27" t="str">
        <f t="shared" si="82"/>
        <v>C</v>
      </c>
      <c r="S847" s="19" t="str">
        <f t="shared" si="83"/>
        <v>SI</v>
      </c>
      <c r="Z847" s="4"/>
      <c r="AD847" s="1" t="s">
        <v>37</v>
      </c>
      <c r="AE847" s="1">
        <v>181</v>
      </c>
      <c r="AF847" s="1">
        <v>181</v>
      </c>
      <c r="AG847" s="1">
        <v>183</v>
      </c>
      <c r="AH847" s="1" t="s">
        <v>38</v>
      </c>
      <c r="AK847" s="4">
        <v>50</v>
      </c>
      <c r="AL847" s="4">
        <v>52</v>
      </c>
    </row>
    <row r="848" spans="1:38" x14ac:dyDescent="0.25">
      <c r="A848" s="1" t="str">
        <f t="shared" si="80"/>
        <v>FFAR1_human__wt_ECL2</v>
      </c>
      <c r="B848" s="45" t="s">
        <v>1368</v>
      </c>
      <c r="C848" s="45" t="s">
        <v>294</v>
      </c>
      <c r="D848" s="4" t="str">
        <f>VLOOKUP(B848,Classification!A:D,2,FALSE)</f>
        <v>A</v>
      </c>
      <c r="E848" s="4" t="str">
        <f>VLOOKUP(B848,Classification!A:D,3,FALSE)</f>
        <v>Lipid</v>
      </c>
      <c r="F848" s="4" t="str">
        <f>VLOOKUP(B848,Classification!A:D,4,FALSE)</f>
        <v>Freefattyacid</v>
      </c>
      <c r="G848" s="2">
        <v>8</v>
      </c>
      <c r="H848" s="45" t="s">
        <v>35</v>
      </c>
      <c r="I848" s="2" t="s">
        <v>67</v>
      </c>
      <c r="J848" s="5" t="str">
        <f>VLOOKUP(B848,Seqs!A:B,2,FALSE)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848" s="4" t="str">
        <f t="shared" ref="K848:K911" si="84">MID(J848,L848,1)</f>
        <v>C</v>
      </c>
      <c r="L848" s="45">
        <f>VLOOKUP(B848,'NonXtal_SegEnds_Prot#'!A:AL,24,FALSE)</f>
        <v>170</v>
      </c>
      <c r="M848" s="45">
        <f>VLOOKUP(B848,'NonXtal_SegEnds_Prot#'!A:AL,25,FALSE)</f>
        <v>170</v>
      </c>
      <c r="N848" s="45">
        <f>VLOOKUP(B848,'NonXtal_SegEnds_Prot#'!A:AL,26,FALSE)</f>
        <v>172</v>
      </c>
      <c r="O848" s="4" t="str">
        <f t="shared" si="79"/>
        <v>E</v>
      </c>
      <c r="P848" s="4"/>
      <c r="Q848" s="47" t="str">
        <f t="shared" si="81"/>
        <v/>
      </c>
      <c r="R848" s="27" t="str">
        <f t="shared" si="82"/>
        <v>C</v>
      </c>
      <c r="S848" s="19" t="str">
        <f t="shared" si="83"/>
        <v>LE</v>
      </c>
      <c r="Z848" s="4"/>
      <c r="AD848" s="1" t="s">
        <v>37</v>
      </c>
      <c r="AE848" s="1">
        <v>170</v>
      </c>
      <c r="AF848" s="1">
        <v>170</v>
      </c>
      <c r="AG848" s="1">
        <v>172</v>
      </c>
      <c r="AH848" s="1" t="s">
        <v>38</v>
      </c>
      <c r="AK848" s="4">
        <v>50</v>
      </c>
      <c r="AL848" s="4">
        <v>52</v>
      </c>
    </row>
    <row r="849" spans="1:38" x14ac:dyDescent="0.25">
      <c r="A849" s="1" t="str">
        <f t="shared" si="80"/>
        <v>FFAR1_human_4PHU_ECL2</v>
      </c>
      <c r="B849" s="45" t="s">
        <v>1368</v>
      </c>
      <c r="C849" s="45" t="s">
        <v>241</v>
      </c>
      <c r="D849" s="4" t="str">
        <f>VLOOKUP(B849,Classification!A:D,2,FALSE)</f>
        <v>A</v>
      </c>
      <c r="E849" s="4" t="str">
        <f>VLOOKUP(B849,Classification!A:D,3,FALSE)</f>
        <v>Lipid</v>
      </c>
      <c r="F849" s="4" t="str">
        <f>VLOOKUP(B849,Classification!A:D,4,FALSE)</f>
        <v>Freefattyacid</v>
      </c>
      <c r="G849" s="2">
        <v>8</v>
      </c>
      <c r="H849" s="45" t="s">
        <v>35</v>
      </c>
      <c r="I849" s="2" t="s">
        <v>67</v>
      </c>
      <c r="J849" s="5" t="str">
        <f>VLOOKUP(B849,Seqs!A:B,2,FALSE)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849" s="4" t="str">
        <f t="shared" si="84"/>
        <v>C</v>
      </c>
      <c r="L849" s="45">
        <f>VLOOKUP(B849,'NonXtal_SegEnds_Prot#'!A:AL,24,FALSE)</f>
        <v>170</v>
      </c>
      <c r="M849" s="45">
        <f>VLOOKUP(B849,'NonXtal_SegEnds_Prot#'!A:AL,25,FALSE)</f>
        <v>170</v>
      </c>
      <c r="N849" s="45">
        <f>VLOOKUP(B849,'NonXtal_SegEnds_Prot#'!A:AL,26,FALSE)</f>
        <v>172</v>
      </c>
      <c r="O849" s="4" t="str">
        <f t="shared" si="79"/>
        <v>E</v>
      </c>
      <c r="P849" s="4"/>
      <c r="Q849" s="47" t="str">
        <f t="shared" si="81"/>
        <v/>
      </c>
      <c r="R849" s="27" t="str">
        <f t="shared" si="82"/>
        <v>C</v>
      </c>
      <c r="S849" s="19" t="str">
        <f t="shared" si="83"/>
        <v>LE</v>
      </c>
      <c r="Z849" s="4"/>
      <c r="AD849" s="1" t="s">
        <v>37</v>
      </c>
      <c r="AE849" s="1">
        <v>170</v>
      </c>
      <c r="AF849" s="1">
        <v>170</v>
      </c>
      <c r="AG849" s="1">
        <v>172</v>
      </c>
      <c r="AH849" s="1" t="s">
        <v>38</v>
      </c>
      <c r="AK849" s="4">
        <v>50</v>
      </c>
      <c r="AL849" s="4">
        <v>52</v>
      </c>
    </row>
    <row r="850" spans="1:38" x14ac:dyDescent="0.25">
      <c r="A850" s="1" t="str">
        <f t="shared" si="80"/>
        <v>glr_human__wt_ECL2</v>
      </c>
      <c r="B850" s="45" t="s">
        <v>206</v>
      </c>
      <c r="C850" s="45" t="s">
        <v>294</v>
      </c>
      <c r="D850" s="4" t="str">
        <f>VLOOKUP(B850,Classification!A:D,2,FALSE)</f>
        <v>B1</v>
      </c>
      <c r="E850" s="4" t="str">
        <f>VLOOKUP(B850,Classification!A:D,3,FALSE)</f>
        <v>Peptide</v>
      </c>
      <c r="F850" s="4" t="str">
        <f>VLOOKUP(B850,Classification!A:D,4,FALSE)</f>
        <v>Glucagonreceptorfamily</v>
      </c>
      <c r="G850" s="2">
        <v>8</v>
      </c>
      <c r="H850" s="45" t="s">
        <v>35</v>
      </c>
      <c r="I850" s="2" t="s">
        <v>36</v>
      </c>
      <c r="J850" s="5" t="str">
        <f>VLOOKUP(B850,Seqs!A:B,2,FALSE)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850" s="4" t="str">
        <f t="shared" si="84"/>
        <v>C</v>
      </c>
      <c r="L850" s="45">
        <f>VLOOKUP(B850,'NonXtal_SegEnds_Prot#'!A:AL,24,FALSE)</f>
        <v>294</v>
      </c>
      <c r="M850" s="45">
        <f>VLOOKUP(B850,'NonXtal_SegEnds_Prot#'!A:AL,25,FALSE)</f>
        <v>294</v>
      </c>
      <c r="N850" s="45">
        <f>VLOOKUP(B850,'NonXtal_SegEnds_Prot#'!A:AL,26,FALSE)</f>
        <v>296</v>
      </c>
      <c r="O850" s="4" t="str">
        <f t="shared" si="79"/>
        <v>T</v>
      </c>
      <c r="P850" s="4"/>
      <c r="Q850" s="47" t="str">
        <f t="shared" si="81"/>
        <v/>
      </c>
      <c r="R850" s="27" t="str">
        <f t="shared" si="82"/>
        <v>C</v>
      </c>
      <c r="S850" s="19" t="str">
        <f t="shared" si="83"/>
        <v>WT</v>
      </c>
      <c r="Z850" s="4"/>
      <c r="AD850" s="1" t="s">
        <v>37</v>
      </c>
      <c r="AE850" s="1">
        <v>294</v>
      </c>
      <c r="AF850" s="1">
        <v>294</v>
      </c>
      <c r="AG850" s="1">
        <v>296</v>
      </c>
      <c r="AH850" s="1" t="s">
        <v>38</v>
      </c>
      <c r="AK850" s="4">
        <v>50</v>
      </c>
      <c r="AL850" s="4">
        <v>52</v>
      </c>
    </row>
    <row r="851" spans="1:38" x14ac:dyDescent="0.25">
      <c r="A851" s="1" t="str">
        <f t="shared" si="80"/>
        <v>glr_human_4L6R_ECL2</v>
      </c>
      <c r="B851" s="45" t="s">
        <v>206</v>
      </c>
      <c r="C851" s="45" t="s">
        <v>240</v>
      </c>
      <c r="D851" s="4" t="str">
        <f>VLOOKUP(B851,Classification!A:D,2,FALSE)</f>
        <v>B1</v>
      </c>
      <c r="E851" s="4" t="str">
        <f>VLOOKUP(B851,Classification!A:D,3,FALSE)</f>
        <v>Peptide</v>
      </c>
      <c r="F851" s="4" t="str">
        <f>VLOOKUP(B851,Classification!A:D,4,FALSE)</f>
        <v>Glucagonreceptorfamily</v>
      </c>
      <c r="G851" s="2">
        <v>8</v>
      </c>
      <c r="H851" s="45" t="s">
        <v>35</v>
      </c>
      <c r="I851" s="2" t="s">
        <v>36</v>
      </c>
      <c r="J851" s="5" t="str">
        <f>VLOOKUP(B851,Seqs!A:B,2,FALSE)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851" s="4" t="str">
        <f t="shared" si="84"/>
        <v>C</v>
      </c>
      <c r="L851" s="45">
        <f>VLOOKUP(B851,'NonXtal_SegEnds_Prot#'!A:AL,24,FALSE)</f>
        <v>294</v>
      </c>
      <c r="M851" s="45">
        <f>VLOOKUP(B851,'NonXtal_SegEnds_Prot#'!A:AL,25,FALSE)</f>
        <v>294</v>
      </c>
      <c r="N851" s="45">
        <f>VLOOKUP(B851,'NonXtal_SegEnds_Prot#'!A:AL,26,FALSE)</f>
        <v>296</v>
      </c>
      <c r="O851" s="4" t="str">
        <f t="shared" si="79"/>
        <v>T</v>
      </c>
      <c r="P851" s="4"/>
      <c r="Q851" s="47" t="str">
        <f t="shared" si="81"/>
        <v/>
      </c>
      <c r="R851" s="27" t="str">
        <f t="shared" si="82"/>
        <v>C</v>
      </c>
      <c r="S851" s="19" t="str">
        <f t="shared" si="83"/>
        <v>WT</v>
      </c>
      <c r="Z851" s="4"/>
      <c r="AD851" s="1" t="s">
        <v>37</v>
      </c>
      <c r="AE851" s="1">
        <v>294</v>
      </c>
      <c r="AF851" s="1">
        <v>294</v>
      </c>
      <c r="AG851" s="1">
        <v>296</v>
      </c>
      <c r="AH851" s="1" t="s">
        <v>38</v>
      </c>
      <c r="AK851" s="4">
        <v>50</v>
      </c>
      <c r="AL851" s="4">
        <v>52</v>
      </c>
    </row>
    <row r="852" spans="1:38" x14ac:dyDescent="0.25">
      <c r="A852" s="1" t="str">
        <f t="shared" si="80"/>
        <v>glr_human_5EE7_ECL2</v>
      </c>
      <c r="B852" s="45" t="s">
        <v>206</v>
      </c>
      <c r="C852" s="45" t="s">
        <v>237</v>
      </c>
      <c r="D852" s="4" t="str">
        <f>VLOOKUP(B852,Classification!A:D,2,FALSE)</f>
        <v>B1</v>
      </c>
      <c r="E852" s="4" t="str">
        <f>VLOOKUP(B852,Classification!A:D,3,FALSE)</f>
        <v>Peptide</v>
      </c>
      <c r="F852" s="4" t="str">
        <f>VLOOKUP(B852,Classification!A:D,4,FALSE)</f>
        <v>Glucagonreceptorfamily</v>
      </c>
      <c r="G852" s="2">
        <v>8</v>
      </c>
      <c r="H852" s="45" t="s">
        <v>35</v>
      </c>
      <c r="I852" s="2" t="s">
        <v>36</v>
      </c>
      <c r="J852" s="5" t="str">
        <f>VLOOKUP(B852,Seqs!A:B,2,FALSE)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852" s="4" t="str">
        <f t="shared" si="84"/>
        <v>C</v>
      </c>
      <c r="L852" s="45">
        <f>VLOOKUP(B852,'NonXtal_SegEnds_Prot#'!A:AL,24,FALSE)</f>
        <v>294</v>
      </c>
      <c r="M852" s="45">
        <f>VLOOKUP(B852,'NonXtal_SegEnds_Prot#'!A:AL,25,FALSE)</f>
        <v>294</v>
      </c>
      <c r="N852" s="45">
        <f>VLOOKUP(B852,'NonXtal_SegEnds_Prot#'!A:AL,26,FALSE)</f>
        <v>296</v>
      </c>
      <c r="O852" s="4" t="str">
        <f t="shared" si="79"/>
        <v>T</v>
      </c>
      <c r="P852" s="4" t="s">
        <v>1227</v>
      </c>
      <c r="Q852" s="47" t="str">
        <f t="shared" si="81"/>
        <v/>
      </c>
      <c r="R852" s="28" t="str">
        <f t="shared" si="82"/>
        <v>C</v>
      </c>
      <c r="S852" s="20" t="str">
        <f t="shared" si="83"/>
        <v>WT</v>
      </c>
      <c r="Z852" s="4"/>
      <c r="AD852" s="1" t="s">
        <v>37</v>
      </c>
      <c r="AE852" s="1">
        <v>294</v>
      </c>
      <c r="AF852" s="1">
        <v>294</v>
      </c>
      <c r="AG852" s="1">
        <v>296</v>
      </c>
      <c r="AH852" s="1" t="s">
        <v>38</v>
      </c>
      <c r="AK852" s="4">
        <v>50</v>
      </c>
      <c r="AL852" s="4">
        <v>52</v>
      </c>
    </row>
    <row r="853" spans="1:38" x14ac:dyDescent="0.25">
      <c r="A853" s="1" t="str">
        <f t="shared" si="80"/>
        <v>grm1_human__wt_ECL2</v>
      </c>
      <c r="B853" s="45" t="s">
        <v>223</v>
      </c>
      <c r="C853" s="45" t="s">
        <v>294</v>
      </c>
      <c r="D853" s="4" t="str">
        <f>VLOOKUP(B853,Classification!A:D,2,FALSE)</f>
        <v>C</v>
      </c>
      <c r="E853" s="4" t="str">
        <f>VLOOKUP(B853,Classification!A:D,3,FALSE)</f>
        <v>Aminoacid</v>
      </c>
      <c r="F853" s="4" t="str">
        <f>VLOOKUP(B853,Classification!A:D,4,FALSE)</f>
        <v>Metabotropicglutamate</v>
      </c>
      <c r="G853" s="2">
        <v>8</v>
      </c>
      <c r="H853" s="45" t="s">
        <v>35</v>
      </c>
      <c r="I853" s="2" t="s">
        <v>190</v>
      </c>
      <c r="J853" s="5" t="str">
        <f>VLOOKUP(B853,Seqs!A:B,2,FALSE)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853" s="4" t="str">
        <f t="shared" si="84"/>
        <v>C</v>
      </c>
      <c r="L853" s="45">
        <f>VLOOKUP(B853,'NonXtal_SegEnds_Prot#'!A:AL,24,FALSE)</f>
        <v>746</v>
      </c>
      <c r="M853" s="45">
        <f>VLOOKUP(B853,'NonXtal_SegEnds_Prot#'!A:AL,25,FALSE)</f>
        <v>746</v>
      </c>
      <c r="N853" s="45">
        <f>VLOOKUP(B853,'NonXtal_SegEnds_Prot#'!A:AL,26,FALSE)</f>
        <v>748</v>
      </c>
      <c r="O853" s="4" t="str">
        <f t="shared" si="79"/>
        <v>T</v>
      </c>
      <c r="P853" s="4"/>
      <c r="Q853" s="47" t="str">
        <f t="shared" si="81"/>
        <v/>
      </c>
      <c r="R853" s="27" t="str">
        <f t="shared" si="82"/>
        <v>C</v>
      </c>
      <c r="S853" s="19" t="str">
        <f t="shared" si="83"/>
        <v>NT</v>
      </c>
      <c r="Z853" s="4"/>
      <c r="AD853" s="1" t="s">
        <v>37</v>
      </c>
      <c r="AE853" s="1">
        <v>746</v>
      </c>
      <c r="AF853" s="1">
        <v>746</v>
      </c>
      <c r="AG853" s="1">
        <v>748</v>
      </c>
      <c r="AH853" s="1" t="s">
        <v>38</v>
      </c>
      <c r="AK853" s="4">
        <v>50</v>
      </c>
      <c r="AL853" s="4">
        <v>52</v>
      </c>
    </row>
    <row r="854" spans="1:38" x14ac:dyDescent="0.25">
      <c r="A854" s="1" t="str">
        <f t="shared" si="80"/>
        <v>grm1_human_4OR2_ECL2</v>
      </c>
      <c r="B854" s="45" t="s">
        <v>223</v>
      </c>
      <c r="C854" s="45" t="s">
        <v>289</v>
      </c>
      <c r="D854" s="4" t="str">
        <f>VLOOKUP(B854,Classification!A:D,2,FALSE)</f>
        <v>C</v>
      </c>
      <c r="E854" s="4" t="str">
        <f>VLOOKUP(B854,Classification!A:D,3,FALSE)</f>
        <v>Aminoacid</v>
      </c>
      <c r="F854" s="4" t="str">
        <f>VLOOKUP(B854,Classification!A:D,4,FALSE)</f>
        <v>Metabotropicglutamate</v>
      </c>
      <c r="G854" s="2">
        <v>8</v>
      </c>
      <c r="H854" s="45" t="s">
        <v>35</v>
      </c>
      <c r="I854" s="2" t="s">
        <v>190</v>
      </c>
      <c r="J854" s="5" t="str">
        <f>VLOOKUP(B854,Seqs!A:B,2,FALSE)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854" s="4" t="str">
        <f t="shared" si="84"/>
        <v>C</v>
      </c>
      <c r="L854" s="45">
        <f>VLOOKUP(B854,'NonXtal_SegEnds_Prot#'!A:AL,24,FALSE)</f>
        <v>746</v>
      </c>
      <c r="M854" s="45">
        <f>VLOOKUP(B854,'NonXtal_SegEnds_Prot#'!A:AL,25,FALSE)</f>
        <v>746</v>
      </c>
      <c r="N854" s="45">
        <f>VLOOKUP(B854,'NonXtal_SegEnds_Prot#'!A:AL,26,FALSE)</f>
        <v>748</v>
      </c>
      <c r="O854" s="4" t="str">
        <f t="shared" si="79"/>
        <v>T</v>
      </c>
      <c r="P854" s="4"/>
      <c r="Q854" s="47" t="str">
        <f t="shared" si="81"/>
        <v/>
      </c>
      <c r="R854" s="27" t="str">
        <f t="shared" si="82"/>
        <v>C</v>
      </c>
      <c r="S854" s="19" t="str">
        <f t="shared" si="83"/>
        <v>NT</v>
      </c>
      <c r="Z854" s="4"/>
      <c r="AD854" s="1" t="s">
        <v>37</v>
      </c>
      <c r="AE854" s="1">
        <v>746</v>
      </c>
      <c r="AF854" s="1">
        <v>746</v>
      </c>
      <c r="AG854" s="1">
        <v>748</v>
      </c>
      <c r="AH854" s="1" t="s">
        <v>38</v>
      </c>
      <c r="AK854" s="4">
        <v>50</v>
      </c>
      <c r="AL854" s="4">
        <v>52</v>
      </c>
    </row>
    <row r="855" spans="1:38" x14ac:dyDescent="0.25">
      <c r="A855" s="1" t="str">
        <f t="shared" si="80"/>
        <v>grm5_human__wt_ECL2</v>
      </c>
      <c r="B855" s="45" t="s">
        <v>224</v>
      </c>
      <c r="C855" s="45" t="s">
        <v>294</v>
      </c>
      <c r="D855" s="4" t="str">
        <f>VLOOKUP(B855,Classification!A:D,2,FALSE)</f>
        <v>C</v>
      </c>
      <c r="E855" s="4" t="str">
        <f>VLOOKUP(B855,Classification!A:D,3,FALSE)</f>
        <v>Aminoacid</v>
      </c>
      <c r="F855" s="4" t="str">
        <f>VLOOKUP(B855,Classification!A:D,4,FALSE)</f>
        <v>Metabotropicglutamate</v>
      </c>
      <c r="G855" s="2">
        <v>8</v>
      </c>
      <c r="H855" s="45" t="s">
        <v>35</v>
      </c>
      <c r="I855" s="2" t="s">
        <v>36</v>
      </c>
      <c r="J855" s="5" t="str">
        <f>VLOOKUP(B855,Seqs!A:B,2,FALSE)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5" s="4" t="str">
        <f t="shared" si="84"/>
        <v>C</v>
      </c>
      <c r="L855" s="45">
        <f>VLOOKUP(B855,'NonXtal_SegEnds_Prot#'!A:AL,24,FALSE)</f>
        <v>733</v>
      </c>
      <c r="M855" s="45">
        <f>VLOOKUP(B855,'NonXtal_SegEnds_Prot#'!A:AL,25,FALSE)</f>
        <v>733</v>
      </c>
      <c r="N855" s="45">
        <f>VLOOKUP(B855,'NonXtal_SegEnds_Prot#'!A:AL,26,FALSE)</f>
        <v>735</v>
      </c>
      <c r="O855" s="4" t="str">
        <f t="shared" si="79"/>
        <v>T</v>
      </c>
      <c r="P855" s="4"/>
      <c r="Q855" s="47" t="str">
        <f t="shared" si="81"/>
        <v/>
      </c>
      <c r="R855" s="27" t="str">
        <f t="shared" si="82"/>
        <v>C</v>
      </c>
      <c r="S855" s="19" t="str">
        <f t="shared" si="83"/>
        <v>NT</v>
      </c>
      <c r="Z855" s="4"/>
      <c r="AD855" s="1" t="s">
        <v>37</v>
      </c>
      <c r="AE855" s="1">
        <v>733</v>
      </c>
      <c r="AF855" s="1">
        <v>733</v>
      </c>
      <c r="AG855" s="1">
        <v>735</v>
      </c>
      <c r="AH855" s="1" t="s">
        <v>38</v>
      </c>
      <c r="AK855" s="4">
        <v>50</v>
      </c>
      <c r="AL855" s="4">
        <v>52</v>
      </c>
    </row>
    <row r="856" spans="1:38" x14ac:dyDescent="0.25">
      <c r="A856" s="1" t="str">
        <f t="shared" si="80"/>
        <v>grm5_human_4OO9_ECL2</v>
      </c>
      <c r="B856" s="45" t="s">
        <v>224</v>
      </c>
      <c r="C856" s="45" t="s">
        <v>248</v>
      </c>
      <c r="D856" s="4" t="str">
        <f>VLOOKUP(B856,Classification!A:D,2,FALSE)</f>
        <v>C</v>
      </c>
      <c r="E856" s="4" t="str">
        <f>VLOOKUP(B856,Classification!A:D,3,FALSE)</f>
        <v>Aminoacid</v>
      </c>
      <c r="F856" s="4" t="str">
        <f>VLOOKUP(B856,Classification!A:D,4,FALSE)</f>
        <v>Metabotropicglutamate</v>
      </c>
      <c r="G856" s="2">
        <v>8</v>
      </c>
      <c r="H856" s="45" t="s">
        <v>35</v>
      </c>
      <c r="I856" s="2" t="s">
        <v>36</v>
      </c>
      <c r="J856" s="5" t="str">
        <f>VLOOKUP(B856,Seqs!A:B,2,FALSE)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6" s="4" t="str">
        <f t="shared" si="84"/>
        <v>C</v>
      </c>
      <c r="L856" s="45">
        <f>VLOOKUP(B856,'NonXtal_SegEnds_Prot#'!A:AL,24,FALSE)</f>
        <v>733</v>
      </c>
      <c r="M856" s="45">
        <f>VLOOKUP(B856,'NonXtal_SegEnds_Prot#'!A:AL,25,FALSE)</f>
        <v>733</v>
      </c>
      <c r="N856" s="45">
        <f>VLOOKUP(B856,'NonXtal_SegEnds_Prot#'!A:AL,26,FALSE)</f>
        <v>735</v>
      </c>
      <c r="O856" s="4" t="str">
        <f t="shared" si="79"/>
        <v>T</v>
      </c>
      <c r="P856" s="4"/>
      <c r="Q856" s="47" t="str">
        <f t="shared" si="81"/>
        <v/>
      </c>
      <c r="R856" s="27" t="str">
        <f t="shared" si="82"/>
        <v>C</v>
      </c>
      <c r="S856" s="19" t="str">
        <f t="shared" si="83"/>
        <v>NT</v>
      </c>
      <c r="Z856" s="4"/>
      <c r="AD856" s="1" t="s">
        <v>37</v>
      </c>
      <c r="AE856" s="1">
        <v>733</v>
      </c>
      <c r="AF856" s="1">
        <v>733</v>
      </c>
      <c r="AG856" s="1">
        <v>735</v>
      </c>
      <c r="AH856" s="1" t="s">
        <v>38</v>
      </c>
      <c r="AK856" s="4">
        <v>50</v>
      </c>
      <c r="AL856" s="4">
        <v>52</v>
      </c>
    </row>
    <row r="857" spans="1:38" x14ac:dyDescent="0.25">
      <c r="A857" s="1" t="str">
        <f t="shared" si="80"/>
        <v>grm5_human_5CGC_ECL2</v>
      </c>
      <c r="B857" s="45" t="s">
        <v>224</v>
      </c>
      <c r="C857" s="45" t="s">
        <v>249</v>
      </c>
      <c r="D857" s="4" t="str">
        <f>VLOOKUP(B857,Classification!A:D,2,FALSE)</f>
        <v>C</v>
      </c>
      <c r="E857" s="4" t="str">
        <f>VLOOKUP(B857,Classification!A:D,3,FALSE)</f>
        <v>Aminoacid</v>
      </c>
      <c r="F857" s="4" t="str">
        <f>VLOOKUP(B857,Classification!A:D,4,FALSE)</f>
        <v>Metabotropicglutamate</v>
      </c>
      <c r="G857" s="2">
        <v>8</v>
      </c>
      <c r="H857" s="45" t="s">
        <v>35</v>
      </c>
      <c r="I857" s="2" t="s">
        <v>36</v>
      </c>
      <c r="J857" s="5" t="str">
        <f>VLOOKUP(B857,Seqs!A:B,2,FALSE)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7" s="4" t="str">
        <f t="shared" si="84"/>
        <v>C</v>
      </c>
      <c r="L857" s="45">
        <f>VLOOKUP(B857,'NonXtal_SegEnds_Prot#'!A:AL,24,FALSE)</f>
        <v>733</v>
      </c>
      <c r="M857" s="45">
        <f>VLOOKUP(B857,'NonXtal_SegEnds_Prot#'!A:AL,25,FALSE)</f>
        <v>733</v>
      </c>
      <c r="N857" s="45">
        <f>VLOOKUP(B857,'NonXtal_SegEnds_Prot#'!A:AL,26,FALSE)</f>
        <v>735</v>
      </c>
      <c r="O857" s="4" t="str">
        <f t="shared" si="79"/>
        <v>T</v>
      </c>
      <c r="P857" s="4" t="s">
        <v>1227</v>
      </c>
      <c r="Q857" s="47" t="str">
        <f t="shared" si="81"/>
        <v/>
      </c>
      <c r="R857" s="28" t="str">
        <f t="shared" si="82"/>
        <v>C</v>
      </c>
      <c r="S857" s="20" t="str">
        <f t="shared" si="83"/>
        <v>NT</v>
      </c>
      <c r="Z857" s="4"/>
      <c r="AD857" s="1" t="s">
        <v>37</v>
      </c>
      <c r="AE857" s="1">
        <v>733</v>
      </c>
      <c r="AF857" s="1">
        <v>733</v>
      </c>
      <c r="AG857" s="1">
        <v>735</v>
      </c>
      <c r="AH857" s="1" t="s">
        <v>38</v>
      </c>
      <c r="AK857" s="4">
        <v>50</v>
      </c>
      <c r="AL857" s="4">
        <v>52</v>
      </c>
    </row>
    <row r="858" spans="1:38" x14ac:dyDescent="0.25">
      <c r="A858" s="1" t="str">
        <f t="shared" si="80"/>
        <v>grm5_human_5CGD_ECL2</v>
      </c>
      <c r="B858" s="45" t="s">
        <v>224</v>
      </c>
      <c r="C858" s="45" t="s">
        <v>250</v>
      </c>
      <c r="D858" s="4" t="str">
        <f>VLOOKUP(B858,Classification!A:D,2,FALSE)</f>
        <v>C</v>
      </c>
      <c r="E858" s="4" t="str">
        <f>VLOOKUP(B858,Classification!A:D,3,FALSE)</f>
        <v>Aminoacid</v>
      </c>
      <c r="F858" s="4" t="str">
        <f>VLOOKUP(B858,Classification!A:D,4,FALSE)</f>
        <v>Metabotropicglutamate</v>
      </c>
      <c r="G858" s="2">
        <v>8</v>
      </c>
      <c r="H858" s="45" t="s">
        <v>35</v>
      </c>
      <c r="I858" s="2" t="s">
        <v>36</v>
      </c>
      <c r="J858" s="5" t="str">
        <f>VLOOKUP(B858,Seqs!A:B,2,FALSE)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8" s="4" t="str">
        <f t="shared" si="84"/>
        <v>C</v>
      </c>
      <c r="L858" s="45">
        <f>VLOOKUP(B858,'NonXtal_SegEnds_Prot#'!A:AL,24,FALSE)</f>
        <v>733</v>
      </c>
      <c r="M858" s="45">
        <f>VLOOKUP(B858,'NonXtal_SegEnds_Prot#'!A:AL,25,FALSE)</f>
        <v>733</v>
      </c>
      <c r="N858" s="45">
        <f>VLOOKUP(B858,'NonXtal_SegEnds_Prot#'!A:AL,26,FALSE)</f>
        <v>735</v>
      </c>
      <c r="O858" s="4" t="str">
        <f t="shared" si="79"/>
        <v>T</v>
      </c>
      <c r="P858" s="4" t="s">
        <v>1227</v>
      </c>
      <c r="Q858" s="47" t="str">
        <f t="shared" si="81"/>
        <v/>
      </c>
      <c r="R858" s="28" t="str">
        <f t="shared" si="82"/>
        <v>C</v>
      </c>
      <c r="S858" s="20" t="str">
        <f t="shared" si="83"/>
        <v>NT</v>
      </c>
      <c r="Z858" s="4"/>
      <c r="AD858" s="1" t="s">
        <v>37</v>
      </c>
      <c r="AE858" s="1">
        <v>733</v>
      </c>
      <c r="AF858" s="1">
        <v>733</v>
      </c>
      <c r="AG858" s="1">
        <v>735</v>
      </c>
      <c r="AH858" s="1" t="s">
        <v>38</v>
      </c>
      <c r="AK858" s="4">
        <v>50</v>
      </c>
      <c r="AL858" s="4">
        <v>52</v>
      </c>
    </row>
    <row r="859" spans="1:38" x14ac:dyDescent="0.25">
      <c r="A859" s="1" t="str">
        <f t="shared" si="80"/>
        <v>HRH1_human__wt_ECL2</v>
      </c>
      <c r="B859" s="45" t="s">
        <v>225</v>
      </c>
      <c r="C859" s="45" t="s">
        <v>294</v>
      </c>
      <c r="D859" s="4" t="str">
        <f>VLOOKUP(B859,Classification!A:D,2,FALSE)</f>
        <v>A</v>
      </c>
      <c r="E859" s="4" t="str">
        <f>VLOOKUP(B859,Classification!A:D,3,FALSE)</f>
        <v>Aminergic</v>
      </c>
      <c r="F859" s="4" t="str">
        <f>VLOOKUP(B859,Classification!A:D,4,FALSE)</f>
        <v>Histamine</v>
      </c>
      <c r="G859" s="2">
        <v>8</v>
      </c>
      <c r="H859" s="45" t="s">
        <v>35</v>
      </c>
      <c r="I859" s="2" t="s">
        <v>36</v>
      </c>
      <c r="J859" s="5" t="str">
        <f>VLOOKUP(B859,Seqs!A:B,2,FALSE)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859" s="4" t="str">
        <f t="shared" si="84"/>
        <v>C</v>
      </c>
      <c r="L859" s="45">
        <f>VLOOKUP(B859,'NonXtal_SegEnds_Prot#'!A:AL,24,FALSE)</f>
        <v>180</v>
      </c>
      <c r="M859" s="45">
        <f>VLOOKUP(B859,'NonXtal_SegEnds_Prot#'!A:AL,25,FALSE)</f>
        <v>180</v>
      </c>
      <c r="N859" s="45">
        <f>VLOOKUP(B859,'NonXtal_SegEnds_Prot#'!A:AL,26,FALSE)</f>
        <v>182</v>
      </c>
      <c r="O859" s="4" t="str">
        <f t="shared" si="79"/>
        <v>T</v>
      </c>
      <c r="P859" s="4"/>
      <c r="Q859" s="47" t="str">
        <f t="shared" si="81"/>
        <v/>
      </c>
      <c r="R859" s="27" t="str">
        <f t="shared" si="82"/>
        <v>C</v>
      </c>
      <c r="S859" s="19" t="str">
        <f t="shared" si="83"/>
        <v>ET</v>
      </c>
      <c r="Z859" s="4"/>
      <c r="AD859" s="1" t="s">
        <v>37</v>
      </c>
      <c r="AE859" s="1">
        <v>180</v>
      </c>
      <c r="AF859" s="1">
        <v>180</v>
      </c>
      <c r="AG859" s="1">
        <v>182</v>
      </c>
      <c r="AH859" s="1" t="s">
        <v>38</v>
      </c>
      <c r="AK859" s="4">
        <v>50</v>
      </c>
      <c r="AL859" s="4">
        <v>52</v>
      </c>
    </row>
    <row r="860" spans="1:38" x14ac:dyDescent="0.25">
      <c r="A860" s="1" t="str">
        <f t="shared" si="80"/>
        <v>HRH1_human_3RZE_ECL2</v>
      </c>
      <c r="B860" s="45" t="s">
        <v>225</v>
      </c>
      <c r="C860" s="45" t="s">
        <v>264</v>
      </c>
      <c r="D860" s="4" t="str">
        <f>VLOOKUP(B860,Classification!A:D,2,FALSE)</f>
        <v>A</v>
      </c>
      <c r="E860" s="4" t="str">
        <f>VLOOKUP(B860,Classification!A:D,3,FALSE)</f>
        <v>Aminergic</v>
      </c>
      <c r="F860" s="4" t="str">
        <f>VLOOKUP(B860,Classification!A:D,4,FALSE)</f>
        <v>Histamine</v>
      </c>
      <c r="G860" s="2">
        <v>8</v>
      </c>
      <c r="H860" s="45" t="s">
        <v>35</v>
      </c>
      <c r="I860" s="2" t="s">
        <v>36</v>
      </c>
      <c r="J860" s="5" t="str">
        <f>VLOOKUP(B860,Seqs!A:B,2,FALSE)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860" s="4" t="str">
        <f t="shared" si="84"/>
        <v>C</v>
      </c>
      <c r="L860" s="45">
        <f>VLOOKUP(B860,'NonXtal_SegEnds_Prot#'!A:AL,24,FALSE)</f>
        <v>180</v>
      </c>
      <c r="M860" s="45">
        <f>VLOOKUP(B860,'NonXtal_SegEnds_Prot#'!A:AL,25,FALSE)</f>
        <v>180</v>
      </c>
      <c r="N860" s="45">
        <f>VLOOKUP(B860,'NonXtal_SegEnds_Prot#'!A:AL,26,FALSE)</f>
        <v>182</v>
      </c>
      <c r="O860" s="4" t="str">
        <f t="shared" si="79"/>
        <v>T</v>
      </c>
      <c r="P860" s="4" t="s">
        <v>1227</v>
      </c>
      <c r="Q860" s="47" t="str">
        <f t="shared" si="81"/>
        <v/>
      </c>
      <c r="R860" s="28" t="str">
        <f t="shared" si="82"/>
        <v>C</v>
      </c>
      <c r="S860" s="20" t="str">
        <f t="shared" si="83"/>
        <v>ET</v>
      </c>
      <c r="Z860" s="4"/>
      <c r="AD860" s="1" t="s">
        <v>37</v>
      </c>
      <c r="AE860" s="1">
        <v>180</v>
      </c>
      <c r="AF860" s="1">
        <v>180</v>
      </c>
      <c r="AG860" s="1">
        <v>182</v>
      </c>
      <c r="AH860" s="1" t="s">
        <v>38</v>
      </c>
      <c r="AK860" s="4">
        <v>50</v>
      </c>
      <c r="AL860" s="4">
        <v>52</v>
      </c>
    </row>
    <row r="861" spans="1:38" x14ac:dyDescent="0.25">
      <c r="A861" s="1" t="str">
        <f t="shared" si="80"/>
        <v>LPAR1_human__wt_ECL2</v>
      </c>
      <c r="B861" s="45" t="s">
        <v>214</v>
      </c>
      <c r="C861" s="45" t="s">
        <v>294</v>
      </c>
      <c r="D861" s="4" t="str">
        <f>VLOOKUP(B861,Classification!A:D,2,FALSE)</f>
        <v>A</v>
      </c>
      <c r="E861" s="4" t="str">
        <f>VLOOKUP(B861,Classification!A:D,3,FALSE)</f>
        <v>Lipid</v>
      </c>
      <c r="F861" s="4" t="str">
        <f>VLOOKUP(B861,Classification!A:D,4,FALSE)</f>
        <v>Lysophospholipid(LPA)</v>
      </c>
      <c r="G861" s="2">
        <v>8</v>
      </c>
      <c r="H861" s="45" t="s">
        <v>35</v>
      </c>
      <c r="I861" s="2" t="s">
        <v>67</v>
      </c>
      <c r="J861" s="5" t="str">
        <f>VLOOKUP(B861,Seqs!A:B,2,FALSE)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861" s="4" t="e">
        <f t="shared" si="84"/>
        <v>#VALUE!</v>
      </c>
      <c r="L861" s="45" t="str">
        <f>VLOOKUP(B861,'NonXtal_SegEnds_Prot#'!A:AL,24,FALSE)</f>
        <v>-</v>
      </c>
      <c r="M861" s="45" t="str">
        <f>VLOOKUP(B861,'NonXtal_SegEnds_Prot#'!A:AL,25,FALSE)</f>
        <v>-</v>
      </c>
      <c r="N861" s="45" t="str">
        <f>VLOOKUP(B861,'NonXtal_SegEnds_Prot#'!A:AL,26,FALSE)</f>
        <v>-</v>
      </c>
      <c r="O861" s="4" t="e">
        <f t="shared" si="79"/>
        <v>#VALUE!</v>
      </c>
      <c r="P861" s="4"/>
      <c r="Q861" s="47" t="e">
        <f t="shared" si="81"/>
        <v>#VALUE!</v>
      </c>
      <c r="R861" s="27" t="e">
        <f t="shared" si="82"/>
        <v>#VALUE!</v>
      </c>
      <c r="S861" s="19" t="e">
        <f t="shared" si="83"/>
        <v>#VALUE!</v>
      </c>
      <c r="Z861" s="4"/>
      <c r="AD861" s="1" t="s">
        <v>129</v>
      </c>
      <c r="AE861" s="1" t="s">
        <v>129</v>
      </c>
      <c r="AF861" s="1" t="s">
        <v>129</v>
      </c>
      <c r="AG861" s="1" t="s">
        <v>129</v>
      </c>
      <c r="AH861" s="1" t="s">
        <v>129</v>
      </c>
      <c r="AK861" s="4" t="s">
        <v>129</v>
      </c>
      <c r="AL861" s="4" t="s">
        <v>129</v>
      </c>
    </row>
    <row r="862" spans="1:38" x14ac:dyDescent="0.25">
      <c r="A862" s="1" t="str">
        <f t="shared" si="80"/>
        <v>LPAR1_human_4Z35_ECL2</v>
      </c>
      <c r="B862" s="45" t="s">
        <v>214</v>
      </c>
      <c r="C862" s="45" t="s">
        <v>281</v>
      </c>
      <c r="D862" s="4" t="str">
        <f>VLOOKUP(B862,Classification!A:D,2,FALSE)</f>
        <v>A</v>
      </c>
      <c r="E862" s="4" t="str">
        <f>VLOOKUP(B862,Classification!A:D,3,FALSE)</f>
        <v>Lipid</v>
      </c>
      <c r="F862" s="4" t="str">
        <f>VLOOKUP(B862,Classification!A:D,4,FALSE)</f>
        <v>Lysophospholipid(LPA)</v>
      </c>
      <c r="G862" s="2">
        <v>8</v>
      </c>
      <c r="H862" s="45" t="s">
        <v>35</v>
      </c>
      <c r="I862" s="2" t="s">
        <v>67</v>
      </c>
      <c r="J862" s="5" t="str">
        <f>VLOOKUP(B862,Seqs!A:B,2,FALSE)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862" s="4" t="e">
        <f t="shared" si="84"/>
        <v>#VALUE!</v>
      </c>
      <c r="L862" s="45" t="str">
        <f>VLOOKUP(B862,'NonXtal_SegEnds_Prot#'!A:AL,24,FALSE)</f>
        <v>-</v>
      </c>
      <c r="M862" s="45" t="str">
        <f>VLOOKUP(B862,'NonXtal_SegEnds_Prot#'!A:AL,25,FALSE)</f>
        <v>-</v>
      </c>
      <c r="N862" s="45" t="str">
        <f>VLOOKUP(B862,'NonXtal_SegEnds_Prot#'!A:AL,26,FALSE)</f>
        <v>-</v>
      </c>
      <c r="O862" s="4" t="e">
        <f t="shared" si="79"/>
        <v>#VALUE!</v>
      </c>
      <c r="P862" s="4"/>
      <c r="Q862" s="47" t="e">
        <f t="shared" si="81"/>
        <v>#VALUE!</v>
      </c>
      <c r="R862" s="27" t="e">
        <f t="shared" si="82"/>
        <v>#VALUE!</v>
      </c>
      <c r="S862" s="19" t="e">
        <f t="shared" si="83"/>
        <v>#VALUE!</v>
      </c>
      <c r="Z862" s="4"/>
      <c r="AD862" s="1" t="s">
        <v>129</v>
      </c>
      <c r="AE862" s="1" t="s">
        <v>129</v>
      </c>
      <c r="AF862" s="1" t="s">
        <v>129</v>
      </c>
      <c r="AG862" s="1" t="s">
        <v>129</v>
      </c>
      <c r="AH862" s="1" t="s">
        <v>129</v>
      </c>
      <c r="AK862" s="4" t="s">
        <v>129</v>
      </c>
      <c r="AL862" s="4" t="s">
        <v>129</v>
      </c>
    </row>
    <row r="863" spans="1:38" x14ac:dyDescent="0.25">
      <c r="A863" s="1" t="str">
        <f t="shared" si="80"/>
        <v>NTR1_rat__wt_ECL2</v>
      </c>
      <c r="B863" s="45" t="s">
        <v>234</v>
      </c>
      <c r="C863" s="45" t="s">
        <v>294</v>
      </c>
      <c r="D863" s="4" t="str">
        <f>VLOOKUP(B863,Classification!A:D,2,FALSE)</f>
        <v>A</v>
      </c>
      <c r="E863" s="4" t="str">
        <f>VLOOKUP(B863,Classification!A:D,3,FALSE)</f>
        <v>Peptide</v>
      </c>
      <c r="F863" s="4" t="str">
        <f>VLOOKUP(B863,Classification!A:D,4,FALSE)</f>
        <v>Neurotensin</v>
      </c>
      <c r="G863" s="2">
        <v>8</v>
      </c>
      <c r="H863" s="45" t="s">
        <v>35</v>
      </c>
      <c r="I863" s="2" t="s">
        <v>67</v>
      </c>
      <c r="J863" s="5" t="str">
        <f>VLOOKUP(B863,Seqs!A:B,2,FALSE)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863" s="4" t="str">
        <f t="shared" si="84"/>
        <v>C</v>
      </c>
      <c r="L863" s="45">
        <f>VLOOKUP(B863,'NonXtal_SegEnds_Prot#'!A:AL,24,FALSE)</f>
        <v>225</v>
      </c>
      <c r="M863" s="45">
        <f>VLOOKUP(B863,'NonXtal_SegEnds_Prot#'!A:AL,25,FALSE)</f>
        <v>225</v>
      </c>
      <c r="N863" s="45">
        <f>VLOOKUP(B863,'NonXtal_SegEnds_Prot#'!A:AL,26,FALSE)</f>
        <v>227</v>
      </c>
      <c r="O863" s="4" t="str">
        <f t="shared" si="79"/>
        <v>P</v>
      </c>
      <c r="P863" s="4"/>
      <c r="Q863" s="47" t="str">
        <f t="shared" si="81"/>
        <v/>
      </c>
      <c r="R863" s="27" t="str">
        <f t="shared" si="82"/>
        <v>C</v>
      </c>
      <c r="S863" s="19" t="str">
        <f t="shared" si="83"/>
        <v>TP</v>
      </c>
      <c r="Z863" s="4" t="s">
        <v>78</v>
      </c>
      <c r="AD863" s="1" t="s">
        <v>37</v>
      </c>
      <c r="AE863" s="1">
        <v>225</v>
      </c>
      <c r="AF863" s="1">
        <v>225</v>
      </c>
      <c r="AG863" s="1">
        <v>227</v>
      </c>
      <c r="AH863" s="1" t="s">
        <v>38</v>
      </c>
      <c r="AK863" s="4">
        <v>50</v>
      </c>
      <c r="AL863" s="4">
        <v>52</v>
      </c>
    </row>
    <row r="864" spans="1:38" x14ac:dyDescent="0.25">
      <c r="A864" s="1" t="str">
        <f t="shared" si="80"/>
        <v>NTR1_rat_4BOU_ECL2</v>
      </c>
      <c r="B864" s="45" t="s">
        <v>234</v>
      </c>
      <c r="C864" s="45" t="s">
        <v>239</v>
      </c>
      <c r="D864" s="4" t="str">
        <f>VLOOKUP(B864,Classification!A:D,2,FALSE)</f>
        <v>A</v>
      </c>
      <c r="E864" s="4" t="str">
        <f>VLOOKUP(B864,Classification!A:D,3,FALSE)</f>
        <v>Peptide</v>
      </c>
      <c r="F864" s="4" t="str">
        <f>VLOOKUP(B864,Classification!A:D,4,FALSE)</f>
        <v>Neurotensin</v>
      </c>
      <c r="G864" s="2">
        <v>8</v>
      </c>
      <c r="H864" s="45" t="s">
        <v>35</v>
      </c>
      <c r="I864" s="2" t="s">
        <v>67</v>
      </c>
      <c r="J864" s="5" t="str">
        <f>VLOOKUP(B864,Seqs!A:B,2,FALSE)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864" s="4" t="str">
        <f t="shared" si="84"/>
        <v>C</v>
      </c>
      <c r="L864" s="45">
        <f>VLOOKUP(B864,'NonXtal_SegEnds_Prot#'!A:AL,24,FALSE)</f>
        <v>225</v>
      </c>
      <c r="M864" s="45">
        <f>VLOOKUP(B864,'NonXtal_SegEnds_Prot#'!A:AL,25,FALSE)</f>
        <v>225</v>
      </c>
      <c r="N864" s="45">
        <f>VLOOKUP(B864,'NonXtal_SegEnds_Prot#'!A:AL,26,FALSE)</f>
        <v>227</v>
      </c>
      <c r="O864" s="4" t="str">
        <f t="shared" si="79"/>
        <v>P</v>
      </c>
      <c r="P864" s="4"/>
      <c r="Q864" s="47" t="str">
        <f t="shared" si="81"/>
        <v/>
      </c>
      <c r="R864" s="27" t="str">
        <f t="shared" si="82"/>
        <v>C</v>
      </c>
      <c r="S864" s="19" t="str">
        <f t="shared" si="83"/>
        <v>TP</v>
      </c>
      <c r="Z864" s="4" t="s">
        <v>78</v>
      </c>
      <c r="AD864" s="1" t="s">
        <v>37</v>
      </c>
      <c r="AE864" s="1">
        <v>225</v>
      </c>
      <c r="AF864" s="1">
        <v>225</v>
      </c>
      <c r="AG864" s="1">
        <v>227</v>
      </c>
      <c r="AH864" s="1" t="s">
        <v>38</v>
      </c>
      <c r="AK864" s="4">
        <v>50</v>
      </c>
      <c r="AL864" s="4">
        <v>52</v>
      </c>
    </row>
    <row r="865" spans="1:38" x14ac:dyDescent="0.25">
      <c r="A865" s="1" t="str">
        <f t="shared" si="80"/>
        <v>NTR1_rat_4GRV_ECL2</v>
      </c>
      <c r="B865" s="45" t="s">
        <v>234</v>
      </c>
      <c r="C865" s="45" t="s">
        <v>238</v>
      </c>
      <c r="D865" s="4" t="str">
        <f>VLOOKUP(B865,Classification!A:D,2,FALSE)</f>
        <v>A</v>
      </c>
      <c r="E865" s="4" t="str">
        <f>VLOOKUP(B865,Classification!A:D,3,FALSE)</f>
        <v>Peptide</v>
      </c>
      <c r="F865" s="4" t="str">
        <f>VLOOKUP(B865,Classification!A:D,4,FALSE)</f>
        <v>Neurotensin</v>
      </c>
      <c r="G865" s="2">
        <v>8</v>
      </c>
      <c r="H865" s="45" t="s">
        <v>35</v>
      </c>
      <c r="I865" s="2" t="s">
        <v>67</v>
      </c>
      <c r="J865" s="5" t="str">
        <f>VLOOKUP(B865,Seqs!A:B,2,FALSE)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865" s="4" t="str">
        <f t="shared" si="84"/>
        <v>C</v>
      </c>
      <c r="L865" s="45">
        <f>VLOOKUP(B865,'NonXtal_SegEnds_Prot#'!A:AL,24,FALSE)</f>
        <v>225</v>
      </c>
      <c r="M865" s="45">
        <f>VLOOKUP(B865,'NonXtal_SegEnds_Prot#'!A:AL,25,FALSE)</f>
        <v>225</v>
      </c>
      <c r="N865" s="45">
        <f>VLOOKUP(B865,'NonXtal_SegEnds_Prot#'!A:AL,26,FALSE)</f>
        <v>227</v>
      </c>
      <c r="O865" s="4" t="str">
        <f t="shared" si="79"/>
        <v>P</v>
      </c>
      <c r="P865" s="4"/>
      <c r="Q865" s="47" t="str">
        <f t="shared" si="81"/>
        <v/>
      </c>
      <c r="R865" s="27" t="str">
        <f t="shared" si="82"/>
        <v>C</v>
      </c>
      <c r="S865" s="19" t="str">
        <f t="shared" si="83"/>
        <v>TP</v>
      </c>
      <c r="Z865" s="4"/>
      <c r="AD865" s="1" t="s">
        <v>37</v>
      </c>
      <c r="AE865" s="1">
        <v>225</v>
      </c>
      <c r="AF865" s="1">
        <v>225</v>
      </c>
      <c r="AG865" s="1">
        <v>227</v>
      </c>
      <c r="AH865" s="1" t="s">
        <v>38</v>
      </c>
      <c r="AK865" s="4">
        <v>50</v>
      </c>
      <c r="AL865" s="4">
        <v>52</v>
      </c>
    </row>
    <row r="866" spans="1:38" x14ac:dyDescent="0.25">
      <c r="A866" s="1" t="str">
        <f t="shared" si="80"/>
        <v>OPRD_human__wt_ECL2</v>
      </c>
      <c r="B866" s="45" t="s">
        <v>226</v>
      </c>
      <c r="C866" s="45" t="s">
        <v>294</v>
      </c>
      <c r="D866" s="4" t="str">
        <f>VLOOKUP(B866,Classification!A:D,2,FALSE)</f>
        <v>A</v>
      </c>
      <c r="E866" s="4" t="str">
        <f>VLOOKUP(B866,Classification!A:D,3,FALSE)</f>
        <v>Peptide</v>
      </c>
      <c r="F866" s="4" t="str">
        <f>VLOOKUP(B866,Classification!A:D,4,FALSE)</f>
        <v>Opioid</v>
      </c>
      <c r="G866" s="2">
        <v>8</v>
      </c>
      <c r="H866" s="45" t="s">
        <v>35</v>
      </c>
      <c r="I866" s="2" t="s">
        <v>67</v>
      </c>
      <c r="J866" s="5" t="str">
        <f>VLOOKUP(B866,Seqs!A:B,2,FALSE)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866" s="4" t="str">
        <f t="shared" si="84"/>
        <v>C</v>
      </c>
      <c r="L866" s="45">
        <f>VLOOKUP(B866,'NonXtal_SegEnds_Prot#'!A:AL,24,FALSE)</f>
        <v>198</v>
      </c>
      <c r="M866" s="45">
        <f>VLOOKUP(B866,'NonXtal_SegEnds_Prot#'!A:AL,25,FALSE)</f>
        <v>198</v>
      </c>
      <c r="N866" s="45">
        <f>VLOOKUP(B866,'NonXtal_SegEnds_Prot#'!A:AL,26,FALSE)</f>
        <v>200</v>
      </c>
      <c r="O866" s="4" t="str">
        <f t="shared" si="79"/>
        <v>L</v>
      </c>
      <c r="P866" s="4"/>
      <c r="Q866" s="47" t="str">
        <f t="shared" si="81"/>
        <v/>
      </c>
      <c r="R866" s="27" t="str">
        <f t="shared" si="82"/>
        <v>C</v>
      </c>
      <c r="S866" s="19" t="str">
        <f t="shared" si="83"/>
        <v>ML</v>
      </c>
      <c r="Z866" s="4"/>
      <c r="AD866" s="1" t="s">
        <v>37</v>
      </c>
      <c r="AE866" s="1">
        <v>198</v>
      </c>
      <c r="AF866" s="1">
        <v>198</v>
      </c>
      <c r="AG866" s="1">
        <v>200</v>
      </c>
      <c r="AH866" s="1" t="s">
        <v>38</v>
      </c>
      <c r="AK866" s="4">
        <v>50</v>
      </c>
      <c r="AL866" s="4">
        <v>52</v>
      </c>
    </row>
    <row r="867" spans="1:38" x14ac:dyDescent="0.25">
      <c r="A867" s="1" t="str">
        <f t="shared" si="80"/>
        <v>OPRD_human_4N6H_ECL2</v>
      </c>
      <c r="B867" s="45" t="s">
        <v>226</v>
      </c>
      <c r="C867" s="45" t="s">
        <v>279</v>
      </c>
      <c r="D867" s="4" t="str">
        <f>VLOOKUP(B867,Classification!A:D,2,FALSE)</f>
        <v>A</v>
      </c>
      <c r="E867" s="4" t="str">
        <f>VLOOKUP(B867,Classification!A:D,3,FALSE)</f>
        <v>Peptide</v>
      </c>
      <c r="F867" s="4" t="str">
        <f>VLOOKUP(B867,Classification!A:D,4,FALSE)</f>
        <v>Opioid</v>
      </c>
      <c r="G867" s="2">
        <v>8</v>
      </c>
      <c r="H867" s="45" t="s">
        <v>35</v>
      </c>
      <c r="I867" s="2" t="s">
        <v>67</v>
      </c>
      <c r="J867" s="5" t="str">
        <f>VLOOKUP(B867,Seqs!A:B,2,FALSE)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867" s="4" t="str">
        <f t="shared" si="84"/>
        <v>C</v>
      </c>
      <c r="L867" s="45">
        <f>VLOOKUP(B867,'NonXtal_SegEnds_Prot#'!A:AL,24,FALSE)</f>
        <v>198</v>
      </c>
      <c r="M867" s="45">
        <f>VLOOKUP(B867,'NonXtal_SegEnds_Prot#'!A:AL,25,FALSE)</f>
        <v>198</v>
      </c>
      <c r="N867" s="45">
        <f>VLOOKUP(B867,'NonXtal_SegEnds_Prot#'!A:AL,26,FALSE)</f>
        <v>200</v>
      </c>
      <c r="O867" s="4" t="str">
        <f t="shared" si="79"/>
        <v>L</v>
      </c>
      <c r="P867" s="4"/>
      <c r="Q867" s="47" t="str">
        <f t="shared" si="81"/>
        <v/>
      </c>
      <c r="R867" s="27" t="str">
        <f t="shared" si="82"/>
        <v>C</v>
      </c>
      <c r="S867" s="19" t="str">
        <f t="shared" si="83"/>
        <v>ML</v>
      </c>
      <c r="Z867" s="4"/>
      <c r="AD867" s="1" t="s">
        <v>37</v>
      </c>
      <c r="AE867" s="1">
        <v>198</v>
      </c>
      <c r="AF867" s="1">
        <v>198</v>
      </c>
      <c r="AG867" s="1">
        <v>200</v>
      </c>
      <c r="AH867" s="1" t="s">
        <v>38</v>
      </c>
      <c r="AK867" s="4">
        <v>50</v>
      </c>
      <c r="AL867" s="4">
        <v>52</v>
      </c>
    </row>
    <row r="868" spans="1:38" x14ac:dyDescent="0.25">
      <c r="A868" s="1" t="str">
        <f t="shared" si="80"/>
        <v>OPRD_mouse_4EJ4_ECL2</v>
      </c>
      <c r="B868" s="45" t="s">
        <v>233</v>
      </c>
      <c r="C868" s="45" t="s">
        <v>255</v>
      </c>
      <c r="D868" s="4" t="str">
        <f>VLOOKUP(B868,Classification!A:D,2,FALSE)</f>
        <v>A</v>
      </c>
      <c r="E868" s="4" t="str">
        <f>VLOOKUP(B868,Classification!A:D,3,FALSE)</f>
        <v>Peptide</v>
      </c>
      <c r="F868" s="4" t="str">
        <f>VLOOKUP(B868,Classification!A:D,4,FALSE)</f>
        <v>Opioid</v>
      </c>
      <c r="G868" s="2">
        <v>8</v>
      </c>
      <c r="H868" s="45" t="s">
        <v>35</v>
      </c>
      <c r="I868" s="2" t="s">
        <v>67</v>
      </c>
      <c r="J868" s="5" t="str">
        <f>VLOOKUP(B868,Seqs!A:B,2,FALSE)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868" s="4" t="str">
        <f t="shared" si="84"/>
        <v>C</v>
      </c>
      <c r="L868" s="45">
        <f>VLOOKUP(B868,'NonXtal_SegEnds_Prot#'!A:AL,24,FALSE)</f>
        <v>198</v>
      </c>
      <c r="M868" s="45">
        <f>VLOOKUP(B868,'NonXtal_SegEnds_Prot#'!A:AL,25,FALSE)</f>
        <v>198</v>
      </c>
      <c r="N868" s="45">
        <f>VLOOKUP(B868,'NonXtal_SegEnds_Prot#'!A:AL,26,FALSE)</f>
        <v>200</v>
      </c>
      <c r="O868" s="4" t="str">
        <f t="shared" si="79"/>
        <v>L</v>
      </c>
      <c r="P868" s="4"/>
      <c r="Q868" s="47" t="str">
        <f t="shared" si="81"/>
        <v/>
      </c>
      <c r="R868" s="27" t="str">
        <f t="shared" si="82"/>
        <v>C</v>
      </c>
      <c r="S868" s="19" t="str">
        <f t="shared" si="83"/>
        <v>ML</v>
      </c>
      <c r="Z868" s="4"/>
      <c r="AD868" s="1" t="s">
        <v>37</v>
      </c>
      <c r="AE868" s="1">
        <v>198</v>
      </c>
      <c r="AF868" s="1">
        <v>198</v>
      </c>
      <c r="AG868" s="1">
        <v>200</v>
      </c>
      <c r="AH868" s="1" t="s">
        <v>38</v>
      </c>
      <c r="AK868" s="4">
        <v>50</v>
      </c>
      <c r="AL868" s="4">
        <v>52</v>
      </c>
    </row>
    <row r="869" spans="1:38" x14ac:dyDescent="0.25">
      <c r="A869" s="1" t="str">
        <f t="shared" si="80"/>
        <v>OPRK_human__wt_ECL2</v>
      </c>
      <c r="B869" s="45" t="s">
        <v>227</v>
      </c>
      <c r="C869" s="45" t="s">
        <v>294</v>
      </c>
      <c r="D869" s="4" t="str">
        <f>VLOOKUP(B869,Classification!A:D,2,FALSE)</f>
        <v>A</v>
      </c>
      <c r="E869" s="4" t="str">
        <f>VLOOKUP(B869,Classification!A:D,3,FALSE)</f>
        <v>Peptide</v>
      </c>
      <c r="F869" s="4" t="str">
        <f>VLOOKUP(B869,Classification!A:D,4,FALSE)</f>
        <v>Opioid</v>
      </c>
      <c r="G869" s="2">
        <v>8</v>
      </c>
      <c r="H869" s="45" t="s">
        <v>35</v>
      </c>
      <c r="I869" s="2" t="s">
        <v>67</v>
      </c>
      <c r="J869" s="5" t="str">
        <f>VLOOKUP(B869,Seqs!A:B,2,FALSE)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869" s="4" t="str">
        <f t="shared" si="84"/>
        <v>C</v>
      </c>
      <c r="L869" s="45">
        <f>VLOOKUP(B869,'NonXtal_SegEnds_Prot#'!A:AL,24,FALSE)</f>
        <v>210</v>
      </c>
      <c r="M869" s="45">
        <f>VLOOKUP(B869,'NonXtal_SegEnds_Prot#'!A:AL,25,FALSE)</f>
        <v>210</v>
      </c>
      <c r="N869" s="45">
        <f>VLOOKUP(B869,'NonXtal_SegEnds_Prot#'!A:AL,26,FALSE)</f>
        <v>212</v>
      </c>
      <c r="O869" s="4" t="str">
        <f t="shared" si="79"/>
        <v>L</v>
      </c>
      <c r="P869" s="4"/>
      <c r="Q869" s="47" t="str">
        <f t="shared" si="81"/>
        <v/>
      </c>
      <c r="R869" s="27" t="str">
        <f t="shared" si="82"/>
        <v>C</v>
      </c>
      <c r="S869" s="19" t="str">
        <f t="shared" si="83"/>
        <v>SL</v>
      </c>
      <c r="Z869" s="4"/>
      <c r="AD869" s="1" t="s">
        <v>37</v>
      </c>
      <c r="AE869" s="1">
        <v>210</v>
      </c>
      <c r="AF869" s="1">
        <v>210</v>
      </c>
      <c r="AG869" s="1">
        <v>212</v>
      </c>
      <c r="AH869" s="1" t="s">
        <v>38</v>
      </c>
      <c r="AK869" s="4">
        <v>50</v>
      </c>
      <c r="AL869" s="4">
        <v>52</v>
      </c>
    </row>
    <row r="870" spans="1:38" x14ac:dyDescent="0.25">
      <c r="A870" s="1" t="str">
        <f t="shared" si="80"/>
        <v>OPRK_human_4DJH_ECL2</v>
      </c>
      <c r="B870" s="45" t="s">
        <v>227</v>
      </c>
      <c r="C870" s="45" t="s">
        <v>280</v>
      </c>
      <c r="D870" s="4" t="str">
        <f>VLOOKUP(B870,Classification!A:D,2,FALSE)</f>
        <v>A</v>
      </c>
      <c r="E870" s="4" t="str">
        <f>VLOOKUP(B870,Classification!A:D,3,FALSE)</f>
        <v>Peptide</v>
      </c>
      <c r="F870" s="4" t="str">
        <f>VLOOKUP(B870,Classification!A:D,4,FALSE)</f>
        <v>Opioid</v>
      </c>
      <c r="G870" s="2">
        <v>8</v>
      </c>
      <c r="H870" s="45" t="s">
        <v>35</v>
      </c>
      <c r="I870" s="2" t="s">
        <v>67</v>
      </c>
      <c r="J870" s="5" t="str">
        <f>VLOOKUP(B870,Seqs!A:B,2,FALSE)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870" s="4" t="str">
        <f t="shared" si="84"/>
        <v>C</v>
      </c>
      <c r="L870" s="45">
        <f>VLOOKUP(B870,'NonXtal_SegEnds_Prot#'!A:AL,24,FALSE)</f>
        <v>210</v>
      </c>
      <c r="M870" s="45">
        <f>VLOOKUP(B870,'NonXtal_SegEnds_Prot#'!A:AL,25,FALSE)</f>
        <v>210</v>
      </c>
      <c r="N870" s="45">
        <f>VLOOKUP(B870,'NonXtal_SegEnds_Prot#'!A:AL,26,FALSE)</f>
        <v>212</v>
      </c>
      <c r="O870" s="4" t="str">
        <f t="shared" si="79"/>
        <v>L</v>
      </c>
      <c r="P870" s="4"/>
      <c r="Q870" s="47" t="str">
        <f t="shared" si="81"/>
        <v/>
      </c>
      <c r="R870" s="27" t="str">
        <f t="shared" si="82"/>
        <v>C</v>
      </c>
      <c r="S870" s="19" t="str">
        <f t="shared" si="83"/>
        <v>SL</v>
      </c>
      <c r="Z870" s="4"/>
      <c r="AD870" s="1" t="s">
        <v>37</v>
      </c>
      <c r="AE870" s="1">
        <v>210</v>
      </c>
      <c r="AF870" s="1">
        <v>210</v>
      </c>
      <c r="AG870" s="1">
        <v>212</v>
      </c>
      <c r="AH870" s="1" t="s">
        <v>38</v>
      </c>
      <c r="AK870" s="4">
        <v>50</v>
      </c>
      <c r="AL870" s="4">
        <v>52</v>
      </c>
    </row>
    <row r="871" spans="1:38" x14ac:dyDescent="0.25">
      <c r="A871" s="1" t="str">
        <f t="shared" si="80"/>
        <v>OPRM_mouse__wt_ECL2</v>
      </c>
      <c r="B871" s="45" t="s">
        <v>232</v>
      </c>
      <c r="C871" s="45" t="s">
        <v>294</v>
      </c>
      <c r="D871" s="4" t="str">
        <f>VLOOKUP(B871,Classification!A:D,2,FALSE)</f>
        <v>A</v>
      </c>
      <c r="E871" s="4" t="str">
        <f>VLOOKUP(B871,Classification!A:D,3,FALSE)</f>
        <v>Peptide</v>
      </c>
      <c r="F871" s="4" t="str">
        <f>VLOOKUP(B871,Classification!A:D,4,FALSE)</f>
        <v>Opioid</v>
      </c>
      <c r="G871" s="2">
        <v>8</v>
      </c>
      <c r="H871" s="45" t="s">
        <v>35</v>
      </c>
      <c r="I871" s="2" t="s">
        <v>67</v>
      </c>
      <c r="J871" s="5" t="str">
        <f>VLOOKUP(B871,Seqs!A:B,2,FALSE)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871" s="4" t="str">
        <f t="shared" si="84"/>
        <v>C</v>
      </c>
      <c r="L871" s="45">
        <f>VLOOKUP(B871,'NonXtal_SegEnds_Prot#'!A:AL,24,FALSE)</f>
        <v>217</v>
      </c>
      <c r="M871" s="45">
        <f>VLOOKUP(B871,'NonXtal_SegEnds_Prot#'!A:AL,25,FALSE)</f>
        <v>217</v>
      </c>
      <c r="N871" s="45">
        <f>VLOOKUP(B871,'NonXtal_SegEnds_Prot#'!A:AL,26,FALSE)</f>
        <v>219</v>
      </c>
      <c r="O871" s="4" t="str">
        <f t="shared" si="79"/>
        <v>L</v>
      </c>
      <c r="P871" s="4"/>
      <c r="Q871" s="47" t="str">
        <f t="shared" si="81"/>
        <v/>
      </c>
      <c r="R871" s="27" t="str">
        <f t="shared" si="82"/>
        <v>C</v>
      </c>
      <c r="S871" s="19" t="str">
        <f t="shared" si="83"/>
        <v>TL</v>
      </c>
      <c r="Z871" s="4" t="s">
        <v>64</v>
      </c>
      <c r="AD871" s="1" t="s">
        <v>37</v>
      </c>
      <c r="AE871" s="1">
        <v>217</v>
      </c>
      <c r="AF871" s="1">
        <v>217</v>
      </c>
      <c r="AG871" s="1">
        <v>219</v>
      </c>
      <c r="AH871" s="1" t="s">
        <v>38</v>
      </c>
      <c r="AK871" s="4">
        <v>50</v>
      </c>
      <c r="AL871" s="4">
        <v>52</v>
      </c>
    </row>
    <row r="872" spans="1:38" x14ac:dyDescent="0.25">
      <c r="A872" s="1" t="str">
        <f t="shared" si="80"/>
        <v>OPRM_mouse_4DKL_ECL2</v>
      </c>
      <c r="B872" s="45" t="s">
        <v>232</v>
      </c>
      <c r="C872" s="45" t="s">
        <v>256</v>
      </c>
      <c r="D872" s="4" t="str">
        <f>VLOOKUP(B872,Classification!A:D,2,FALSE)</f>
        <v>A</v>
      </c>
      <c r="E872" s="4" t="str">
        <f>VLOOKUP(B872,Classification!A:D,3,FALSE)</f>
        <v>Peptide</v>
      </c>
      <c r="F872" s="4" t="str">
        <f>VLOOKUP(B872,Classification!A:D,4,FALSE)</f>
        <v>Opioid</v>
      </c>
      <c r="G872" s="2">
        <v>8</v>
      </c>
      <c r="H872" s="45" t="s">
        <v>35</v>
      </c>
      <c r="I872" s="2" t="s">
        <v>67</v>
      </c>
      <c r="J872" s="5" t="str">
        <f>VLOOKUP(B872,Seqs!A:B,2,FALSE)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872" s="4" t="str">
        <f t="shared" si="84"/>
        <v>C</v>
      </c>
      <c r="L872" s="45">
        <f>VLOOKUP(B872,'NonXtal_SegEnds_Prot#'!A:AL,24,FALSE)</f>
        <v>217</v>
      </c>
      <c r="M872" s="45">
        <f>VLOOKUP(B872,'NonXtal_SegEnds_Prot#'!A:AL,25,FALSE)</f>
        <v>217</v>
      </c>
      <c r="N872" s="45">
        <f>VLOOKUP(B872,'NonXtal_SegEnds_Prot#'!A:AL,26,FALSE)</f>
        <v>219</v>
      </c>
      <c r="O872" s="4" t="str">
        <f t="shared" si="79"/>
        <v>L</v>
      </c>
      <c r="P872" s="4"/>
      <c r="Q872" s="47" t="str">
        <f t="shared" si="81"/>
        <v/>
      </c>
      <c r="R872" s="27" t="str">
        <f t="shared" si="82"/>
        <v>C</v>
      </c>
      <c r="S872" s="19" t="str">
        <f t="shared" si="83"/>
        <v>TL</v>
      </c>
      <c r="Z872" s="4"/>
      <c r="AD872" s="1" t="s">
        <v>37</v>
      </c>
      <c r="AE872" s="1">
        <v>217</v>
      </c>
      <c r="AF872" s="1">
        <v>217</v>
      </c>
      <c r="AG872" s="1">
        <v>219</v>
      </c>
      <c r="AH872" s="1" t="s">
        <v>38</v>
      </c>
      <c r="AK872" s="4">
        <v>50</v>
      </c>
      <c r="AL872" s="4">
        <v>52</v>
      </c>
    </row>
    <row r="873" spans="1:38" x14ac:dyDescent="0.25">
      <c r="A873" s="1" t="str">
        <f t="shared" si="80"/>
        <v>OPRM_mouse_5C1M_ECL2</v>
      </c>
      <c r="B873" s="45" t="s">
        <v>232</v>
      </c>
      <c r="C873" s="45" t="s">
        <v>276</v>
      </c>
      <c r="D873" s="4" t="str">
        <f>VLOOKUP(B873,Classification!A:D,2,FALSE)</f>
        <v>A</v>
      </c>
      <c r="E873" s="4" t="str">
        <f>VLOOKUP(B873,Classification!A:D,3,FALSE)</f>
        <v>Peptide</v>
      </c>
      <c r="F873" s="4" t="str">
        <f>VLOOKUP(B873,Classification!A:D,4,FALSE)</f>
        <v>Opioid</v>
      </c>
      <c r="G873" s="2">
        <v>8</v>
      </c>
      <c r="H873" s="45" t="s">
        <v>35</v>
      </c>
      <c r="I873" s="2" t="s">
        <v>67</v>
      </c>
      <c r="J873" s="5" t="str">
        <f>VLOOKUP(B873,Seqs!A:B,2,FALSE)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873" s="4" t="str">
        <f t="shared" si="84"/>
        <v>C</v>
      </c>
      <c r="L873" s="45">
        <f>VLOOKUP(B873,'NonXtal_SegEnds_Prot#'!A:AL,24,FALSE)</f>
        <v>217</v>
      </c>
      <c r="M873" s="45">
        <f>VLOOKUP(B873,'NonXtal_SegEnds_Prot#'!A:AL,25,FALSE)</f>
        <v>217</v>
      </c>
      <c r="N873" s="45">
        <f>VLOOKUP(B873,'NonXtal_SegEnds_Prot#'!A:AL,26,FALSE)</f>
        <v>219</v>
      </c>
      <c r="O873" s="4" t="str">
        <f t="shared" si="79"/>
        <v>L</v>
      </c>
      <c r="P873" s="4"/>
      <c r="Q873" s="47" t="str">
        <f t="shared" si="81"/>
        <v/>
      </c>
      <c r="R873" s="27" t="str">
        <f t="shared" si="82"/>
        <v>C</v>
      </c>
      <c r="S873" s="19" t="str">
        <f t="shared" si="83"/>
        <v>TL</v>
      </c>
      <c r="Z873" s="4" t="s">
        <v>64</v>
      </c>
      <c r="AD873" s="1" t="s">
        <v>37</v>
      </c>
      <c r="AE873" s="1">
        <v>217</v>
      </c>
      <c r="AF873" s="1">
        <v>217</v>
      </c>
      <c r="AG873" s="1">
        <v>219</v>
      </c>
      <c r="AH873" s="1" t="s">
        <v>38</v>
      </c>
      <c r="AK873" s="4">
        <v>50</v>
      </c>
      <c r="AL873" s="4">
        <v>52</v>
      </c>
    </row>
    <row r="874" spans="1:38" x14ac:dyDescent="0.25">
      <c r="A874" s="1" t="str">
        <f t="shared" si="80"/>
        <v>OPRX_human__wt_ECL2</v>
      </c>
      <c r="B874" s="45" t="s">
        <v>1373</v>
      </c>
      <c r="C874" s="45" t="s">
        <v>294</v>
      </c>
      <c r="D874" s="4" t="str">
        <f>VLOOKUP(B874,Classification!A:D,2,FALSE)</f>
        <v>A</v>
      </c>
      <c r="E874" s="4" t="str">
        <f>VLOOKUP(B874,Classification!A:D,3,FALSE)</f>
        <v>Peptide</v>
      </c>
      <c r="F874" s="4" t="str">
        <f>VLOOKUP(B874,Classification!A:D,4,FALSE)</f>
        <v>Opioid</v>
      </c>
      <c r="G874" s="2">
        <v>8</v>
      </c>
      <c r="H874" s="45" t="s">
        <v>35</v>
      </c>
      <c r="I874" s="2" t="s">
        <v>67</v>
      </c>
      <c r="J874" s="5" t="str">
        <f>VLOOKUP(B874,Seqs!A:B,2,FALSE)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874" s="4" t="str">
        <f t="shared" si="84"/>
        <v>C</v>
      </c>
      <c r="L874" s="45">
        <f>VLOOKUP(B874,'NonXtal_SegEnds_Prot#'!A:AL,24,FALSE)</f>
        <v>200</v>
      </c>
      <c r="M874" s="45">
        <f>VLOOKUP(B874,'NonXtal_SegEnds_Prot#'!A:AL,25,FALSE)</f>
        <v>200</v>
      </c>
      <c r="N874" s="45">
        <f>VLOOKUP(B874,'NonXtal_SegEnds_Prot#'!A:AL,26,FALSE)</f>
        <v>202</v>
      </c>
      <c r="O874" s="4" t="str">
        <f t="shared" ref="O874:O937" si="85">MID(J874,N874,1)</f>
        <v>V</v>
      </c>
      <c r="P874" s="4"/>
      <c r="Q874" s="47" t="str">
        <f t="shared" si="81"/>
        <v/>
      </c>
      <c r="R874" s="27" t="str">
        <f t="shared" si="82"/>
        <v>C</v>
      </c>
      <c r="S874" s="19" t="str">
        <f t="shared" si="83"/>
        <v>LV</v>
      </c>
      <c r="Z874" s="4"/>
      <c r="AD874" s="1" t="s">
        <v>37</v>
      </c>
      <c r="AE874" s="1">
        <v>200</v>
      </c>
      <c r="AF874" s="1">
        <v>200</v>
      </c>
      <c r="AG874" s="1">
        <v>202</v>
      </c>
      <c r="AH874" s="1" t="s">
        <v>38</v>
      </c>
      <c r="AK874" s="4">
        <v>50</v>
      </c>
      <c r="AL874" s="4">
        <v>52</v>
      </c>
    </row>
    <row r="875" spans="1:38" x14ac:dyDescent="0.25">
      <c r="A875" s="1" t="str">
        <f t="shared" si="80"/>
        <v>OPRX_human_4EA3_ECL2</v>
      </c>
      <c r="B875" s="45" t="s">
        <v>1373</v>
      </c>
      <c r="C875" s="45" t="s">
        <v>258</v>
      </c>
      <c r="D875" s="4" t="str">
        <f>VLOOKUP(B875,Classification!A:D,2,FALSE)</f>
        <v>A</v>
      </c>
      <c r="E875" s="4" t="str">
        <f>VLOOKUP(B875,Classification!A:D,3,FALSE)</f>
        <v>Peptide</v>
      </c>
      <c r="F875" s="4" t="str">
        <f>VLOOKUP(B875,Classification!A:D,4,FALSE)</f>
        <v>Opioid</v>
      </c>
      <c r="G875" s="2">
        <v>8</v>
      </c>
      <c r="H875" s="45" t="s">
        <v>35</v>
      </c>
      <c r="I875" s="2" t="s">
        <v>67</v>
      </c>
      <c r="J875" s="5" t="str">
        <f>VLOOKUP(B875,Seqs!A:B,2,FALSE)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875" s="4" t="str">
        <f t="shared" si="84"/>
        <v>C</v>
      </c>
      <c r="L875" s="45">
        <f>VLOOKUP(B875,'NonXtal_SegEnds_Prot#'!A:AL,24,FALSE)</f>
        <v>200</v>
      </c>
      <c r="M875" s="45">
        <f>VLOOKUP(B875,'NonXtal_SegEnds_Prot#'!A:AL,25,FALSE)</f>
        <v>200</v>
      </c>
      <c r="N875" s="45">
        <f>VLOOKUP(B875,'NonXtal_SegEnds_Prot#'!A:AL,26,FALSE)</f>
        <v>202</v>
      </c>
      <c r="O875" s="4" t="str">
        <f t="shared" si="85"/>
        <v>V</v>
      </c>
      <c r="P875" s="4"/>
      <c r="Q875" s="47" t="str">
        <f t="shared" si="81"/>
        <v/>
      </c>
      <c r="R875" s="27" t="str">
        <f t="shared" si="82"/>
        <v>C</v>
      </c>
      <c r="S875" s="19" t="str">
        <f t="shared" si="83"/>
        <v>LV</v>
      </c>
      <c r="Z875" s="4"/>
      <c r="AD875" s="1" t="s">
        <v>37</v>
      </c>
      <c r="AE875" s="1">
        <v>200</v>
      </c>
      <c r="AF875" s="1">
        <v>200</v>
      </c>
      <c r="AG875" s="1">
        <v>202</v>
      </c>
      <c r="AH875" s="1" t="s">
        <v>38</v>
      </c>
      <c r="AK875" s="4">
        <v>50</v>
      </c>
      <c r="AL875" s="4">
        <v>52</v>
      </c>
    </row>
    <row r="876" spans="1:38" x14ac:dyDescent="0.25">
      <c r="A876" s="1" t="str">
        <f t="shared" si="80"/>
        <v>OPSD_bovin_1U19_ECL2</v>
      </c>
      <c r="B876" s="45" t="s">
        <v>231</v>
      </c>
      <c r="C876" s="45" t="s">
        <v>244</v>
      </c>
      <c r="D876" s="4" t="str">
        <f>VLOOKUP(B876,Classification!A:D,2,FALSE)</f>
        <v>A</v>
      </c>
      <c r="E876" s="4" t="str">
        <f>VLOOKUP(B876,Classification!A:D,3,FALSE)</f>
        <v>Sensory</v>
      </c>
      <c r="F876" s="4" t="str">
        <f>VLOOKUP(B876,Classification!A:D,4,FALSE)</f>
        <v>Opsins</v>
      </c>
      <c r="G876" s="2">
        <v>8</v>
      </c>
      <c r="H876" s="45" t="s">
        <v>35</v>
      </c>
      <c r="I876" s="2" t="s">
        <v>67</v>
      </c>
      <c r="J876" s="5" t="str">
        <f>VLOOKUP(B876,Seqs!A:B,2,FALSE)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876" s="4" t="str">
        <f t="shared" si="84"/>
        <v>C</v>
      </c>
      <c r="L876" s="45">
        <f>VLOOKUP(B876,'NonXtal_SegEnds_Prot#'!A:AL,24,FALSE)</f>
        <v>187</v>
      </c>
      <c r="M876" s="45">
        <f>VLOOKUP(B876,'NonXtal_SegEnds_Prot#'!A:AL,25,FALSE)</f>
        <v>187</v>
      </c>
      <c r="N876" s="45">
        <f>VLOOKUP(B876,'NonXtal_SegEnds_Prot#'!A:AL,26,FALSE)</f>
        <v>189</v>
      </c>
      <c r="O876" s="4" t="str">
        <f t="shared" si="85"/>
        <v>I</v>
      </c>
      <c r="P876" s="4"/>
      <c r="Q876" s="47" t="str">
        <f t="shared" si="81"/>
        <v/>
      </c>
      <c r="R876" s="27" t="str">
        <f t="shared" si="82"/>
        <v>C</v>
      </c>
      <c r="S876" s="19" t="str">
        <f t="shared" si="83"/>
        <v>GI</v>
      </c>
      <c r="Z876" s="4"/>
      <c r="AD876" s="1" t="s">
        <v>37</v>
      </c>
      <c r="AE876" s="1">
        <v>187</v>
      </c>
      <c r="AF876" s="1">
        <v>187</v>
      </c>
      <c r="AG876" s="1">
        <v>189</v>
      </c>
      <c r="AH876" s="1" t="s">
        <v>38</v>
      </c>
      <c r="AK876" s="4">
        <v>50</v>
      </c>
      <c r="AL876" s="4">
        <v>52</v>
      </c>
    </row>
    <row r="877" spans="1:38" x14ac:dyDescent="0.25">
      <c r="A877" s="1" t="str">
        <f t="shared" si="80"/>
        <v>OPSD_bovin_3DQB_ECL2</v>
      </c>
      <c r="B877" s="45" t="s">
        <v>231</v>
      </c>
      <c r="C877" s="45" t="s">
        <v>245</v>
      </c>
      <c r="D877" s="4" t="str">
        <f>VLOOKUP(B877,Classification!A:D,2,FALSE)</f>
        <v>A</v>
      </c>
      <c r="E877" s="4" t="str">
        <f>VLOOKUP(B877,Classification!A:D,3,FALSE)</f>
        <v>Sensory</v>
      </c>
      <c r="F877" s="4" t="str">
        <f>VLOOKUP(B877,Classification!A:D,4,FALSE)</f>
        <v>Opsins</v>
      </c>
      <c r="G877" s="2">
        <v>8</v>
      </c>
      <c r="H877" s="45" t="s">
        <v>35</v>
      </c>
      <c r="I877" s="2" t="s">
        <v>67</v>
      </c>
      <c r="J877" s="5" t="str">
        <f>VLOOKUP(B877,Seqs!A:B,2,FALSE)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877" s="4" t="str">
        <f t="shared" si="84"/>
        <v>C</v>
      </c>
      <c r="L877" s="45">
        <f>VLOOKUP(B877,'NonXtal_SegEnds_Prot#'!A:AL,24,FALSE)</f>
        <v>187</v>
      </c>
      <c r="M877" s="45">
        <f>VLOOKUP(B877,'NonXtal_SegEnds_Prot#'!A:AL,25,FALSE)</f>
        <v>187</v>
      </c>
      <c r="N877" s="45">
        <f>VLOOKUP(B877,'NonXtal_SegEnds_Prot#'!A:AL,26,FALSE)</f>
        <v>189</v>
      </c>
      <c r="O877" s="4" t="str">
        <f t="shared" si="85"/>
        <v>I</v>
      </c>
      <c r="P877" s="4"/>
      <c r="Q877" s="47" t="str">
        <f t="shared" si="81"/>
        <v/>
      </c>
      <c r="R877" s="27" t="str">
        <f t="shared" si="82"/>
        <v>C</v>
      </c>
      <c r="S877" s="19" t="str">
        <f t="shared" si="83"/>
        <v>GI</v>
      </c>
      <c r="Z877" s="4"/>
      <c r="AD877" s="1" t="s">
        <v>37</v>
      </c>
      <c r="AE877" s="1">
        <v>187</v>
      </c>
      <c r="AF877" s="1">
        <v>187</v>
      </c>
      <c r="AG877" s="1">
        <v>189</v>
      </c>
      <c r="AH877" s="1" t="s">
        <v>38</v>
      </c>
      <c r="AK877" s="4">
        <v>50</v>
      </c>
      <c r="AL877" s="4">
        <v>52</v>
      </c>
    </row>
    <row r="878" spans="1:38" x14ac:dyDescent="0.25">
      <c r="A878" s="1" t="str">
        <f t="shared" si="80"/>
        <v>OPSD_human__wt_ECL2</v>
      </c>
      <c r="B878" s="45" t="s">
        <v>228</v>
      </c>
      <c r="C878" s="45" t="s">
        <v>294</v>
      </c>
      <c r="D878" s="4" t="str">
        <f>VLOOKUP(B878,Classification!A:D,2,FALSE)</f>
        <v>A</v>
      </c>
      <c r="E878" s="4" t="str">
        <f>VLOOKUP(B878,Classification!A:D,3,FALSE)</f>
        <v>Sensory</v>
      </c>
      <c r="F878" s="4" t="str">
        <f>VLOOKUP(B878,Classification!A:D,4,FALSE)</f>
        <v>Opsins</v>
      </c>
      <c r="G878" s="2">
        <v>8</v>
      </c>
      <c r="H878" s="45" t="s">
        <v>35</v>
      </c>
      <c r="I878" s="2" t="s">
        <v>67</v>
      </c>
      <c r="J878" s="5" t="str">
        <f>VLOOKUP(B878,Seqs!A:B,2,FALSE)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78" s="4" t="str">
        <f t="shared" si="84"/>
        <v>C</v>
      </c>
      <c r="L878" s="45">
        <f>VLOOKUP(B878,'NonXtal_SegEnds_Prot#'!A:AL,24,FALSE)</f>
        <v>187</v>
      </c>
      <c r="M878" s="45">
        <f>VLOOKUP(B878,'NonXtal_SegEnds_Prot#'!A:AL,25,FALSE)</f>
        <v>187</v>
      </c>
      <c r="N878" s="45">
        <f>VLOOKUP(B878,'NonXtal_SegEnds_Prot#'!A:AL,26,FALSE)</f>
        <v>189</v>
      </c>
      <c r="O878" s="4" t="str">
        <f t="shared" si="85"/>
        <v>I</v>
      </c>
      <c r="P878" s="4"/>
      <c r="Q878" s="47" t="str">
        <f t="shared" si="81"/>
        <v/>
      </c>
      <c r="R878" s="27" t="str">
        <f t="shared" si="82"/>
        <v>C</v>
      </c>
      <c r="S878" s="19" t="str">
        <f t="shared" si="83"/>
        <v>GI</v>
      </c>
      <c r="Z878" s="4"/>
      <c r="AD878" s="1" t="s">
        <v>37</v>
      </c>
      <c r="AE878" s="1">
        <v>187</v>
      </c>
      <c r="AF878" s="1">
        <v>187</v>
      </c>
      <c r="AG878" s="1">
        <v>189</v>
      </c>
      <c r="AH878" s="1" t="s">
        <v>38</v>
      </c>
      <c r="AK878" s="4">
        <v>50</v>
      </c>
      <c r="AL878" s="4">
        <v>52</v>
      </c>
    </row>
    <row r="879" spans="1:38" x14ac:dyDescent="0.25">
      <c r="A879" s="1" t="str">
        <f t="shared" si="80"/>
        <v>OPSD_human__wt_ECL2</v>
      </c>
      <c r="B879" s="45" t="s">
        <v>228</v>
      </c>
      <c r="C879" s="45" t="s">
        <v>294</v>
      </c>
      <c r="D879" s="4" t="str">
        <f>VLOOKUP(B879,Classification!A:D,2,FALSE)</f>
        <v>A</v>
      </c>
      <c r="E879" s="4" t="str">
        <f>VLOOKUP(B879,Classification!A:D,3,FALSE)</f>
        <v>Sensory</v>
      </c>
      <c r="F879" s="4" t="str">
        <f>VLOOKUP(B879,Classification!A:D,4,FALSE)</f>
        <v>Opsins</v>
      </c>
      <c r="G879" s="2">
        <v>8</v>
      </c>
      <c r="H879" s="45" t="s">
        <v>35</v>
      </c>
      <c r="I879" s="2" t="s">
        <v>67</v>
      </c>
      <c r="J879" s="5" t="str">
        <f>VLOOKUP(B879,Seqs!A:B,2,FALSE)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79" s="4" t="str">
        <f t="shared" si="84"/>
        <v>C</v>
      </c>
      <c r="L879" s="45">
        <f>VLOOKUP(B879,'NonXtal_SegEnds_Prot#'!A:AL,24,FALSE)</f>
        <v>187</v>
      </c>
      <c r="M879" s="45">
        <f>VLOOKUP(B879,'NonXtal_SegEnds_Prot#'!A:AL,25,FALSE)</f>
        <v>187</v>
      </c>
      <c r="N879" s="45">
        <f>VLOOKUP(B879,'NonXtal_SegEnds_Prot#'!A:AL,26,FALSE)</f>
        <v>189</v>
      </c>
      <c r="O879" s="4" t="str">
        <f t="shared" si="85"/>
        <v>I</v>
      </c>
      <c r="P879" s="4"/>
      <c r="Q879" s="47" t="str">
        <f t="shared" si="81"/>
        <v/>
      </c>
      <c r="R879" s="27" t="str">
        <f t="shared" si="82"/>
        <v>C</v>
      </c>
      <c r="S879" s="19" t="str">
        <f t="shared" si="83"/>
        <v>GI</v>
      </c>
      <c r="Z879" s="4" t="s">
        <v>64</v>
      </c>
      <c r="AD879" s="1" t="s">
        <v>37</v>
      </c>
      <c r="AE879" s="1">
        <v>187</v>
      </c>
      <c r="AF879" s="1">
        <v>187</v>
      </c>
      <c r="AG879" s="1">
        <v>189</v>
      </c>
      <c r="AH879" s="1" t="s">
        <v>38</v>
      </c>
      <c r="AK879" s="4">
        <v>50</v>
      </c>
      <c r="AL879" s="4">
        <v>52</v>
      </c>
    </row>
    <row r="880" spans="1:38" x14ac:dyDescent="0.25">
      <c r="A880" s="1" t="str">
        <f t="shared" si="80"/>
        <v>OPSD_human_4ZWJ_ECL2</v>
      </c>
      <c r="B880" s="45" t="s">
        <v>228</v>
      </c>
      <c r="C880" s="45" t="s">
        <v>246</v>
      </c>
      <c r="D880" s="4" t="str">
        <f>VLOOKUP(B880,Classification!A:D,2,FALSE)</f>
        <v>A</v>
      </c>
      <c r="E880" s="4" t="str">
        <f>VLOOKUP(B880,Classification!A:D,3,FALSE)</f>
        <v>Sensory</v>
      </c>
      <c r="F880" s="4" t="str">
        <f>VLOOKUP(B880,Classification!A:D,4,FALSE)</f>
        <v>Opsins</v>
      </c>
      <c r="G880" s="2">
        <v>8</v>
      </c>
      <c r="H880" s="45" t="s">
        <v>35</v>
      </c>
      <c r="I880" s="2" t="s">
        <v>67</v>
      </c>
      <c r="J880" s="5" t="str">
        <f>VLOOKUP(B880,Seqs!A:B,2,FALSE)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80" s="4" t="str">
        <f t="shared" si="84"/>
        <v>C</v>
      </c>
      <c r="L880" s="45">
        <f>VLOOKUP(B880,'NonXtal_SegEnds_Prot#'!A:AL,24,FALSE)</f>
        <v>187</v>
      </c>
      <c r="M880" s="45">
        <f>VLOOKUP(B880,'NonXtal_SegEnds_Prot#'!A:AL,25,FALSE)</f>
        <v>187</v>
      </c>
      <c r="N880" s="45">
        <f>VLOOKUP(B880,'NonXtal_SegEnds_Prot#'!A:AL,26,FALSE)</f>
        <v>189</v>
      </c>
      <c r="O880" s="4" t="str">
        <f t="shared" si="85"/>
        <v>I</v>
      </c>
      <c r="P880" s="4"/>
      <c r="Q880" s="47" t="str">
        <f t="shared" si="81"/>
        <v/>
      </c>
      <c r="R880" s="27" t="str">
        <f t="shared" si="82"/>
        <v>C</v>
      </c>
      <c r="S880" s="19" t="str">
        <f t="shared" si="83"/>
        <v>GI</v>
      </c>
      <c r="Z880" s="4"/>
      <c r="AD880" s="1" t="s">
        <v>37</v>
      </c>
      <c r="AE880" s="1">
        <v>187</v>
      </c>
      <c r="AF880" s="1">
        <v>187</v>
      </c>
      <c r="AG880" s="1">
        <v>189</v>
      </c>
      <c r="AH880" s="1" t="s">
        <v>38</v>
      </c>
      <c r="AK880" s="4">
        <v>50</v>
      </c>
      <c r="AL880" s="4">
        <v>52</v>
      </c>
    </row>
    <row r="881" spans="1:38" x14ac:dyDescent="0.25">
      <c r="A881" s="1" t="str">
        <f t="shared" si="80"/>
        <v>OPSD_human_4ZWJ_ECL2</v>
      </c>
      <c r="B881" s="45" t="s">
        <v>228</v>
      </c>
      <c r="C881" s="45" t="s">
        <v>246</v>
      </c>
      <c r="D881" s="4" t="str">
        <f>VLOOKUP(B881,Classification!A:D,2,FALSE)</f>
        <v>A</v>
      </c>
      <c r="E881" s="4" t="str">
        <f>VLOOKUP(B881,Classification!A:D,3,FALSE)</f>
        <v>Sensory</v>
      </c>
      <c r="F881" s="4" t="str">
        <f>VLOOKUP(B881,Classification!A:D,4,FALSE)</f>
        <v>Opsins</v>
      </c>
      <c r="G881" s="2">
        <v>8</v>
      </c>
      <c r="H881" s="45" t="s">
        <v>35</v>
      </c>
      <c r="I881" s="2" t="s">
        <v>67</v>
      </c>
      <c r="J881" s="5" t="str">
        <f>VLOOKUP(B881,Seqs!A:B,2,FALSE)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81" s="4" t="str">
        <f t="shared" si="84"/>
        <v>C</v>
      </c>
      <c r="L881" s="45">
        <f>VLOOKUP(B881,'NonXtal_SegEnds_Prot#'!A:AL,24,FALSE)</f>
        <v>187</v>
      </c>
      <c r="M881" s="45">
        <f>VLOOKUP(B881,'NonXtal_SegEnds_Prot#'!A:AL,25,FALSE)</f>
        <v>187</v>
      </c>
      <c r="N881" s="45">
        <f>VLOOKUP(B881,'NonXtal_SegEnds_Prot#'!A:AL,26,FALSE)</f>
        <v>189</v>
      </c>
      <c r="O881" s="4" t="str">
        <f t="shared" si="85"/>
        <v>I</v>
      </c>
      <c r="P881" s="4"/>
      <c r="Q881" s="47" t="str">
        <f t="shared" si="81"/>
        <v/>
      </c>
      <c r="R881" s="27" t="str">
        <f t="shared" si="82"/>
        <v>C</v>
      </c>
      <c r="S881" s="19" t="str">
        <f t="shared" si="83"/>
        <v>GI</v>
      </c>
      <c r="Z881" s="4" t="s">
        <v>64</v>
      </c>
      <c r="AD881" s="1" t="s">
        <v>37</v>
      </c>
      <c r="AE881" s="1">
        <v>187</v>
      </c>
      <c r="AF881" s="1">
        <v>187</v>
      </c>
      <c r="AG881" s="1">
        <v>189</v>
      </c>
      <c r="AH881" s="1" t="s">
        <v>38</v>
      </c>
      <c r="AK881" s="4">
        <v>50</v>
      </c>
      <c r="AL881" s="4">
        <v>52</v>
      </c>
    </row>
    <row r="882" spans="1:38" x14ac:dyDescent="0.25">
      <c r="A882" s="1" t="str">
        <f t="shared" si="80"/>
        <v>OPSD_todpa__wt_ECL2</v>
      </c>
      <c r="B882" s="45" t="s">
        <v>291</v>
      </c>
      <c r="C882" s="45" t="s">
        <v>294</v>
      </c>
      <c r="D882" s="4" t="str">
        <f>VLOOKUP(B882,Classification!A:D,2,FALSE)</f>
        <v>A</v>
      </c>
      <c r="E882" s="4" t="str">
        <f>VLOOKUP(B882,Classification!A:D,3,FALSE)</f>
        <v>Sensory</v>
      </c>
      <c r="F882" s="4" t="str">
        <f>VLOOKUP(B882,Classification!A:D,4,FALSE)</f>
        <v>Opsins</v>
      </c>
      <c r="G882" s="2">
        <v>8</v>
      </c>
      <c r="H882" s="45" t="s">
        <v>35</v>
      </c>
      <c r="I882" s="2" t="s">
        <v>67</v>
      </c>
      <c r="J882" s="5" t="str">
        <f>VLOOKUP(B882,Seqs!A:B,2,FALSE)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882" s="4" t="str">
        <f t="shared" si="84"/>
        <v>C</v>
      </c>
      <c r="L882" s="45">
        <f>VLOOKUP(B882,'NonXtal_SegEnds_Prot#'!A:AL,24,FALSE)</f>
        <v>186</v>
      </c>
      <c r="M882" s="45">
        <f>VLOOKUP(B882,'NonXtal_SegEnds_Prot#'!A:AL,25,FALSE)</f>
        <v>186</v>
      </c>
      <c r="N882" s="45">
        <f>VLOOKUP(B882,'NonXtal_SegEnds_Prot#'!A:AL,26,FALSE)</f>
        <v>188</v>
      </c>
      <c r="O882" s="4" t="str">
        <f t="shared" si="85"/>
        <v>F</v>
      </c>
      <c r="P882" s="4"/>
      <c r="Q882" s="47" t="str">
        <f t="shared" si="81"/>
        <v/>
      </c>
      <c r="R882" s="27" t="str">
        <f t="shared" si="82"/>
        <v>C</v>
      </c>
      <c r="S882" s="19" t="str">
        <f t="shared" si="83"/>
        <v>SF</v>
      </c>
      <c r="Z882" s="4"/>
      <c r="AD882" s="1" t="s">
        <v>37</v>
      </c>
      <c r="AE882" s="1">
        <v>186</v>
      </c>
      <c r="AF882" s="1">
        <v>186</v>
      </c>
      <c r="AG882" s="1">
        <v>188</v>
      </c>
      <c r="AH882" s="1" t="s">
        <v>38</v>
      </c>
      <c r="AK882" s="4">
        <v>50</v>
      </c>
      <c r="AL882" s="4">
        <v>52</v>
      </c>
    </row>
    <row r="883" spans="1:38" x14ac:dyDescent="0.25">
      <c r="A883" s="1" t="str">
        <f t="shared" si="80"/>
        <v>OPSD_todpa_2Z73_ECL2</v>
      </c>
      <c r="B883" s="45" t="s">
        <v>291</v>
      </c>
      <c r="C883" s="45" t="s">
        <v>290</v>
      </c>
      <c r="D883" s="4" t="str">
        <f>VLOOKUP(B883,Classification!A:D,2,FALSE)</f>
        <v>A</v>
      </c>
      <c r="E883" s="4" t="str">
        <f>VLOOKUP(B883,Classification!A:D,3,FALSE)</f>
        <v>Sensory</v>
      </c>
      <c r="F883" s="4" t="str">
        <f>VLOOKUP(B883,Classification!A:D,4,FALSE)</f>
        <v>Opsins</v>
      </c>
      <c r="G883" s="2">
        <v>8</v>
      </c>
      <c r="H883" s="45" t="s">
        <v>35</v>
      </c>
      <c r="I883" s="2" t="s">
        <v>67</v>
      </c>
      <c r="J883" s="5" t="str">
        <f>VLOOKUP(B883,Seqs!A:B,2,FALSE)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883" s="4" t="str">
        <f t="shared" si="84"/>
        <v>C</v>
      </c>
      <c r="L883" s="45">
        <f>VLOOKUP(B883,'NonXtal_SegEnds_Prot#'!A:AL,24,FALSE)</f>
        <v>186</v>
      </c>
      <c r="M883" s="45">
        <f>VLOOKUP(B883,'NonXtal_SegEnds_Prot#'!A:AL,25,FALSE)</f>
        <v>186</v>
      </c>
      <c r="N883" s="45">
        <f>VLOOKUP(B883,'NonXtal_SegEnds_Prot#'!A:AL,26,FALSE)</f>
        <v>188</v>
      </c>
      <c r="O883" s="4" t="str">
        <f t="shared" si="85"/>
        <v>F</v>
      </c>
      <c r="P883" s="4"/>
      <c r="Q883" s="47" t="str">
        <f t="shared" si="81"/>
        <v/>
      </c>
      <c r="R883" s="27" t="str">
        <f t="shared" si="82"/>
        <v>C</v>
      </c>
      <c r="S883" s="19" t="str">
        <f t="shared" si="83"/>
        <v>SF</v>
      </c>
      <c r="Z883" s="4"/>
      <c r="AD883" s="1" t="s">
        <v>37</v>
      </c>
      <c r="AE883" s="1">
        <v>186</v>
      </c>
      <c r="AF883" s="1">
        <v>186</v>
      </c>
      <c r="AG883" s="1">
        <v>188</v>
      </c>
      <c r="AH883" s="1" t="s">
        <v>38</v>
      </c>
      <c r="AK883" s="4">
        <v>50</v>
      </c>
      <c r="AL883" s="4">
        <v>52</v>
      </c>
    </row>
    <row r="884" spans="1:38" x14ac:dyDescent="0.25">
      <c r="A884" s="1" t="str">
        <f t="shared" si="80"/>
        <v>OX1R_human__wt_ECL2</v>
      </c>
      <c r="B884" s="45" t="s">
        <v>1374</v>
      </c>
      <c r="C884" s="45" t="s">
        <v>294</v>
      </c>
      <c r="D884" s="4" t="str">
        <f>VLOOKUP(B884,Classification!A:D,2,FALSE)</f>
        <v>A</v>
      </c>
      <c r="E884" s="4" t="str">
        <f>VLOOKUP(B884,Classification!A:D,3,FALSE)</f>
        <v>Peptide</v>
      </c>
      <c r="F884" s="4" t="str">
        <f>VLOOKUP(B884,Classification!A:D,4,FALSE)</f>
        <v>Orexin</v>
      </c>
      <c r="G884" s="2">
        <v>8</v>
      </c>
      <c r="H884" s="45" t="s">
        <v>35</v>
      </c>
      <c r="I884" s="2" t="s">
        <v>67</v>
      </c>
      <c r="J884" s="5" t="str">
        <f>VLOOKUP(B884,Seqs!A:B,2,FALSE)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884" s="4" t="str">
        <f t="shared" si="84"/>
        <v>C</v>
      </c>
      <c r="L884" s="45">
        <f>VLOOKUP(B884,'NonXtal_SegEnds_Prot#'!A:AL,24,FALSE)</f>
        <v>202</v>
      </c>
      <c r="M884" s="45">
        <f>VLOOKUP(B884,'NonXtal_SegEnds_Prot#'!A:AL,25,FALSE)</f>
        <v>202</v>
      </c>
      <c r="N884" s="45">
        <f>VLOOKUP(B884,'NonXtal_SegEnds_Prot#'!A:AL,26,FALSE)</f>
        <v>204</v>
      </c>
      <c r="O884" s="4" t="str">
        <f t="shared" si="85"/>
        <v>E</v>
      </c>
      <c r="P884" s="4"/>
      <c r="Q884" s="47" t="str">
        <f t="shared" si="81"/>
        <v/>
      </c>
      <c r="R884" s="27" t="str">
        <f t="shared" si="82"/>
        <v>C</v>
      </c>
      <c r="S884" s="19" t="str">
        <f t="shared" si="83"/>
        <v>DE</v>
      </c>
      <c r="Z884" s="4" t="s">
        <v>78</v>
      </c>
      <c r="AD884" s="1" t="s">
        <v>37</v>
      </c>
      <c r="AE884" s="1">
        <v>202</v>
      </c>
      <c r="AF884" s="1">
        <v>202</v>
      </c>
      <c r="AG884" s="1">
        <v>204</v>
      </c>
      <c r="AH884" s="1" t="s">
        <v>38</v>
      </c>
      <c r="AK884" s="4">
        <v>50</v>
      </c>
      <c r="AL884" s="4">
        <v>52</v>
      </c>
    </row>
    <row r="885" spans="1:38" x14ac:dyDescent="0.25">
      <c r="A885" s="1" t="str">
        <f t="shared" si="80"/>
        <v>OX1R_human_4ZJ8_ECL2</v>
      </c>
      <c r="B885" s="45" t="s">
        <v>1374</v>
      </c>
      <c r="C885" s="45" t="s">
        <v>282</v>
      </c>
      <c r="D885" s="4" t="str">
        <f>VLOOKUP(B885,Classification!A:D,2,FALSE)</f>
        <v>A</v>
      </c>
      <c r="E885" s="4" t="str">
        <f>VLOOKUP(B885,Classification!A:D,3,FALSE)</f>
        <v>Peptide</v>
      </c>
      <c r="F885" s="4" t="str">
        <f>VLOOKUP(B885,Classification!A:D,4,FALSE)</f>
        <v>Orexin</v>
      </c>
      <c r="G885" s="2">
        <v>8</v>
      </c>
      <c r="H885" s="45" t="s">
        <v>35</v>
      </c>
      <c r="I885" s="2" t="s">
        <v>67</v>
      </c>
      <c r="J885" s="5" t="str">
        <f>VLOOKUP(B885,Seqs!A:B,2,FALSE)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885" s="4" t="str">
        <f t="shared" si="84"/>
        <v>C</v>
      </c>
      <c r="L885" s="45">
        <f>VLOOKUP(B885,'NonXtal_SegEnds_Prot#'!A:AL,24,FALSE)</f>
        <v>202</v>
      </c>
      <c r="M885" s="45">
        <f>VLOOKUP(B885,'NonXtal_SegEnds_Prot#'!A:AL,25,FALSE)</f>
        <v>202</v>
      </c>
      <c r="N885" s="45">
        <f>VLOOKUP(B885,'NonXtal_SegEnds_Prot#'!A:AL,26,FALSE)</f>
        <v>204</v>
      </c>
      <c r="O885" s="4" t="str">
        <f t="shared" si="85"/>
        <v>E</v>
      </c>
      <c r="P885" s="4"/>
      <c r="Q885" s="47" t="str">
        <f t="shared" si="81"/>
        <v/>
      </c>
      <c r="R885" s="28" t="str">
        <f t="shared" si="82"/>
        <v>C</v>
      </c>
      <c r="S885" s="20" t="str">
        <f t="shared" si="83"/>
        <v>DE</v>
      </c>
      <c r="Z885" s="4" t="s">
        <v>78</v>
      </c>
      <c r="AD885" s="1" t="s">
        <v>37</v>
      </c>
      <c r="AE885" s="1">
        <v>202</v>
      </c>
      <c r="AF885" s="1">
        <v>202</v>
      </c>
      <c r="AG885" s="1">
        <v>204</v>
      </c>
      <c r="AH885" s="1" t="s">
        <v>38</v>
      </c>
      <c r="AK885" s="4">
        <v>50</v>
      </c>
      <c r="AL885" s="4">
        <v>52</v>
      </c>
    </row>
    <row r="886" spans="1:38" x14ac:dyDescent="0.25">
      <c r="A886" s="1" t="str">
        <f t="shared" si="80"/>
        <v>OX1R_human_4ZJC_ECL2</v>
      </c>
      <c r="B886" s="45" t="s">
        <v>1374</v>
      </c>
      <c r="C886" s="45" t="s">
        <v>283</v>
      </c>
      <c r="D886" s="4" t="str">
        <f>VLOOKUP(B886,Classification!A:D,2,FALSE)</f>
        <v>A</v>
      </c>
      <c r="E886" s="4" t="str">
        <f>VLOOKUP(B886,Classification!A:D,3,FALSE)</f>
        <v>Peptide</v>
      </c>
      <c r="F886" s="4" t="str">
        <f>VLOOKUP(B886,Classification!A:D,4,FALSE)</f>
        <v>Orexin</v>
      </c>
      <c r="G886" s="2">
        <v>8</v>
      </c>
      <c r="H886" s="45" t="s">
        <v>35</v>
      </c>
      <c r="I886" s="2" t="s">
        <v>67</v>
      </c>
      <c r="J886" s="5" t="str">
        <f>VLOOKUP(B886,Seqs!A:B,2,FALSE)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886" s="4" t="str">
        <f t="shared" si="84"/>
        <v>C</v>
      </c>
      <c r="L886" s="45">
        <f>VLOOKUP(B886,'NonXtal_SegEnds_Prot#'!A:AL,24,FALSE)</f>
        <v>202</v>
      </c>
      <c r="M886" s="45">
        <f>VLOOKUP(B886,'NonXtal_SegEnds_Prot#'!A:AL,25,FALSE)</f>
        <v>202</v>
      </c>
      <c r="N886" s="45">
        <f>VLOOKUP(B886,'NonXtal_SegEnds_Prot#'!A:AL,26,FALSE)</f>
        <v>204</v>
      </c>
      <c r="O886" s="4" t="str">
        <f t="shared" si="85"/>
        <v>E</v>
      </c>
      <c r="P886" s="4"/>
      <c r="Q886" s="47" t="str">
        <f t="shared" si="81"/>
        <v/>
      </c>
      <c r="R886" s="28" t="str">
        <f t="shared" si="82"/>
        <v>C</v>
      </c>
      <c r="S886" s="20" t="str">
        <f t="shared" si="83"/>
        <v>DE</v>
      </c>
      <c r="Z886" s="4"/>
      <c r="AD886" s="1" t="s">
        <v>37</v>
      </c>
      <c r="AE886" s="1">
        <v>202</v>
      </c>
      <c r="AF886" s="1">
        <v>202</v>
      </c>
      <c r="AG886" s="1">
        <v>204</v>
      </c>
      <c r="AH886" s="1" t="s">
        <v>38</v>
      </c>
      <c r="AK886" s="4">
        <v>50</v>
      </c>
      <c r="AL886" s="4">
        <v>52</v>
      </c>
    </row>
    <row r="887" spans="1:38" x14ac:dyDescent="0.25">
      <c r="A887" s="1" t="str">
        <f t="shared" si="80"/>
        <v>OX2R_human__wt_ECL2</v>
      </c>
      <c r="B887" s="45" t="s">
        <v>1375</v>
      </c>
      <c r="C887" s="45" t="s">
        <v>294</v>
      </c>
      <c r="D887" s="4" t="str">
        <f>VLOOKUP(B887,Classification!A:D,2,FALSE)</f>
        <v>A</v>
      </c>
      <c r="E887" s="4" t="str">
        <f>VLOOKUP(B887,Classification!A:D,3,FALSE)</f>
        <v>Peptide</v>
      </c>
      <c r="F887" s="4" t="str">
        <f>VLOOKUP(B887,Classification!A:D,4,FALSE)</f>
        <v>Orexin</v>
      </c>
      <c r="G887" s="2">
        <v>8</v>
      </c>
      <c r="H887" s="45" t="s">
        <v>35</v>
      </c>
      <c r="I887" s="2" t="s">
        <v>67</v>
      </c>
      <c r="J887" s="5" t="str">
        <f>VLOOKUP(B887,Seqs!A:B,2,FALSE)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887" s="4" t="str">
        <f t="shared" si="84"/>
        <v>C</v>
      </c>
      <c r="L887" s="45">
        <f>VLOOKUP(B887,'NonXtal_SegEnds_Prot#'!A:AL,24,FALSE)</f>
        <v>210</v>
      </c>
      <c r="M887" s="45">
        <f>VLOOKUP(B887,'NonXtal_SegEnds_Prot#'!A:AL,25,FALSE)</f>
        <v>210</v>
      </c>
      <c r="N887" s="45">
        <f>VLOOKUP(B887,'NonXtal_SegEnds_Prot#'!A:AL,26,FALSE)</f>
        <v>212</v>
      </c>
      <c r="O887" s="4" t="str">
        <f t="shared" si="85"/>
        <v>E</v>
      </c>
      <c r="P887" s="4"/>
      <c r="Q887" s="47" t="str">
        <f t="shared" si="81"/>
        <v/>
      </c>
      <c r="R887" s="28" t="str">
        <f t="shared" si="82"/>
        <v>C</v>
      </c>
      <c r="S887" s="20" t="str">
        <f t="shared" si="83"/>
        <v>DE</v>
      </c>
      <c r="Z887" s="4"/>
      <c r="AD887" s="1" t="s">
        <v>37</v>
      </c>
      <c r="AE887" s="1">
        <v>210</v>
      </c>
      <c r="AF887" s="1">
        <v>210</v>
      </c>
      <c r="AG887" s="1">
        <v>212</v>
      </c>
      <c r="AH887" s="1" t="s">
        <v>38</v>
      </c>
      <c r="AK887" s="4">
        <v>50</v>
      </c>
      <c r="AL887" s="4">
        <v>52</v>
      </c>
    </row>
    <row r="888" spans="1:38" x14ac:dyDescent="0.25">
      <c r="A888" s="1" t="str">
        <f t="shared" si="80"/>
        <v>OX2R_human_4S0V_ECL2</v>
      </c>
      <c r="B888" s="45" t="s">
        <v>1375</v>
      </c>
      <c r="C888" s="45" t="s">
        <v>284</v>
      </c>
      <c r="D888" s="4" t="str">
        <f>VLOOKUP(B888,Classification!A:D,2,FALSE)</f>
        <v>A</v>
      </c>
      <c r="E888" s="4" t="str">
        <f>VLOOKUP(B888,Classification!A:D,3,FALSE)</f>
        <v>Peptide</v>
      </c>
      <c r="F888" s="4" t="str">
        <f>VLOOKUP(B888,Classification!A:D,4,FALSE)</f>
        <v>Orexin</v>
      </c>
      <c r="G888" s="2">
        <v>8</v>
      </c>
      <c r="H888" s="45" t="s">
        <v>35</v>
      </c>
      <c r="I888" s="2" t="s">
        <v>67</v>
      </c>
      <c r="J888" s="5" t="str">
        <f>VLOOKUP(B888,Seqs!A:B,2,FALSE)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888" s="4" t="str">
        <f t="shared" si="84"/>
        <v>C</v>
      </c>
      <c r="L888" s="45">
        <f>VLOOKUP(B888,'NonXtal_SegEnds_Prot#'!A:AL,24,FALSE)</f>
        <v>210</v>
      </c>
      <c r="M888" s="45">
        <f>VLOOKUP(B888,'NonXtal_SegEnds_Prot#'!A:AL,25,FALSE)</f>
        <v>210</v>
      </c>
      <c r="N888" s="45">
        <f>VLOOKUP(B888,'NonXtal_SegEnds_Prot#'!A:AL,26,FALSE)</f>
        <v>212</v>
      </c>
      <c r="O888" s="4" t="str">
        <f t="shared" si="85"/>
        <v>E</v>
      </c>
      <c r="P888" s="4" t="s">
        <v>1227</v>
      </c>
      <c r="Q888" s="47" t="str">
        <f t="shared" si="81"/>
        <v/>
      </c>
      <c r="R888" s="28" t="str">
        <f t="shared" si="82"/>
        <v>C</v>
      </c>
      <c r="S888" s="20" t="str">
        <f t="shared" si="83"/>
        <v>DE</v>
      </c>
      <c r="Z888" s="4"/>
      <c r="AD888" s="1" t="s">
        <v>37</v>
      </c>
      <c r="AE888" s="1">
        <v>210</v>
      </c>
      <c r="AF888" s="1">
        <v>210</v>
      </c>
      <c r="AG888" s="1">
        <v>212</v>
      </c>
      <c r="AH888" s="1" t="s">
        <v>38</v>
      </c>
      <c r="AK888" s="4">
        <v>50</v>
      </c>
      <c r="AL888" s="4">
        <v>52</v>
      </c>
    </row>
    <row r="889" spans="1:38" x14ac:dyDescent="0.25">
      <c r="A889" s="1" t="str">
        <f t="shared" si="80"/>
        <v>P2RY1_human__wt_ECL2</v>
      </c>
      <c r="B889" s="45" t="s">
        <v>215</v>
      </c>
      <c r="C889" s="45" t="s">
        <v>294</v>
      </c>
      <c r="D889" s="4" t="str">
        <f>VLOOKUP(B889,Classification!A:D,2,FALSE)</f>
        <v>A</v>
      </c>
      <c r="E889" s="4" t="str">
        <f>VLOOKUP(B889,Classification!A:D,3,FALSE)</f>
        <v>Nucleotide</v>
      </c>
      <c r="F889" s="4" t="str">
        <f>VLOOKUP(B889,Classification!A:D,4,FALSE)</f>
        <v>P2Y</v>
      </c>
      <c r="G889" s="2">
        <v>8</v>
      </c>
      <c r="H889" s="45" t="s">
        <v>35</v>
      </c>
      <c r="I889" s="2" t="s">
        <v>67</v>
      </c>
      <c r="J889" s="5" t="str">
        <f>VLOOKUP(B889,Seqs!A:B,2,FALSE)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889" s="4" t="str">
        <f t="shared" si="84"/>
        <v>C</v>
      </c>
      <c r="L889" s="45">
        <f>VLOOKUP(B889,'NonXtal_SegEnds_Prot#'!A:AL,24,FALSE)</f>
        <v>202</v>
      </c>
      <c r="M889" s="45">
        <f>VLOOKUP(B889,'NonXtal_SegEnds_Prot#'!A:AL,25,FALSE)</f>
        <v>202</v>
      </c>
      <c r="N889" s="45">
        <f>VLOOKUP(B889,'NonXtal_SegEnds_Prot#'!A:AL,26,FALSE)</f>
        <v>204</v>
      </c>
      <c r="O889" s="4" t="str">
        <f t="shared" si="85"/>
        <v>D</v>
      </c>
      <c r="P889" s="4"/>
      <c r="Q889" s="47" t="str">
        <f t="shared" si="81"/>
        <v/>
      </c>
      <c r="R889" s="27" t="str">
        <f t="shared" si="82"/>
        <v>C</v>
      </c>
      <c r="S889" s="19" t="str">
        <f t="shared" si="83"/>
        <v>YD</v>
      </c>
      <c r="Z889" s="4"/>
      <c r="AD889" s="1" t="s">
        <v>37</v>
      </c>
      <c r="AE889" s="1">
        <v>202</v>
      </c>
      <c r="AF889" s="1">
        <v>202</v>
      </c>
      <c r="AG889" s="1">
        <v>204</v>
      </c>
      <c r="AH889" s="1" t="s">
        <v>38</v>
      </c>
      <c r="AK889" s="4">
        <v>50</v>
      </c>
      <c r="AL889" s="4">
        <v>52</v>
      </c>
    </row>
    <row r="890" spans="1:38" x14ac:dyDescent="0.25">
      <c r="A890" s="1" t="str">
        <f t="shared" si="80"/>
        <v>P2RY1_human_4xNV_ECL2</v>
      </c>
      <c r="B890" s="45" t="s">
        <v>215</v>
      </c>
      <c r="C890" s="45" t="s">
        <v>274</v>
      </c>
      <c r="D890" s="4" t="str">
        <f>VLOOKUP(B890,Classification!A:D,2,FALSE)</f>
        <v>A</v>
      </c>
      <c r="E890" s="4" t="str">
        <f>VLOOKUP(B890,Classification!A:D,3,FALSE)</f>
        <v>Nucleotide</v>
      </c>
      <c r="F890" s="4" t="str">
        <f>VLOOKUP(B890,Classification!A:D,4,FALSE)</f>
        <v>P2Y</v>
      </c>
      <c r="G890" s="2">
        <v>8</v>
      </c>
      <c r="H890" s="45" t="s">
        <v>35</v>
      </c>
      <c r="I890" s="2" t="s">
        <v>67</v>
      </c>
      <c r="J890" s="5" t="str">
        <f>VLOOKUP(B890,Seqs!A:B,2,FALSE)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890" s="4" t="str">
        <f t="shared" si="84"/>
        <v>C</v>
      </c>
      <c r="L890" s="45">
        <f>VLOOKUP(B890,'NonXtal_SegEnds_Prot#'!A:AL,24,FALSE)</f>
        <v>202</v>
      </c>
      <c r="M890" s="45">
        <f>VLOOKUP(B890,'NonXtal_SegEnds_Prot#'!A:AL,25,FALSE)</f>
        <v>202</v>
      </c>
      <c r="N890" s="45">
        <f>VLOOKUP(B890,'NonXtal_SegEnds_Prot#'!A:AL,26,FALSE)</f>
        <v>204</v>
      </c>
      <c r="O890" s="4" t="str">
        <f t="shared" si="85"/>
        <v>D</v>
      </c>
      <c r="P890" s="4"/>
      <c r="Q890" s="47" t="str">
        <f t="shared" si="81"/>
        <v/>
      </c>
      <c r="R890" s="27" t="str">
        <f t="shared" si="82"/>
        <v>C</v>
      </c>
      <c r="S890" s="19" t="str">
        <f t="shared" si="83"/>
        <v>YD</v>
      </c>
      <c r="Z890" s="4"/>
      <c r="AD890" s="1" t="s">
        <v>37</v>
      </c>
      <c r="AE890" s="1">
        <v>202</v>
      </c>
      <c r="AF890" s="1">
        <v>202</v>
      </c>
      <c r="AG890" s="1">
        <v>204</v>
      </c>
      <c r="AH890" s="1" t="s">
        <v>38</v>
      </c>
      <c r="AK890" s="4">
        <v>50</v>
      </c>
      <c r="AL890" s="4">
        <v>52</v>
      </c>
    </row>
    <row r="891" spans="1:38" x14ac:dyDescent="0.25">
      <c r="A891" s="1" t="str">
        <f t="shared" si="80"/>
        <v>P2Y12_human__wt_ECL2</v>
      </c>
      <c r="B891" s="45" t="s">
        <v>216</v>
      </c>
      <c r="C891" s="45" t="s">
        <v>294</v>
      </c>
      <c r="D891" s="4" t="str">
        <f>VLOOKUP(B891,Classification!A:D,2,FALSE)</f>
        <v>A</v>
      </c>
      <c r="E891" s="4" t="str">
        <f>VLOOKUP(B891,Classification!A:D,3,FALSE)</f>
        <v>Nucleotide</v>
      </c>
      <c r="F891" s="4" t="str">
        <f>VLOOKUP(B891,Classification!A:D,4,FALSE)</f>
        <v>P2Y</v>
      </c>
      <c r="G891" s="2">
        <v>8</v>
      </c>
      <c r="H891" s="45" t="s">
        <v>35</v>
      </c>
      <c r="I891" s="2" t="s">
        <v>67</v>
      </c>
      <c r="J891" s="5" t="str">
        <f>VLOOKUP(B891,Seqs!A:B,2,FALSE)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891" s="4" t="str">
        <f t="shared" si="84"/>
        <v>C</v>
      </c>
      <c r="L891" s="45">
        <f>VLOOKUP(B891,'NonXtal_SegEnds_Prot#'!A:AL,24,FALSE)</f>
        <v>175</v>
      </c>
      <c r="M891" s="45">
        <f>VLOOKUP(B891,'NonXtal_SegEnds_Prot#'!A:AL,25,FALSE)</f>
        <v>175</v>
      </c>
      <c r="N891" s="45">
        <f>VLOOKUP(B891,'NonXtal_SegEnds_Prot#'!A:AL,26,FALSE)</f>
        <v>177</v>
      </c>
      <c r="O891" s="4" t="str">
        <f t="shared" si="85"/>
        <v>F</v>
      </c>
      <c r="P891" s="4"/>
      <c r="Q891" s="47" t="str">
        <f t="shared" si="81"/>
        <v/>
      </c>
      <c r="R891" s="27" t="str">
        <f t="shared" si="82"/>
        <v>C</v>
      </c>
      <c r="S891" s="19" t="str">
        <f t="shared" si="83"/>
        <v>SF</v>
      </c>
      <c r="Z891" s="4"/>
      <c r="AD891" s="1" t="s">
        <v>37</v>
      </c>
      <c r="AE891" s="1">
        <v>175</v>
      </c>
      <c r="AF891" s="1">
        <v>175</v>
      </c>
      <c r="AG891" s="1">
        <v>177</v>
      </c>
      <c r="AH891" s="1" t="s">
        <v>38</v>
      </c>
      <c r="AK891" s="4">
        <v>50</v>
      </c>
      <c r="AL891" s="4">
        <v>52</v>
      </c>
    </row>
    <row r="892" spans="1:38" x14ac:dyDescent="0.25">
      <c r="A892" s="1" t="str">
        <f t="shared" si="80"/>
        <v>P2Y12_human_4PxZ_ECL2</v>
      </c>
      <c r="B892" s="45" t="s">
        <v>216</v>
      </c>
      <c r="C892" s="45" t="s">
        <v>242</v>
      </c>
      <c r="D892" s="4" t="str">
        <f>VLOOKUP(B892,Classification!A:D,2,FALSE)</f>
        <v>A</v>
      </c>
      <c r="E892" s="4" t="str">
        <f>VLOOKUP(B892,Classification!A:D,3,FALSE)</f>
        <v>Nucleotide</v>
      </c>
      <c r="F892" s="4" t="str">
        <f>VLOOKUP(B892,Classification!A:D,4,FALSE)</f>
        <v>P2Y</v>
      </c>
      <c r="G892" s="2">
        <v>8</v>
      </c>
      <c r="H892" s="45" t="s">
        <v>35</v>
      </c>
      <c r="I892" s="2" t="s">
        <v>67</v>
      </c>
      <c r="J892" s="5" t="str">
        <f>VLOOKUP(B892,Seqs!A:B,2,FALSE)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892" s="4" t="str">
        <f t="shared" si="84"/>
        <v>C</v>
      </c>
      <c r="L892" s="45">
        <f>VLOOKUP(B892,'NonXtal_SegEnds_Prot#'!A:AL,24,FALSE)</f>
        <v>175</v>
      </c>
      <c r="M892" s="45">
        <f>VLOOKUP(B892,'NonXtal_SegEnds_Prot#'!A:AL,25,FALSE)</f>
        <v>175</v>
      </c>
      <c r="N892" s="45">
        <f>VLOOKUP(B892,'NonXtal_SegEnds_Prot#'!A:AL,26,FALSE)</f>
        <v>177</v>
      </c>
      <c r="O892" s="4" t="str">
        <f t="shared" si="85"/>
        <v>F</v>
      </c>
      <c r="P892" s="4"/>
      <c r="Q892" s="47" t="str">
        <f t="shared" si="81"/>
        <v/>
      </c>
      <c r="R892" s="27" t="str">
        <f t="shared" si="82"/>
        <v>C</v>
      </c>
      <c r="S892" s="19" t="str">
        <f t="shared" si="83"/>
        <v>SF</v>
      </c>
      <c r="Z892" s="4"/>
      <c r="AD892" s="1" t="s">
        <v>37</v>
      </c>
      <c r="AE892" s="1">
        <v>175</v>
      </c>
      <c r="AF892" s="1">
        <v>175</v>
      </c>
      <c r="AG892" s="1">
        <v>177</v>
      </c>
      <c r="AH892" s="1" t="s">
        <v>38</v>
      </c>
      <c r="AK892" s="4">
        <v>50</v>
      </c>
      <c r="AL892" s="4">
        <v>52</v>
      </c>
    </row>
    <row r="893" spans="1:38" x14ac:dyDescent="0.25">
      <c r="A893" s="1" t="str">
        <f t="shared" si="80"/>
        <v>PAR1_human__wt_ECL2</v>
      </c>
      <c r="B893" s="45" t="s">
        <v>229</v>
      </c>
      <c r="C893" s="45" t="s">
        <v>294</v>
      </c>
      <c r="D893" s="4" t="str">
        <f>VLOOKUP(B893,Classification!A:D,2,FALSE)</f>
        <v>A</v>
      </c>
      <c r="E893" s="4" t="str">
        <f>VLOOKUP(B893,Classification!A:D,3,FALSE)</f>
        <v>Peptide</v>
      </c>
      <c r="F893" s="4" t="str">
        <f>VLOOKUP(B893,Classification!A:D,4,FALSE)</f>
        <v>Proteinase-activated</v>
      </c>
      <c r="G893" s="2">
        <v>8</v>
      </c>
      <c r="H893" s="45" t="s">
        <v>35</v>
      </c>
      <c r="I893" s="2" t="s">
        <v>67</v>
      </c>
      <c r="J893" s="5" t="str">
        <f>VLOOKUP(B893,Seqs!A:B,2,FALSE)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893" s="4" t="str">
        <f t="shared" si="84"/>
        <v>C</v>
      </c>
      <c r="L893" s="45">
        <f>VLOOKUP(B893,'NonXtal_SegEnds_Prot#'!A:AL,24,FALSE)</f>
        <v>254</v>
      </c>
      <c r="M893" s="45">
        <f>VLOOKUP(B893,'NonXtal_SegEnds_Prot#'!A:AL,25,FALSE)</f>
        <v>254</v>
      </c>
      <c r="N893" s="45">
        <f>VLOOKUP(B893,'NonXtal_SegEnds_Prot#'!A:AL,26,FALSE)</f>
        <v>256</v>
      </c>
      <c r="O893" s="4" t="str">
        <f t="shared" si="85"/>
        <v>D</v>
      </c>
      <c r="P893" s="4"/>
      <c r="Q893" s="47" t="str">
        <f t="shared" si="81"/>
        <v/>
      </c>
      <c r="R893" s="27" t="str">
        <f t="shared" si="82"/>
        <v>C</v>
      </c>
      <c r="S893" s="19" t="str">
        <f t="shared" si="83"/>
        <v>HD</v>
      </c>
      <c r="Z893" s="4"/>
      <c r="AD893" s="1" t="s">
        <v>37</v>
      </c>
      <c r="AE893" s="1">
        <v>254</v>
      </c>
      <c r="AF893" s="1">
        <v>254</v>
      </c>
      <c r="AG893" s="1">
        <v>256</v>
      </c>
      <c r="AH893" s="1" t="s">
        <v>38</v>
      </c>
      <c r="AK893" s="4">
        <v>50</v>
      </c>
      <c r="AL893" s="4">
        <v>52</v>
      </c>
    </row>
    <row r="894" spans="1:38" x14ac:dyDescent="0.25">
      <c r="A894" s="1" t="str">
        <f t="shared" si="80"/>
        <v>PAR1_human_3VW7_ECL2</v>
      </c>
      <c r="B894" s="45" t="s">
        <v>229</v>
      </c>
      <c r="C894" s="45" t="s">
        <v>285</v>
      </c>
      <c r="D894" s="4" t="str">
        <f>VLOOKUP(B894,Classification!A:D,2,FALSE)</f>
        <v>A</v>
      </c>
      <c r="E894" s="4" t="str">
        <f>VLOOKUP(B894,Classification!A:D,3,FALSE)</f>
        <v>Peptide</v>
      </c>
      <c r="F894" s="4" t="str">
        <f>VLOOKUP(B894,Classification!A:D,4,FALSE)</f>
        <v>Proteinase-activated</v>
      </c>
      <c r="G894" s="2">
        <v>8</v>
      </c>
      <c r="H894" s="45" t="s">
        <v>35</v>
      </c>
      <c r="I894" s="2" t="s">
        <v>67</v>
      </c>
      <c r="J894" s="5" t="str">
        <f>VLOOKUP(B894,Seqs!A:B,2,FALSE)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894" s="4" t="str">
        <f t="shared" si="84"/>
        <v>C</v>
      </c>
      <c r="L894" s="45">
        <f>VLOOKUP(B894,'NonXtal_SegEnds_Prot#'!A:AL,24,FALSE)</f>
        <v>254</v>
      </c>
      <c r="M894" s="45">
        <f>VLOOKUP(B894,'NonXtal_SegEnds_Prot#'!A:AL,25,FALSE)</f>
        <v>254</v>
      </c>
      <c r="N894" s="45">
        <f>VLOOKUP(B894,'NonXtal_SegEnds_Prot#'!A:AL,26,FALSE)</f>
        <v>256</v>
      </c>
      <c r="O894" s="4" t="str">
        <f t="shared" si="85"/>
        <v>D</v>
      </c>
      <c r="P894" s="4"/>
      <c r="Q894" s="47" t="str">
        <f t="shared" si="81"/>
        <v/>
      </c>
      <c r="R894" s="27" t="str">
        <f t="shared" si="82"/>
        <v>C</v>
      </c>
      <c r="S894" s="19" t="str">
        <f t="shared" si="83"/>
        <v>HD</v>
      </c>
      <c r="Z894" s="4"/>
      <c r="AD894" s="1" t="s">
        <v>37</v>
      </c>
      <c r="AE894" s="1">
        <v>254</v>
      </c>
      <c r="AF894" s="1">
        <v>254</v>
      </c>
      <c r="AG894" s="1">
        <v>256</v>
      </c>
      <c r="AH894" s="1" t="s">
        <v>38</v>
      </c>
      <c r="AK894" s="4">
        <v>50</v>
      </c>
      <c r="AL894" s="4">
        <v>52</v>
      </c>
    </row>
    <row r="895" spans="1:38" x14ac:dyDescent="0.25">
      <c r="A895" s="1" t="str">
        <f t="shared" si="80"/>
        <v>S1PR1_human__wt_ECL2</v>
      </c>
      <c r="B895" s="45" t="s">
        <v>217</v>
      </c>
      <c r="C895" s="45" t="s">
        <v>294</v>
      </c>
      <c r="D895" s="4" t="str">
        <f>VLOOKUP(B895,Classification!A:D,2,FALSE)</f>
        <v>A</v>
      </c>
      <c r="E895" s="4" t="str">
        <f>VLOOKUP(B895,Classification!A:D,3,FALSE)</f>
        <v>Lipid</v>
      </c>
      <c r="F895" s="4" t="str">
        <f>VLOOKUP(B895,Classification!A:D,4,FALSE)</f>
        <v>Lysophospholipid(S1P)</v>
      </c>
      <c r="G895" s="2">
        <v>8</v>
      </c>
      <c r="H895" s="45" t="s">
        <v>35</v>
      </c>
      <c r="I895" s="2" t="s">
        <v>67</v>
      </c>
      <c r="J895" s="5" t="str">
        <f>VLOOKUP(B895,Seqs!A:B,2,FALSE)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95" s="4" t="e">
        <f t="shared" si="84"/>
        <v>#VALUE!</v>
      </c>
      <c r="L895" s="45" t="str">
        <f>VLOOKUP(B895,'NonXtal_SegEnds_Prot#'!A:AL,24,FALSE)</f>
        <v>-</v>
      </c>
      <c r="M895" s="45" t="str">
        <f>VLOOKUP(B895,'NonXtal_SegEnds_Prot#'!A:AL,25,FALSE)</f>
        <v>-</v>
      </c>
      <c r="N895" s="45" t="str">
        <f>VLOOKUP(B895,'NonXtal_SegEnds_Prot#'!A:AL,26,FALSE)</f>
        <v>-</v>
      </c>
      <c r="O895" s="4" t="e">
        <f t="shared" si="85"/>
        <v>#VALUE!</v>
      </c>
      <c r="P895" s="4"/>
      <c r="Q895" s="47" t="e">
        <f t="shared" si="81"/>
        <v>#VALUE!</v>
      </c>
      <c r="R895" s="27" t="e">
        <f t="shared" si="82"/>
        <v>#VALUE!</v>
      </c>
      <c r="S895" s="19" t="e">
        <f t="shared" si="83"/>
        <v>#VALUE!</v>
      </c>
      <c r="Z895" s="4"/>
      <c r="AD895" s="1" t="s">
        <v>129</v>
      </c>
      <c r="AE895" s="1" t="s">
        <v>129</v>
      </c>
      <c r="AF895" s="1" t="s">
        <v>129</v>
      </c>
      <c r="AG895" s="1" t="s">
        <v>129</v>
      </c>
      <c r="AH895" s="1" t="s">
        <v>129</v>
      </c>
      <c r="AK895" s="4" t="s">
        <v>129</v>
      </c>
      <c r="AL895" s="4" t="s">
        <v>129</v>
      </c>
    </row>
    <row r="896" spans="1:38" x14ac:dyDescent="0.25">
      <c r="A896" s="1" t="str">
        <f t="shared" si="80"/>
        <v>S1PR1_human_3V2Y_ECL2</v>
      </c>
      <c r="B896" s="45" t="s">
        <v>217</v>
      </c>
      <c r="C896" s="45" t="s">
        <v>286</v>
      </c>
      <c r="D896" s="4" t="str">
        <f>VLOOKUP(B896,Classification!A:D,2,FALSE)</f>
        <v>A</v>
      </c>
      <c r="E896" s="4" t="str">
        <f>VLOOKUP(B896,Classification!A:D,3,FALSE)</f>
        <v>Lipid</v>
      </c>
      <c r="F896" s="4" t="str">
        <f>VLOOKUP(B896,Classification!A:D,4,FALSE)</f>
        <v>Lysophospholipid(S1P)</v>
      </c>
      <c r="G896" s="2">
        <v>8</v>
      </c>
      <c r="H896" s="45" t="s">
        <v>35</v>
      </c>
      <c r="I896" s="2" t="s">
        <v>67</v>
      </c>
      <c r="J896" s="5" t="str">
        <f>VLOOKUP(B896,Seqs!A:B,2,FALSE)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96" s="4" t="e">
        <f t="shared" si="84"/>
        <v>#VALUE!</v>
      </c>
      <c r="L896" s="45" t="str">
        <f>VLOOKUP(B896,'NonXtal_SegEnds_Prot#'!A:AL,24,FALSE)</f>
        <v>-</v>
      </c>
      <c r="M896" s="45" t="str">
        <f>VLOOKUP(B896,'NonXtal_SegEnds_Prot#'!A:AL,25,FALSE)</f>
        <v>-</v>
      </c>
      <c r="N896" s="45" t="str">
        <f>VLOOKUP(B896,'NonXtal_SegEnds_Prot#'!A:AL,26,FALSE)</f>
        <v>-</v>
      </c>
      <c r="O896" s="4" t="e">
        <f t="shared" si="85"/>
        <v>#VALUE!</v>
      </c>
      <c r="P896" s="4"/>
      <c r="Q896" s="47" t="e">
        <f t="shared" si="81"/>
        <v>#VALUE!</v>
      </c>
      <c r="R896" s="27" t="e">
        <f t="shared" si="82"/>
        <v>#VALUE!</v>
      </c>
      <c r="S896" s="19" t="e">
        <f t="shared" si="83"/>
        <v>#VALUE!</v>
      </c>
      <c r="Z896" s="4"/>
      <c r="AD896" s="1" t="s">
        <v>129</v>
      </c>
      <c r="AE896" s="1" t="s">
        <v>129</v>
      </c>
      <c r="AF896" s="1" t="s">
        <v>129</v>
      </c>
      <c r="AG896" s="1" t="s">
        <v>129</v>
      </c>
      <c r="AH896" s="1" t="s">
        <v>129</v>
      </c>
      <c r="AK896" s="4" t="s">
        <v>129</v>
      </c>
      <c r="AL896" s="4" t="s">
        <v>129</v>
      </c>
    </row>
    <row r="897" spans="1:38" x14ac:dyDescent="0.25">
      <c r="A897" s="1" t="str">
        <f t="shared" si="80"/>
        <v>smo_human__wt_ECL2</v>
      </c>
      <c r="B897" s="45" t="s">
        <v>207</v>
      </c>
      <c r="C897" s="45" t="s">
        <v>294</v>
      </c>
      <c r="D897" s="4" t="str">
        <f>VLOOKUP(B897,Classification!A:D,2,FALSE)</f>
        <v>F</v>
      </c>
      <c r="E897" s="4" t="str">
        <f>VLOOKUP(B897,Classification!A:D,3,FALSE)</f>
        <v>Protein</v>
      </c>
      <c r="F897" s="4" t="str">
        <f>VLOOKUP(B897,Classification!A:D,4,FALSE)</f>
        <v>Frizzled</v>
      </c>
      <c r="G897" s="2">
        <v>8</v>
      </c>
      <c r="H897" s="45" t="s">
        <v>35</v>
      </c>
      <c r="I897" s="2" t="s">
        <v>67</v>
      </c>
      <c r="J897" s="5" t="str">
        <f>VLOOKUP(B897,Seqs!A:B,2,FALSE)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97" s="4" t="str">
        <f t="shared" si="84"/>
        <v>C</v>
      </c>
      <c r="L897" s="45">
        <f>VLOOKUP(B897,'NonXtal_SegEnds_Prot#'!A:AL,24,FALSE)</f>
        <v>390</v>
      </c>
      <c r="M897" s="45">
        <f>VLOOKUP(B897,'NonXtal_SegEnds_Prot#'!A:AL,25,FALSE)</f>
        <v>390</v>
      </c>
      <c r="N897" s="45">
        <f>VLOOKUP(B897,'NonXtal_SegEnds_Prot#'!A:AL,26,FALSE)</f>
        <v>392</v>
      </c>
      <c r="O897" s="4" t="str">
        <f t="shared" si="85"/>
        <v>V</v>
      </c>
      <c r="P897" s="4"/>
      <c r="Q897" s="47" t="str">
        <f t="shared" si="81"/>
        <v/>
      </c>
      <c r="R897" s="27" t="str">
        <f t="shared" si="82"/>
        <v>C</v>
      </c>
      <c r="S897" s="19" t="str">
        <f t="shared" si="83"/>
        <v>FV</v>
      </c>
      <c r="Z897" s="4"/>
      <c r="AD897" s="1" t="s">
        <v>37</v>
      </c>
      <c r="AE897" s="1">
        <v>390</v>
      </c>
      <c r="AF897" s="1">
        <v>390</v>
      </c>
      <c r="AG897" s="1">
        <v>392</v>
      </c>
      <c r="AH897" s="1" t="s">
        <v>38</v>
      </c>
      <c r="AK897" s="4">
        <v>50</v>
      </c>
      <c r="AL897" s="4">
        <v>52</v>
      </c>
    </row>
    <row r="898" spans="1:38" x14ac:dyDescent="0.25">
      <c r="A898" s="1" t="str">
        <f t="shared" ref="A898:A961" si="86">CONCATENATE(B898,"_",C898,"_",H898)</f>
        <v>smo_human_4JKV_ECL2</v>
      </c>
      <c r="B898" s="45" t="s">
        <v>207</v>
      </c>
      <c r="C898" s="45" t="s">
        <v>278</v>
      </c>
      <c r="D898" s="4" t="str">
        <f>VLOOKUP(B898,Classification!A:D,2,FALSE)</f>
        <v>F</v>
      </c>
      <c r="E898" s="4" t="str">
        <f>VLOOKUP(B898,Classification!A:D,3,FALSE)</f>
        <v>Protein</v>
      </c>
      <c r="F898" s="4" t="str">
        <f>VLOOKUP(B898,Classification!A:D,4,FALSE)</f>
        <v>Frizzled</v>
      </c>
      <c r="G898" s="2">
        <v>8</v>
      </c>
      <c r="H898" s="45" t="s">
        <v>35</v>
      </c>
      <c r="I898" s="2" t="s">
        <v>67</v>
      </c>
      <c r="J898" s="5" t="str">
        <f>VLOOKUP(B898,Seqs!A:B,2,FALSE)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98" s="4" t="str">
        <f t="shared" si="84"/>
        <v>C</v>
      </c>
      <c r="L898" s="45">
        <f>VLOOKUP(B898,'NonXtal_SegEnds_Prot#'!A:AL,24,FALSE)</f>
        <v>390</v>
      </c>
      <c r="M898" s="45">
        <f>VLOOKUP(B898,'NonXtal_SegEnds_Prot#'!A:AL,25,FALSE)</f>
        <v>390</v>
      </c>
      <c r="N898" s="45">
        <f>VLOOKUP(B898,'NonXtal_SegEnds_Prot#'!A:AL,26,FALSE)</f>
        <v>392</v>
      </c>
      <c r="O898" s="4" t="str">
        <f t="shared" si="85"/>
        <v>V</v>
      </c>
      <c r="P898" s="4"/>
      <c r="Q898" s="47" t="str">
        <f t="shared" ref="Q898:Q961" si="87">MID(J898,L898,M898-L898)</f>
        <v/>
      </c>
      <c r="R898" s="27" t="str">
        <f t="shared" ref="R898:R961" si="88">MID(J898,M898,1)</f>
        <v>C</v>
      </c>
      <c r="S898" s="19" t="str">
        <f t="shared" ref="S898:S961" si="89">MID(J898,M898+1,N898-M898)</f>
        <v>FV</v>
      </c>
      <c r="Z898" s="4"/>
      <c r="AD898" s="1" t="s">
        <v>37</v>
      </c>
      <c r="AE898" s="1">
        <v>390</v>
      </c>
      <c r="AF898" s="1">
        <v>390</v>
      </c>
      <c r="AG898" s="1">
        <v>392</v>
      </c>
      <c r="AH898" s="1" t="s">
        <v>38</v>
      </c>
      <c r="AK898" s="4">
        <v>50</v>
      </c>
      <c r="AL898" s="4">
        <v>52</v>
      </c>
    </row>
    <row r="899" spans="1:38" x14ac:dyDescent="0.25">
      <c r="A899" s="1" t="str">
        <f t="shared" si="86"/>
        <v>smo_human_4QIN_ECL2</v>
      </c>
      <c r="B899" s="45" t="s">
        <v>207</v>
      </c>
      <c r="C899" s="45" t="s">
        <v>247</v>
      </c>
      <c r="D899" s="4" t="str">
        <f>VLOOKUP(B899,Classification!A:D,2,FALSE)</f>
        <v>F</v>
      </c>
      <c r="E899" s="4" t="str">
        <f>VLOOKUP(B899,Classification!A:D,3,FALSE)</f>
        <v>Protein</v>
      </c>
      <c r="F899" s="4" t="str">
        <f>VLOOKUP(B899,Classification!A:D,4,FALSE)</f>
        <v>Frizzled</v>
      </c>
      <c r="G899" s="2">
        <v>8</v>
      </c>
      <c r="H899" s="45" t="s">
        <v>35</v>
      </c>
      <c r="I899" s="2" t="s">
        <v>67</v>
      </c>
      <c r="J899" s="5" t="str">
        <f>VLOOKUP(B899,Seqs!A:B,2,FALSE)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99" s="4" t="str">
        <f t="shared" si="84"/>
        <v>C</v>
      </c>
      <c r="L899" s="45">
        <f>VLOOKUP(B899,'NonXtal_SegEnds_Prot#'!A:AL,24,FALSE)</f>
        <v>390</v>
      </c>
      <c r="M899" s="45">
        <f>VLOOKUP(B899,'NonXtal_SegEnds_Prot#'!A:AL,25,FALSE)</f>
        <v>390</v>
      </c>
      <c r="N899" s="45">
        <f>VLOOKUP(B899,'NonXtal_SegEnds_Prot#'!A:AL,26,FALSE)</f>
        <v>392</v>
      </c>
      <c r="O899" s="4" t="str">
        <f t="shared" si="85"/>
        <v>V</v>
      </c>
      <c r="P899" s="4"/>
      <c r="Q899" s="47" t="str">
        <f t="shared" si="87"/>
        <v/>
      </c>
      <c r="R899" s="27" t="str">
        <f t="shared" si="88"/>
        <v>C</v>
      </c>
      <c r="S899" s="19" t="str">
        <f t="shared" si="89"/>
        <v>FV</v>
      </c>
      <c r="Z899" s="4"/>
      <c r="AD899" s="1" t="s">
        <v>37</v>
      </c>
      <c r="AE899" s="1">
        <v>390</v>
      </c>
      <c r="AF899" s="1">
        <v>390</v>
      </c>
      <c r="AG899" s="1">
        <v>392</v>
      </c>
      <c r="AH899" s="1" t="s">
        <v>38</v>
      </c>
      <c r="AK899" s="4">
        <v>50</v>
      </c>
      <c r="AL899" s="4">
        <v>52</v>
      </c>
    </row>
    <row r="900" spans="1:38" x14ac:dyDescent="0.25">
      <c r="A900" s="1" t="str">
        <f t="shared" si="86"/>
        <v>US28_hcmva__wt_ECL2</v>
      </c>
      <c r="B900" s="45" t="s">
        <v>230</v>
      </c>
      <c r="C900" s="45" t="s">
        <v>294</v>
      </c>
      <c r="D900" s="4" t="str">
        <f>VLOOKUP(B900,Classification!A:D,2,FALSE)</f>
        <v>A</v>
      </c>
      <c r="E900" s="4" t="str">
        <f>VLOOKUP(B900,Classification!A:D,3,FALSE)</f>
        <v>Peptide</v>
      </c>
      <c r="F900" s="4" t="str">
        <f>VLOOKUP(B900,Classification!A:D,4,FALSE)</f>
        <v>Chemokine</v>
      </c>
      <c r="G900" s="2">
        <v>8</v>
      </c>
      <c r="H900" s="45" t="s">
        <v>35</v>
      </c>
      <c r="I900" s="2" t="s">
        <v>67</v>
      </c>
      <c r="J900" s="5" t="str">
        <f>VLOOKUP(B900,Seqs!A:B,2,FALSE)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900" s="4" t="str">
        <f t="shared" si="84"/>
        <v>C</v>
      </c>
      <c r="L900" s="45">
        <f>VLOOKUP(B900,'NonXtal_SegEnds_Prot#'!A:AL,24,FALSE)</f>
        <v>173</v>
      </c>
      <c r="M900" s="45">
        <f>VLOOKUP(B900,'NonXtal_SegEnds_Prot#'!A:AL,25,FALSE)</f>
        <v>173</v>
      </c>
      <c r="N900" s="45">
        <f>VLOOKUP(B900,'NonXtal_SegEnds_Prot#'!A:AL,26,FALSE)</f>
        <v>175</v>
      </c>
      <c r="O900" s="4" t="str">
        <f t="shared" si="85"/>
        <v>T</v>
      </c>
      <c r="P900" s="4"/>
      <c r="Q900" s="47" t="str">
        <f t="shared" si="87"/>
        <v/>
      </c>
      <c r="R900" s="27" t="str">
        <f t="shared" si="88"/>
        <v>C</v>
      </c>
      <c r="S900" s="19" t="str">
        <f t="shared" si="89"/>
        <v>MT</v>
      </c>
      <c r="Z900" s="4" t="s">
        <v>64</v>
      </c>
      <c r="AD900" s="1" t="s">
        <v>37</v>
      </c>
      <c r="AE900" s="1">
        <v>173</v>
      </c>
      <c r="AF900" s="1">
        <v>173</v>
      </c>
      <c r="AG900" s="1">
        <v>175</v>
      </c>
      <c r="AH900" s="1" t="s">
        <v>38</v>
      </c>
      <c r="AK900" s="4">
        <v>50</v>
      </c>
      <c r="AL900" s="4">
        <v>52</v>
      </c>
    </row>
    <row r="901" spans="1:38" x14ac:dyDescent="0.25">
      <c r="A901" s="1" t="str">
        <f t="shared" si="86"/>
        <v>US28_hcmva_4xT1_ECL2</v>
      </c>
      <c r="B901" s="45" t="s">
        <v>230</v>
      </c>
      <c r="C901" s="45" t="s">
        <v>287</v>
      </c>
      <c r="D901" s="4" t="str">
        <f>VLOOKUP(B901,Classification!A:D,2,FALSE)</f>
        <v>A</v>
      </c>
      <c r="E901" s="4" t="str">
        <f>VLOOKUP(B901,Classification!A:D,3,FALSE)</f>
        <v>Peptide</v>
      </c>
      <c r="F901" s="4" t="str">
        <f>VLOOKUP(B901,Classification!A:D,4,FALSE)</f>
        <v>Chemokine</v>
      </c>
      <c r="G901" s="2">
        <v>8</v>
      </c>
      <c r="H901" s="45" t="s">
        <v>35</v>
      </c>
      <c r="I901" s="2" t="s">
        <v>67</v>
      </c>
      <c r="J901" s="5" t="str">
        <f>VLOOKUP(B901,Seqs!A:B,2,FALSE)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901" s="4" t="str">
        <f t="shared" si="84"/>
        <v>C</v>
      </c>
      <c r="L901" s="45">
        <f>VLOOKUP(B901,'NonXtal_SegEnds_Prot#'!A:AL,24,FALSE)</f>
        <v>173</v>
      </c>
      <c r="M901" s="45">
        <f>VLOOKUP(B901,'NonXtal_SegEnds_Prot#'!A:AL,25,FALSE)</f>
        <v>173</v>
      </c>
      <c r="N901" s="45">
        <f>VLOOKUP(B901,'NonXtal_SegEnds_Prot#'!A:AL,26,FALSE)</f>
        <v>175</v>
      </c>
      <c r="O901" s="4" t="str">
        <f t="shared" si="85"/>
        <v>T</v>
      </c>
      <c r="P901" s="4"/>
      <c r="Q901" s="47" t="str">
        <f t="shared" si="87"/>
        <v/>
      </c>
      <c r="R901" s="27" t="str">
        <f t="shared" si="88"/>
        <v>C</v>
      </c>
      <c r="S901" s="19" t="str">
        <f t="shared" si="89"/>
        <v>MT</v>
      </c>
      <c r="Z901" s="4" t="s">
        <v>64</v>
      </c>
      <c r="AD901" s="1" t="s">
        <v>37</v>
      </c>
      <c r="AE901" s="1">
        <v>173</v>
      </c>
      <c r="AF901" s="1">
        <v>173</v>
      </c>
      <c r="AG901" s="1">
        <v>175</v>
      </c>
      <c r="AH901" s="1" t="s">
        <v>38</v>
      </c>
      <c r="AK901" s="4">
        <v>50</v>
      </c>
      <c r="AL901" s="4">
        <v>52</v>
      </c>
    </row>
    <row r="902" spans="1:38" x14ac:dyDescent="0.25">
      <c r="A902" s="1" t="str">
        <f t="shared" si="86"/>
        <v>crfr1_human__wt_TM5</v>
      </c>
      <c r="B902" s="45" t="s">
        <v>213</v>
      </c>
      <c r="C902" s="45" t="s">
        <v>294</v>
      </c>
      <c r="D902" s="4" t="str">
        <f>VLOOKUP(B902,Classification!A:D,2,FALSE)</f>
        <v>B1</v>
      </c>
      <c r="E902" s="4" t="str">
        <f>VLOOKUP(B902,Classification!A:D,3,FALSE)</f>
        <v>Peptide</v>
      </c>
      <c r="F902" s="4" t="str">
        <f>VLOOKUP(B902,Classification!A:D,4,FALSE)</f>
        <v>Corticotropin-releasingfact</v>
      </c>
      <c r="G902" s="2">
        <v>9</v>
      </c>
      <c r="H902" s="45" t="s">
        <v>39</v>
      </c>
      <c r="I902" s="2" t="s">
        <v>1223</v>
      </c>
      <c r="J902" s="5" t="str">
        <f>VLOOKUP(B902,Seqs!A:B,2,FALSE)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02" s="4" t="str">
        <f t="shared" si="84"/>
        <v>T</v>
      </c>
      <c r="L902" s="45">
        <f>VLOOKUP(B902,'NonXtal_SegEnds_Prot#'!A:AL,27,FALSE)</f>
        <v>268</v>
      </c>
      <c r="M902" s="45">
        <f>VLOOKUP(B902,'NonXtal_SegEnds_Prot#'!A:AL,28,FALSE)</f>
        <v>279</v>
      </c>
      <c r="N902" s="45">
        <f>VLOOKUP(B902,'NonXtal_SegEnds_Prot#'!A:AL,29,FALSE)</f>
        <v>298</v>
      </c>
      <c r="O902" s="4" t="str">
        <f t="shared" si="85"/>
        <v>L</v>
      </c>
      <c r="P902" s="4"/>
      <c r="Q902" s="47" t="str">
        <f t="shared" si="87"/>
        <v>TDYIYQGPMIL</v>
      </c>
      <c r="R902" s="27" t="str">
        <f t="shared" si="88"/>
        <v>V</v>
      </c>
      <c r="S902" s="19" t="str">
        <f t="shared" si="89"/>
        <v>LLINFIFLFNIVRILMTKL</v>
      </c>
      <c r="Z902" s="4"/>
      <c r="AD902" s="1" t="s">
        <v>171</v>
      </c>
      <c r="AE902" s="1">
        <v>268</v>
      </c>
      <c r="AF902" s="1">
        <v>279</v>
      </c>
      <c r="AG902" s="1">
        <v>298</v>
      </c>
      <c r="AH902" s="1" t="s">
        <v>73</v>
      </c>
      <c r="AK902" s="4">
        <v>39</v>
      </c>
      <c r="AL902" s="4">
        <v>69</v>
      </c>
    </row>
    <row r="903" spans="1:38" x14ac:dyDescent="0.25">
      <c r="A903" s="1" t="str">
        <f t="shared" si="86"/>
        <v>crfr1_human_4K5Y_TM5</v>
      </c>
      <c r="B903" s="45" t="s">
        <v>213</v>
      </c>
      <c r="C903" s="45" t="s">
        <v>288</v>
      </c>
      <c r="D903" s="4" t="str">
        <f>VLOOKUP(B903,Classification!A:D,2,FALSE)</f>
        <v>B1</v>
      </c>
      <c r="E903" s="4" t="str">
        <f>VLOOKUP(B903,Classification!A:D,3,FALSE)</f>
        <v>Peptide</v>
      </c>
      <c r="F903" s="4" t="str">
        <f>VLOOKUP(B903,Classification!A:D,4,FALSE)</f>
        <v>Corticotropin-releasingfact</v>
      </c>
      <c r="G903" s="2">
        <v>9</v>
      </c>
      <c r="H903" s="45" t="s">
        <v>39</v>
      </c>
      <c r="I903" s="2" t="s">
        <v>1223</v>
      </c>
      <c r="J903" s="5" t="str">
        <f>VLOOKUP(B903,Seqs!A:B,2,FALSE)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03" s="4" t="str">
        <f t="shared" si="84"/>
        <v>T</v>
      </c>
      <c r="L903" s="45">
        <f>VLOOKUP(B903,'NonXtal_SegEnds_Prot#'!A:AL,27,FALSE)</f>
        <v>268</v>
      </c>
      <c r="M903" s="45">
        <f>VLOOKUP(B903,'NonXtal_SegEnds_Prot#'!A:AL,28,FALSE)</f>
        <v>279</v>
      </c>
      <c r="N903" s="45">
        <f>VLOOKUP(B903,'NonXtal_SegEnds_Prot#'!A:AL,29,FALSE)</f>
        <v>298</v>
      </c>
      <c r="O903" s="4" t="str">
        <f t="shared" si="85"/>
        <v>L</v>
      </c>
      <c r="P903" s="4"/>
      <c r="Q903" s="47" t="str">
        <f t="shared" si="87"/>
        <v>TDYIYQGPMIL</v>
      </c>
      <c r="R903" s="27" t="str">
        <f t="shared" si="88"/>
        <v>V</v>
      </c>
      <c r="S903" s="19" t="str">
        <f t="shared" si="89"/>
        <v>LLINFIFLFNIVRILMTKL</v>
      </c>
      <c r="Z903" s="4"/>
      <c r="AD903" s="1" t="s">
        <v>171</v>
      </c>
      <c r="AE903" s="1">
        <v>268</v>
      </c>
      <c r="AF903" s="1">
        <v>279</v>
      </c>
      <c r="AG903" s="1">
        <v>298</v>
      </c>
      <c r="AH903" s="1" t="s">
        <v>73</v>
      </c>
      <c r="AK903" s="4">
        <v>39</v>
      </c>
      <c r="AL903" s="4">
        <v>69</v>
      </c>
    </row>
    <row r="904" spans="1:38" x14ac:dyDescent="0.25">
      <c r="A904" s="1" t="str">
        <f t="shared" si="86"/>
        <v>glr_human__wt_TM5</v>
      </c>
      <c r="B904" s="45" t="s">
        <v>206</v>
      </c>
      <c r="C904" s="45" t="s">
        <v>294</v>
      </c>
      <c r="D904" s="4" t="str">
        <f>VLOOKUP(B904,Classification!A:D,2,FALSE)</f>
        <v>B1</v>
      </c>
      <c r="E904" s="4" t="str">
        <f>VLOOKUP(B904,Classification!A:D,3,FALSE)</f>
        <v>Peptide</v>
      </c>
      <c r="F904" s="4" t="str">
        <f>VLOOKUP(B904,Classification!A:D,4,FALSE)</f>
        <v>Glucagonreceptorfamily</v>
      </c>
      <c r="G904" s="2">
        <v>9</v>
      </c>
      <c r="H904" s="45" t="s">
        <v>39</v>
      </c>
      <c r="I904" s="2" t="s">
        <v>1223</v>
      </c>
      <c r="J904" s="5" t="str">
        <f>VLOOKUP(B904,Seqs!A:B,2,FALSE)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04" s="4" t="str">
        <f t="shared" si="84"/>
        <v>N</v>
      </c>
      <c r="L904" s="45">
        <f>VLOOKUP(B904,'NonXtal_SegEnds_Prot#'!A:AL,27,FALSE)</f>
        <v>300</v>
      </c>
      <c r="M904" s="45">
        <f>VLOOKUP(B904,'NonXtal_SegEnds_Prot#'!A:AL,28,FALSE)</f>
        <v>314</v>
      </c>
      <c r="N904" s="45">
        <f>VLOOKUP(B904,'NonXtal_SegEnds_Prot#'!A:AL,29,FALSE)</f>
        <v>335</v>
      </c>
      <c r="O904" s="4" t="str">
        <f t="shared" si="85"/>
        <v>A</v>
      </c>
      <c r="P904" s="4"/>
      <c r="Q904" s="47" t="str">
        <f t="shared" si="87"/>
        <v>NMGFWWILRFPVFL</v>
      </c>
      <c r="R904" s="27" t="str">
        <f t="shared" si="88"/>
        <v>A</v>
      </c>
      <c r="S904" s="19" t="str">
        <f t="shared" si="89"/>
        <v>ILINFFIFVRIVQLLVAKLRA</v>
      </c>
      <c r="Z904" s="4"/>
      <c r="AD904" s="1" t="s">
        <v>178</v>
      </c>
      <c r="AE904" s="1">
        <v>300</v>
      </c>
      <c r="AF904" s="1">
        <v>314</v>
      </c>
      <c r="AG904" s="1">
        <v>335</v>
      </c>
      <c r="AH904" s="1" t="s">
        <v>179</v>
      </c>
      <c r="AK904" s="4">
        <v>36</v>
      </c>
      <c r="AL904" s="4">
        <v>71</v>
      </c>
    </row>
    <row r="905" spans="1:38" x14ac:dyDescent="0.25">
      <c r="A905" s="1" t="str">
        <f t="shared" si="86"/>
        <v>glr_human_4L6R_TM5</v>
      </c>
      <c r="B905" s="45" t="s">
        <v>206</v>
      </c>
      <c r="C905" s="45" t="s">
        <v>240</v>
      </c>
      <c r="D905" s="4" t="str">
        <f>VLOOKUP(B905,Classification!A:D,2,FALSE)</f>
        <v>B1</v>
      </c>
      <c r="E905" s="4" t="str">
        <f>VLOOKUP(B905,Classification!A:D,3,FALSE)</f>
        <v>Peptide</v>
      </c>
      <c r="F905" s="4" t="str">
        <f>VLOOKUP(B905,Classification!A:D,4,FALSE)</f>
        <v>Glucagonreceptorfamily</v>
      </c>
      <c r="G905" s="2">
        <v>9</v>
      </c>
      <c r="H905" s="45" t="s">
        <v>39</v>
      </c>
      <c r="I905" s="2" t="s">
        <v>1223</v>
      </c>
      <c r="J905" s="5" t="str">
        <f>VLOOKUP(B905,Seqs!A:B,2,FALSE)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05" s="4" t="str">
        <f t="shared" si="84"/>
        <v>N</v>
      </c>
      <c r="L905" s="45">
        <f>VLOOKUP(B905,'NonXtal_SegEnds_Prot#'!A:AL,27,FALSE)</f>
        <v>300</v>
      </c>
      <c r="M905" s="45">
        <f>VLOOKUP(B905,'NonXtal_SegEnds_Prot#'!A:AL,28,FALSE)</f>
        <v>314</v>
      </c>
      <c r="N905" s="45">
        <f>VLOOKUP(B905,'NonXtal_SegEnds_Prot#'!A:AL,29,FALSE)</f>
        <v>335</v>
      </c>
      <c r="O905" s="4" t="str">
        <f t="shared" si="85"/>
        <v>A</v>
      </c>
      <c r="P905" s="4"/>
      <c r="Q905" s="47" t="str">
        <f t="shared" si="87"/>
        <v>NMGFWWILRFPVFL</v>
      </c>
      <c r="R905" s="27" t="str">
        <f t="shared" si="88"/>
        <v>A</v>
      </c>
      <c r="S905" s="19" t="str">
        <f t="shared" si="89"/>
        <v>ILINFFIFVRIVQLLVAKLRA</v>
      </c>
      <c r="Z905" s="4"/>
      <c r="AD905" s="1" t="s">
        <v>178</v>
      </c>
      <c r="AE905" s="1">
        <v>300</v>
      </c>
      <c r="AF905" s="1">
        <v>314</v>
      </c>
      <c r="AG905" s="1">
        <v>335</v>
      </c>
      <c r="AH905" s="1" t="s">
        <v>179</v>
      </c>
      <c r="AK905" s="4">
        <v>36</v>
      </c>
      <c r="AL905" s="4">
        <v>71</v>
      </c>
    </row>
    <row r="906" spans="1:38" x14ac:dyDescent="0.25">
      <c r="A906" s="1" t="str">
        <f t="shared" si="86"/>
        <v>glr_human_5EE7_TM5</v>
      </c>
      <c r="B906" s="45" t="s">
        <v>206</v>
      </c>
      <c r="C906" s="45" t="s">
        <v>237</v>
      </c>
      <c r="D906" s="4" t="str">
        <f>VLOOKUP(B906,Classification!A:D,2,FALSE)</f>
        <v>B1</v>
      </c>
      <c r="E906" s="4" t="str">
        <f>VLOOKUP(B906,Classification!A:D,3,FALSE)</f>
        <v>Peptide</v>
      </c>
      <c r="F906" s="4" t="str">
        <f>VLOOKUP(B906,Classification!A:D,4,FALSE)</f>
        <v>Glucagonreceptorfamily</v>
      </c>
      <c r="G906" s="2">
        <v>9</v>
      </c>
      <c r="H906" s="45" t="s">
        <v>39</v>
      </c>
      <c r="I906" s="2" t="s">
        <v>1223</v>
      </c>
      <c r="J906" s="5" t="str">
        <f>VLOOKUP(B906,Seqs!A:B,2,FALSE)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06" s="4" t="str">
        <f t="shared" si="84"/>
        <v>N</v>
      </c>
      <c r="L906" s="45">
        <f>VLOOKUP(B906,'NonXtal_SegEnds_Prot#'!A:AL,27,FALSE)</f>
        <v>300</v>
      </c>
      <c r="M906" s="45">
        <f>VLOOKUP(B906,'NonXtal_SegEnds_Prot#'!A:AL,28,FALSE)</f>
        <v>314</v>
      </c>
      <c r="N906" s="45">
        <f>VLOOKUP(B906,'NonXtal_SegEnds_Prot#'!A:AL,29,FALSE)</f>
        <v>335</v>
      </c>
      <c r="O906" s="4" t="str">
        <f t="shared" si="85"/>
        <v>A</v>
      </c>
      <c r="P906" s="4" t="s">
        <v>58</v>
      </c>
      <c r="Q906" s="47" t="str">
        <f t="shared" si="87"/>
        <v>NMGFWWILRFPVFL</v>
      </c>
      <c r="R906" s="28" t="str">
        <f t="shared" si="88"/>
        <v>A</v>
      </c>
      <c r="S906" s="20" t="str">
        <f t="shared" si="89"/>
        <v>ILINFFIFVRIVQLLVAKLRA</v>
      </c>
      <c r="Z906" s="4"/>
      <c r="AD906" s="1" t="s">
        <v>182</v>
      </c>
      <c r="AE906" s="1">
        <v>305</v>
      </c>
      <c r="AF906" s="1">
        <v>314</v>
      </c>
      <c r="AG906" s="1">
        <v>335</v>
      </c>
      <c r="AH906" s="1" t="s">
        <v>179</v>
      </c>
      <c r="AK906" s="9">
        <v>41</v>
      </c>
      <c r="AL906" s="4">
        <v>71</v>
      </c>
    </row>
    <row r="907" spans="1:38" x14ac:dyDescent="0.25">
      <c r="A907" s="1" t="str">
        <f t="shared" si="86"/>
        <v>grm1_human__wt_TM5</v>
      </c>
      <c r="B907" s="45" t="s">
        <v>223</v>
      </c>
      <c r="C907" s="45" t="s">
        <v>294</v>
      </c>
      <c r="D907" s="4" t="str">
        <f>VLOOKUP(B907,Classification!A:D,2,FALSE)</f>
        <v>C</v>
      </c>
      <c r="E907" s="4" t="str">
        <f>VLOOKUP(B907,Classification!A:D,3,FALSE)</f>
        <v>Aminoacid</v>
      </c>
      <c r="F907" s="4" t="str">
        <f>VLOOKUP(B907,Classification!A:D,4,FALSE)</f>
        <v>Metabotropicglutamate</v>
      </c>
      <c r="G907" s="2">
        <v>9</v>
      </c>
      <c r="H907" s="45" t="s">
        <v>39</v>
      </c>
      <c r="I907" s="2" t="s">
        <v>1223</v>
      </c>
      <c r="J907" s="5" t="str">
        <f>VLOOKUP(B907,Seqs!A:B,2,FALSE)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07" s="4" t="str">
        <f t="shared" si="84"/>
        <v>N</v>
      </c>
      <c r="L907" s="45">
        <f>VLOOKUP(B907,'NonXtal_SegEnds_Prot#'!A:AL,27,FALSE)</f>
        <v>750</v>
      </c>
      <c r="M907" s="45">
        <f>VLOOKUP(B907,'NonXtal_SegEnds_Prot#'!A:AL,28,FALSE)</f>
        <v>763</v>
      </c>
      <c r="N907" s="45">
        <f>VLOOKUP(B907,'NonXtal_SegEnds_Prot#'!A:AL,29,FALSE)</f>
        <v>774</v>
      </c>
      <c r="O907" s="4" t="str">
        <f t="shared" si="85"/>
        <v>T</v>
      </c>
      <c r="P907" s="4"/>
      <c r="Q907" s="47" t="str">
        <f t="shared" si="87"/>
        <v>NLGVVAPLGYNGL</v>
      </c>
      <c r="R907" s="27" t="str">
        <f t="shared" si="88"/>
        <v>L</v>
      </c>
      <c r="S907" s="19" t="str">
        <f t="shared" si="89"/>
        <v>IMSCTYYAFKT</v>
      </c>
      <c r="Z907" s="4"/>
      <c r="AD907" s="1" t="s">
        <v>40</v>
      </c>
      <c r="AE907" s="1">
        <v>750</v>
      </c>
      <c r="AF907" s="1">
        <v>763</v>
      </c>
      <c r="AG907" s="1">
        <v>774</v>
      </c>
      <c r="AH907" s="1" t="s">
        <v>146</v>
      </c>
      <c r="AK907" s="4">
        <v>37</v>
      </c>
      <c r="AL907" s="4">
        <v>61</v>
      </c>
    </row>
    <row r="908" spans="1:38" x14ac:dyDescent="0.25">
      <c r="A908" s="1" t="str">
        <f t="shared" si="86"/>
        <v>grm1_human_4OR2_TM5</v>
      </c>
      <c r="B908" s="45" t="s">
        <v>223</v>
      </c>
      <c r="C908" s="45" t="s">
        <v>289</v>
      </c>
      <c r="D908" s="4" t="str">
        <f>VLOOKUP(B908,Classification!A:D,2,FALSE)</f>
        <v>C</v>
      </c>
      <c r="E908" s="4" t="str">
        <f>VLOOKUP(B908,Classification!A:D,3,FALSE)</f>
        <v>Aminoacid</v>
      </c>
      <c r="F908" s="4" t="str">
        <f>VLOOKUP(B908,Classification!A:D,4,FALSE)</f>
        <v>Metabotropicglutamate</v>
      </c>
      <c r="G908" s="2">
        <v>9</v>
      </c>
      <c r="H908" s="45" t="s">
        <v>39</v>
      </c>
      <c r="I908" s="2" t="s">
        <v>1223</v>
      </c>
      <c r="J908" s="5" t="str">
        <f>VLOOKUP(B908,Seqs!A:B,2,FALSE)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08" s="4" t="str">
        <f t="shared" si="84"/>
        <v>N</v>
      </c>
      <c r="L908" s="45">
        <f>VLOOKUP(B908,'NonXtal_SegEnds_Prot#'!A:AL,27,FALSE)</f>
        <v>750</v>
      </c>
      <c r="M908" s="45">
        <f>VLOOKUP(B908,'NonXtal_SegEnds_Prot#'!A:AL,28,FALSE)</f>
        <v>763</v>
      </c>
      <c r="N908" s="45">
        <f>VLOOKUP(B908,'NonXtal_SegEnds_Prot#'!A:AL,29,FALSE)</f>
        <v>774</v>
      </c>
      <c r="O908" s="4" t="str">
        <f t="shared" si="85"/>
        <v>T</v>
      </c>
      <c r="P908" s="4"/>
      <c r="Q908" s="47" t="str">
        <f t="shared" si="87"/>
        <v>NLGVVAPLGYNGL</v>
      </c>
      <c r="R908" s="27" t="str">
        <f t="shared" si="88"/>
        <v>L</v>
      </c>
      <c r="S908" s="19" t="str">
        <f t="shared" si="89"/>
        <v>IMSCTYYAFKT</v>
      </c>
      <c r="Z908" s="4"/>
      <c r="AD908" s="1" t="s">
        <v>40</v>
      </c>
      <c r="AE908" s="1">
        <v>750</v>
      </c>
      <c r="AF908" s="1">
        <v>763</v>
      </c>
      <c r="AG908" s="1">
        <v>774</v>
      </c>
      <c r="AH908" s="1" t="s">
        <v>146</v>
      </c>
      <c r="AK908" s="4">
        <v>37</v>
      </c>
      <c r="AL908" s="4">
        <v>61</v>
      </c>
    </row>
    <row r="909" spans="1:38" x14ac:dyDescent="0.25">
      <c r="A909" s="1" t="str">
        <f t="shared" si="86"/>
        <v>grm5_human__wt_TM5</v>
      </c>
      <c r="B909" s="45" t="s">
        <v>224</v>
      </c>
      <c r="C909" s="45" t="s">
        <v>294</v>
      </c>
      <c r="D909" s="4" t="str">
        <f>VLOOKUP(B909,Classification!A:D,2,FALSE)</f>
        <v>C</v>
      </c>
      <c r="E909" s="4" t="str">
        <f>VLOOKUP(B909,Classification!A:D,3,FALSE)</f>
        <v>Aminoacid</v>
      </c>
      <c r="F909" s="4" t="str">
        <f>VLOOKUP(B909,Classification!A:D,4,FALSE)</f>
        <v>Metabotropicglutamate</v>
      </c>
      <c r="G909" s="2">
        <v>9</v>
      </c>
      <c r="H909" s="45" t="s">
        <v>39</v>
      </c>
      <c r="I909" s="2" t="s">
        <v>1223</v>
      </c>
      <c r="J909" s="5" t="str">
        <f>VLOOKUP(B909,Seqs!A:B,2,FALSE)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09" s="4" t="str">
        <f t="shared" si="84"/>
        <v>N</v>
      </c>
      <c r="L909" s="45">
        <f>VLOOKUP(B909,'NonXtal_SegEnds_Prot#'!A:AL,27,FALSE)</f>
        <v>737</v>
      </c>
      <c r="M909" s="45">
        <f>VLOOKUP(B909,'NonXtal_SegEnds_Prot#'!A:AL,28,FALSE)</f>
        <v>750</v>
      </c>
      <c r="N909" s="45">
        <f>VLOOKUP(B909,'NonXtal_SegEnds_Prot#'!A:AL,29,FALSE)</f>
        <v>761</v>
      </c>
      <c r="O909" s="4" t="str">
        <f t="shared" si="85"/>
        <v>T</v>
      </c>
      <c r="P909" s="4"/>
      <c r="Q909" s="47" t="str">
        <f t="shared" si="87"/>
        <v>NLGVVTPLGYNGL</v>
      </c>
      <c r="R909" s="27" t="str">
        <f t="shared" si="88"/>
        <v>L</v>
      </c>
      <c r="S909" s="19" t="str">
        <f t="shared" si="89"/>
        <v>ILSCTFYAFKT</v>
      </c>
      <c r="Z909" s="4"/>
      <c r="AD909" s="1" t="s">
        <v>40</v>
      </c>
      <c r="AE909" s="1">
        <v>737</v>
      </c>
      <c r="AF909" s="1">
        <v>750</v>
      </c>
      <c r="AG909" s="1">
        <v>761</v>
      </c>
      <c r="AH909" s="1" t="s">
        <v>146</v>
      </c>
      <c r="AK909" s="4">
        <v>37</v>
      </c>
      <c r="AL909" s="4">
        <v>61</v>
      </c>
    </row>
    <row r="910" spans="1:38" x14ac:dyDescent="0.25">
      <c r="A910" s="1" t="str">
        <f t="shared" si="86"/>
        <v>grm5_human_4OO9_TM5</v>
      </c>
      <c r="B910" s="45" t="s">
        <v>224</v>
      </c>
      <c r="C910" s="45" t="s">
        <v>248</v>
      </c>
      <c r="D910" s="4" t="str">
        <f>VLOOKUP(B910,Classification!A:D,2,FALSE)</f>
        <v>C</v>
      </c>
      <c r="E910" s="4" t="str">
        <f>VLOOKUP(B910,Classification!A:D,3,FALSE)</f>
        <v>Aminoacid</v>
      </c>
      <c r="F910" s="4" t="str">
        <f>VLOOKUP(B910,Classification!A:D,4,FALSE)</f>
        <v>Metabotropicglutamate</v>
      </c>
      <c r="G910" s="2">
        <v>9</v>
      </c>
      <c r="H910" s="45" t="s">
        <v>39</v>
      </c>
      <c r="I910" s="2" t="s">
        <v>1223</v>
      </c>
      <c r="J910" s="5" t="str">
        <f>VLOOKUP(B910,Seqs!A:B,2,FALSE)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10" s="4" t="str">
        <f t="shared" si="84"/>
        <v>N</v>
      </c>
      <c r="L910" s="45">
        <f>VLOOKUP(B910,'NonXtal_SegEnds_Prot#'!A:AL,27,FALSE)</f>
        <v>737</v>
      </c>
      <c r="M910" s="45">
        <f>VLOOKUP(B910,'NonXtal_SegEnds_Prot#'!A:AL,28,FALSE)</f>
        <v>750</v>
      </c>
      <c r="N910" s="45">
        <f>VLOOKUP(B910,'NonXtal_SegEnds_Prot#'!A:AL,29,FALSE)</f>
        <v>761</v>
      </c>
      <c r="O910" s="4" t="str">
        <f t="shared" si="85"/>
        <v>T</v>
      </c>
      <c r="P910" s="4"/>
      <c r="Q910" s="47" t="str">
        <f t="shared" si="87"/>
        <v>NLGVVTPLGYNGL</v>
      </c>
      <c r="R910" s="27" t="str">
        <f t="shared" si="88"/>
        <v>L</v>
      </c>
      <c r="S910" s="19" t="str">
        <f t="shared" si="89"/>
        <v>ILSCTFYAFKT</v>
      </c>
      <c r="Z910" s="4"/>
      <c r="AD910" s="1" t="s">
        <v>40</v>
      </c>
      <c r="AE910" s="1">
        <v>737</v>
      </c>
      <c r="AF910" s="1">
        <v>750</v>
      </c>
      <c r="AG910" s="1">
        <v>761</v>
      </c>
      <c r="AH910" s="1" t="s">
        <v>146</v>
      </c>
      <c r="AK910" s="4">
        <v>37</v>
      </c>
      <c r="AL910" s="4">
        <v>61</v>
      </c>
    </row>
    <row r="911" spans="1:38" x14ac:dyDescent="0.25">
      <c r="A911" s="1" t="str">
        <f t="shared" si="86"/>
        <v>grm5_human_5CGC_TM5</v>
      </c>
      <c r="B911" s="45" t="s">
        <v>224</v>
      </c>
      <c r="C911" s="45" t="s">
        <v>249</v>
      </c>
      <c r="D911" s="4" t="str">
        <f>VLOOKUP(B911,Classification!A:D,2,FALSE)</f>
        <v>C</v>
      </c>
      <c r="E911" s="4" t="str">
        <f>VLOOKUP(B911,Classification!A:D,3,FALSE)</f>
        <v>Aminoacid</v>
      </c>
      <c r="F911" s="4" t="str">
        <f>VLOOKUP(B911,Classification!A:D,4,FALSE)</f>
        <v>Metabotropicglutamate</v>
      </c>
      <c r="G911" s="2">
        <v>9</v>
      </c>
      <c r="H911" s="45" t="s">
        <v>39</v>
      </c>
      <c r="I911" s="2" t="s">
        <v>1223</v>
      </c>
      <c r="J911" s="5" t="str">
        <f>VLOOKUP(B911,Seqs!A:B,2,FALSE)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11" s="4" t="str">
        <f t="shared" si="84"/>
        <v>N</v>
      </c>
      <c r="L911" s="45">
        <f>VLOOKUP(B911,'NonXtal_SegEnds_Prot#'!A:AL,27,FALSE)</f>
        <v>737</v>
      </c>
      <c r="M911" s="45">
        <f>VLOOKUP(B911,'NonXtal_SegEnds_Prot#'!A:AL,28,FALSE)</f>
        <v>750</v>
      </c>
      <c r="N911" s="45">
        <f>VLOOKUP(B911,'NonXtal_SegEnds_Prot#'!A:AL,29,FALSE)</f>
        <v>761</v>
      </c>
      <c r="O911" s="4" t="str">
        <f t="shared" si="85"/>
        <v>T</v>
      </c>
      <c r="P911" s="4"/>
      <c r="Q911" s="47" t="str">
        <f t="shared" si="87"/>
        <v>NLGVVTPLGYNGL</v>
      </c>
      <c r="R911" s="27" t="str">
        <f t="shared" si="88"/>
        <v>L</v>
      </c>
      <c r="S911" s="19" t="str">
        <f t="shared" si="89"/>
        <v>ILSCTFYAFKT</v>
      </c>
      <c r="Z911" s="4"/>
      <c r="AD911" s="1" t="s">
        <v>40</v>
      </c>
      <c r="AE911" s="1">
        <v>737</v>
      </c>
      <c r="AF911" s="1">
        <v>750</v>
      </c>
      <c r="AG911" s="1">
        <v>761</v>
      </c>
      <c r="AH911" s="1" t="s">
        <v>146</v>
      </c>
      <c r="AK911" s="4">
        <v>37</v>
      </c>
      <c r="AL911" s="4">
        <v>61</v>
      </c>
    </row>
    <row r="912" spans="1:38" x14ac:dyDescent="0.25">
      <c r="A912" s="1" t="str">
        <f t="shared" si="86"/>
        <v>grm5_human_5CGD_TM5</v>
      </c>
      <c r="B912" s="45" t="s">
        <v>224</v>
      </c>
      <c r="C912" s="45" t="s">
        <v>250</v>
      </c>
      <c r="D912" s="4" t="str">
        <f>VLOOKUP(B912,Classification!A:D,2,FALSE)</f>
        <v>C</v>
      </c>
      <c r="E912" s="4" t="str">
        <f>VLOOKUP(B912,Classification!A:D,3,FALSE)</f>
        <v>Aminoacid</v>
      </c>
      <c r="F912" s="4" t="str">
        <f>VLOOKUP(B912,Classification!A:D,4,FALSE)</f>
        <v>Metabotropicglutamate</v>
      </c>
      <c r="G912" s="2">
        <v>9</v>
      </c>
      <c r="H912" s="45" t="s">
        <v>39</v>
      </c>
      <c r="I912" s="2" t="s">
        <v>1223</v>
      </c>
      <c r="J912" s="5" t="str">
        <f>VLOOKUP(B912,Seqs!A:B,2,FALSE)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12" s="4" t="str">
        <f t="shared" ref="K912:K975" si="90">MID(J912,L912,1)</f>
        <v>N</v>
      </c>
      <c r="L912" s="45">
        <f>VLOOKUP(B912,'NonXtal_SegEnds_Prot#'!A:AL,27,FALSE)</f>
        <v>737</v>
      </c>
      <c r="M912" s="45">
        <f>VLOOKUP(B912,'NonXtal_SegEnds_Prot#'!A:AL,28,FALSE)</f>
        <v>750</v>
      </c>
      <c r="N912" s="45">
        <f>VLOOKUP(B912,'NonXtal_SegEnds_Prot#'!A:AL,29,FALSE)</f>
        <v>761</v>
      </c>
      <c r="O912" s="4" t="str">
        <f t="shared" si="85"/>
        <v>T</v>
      </c>
      <c r="P912" s="4"/>
      <c r="Q912" s="47" t="str">
        <f t="shared" si="87"/>
        <v>NLGVVTPLGYNGL</v>
      </c>
      <c r="R912" s="27" t="str">
        <f t="shared" si="88"/>
        <v>L</v>
      </c>
      <c r="S912" s="19" t="str">
        <f t="shared" si="89"/>
        <v>ILSCTFYAFKT</v>
      </c>
      <c r="Z912" s="4"/>
      <c r="AD912" s="1" t="s">
        <v>40</v>
      </c>
      <c r="AE912" s="1">
        <v>737</v>
      </c>
      <c r="AF912" s="1">
        <v>750</v>
      </c>
      <c r="AG912" s="1">
        <v>761</v>
      </c>
      <c r="AH912" s="1" t="s">
        <v>146</v>
      </c>
      <c r="AK912" s="4">
        <v>37</v>
      </c>
      <c r="AL912" s="4">
        <v>61</v>
      </c>
    </row>
    <row r="913" spans="1:38" x14ac:dyDescent="0.25">
      <c r="A913" s="1" t="str">
        <f t="shared" si="86"/>
        <v>LPAR1_human__wt_TM5</v>
      </c>
      <c r="B913" s="55" t="s">
        <v>214</v>
      </c>
      <c r="C913" s="55" t="s">
        <v>294</v>
      </c>
      <c r="D913" s="4" t="str">
        <f>VLOOKUP(B913,Classification!A:D,2,FALSE)</f>
        <v>A</v>
      </c>
      <c r="E913" s="4" t="str">
        <f>VLOOKUP(B913,Classification!A:D,3,FALSE)</f>
        <v>Lipid</v>
      </c>
      <c r="F913" s="4" t="str">
        <f>VLOOKUP(B913,Classification!A:D,4,FALSE)</f>
        <v>Lysophospholipid(LPA)</v>
      </c>
      <c r="G913" s="2">
        <v>9</v>
      </c>
      <c r="H913" s="45" t="s">
        <v>39</v>
      </c>
      <c r="I913" s="2" t="s">
        <v>1223</v>
      </c>
      <c r="J913" s="5" t="str">
        <f>VLOOKUP(B913,Seqs!A:B,2,FALSE)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13" s="4" t="str">
        <f t="shared" si="90"/>
        <v>S</v>
      </c>
      <c r="L913" s="45">
        <f>VLOOKUP(B913,'NonXtal_SegEnds_Prot#'!A:AL,27,FALSE)</f>
        <v>203</v>
      </c>
      <c r="M913" s="45">
        <f>VLOOKUP(B913,'NonXtal_SegEnds_Prot#'!A:AL,28,FALSE)</f>
        <v>217</v>
      </c>
      <c r="N913" s="45">
        <f>VLOOKUP(B913,'NonXtal_SegEnds_Prot#'!A:AL,29,FALSE)</f>
        <v>240</v>
      </c>
      <c r="O913" s="4" t="str">
        <f t="shared" si="85"/>
        <v>S</v>
      </c>
      <c r="P913" s="4"/>
      <c r="Q913" s="47" t="str">
        <f t="shared" si="87"/>
        <v>SDSYLVFWAIFNLV</v>
      </c>
      <c r="R913" s="27" t="str">
        <f t="shared" si="88"/>
        <v>T</v>
      </c>
      <c r="S913" s="19" t="str">
        <f t="shared" si="89"/>
        <v>FVVMVVLYAHIFGYVRQRTMRMS</v>
      </c>
      <c r="Z913" s="4"/>
      <c r="AD913" s="1" t="s">
        <v>40</v>
      </c>
      <c r="AE913" s="1">
        <v>204</v>
      </c>
      <c r="AF913" s="1">
        <v>217</v>
      </c>
      <c r="AG913" s="1">
        <v>235</v>
      </c>
      <c r="AH913" s="1" t="s">
        <v>101</v>
      </c>
      <c r="AK913" s="4">
        <v>37</v>
      </c>
      <c r="AL913" s="4">
        <v>68</v>
      </c>
    </row>
    <row r="914" spans="1:38" x14ac:dyDescent="0.25">
      <c r="A914" s="1" t="str">
        <f t="shared" si="86"/>
        <v>LPAR1_human_4Z35_TM5</v>
      </c>
      <c r="B914" s="55" t="s">
        <v>214</v>
      </c>
      <c r="C914" s="55" t="s">
        <v>281</v>
      </c>
      <c r="D914" s="4" t="str">
        <f>VLOOKUP(B914,Classification!A:D,2,FALSE)</f>
        <v>A</v>
      </c>
      <c r="E914" s="4" t="str">
        <f>VLOOKUP(B914,Classification!A:D,3,FALSE)</f>
        <v>Lipid</v>
      </c>
      <c r="F914" s="4" t="str">
        <f>VLOOKUP(B914,Classification!A:D,4,FALSE)</f>
        <v>Lysophospholipid(LPA)</v>
      </c>
      <c r="G914" s="2">
        <v>9</v>
      </c>
      <c r="H914" s="45" t="s">
        <v>39</v>
      </c>
      <c r="I914" s="2" t="s">
        <v>1223</v>
      </c>
      <c r="J914" s="5" t="str">
        <f>VLOOKUP(B914,Seqs!A:B,2,FALSE)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14" s="4" t="str">
        <f t="shared" si="90"/>
        <v>S</v>
      </c>
      <c r="L914" s="45">
        <f>VLOOKUP(B914,'NonXtal_SegEnds_Prot#'!A:AL,27,FALSE)</f>
        <v>203</v>
      </c>
      <c r="M914" s="45">
        <f>VLOOKUP(B914,'NonXtal_SegEnds_Prot#'!A:AL,28,FALSE)</f>
        <v>217</v>
      </c>
      <c r="N914" s="45">
        <f>VLOOKUP(B914,'NonXtal_SegEnds_Prot#'!A:AL,29,FALSE)</f>
        <v>240</v>
      </c>
      <c r="O914" s="4" t="str">
        <f t="shared" si="85"/>
        <v>S</v>
      </c>
      <c r="P914" s="4"/>
      <c r="Q914" s="47" t="str">
        <f t="shared" si="87"/>
        <v>SDSYLVFWAIFNLV</v>
      </c>
      <c r="R914" s="27" t="str">
        <f t="shared" si="88"/>
        <v>T</v>
      </c>
      <c r="S914" s="19" t="str">
        <f t="shared" si="89"/>
        <v>FVVMVVLYAHIFGYVRQRTMRMS</v>
      </c>
      <c r="Z914" s="4"/>
      <c r="AD914" s="1" t="s">
        <v>40</v>
      </c>
      <c r="AE914" s="1">
        <v>204</v>
      </c>
      <c r="AF914" s="1">
        <v>217</v>
      </c>
      <c r="AG914" s="1">
        <v>235</v>
      </c>
      <c r="AH914" s="1" t="s">
        <v>101</v>
      </c>
      <c r="AK914" s="4">
        <v>37</v>
      </c>
      <c r="AL914" s="4">
        <v>68</v>
      </c>
    </row>
    <row r="915" spans="1:38" x14ac:dyDescent="0.25">
      <c r="A915" s="1" t="str">
        <f t="shared" si="86"/>
        <v>NTR1_rat__wt_TM5</v>
      </c>
      <c r="B915" s="45" t="s">
        <v>234</v>
      </c>
      <c r="C915" s="45" t="s">
        <v>294</v>
      </c>
      <c r="D915" s="4" t="str">
        <f>VLOOKUP(B915,Classification!A:D,2,FALSE)</f>
        <v>A</v>
      </c>
      <c r="E915" s="4" t="str">
        <f>VLOOKUP(B915,Classification!A:D,3,FALSE)</f>
        <v>Peptide</v>
      </c>
      <c r="F915" s="4" t="str">
        <f>VLOOKUP(B915,Classification!A:D,4,FALSE)</f>
        <v>Neurotensin</v>
      </c>
      <c r="G915" s="2">
        <v>9</v>
      </c>
      <c r="H915" s="45" t="s">
        <v>39</v>
      </c>
      <c r="I915" s="2" t="s">
        <v>1223</v>
      </c>
      <c r="J915" s="5" t="str">
        <f>VLOOKUP(B915,Seqs!A:B,2,FALSE)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15" s="4" t="str">
        <f t="shared" si="90"/>
        <v>T</v>
      </c>
      <c r="L915" s="45">
        <f>VLOOKUP(B915,'NonXtal_SegEnds_Prot#'!A:AL,27,FALSE)</f>
        <v>231</v>
      </c>
      <c r="M915" s="45">
        <f>VLOOKUP(B915,'NonXtal_SegEnds_Prot#'!A:AL,28,FALSE)</f>
        <v>249</v>
      </c>
      <c r="N915" s="45">
        <f>VLOOKUP(B915,'NonXtal_SegEnds_Prot#'!A:AL,29,FALSE)</f>
        <v>275</v>
      </c>
      <c r="O915" s="4" t="str">
        <f t="shared" si="85"/>
        <v>G</v>
      </c>
      <c r="P915" s="4"/>
      <c r="Q915" s="47" t="str">
        <f t="shared" si="87"/>
        <v>TATVKVVIQVNTFMSFLF</v>
      </c>
      <c r="R915" s="27" t="str">
        <f t="shared" si="88"/>
        <v>P</v>
      </c>
      <c r="S915" s="19" t="str">
        <f t="shared" si="89"/>
        <v>MLVISILNTVIANKLTVMVHQAAEQG</v>
      </c>
      <c r="Z915" s="4" t="s">
        <v>78</v>
      </c>
      <c r="AD915" s="1" t="s">
        <v>111</v>
      </c>
      <c r="AE915" s="1">
        <v>231</v>
      </c>
      <c r="AF915" s="1">
        <v>249</v>
      </c>
      <c r="AG915" s="1">
        <v>270</v>
      </c>
      <c r="AH915" s="1" t="s">
        <v>90</v>
      </c>
      <c r="AK915" s="4">
        <v>33</v>
      </c>
      <c r="AL915" s="4">
        <v>70</v>
      </c>
    </row>
    <row r="916" spans="1:38" x14ac:dyDescent="0.25">
      <c r="A916" s="1" t="str">
        <f t="shared" si="86"/>
        <v>NTR1_rat_4BOU_TM5</v>
      </c>
      <c r="B916" s="45" t="s">
        <v>234</v>
      </c>
      <c r="C916" s="45" t="s">
        <v>239</v>
      </c>
      <c r="D916" s="4" t="str">
        <f>VLOOKUP(B916,Classification!A:D,2,FALSE)</f>
        <v>A</v>
      </c>
      <c r="E916" s="4" t="str">
        <f>VLOOKUP(B916,Classification!A:D,3,FALSE)</f>
        <v>Peptide</v>
      </c>
      <c r="F916" s="4" t="str">
        <f>VLOOKUP(B916,Classification!A:D,4,FALSE)</f>
        <v>Neurotensin</v>
      </c>
      <c r="G916" s="2">
        <v>9</v>
      </c>
      <c r="H916" s="45" t="s">
        <v>39</v>
      </c>
      <c r="I916" s="2" t="s">
        <v>1223</v>
      </c>
      <c r="J916" s="5" t="str">
        <f>VLOOKUP(B916,Seqs!A:B,2,FALSE)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16" s="4" t="str">
        <f t="shared" si="90"/>
        <v>T</v>
      </c>
      <c r="L916" s="45">
        <f>VLOOKUP(B916,'NonXtal_SegEnds_Prot#'!A:AL,27,FALSE)</f>
        <v>231</v>
      </c>
      <c r="M916" s="45">
        <f>VLOOKUP(B916,'NonXtal_SegEnds_Prot#'!A:AL,28,FALSE)</f>
        <v>249</v>
      </c>
      <c r="N916" s="45">
        <f>VLOOKUP(B916,'NonXtal_SegEnds_Prot#'!A:AL,29,FALSE)</f>
        <v>275</v>
      </c>
      <c r="O916" s="4" t="str">
        <f t="shared" si="85"/>
        <v>G</v>
      </c>
      <c r="P916" s="4"/>
      <c r="Q916" s="47" t="str">
        <f t="shared" si="87"/>
        <v>TATVKVVIQVNTFMSFLF</v>
      </c>
      <c r="R916" s="27" t="str">
        <f t="shared" si="88"/>
        <v>P</v>
      </c>
      <c r="S916" s="19" t="str">
        <f t="shared" si="89"/>
        <v>MLVISILNTVIANKLTVMVHQAAEQG</v>
      </c>
      <c r="Z916" s="4" t="s">
        <v>78</v>
      </c>
      <c r="AD916" s="1" t="s">
        <v>111</v>
      </c>
      <c r="AE916" s="1">
        <v>231</v>
      </c>
      <c r="AF916" s="1">
        <v>249</v>
      </c>
      <c r="AG916" s="1">
        <v>264</v>
      </c>
      <c r="AH916" s="1" t="s">
        <v>93</v>
      </c>
      <c r="AK916" s="4">
        <v>33</v>
      </c>
      <c r="AL916" s="4">
        <v>65</v>
      </c>
    </row>
    <row r="917" spans="1:38" x14ac:dyDescent="0.25">
      <c r="A917" s="1" t="str">
        <f t="shared" si="86"/>
        <v>NTR1_rat_4GRV_TM5</v>
      </c>
      <c r="B917" s="45" t="s">
        <v>234</v>
      </c>
      <c r="C917" s="45" t="s">
        <v>238</v>
      </c>
      <c r="D917" s="4" t="str">
        <f>VLOOKUP(B917,Classification!A:D,2,FALSE)</f>
        <v>A</v>
      </c>
      <c r="E917" s="4" t="str">
        <f>VLOOKUP(B917,Classification!A:D,3,FALSE)</f>
        <v>Peptide</v>
      </c>
      <c r="F917" s="4" t="str">
        <f>VLOOKUP(B917,Classification!A:D,4,FALSE)</f>
        <v>Neurotensin</v>
      </c>
      <c r="G917" s="2">
        <v>9</v>
      </c>
      <c r="H917" s="45" t="s">
        <v>39</v>
      </c>
      <c r="I917" s="2" t="s">
        <v>1223</v>
      </c>
      <c r="J917" s="5" t="str">
        <f>VLOOKUP(B917,Seqs!A:B,2,FALSE)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17" s="4" t="str">
        <f t="shared" si="90"/>
        <v>T</v>
      </c>
      <c r="L917" s="45">
        <f>VLOOKUP(B917,'NonXtal_SegEnds_Prot#'!A:AL,27,FALSE)</f>
        <v>231</v>
      </c>
      <c r="M917" s="45">
        <f>VLOOKUP(B917,'NonXtal_SegEnds_Prot#'!A:AL,28,FALSE)</f>
        <v>249</v>
      </c>
      <c r="N917" s="45">
        <f>VLOOKUP(B917,'NonXtal_SegEnds_Prot#'!A:AL,29,FALSE)</f>
        <v>275</v>
      </c>
      <c r="O917" s="4" t="str">
        <f t="shared" si="85"/>
        <v>G</v>
      </c>
      <c r="P917" s="4"/>
      <c r="Q917" s="47" t="str">
        <f t="shared" si="87"/>
        <v>TATVKVVIQVNTFMSFLF</v>
      </c>
      <c r="R917" s="27" t="str">
        <f t="shared" si="88"/>
        <v>P</v>
      </c>
      <c r="S917" s="19" t="str">
        <f t="shared" si="89"/>
        <v>MLVISILNTVIANKLTVMVHQAAEQG</v>
      </c>
      <c r="Z917" s="4"/>
      <c r="AD917" s="1" t="s">
        <v>111</v>
      </c>
      <c r="AE917" s="1">
        <v>231</v>
      </c>
      <c r="AF917" s="1">
        <v>249</v>
      </c>
      <c r="AG917" s="1">
        <v>264</v>
      </c>
      <c r="AH917" s="1" t="s">
        <v>93</v>
      </c>
      <c r="AK917" s="4">
        <v>33</v>
      </c>
      <c r="AL917" s="4">
        <v>65</v>
      </c>
    </row>
    <row r="918" spans="1:38" x14ac:dyDescent="0.25">
      <c r="A918" s="1" t="str">
        <f t="shared" si="86"/>
        <v>P2Y12_human__wt_TM5</v>
      </c>
      <c r="B918" s="45" t="s">
        <v>216</v>
      </c>
      <c r="C918" s="45" t="s">
        <v>294</v>
      </c>
      <c r="D918" s="4" t="str">
        <f>VLOOKUP(B918,Classification!A:D,2,FALSE)</f>
        <v>A</v>
      </c>
      <c r="E918" s="4" t="str">
        <f>VLOOKUP(B918,Classification!A:D,3,FALSE)</f>
        <v>Nucleotide</v>
      </c>
      <c r="F918" s="4" t="str">
        <f>VLOOKUP(B918,Classification!A:D,4,FALSE)</f>
        <v>P2Y</v>
      </c>
      <c r="G918" s="2">
        <v>9</v>
      </c>
      <c r="H918" s="45" t="s">
        <v>39</v>
      </c>
      <c r="I918" s="2" t="s">
        <v>1223</v>
      </c>
      <c r="J918" s="5" t="str">
        <f>VLOOKUP(B918,Seqs!A:B,2,FALSE)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918" s="4" t="str">
        <f t="shared" si="90"/>
        <v>E</v>
      </c>
      <c r="L918" s="45">
        <f>VLOOKUP(B918,'NonXtal_SegEnds_Prot#'!A:AL,27,FALSE)</f>
        <v>181</v>
      </c>
      <c r="M918" s="45">
        <f>VLOOKUP(B918,'NonXtal_SegEnds_Prot#'!A:AL,28,FALSE)</f>
        <v>201</v>
      </c>
      <c r="N918" s="45">
        <f>VLOOKUP(B918,'NonXtal_SegEnds_Prot#'!A:AL,29,FALSE)</f>
        <v>223</v>
      </c>
      <c r="O918" s="4" t="str">
        <f t="shared" si="85"/>
        <v>T</v>
      </c>
      <c r="P918" s="4"/>
      <c r="Q918" s="47" t="str">
        <f t="shared" si="87"/>
        <v>EFGLVWHEIVNYICQVIFWI</v>
      </c>
      <c r="R918" s="27" t="str">
        <f t="shared" si="88"/>
        <v>N</v>
      </c>
      <c r="S918" s="19" t="str">
        <f t="shared" si="89"/>
        <v>FLIVIVCYTLITKELYRSYVRT</v>
      </c>
      <c r="Z918" s="4"/>
      <c r="AD918" s="1" t="s">
        <v>158</v>
      </c>
      <c r="AE918" s="1">
        <v>181</v>
      </c>
      <c r="AF918" s="1">
        <v>201</v>
      </c>
      <c r="AG918" s="1">
        <v>219</v>
      </c>
      <c r="AH918" s="1" t="s">
        <v>101</v>
      </c>
      <c r="AK918" s="4">
        <v>30</v>
      </c>
      <c r="AL918" s="4">
        <v>68</v>
      </c>
    </row>
    <row r="919" spans="1:38" x14ac:dyDescent="0.25">
      <c r="A919" s="1" t="str">
        <f t="shared" si="86"/>
        <v>P2Y12_human_4PxZ_TM5</v>
      </c>
      <c r="B919" s="45" t="s">
        <v>216</v>
      </c>
      <c r="C919" s="45" t="s">
        <v>242</v>
      </c>
      <c r="D919" s="4" t="str">
        <f>VLOOKUP(B919,Classification!A:D,2,FALSE)</f>
        <v>A</v>
      </c>
      <c r="E919" s="4" t="str">
        <f>VLOOKUP(B919,Classification!A:D,3,FALSE)</f>
        <v>Nucleotide</v>
      </c>
      <c r="F919" s="4" t="str">
        <f>VLOOKUP(B919,Classification!A:D,4,FALSE)</f>
        <v>P2Y</v>
      </c>
      <c r="G919" s="2">
        <v>9</v>
      </c>
      <c r="H919" s="45" t="s">
        <v>39</v>
      </c>
      <c r="I919" s="2" t="s">
        <v>1223</v>
      </c>
      <c r="J919" s="5" t="str">
        <f>VLOOKUP(B919,Seqs!A:B,2,FALSE)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919" s="4" t="str">
        <f t="shared" si="90"/>
        <v>E</v>
      </c>
      <c r="L919" s="45">
        <f>VLOOKUP(B919,'NonXtal_SegEnds_Prot#'!A:AL,27,FALSE)</f>
        <v>181</v>
      </c>
      <c r="M919" s="45">
        <f>VLOOKUP(B919,'NonXtal_SegEnds_Prot#'!A:AL,28,FALSE)</f>
        <v>201</v>
      </c>
      <c r="N919" s="45">
        <f>VLOOKUP(B919,'NonXtal_SegEnds_Prot#'!A:AL,29,FALSE)</f>
        <v>223</v>
      </c>
      <c r="O919" s="4" t="str">
        <f t="shared" si="85"/>
        <v>T</v>
      </c>
      <c r="P919" s="4"/>
      <c r="Q919" s="47" t="str">
        <f t="shared" si="87"/>
        <v>EFGLVWHEIVNYICQVIFWI</v>
      </c>
      <c r="R919" s="27" t="str">
        <f t="shared" si="88"/>
        <v>N</v>
      </c>
      <c r="S919" s="19" t="str">
        <f t="shared" si="89"/>
        <v>FLIVIVCYTLITKELYRSYVRT</v>
      </c>
      <c r="Z919" s="4"/>
      <c r="AD919" s="1" t="s">
        <v>158</v>
      </c>
      <c r="AE919" s="1">
        <v>181</v>
      </c>
      <c r="AF919" s="1">
        <v>201</v>
      </c>
      <c r="AG919" s="1">
        <v>219</v>
      </c>
      <c r="AH919" s="1" t="s">
        <v>101</v>
      </c>
      <c r="AK919" s="4">
        <v>30</v>
      </c>
      <c r="AL919" s="4">
        <v>68</v>
      </c>
    </row>
    <row r="920" spans="1:38" x14ac:dyDescent="0.25">
      <c r="A920" s="1" t="str">
        <f t="shared" si="86"/>
        <v>PAR1_human__wt_TM5</v>
      </c>
      <c r="B920" s="45" t="s">
        <v>229</v>
      </c>
      <c r="C920" s="45" t="s">
        <v>294</v>
      </c>
      <c r="D920" s="4" t="str">
        <f>VLOOKUP(B920,Classification!A:D,2,FALSE)</f>
        <v>A</v>
      </c>
      <c r="E920" s="4" t="str">
        <f>VLOOKUP(B920,Classification!A:D,3,FALSE)</f>
        <v>Peptide</v>
      </c>
      <c r="F920" s="4" t="str">
        <f>VLOOKUP(B920,Classification!A:D,4,FALSE)</f>
        <v>Proteinase-activated</v>
      </c>
      <c r="G920" s="2">
        <v>9</v>
      </c>
      <c r="H920" s="45" t="s">
        <v>39</v>
      </c>
      <c r="I920" s="2" t="s">
        <v>1223</v>
      </c>
      <c r="J920" s="5" t="str">
        <f>VLOOKUP(B920,Seqs!A:B,2,FALSE)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920" s="4" t="str">
        <f t="shared" si="90"/>
        <v>E</v>
      </c>
      <c r="L920" s="45">
        <f>VLOOKUP(B920,'NonXtal_SegEnds_Prot#'!A:AL,27,FALSE)</f>
        <v>264</v>
      </c>
      <c r="M920" s="45">
        <f>VLOOKUP(B920,'NonXtal_SegEnds_Prot#'!A:AL,28,FALSE)</f>
        <v>282</v>
      </c>
      <c r="N920" s="45">
        <f>VLOOKUP(B920,'NonXtal_SegEnds_Prot#'!A:AL,29,FALSE)</f>
        <v>299</v>
      </c>
      <c r="O920" s="4" t="str">
        <f t="shared" si="85"/>
        <v>S</v>
      </c>
      <c r="P920" s="4"/>
      <c r="Q920" s="47" t="str">
        <f t="shared" si="87"/>
        <v>EGYYAYYFSAFSAVFFFV</v>
      </c>
      <c r="R920" s="27" t="str">
        <f t="shared" si="88"/>
        <v>P</v>
      </c>
      <c r="S920" s="19" t="str">
        <f t="shared" si="89"/>
        <v>LIISTVCYVSIIRCLSS</v>
      </c>
      <c r="Z920" s="4"/>
      <c r="AD920" s="1" t="s">
        <v>111</v>
      </c>
      <c r="AE920" s="1">
        <v>265</v>
      </c>
      <c r="AF920" s="1">
        <v>282</v>
      </c>
      <c r="AG920" s="1">
        <v>300</v>
      </c>
      <c r="AH920" s="1" t="s">
        <v>101</v>
      </c>
      <c r="AK920" s="4">
        <v>33</v>
      </c>
      <c r="AL920" s="4">
        <v>68</v>
      </c>
    </row>
    <row r="921" spans="1:38" x14ac:dyDescent="0.25">
      <c r="A921" s="1" t="str">
        <f t="shared" si="86"/>
        <v>PAR1_human_3VW7_TM5</v>
      </c>
      <c r="B921" s="45" t="s">
        <v>229</v>
      </c>
      <c r="C921" s="45" t="s">
        <v>285</v>
      </c>
      <c r="D921" s="4" t="str">
        <f>VLOOKUP(B921,Classification!A:D,2,FALSE)</f>
        <v>A</v>
      </c>
      <c r="E921" s="4" t="str">
        <f>VLOOKUP(B921,Classification!A:D,3,FALSE)</f>
        <v>Peptide</v>
      </c>
      <c r="F921" s="4" t="str">
        <f>VLOOKUP(B921,Classification!A:D,4,FALSE)</f>
        <v>Proteinase-activated</v>
      </c>
      <c r="G921" s="2">
        <v>9</v>
      </c>
      <c r="H921" s="45" t="s">
        <v>39</v>
      </c>
      <c r="I921" s="2" t="s">
        <v>1223</v>
      </c>
      <c r="J921" s="5" t="str">
        <f>VLOOKUP(B921,Seqs!A:B,2,FALSE)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921" s="4" t="str">
        <f t="shared" si="90"/>
        <v>E</v>
      </c>
      <c r="L921" s="45">
        <f>VLOOKUP(B921,'NonXtal_SegEnds_Prot#'!A:AL,27,FALSE)</f>
        <v>264</v>
      </c>
      <c r="M921" s="45">
        <f>VLOOKUP(B921,'NonXtal_SegEnds_Prot#'!A:AL,28,FALSE)</f>
        <v>282</v>
      </c>
      <c r="N921" s="45">
        <f>VLOOKUP(B921,'NonXtal_SegEnds_Prot#'!A:AL,29,FALSE)</f>
        <v>299</v>
      </c>
      <c r="O921" s="4" t="str">
        <f t="shared" si="85"/>
        <v>S</v>
      </c>
      <c r="P921" s="4"/>
      <c r="Q921" s="47" t="str">
        <f t="shared" si="87"/>
        <v>EGYYAYYFSAFSAVFFFV</v>
      </c>
      <c r="R921" s="27" t="str">
        <f t="shared" si="88"/>
        <v>P</v>
      </c>
      <c r="S921" s="19" t="str">
        <f t="shared" si="89"/>
        <v>LIISTVCYVSIIRCLSS</v>
      </c>
      <c r="Z921" s="4"/>
      <c r="AD921" s="1" t="s">
        <v>111</v>
      </c>
      <c r="AE921" s="1">
        <v>265</v>
      </c>
      <c r="AF921" s="1">
        <v>282</v>
      </c>
      <c r="AG921" s="1">
        <v>300</v>
      </c>
      <c r="AH921" s="1" t="s">
        <v>101</v>
      </c>
      <c r="AK921" s="4">
        <v>33</v>
      </c>
      <c r="AL921" s="4">
        <v>68</v>
      </c>
    </row>
    <row r="922" spans="1:38" x14ac:dyDescent="0.25">
      <c r="A922" s="1" t="str">
        <f t="shared" si="86"/>
        <v>S1PR1_human__wt_TM5</v>
      </c>
      <c r="B922" s="54" t="s">
        <v>217</v>
      </c>
      <c r="C922" s="54" t="s">
        <v>294</v>
      </c>
      <c r="D922" s="4" t="str">
        <f>VLOOKUP(B922,Classification!A:D,2,FALSE)</f>
        <v>A</v>
      </c>
      <c r="E922" s="4" t="str">
        <f>VLOOKUP(B922,Classification!A:D,3,FALSE)</f>
        <v>Lipid</v>
      </c>
      <c r="F922" s="4" t="str">
        <f>VLOOKUP(B922,Classification!A:D,4,FALSE)</f>
        <v>Lysophospholipid(S1P)</v>
      </c>
      <c r="G922" s="2">
        <v>9</v>
      </c>
      <c r="H922" s="45" t="s">
        <v>39</v>
      </c>
      <c r="I922" s="2" t="s">
        <v>1223</v>
      </c>
      <c r="J922" s="5" t="str">
        <f>VLOOKUP(B922,Seqs!A:B,2,FALSE)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922" s="4" t="str">
        <f t="shared" si="90"/>
        <v>H</v>
      </c>
      <c r="L922" s="45">
        <f>VLOOKUP(B922,'NonXtal_SegEnds_Prot#'!A:AL,27,FALSE)</f>
        <v>199</v>
      </c>
      <c r="M922" s="45">
        <f>VLOOKUP(B922,'NonXtal_SegEnds_Prot#'!A:AL,28,FALSE)</f>
        <v>213</v>
      </c>
      <c r="N922" s="45">
        <f>VLOOKUP(B922,'NonXtal_SegEnds_Prot#'!A:AL,29,FALSE)</f>
        <v>236</v>
      </c>
      <c r="O922" s="4" t="str">
        <f t="shared" si="85"/>
        <v>T</v>
      </c>
      <c r="P922" s="4"/>
      <c r="Q922" s="47" t="str">
        <f t="shared" si="87"/>
        <v>HKHYILFCTTVFTL</v>
      </c>
      <c r="R922" s="27" t="str">
        <f t="shared" si="88"/>
        <v>L</v>
      </c>
      <c r="S922" s="19" t="str">
        <f t="shared" si="89"/>
        <v>LLSIVILYCRIYSLVRTRSRRLT</v>
      </c>
      <c r="Z922" s="4"/>
      <c r="AD922" s="1" t="s">
        <v>40</v>
      </c>
      <c r="AE922" s="1">
        <v>200</v>
      </c>
      <c r="AF922" s="1">
        <v>213</v>
      </c>
      <c r="AG922" s="1">
        <v>231</v>
      </c>
      <c r="AH922" s="1" t="s">
        <v>101</v>
      </c>
      <c r="AK922" s="4">
        <v>37</v>
      </c>
      <c r="AL922" s="4">
        <v>68</v>
      </c>
    </row>
    <row r="923" spans="1:38" x14ac:dyDescent="0.25">
      <c r="A923" s="1" t="str">
        <f t="shared" si="86"/>
        <v>S1PR1_human_3V2Y_TM5</v>
      </c>
      <c r="B923" s="54" t="s">
        <v>217</v>
      </c>
      <c r="C923" s="54" t="s">
        <v>286</v>
      </c>
      <c r="D923" s="4" t="str">
        <f>VLOOKUP(B923,Classification!A:D,2,FALSE)</f>
        <v>A</v>
      </c>
      <c r="E923" s="4" t="str">
        <f>VLOOKUP(B923,Classification!A:D,3,FALSE)</f>
        <v>Lipid</v>
      </c>
      <c r="F923" s="4" t="str">
        <f>VLOOKUP(B923,Classification!A:D,4,FALSE)</f>
        <v>Lysophospholipid(S1P)</v>
      </c>
      <c r="G923" s="2">
        <v>9</v>
      </c>
      <c r="H923" s="45" t="s">
        <v>39</v>
      </c>
      <c r="I923" s="2" t="s">
        <v>1223</v>
      </c>
      <c r="J923" s="5" t="str">
        <f>VLOOKUP(B923,Seqs!A:B,2,FALSE)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923" s="4" t="str">
        <f t="shared" si="90"/>
        <v>H</v>
      </c>
      <c r="L923" s="45">
        <f>VLOOKUP(B923,'NonXtal_SegEnds_Prot#'!A:AL,27,FALSE)</f>
        <v>199</v>
      </c>
      <c r="M923" s="45">
        <f>VLOOKUP(B923,'NonXtal_SegEnds_Prot#'!A:AL,28,FALSE)</f>
        <v>213</v>
      </c>
      <c r="N923" s="45">
        <f>VLOOKUP(B923,'NonXtal_SegEnds_Prot#'!A:AL,29,FALSE)</f>
        <v>236</v>
      </c>
      <c r="O923" s="4" t="str">
        <f t="shared" si="85"/>
        <v>T</v>
      </c>
      <c r="P923" s="4"/>
      <c r="Q923" s="47" t="str">
        <f t="shared" si="87"/>
        <v>HKHYILFCTTVFTL</v>
      </c>
      <c r="R923" s="27" t="str">
        <f t="shared" si="88"/>
        <v>L</v>
      </c>
      <c r="S923" s="19" t="str">
        <f t="shared" si="89"/>
        <v>LLSIVILYCRIYSLVRTRSRRLT</v>
      </c>
      <c r="Z923" s="4"/>
      <c r="AD923" s="1" t="s">
        <v>40</v>
      </c>
      <c r="AE923" s="1">
        <v>200</v>
      </c>
      <c r="AF923" s="1">
        <v>213</v>
      </c>
      <c r="AG923" s="1">
        <v>231</v>
      </c>
      <c r="AH923" s="1" t="s">
        <v>101</v>
      </c>
      <c r="AK923" s="4">
        <v>37</v>
      </c>
      <c r="AL923" s="4">
        <v>68</v>
      </c>
    </row>
    <row r="924" spans="1:38" x14ac:dyDescent="0.25">
      <c r="A924" s="1" t="str">
        <f t="shared" si="86"/>
        <v>5ht1b_human__wt_TM6</v>
      </c>
      <c r="B924" s="45" t="s">
        <v>208</v>
      </c>
      <c r="C924" s="45" t="s">
        <v>294</v>
      </c>
      <c r="D924" s="4" t="str">
        <f>VLOOKUP(B924,Classification!A:D,2,FALSE)</f>
        <v>A</v>
      </c>
      <c r="E924" s="4" t="str">
        <f>VLOOKUP(B924,Classification!A:D,3,FALSE)</f>
        <v>Aminergic</v>
      </c>
      <c r="F924" s="4" t="str">
        <f>VLOOKUP(B924,Classification!A:D,4,FALSE)</f>
        <v>5-Hydroxytryptamine</v>
      </c>
      <c r="G924" s="2">
        <v>11</v>
      </c>
      <c r="H924" s="45" t="s">
        <v>44</v>
      </c>
      <c r="I924" s="2" t="s">
        <v>1223</v>
      </c>
      <c r="J924" s="5" t="str">
        <f>VLOOKUP(B924,Seqs!A:B,2,FALSE)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924" s="4" t="str">
        <f t="shared" si="90"/>
        <v>K</v>
      </c>
      <c r="L924" s="45">
        <f>VLOOKUP(B924,'NonXtal_SegEnds_Prot#'!A:AL,30,FALSE)</f>
        <v>303</v>
      </c>
      <c r="M924" s="45">
        <f>VLOOKUP(B924,'NonXtal_SegEnds_Prot#'!A:AL,31,FALSE)</f>
        <v>329</v>
      </c>
      <c r="N924" s="45">
        <f>VLOOKUP(B924,'NonXtal_SegEnds_Prot#'!A:AL,32,FALSE)</f>
        <v>339</v>
      </c>
      <c r="O924" s="4" t="str">
        <f t="shared" si="85"/>
        <v>I</v>
      </c>
      <c r="P924" s="4"/>
      <c r="Q924" s="47" t="str">
        <f t="shared" si="87"/>
        <v>KLMAARERKATKTLGIILGAFIVCWL</v>
      </c>
      <c r="R924" s="27" t="str">
        <f t="shared" si="88"/>
        <v>P</v>
      </c>
      <c r="S924" s="19" t="str">
        <f t="shared" si="89"/>
        <v>FFIISLVMPI</v>
      </c>
      <c r="Z924" s="4"/>
      <c r="AD924" s="1" t="s">
        <v>45</v>
      </c>
      <c r="AE924" s="1">
        <v>303</v>
      </c>
      <c r="AF924" s="1">
        <v>329</v>
      </c>
      <c r="AG924" s="1">
        <v>337</v>
      </c>
      <c r="AH924" s="1" t="s">
        <v>47</v>
      </c>
      <c r="AK924" s="4">
        <v>24</v>
      </c>
      <c r="AL924" s="4">
        <v>58</v>
      </c>
    </row>
    <row r="925" spans="1:38" x14ac:dyDescent="0.25">
      <c r="A925" s="1" t="str">
        <f t="shared" si="86"/>
        <v>5ht1b_human_4IAQ_TM6</v>
      </c>
      <c r="B925" s="45" t="s">
        <v>208</v>
      </c>
      <c r="C925" s="53" t="s">
        <v>1249</v>
      </c>
      <c r="D925" s="4" t="str">
        <f>VLOOKUP(B925,Classification!A:D,2,FALSE)</f>
        <v>A</v>
      </c>
      <c r="E925" s="4" t="str">
        <f>VLOOKUP(B925,Classification!A:D,3,FALSE)</f>
        <v>Aminergic</v>
      </c>
      <c r="F925" s="4" t="str">
        <f>VLOOKUP(B925,Classification!A:D,4,FALSE)</f>
        <v>5-Hydroxytryptamine</v>
      </c>
      <c r="G925" s="2">
        <v>11</v>
      </c>
      <c r="H925" s="45" t="s">
        <v>44</v>
      </c>
      <c r="I925" s="2" t="s">
        <v>1223</v>
      </c>
      <c r="J925" s="5" t="str">
        <f>VLOOKUP(B925,Seqs!A:B,2,FALSE)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925" s="4" t="str">
        <f t="shared" si="90"/>
        <v>K</v>
      </c>
      <c r="L925" s="45">
        <f>VLOOKUP(B925,'NonXtal_SegEnds_Prot#'!A:AL,30,FALSE)</f>
        <v>303</v>
      </c>
      <c r="M925" s="45">
        <f>VLOOKUP(B925,'NonXtal_SegEnds_Prot#'!A:AL,31,FALSE)</f>
        <v>329</v>
      </c>
      <c r="N925" s="45">
        <f>VLOOKUP(B925,'NonXtal_SegEnds_Prot#'!A:AL,32,FALSE)</f>
        <v>339</v>
      </c>
      <c r="O925" s="4" t="str">
        <f t="shared" si="85"/>
        <v>I</v>
      </c>
      <c r="P925" s="4"/>
      <c r="Q925" s="47" t="str">
        <f t="shared" si="87"/>
        <v>KLMAARERKATKTLGIILGAFIVCWL</v>
      </c>
      <c r="R925" s="27" t="str">
        <f t="shared" si="88"/>
        <v>P</v>
      </c>
      <c r="S925" s="19" t="str">
        <f t="shared" si="89"/>
        <v>FFIISLVMPI</v>
      </c>
      <c r="Z925" s="4"/>
      <c r="AD925" s="1" t="s">
        <v>46</v>
      </c>
      <c r="AE925" s="1">
        <v>310</v>
      </c>
      <c r="AF925" s="1">
        <v>329</v>
      </c>
      <c r="AG925" s="1">
        <v>337</v>
      </c>
      <c r="AH925" s="1" t="s">
        <v>47</v>
      </c>
      <c r="AK925" s="4">
        <v>31</v>
      </c>
      <c r="AL925" s="4">
        <v>58</v>
      </c>
    </row>
    <row r="926" spans="1:38" x14ac:dyDescent="0.25">
      <c r="A926" s="1" t="str">
        <f t="shared" si="86"/>
        <v>5ht1b_human_4IAR_TM6</v>
      </c>
      <c r="B926" s="45" t="s">
        <v>208</v>
      </c>
      <c r="C926" s="45" t="s">
        <v>251</v>
      </c>
      <c r="D926" s="4" t="str">
        <f>VLOOKUP(B926,Classification!A:D,2,FALSE)</f>
        <v>A</v>
      </c>
      <c r="E926" s="4" t="str">
        <f>VLOOKUP(B926,Classification!A:D,3,FALSE)</f>
        <v>Aminergic</v>
      </c>
      <c r="F926" s="4" t="str">
        <f>VLOOKUP(B926,Classification!A:D,4,FALSE)</f>
        <v>5-Hydroxytryptamine</v>
      </c>
      <c r="G926" s="2">
        <v>11</v>
      </c>
      <c r="H926" s="45" t="s">
        <v>44</v>
      </c>
      <c r="I926" s="2" t="s">
        <v>1223</v>
      </c>
      <c r="J926" s="5" t="str">
        <f>VLOOKUP(B926,Seqs!A:B,2,FALSE)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926" s="4" t="str">
        <f t="shared" si="90"/>
        <v>K</v>
      </c>
      <c r="L926" s="45">
        <f>VLOOKUP(B926,'NonXtal_SegEnds_Prot#'!A:AL,30,FALSE)</f>
        <v>303</v>
      </c>
      <c r="M926" s="45">
        <f>VLOOKUP(B926,'NonXtal_SegEnds_Prot#'!A:AL,31,FALSE)</f>
        <v>329</v>
      </c>
      <c r="N926" s="45">
        <f>VLOOKUP(B926,'NonXtal_SegEnds_Prot#'!A:AL,32,FALSE)</f>
        <v>339</v>
      </c>
      <c r="O926" s="4" t="str">
        <f t="shared" si="85"/>
        <v>I</v>
      </c>
      <c r="P926" s="4"/>
      <c r="Q926" s="47" t="str">
        <f t="shared" si="87"/>
        <v>KLMAARERKATKTLGIILGAFIVCWL</v>
      </c>
      <c r="R926" s="27" t="str">
        <f t="shared" si="88"/>
        <v>P</v>
      </c>
      <c r="S926" s="19" t="str">
        <f t="shared" si="89"/>
        <v>FFIISLVMPI</v>
      </c>
      <c r="Z926" s="4"/>
      <c r="AD926" s="1" t="s">
        <v>46</v>
      </c>
      <c r="AE926" s="1">
        <v>310</v>
      </c>
      <c r="AF926" s="1">
        <v>329</v>
      </c>
      <c r="AG926" s="1">
        <v>337</v>
      </c>
      <c r="AH926" s="1" t="s">
        <v>47</v>
      </c>
      <c r="AK926" s="4">
        <v>31</v>
      </c>
      <c r="AL926" s="4">
        <v>58</v>
      </c>
    </row>
    <row r="927" spans="1:38" x14ac:dyDescent="0.25">
      <c r="A927" s="1" t="str">
        <f t="shared" si="86"/>
        <v>5ht2b_human__wt_TM6</v>
      </c>
      <c r="B927" s="45" t="s">
        <v>209</v>
      </c>
      <c r="C927" s="45" t="s">
        <v>294</v>
      </c>
      <c r="D927" s="4" t="str">
        <f>VLOOKUP(B927,Classification!A:D,2,FALSE)</f>
        <v>A</v>
      </c>
      <c r="E927" s="4" t="str">
        <f>VLOOKUP(B927,Classification!A:D,3,FALSE)</f>
        <v>Aminergic</v>
      </c>
      <c r="F927" s="4" t="str">
        <f>VLOOKUP(B927,Classification!A:D,4,FALSE)</f>
        <v>5-Hydroxytryptamine</v>
      </c>
      <c r="G927" s="2">
        <v>11</v>
      </c>
      <c r="H927" s="45" t="s">
        <v>44</v>
      </c>
      <c r="I927" s="2" t="s">
        <v>1223</v>
      </c>
      <c r="J927" s="5" t="str">
        <f>VLOOKUP(B927,Seqs!A:B,2,FALSE)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927" s="4" t="str">
        <f t="shared" si="90"/>
        <v>V</v>
      </c>
      <c r="L927" s="45">
        <f>VLOOKUP(B927,'NonXtal_SegEnds_Prot#'!A:AL,30,FALSE)</f>
        <v>313</v>
      </c>
      <c r="M927" s="45">
        <f>VLOOKUP(B927,'NonXtal_SegEnds_Prot#'!A:AL,31,FALSE)</f>
        <v>339</v>
      </c>
      <c r="N927" s="45">
        <f>VLOOKUP(B927,'NonXtal_SegEnds_Prot#'!A:AL,32,FALSE)</f>
        <v>350</v>
      </c>
      <c r="O927" s="4" t="str">
        <f t="shared" si="85"/>
        <v>C</v>
      </c>
      <c r="P927" s="4"/>
      <c r="Q927" s="47" t="str">
        <f t="shared" si="87"/>
        <v>VQTISNEQRASKVLGIVFFLFLLMWC</v>
      </c>
      <c r="R927" s="27" t="str">
        <f t="shared" si="88"/>
        <v>P</v>
      </c>
      <c r="S927" s="19" t="str">
        <f t="shared" si="89"/>
        <v>FFITNITLVLC</v>
      </c>
      <c r="Z927" s="4"/>
      <c r="AD927" s="1" t="s">
        <v>45</v>
      </c>
      <c r="AE927" s="1">
        <v>313</v>
      </c>
      <c r="AF927" s="1">
        <v>339</v>
      </c>
      <c r="AG927" s="1">
        <v>350</v>
      </c>
      <c r="AH927" s="1" t="s">
        <v>61</v>
      </c>
      <c r="AK927" s="4">
        <v>24</v>
      </c>
      <c r="AL927" s="4">
        <v>61</v>
      </c>
    </row>
    <row r="928" spans="1:38" x14ac:dyDescent="0.25">
      <c r="A928" s="1" t="str">
        <f t="shared" si="86"/>
        <v>5ht2b_human_4IB4_TM6</v>
      </c>
      <c r="B928" s="45" t="s">
        <v>209</v>
      </c>
      <c r="C928" s="45" t="s">
        <v>261</v>
      </c>
      <c r="D928" s="4" t="str">
        <f>VLOOKUP(B928,Classification!A:D,2,FALSE)</f>
        <v>A</v>
      </c>
      <c r="E928" s="4" t="str">
        <f>VLOOKUP(B928,Classification!A:D,3,FALSE)</f>
        <v>Aminergic</v>
      </c>
      <c r="F928" s="4" t="str">
        <f>VLOOKUP(B928,Classification!A:D,4,FALSE)</f>
        <v>5-Hydroxytryptamine</v>
      </c>
      <c r="G928" s="2">
        <v>11</v>
      </c>
      <c r="H928" s="45" t="s">
        <v>44</v>
      </c>
      <c r="I928" s="2" t="s">
        <v>1223</v>
      </c>
      <c r="J928" s="5" t="str">
        <f>VLOOKUP(B928,Seqs!A:B,2,FALSE)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928" s="4" t="str">
        <f t="shared" si="90"/>
        <v>V</v>
      </c>
      <c r="L928" s="45">
        <f>VLOOKUP(B928,'NonXtal_SegEnds_Prot#'!A:AL,30,FALSE)</f>
        <v>313</v>
      </c>
      <c r="M928" s="45">
        <f>VLOOKUP(B928,'NonXtal_SegEnds_Prot#'!A:AL,31,FALSE)</f>
        <v>339</v>
      </c>
      <c r="N928" s="45">
        <f>VLOOKUP(B928,'NonXtal_SegEnds_Prot#'!A:AL,32,FALSE)</f>
        <v>350</v>
      </c>
      <c r="O928" s="4" t="str">
        <f t="shared" si="85"/>
        <v>C</v>
      </c>
      <c r="P928" s="4"/>
      <c r="Q928" s="47" t="str">
        <f t="shared" si="87"/>
        <v>VQTISNEQRASKVLGIVFFLFLLMWC</v>
      </c>
      <c r="R928" s="27" t="str">
        <f t="shared" si="88"/>
        <v>P</v>
      </c>
      <c r="S928" s="19" t="str">
        <f t="shared" si="89"/>
        <v>FFITNITLVLC</v>
      </c>
      <c r="Z928" s="4"/>
      <c r="AD928" s="1" t="s">
        <v>60</v>
      </c>
      <c r="AE928" s="1">
        <v>317</v>
      </c>
      <c r="AF928" s="1">
        <v>339</v>
      </c>
      <c r="AG928" s="1">
        <v>350</v>
      </c>
      <c r="AH928" s="1" t="s">
        <v>61</v>
      </c>
      <c r="AK928" s="4">
        <v>28</v>
      </c>
      <c r="AL928" s="4">
        <v>61</v>
      </c>
    </row>
    <row r="929" spans="1:38" x14ac:dyDescent="0.25">
      <c r="A929" s="1" t="str">
        <f t="shared" si="86"/>
        <v>AA2AR_human__wt_TM6</v>
      </c>
      <c r="B929" s="45" t="s">
        <v>210</v>
      </c>
      <c r="C929" s="45" t="s">
        <v>294</v>
      </c>
      <c r="D929" s="4" t="str">
        <f>VLOOKUP(B929,Classification!A:D,2,FALSE)</f>
        <v>A</v>
      </c>
      <c r="E929" s="4" t="str">
        <f>VLOOKUP(B929,Classification!A:D,3,FALSE)</f>
        <v>Nucleotide</v>
      </c>
      <c r="F929" s="4" t="str">
        <f>VLOOKUP(B929,Classification!A:D,4,FALSE)</f>
        <v>Adenosine</v>
      </c>
      <c r="G929" s="2">
        <v>11</v>
      </c>
      <c r="H929" s="45" t="s">
        <v>44</v>
      </c>
      <c r="I929" s="2" t="s">
        <v>1223</v>
      </c>
      <c r="J929" s="5" t="str">
        <f>VLOOKUP(B929,Seqs!A:B,2,FALSE)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29" s="4" t="str">
        <f t="shared" si="90"/>
        <v>E</v>
      </c>
      <c r="L929" s="45">
        <f>VLOOKUP(B929,'NonXtal_SegEnds_Prot#'!A:AL,30,FALSE)</f>
        <v>219</v>
      </c>
      <c r="M929" s="45">
        <f>VLOOKUP(B929,'NonXtal_SegEnds_Prot#'!A:AL,31,FALSE)</f>
        <v>248</v>
      </c>
      <c r="N929" s="45">
        <f>VLOOKUP(B929,'NonXtal_SegEnds_Prot#'!A:AL,32,FALSE)</f>
        <v>259</v>
      </c>
      <c r="O929" s="4" t="str">
        <f t="shared" si="85"/>
        <v>C</v>
      </c>
      <c r="P929" s="4"/>
      <c r="Q929" s="47" t="str">
        <f t="shared" si="87"/>
        <v>ERARSTLQKEVHAAKSLAIIVGLFALCWL</v>
      </c>
      <c r="R929" s="27" t="str">
        <f t="shared" si="88"/>
        <v>P</v>
      </c>
      <c r="S929" s="19" t="str">
        <f t="shared" si="89"/>
        <v>LHIINCFTFFC</v>
      </c>
      <c r="Z929" s="4" t="s">
        <v>64</v>
      </c>
      <c r="AD929" s="1" t="s">
        <v>76</v>
      </c>
      <c r="AE929" s="1">
        <v>219</v>
      </c>
      <c r="AF929" s="1">
        <v>248</v>
      </c>
      <c r="AG929" s="1">
        <v>259</v>
      </c>
      <c r="AH929" s="1" t="s">
        <v>61</v>
      </c>
      <c r="AK929" s="4">
        <v>21</v>
      </c>
      <c r="AL929" s="4">
        <v>61</v>
      </c>
    </row>
    <row r="930" spans="1:38" x14ac:dyDescent="0.25">
      <c r="A930" s="1" t="str">
        <f t="shared" si="86"/>
        <v>AA2AR_human_2YDV_TM6</v>
      </c>
      <c r="B930" s="45" t="s">
        <v>210</v>
      </c>
      <c r="C930" s="45" t="s">
        <v>271</v>
      </c>
      <c r="D930" s="4" t="str">
        <f>VLOOKUP(B930,Classification!A:D,2,FALSE)</f>
        <v>A</v>
      </c>
      <c r="E930" s="4" t="str">
        <f>VLOOKUP(B930,Classification!A:D,3,FALSE)</f>
        <v>Nucleotide</v>
      </c>
      <c r="F930" s="4" t="str">
        <f>VLOOKUP(B930,Classification!A:D,4,FALSE)</f>
        <v>Adenosine</v>
      </c>
      <c r="G930" s="2">
        <v>11</v>
      </c>
      <c r="H930" s="45" t="s">
        <v>44</v>
      </c>
      <c r="I930" s="2" t="s">
        <v>1223</v>
      </c>
      <c r="J930" s="5" t="str">
        <f>VLOOKUP(B930,Seqs!A:B,2,FALSE)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30" s="4" t="str">
        <f t="shared" si="90"/>
        <v>E</v>
      </c>
      <c r="L930" s="45">
        <f>VLOOKUP(B930,'NonXtal_SegEnds_Prot#'!A:AL,30,FALSE)</f>
        <v>219</v>
      </c>
      <c r="M930" s="45">
        <f>VLOOKUP(B930,'NonXtal_SegEnds_Prot#'!A:AL,31,FALSE)</f>
        <v>248</v>
      </c>
      <c r="N930" s="45">
        <f>VLOOKUP(B930,'NonXtal_SegEnds_Prot#'!A:AL,32,FALSE)</f>
        <v>259</v>
      </c>
      <c r="O930" s="4" t="str">
        <f t="shared" si="85"/>
        <v>C</v>
      </c>
      <c r="P930" s="4"/>
      <c r="Q930" s="47" t="str">
        <f t="shared" si="87"/>
        <v>ERARSTLQKEVHAAKSLAIIVGLFALCWL</v>
      </c>
      <c r="R930" s="27" t="str">
        <f t="shared" si="88"/>
        <v>P</v>
      </c>
      <c r="S930" s="19" t="str">
        <f t="shared" si="89"/>
        <v>LHIINCFTFFC</v>
      </c>
      <c r="Z930" s="4" t="s">
        <v>64</v>
      </c>
      <c r="AD930" s="1" t="s">
        <v>45</v>
      </c>
      <c r="AE930" s="1">
        <v>222</v>
      </c>
      <c r="AF930" s="1">
        <v>248</v>
      </c>
      <c r="AG930" s="1">
        <v>259</v>
      </c>
      <c r="AH930" s="1" t="s">
        <v>61</v>
      </c>
      <c r="AK930" s="4">
        <v>24</v>
      </c>
      <c r="AL930" s="4">
        <v>61</v>
      </c>
    </row>
    <row r="931" spans="1:38" x14ac:dyDescent="0.25">
      <c r="A931" s="1" t="str">
        <f t="shared" si="86"/>
        <v>AA2AR_human_3REY_TM6</v>
      </c>
      <c r="B931" s="45" t="s">
        <v>210</v>
      </c>
      <c r="C931" s="45" t="s">
        <v>275</v>
      </c>
      <c r="D931" s="4" t="str">
        <f>VLOOKUP(B931,Classification!A:D,2,FALSE)</f>
        <v>A</v>
      </c>
      <c r="E931" s="4" t="str">
        <f>VLOOKUP(B931,Classification!A:D,3,FALSE)</f>
        <v>Nucleotide</v>
      </c>
      <c r="F931" s="4" t="str">
        <f>VLOOKUP(B931,Classification!A:D,4,FALSE)</f>
        <v>Adenosine</v>
      </c>
      <c r="G931" s="2">
        <v>11</v>
      </c>
      <c r="H931" s="45" t="s">
        <v>44</v>
      </c>
      <c r="I931" s="2" t="s">
        <v>1223</v>
      </c>
      <c r="J931" s="5" t="str">
        <f>VLOOKUP(B931,Seqs!A:B,2,FALSE)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31" s="4" t="str">
        <f t="shared" si="90"/>
        <v>E</v>
      </c>
      <c r="L931" s="45">
        <f>VLOOKUP(B931,'NonXtal_SegEnds_Prot#'!A:AL,30,FALSE)</f>
        <v>219</v>
      </c>
      <c r="M931" s="45">
        <f>VLOOKUP(B931,'NonXtal_SegEnds_Prot#'!A:AL,31,FALSE)</f>
        <v>248</v>
      </c>
      <c r="N931" s="45">
        <f>VLOOKUP(B931,'NonXtal_SegEnds_Prot#'!A:AL,32,FALSE)</f>
        <v>259</v>
      </c>
      <c r="O931" s="4" t="str">
        <f t="shared" si="85"/>
        <v>C</v>
      </c>
      <c r="P931" s="4"/>
      <c r="Q931" s="47" t="str">
        <f t="shared" si="87"/>
        <v>ERARSTLQKEVHAAKSLAIIVGLFALCWL</v>
      </c>
      <c r="R931" s="27" t="str">
        <f t="shared" si="88"/>
        <v>P</v>
      </c>
      <c r="S931" s="19" t="str">
        <f t="shared" si="89"/>
        <v>LHIINCFTFFC</v>
      </c>
      <c r="Z931" s="4" t="s">
        <v>78</v>
      </c>
      <c r="AD931" s="1" t="s">
        <v>76</v>
      </c>
      <c r="AE931" s="1">
        <v>219</v>
      </c>
      <c r="AF931" s="1">
        <v>248</v>
      </c>
      <c r="AG931" s="1">
        <v>259</v>
      </c>
      <c r="AH931" s="1" t="s">
        <v>61</v>
      </c>
      <c r="AK931" s="4">
        <v>21</v>
      </c>
      <c r="AL931" s="4">
        <v>61</v>
      </c>
    </row>
    <row r="932" spans="1:38" x14ac:dyDescent="0.25">
      <c r="A932" s="1" t="str">
        <f t="shared" si="86"/>
        <v>AA2AR_human_4EIY_TM6</v>
      </c>
      <c r="B932" s="45" t="s">
        <v>210</v>
      </c>
      <c r="C932" s="45" t="s">
        <v>272</v>
      </c>
      <c r="D932" s="4" t="str">
        <f>VLOOKUP(B932,Classification!A:D,2,FALSE)</f>
        <v>A</v>
      </c>
      <c r="E932" s="4" t="str">
        <f>VLOOKUP(B932,Classification!A:D,3,FALSE)</f>
        <v>Nucleotide</v>
      </c>
      <c r="F932" s="4" t="str">
        <f>VLOOKUP(B932,Classification!A:D,4,FALSE)</f>
        <v>Adenosine</v>
      </c>
      <c r="G932" s="2">
        <v>11</v>
      </c>
      <c r="H932" s="45" t="s">
        <v>44</v>
      </c>
      <c r="I932" s="2" t="s">
        <v>1223</v>
      </c>
      <c r="J932" s="5" t="str">
        <f>VLOOKUP(B932,Seqs!A:B,2,FALSE)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32" s="4" t="str">
        <f t="shared" si="90"/>
        <v>E</v>
      </c>
      <c r="L932" s="45">
        <f>VLOOKUP(B932,'NonXtal_SegEnds_Prot#'!A:AL,30,FALSE)</f>
        <v>219</v>
      </c>
      <c r="M932" s="45">
        <f>VLOOKUP(B932,'NonXtal_SegEnds_Prot#'!A:AL,31,FALSE)</f>
        <v>248</v>
      </c>
      <c r="N932" s="45">
        <f>VLOOKUP(B932,'NonXtal_SegEnds_Prot#'!A:AL,32,FALSE)</f>
        <v>259</v>
      </c>
      <c r="O932" s="4" t="str">
        <f t="shared" si="85"/>
        <v>C</v>
      </c>
      <c r="P932" s="4"/>
      <c r="Q932" s="47" t="str">
        <f t="shared" si="87"/>
        <v>ERARSTLQKEVHAAKSLAIIVGLFALCWL</v>
      </c>
      <c r="R932" s="27" t="str">
        <f t="shared" si="88"/>
        <v>P</v>
      </c>
      <c r="S932" s="19" t="str">
        <f t="shared" si="89"/>
        <v>LHIINCFTFFC</v>
      </c>
      <c r="Z932" s="4"/>
      <c r="AD932" s="1" t="s">
        <v>45</v>
      </c>
      <c r="AE932" s="1">
        <v>222</v>
      </c>
      <c r="AF932" s="1">
        <v>248</v>
      </c>
      <c r="AG932" s="1">
        <v>259</v>
      </c>
      <c r="AH932" s="1" t="s">
        <v>61</v>
      </c>
      <c r="AK932" s="4">
        <v>24</v>
      </c>
      <c r="AL932" s="4">
        <v>61</v>
      </c>
    </row>
    <row r="933" spans="1:38" x14ac:dyDescent="0.25">
      <c r="A933" s="1" t="str">
        <f t="shared" si="86"/>
        <v>ACM1_human__wt_TM6</v>
      </c>
      <c r="B933" s="45" t="s">
        <v>218</v>
      </c>
      <c r="C933" s="45" t="s">
        <v>294</v>
      </c>
      <c r="D933" s="4" t="str">
        <f>VLOOKUP(B933,Classification!A:D,2,FALSE)</f>
        <v>A</v>
      </c>
      <c r="E933" s="4" t="str">
        <f>VLOOKUP(B933,Classification!A:D,3,FALSE)</f>
        <v>Aminergic</v>
      </c>
      <c r="F933" s="4" t="str">
        <f>VLOOKUP(B933,Classification!A:D,4,FALSE)</f>
        <v>Acetylcholine(muscarinic)</v>
      </c>
      <c r="G933" s="2">
        <v>11</v>
      </c>
      <c r="H933" s="45" t="s">
        <v>44</v>
      </c>
      <c r="I933" s="2" t="s">
        <v>1223</v>
      </c>
      <c r="J933" s="5" t="str">
        <f>VLOOKUP(B933,Seqs!A:B,2,FALSE)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933" s="4" t="str">
        <f t="shared" si="90"/>
        <v>T</v>
      </c>
      <c r="L933" s="45">
        <f>VLOOKUP(B933,'NonXtal_SegEnds_Prot#'!A:AL,30,FALSE)</f>
        <v>354</v>
      </c>
      <c r="M933" s="45">
        <f>VLOOKUP(B933,'NonXtal_SegEnds_Prot#'!A:AL,31,FALSE)</f>
        <v>380</v>
      </c>
      <c r="N933" s="45">
        <f>VLOOKUP(B933,'NonXtal_SegEnds_Prot#'!A:AL,32,FALSE)</f>
        <v>391</v>
      </c>
      <c r="O933" s="4" t="str">
        <f t="shared" si="85"/>
        <v>C</v>
      </c>
      <c r="P933" s="4"/>
      <c r="Q933" s="47" t="str">
        <f t="shared" si="87"/>
        <v>TFSLVKEKKAARTLSAILLAFILTWT</v>
      </c>
      <c r="R933" s="27" t="str">
        <f t="shared" si="88"/>
        <v>P</v>
      </c>
      <c r="S933" s="19" t="str">
        <f t="shared" si="89"/>
        <v>YNIMVLVSTFC</v>
      </c>
      <c r="Z933" s="4" t="s">
        <v>78</v>
      </c>
      <c r="AD933" s="1" t="s">
        <v>45</v>
      </c>
      <c r="AE933" s="1">
        <v>354</v>
      </c>
      <c r="AF933" s="1">
        <v>380</v>
      </c>
      <c r="AG933" s="1">
        <v>391</v>
      </c>
      <c r="AH933" s="1" t="s">
        <v>61</v>
      </c>
      <c r="AK933" s="4">
        <v>24</v>
      </c>
      <c r="AL933" s="4">
        <v>61</v>
      </c>
    </row>
    <row r="934" spans="1:38" x14ac:dyDescent="0.25">
      <c r="A934" s="1" t="str">
        <f t="shared" si="86"/>
        <v>ACM1_human_5CXV_TM6</v>
      </c>
      <c r="B934" s="45" t="s">
        <v>218</v>
      </c>
      <c r="C934" s="45" t="s">
        <v>253</v>
      </c>
      <c r="D934" s="4" t="str">
        <f>VLOOKUP(B934,Classification!A:D,2,FALSE)</f>
        <v>A</v>
      </c>
      <c r="E934" s="4" t="str">
        <f>VLOOKUP(B934,Classification!A:D,3,FALSE)</f>
        <v>Aminergic</v>
      </c>
      <c r="F934" s="4" t="str">
        <f>VLOOKUP(B934,Classification!A:D,4,FALSE)</f>
        <v>Acetylcholine(muscarinic)</v>
      </c>
      <c r="G934" s="2">
        <v>11</v>
      </c>
      <c r="H934" s="45" t="s">
        <v>44</v>
      </c>
      <c r="I934" s="2" t="s">
        <v>1223</v>
      </c>
      <c r="J934" s="5" t="str">
        <f>VLOOKUP(B934,Seqs!A:B,2,FALSE)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934" s="4" t="str">
        <f t="shared" si="90"/>
        <v>T</v>
      </c>
      <c r="L934" s="45">
        <f>VLOOKUP(B934,'NonXtal_SegEnds_Prot#'!A:AL,30,FALSE)</f>
        <v>354</v>
      </c>
      <c r="M934" s="45">
        <f>VLOOKUP(B934,'NonXtal_SegEnds_Prot#'!A:AL,31,FALSE)</f>
        <v>380</v>
      </c>
      <c r="N934" s="45">
        <f>VLOOKUP(B934,'NonXtal_SegEnds_Prot#'!A:AL,32,FALSE)</f>
        <v>391</v>
      </c>
      <c r="O934" s="4" t="str">
        <f t="shared" si="85"/>
        <v>C</v>
      </c>
      <c r="P934" s="4"/>
      <c r="Q934" s="47" t="str">
        <f t="shared" si="87"/>
        <v>TFSLVKEKKAARTLSAILLAFILTWT</v>
      </c>
      <c r="R934" s="27" t="str">
        <f t="shared" si="88"/>
        <v>P</v>
      </c>
      <c r="S934" s="19" t="str">
        <f t="shared" si="89"/>
        <v>YNIMVLVSTFC</v>
      </c>
      <c r="Z934" s="4" t="s">
        <v>78</v>
      </c>
      <c r="AD934" s="1" t="s">
        <v>84</v>
      </c>
      <c r="AE934" s="1">
        <v>357</v>
      </c>
      <c r="AF934" s="1">
        <v>380</v>
      </c>
      <c r="AG934" s="1">
        <v>391</v>
      </c>
      <c r="AH934" s="1" t="s">
        <v>61</v>
      </c>
      <c r="AK934" s="4">
        <v>27</v>
      </c>
      <c r="AL934" s="4">
        <v>61</v>
      </c>
    </row>
    <row r="935" spans="1:38" x14ac:dyDescent="0.25">
      <c r="A935" s="1" t="str">
        <f t="shared" si="86"/>
        <v>ACM2_human__wt_TM6</v>
      </c>
      <c r="B935" s="45" t="s">
        <v>219</v>
      </c>
      <c r="C935" s="45" t="s">
        <v>294</v>
      </c>
      <c r="D935" s="4" t="str">
        <f>VLOOKUP(B935,Classification!A:D,2,FALSE)</f>
        <v>A</v>
      </c>
      <c r="E935" s="4" t="str">
        <f>VLOOKUP(B935,Classification!A:D,3,FALSE)</f>
        <v>Aminergic</v>
      </c>
      <c r="F935" s="4" t="str">
        <f>VLOOKUP(B935,Classification!A:D,4,FALSE)</f>
        <v>Acetylcholine(muscarinic)</v>
      </c>
      <c r="G935" s="2">
        <v>11</v>
      </c>
      <c r="H935" s="45" t="s">
        <v>44</v>
      </c>
      <c r="I935" s="2" t="s">
        <v>1223</v>
      </c>
      <c r="J935" s="5" t="str">
        <f>VLOOKUP(B935,Seqs!A:B,2,FALSE)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935" s="4" t="str">
        <f t="shared" si="90"/>
        <v>K</v>
      </c>
      <c r="L935" s="45">
        <f>VLOOKUP(B935,'NonXtal_SegEnds_Prot#'!A:AL,30,FALSE)</f>
        <v>376</v>
      </c>
      <c r="M935" s="45">
        <f>VLOOKUP(B935,'NonXtal_SegEnds_Prot#'!A:AL,31,FALSE)</f>
        <v>402</v>
      </c>
      <c r="N935" s="45">
        <f>VLOOKUP(B935,'NonXtal_SegEnds_Prot#'!A:AL,32,FALSE)</f>
        <v>413</v>
      </c>
      <c r="O935" s="4" t="str">
        <f t="shared" si="85"/>
        <v>C</v>
      </c>
      <c r="P935" s="4"/>
      <c r="Q935" s="47" t="str">
        <f t="shared" si="87"/>
        <v>KPPPSREKKVTRTILAILLAFIITWA</v>
      </c>
      <c r="R935" s="27" t="str">
        <f t="shared" si="88"/>
        <v>P</v>
      </c>
      <c r="S935" s="19" t="str">
        <f t="shared" si="89"/>
        <v>YNVMVLINTFC</v>
      </c>
      <c r="Z935" s="4" t="s">
        <v>78</v>
      </c>
      <c r="AD935" s="1" t="s">
        <v>45</v>
      </c>
      <c r="AE935" s="1">
        <v>376</v>
      </c>
      <c r="AF935" s="1">
        <v>402</v>
      </c>
      <c r="AG935" s="1">
        <v>413</v>
      </c>
      <c r="AH935" s="1" t="s">
        <v>61</v>
      </c>
      <c r="AK935" s="4">
        <v>24</v>
      </c>
      <c r="AL935" s="4">
        <v>61</v>
      </c>
    </row>
    <row r="936" spans="1:38" x14ac:dyDescent="0.25">
      <c r="A936" s="1" t="str">
        <f t="shared" si="86"/>
        <v>ACM2_human_3UON_TM6</v>
      </c>
      <c r="B936" s="45" t="s">
        <v>219</v>
      </c>
      <c r="C936" s="45" t="s">
        <v>270</v>
      </c>
      <c r="D936" s="4" t="str">
        <f>VLOOKUP(B936,Classification!A:D,2,FALSE)</f>
        <v>A</v>
      </c>
      <c r="E936" s="4" t="str">
        <f>VLOOKUP(B936,Classification!A:D,3,FALSE)</f>
        <v>Aminergic</v>
      </c>
      <c r="F936" s="4" t="str">
        <f>VLOOKUP(B936,Classification!A:D,4,FALSE)</f>
        <v>Acetylcholine(muscarinic)</v>
      </c>
      <c r="G936" s="2">
        <v>11</v>
      </c>
      <c r="H936" s="45" t="s">
        <v>44</v>
      </c>
      <c r="I936" s="2" t="s">
        <v>1223</v>
      </c>
      <c r="J936" s="5" t="str">
        <f>VLOOKUP(B936,Seqs!A:B,2,FALSE)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936" s="4" t="str">
        <f t="shared" si="90"/>
        <v>K</v>
      </c>
      <c r="L936" s="45">
        <f>VLOOKUP(B936,'NonXtal_SegEnds_Prot#'!A:AL,30,FALSE)</f>
        <v>376</v>
      </c>
      <c r="M936" s="45">
        <f>VLOOKUP(B936,'NonXtal_SegEnds_Prot#'!A:AL,31,FALSE)</f>
        <v>402</v>
      </c>
      <c r="N936" s="45">
        <f>VLOOKUP(B936,'NonXtal_SegEnds_Prot#'!A:AL,32,FALSE)</f>
        <v>413</v>
      </c>
      <c r="O936" s="4" t="str">
        <f t="shared" si="85"/>
        <v>C</v>
      </c>
      <c r="P936" s="4"/>
      <c r="Q936" s="47" t="str">
        <f t="shared" si="87"/>
        <v>KPPPSREKKVTRTILAILLAFIITWA</v>
      </c>
      <c r="R936" s="27" t="str">
        <f t="shared" si="88"/>
        <v>P</v>
      </c>
      <c r="S936" s="19" t="str">
        <f t="shared" si="89"/>
        <v>YNVMVLINTFC</v>
      </c>
      <c r="Z936" s="4" t="s">
        <v>78</v>
      </c>
      <c r="AD936" s="1" t="s">
        <v>87</v>
      </c>
      <c r="AE936" s="1">
        <v>384</v>
      </c>
      <c r="AF936" s="1">
        <v>402</v>
      </c>
      <c r="AG936" s="1">
        <v>413</v>
      </c>
      <c r="AH936" s="1" t="s">
        <v>61</v>
      </c>
      <c r="AK936" s="4">
        <v>32</v>
      </c>
      <c r="AL936" s="4">
        <v>61</v>
      </c>
    </row>
    <row r="937" spans="1:38" x14ac:dyDescent="0.25">
      <c r="A937" s="1" t="str">
        <f t="shared" si="86"/>
        <v>ACM2_human_4MQS_TM6</v>
      </c>
      <c r="B937" s="45" t="s">
        <v>219</v>
      </c>
      <c r="C937" s="45" t="s">
        <v>259</v>
      </c>
      <c r="D937" s="4" t="str">
        <f>VLOOKUP(B937,Classification!A:D,2,FALSE)</f>
        <v>A</v>
      </c>
      <c r="E937" s="4" t="str">
        <f>VLOOKUP(B937,Classification!A:D,3,FALSE)</f>
        <v>Aminergic</v>
      </c>
      <c r="F937" s="4" t="str">
        <f>VLOOKUP(B937,Classification!A:D,4,FALSE)</f>
        <v>Acetylcholine(muscarinic)</v>
      </c>
      <c r="G937" s="2">
        <v>11</v>
      </c>
      <c r="H937" s="45" t="s">
        <v>44</v>
      </c>
      <c r="I937" s="2" t="s">
        <v>1223</v>
      </c>
      <c r="J937" s="5" t="str">
        <f>VLOOKUP(B937,Seqs!A:B,2,FALSE)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937" s="4" t="str">
        <f t="shared" si="90"/>
        <v>K</v>
      </c>
      <c r="L937" s="45">
        <f>VLOOKUP(B937,'NonXtal_SegEnds_Prot#'!A:AL,30,FALSE)</f>
        <v>376</v>
      </c>
      <c r="M937" s="45">
        <f>VLOOKUP(B937,'NonXtal_SegEnds_Prot#'!A:AL,31,FALSE)</f>
        <v>402</v>
      </c>
      <c r="N937" s="45">
        <f>VLOOKUP(B937,'NonXtal_SegEnds_Prot#'!A:AL,32,FALSE)</f>
        <v>413</v>
      </c>
      <c r="O937" s="4" t="str">
        <f t="shared" si="85"/>
        <v>C</v>
      </c>
      <c r="P937" s="4"/>
      <c r="Q937" s="47" t="str">
        <f t="shared" si="87"/>
        <v>KPPPSREKKVTRTILAILLAFIITWA</v>
      </c>
      <c r="R937" s="27" t="str">
        <f t="shared" si="88"/>
        <v>P</v>
      </c>
      <c r="S937" s="19" t="str">
        <f t="shared" si="89"/>
        <v>YNVMVLINTFC</v>
      </c>
      <c r="Z937" s="4" t="s">
        <v>64</v>
      </c>
      <c r="AD937" s="1" t="s">
        <v>60</v>
      </c>
      <c r="AE937" s="1">
        <v>380</v>
      </c>
      <c r="AF937" s="1">
        <v>402</v>
      </c>
      <c r="AG937" s="1">
        <v>413</v>
      </c>
      <c r="AH937" s="1" t="s">
        <v>61</v>
      </c>
      <c r="AK937" s="4">
        <v>28</v>
      </c>
      <c r="AL937" s="4">
        <v>61</v>
      </c>
    </row>
    <row r="938" spans="1:38" x14ac:dyDescent="0.25">
      <c r="A938" s="1" t="str">
        <f t="shared" si="86"/>
        <v>ACM3_rat__wt_TM6</v>
      </c>
      <c r="B938" s="45" t="s">
        <v>236</v>
      </c>
      <c r="C938" s="45" t="s">
        <v>294</v>
      </c>
      <c r="D938" s="4" t="str">
        <f>VLOOKUP(B938,Classification!A:D,2,FALSE)</f>
        <v>A</v>
      </c>
      <c r="E938" s="4" t="str">
        <f>VLOOKUP(B938,Classification!A:D,3,FALSE)</f>
        <v>Aminergic</v>
      </c>
      <c r="F938" s="4" t="str">
        <f>VLOOKUP(B938,Classification!A:D,4,FALSE)</f>
        <v>Acetylcholine(muscarinic)</v>
      </c>
      <c r="G938" s="2">
        <v>11</v>
      </c>
      <c r="H938" s="45" t="s">
        <v>44</v>
      </c>
      <c r="I938" s="2" t="s">
        <v>1223</v>
      </c>
      <c r="J938" s="5" t="str">
        <f>VLOOKUP(B938,Seqs!A:B,2,FALSE)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938" s="4" t="str">
        <f t="shared" si="90"/>
        <v>R</v>
      </c>
      <c r="L938" s="45">
        <f>VLOOKUP(B938,'NonXtal_SegEnds_Prot#'!A:AL,30,FALSE)</f>
        <v>479</v>
      </c>
      <c r="M938" s="45">
        <f>VLOOKUP(B938,'NonXtal_SegEnds_Prot#'!A:AL,31,FALSE)</f>
        <v>505</v>
      </c>
      <c r="N938" s="45">
        <f>VLOOKUP(B938,'NonXtal_SegEnds_Prot#'!A:AL,32,FALSE)</f>
        <v>516</v>
      </c>
      <c r="O938" s="4" t="str">
        <f t="shared" ref="O938:O1001" si="91">MID(J938,N938,1)</f>
        <v>C</v>
      </c>
      <c r="P938" s="4"/>
      <c r="Q938" s="47" t="str">
        <f t="shared" si="87"/>
        <v>RMSLIKEKKAAQTLSAILLAFIITWT</v>
      </c>
      <c r="R938" s="27" t="str">
        <f t="shared" si="88"/>
        <v>P</v>
      </c>
      <c r="S938" s="19" t="str">
        <f t="shared" si="89"/>
        <v>YNIMVLVNTFC</v>
      </c>
      <c r="Z938" s="4"/>
      <c r="AD938" s="1" t="s">
        <v>45</v>
      </c>
      <c r="AE938" s="1">
        <v>479</v>
      </c>
      <c r="AF938" s="1">
        <v>505</v>
      </c>
      <c r="AG938" s="1">
        <v>516</v>
      </c>
      <c r="AH938" s="1" t="s">
        <v>61</v>
      </c>
      <c r="AK938" s="4">
        <v>24</v>
      </c>
      <c r="AL938" s="4">
        <v>61</v>
      </c>
    </row>
    <row r="939" spans="1:38" x14ac:dyDescent="0.25">
      <c r="A939" s="1" t="str">
        <f t="shared" si="86"/>
        <v>ACM3_rat_4U15_TM6</v>
      </c>
      <c r="B939" s="45" t="s">
        <v>236</v>
      </c>
      <c r="C939" s="45" t="s">
        <v>262</v>
      </c>
      <c r="D939" s="4" t="str">
        <f>VLOOKUP(B939,Classification!A:D,2,FALSE)</f>
        <v>A</v>
      </c>
      <c r="E939" s="4" t="str">
        <f>VLOOKUP(B939,Classification!A:D,3,FALSE)</f>
        <v>Aminergic</v>
      </c>
      <c r="F939" s="4" t="str">
        <f>VLOOKUP(B939,Classification!A:D,4,FALSE)</f>
        <v>Acetylcholine(muscarinic)</v>
      </c>
      <c r="G939" s="2">
        <v>11</v>
      </c>
      <c r="H939" s="45" t="s">
        <v>44</v>
      </c>
      <c r="I939" s="2" t="s">
        <v>1223</v>
      </c>
      <c r="J939" s="5" t="str">
        <f>VLOOKUP(B939,Seqs!A:B,2,FALSE)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939" s="4" t="str">
        <f t="shared" si="90"/>
        <v>R</v>
      </c>
      <c r="L939" s="45">
        <f>VLOOKUP(B939,'NonXtal_SegEnds_Prot#'!A:AL,30,FALSE)</f>
        <v>479</v>
      </c>
      <c r="M939" s="45">
        <f>VLOOKUP(B939,'NonXtal_SegEnds_Prot#'!A:AL,31,FALSE)</f>
        <v>505</v>
      </c>
      <c r="N939" s="45">
        <f>VLOOKUP(B939,'NonXtal_SegEnds_Prot#'!A:AL,32,FALSE)</f>
        <v>516</v>
      </c>
      <c r="O939" s="4" t="str">
        <f t="shared" si="91"/>
        <v>C</v>
      </c>
      <c r="P939" s="4"/>
      <c r="Q939" s="47" t="str">
        <f t="shared" si="87"/>
        <v>RMSLIKEKKAAQTLSAILLAFIITWT</v>
      </c>
      <c r="R939" s="27" t="str">
        <f t="shared" si="88"/>
        <v>P</v>
      </c>
      <c r="S939" s="19" t="str">
        <f t="shared" si="89"/>
        <v>YNIMVLVNTFC</v>
      </c>
      <c r="Z939" s="4"/>
      <c r="AD939" s="1" t="s">
        <v>60</v>
      </c>
      <c r="AE939" s="1">
        <v>483</v>
      </c>
      <c r="AF939" s="1">
        <v>505</v>
      </c>
      <c r="AG939" s="1">
        <v>516</v>
      </c>
      <c r="AH939" s="1" t="s">
        <v>61</v>
      </c>
      <c r="AK939" s="4">
        <v>28</v>
      </c>
      <c r="AL939" s="4">
        <v>61</v>
      </c>
    </row>
    <row r="940" spans="1:38" x14ac:dyDescent="0.25">
      <c r="A940" s="1" t="str">
        <f t="shared" si="86"/>
        <v>ACM4_human__wt_TM6</v>
      </c>
      <c r="B940" s="45" t="s">
        <v>220</v>
      </c>
      <c r="C940" s="45" t="s">
        <v>294</v>
      </c>
      <c r="D940" s="4" t="str">
        <f>VLOOKUP(B940,Classification!A:D,2,FALSE)</f>
        <v>A</v>
      </c>
      <c r="E940" s="4" t="str">
        <f>VLOOKUP(B940,Classification!A:D,3,FALSE)</f>
        <v>Aminergic</v>
      </c>
      <c r="F940" s="4" t="str">
        <f>VLOOKUP(B940,Classification!A:D,4,FALSE)</f>
        <v>Acetylcholine(muscarinic)</v>
      </c>
      <c r="G940" s="2">
        <v>11</v>
      </c>
      <c r="H940" s="45" t="s">
        <v>44</v>
      </c>
      <c r="I940" s="2" t="s">
        <v>1223</v>
      </c>
      <c r="J940" s="5" t="str">
        <f>VLOOKUP(B940,Seqs!A:B,2,FALSE)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940" s="4" t="str">
        <f t="shared" si="90"/>
        <v>R</v>
      </c>
      <c r="L940" s="45">
        <f>VLOOKUP(B940,'NonXtal_SegEnds_Prot#'!A:AL,30,FALSE)</f>
        <v>389</v>
      </c>
      <c r="M940" s="45">
        <f>VLOOKUP(B940,'NonXtal_SegEnds_Prot#'!A:AL,31,FALSE)</f>
        <v>415</v>
      </c>
      <c r="N940" s="45">
        <f>VLOOKUP(B940,'NonXtal_SegEnds_Prot#'!A:AL,32,FALSE)</f>
        <v>426</v>
      </c>
      <c r="O940" s="4" t="str">
        <f t="shared" si="91"/>
        <v>C</v>
      </c>
      <c r="P940" s="4"/>
      <c r="Q940" s="47" t="str">
        <f t="shared" si="87"/>
        <v>RQMAARERKVTRTIFAILLAFILTWT</v>
      </c>
      <c r="R940" s="27" t="str">
        <f t="shared" si="88"/>
        <v>P</v>
      </c>
      <c r="S940" s="19" t="str">
        <f t="shared" si="89"/>
        <v>YNVMVLVNTFC</v>
      </c>
      <c r="Z940" s="4" t="s">
        <v>78</v>
      </c>
      <c r="AD940" s="1" t="s">
        <v>45</v>
      </c>
      <c r="AE940" s="1">
        <v>389</v>
      </c>
      <c r="AF940" s="1">
        <v>415</v>
      </c>
      <c r="AG940" s="1">
        <v>426</v>
      </c>
      <c r="AH940" s="1" t="s">
        <v>61</v>
      </c>
      <c r="AK940" s="4">
        <v>24</v>
      </c>
      <c r="AL940" s="4">
        <v>61</v>
      </c>
    </row>
    <row r="941" spans="1:38" x14ac:dyDescent="0.25">
      <c r="A941" s="1" t="str">
        <f t="shared" si="86"/>
        <v>ACM4_human_5DSG_TM6</v>
      </c>
      <c r="B941" s="45" t="s">
        <v>220</v>
      </c>
      <c r="C941" s="45" t="s">
        <v>252</v>
      </c>
      <c r="D941" s="4" t="str">
        <f>VLOOKUP(B941,Classification!A:D,2,FALSE)</f>
        <v>A</v>
      </c>
      <c r="E941" s="4" t="str">
        <f>VLOOKUP(B941,Classification!A:D,3,FALSE)</f>
        <v>Aminergic</v>
      </c>
      <c r="F941" s="4" t="str">
        <f>VLOOKUP(B941,Classification!A:D,4,FALSE)</f>
        <v>Acetylcholine(muscarinic)</v>
      </c>
      <c r="G941" s="2">
        <v>11</v>
      </c>
      <c r="H941" s="45" t="s">
        <v>44</v>
      </c>
      <c r="I941" s="2" t="s">
        <v>1223</v>
      </c>
      <c r="J941" s="5" t="str">
        <f>VLOOKUP(B941,Seqs!A:B,2,FALSE)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941" s="4" t="str">
        <f t="shared" si="90"/>
        <v>R</v>
      </c>
      <c r="L941" s="45">
        <f>VLOOKUP(B941,'NonXtal_SegEnds_Prot#'!A:AL,30,FALSE)</f>
        <v>389</v>
      </c>
      <c r="M941" s="45">
        <f>VLOOKUP(B941,'NonXtal_SegEnds_Prot#'!A:AL,31,FALSE)</f>
        <v>415</v>
      </c>
      <c r="N941" s="45">
        <f>VLOOKUP(B941,'NonXtal_SegEnds_Prot#'!A:AL,32,FALSE)</f>
        <v>426</v>
      </c>
      <c r="O941" s="4" t="str">
        <f t="shared" si="91"/>
        <v>C</v>
      </c>
      <c r="P941" s="4"/>
      <c r="Q941" s="47" t="str">
        <f t="shared" si="87"/>
        <v>RQMAARERKVTRTIFAILLAFILTWT</v>
      </c>
      <c r="R941" s="27" t="str">
        <f t="shared" si="88"/>
        <v>P</v>
      </c>
      <c r="S941" s="19" t="str">
        <f t="shared" si="89"/>
        <v>YNVMVLVNTFC</v>
      </c>
      <c r="Z941" s="4" t="s">
        <v>78</v>
      </c>
      <c r="AD941" s="1" t="s">
        <v>46</v>
      </c>
      <c r="AE941" s="1">
        <v>396</v>
      </c>
      <c r="AF941" s="1">
        <v>415</v>
      </c>
      <c r="AG941" s="1">
        <v>426</v>
      </c>
      <c r="AH941" s="1" t="s">
        <v>61</v>
      </c>
      <c r="AK941" s="4">
        <v>31</v>
      </c>
      <c r="AL941" s="4">
        <v>61</v>
      </c>
    </row>
    <row r="942" spans="1:38" x14ac:dyDescent="0.25">
      <c r="A942" s="1" t="str">
        <f t="shared" si="86"/>
        <v>ADRB1_melga__wt_TM6</v>
      </c>
      <c r="B942" s="45" t="s">
        <v>235</v>
      </c>
      <c r="C942" s="45" t="s">
        <v>294</v>
      </c>
      <c r="D942" s="4" t="str">
        <f>VLOOKUP(B942,Classification!A:D,2,FALSE)</f>
        <v>A</v>
      </c>
      <c r="E942" s="4" t="str">
        <f>VLOOKUP(B942,Classification!A:D,3,FALSE)</f>
        <v>Aminergic</v>
      </c>
      <c r="F942" s="4" t="str">
        <f>VLOOKUP(B942,Classification!A:D,4,FALSE)</f>
        <v>Adrenoceptors</v>
      </c>
      <c r="G942" s="2">
        <v>11</v>
      </c>
      <c r="H942" s="45" t="s">
        <v>44</v>
      </c>
      <c r="I942" s="2" t="s">
        <v>1223</v>
      </c>
      <c r="J942" s="5" t="str">
        <f>VLOOKUP(B942,Seqs!A:B,2,FALSE)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2" s="4" t="str">
        <f t="shared" si="90"/>
        <v>R</v>
      </c>
      <c r="L942" s="45">
        <f>VLOOKUP(B942,'NonXtal_SegEnds_Prot#'!A:AL,30,FALSE)</f>
        <v>275</v>
      </c>
      <c r="M942" s="45">
        <f>VLOOKUP(B942,'NonXtal_SegEnds_Prot#'!A:AL,31,FALSE)</f>
        <v>305</v>
      </c>
      <c r="N942" s="45">
        <f>VLOOKUP(B942,'NonXtal_SegEnds_Prot#'!A:AL,32,FALSE)</f>
        <v>316</v>
      </c>
      <c r="O942" s="4" t="str">
        <f t="shared" si="91"/>
        <v>N</v>
      </c>
      <c r="P942" s="4"/>
      <c r="Q942" s="47" t="str">
        <f t="shared" si="87"/>
        <v>RKTSRVMAMREHKALKTLGIIMGVFTLCWL</v>
      </c>
      <c r="R942" s="28" t="str">
        <f t="shared" si="88"/>
        <v>P</v>
      </c>
      <c r="S942" s="20" t="str">
        <f t="shared" si="89"/>
        <v>FFLVNIVNVFN</v>
      </c>
      <c r="Z942" s="4"/>
      <c r="AD942" s="1" t="s">
        <v>45</v>
      </c>
      <c r="AE942" s="1">
        <v>279</v>
      </c>
      <c r="AF942" s="1">
        <v>305</v>
      </c>
      <c r="AG942" s="1">
        <v>316</v>
      </c>
      <c r="AH942" s="1" t="s">
        <v>61</v>
      </c>
      <c r="AK942" s="4">
        <v>24</v>
      </c>
      <c r="AL942" s="4">
        <v>61</v>
      </c>
    </row>
    <row r="943" spans="1:38" x14ac:dyDescent="0.25">
      <c r="A943" s="1" t="str">
        <f t="shared" si="86"/>
        <v>ADRB1_melga_2Y02_TM6</v>
      </c>
      <c r="B943" s="45" t="s">
        <v>235</v>
      </c>
      <c r="C943" s="45" t="s">
        <v>1230</v>
      </c>
      <c r="D943" s="4" t="str">
        <f>VLOOKUP(B943,Classification!A:D,2,FALSE)</f>
        <v>A</v>
      </c>
      <c r="E943" s="4" t="str">
        <f>VLOOKUP(B943,Classification!A:D,3,FALSE)</f>
        <v>Aminergic</v>
      </c>
      <c r="F943" s="4" t="str">
        <f>VLOOKUP(B943,Classification!A:D,4,FALSE)</f>
        <v>Adrenoceptors</v>
      </c>
      <c r="G943" s="2">
        <v>11</v>
      </c>
      <c r="H943" s="45" t="s">
        <v>44</v>
      </c>
      <c r="I943" s="2" t="s">
        <v>1223</v>
      </c>
      <c r="J943" s="5" t="str">
        <f>VLOOKUP(B943,Seqs!A:B,2,FALSE)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3" s="4" t="str">
        <f t="shared" si="90"/>
        <v>R</v>
      </c>
      <c r="L943" s="45">
        <f>VLOOKUP(B943,'NonXtal_SegEnds_Prot#'!A:AL,30,FALSE)</f>
        <v>275</v>
      </c>
      <c r="M943" s="45">
        <f>VLOOKUP(B943,'NonXtal_SegEnds_Prot#'!A:AL,31,FALSE)</f>
        <v>305</v>
      </c>
      <c r="N943" s="45">
        <f>VLOOKUP(B943,'NonXtal_SegEnds_Prot#'!A:AL,32,FALSE)</f>
        <v>316</v>
      </c>
      <c r="O943" s="4" t="str">
        <f t="shared" si="91"/>
        <v>N</v>
      </c>
      <c r="P943" s="4"/>
      <c r="Q943" s="47" t="str">
        <f t="shared" si="87"/>
        <v>RKTSRVMAMREHKALKTLGIIMGVFTLCWL</v>
      </c>
      <c r="R943" s="28" t="str">
        <f t="shared" si="88"/>
        <v>P</v>
      </c>
      <c r="S943" s="20" t="str">
        <f t="shared" si="89"/>
        <v>FFLVNIVNVFN</v>
      </c>
      <c r="Z943" s="4"/>
      <c r="AD943" s="1" t="s">
        <v>45</v>
      </c>
      <c r="AE943" s="1">
        <v>279</v>
      </c>
      <c r="AF943" s="1">
        <v>305</v>
      </c>
      <c r="AG943" s="1">
        <v>316</v>
      </c>
      <c r="AH943" s="1" t="s">
        <v>61</v>
      </c>
      <c r="AK943" s="4">
        <v>21</v>
      </c>
      <c r="AL943" s="4">
        <v>61</v>
      </c>
    </row>
    <row r="944" spans="1:38" x14ac:dyDescent="0.25">
      <c r="A944" s="1" t="str">
        <f t="shared" si="86"/>
        <v>ADRB1_melga_2YCW_TM6</v>
      </c>
      <c r="B944" s="45" t="s">
        <v>235</v>
      </c>
      <c r="C944" s="45" t="s">
        <v>1233</v>
      </c>
      <c r="D944" s="4" t="str">
        <f>VLOOKUP(B944,Classification!A:D,2,FALSE)</f>
        <v>A</v>
      </c>
      <c r="E944" s="4" t="str">
        <f>VLOOKUP(B944,Classification!A:D,3,FALSE)</f>
        <v>Aminergic</v>
      </c>
      <c r="F944" s="4" t="str">
        <f>VLOOKUP(B944,Classification!A:D,4,FALSE)</f>
        <v>Adrenoceptors</v>
      </c>
      <c r="G944" s="2">
        <v>11</v>
      </c>
      <c r="H944" s="45" t="s">
        <v>44</v>
      </c>
      <c r="I944" s="2" t="s">
        <v>1223</v>
      </c>
      <c r="J944" s="5" t="str">
        <f>VLOOKUP(B944,Seqs!A:B,2,FALSE)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4" s="4" t="str">
        <f t="shared" si="90"/>
        <v>R</v>
      </c>
      <c r="L944" s="45">
        <f>VLOOKUP(B944,'NonXtal_SegEnds_Prot#'!A:AL,30,FALSE)</f>
        <v>275</v>
      </c>
      <c r="M944" s="45">
        <f>VLOOKUP(B944,'NonXtal_SegEnds_Prot#'!A:AL,31,FALSE)</f>
        <v>305</v>
      </c>
      <c r="N944" s="45">
        <f>VLOOKUP(B944,'NonXtal_SegEnds_Prot#'!A:AL,32,FALSE)</f>
        <v>316</v>
      </c>
      <c r="O944" s="4" t="str">
        <f t="shared" si="91"/>
        <v>N</v>
      </c>
      <c r="P944" s="4"/>
      <c r="Q944" s="47" t="str">
        <f t="shared" si="87"/>
        <v>RKTSRVMAMREHKALKTLGIIMGVFTLCWL</v>
      </c>
      <c r="R944" s="28" t="str">
        <f t="shared" si="88"/>
        <v>P</v>
      </c>
      <c r="S944" s="20" t="str">
        <f t="shared" si="89"/>
        <v>FFLVNIVNVFN</v>
      </c>
      <c r="Z944" s="4"/>
      <c r="AD944" s="1" t="s">
        <v>45</v>
      </c>
      <c r="AE944" s="1">
        <v>279</v>
      </c>
      <c r="AF944" s="1">
        <v>305</v>
      </c>
      <c r="AG944" s="1">
        <v>316</v>
      </c>
      <c r="AH944" s="1" t="s">
        <v>61</v>
      </c>
      <c r="AK944" s="4">
        <v>19</v>
      </c>
      <c r="AL944" s="4">
        <v>61</v>
      </c>
    </row>
    <row r="945" spans="1:38" x14ac:dyDescent="0.25">
      <c r="A945" s="1" t="str">
        <f t="shared" si="86"/>
        <v>ADRB1_melga_4BVN_TM6</v>
      </c>
      <c r="B945" s="45" t="s">
        <v>235</v>
      </c>
      <c r="C945" s="45" t="s">
        <v>273</v>
      </c>
      <c r="D945" s="4" t="str">
        <f>VLOOKUP(B945,Classification!A:D,2,FALSE)</f>
        <v>A</v>
      </c>
      <c r="E945" s="4" t="str">
        <f>VLOOKUP(B945,Classification!A:D,3,FALSE)</f>
        <v>Aminergic</v>
      </c>
      <c r="F945" s="4" t="str">
        <f>VLOOKUP(B945,Classification!A:D,4,FALSE)</f>
        <v>Adrenoceptors</v>
      </c>
      <c r="G945" s="2">
        <v>11</v>
      </c>
      <c r="H945" s="45" t="s">
        <v>44</v>
      </c>
      <c r="I945" s="2" t="s">
        <v>1223</v>
      </c>
      <c r="J945" s="5" t="str">
        <f>VLOOKUP(B945,Seqs!A:B,2,FALSE)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5" s="4" t="str">
        <f t="shared" si="90"/>
        <v>R</v>
      </c>
      <c r="L945" s="45">
        <f>VLOOKUP(B945,'NonXtal_SegEnds_Prot#'!A:AL,30,FALSE)</f>
        <v>275</v>
      </c>
      <c r="M945" s="45">
        <f>VLOOKUP(B945,'NonXtal_SegEnds_Prot#'!A:AL,31,FALSE)</f>
        <v>305</v>
      </c>
      <c r="N945" s="45">
        <f>VLOOKUP(B945,'NonXtal_SegEnds_Prot#'!A:AL,32,FALSE)</f>
        <v>316</v>
      </c>
      <c r="O945" s="4" t="str">
        <f t="shared" si="91"/>
        <v>N</v>
      </c>
      <c r="P945" s="4"/>
      <c r="Q945" s="47" t="str">
        <f t="shared" si="87"/>
        <v>RKTSRVMAMREHKALKTLGIIMGVFTLCWL</v>
      </c>
      <c r="R945" s="28" t="str">
        <f t="shared" si="88"/>
        <v>P</v>
      </c>
      <c r="S945" s="20" t="str">
        <f t="shared" si="89"/>
        <v>FFLVNIVNVFN</v>
      </c>
      <c r="Z945" s="4"/>
      <c r="AD945" s="1" t="s">
        <v>45</v>
      </c>
      <c r="AE945" s="1">
        <v>279</v>
      </c>
      <c r="AF945" s="1">
        <v>305</v>
      </c>
      <c r="AG945" s="1">
        <v>316</v>
      </c>
      <c r="AH945" s="1" t="s">
        <v>61</v>
      </c>
      <c r="AK945" s="4">
        <v>24</v>
      </c>
      <c r="AL945" s="4">
        <v>61</v>
      </c>
    </row>
    <row r="946" spans="1:38" x14ac:dyDescent="0.25">
      <c r="A946" s="1" t="str">
        <f t="shared" si="86"/>
        <v>ADRB2_human__wt_TM6</v>
      </c>
      <c r="B946" s="45" t="s">
        <v>211</v>
      </c>
      <c r="C946" s="54" t="s">
        <v>294</v>
      </c>
      <c r="D946" s="4" t="str">
        <f>VLOOKUP(B946,Classification!A:D,2,FALSE)</f>
        <v>A</v>
      </c>
      <c r="E946" s="4" t="str">
        <f>VLOOKUP(B946,Classification!A:D,3,FALSE)</f>
        <v>Aminergic</v>
      </c>
      <c r="F946" s="4" t="str">
        <f>VLOOKUP(B946,Classification!A:D,4,FALSE)</f>
        <v>Adrenoceptors</v>
      </c>
      <c r="G946" s="2">
        <v>11</v>
      </c>
      <c r="H946" s="45" t="s">
        <v>44</v>
      </c>
      <c r="I946" s="2" t="s">
        <v>1223</v>
      </c>
      <c r="J946" s="35" t="str">
        <f>VLOOKUP(B946,Seqs!A:B,2,FALSE)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6" s="4" t="str">
        <f t="shared" si="90"/>
        <v>S</v>
      </c>
      <c r="L946" s="45">
        <f>VLOOKUP(B946,'NonXtal_SegEnds_Prot#'!A:AL,30,FALSE)</f>
        <v>262</v>
      </c>
      <c r="M946" s="45">
        <f>VLOOKUP(B946,'NonXtal_SegEnds_Prot#'!A:AL,31,FALSE)</f>
        <v>288</v>
      </c>
      <c r="N946" s="45">
        <f>VLOOKUP(B946,'NonXtal_SegEnds_Prot#'!A:AL,32,FALSE)</f>
        <v>299</v>
      </c>
      <c r="O946" s="4" t="str">
        <f t="shared" si="91"/>
        <v>Q</v>
      </c>
      <c r="P946" s="2"/>
      <c r="Q946" s="47" t="str">
        <f t="shared" si="87"/>
        <v>SKFCLKEHKALKTLGIIMGTFTLCWL</v>
      </c>
      <c r="R946" s="28" t="str">
        <f t="shared" si="88"/>
        <v>P</v>
      </c>
      <c r="S946" s="20" t="str">
        <f t="shared" si="89"/>
        <v>FFIVNIVHVIQ</v>
      </c>
      <c r="Z946" s="4" t="s">
        <v>64</v>
      </c>
      <c r="AD946" s="1" t="s">
        <v>84</v>
      </c>
      <c r="AE946" s="1">
        <v>265</v>
      </c>
      <c r="AF946" s="1">
        <v>288</v>
      </c>
      <c r="AG946" s="1">
        <v>299</v>
      </c>
      <c r="AH946" s="1" t="s">
        <v>61</v>
      </c>
      <c r="AK946" s="2">
        <v>19</v>
      </c>
      <c r="AL946" s="2">
        <v>61</v>
      </c>
    </row>
    <row r="947" spans="1:38" x14ac:dyDescent="0.25">
      <c r="A947" s="1" t="str">
        <f t="shared" si="86"/>
        <v>ADRB2_human_3D4S_TM6</v>
      </c>
      <c r="B947" s="45" t="s">
        <v>211</v>
      </c>
      <c r="C947" s="45" t="s">
        <v>267</v>
      </c>
      <c r="D947" s="4" t="str">
        <f>VLOOKUP(B947,Classification!A:D,2,FALSE)</f>
        <v>A</v>
      </c>
      <c r="E947" s="4" t="str">
        <f>VLOOKUP(B947,Classification!A:D,3,FALSE)</f>
        <v>Aminergic</v>
      </c>
      <c r="F947" s="4" t="str">
        <f>VLOOKUP(B947,Classification!A:D,4,FALSE)</f>
        <v>Adrenoceptors</v>
      </c>
      <c r="G947" s="2">
        <v>11</v>
      </c>
      <c r="H947" s="45" t="s">
        <v>44</v>
      </c>
      <c r="I947" s="2" t="s">
        <v>1223</v>
      </c>
      <c r="J947" s="35" t="str">
        <f>VLOOKUP(B947,Seqs!A:B,2,FALSE)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7" s="4" t="str">
        <f t="shared" si="90"/>
        <v>S</v>
      </c>
      <c r="L947" s="45">
        <f>VLOOKUP(B947,'NonXtal_SegEnds_Prot#'!A:AL,30,FALSE)</f>
        <v>262</v>
      </c>
      <c r="M947" s="45">
        <f>VLOOKUP(B947,'NonXtal_SegEnds_Prot#'!A:AL,31,FALSE)</f>
        <v>288</v>
      </c>
      <c r="N947" s="45">
        <f>VLOOKUP(B947,'NonXtal_SegEnds_Prot#'!A:AL,32,FALSE)</f>
        <v>299</v>
      </c>
      <c r="O947" s="4" t="str">
        <f t="shared" si="91"/>
        <v>Q</v>
      </c>
      <c r="P947" s="2"/>
      <c r="Q947" s="47" t="str">
        <f t="shared" si="87"/>
        <v>SKFCLKEHKALKTLGIIMGTFTLCWL</v>
      </c>
      <c r="R947" s="28" t="str">
        <f t="shared" si="88"/>
        <v>P</v>
      </c>
      <c r="S947" s="20" t="str">
        <f t="shared" si="89"/>
        <v>FFIVNIVHVIQ</v>
      </c>
      <c r="Z947" s="4"/>
      <c r="AD947" s="1" t="s">
        <v>91</v>
      </c>
      <c r="AE947" s="1">
        <v>267</v>
      </c>
      <c r="AF947" s="1">
        <v>288</v>
      </c>
      <c r="AG947" s="1">
        <v>299</v>
      </c>
      <c r="AH947" s="1" t="s">
        <v>61</v>
      </c>
      <c r="AK947" s="2">
        <v>29</v>
      </c>
      <c r="AL947" s="2">
        <v>61</v>
      </c>
    </row>
    <row r="948" spans="1:38" x14ac:dyDescent="0.25">
      <c r="A948" s="1" t="str">
        <f t="shared" si="86"/>
        <v>ADRB2_human_3P0G_TM6</v>
      </c>
      <c r="B948" s="45" t="s">
        <v>211</v>
      </c>
      <c r="C948" s="45" t="s">
        <v>257</v>
      </c>
      <c r="D948" s="4" t="str">
        <f>VLOOKUP(B948,Classification!A:D,2,FALSE)</f>
        <v>A</v>
      </c>
      <c r="E948" s="4" t="str">
        <f>VLOOKUP(B948,Classification!A:D,3,FALSE)</f>
        <v>Aminergic</v>
      </c>
      <c r="F948" s="4" t="str">
        <f>VLOOKUP(B948,Classification!A:D,4,FALSE)</f>
        <v>Adrenoceptors</v>
      </c>
      <c r="G948" s="2">
        <v>11</v>
      </c>
      <c r="H948" s="45" t="s">
        <v>44</v>
      </c>
      <c r="I948" s="2" t="s">
        <v>1223</v>
      </c>
      <c r="J948" s="35" t="str">
        <f>VLOOKUP(B948,Seqs!A:B,2,FALSE)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8" s="4" t="str">
        <f t="shared" si="90"/>
        <v>S</v>
      </c>
      <c r="L948" s="45">
        <f>VLOOKUP(B948,'NonXtal_SegEnds_Prot#'!A:AL,30,FALSE)</f>
        <v>262</v>
      </c>
      <c r="M948" s="45">
        <f>VLOOKUP(B948,'NonXtal_SegEnds_Prot#'!A:AL,31,FALSE)</f>
        <v>288</v>
      </c>
      <c r="N948" s="45">
        <f>VLOOKUP(B948,'NonXtal_SegEnds_Prot#'!A:AL,32,FALSE)</f>
        <v>299</v>
      </c>
      <c r="O948" s="4" t="str">
        <f t="shared" si="91"/>
        <v>Q</v>
      </c>
      <c r="P948" s="2"/>
      <c r="Q948" s="47" t="str">
        <f t="shared" si="87"/>
        <v>SKFCLKEHKALKTLGIIMGTFTLCWL</v>
      </c>
      <c r="R948" s="27" t="str">
        <f t="shared" si="88"/>
        <v>P</v>
      </c>
      <c r="S948" s="19" t="str">
        <f t="shared" si="89"/>
        <v>FFIVNIVHVIQ</v>
      </c>
      <c r="Z948" s="4"/>
      <c r="AD948" s="1" t="s">
        <v>60</v>
      </c>
      <c r="AE948" s="1">
        <v>266</v>
      </c>
      <c r="AF948" s="1">
        <v>288</v>
      </c>
      <c r="AG948" s="1">
        <v>299</v>
      </c>
      <c r="AH948" s="1" t="s">
        <v>61</v>
      </c>
      <c r="AK948" s="2">
        <v>28</v>
      </c>
      <c r="AL948" s="2">
        <v>61</v>
      </c>
    </row>
    <row r="949" spans="1:38" x14ac:dyDescent="0.25">
      <c r="A949" s="1" t="str">
        <f t="shared" si="86"/>
        <v>ADRB2_human_3SN6_TM6</v>
      </c>
      <c r="B949" s="45" t="s">
        <v>211</v>
      </c>
      <c r="C949" s="45" t="s">
        <v>277</v>
      </c>
      <c r="D949" s="4" t="str">
        <f>VLOOKUP(B949,Classification!A:D,2,FALSE)</f>
        <v>A</v>
      </c>
      <c r="E949" s="4" t="str">
        <f>VLOOKUP(B949,Classification!A:D,3,FALSE)</f>
        <v>Aminergic</v>
      </c>
      <c r="F949" s="4" t="str">
        <f>VLOOKUP(B949,Classification!A:D,4,FALSE)</f>
        <v>Adrenoceptors</v>
      </c>
      <c r="G949" s="2">
        <v>11</v>
      </c>
      <c r="H949" s="45" t="s">
        <v>44</v>
      </c>
      <c r="I949" s="2" t="s">
        <v>1223</v>
      </c>
      <c r="J949" s="35" t="str">
        <f>VLOOKUP(B949,Seqs!A:B,2,FALSE)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9" s="4" t="str">
        <f t="shared" si="90"/>
        <v>S</v>
      </c>
      <c r="L949" s="45">
        <f>VLOOKUP(B949,'NonXtal_SegEnds_Prot#'!A:AL,30,FALSE)</f>
        <v>262</v>
      </c>
      <c r="M949" s="45">
        <f>VLOOKUP(B949,'NonXtal_SegEnds_Prot#'!A:AL,31,FALSE)</f>
        <v>288</v>
      </c>
      <c r="N949" s="45">
        <f>VLOOKUP(B949,'NonXtal_SegEnds_Prot#'!A:AL,32,FALSE)</f>
        <v>299</v>
      </c>
      <c r="O949" s="4" t="str">
        <f t="shared" si="91"/>
        <v>Q</v>
      </c>
      <c r="P949" s="2" t="s">
        <v>1227</v>
      </c>
      <c r="Q949" s="47" t="str">
        <f t="shared" si="87"/>
        <v>SKFCLKEHKALKTLGIIMGTFTLCWL</v>
      </c>
      <c r="R949" s="28" t="str">
        <f t="shared" si="88"/>
        <v>P</v>
      </c>
      <c r="S949" s="20" t="str">
        <f t="shared" si="89"/>
        <v>FFIVNIVHVIQ</v>
      </c>
      <c r="Z949" s="4" t="s">
        <v>64</v>
      </c>
      <c r="AD949" s="1" t="s">
        <v>84</v>
      </c>
      <c r="AE949" s="1">
        <v>265</v>
      </c>
      <c r="AF949" s="1">
        <v>288</v>
      </c>
      <c r="AG949" s="1">
        <v>299</v>
      </c>
      <c r="AH949" s="1" t="s">
        <v>61</v>
      </c>
      <c r="AK949" s="2">
        <v>27</v>
      </c>
      <c r="AL949" s="2">
        <v>61</v>
      </c>
    </row>
    <row r="950" spans="1:38" x14ac:dyDescent="0.25">
      <c r="A950" s="1" t="str">
        <f t="shared" si="86"/>
        <v>ADRB2_human_4LDE_TM6</v>
      </c>
      <c r="B950" s="45" t="s">
        <v>211</v>
      </c>
      <c r="C950" s="45" t="s">
        <v>268</v>
      </c>
      <c r="D950" s="4" t="str">
        <f>VLOOKUP(B950,Classification!A:D,2,FALSE)</f>
        <v>A</v>
      </c>
      <c r="E950" s="4" t="str">
        <f>VLOOKUP(B950,Classification!A:D,3,FALSE)</f>
        <v>Aminergic</v>
      </c>
      <c r="F950" s="4" t="str">
        <f>VLOOKUP(B950,Classification!A:D,4,FALSE)</f>
        <v>Adrenoceptors</v>
      </c>
      <c r="G950" s="2">
        <v>11</v>
      </c>
      <c r="H950" s="45" t="s">
        <v>44</v>
      </c>
      <c r="I950" s="2" t="s">
        <v>1223</v>
      </c>
      <c r="J950" s="35" t="str">
        <f>VLOOKUP(B950,Seqs!A:B,2,FALSE)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50" s="4" t="str">
        <f t="shared" si="90"/>
        <v>S</v>
      </c>
      <c r="L950" s="45">
        <f>VLOOKUP(B950,'NonXtal_SegEnds_Prot#'!A:AL,30,FALSE)</f>
        <v>262</v>
      </c>
      <c r="M950" s="45">
        <f>VLOOKUP(B950,'NonXtal_SegEnds_Prot#'!A:AL,31,FALSE)</f>
        <v>288</v>
      </c>
      <c r="N950" s="45">
        <f>VLOOKUP(B950,'NonXtal_SegEnds_Prot#'!A:AL,32,FALSE)</f>
        <v>299</v>
      </c>
      <c r="O950" s="4" t="str">
        <f t="shared" si="91"/>
        <v>Q</v>
      </c>
      <c r="P950" s="2" t="s">
        <v>1227</v>
      </c>
      <c r="Q950" s="47" t="str">
        <f t="shared" si="87"/>
        <v>SKFCLKEHKALKTLGIIMGTFTLCWL</v>
      </c>
      <c r="R950" s="28" t="str">
        <f t="shared" si="88"/>
        <v>P</v>
      </c>
      <c r="S950" s="20" t="str">
        <f t="shared" si="89"/>
        <v>FFIVNIVHVIQ</v>
      </c>
      <c r="Z950" s="4"/>
      <c r="AD950" s="1" t="s">
        <v>60</v>
      </c>
      <c r="AE950" s="1">
        <v>266</v>
      </c>
      <c r="AF950" s="1">
        <v>288</v>
      </c>
      <c r="AG950" s="1">
        <v>299</v>
      </c>
      <c r="AH950" s="1" t="s">
        <v>61</v>
      </c>
      <c r="AK950" s="2">
        <v>28</v>
      </c>
      <c r="AL950" s="2">
        <v>61</v>
      </c>
    </row>
    <row r="951" spans="1:38" x14ac:dyDescent="0.25">
      <c r="A951" s="1" t="str">
        <f t="shared" si="86"/>
        <v>ADRB2_human_4QKX_TM6</v>
      </c>
      <c r="B951" s="45" t="s">
        <v>211</v>
      </c>
      <c r="C951" s="45" t="s">
        <v>269</v>
      </c>
      <c r="D951" s="4" t="str">
        <f>VLOOKUP(B951,Classification!A:D,2,FALSE)</f>
        <v>A</v>
      </c>
      <c r="E951" s="4" t="str">
        <f>VLOOKUP(B951,Classification!A:D,3,FALSE)</f>
        <v>Aminergic</v>
      </c>
      <c r="F951" s="4" t="str">
        <f>VLOOKUP(B951,Classification!A:D,4,FALSE)</f>
        <v>Adrenoceptors</v>
      </c>
      <c r="G951" s="2">
        <v>11</v>
      </c>
      <c r="H951" s="45" t="s">
        <v>44</v>
      </c>
      <c r="I951" s="2" t="s">
        <v>1223</v>
      </c>
      <c r="J951" s="35" t="str">
        <f>VLOOKUP(B951,Seqs!A:B,2,FALSE)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51" s="4" t="str">
        <f t="shared" si="90"/>
        <v>S</v>
      </c>
      <c r="L951" s="45">
        <f>VLOOKUP(B951,'NonXtal_SegEnds_Prot#'!A:AL,30,FALSE)</f>
        <v>262</v>
      </c>
      <c r="M951" s="45">
        <f>VLOOKUP(B951,'NonXtal_SegEnds_Prot#'!A:AL,31,FALSE)</f>
        <v>288</v>
      </c>
      <c r="N951" s="45">
        <f>VLOOKUP(B951,'NonXtal_SegEnds_Prot#'!A:AL,32,FALSE)</f>
        <v>299</v>
      </c>
      <c r="O951" s="4" t="str">
        <f t="shared" si="91"/>
        <v>Q</v>
      </c>
      <c r="P951" s="2"/>
      <c r="Q951" s="47" t="str">
        <f t="shared" si="87"/>
        <v>SKFCLKEHKALKTLGIIMGTFTLCWL</v>
      </c>
      <c r="R951" s="27" t="str">
        <f t="shared" si="88"/>
        <v>P</v>
      </c>
      <c r="S951" s="19" t="str">
        <f t="shared" si="89"/>
        <v>FFIVNIVHVIQ</v>
      </c>
      <c r="Z951" s="4"/>
      <c r="AD951" s="1" t="s">
        <v>60</v>
      </c>
      <c r="AE951" s="1">
        <v>266</v>
      </c>
      <c r="AF951" s="1">
        <v>288</v>
      </c>
      <c r="AG951" s="1">
        <v>299</v>
      </c>
      <c r="AH951" s="1" t="s">
        <v>61</v>
      </c>
      <c r="AK951" s="2">
        <v>28</v>
      </c>
      <c r="AL951" s="2">
        <v>61</v>
      </c>
    </row>
    <row r="952" spans="1:38" x14ac:dyDescent="0.25">
      <c r="A952" s="1" t="str">
        <f t="shared" si="86"/>
        <v>AGTR1_human__wt_TM6</v>
      </c>
      <c r="B952" s="45" t="s">
        <v>212</v>
      </c>
      <c r="C952" s="45" t="s">
        <v>294</v>
      </c>
      <c r="D952" s="4" t="str">
        <f>VLOOKUP(B952,Classification!A:D,2,FALSE)</f>
        <v>A</v>
      </c>
      <c r="E952" s="4" t="str">
        <f>VLOOKUP(B952,Classification!A:D,3,FALSE)</f>
        <v>Peptide</v>
      </c>
      <c r="F952" s="4" t="str">
        <f>VLOOKUP(B952,Classification!A:D,4,FALSE)</f>
        <v>Angiotensin</v>
      </c>
      <c r="G952" s="2">
        <v>11</v>
      </c>
      <c r="H952" s="45" t="s">
        <v>44</v>
      </c>
      <c r="I952" s="2" t="s">
        <v>1223</v>
      </c>
      <c r="J952" s="5" t="str">
        <f>VLOOKUP(B952,Seqs!A:B,2,FALSE)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952" s="4" t="str">
        <f t="shared" si="90"/>
        <v>P</v>
      </c>
      <c r="L952" s="45">
        <f>VLOOKUP(B952,'NonXtal_SegEnds_Prot#'!A:AL,30,FALSE)</f>
        <v>233</v>
      </c>
      <c r="M952" s="45">
        <f>VLOOKUP(B952,'NonXtal_SegEnds_Prot#'!A:AL,31,FALSE)</f>
        <v>255</v>
      </c>
      <c r="N952" s="45">
        <f>VLOOKUP(B952,'NonXtal_SegEnds_Prot#'!A:AL,32,FALSE)</f>
        <v>269</v>
      </c>
      <c r="O952" s="4" t="str">
        <f t="shared" si="91"/>
        <v>G</v>
      </c>
      <c r="P952" s="4"/>
      <c r="Q952" s="47" t="str">
        <f t="shared" si="87"/>
        <v>PRNDDIFKIIMAIVLFFFFSWI</v>
      </c>
      <c r="R952" s="28" t="str">
        <f t="shared" si="88"/>
        <v>P</v>
      </c>
      <c r="S952" s="20" t="str">
        <f t="shared" si="89"/>
        <v>HQIFTFLDVLIQLG</v>
      </c>
      <c r="Z952" s="4"/>
      <c r="AD952" s="1" t="s">
        <v>102</v>
      </c>
      <c r="AE952" s="1">
        <v>235</v>
      </c>
      <c r="AF952" s="1">
        <v>255</v>
      </c>
      <c r="AG952" s="1">
        <v>268</v>
      </c>
      <c r="AH952" s="1" t="s">
        <v>103</v>
      </c>
      <c r="AK952" s="4">
        <v>30</v>
      </c>
      <c r="AL952" s="4">
        <v>63</v>
      </c>
    </row>
    <row r="953" spans="1:38" x14ac:dyDescent="0.25">
      <c r="A953" s="1" t="str">
        <f t="shared" si="86"/>
        <v>AGTR1_human_4YAY_TM6</v>
      </c>
      <c r="B953" s="45" t="s">
        <v>212</v>
      </c>
      <c r="C953" s="45" t="s">
        <v>260</v>
      </c>
      <c r="D953" s="4" t="str">
        <f>VLOOKUP(B953,Classification!A:D,2,FALSE)</f>
        <v>A</v>
      </c>
      <c r="E953" s="4" t="str">
        <f>VLOOKUP(B953,Classification!A:D,3,FALSE)</f>
        <v>Peptide</v>
      </c>
      <c r="F953" s="4" t="str">
        <f>VLOOKUP(B953,Classification!A:D,4,FALSE)</f>
        <v>Angiotensin</v>
      </c>
      <c r="G953" s="2">
        <v>11</v>
      </c>
      <c r="H953" s="45" t="s">
        <v>44</v>
      </c>
      <c r="I953" s="2" t="s">
        <v>1223</v>
      </c>
      <c r="J953" s="5" t="str">
        <f>VLOOKUP(B953,Seqs!A:B,2,FALSE)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953" s="4" t="str">
        <f t="shared" si="90"/>
        <v>P</v>
      </c>
      <c r="L953" s="45">
        <f>VLOOKUP(B953,'NonXtal_SegEnds_Prot#'!A:AL,30,FALSE)</f>
        <v>233</v>
      </c>
      <c r="M953" s="45">
        <f>VLOOKUP(B953,'NonXtal_SegEnds_Prot#'!A:AL,31,FALSE)</f>
        <v>255</v>
      </c>
      <c r="N953" s="45">
        <f>VLOOKUP(B953,'NonXtal_SegEnds_Prot#'!A:AL,32,FALSE)</f>
        <v>269</v>
      </c>
      <c r="O953" s="4" t="str">
        <f t="shared" si="91"/>
        <v>G</v>
      </c>
      <c r="P953" s="4"/>
      <c r="Q953" s="47" t="str">
        <f t="shared" si="87"/>
        <v>PRNDDIFKIIMAIVLFFFFSWI</v>
      </c>
      <c r="R953" s="28" t="str">
        <f t="shared" si="88"/>
        <v>P</v>
      </c>
      <c r="S953" s="20" t="str">
        <f t="shared" si="89"/>
        <v>HQIFTFLDVLIQLG</v>
      </c>
      <c r="Z953" s="4"/>
      <c r="AD953" s="1" t="s">
        <v>102</v>
      </c>
      <c r="AE953" s="1">
        <v>235</v>
      </c>
      <c r="AF953" s="1">
        <v>255</v>
      </c>
      <c r="AG953" s="1">
        <v>268</v>
      </c>
      <c r="AH953" s="1" t="s">
        <v>103</v>
      </c>
      <c r="AK953" s="4">
        <v>30</v>
      </c>
      <c r="AL953" s="4">
        <v>63</v>
      </c>
    </row>
    <row r="954" spans="1:38" x14ac:dyDescent="0.25">
      <c r="A954" s="1" t="str">
        <f t="shared" si="86"/>
        <v>CCR5_human__wt_TM6</v>
      </c>
      <c r="B954" s="45" t="s">
        <v>221</v>
      </c>
      <c r="C954" s="45" t="s">
        <v>294</v>
      </c>
      <c r="D954" s="4" t="str">
        <f>VLOOKUP(B954,Classification!A:D,2,FALSE)</f>
        <v>A</v>
      </c>
      <c r="E954" s="4" t="str">
        <f>VLOOKUP(B954,Classification!A:D,3,FALSE)</f>
        <v>Protein</v>
      </c>
      <c r="F954" s="4" t="str">
        <f>VLOOKUP(B954,Classification!A:D,4,FALSE)</f>
        <v>Chemokine</v>
      </c>
      <c r="G954" s="2">
        <v>11</v>
      </c>
      <c r="H954" s="45" t="s">
        <v>44</v>
      </c>
      <c r="I954" s="2" t="s">
        <v>1223</v>
      </c>
      <c r="J954" s="5" t="str">
        <f>VLOOKUP(B954,Seqs!A:B,2,FALSE)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954" s="4" t="str">
        <f t="shared" si="90"/>
        <v>R</v>
      </c>
      <c r="L954" s="45">
        <f>VLOOKUP(B954,'NonXtal_SegEnds_Prot#'!A:AL,30,FALSE)</f>
        <v>230</v>
      </c>
      <c r="M954" s="45">
        <f>VLOOKUP(B954,'NonXtal_SegEnds_Prot#'!A:AL,31,FALSE)</f>
        <v>250</v>
      </c>
      <c r="N954" s="45">
        <f>VLOOKUP(B954,'NonXtal_SegEnds_Prot#'!A:AL,32,FALSE)</f>
        <v>265</v>
      </c>
      <c r="O954" s="4" t="str">
        <f t="shared" si="91"/>
        <v>G</v>
      </c>
      <c r="P954" s="4"/>
      <c r="Q954" s="47" t="str">
        <f t="shared" si="87"/>
        <v>RHRAVRLIFTIMIVYFLFWA</v>
      </c>
      <c r="R954" s="27" t="str">
        <f t="shared" si="88"/>
        <v>P</v>
      </c>
      <c r="S954" s="19" t="str">
        <f t="shared" si="89"/>
        <v>YNIVLLLNTFQEFFG</v>
      </c>
      <c r="Z954" s="4"/>
      <c r="AD954" s="1" t="s">
        <v>91</v>
      </c>
      <c r="AE954" s="1">
        <v>229</v>
      </c>
      <c r="AF954" s="1">
        <v>250</v>
      </c>
      <c r="AG954" s="1">
        <v>260</v>
      </c>
      <c r="AH954" s="1" t="s">
        <v>107</v>
      </c>
      <c r="AK954" s="1">
        <v>29</v>
      </c>
      <c r="AL954" s="4">
        <v>60</v>
      </c>
    </row>
    <row r="955" spans="1:38" x14ac:dyDescent="0.25">
      <c r="A955" s="1" t="str">
        <f t="shared" si="86"/>
        <v>CCR5_human_4MBS_TM6</v>
      </c>
      <c r="B955" s="45" t="s">
        <v>221</v>
      </c>
      <c r="C955" s="45" t="s">
        <v>265</v>
      </c>
      <c r="D955" s="4" t="str">
        <f>VLOOKUP(B955,Classification!A:D,2,FALSE)</f>
        <v>A</v>
      </c>
      <c r="E955" s="4" t="str">
        <f>VLOOKUP(B955,Classification!A:D,3,FALSE)</f>
        <v>Protein</v>
      </c>
      <c r="F955" s="4" t="str">
        <f>VLOOKUP(B955,Classification!A:D,4,FALSE)</f>
        <v>Chemokine</v>
      </c>
      <c r="G955" s="2">
        <v>11</v>
      </c>
      <c r="H955" s="45" t="s">
        <v>44</v>
      </c>
      <c r="I955" s="2" t="s">
        <v>1223</v>
      </c>
      <c r="J955" s="5" t="str">
        <f>VLOOKUP(B955,Seqs!A:B,2,FALSE)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955" s="4" t="str">
        <f t="shared" si="90"/>
        <v>R</v>
      </c>
      <c r="L955" s="45">
        <f>VLOOKUP(B955,'NonXtal_SegEnds_Prot#'!A:AL,30,FALSE)</f>
        <v>230</v>
      </c>
      <c r="M955" s="45">
        <f>VLOOKUP(B955,'NonXtal_SegEnds_Prot#'!A:AL,31,FALSE)</f>
        <v>250</v>
      </c>
      <c r="N955" s="45">
        <f>VLOOKUP(B955,'NonXtal_SegEnds_Prot#'!A:AL,32,FALSE)</f>
        <v>265</v>
      </c>
      <c r="O955" s="4" t="str">
        <f t="shared" si="91"/>
        <v>G</v>
      </c>
      <c r="P955" s="4"/>
      <c r="Q955" s="47" t="str">
        <f t="shared" si="87"/>
        <v>RHRAVRLIFTIMIVYFLFWA</v>
      </c>
      <c r="R955" s="27" t="str">
        <f t="shared" si="88"/>
        <v>P</v>
      </c>
      <c r="S955" s="19" t="str">
        <f t="shared" si="89"/>
        <v>YNIVLLLNTFQEFFG</v>
      </c>
      <c r="Z955" s="4"/>
      <c r="AD955" s="1" t="s">
        <v>91</v>
      </c>
      <c r="AE955" s="1">
        <v>229</v>
      </c>
      <c r="AF955" s="1">
        <v>250</v>
      </c>
      <c r="AG955" s="1">
        <v>260</v>
      </c>
      <c r="AH955" s="1" t="s">
        <v>107</v>
      </c>
      <c r="AK955" s="1">
        <v>29</v>
      </c>
      <c r="AL955" s="4">
        <v>60</v>
      </c>
    </row>
    <row r="956" spans="1:38" x14ac:dyDescent="0.25">
      <c r="A956" s="1" t="str">
        <f t="shared" si="86"/>
        <v>crfr1_human__wt_TM6</v>
      </c>
      <c r="B956" s="45" t="s">
        <v>213</v>
      </c>
      <c r="C956" s="45" t="s">
        <v>294</v>
      </c>
      <c r="D956" s="4" t="str">
        <f>VLOOKUP(B956,Classification!A:D,2,FALSE)</f>
        <v>B1</v>
      </c>
      <c r="E956" s="4" t="str">
        <f>VLOOKUP(B956,Classification!A:D,3,FALSE)</f>
        <v>Peptide</v>
      </c>
      <c r="F956" s="4" t="str">
        <f>VLOOKUP(B956,Classification!A:D,4,FALSE)</f>
        <v>Corticotropin-releasingfact</v>
      </c>
      <c r="G956" s="2">
        <v>11</v>
      </c>
      <c r="H956" s="45" t="s">
        <v>44</v>
      </c>
      <c r="I956" s="2" t="s">
        <v>1223</v>
      </c>
      <c r="J956" s="5" t="str">
        <f>VLOOKUP(B956,Seqs!A:B,2,FALSE)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56" s="4" t="str">
        <f t="shared" si="90"/>
        <v>S</v>
      </c>
      <c r="L956" s="45">
        <f>VLOOKUP(B956,'NonXtal_SegEnds_Prot#'!A:AL,30,FALSE)</f>
        <v>304</v>
      </c>
      <c r="M956" s="45">
        <f>VLOOKUP(B956,'NonXtal_SegEnds_Prot#'!A:AL,31,FALSE)</f>
        <v>329</v>
      </c>
      <c r="N956" s="45">
        <f>VLOOKUP(B956,'NonXtal_SegEnds_Prot#'!A:AL,32,FALSE)</f>
        <v>332</v>
      </c>
      <c r="O956" s="4" t="str">
        <f t="shared" si="91"/>
        <v>V</v>
      </c>
      <c r="P956" s="4"/>
      <c r="Q956" s="47" t="str">
        <f t="shared" si="87"/>
        <v>SETIQYRKAVKATLVLLPLLGITYM</v>
      </c>
      <c r="R956" s="27" t="str">
        <f t="shared" si="88"/>
        <v>L</v>
      </c>
      <c r="S956" s="19" t="str">
        <f t="shared" si="89"/>
        <v>FFV</v>
      </c>
      <c r="Z956" s="4"/>
      <c r="AD956" s="1" t="s">
        <v>147</v>
      </c>
      <c r="AE956" s="1">
        <v>304</v>
      </c>
      <c r="AF956" s="1">
        <v>329</v>
      </c>
      <c r="AG956" s="1">
        <v>332</v>
      </c>
      <c r="AH956" s="1" t="s">
        <v>172</v>
      </c>
      <c r="AK956" s="4">
        <v>25</v>
      </c>
      <c r="AL956" s="4">
        <v>53</v>
      </c>
    </row>
    <row r="957" spans="1:38" x14ac:dyDescent="0.25">
      <c r="A957" s="1" t="str">
        <f t="shared" si="86"/>
        <v>crfr1_human_4K5Y_TM6</v>
      </c>
      <c r="B957" s="45" t="s">
        <v>213</v>
      </c>
      <c r="C957" s="45" t="s">
        <v>288</v>
      </c>
      <c r="D957" s="4" t="str">
        <f>VLOOKUP(B957,Classification!A:D,2,FALSE)</f>
        <v>B1</v>
      </c>
      <c r="E957" s="4" t="str">
        <f>VLOOKUP(B957,Classification!A:D,3,FALSE)</f>
        <v>Peptide</v>
      </c>
      <c r="F957" s="4" t="str">
        <f>VLOOKUP(B957,Classification!A:D,4,FALSE)</f>
        <v>Corticotropin-releasingfact</v>
      </c>
      <c r="G957" s="2">
        <v>11</v>
      </c>
      <c r="H957" s="45" t="s">
        <v>44</v>
      </c>
      <c r="I957" s="2" t="s">
        <v>1223</v>
      </c>
      <c r="J957" s="5" t="str">
        <f>VLOOKUP(B957,Seqs!A:B,2,FALSE)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57" s="4" t="str">
        <f t="shared" si="90"/>
        <v>S</v>
      </c>
      <c r="L957" s="45">
        <f>VLOOKUP(B957,'NonXtal_SegEnds_Prot#'!A:AL,30,FALSE)</f>
        <v>304</v>
      </c>
      <c r="M957" s="45">
        <f>VLOOKUP(B957,'NonXtal_SegEnds_Prot#'!A:AL,31,FALSE)</f>
        <v>329</v>
      </c>
      <c r="N957" s="45">
        <f>VLOOKUP(B957,'NonXtal_SegEnds_Prot#'!A:AL,32,FALSE)</f>
        <v>332</v>
      </c>
      <c r="O957" s="4" t="str">
        <f t="shared" si="91"/>
        <v>V</v>
      </c>
      <c r="P957" s="4"/>
      <c r="Q957" s="47" t="str">
        <f t="shared" si="87"/>
        <v>SETIQYRKAVKATLVLLPLLGITYM</v>
      </c>
      <c r="R957" s="27" t="str">
        <f t="shared" si="88"/>
        <v>L</v>
      </c>
      <c r="S957" s="19" t="str">
        <f t="shared" si="89"/>
        <v>FFV</v>
      </c>
      <c r="Z957" s="4"/>
      <c r="AD957" s="1" t="s">
        <v>147</v>
      </c>
      <c r="AE957" s="1">
        <v>304</v>
      </c>
      <c r="AF957" s="1">
        <v>329</v>
      </c>
      <c r="AG957" s="1">
        <v>332</v>
      </c>
      <c r="AH957" s="1" t="s">
        <v>172</v>
      </c>
      <c r="AK957" s="4">
        <v>25</v>
      </c>
      <c r="AL957" s="4">
        <v>53</v>
      </c>
    </row>
    <row r="958" spans="1:38" x14ac:dyDescent="0.25">
      <c r="A958" s="1" t="str">
        <f t="shared" si="86"/>
        <v>CXCR4_human__wt_TM6</v>
      </c>
      <c r="B958" s="45" t="s">
        <v>1237</v>
      </c>
      <c r="C958" s="45" t="s">
        <v>294</v>
      </c>
      <c r="D958" s="4" t="str">
        <f>VLOOKUP(B958,Classification!A:D,2,FALSE)</f>
        <v>A</v>
      </c>
      <c r="E958" s="4" t="str">
        <f>VLOOKUP(B958,Classification!A:D,3,FALSE)</f>
        <v>Protein</v>
      </c>
      <c r="F958" s="4" t="str">
        <f>VLOOKUP(B958,Classification!A:D,4,FALSE)</f>
        <v>Chemokine</v>
      </c>
      <c r="G958" s="2">
        <v>11</v>
      </c>
      <c r="H958" s="45" t="s">
        <v>44</v>
      </c>
      <c r="I958" s="2" t="s">
        <v>1223</v>
      </c>
      <c r="J958" s="5" t="str">
        <f>VLOOKUP(B958,Seqs!A:B,2,FALSE)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958" s="4" t="str">
        <f t="shared" si="90"/>
        <v>K</v>
      </c>
      <c r="L958" s="45">
        <f>VLOOKUP(B958,'NonXtal_SegEnds_Prot#'!A:AL,30,FALSE)</f>
        <v>234</v>
      </c>
      <c r="M958" s="45">
        <f>VLOOKUP(B958,'NonXtal_SegEnds_Prot#'!A:AL,31,FALSE)</f>
        <v>254</v>
      </c>
      <c r="N958" s="45">
        <f>VLOOKUP(B958,'NonXtal_SegEnds_Prot#'!A:AL,32,FALSE)</f>
        <v>268</v>
      </c>
      <c r="O958" s="4" t="str">
        <f t="shared" si="91"/>
        <v>E</v>
      </c>
      <c r="P958" s="4"/>
      <c r="Q958" s="47" t="str">
        <f t="shared" si="87"/>
        <v>KRKALKTTVILILAFFACWL</v>
      </c>
      <c r="R958" s="27" t="str">
        <f t="shared" si="88"/>
        <v>P</v>
      </c>
      <c r="S958" s="19" t="str">
        <f t="shared" si="89"/>
        <v>YYIGISIDSFILLE</v>
      </c>
      <c r="Z958" s="4"/>
      <c r="AD958" s="1" t="s">
        <v>91</v>
      </c>
      <c r="AE958" s="1">
        <v>233</v>
      </c>
      <c r="AF958" s="1">
        <v>254</v>
      </c>
      <c r="AG958" s="1">
        <v>266</v>
      </c>
      <c r="AH958" s="1" t="s">
        <v>113</v>
      </c>
      <c r="AK958" s="4">
        <v>29</v>
      </c>
      <c r="AL958" s="4">
        <v>62</v>
      </c>
    </row>
    <row r="959" spans="1:38" x14ac:dyDescent="0.25">
      <c r="A959" s="1" t="str">
        <f t="shared" si="86"/>
        <v>CXCR4_human_3ODU_TM6</v>
      </c>
      <c r="B959" s="45" t="s">
        <v>1237</v>
      </c>
      <c r="C959" s="45" t="s">
        <v>254</v>
      </c>
      <c r="D959" s="4" t="str">
        <f>VLOOKUP(B959,Classification!A:D,2,FALSE)</f>
        <v>A</v>
      </c>
      <c r="E959" s="4" t="str">
        <f>VLOOKUP(B959,Classification!A:D,3,FALSE)</f>
        <v>Protein</v>
      </c>
      <c r="F959" s="4" t="str">
        <f>VLOOKUP(B959,Classification!A:D,4,FALSE)</f>
        <v>Chemokine</v>
      </c>
      <c r="G959" s="2">
        <v>11</v>
      </c>
      <c r="H959" s="45" t="s">
        <v>44</v>
      </c>
      <c r="I959" s="2" t="s">
        <v>1223</v>
      </c>
      <c r="J959" s="5" t="str">
        <f>VLOOKUP(B959,Seqs!A:B,2,FALSE)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959" s="4" t="str">
        <f t="shared" si="90"/>
        <v>K</v>
      </c>
      <c r="L959" s="45">
        <f>VLOOKUP(B959,'NonXtal_SegEnds_Prot#'!A:AL,30,FALSE)</f>
        <v>234</v>
      </c>
      <c r="M959" s="45">
        <f>VLOOKUP(B959,'NonXtal_SegEnds_Prot#'!A:AL,31,FALSE)</f>
        <v>254</v>
      </c>
      <c r="N959" s="45">
        <f>VLOOKUP(B959,'NonXtal_SegEnds_Prot#'!A:AL,32,FALSE)</f>
        <v>268</v>
      </c>
      <c r="O959" s="4" t="str">
        <f t="shared" si="91"/>
        <v>E</v>
      </c>
      <c r="P959" s="4"/>
      <c r="Q959" s="47" t="str">
        <f t="shared" si="87"/>
        <v>KRKALKTTVILILAFFACWL</v>
      </c>
      <c r="R959" s="27" t="str">
        <f t="shared" si="88"/>
        <v>P</v>
      </c>
      <c r="S959" s="19" t="str">
        <f t="shared" si="89"/>
        <v>YYIGISIDSFILLE</v>
      </c>
      <c r="Z959" s="4"/>
      <c r="AD959" s="1" t="s">
        <v>91</v>
      </c>
      <c r="AE959" s="1">
        <v>233</v>
      </c>
      <c r="AF959" s="1">
        <v>254</v>
      </c>
      <c r="AG959" s="1">
        <v>266</v>
      </c>
      <c r="AH959" s="1" t="s">
        <v>113</v>
      </c>
      <c r="AK959" s="4">
        <v>29</v>
      </c>
      <c r="AL959" s="4">
        <v>62</v>
      </c>
    </row>
    <row r="960" spans="1:38" x14ac:dyDescent="0.25">
      <c r="A960" s="1" t="str">
        <f t="shared" si="86"/>
        <v>DRD3_human__wt_TM6</v>
      </c>
      <c r="B960" s="45" t="s">
        <v>222</v>
      </c>
      <c r="C960" s="45" t="s">
        <v>294</v>
      </c>
      <c r="D960" s="4" t="str">
        <f>VLOOKUP(B960,Classification!A:D,2,FALSE)</f>
        <v>A</v>
      </c>
      <c r="E960" s="4" t="str">
        <f>VLOOKUP(B960,Classification!A:D,3,FALSE)</f>
        <v>Aminergic</v>
      </c>
      <c r="F960" s="4" t="str">
        <f>VLOOKUP(B960,Classification!A:D,4,FALSE)</f>
        <v>Dopamine</v>
      </c>
      <c r="G960" s="2">
        <v>11</v>
      </c>
      <c r="H960" s="45" t="s">
        <v>44</v>
      </c>
      <c r="I960" s="2" t="s">
        <v>1223</v>
      </c>
      <c r="J960" s="5" t="str">
        <f>VLOOKUP(B960,Seqs!A:B,2,FALSE)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960" s="4" t="str">
        <f t="shared" si="90"/>
        <v>R</v>
      </c>
      <c r="L960" s="45">
        <f>VLOOKUP(B960,'NonXtal_SegEnds_Prot#'!A:AL,30,FALSE)</f>
        <v>318</v>
      </c>
      <c r="M960" s="45">
        <f>VLOOKUP(B960,'NonXtal_SegEnds_Prot#'!A:AL,31,FALSE)</f>
        <v>344</v>
      </c>
      <c r="N960" s="45">
        <f>VLOOKUP(B960,'NonXtal_SegEnds_Prot#'!A:AL,32,FALSE)</f>
        <v>354</v>
      </c>
      <c r="O960" s="4" t="str">
        <f t="shared" si="91"/>
        <v>H</v>
      </c>
      <c r="P960" s="4"/>
      <c r="Q960" s="47" t="str">
        <f t="shared" si="87"/>
        <v>RGVPLREKKATQMVAIVLGAFIVCWL</v>
      </c>
      <c r="R960" s="27" t="str">
        <f t="shared" si="88"/>
        <v>P</v>
      </c>
      <c r="S960" s="19" t="str">
        <f t="shared" si="89"/>
        <v>FFLTHVLNTH</v>
      </c>
      <c r="Z960" s="4"/>
      <c r="AD960" s="1" t="s">
        <v>45</v>
      </c>
      <c r="AE960" s="1">
        <v>318</v>
      </c>
      <c r="AF960" s="1">
        <v>344</v>
      </c>
      <c r="AG960" s="1">
        <v>354</v>
      </c>
      <c r="AH960" s="1" t="s">
        <v>107</v>
      </c>
      <c r="AK960" s="4">
        <v>24</v>
      </c>
      <c r="AL960" s="4">
        <v>60</v>
      </c>
    </row>
    <row r="961" spans="1:38" x14ac:dyDescent="0.25">
      <c r="A961" s="1" t="str">
        <f t="shared" si="86"/>
        <v>DRD3_human_3PBL_TM6</v>
      </c>
      <c r="B961" s="45" t="s">
        <v>222</v>
      </c>
      <c r="C961" s="45" t="s">
        <v>263</v>
      </c>
      <c r="D961" s="4" t="str">
        <f>VLOOKUP(B961,Classification!A:D,2,FALSE)</f>
        <v>A</v>
      </c>
      <c r="E961" s="4" t="str">
        <f>VLOOKUP(B961,Classification!A:D,3,FALSE)</f>
        <v>Aminergic</v>
      </c>
      <c r="F961" s="4" t="str">
        <f>VLOOKUP(B961,Classification!A:D,4,FALSE)</f>
        <v>Dopamine</v>
      </c>
      <c r="G961" s="2">
        <v>11</v>
      </c>
      <c r="H961" s="45" t="s">
        <v>44</v>
      </c>
      <c r="I961" s="2" t="s">
        <v>1223</v>
      </c>
      <c r="J961" s="5" t="str">
        <f>VLOOKUP(B961,Seqs!A:B,2,FALSE)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961" s="4" t="str">
        <f t="shared" si="90"/>
        <v>R</v>
      </c>
      <c r="L961" s="45">
        <f>VLOOKUP(B961,'NonXtal_SegEnds_Prot#'!A:AL,30,FALSE)</f>
        <v>318</v>
      </c>
      <c r="M961" s="45">
        <f>VLOOKUP(B961,'NonXtal_SegEnds_Prot#'!A:AL,31,FALSE)</f>
        <v>344</v>
      </c>
      <c r="N961" s="45">
        <f>VLOOKUP(B961,'NonXtal_SegEnds_Prot#'!A:AL,32,FALSE)</f>
        <v>354</v>
      </c>
      <c r="O961" s="4" t="str">
        <f t="shared" si="91"/>
        <v>H</v>
      </c>
      <c r="P961" s="4"/>
      <c r="Q961" s="47" t="str">
        <f t="shared" si="87"/>
        <v>RGVPLREKKATQMVAIVLGAFIVCWL</v>
      </c>
      <c r="R961" s="27" t="str">
        <f t="shared" si="88"/>
        <v>P</v>
      </c>
      <c r="S961" s="19" t="str">
        <f t="shared" si="89"/>
        <v>FFLTHVLNTH</v>
      </c>
      <c r="Z961" s="4"/>
      <c r="AD961" s="1" t="s">
        <v>60</v>
      </c>
      <c r="AE961" s="1">
        <v>322</v>
      </c>
      <c r="AF961" s="1">
        <v>344</v>
      </c>
      <c r="AG961" s="1">
        <v>354</v>
      </c>
      <c r="AH961" s="1" t="s">
        <v>107</v>
      </c>
      <c r="AK961" s="4">
        <v>28</v>
      </c>
      <c r="AL961" s="4">
        <v>60</v>
      </c>
    </row>
    <row r="962" spans="1:38" x14ac:dyDescent="0.25">
      <c r="A962" s="1" t="str">
        <f t="shared" ref="A962:A1025" si="92">CONCATENATE(B962,"_",C962,"_",H962)</f>
        <v>glr_human__wt_TM6</v>
      </c>
      <c r="B962" s="45" t="s">
        <v>206</v>
      </c>
      <c r="C962" s="45" t="s">
        <v>294</v>
      </c>
      <c r="D962" s="4" t="str">
        <f>VLOOKUP(B962,Classification!A:D,2,FALSE)</f>
        <v>B1</v>
      </c>
      <c r="E962" s="4" t="str">
        <f>VLOOKUP(B962,Classification!A:D,3,FALSE)</f>
        <v>Peptide</v>
      </c>
      <c r="F962" s="4" t="str">
        <f>VLOOKUP(B962,Classification!A:D,4,FALSE)</f>
        <v>Glucagonreceptorfamily</v>
      </c>
      <c r="G962" s="2">
        <v>11</v>
      </c>
      <c r="H962" s="45" t="s">
        <v>44</v>
      </c>
      <c r="I962" s="2" t="s">
        <v>1223</v>
      </c>
      <c r="J962" s="5" t="str">
        <f>VLOOKUP(B962,Seqs!A:B,2,FALSE)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62" s="4" t="str">
        <f t="shared" si="90"/>
        <v>Y</v>
      </c>
      <c r="L962" s="45">
        <f>VLOOKUP(B962,'NonXtal_SegEnds_Prot#'!A:AL,30,FALSE)</f>
        <v>343</v>
      </c>
      <c r="M962" s="45">
        <f>VLOOKUP(B962,'NonXtal_SegEnds_Prot#'!A:AL,31,FALSE)</f>
        <v>364</v>
      </c>
      <c r="N962" s="45">
        <f>VLOOKUP(B962,'NonXtal_SegEnds_Prot#'!A:AL,32,FALSE)</f>
        <v>367</v>
      </c>
      <c r="O962" s="4" t="str">
        <f t="shared" si="91"/>
        <v>F</v>
      </c>
      <c r="P962" s="4"/>
      <c r="Q962" s="47" t="str">
        <f t="shared" ref="Q962:Q1025" si="93">MID(J962,L962,M962-L962)</f>
        <v>YKFRLAKSTLTLIPLLGVHEV</v>
      </c>
      <c r="R962" s="27" t="str">
        <f t="shared" ref="R962:R1025" si="94">MID(J962,M962,1)</f>
        <v>V</v>
      </c>
      <c r="S962" s="19" t="str">
        <f t="shared" ref="S962:S1025" si="95">MID(J962,M962+1,N962-M962)</f>
        <v>FAF</v>
      </c>
      <c r="Z962" s="4"/>
      <c r="AD962" s="1" t="s">
        <v>91</v>
      </c>
      <c r="AE962" s="1">
        <v>343</v>
      </c>
      <c r="AF962" s="1">
        <v>364</v>
      </c>
      <c r="AG962" s="1">
        <v>367</v>
      </c>
      <c r="AH962" s="1" t="s">
        <v>172</v>
      </c>
      <c r="AK962" s="4">
        <v>29</v>
      </c>
      <c r="AL962" s="4">
        <v>53</v>
      </c>
    </row>
    <row r="963" spans="1:38" x14ac:dyDescent="0.25">
      <c r="A963" s="1" t="str">
        <f t="shared" si="92"/>
        <v>glr_human_4L6R_TM6</v>
      </c>
      <c r="B963" s="45" t="s">
        <v>206</v>
      </c>
      <c r="C963" s="45" t="s">
        <v>240</v>
      </c>
      <c r="D963" s="4" t="str">
        <f>VLOOKUP(B963,Classification!A:D,2,FALSE)</f>
        <v>B1</v>
      </c>
      <c r="E963" s="4" t="str">
        <f>VLOOKUP(B963,Classification!A:D,3,FALSE)</f>
        <v>Peptide</v>
      </c>
      <c r="F963" s="4" t="str">
        <f>VLOOKUP(B963,Classification!A:D,4,FALSE)</f>
        <v>Glucagonreceptorfamily</v>
      </c>
      <c r="G963" s="2">
        <v>11</v>
      </c>
      <c r="H963" s="45" t="s">
        <v>44</v>
      </c>
      <c r="I963" s="2" t="s">
        <v>1223</v>
      </c>
      <c r="J963" s="5" t="str">
        <f>VLOOKUP(B963,Seqs!A:B,2,FALSE)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63" s="4" t="str">
        <f t="shared" si="90"/>
        <v>Y</v>
      </c>
      <c r="L963" s="45">
        <f>VLOOKUP(B963,'NonXtal_SegEnds_Prot#'!A:AL,30,FALSE)</f>
        <v>343</v>
      </c>
      <c r="M963" s="45">
        <f>VLOOKUP(B963,'NonXtal_SegEnds_Prot#'!A:AL,31,FALSE)</f>
        <v>364</v>
      </c>
      <c r="N963" s="45">
        <f>VLOOKUP(B963,'NonXtal_SegEnds_Prot#'!A:AL,32,FALSE)</f>
        <v>367</v>
      </c>
      <c r="O963" s="4" t="str">
        <f t="shared" si="91"/>
        <v>F</v>
      </c>
      <c r="P963" s="4" t="s">
        <v>58</v>
      </c>
      <c r="Q963" s="47" t="str">
        <f t="shared" si="93"/>
        <v>YKFRLAKSTLTLIPLLGVHEV</v>
      </c>
      <c r="R963" s="28" t="str">
        <f t="shared" si="94"/>
        <v>V</v>
      </c>
      <c r="S963" s="20" t="str">
        <f t="shared" si="95"/>
        <v>FAF</v>
      </c>
      <c r="Z963" s="4"/>
      <c r="AD963" s="1" t="s">
        <v>91</v>
      </c>
      <c r="AE963" s="1">
        <v>343</v>
      </c>
      <c r="AF963" s="1">
        <v>364</v>
      </c>
      <c r="AG963" s="1">
        <v>367</v>
      </c>
      <c r="AH963" s="1" t="s">
        <v>172</v>
      </c>
      <c r="AK963" s="4">
        <v>29</v>
      </c>
      <c r="AL963" s="4">
        <v>53</v>
      </c>
    </row>
    <row r="964" spans="1:38" x14ac:dyDescent="0.25">
      <c r="A964" s="3" t="str">
        <f t="shared" si="92"/>
        <v>glr_human_5EE7_TM6</v>
      </c>
      <c r="B964" s="45" t="s">
        <v>206</v>
      </c>
      <c r="C964" s="45" t="s">
        <v>237</v>
      </c>
      <c r="D964" s="2" t="str">
        <f>VLOOKUP(B964,Classification!A:D,2,FALSE)</f>
        <v>B1</v>
      </c>
      <c r="E964" s="2" t="str">
        <f>VLOOKUP(B964,Classification!A:D,3,FALSE)</f>
        <v>Peptide</v>
      </c>
      <c r="F964" s="2" t="str">
        <f>VLOOKUP(B964,Classification!A:D,4,FALSE)</f>
        <v>Glucagonreceptorfamily</v>
      </c>
      <c r="G964" s="2">
        <v>11</v>
      </c>
      <c r="H964" s="45" t="s">
        <v>44</v>
      </c>
      <c r="I964" s="2" t="s">
        <v>1223</v>
      </c>
      <c r="J964" s="35" t="str">
        <f>VLOOKUP(B964,Seqs!A:B,2,FALSE)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64" s="2" t="str">
        <f t="shared" si="90"/>
        <v>Y</v>
      </c>
      <c r="L964" s="45">
        <f>VLOOKUP(B964,'NonXtal_SegEnds_Prot#'!A:AL,30,FALSE)</f>
        <v>343</v>
      </c>
      <c r="M964" s="45">
        <f>VLOOKUP(B964,'NonXtal_SegEnds_Prot#'!A:AL,31,FALSE)</f>
        <v>364</v>
      </c>
      <c r="N964" s="45">
        <f>VLOOKUP(B964,'NonXtal_SegEnds_Prot#'!A:AL,32,FALSE)</f>
        <v>367</v>
      </c>
      <c r="O964" s="2" t="str">
        <f t="shared" si="91"/>
        <v>F</v>
      </c>
      <c r="P964" s="2"/>
      <c r="Q964" s="47" t="str">
        <f t="shared" si="93"/>
        <v>YKFRLAKSTLTLIPLLGVHEV</v>
      </c>
      <c r="R964" s="27" t="str">
        <f t="shared" si="94"/>
        <v>V</v>
      </c>
      <c r="S964" s="19" t="str">
        <f t="shared" si="95"/>
        <v>FAF</v>
      </c>
      <c r="T964" s="35"/>
      <c r="U964" s="2"/>
      <c r="V964" s="3"/>
      <c r="W964" s="3"/>
      <c r="X964" s="3"/>
      <c r="Y964" s="3"/>
      <c r="Z964" s="2"/>
      <c r="AA964" s="3"/>
      <c r="AB964" s="3"/>
      <c r="AC964" s="3"/>
      <c r="AD964" s="3" t="s">
        <v>91</v>
      </c>
      <c r="AE964" s="3">
        <v>343</v>
      </c>
      <c r="AF964" s="3">
        <v>364</v>
      </c>
      <c r="AG964" s="3">
        <v>370</v>
      </c>
      <c r="AH964" s="3" t="s">
        <v>183</v>
      </c>
      <c r="AI964" s="3"/>
      <c r="AJ964" s="3"/>
      <c r="AK964" s="2">
        <v>29</v>
      </c>
      <c r="AL964" s="3">
        <v>56</v>
      </c>
    </row>
    <row r="965" spans="1:38" x14ac:dyDescent="0.25">
      <c r="A965" s="1" t="str">
        <f t="shared" si="92"/>
        <v>grm1_human__wt_TM6</v>
      </c>
      <c r="B965" s="45" t="s">
        <v>223</v>
      </c>
      <c r="C965" s="45" t="s">
        <v>294</v>
      </c>
      <c r="D965" s="4" t="str">
        <f>VLOOKUP(B965,Classification!A:D,2,FALSE)</f>
        <v>C</v>
      </c>
      <c r="E965" s="4" t="str">
        <f>VLOOKUP(B965,Classification!A:D,3,FALSE)</f>
        <v>Aminoacid</v>
      </c>
      <c r="F965" s="4" t="str">
        <f>VLOOKUP(B965,Classification!A:D,4,FALSE)</f>
        <v>Metabotropicglutamate</v>
      </c>
      <c r="G965" s="2">
        <v>11</v>
      </c>
      <c r="H965" s="45" t="s">
        <v>44</v>
      </c>
      <c r="I965" s="2" t="s">
        <v>1223</v>
      </c>
      <c r="J965" s="5" t="str">
        <f>VLOOKUP(B965,Seqs!A:B,2,FALSE)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65" s="4" t="str">
        <f t="shared" si="90"/>
        <v>E</v>
      </c>
      <c r="L965" s="45">
        <f>VLOOKUP(B965,'NonXtal_SegEnds_Prot#'!A:AL,30,FALSE)</f>
        <v>783</v>
      </c>
      <c r="M965" s="45">
        <f>VLOOKUP(B965,'NonXtal_SegEnds_Prot#'!A:AL,31,FALSE)</f>
        <v>800</v>
      </c>
      <c r="N965" s="45">
        <f>VLOOKUP(B965,'NonXtal_SegEnds_Prot#'!A:AL,32,FALSE)</f>
        <v>807</v>
      </c>
      <c r="O965" s="4" t="str">
        <f t="shared" si="91"/>
        <v>G</v>
      </c>
      <c r="P965" s="4"/>
      <c r="Q965" s="47" t="str">
        <f t="shared" si="93"/>
        <v>EAKYIAFTMYTTCIIWL</v>
      </c>
      <c r="R965" s="27" t="str">
        <f t="shared" si="94"/>
        <v>A</v>
      </c>
      <c r="S965" s="19" t="str">
        <f t="shared" si="95"/>
        <v>FVPIYFG</v>
      </c>
      <c r="Z965" s="4"/>
      <c r="AD965" s="1" t="s">
        <v>191</v>
      </c>
      <c r="AE965" s="1">
        <v>783</v>
      </c>
      <c r="AF965" s="1">
        <v>800</v>
      </c>
      <c r="AG965" s="1">
        <v>807</v>
      </c>
      <c r="AH965" s="1" t="s">
        <v>134</v>
      </c>
      <c r="AK965" s="4">
        <v>33</v>
      </c>
      <c r="AL965" s="4">
        <v>57</v>
      </c>
    </row>
    <row r="966" spans="1:38" x14ac:dyDescent="0.25">
      <c r="A966" s="1" t="str">
        <f t="shared" si="92"/>
        <v>grm1_human_4OR2_TM6</v>
      </c>
      <c r="B966" s="45" t="s">
        <v>223</v>
      </c>
      <c r="C966" s="45" t="s">
        <v>289</v>
      </c>
      <c r="D966" s="4" t="str">
        <f>VLOOKUP(B966,Classification!A:D,2,FALSE)</f>
        <v>C</v>
      </c>
      <c r="E966" s="4" t="str">
        <f>VLOOKUP(B966,Classification!A:D,3,FALSE)</f>
        <v>Aminoacid</v>
      </c>
      <c r="F966" s="4" t="str">
        <f>VLOOKUP(B966,Classification!A:D,4,FALSE)</f>
        <v>Metabotropicglutamate</v>
      </c>
      <c r="G966" s="2">
        <v>11</v>
      </c>
      <c r="H966" s="45" t="s">
        <v>44</v>
      </c>
      <c r="I966" s="2" t="s">
        <v>1223</v>
      </c>
      <c r="J966" s="5" t="str">
        <f>VLOOKUP(B966,Seqs!A:B,2,FALSE)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66" s="4" t="str">
        <f t="shared" si="90"/>
        <v>E</v>
      </c>
      <c r="L966" s="45">
        <f>VLOOKUP(B966,'NonXtal_SegEnds_Prot#'!A:AL,30,FALSE)</f>
        <v>783</v>
      </c>
      <c r="M966" s="45">
        <f>VLOOKUP(B966,'NonXtal_SegEnds_Prot#'!A:AL,31,FALSE)</f>
        <v>800</v>
      </c>
      <c r="N966" s="45">
        <f>VLOOKUP(B966,'NonXtal_SegEnds_Prot#'!A:AL,32,FALSE)</f>
        <v>807</v>
      </c>
      <c r="O966" s="4" t="str">
        <f t="shared" si="91"/>
        <v>G</v>
      </c>
      <c r="P966" s="4"/>
      <c r="Q966" s="47" t="str">
        <f t="shared" si="93"/>
        <v>EAKYIAFTMYTTCIIWL</v>
      </c>
      <c r="R966" s="27" t="str">
        <f t="shared" si="94"/>
        <v>A</v>
      </c>
      <c r="S966" s="19" t="str">
        <f t="shared" si="95"/>
        <v>FVPIYFG</v>
      </c>
      <c r="Z966" s="4"/>
      <c r="AD966" s="1" t="s">
        <v>191</v>
      </c>
      <c r="AE966" s="1">
        <v>783</v>
      </c>
      <c r="AF966" s="1">
        <v>800</v>
      </c>
      <c r="AG966" s="1">
        <v>807</v>
      </c>
      <c r="AH966" s="1" t="s">
        <v>134</v>
      </c>
      <c r="AK966" s="4">
        <v>33</v>
      </c>
      <c r="AL966" s="4">
        <v>57</v>
      </c>
    </row>
    <row r="967" spans="1:38" x14ac:dyDescent="0.25">
      <c r="A967" s="1" t="str">
        <f t="shared" si="92"/>
        <v>grm5_human__wt_TM6</v>
      </c>
      <c r="B967" s="45" t="s">
        <v>224</v>
      </c>
      <c r="C967" s="45" t="s">
        <v>294</v>
      </c>
      <c r="D967" s="4" t="str">
        <f>VLOOKUP(B967,Classification!A:D,2,FALSE)</f>
        <v>C</v>
      </c>
      <c r="E967" s="4" t="str">
        <f>VLOOKUP(B967,Classification!A:D,3,FALSE)</f>
        <v>Aminoacid</v>
      </c>
      <c r="F967" s="4" t="str">
        <f>VLOOKUP(B967,Classification!A:D,4,FALSE)</f>
        <v>Metabotropicglutamate</v>
      </c>
      <c r="G967" s="2">
        <v>11</v>
      </c>
      <c r="H967" s="45" t="s">
        <v>44</v>
      </c>
      <c r="I967" s="2" t="s">
        <v>1223</v>
      </c>
      <c r="J967" s="5" t="str">
        <f>VLOOKUP(B967,Seqs!A:B,2,FALSE)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67" s="4" t="str">
        <f t="shared" si="90"/>
        <v>E</v>
      </c>
      <c r="L967" s="45">
        <f>VLOOKUP(B967,'NonXtal_SegEnds_Prot#'!A:AL,30,FALSE)</f>
        <v>770</v>
      </c>
      <c r="M967" s="45">
        <f>VLOOKUP(B967,'NonXtal_SegEnds_Prot#'!A:AL,31,FALSE)</f>
        <v>787</v>
      </c>
      <c r="N967" s="45">
        <f>VLOOKUP(B967,'NonXtal_SegEnds_Prot#'!A:AL,32,FALSE)</f>
        <v>794</v>
      </c>
      <c r="O967" s="4" t="str">
        <f t="shared" si="91"/>
        <v>G</v>
      </c>
      <c r="P967" s="4"/>
      <c r="Q967" s="47" t="str">
        <f t="shared" si="93"/>
        <v>EAKYIAFTMYTTCIIWL</v>
      </c>
      <c r="R967" s="27" t="str">
        <f t="shared" si="94"/>
        <v>A</v>
      </c>
      <c r="S967" s="19" t="str">
        <f t="shared" si="95"/>
        <v>FVPIYFG</v>
      </c>
      <c r="Z967" s="4"/>
      <c r="AD967" s="1" t="s">
        <v>191</v>
      </c>
      <c r="AE967" s="1">
        <v>770</v>
      </c>
      <c r="AF967" s="1">
        <v>787</v>
      </c>
      <c r="AG967" s="1">
        <v>794</v>
      </c>
      <c r="AH967" s="1" t="s">
        <v>134</v>
      </c>
      <c r="AK967" s="4">
        <v>33</v>
      </c>
      <c r="AL967" s="4">
        <v>57</v>
      </c>
    </row>
    <row r="968" spans="1:38" x14ac:dyDescent="0.25">
      <c r="A968" s="1" t="str">
        <f t="shared" si="92"/>
        <v>grm5_human_4OO9_TM6</v>
      </c>
      <c r="B968" s="45" t="s">
        <v>224</v>
      </c>
      <c r="C968" s="45" t="s">
        <v>248</v>
      </c>
      <c r="D968" s="4" t="str">
        <f>VLOOKUP(B968,Classification!A:D,2,FALSE)</f>
        <v>C</v>
      </c>
      <c r="E968" s="4" t="str">
        <f>VLOOKUP(B968,Classification!A:D,3,FALSE)</f>
        <v>Aminoacid</v>
      </c>
      <c r="F968" s="4" t="str">
        <f>VLOOKUP(B968,Classification!A:D,4,FALSE)</f>
        <v>Metabotropicglutamate</v>
      </c>
      <c r="G968" s="2">
        <v>11</v>
      </c>
      <c r="H968" s="45" t="s">
        <v>44</v>
      </c>
      <c r="I968" s="2" t="s">
        <v>1223</v>
      </c>
      <c r="J968" s="5" t="str">
        <f>VLOOKUP(B968,Seqs!A:B,2,FALSE)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68" s="4" t="str">
        <f t="shared" si="90"/>
        <v>E</v>
      </c>
      <c r="L968" s="45">
        <f>VLOOKUP(B968,'NonXtal_SegEnds_Prot#'!A:AL,30,FALSE)</f>
        <v>770</v>
      </c>
      <c r="M968" s="45">
        <f>VLOOKUP(B968,'NonXtal_SegEnds_Prot#'!A:AL,31,FALSE)</f>
        <v>787</v>
      </c>
      <c r="N968" s="45">
        <f>VLOOKUP(B968,'NonXtal_SegEnds_Prot#'!A:AL,32,FALSE)</f>
        <v>794</v>
      </c>
      <c r="O968" s="4" t="str">
        <f t="shared" si="91"/>
        <v>G</v>
      </c>
      <c r="P968" s="4"/>
      <c r="Q968" s="47" t="str">
        <f t="shared" si="93"/>
        <v>EAKYIAFTMYTTCIIWL</v>
      </c>
      <c r="R968" s="27" t="str">
        <f t="shared" si="94"/>
        <v>A</v>
      </c>
      <c r="S968" s="19" t="str">
        <f t="shared" si="95"/>
        <v>FVPIYFG</v>
      </c>
      <c r="Z968" s="4"/>
      <c r="AD968" s="1" t="s">
        <v>191</v>
      </c>
      <c r="AE968" s="1">
        <v>770</v>
      </c>
      <c r="AF968" s="1">
        <v>787</v>
      </c>
      <c r="AG968" s="1">
        <v>794</v>
      </c>
      <c r="AH968" s="1" t="s">
        <v>134</v>
      </c>
      <c r="AK968" s="4">
        <v>33</v>
      </c>
      <c r="AL968" s="4">
        <v>57</v>
      </c>
    </row>
    <row r="969" spans="1:38" x14ac:dyDescent="0.25">
      <c r="A969" s="1" t="str">
        <f t="shared" si="92"/>
        <v>grm5_human_5CGC_TM6</v>
      </c>
      <c r="B969" s="45" t="s">
        <v>224</v>
      </c>
      <c r="C969" s="45" t="s">
        <v>249</v>
      </c>
      <c r="D969" s="4" t="str">
        <f>VLOOKUP(B969,Classification!A:D,2,FALSE)</f>
        <v>C</v>
      </c>
      <c r="E969" s="4" t="str">
        <f>VLOOKUP(B969,Classification!A:D,3,FALSE)</f>
        <v>Aminoacid</v>
      </c>
      <c r="F969" s="4" t="str">
        <f>VLOOKUP(B969,Classification!A:D,4,FALSE)</f>
        <v>Metabotropicglutamate</v>
      </c>
      <c r="G969" s="2">
        <v>11</v>
      </c>
      <c r="H969" s="45" t="s">
        <v>44</v>
      </c>
      <c r="I969" s="2" t="s">
        <v>1223</v>
      </c>
      <c r="J969" s="5" t="str">
        <f>VLOOKUP(B969,Seqs!A:B,2,FALSE)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69" s="4" t="str">
        <f t="shared" si="90"/>
        <v>E</v>
      </c>
      <c r="L969" s="45">
        <f>VLOOKUP(B969,'NonXtal_SegEnds_Prot#'!A:AL,30,FALSE)</f>
        <v>770</v>
      </c>
      <c r="M969" s="45">
        <f>VLOOKUP(B969,'NonXtal_SegEnds_Prot#'!A:AL,31,FALSE)</f>
        <v>787</v>
      </c>
      <c r="N969" s="45">
        <f>VLOOKUP(B969,'NonXtal_SegEnds_Prot#'!A:AL,32,FALSE)</f>
        <v>794</v>
      </c>
      <c r="O969" s="4" t="str">
        <f t="shared" si="91"/>
        <v>G</v>
      </c>
      <c r="P969" s="4"/>
      <c r="Q969" s="47" t="str">
        <f t="shared" si="93"/>
        <v>EAKYIAFTMYTTCIIWL</v>
      </c>
      <c r="R969" s="27" t="str">
        <f t="shared" si="94"/>
        <v>A</v>
      </c>
      <c r="S969" s="19" t="str">
        <f t="shared" si="95"/>
        <v>FVPIYFG</v>
      </c>
      <c r="Z969" s="4"/>
      <c r="AD969" s="1" t="s">
        <v>191</v>
      </c>
      <c r="AE969" s="1">
        <v>770</v>
      </c>
      <c r="AF969" s="1">
        <v>787</v>
      </c>
      <c r="AG969" s="1">
        <v>794</v>
      </c>
      <c r="AH969" s="1" t="s">
        <v>134</v>
      </c>
      <c r="AK969" s="4">
        <v>33</v>
      </c>
      <c r="AL969" s="4">
        <v>57</v>
      </c>
    </row>
    <row r="970" spans="1:38" x14ac:dyDescent="0.25">
      <c r="A970" s="1" t="str">
        <f t="shared" si="92"/>
        <v>grm5_human_5CGD_TM6</v>
      </c>
      <c r="B970" s="45" t="s">
        <v>224</v>
      </c>
      <c r="C970" s="45" t="s">
        <v>250</v>
      </c>
      <c r="D970" s="4" t="str">
        <f>VLOOKUP(B970,Classification!A:D,2,FALSE)</f>
        <v>C</v>
      </c>
      <c r="E970" s="4" t="str">
        <f>VLOOKUP(B970,Classification!A:D,3,FALSE)</f>
        <v>Aminoacid</v>
      </c>
      <c r="F970" s="4" t="str">
        <f>VLOOKUP(B970,Classification!A:D,4,FALSE)</f>
        <v>Metabotropicglutamate</v>
      </c>
      <c r="G970" s="2">
        <v>11</v>
      </c>
      <c r="H970" s="45" t="s">
        <v>44</v>
      </c>
      <c r="I970" s="2" t="s">
        <v>1223</v>
      </c>
      <c r="J970" s="5" t="str">
        <f>VLOOKUP(B970,Seqs!A:B,2,FALSE)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70" s="4" t="str">
        <f t="shared" si="90"/>
        <v>E</v>
      </c>
      <c r="L970" s="45">
        <f>VLOOKUP(B970,'NonXtal_SegEnds_Prot#'!A:AL,30,FALSE)</f>
        <v>770</v>
      </c>
      <c r="M970" s="45">
        <f>VLOOKUP(B970,'NonXtal_SegEnds_Prot#'!A:AL,31,FALSE)</f>
        <v>787</v>
      </c>
      <c r="N970" s="45">
        <f>VLOOKUP(B970,'NonXtal_SegEnds_Prot#'!A:AL,32,FALSE)</f>
        <v>794</v>
      </c>
      <c r="O970" s="4" t="str">
        <f t="shared" si="91"/>
        <v>G</v>
      </c>
      <c r="P970" s="4"/>
      <c r="Q970" s="47" t="str">
        <f t="shared" si="93"/>
        <v>EAKYIAFTMYTTCIIWL</v>
      </c>
      <c r="R970" s="27" t="str">
        <f t="shared" si="94"/>
        <v>A</v>
      </c>
      <c r="S970" s="19" t="str">
        <f t="shared" si="95"/>
        <v>FVPIYFG</v>
      </c>
      <c r="Z970" s="4"/>
      <c r="AD970" s="1" t="s">
        <v>191</v>
      </c>
      <c r="AE970" s="1">
        <v>770</v>
      </c>
      <c r="AF970" s="1">
        <v>787</v>
      </c>
      <c r="AG970" s="1">
        <v>794</v>
      </c>
      <c r="AH970" s="1" t="s">
        <v>134</v>
      </c>
      <c r="AK970" s="4">
        <v>33</v>
      </c>
      <c r="AL970" s="4">
        <v>57</v>
      </c>
    </row>
    <row r="971" spans="1:38" x14ac:dyDescent="0.25">
      <c r="A971" s="1" t="str">
        <f t="shared" si="92"/>
        <v>HRH1_human__wt_TM6</v>
      </c>
      <c r="B971" s="45" t="s">
        <v>225</v>
      </c>
      <c r="C971" s="45" t="s">
        <v>294</v>
      </c>
      <c r="D971" s="4" t="str">
        <f>VLOOKUP(B971,Classification!A:D,2,FALSE)</f>
        <v>A</v>
      </c>
      <c r="E971" s="4" t="str">
        <f>VLOOKUP(B971,Classification!A:D,3,FALSE)</f>
        <v>Aminergic</v>
      </c>
      <c r="F971" s="4" t="str">
        <f>VLOOKUP(B971,Classification!A:D,4,FALSE)</f>
        <v>Histamine</v>
      </c>
      <c r="G971" s="2">
        <v>11</v>
      </c>
      <c r="H971" s="45" t="s">
        <v>44</v>
      </c>
      <c r="I971" s="2" t="s">
        <v>1223</v>
      </c>
      <c r="J971" s="5" t="str">
        <f>VLOOKUP(B971,Seqs!A:B,2,FALSE)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971" s="4" t="str">
        <f t="shared" si="90"/>
        <v>G</v>
      </c>
      <c r="L971" s="45">
        <f>VLOOKUP(B971,'NonXtal_SegEnds_Prot#'!A:AL,30,FALSE)</f>
        <v>404</v>
      </c>
      <c r="M971" s="45">
        <f>VLOOKUP(B971,'NonXtal_SegEnds_Prot#'!A:AL,31,FALSE)</f>
        <v>430</v>
      </c>
      <c r="N971" s="45">
        <f>VLOOKUP(B971,'NonXtal_SegEnds_Prot#'!A:AL,32,FALSE)</f>
        <v>441</v>
      </c>
      <c r="O971" s="4" t="str">
        <f t="shared" si="91"/>
        <v>C</v>
      </c>
      <c r="P971" s="4"/>
      <c r="Q971" s="47" t="str">
        <f t="shared" si="93"/>
        <v>GLHMNRERKAAKQLGFIMAAFILCWI</v>
      </c>
      <c r="R971" s="27" t="str">
        <f t="shared" si="94"/>
        <v>P</v>
      </c>
      <c r="S971" s="19" t="str">
        <f t="shared" si="95"/>
        <v>YFIFFMVIAFC</v>
      </c>
      <c r="Z971" s="4"/>
      <c r="AD971" s="1" t="s">
        <v>45</v>
      </c>
      <c r="AE971" s="1">
        <v>404</v>
      </c>
      <c r="AF971" s="1">
        <v>430</v>
      </c>
      <c r="AG971" s="1">
        <v>441</v>
      </c>
      <c r="AH971" s="1" t="s">
        <v>61</v>
      </c>
      <c r="AK971" s="4">
        <v>24</v>
      </c>
      <c r="AL971" s="4">
        <v>61</v>
      </c>
    </row>
    <row r="972" spans="1:38" x14ac:dyDescent="0.25">
      <c r="A972" s="1" t="str">
        <f t="shared" si="92"/>
        <v>HRH1_human_3RZE_TM6</v>
      </c>
      <c r="B972" s="45" t="s">
        <v>225</v>
      </c>
      <c r="C972" s="45" t="s">
        <v>264</v>
      </c>
      <c r="D972" s="4" t="str">
        <f>VLOOKUP(B972,Classification!A:D,2,FALSE)</f>
        <v>A</v>
      </c>
      <c r="E972" s="4" t="str">
        <f>VLOOKUP(B972,Classification!A:D,3,FALSE)</f>
        <v>Aminergic</v>
      </c>
      <c r="F972" s="4" t="str">
        <f>VLOOKUP(B972,Classification!A:D,4,FALSE)</f>
        <v>Histamine</v>
      </c>
      <c r="G972" s="2">
        <v>11</v>
      </c>
      <c r="H972" s="45" t="s">
        <v>44</v>
      </c>
      <c r="I972" s="2" t="s">
        <v>1223</v>
      </c>
      <c r="J972" s="5" t="str">
        <f>VLOOKUP(B972,Seqs!A:B,2,FALSE)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972" s="4" t="str">
        <f t="shared" si="90"/>
        <v>G</v>
      </c>
      <c r="L972" s="45">
        <f>VLOOKUP(B972,'NonXtal_SegEnds_Prot#'!A:AL,30,FALSE)</f>
        <v>404</v>
      </c>
      <c r="M972" s="45">
        <f>VLOOKUP(B972,'NonXtal_SegEnds_Prot#'!A:AL,31,FALSE)</f>
        <v>430</v>
      </c>
      <c r="N972" s="45">
        <f>VLOOKUP(B972,'NonXtal_SegEnds_Prot#'!A:AL,32,FALSE)</f>
        <v>441</v>
      </c>
      <c r="O972" s="4" t="str">
        <f t="shared" si="91"/>
        <v>C</v>
      </c>
      <c r="P972" s="4"/>
      <c r="Q972" s="47" t="str">
        <f t="shared" si="93"/>
        <v>GLHMNRERKAAKQLGFIMAAFILCWI</v>
      </c>
      <c r="R972" s="27" t="str">
        <f t="shared" si="94"/>
        <v>P</v>
      </c>
      <c r="S972" s="19" t="str">
        <f t="shared" si="95"/>
        <v>YFIFFMVIAFC</v>
      </c>
      <c r="Z972" s="4"/>
      <c r="AD972" s="1" t="s">
        <v>60</v>
      </c>
      <c r="AE972" s="1">
        <v>408</v>
      </c>
      <c r="AF972" s="1">
        <v>430</v>
      </c>
      <c r="AG972" s="1">
        <v>441</v>
      </c>
      <c r="AH972" s="1" t="s">
        <v>61</v>
      </c>
      <c r="AK972" s="4">
        <v>28</v>
      </c>
      <c r="AL972" s="4">
        <v>61</v>
      </c>
    </row>
    <row r="973" spans="1:38" x14ac:dyDescent="0.25">
      <c r="A973" s="1" t="str">
        <f t="shared" si="92"/>
        <v>LPAR1_human__wt_TM6</v>
      </c>
      <c r="B973" s="45" t="s">
        <v>214</v>
      </c>
      <c r="C973" s="45" t="s">
        <v>294</v>
      </c>
      <c r="D973" s="4" t="str">
        <f>VLOOKUP(B973,Classification!A:D,2,FALSE)</f>
        <v>A</v>
      </c>
      <c r="E973" s="4" t="str">
        <f>VLOOKUP(B973,Classification!A:D,3,FALSE)</f>
        <v>Lipid</v>
      </c>
      <c r="F973" s="4" t="str">
        <f>VLOOKUP(B973,Classification!A:D,4,FALSE)</f>
        <v>Lysophospholipid(LPA)</v>
      </c>
      <c r="G973" s="2">
        <v>11</v>
      </c>
      <c r="H973" s="45" t="s">
        <v>44</v>
      </c>
      <c r="I973" s="2" t="s">
        <v>1223</v>
      </c>
      <c r="J973" s="5" t="str">
        <f>VLOOKUP(B973,Seqs!A:B,2,FALSE)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73" s="4" t="str">
        <f t="shared" si="90"/>
        <v>G</v>
      </c>
      <c r="L973" s="45">
        <f>VLOOKUP(B973,'NonXtal_SegEnds_Prot#'!A:AL,30,FALSE)</f>
        <v>245</v>
      </c>
      <c r="M973" s="45">
        <f>VLOOKUP(B973,'NonXtal_SegEnds_Prot#'!A:AL,31,FALSE)</f>
        <v>273</v>
      </c>
      <c r="N973" s="45">
        <f>VLOOKUP(B973,'NonXtal_SegEnds_Prot#'!A:AL,32,FALSE)</f>
        <v>284</v>
      </c>
      <c r="O973" s="4" t="str">
        <f t="shared" si="91"/>
        <v>C</v>
      </c>
      <c r="P973" s="4"/>
      <c r="Q973" s="47" t="str">
        <f t="shared" si="93"/>
        <v>GPRRNRDTMMSLLKTVVIVLGAFIICWT</v>
      </c>
      <c r="R973" s="27" t="str">
        <f t="shared" si="94"/>
        <v>P</v>
      </c>
      <c r="S973" s="19" t="str">
        <f t="shared" si="95"/>
        <v>GLVLLLLDVCC</v>
      </c>
      <c r="Z973" s="4"/>
      <c r="AD973" s="1" t="s">
        <v>91</v>
      </c>
      <c r="AE973" s="1">
        <v>245</v>
      </c>
      <c r="AF973" s="1">
        <v>273</v>
      </c>
      <c r="AG973" s="1">
        <v>284</v>
      </c>
      <c r="AH973" s="1" t="s">
        <v>61</v>
      </c>
      <c r="AK973" s="1">
        <v>29</v>
      </c>
      <c r="AL973" s="4">
        <v>61</v>
      </c>
    </row>
    <row r="974" spans="1:38" x14ac:dyDescent="0.25">
      <c r="A974" s="1" t="str">
        <f t="shared" si="92"/>
        <v>LPAR1_human_4Z35_TM6</v>
      </c>
      <c r="B974" s="45" t="s">
        <v>214</v>
      </c>
      <c r="C974" s="45" t="s">
        <v>281</v>
      </c>
      <c r="D974" s="4" t="str">
        <f>VLOOKUP(B974,Classification!A:D,2,FALSE)</f>
        <v>A</v>
      </c>
      <c r="E974" s="4" t="str">
        <f>VLOOKUP(B974,Classification!A:D,3,FALSE)</f>
        <v>Lipid</v>
      </c>
      <c r="F974" s="4" t="str">
        <f>VLOOKUP(B974,Classification!A:D,4,FALSE)</f>
        <v>Lysophospholipid(LPA)</v>
      </c>
      <c r="G974" s="2">
        <v>11</v>
      </c>
      <c r="H974" s="45" t="s">
        <v>44</v>
      </c>
      <c r="I974" s="2" t="s">
        <v>1223</v>
      </c>
      <c r="J974" s="5" t="str">
        <f>VLOOKUP(B974,Seqs!A:B,2,FALSE)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74" s="4" t="str">
        <f t="shared" si="90"/>
        <v>G</v>
      </c>
      <c r="L974" s="45">
        <f>VLOOKUP(B974,'NonXtal_SegEnds_Prot#'!A:AL,30,FALSE)</f>
        <v>245</v>
      </c>
      <c r="M974" s="45">
        <f>VLOOKUP(B974,'NonXtal_SegEnds_Prot#'!A:AL,31,FALSE)</f>
        <v>273</v>
      </c>
      <c r="N974" s="45">
        <f>VLOOKUP(B974,'NonXtal_SegEnds_Prot#'!A:AL,32,FALSE)</f>
        <v>284</v>
      </c>
      <c r="O974" s="4" t="str">
        <f t="shared" si="91"/>
        <v>C</v>
      </c>
      <c r="P974" s="4"/>
      <c r="Q974" s="47" t="str">
        <f t="shared" si="93"/>
        <v>GPRRNRDTMMSLLKTVVIVLGAFIICWT</v>
      </c>
      <c r="R974" s="27" t="str">
        <f t="shared" si="94"/>
        <v>P</v>
      </c>
      <c r="S974" s="19" t="str">
        <f t="shared" si="95"/>
        <v>GLVLLLLDVCC</v>
      </c>
      <c r="Z974" s="4"/>
      <c r="AD974" s="1" t="s">
        <v>91</v>
      </c>
      <c r="AE974" s="1">
        <v>245</v>
      </c>
      <c r="AF974" s="1">
        <v>273</v>
      </c>
      <c r="AG974" s="1">
        <v>284</v>
      </c>
      <c r="AH974" s="1" t="s">
        <v>61</v>
      </c>
      <c r="AK974" s="1">
        <v>29</v>
      </c>
      <c r="AL974" s="4">
        <v>61</v>
      </c>
    </row>
    <row r="975" spans="1:38" x14ac:dyDescent="0.25">
      <c r="A975" s="1" t="str">
        <f t="shared" si="92"/>
        <v>NTR1_rat__wt_TM6</v>
      </c>
      <c r="B975" s="45" t="s">
        <v>234</v>
      </c>
      <c r="C975" s="45" t="s">
        <v>294</v>
      </c>
      <c r="D975" s="4" t="str">
        <f>VLOOKUP(B975,Classification!A:D,2,FALSE)</f>
        <v>A</v>
      </c>
      <c r="E975" s="4" t="str">
        <f>VLOOKUP(B975,Classification!A:D,3,FALSE)</f>
        <v>Peptide</v>
      </c>
      <c r="F975" s="4" t="str">
        <f>VLOOKUP(B975,Classification!A:D,4,FALSE)</f>
        <v>Neurotensin</v>
      </c>
      <c r="G975" s="2">
        <v>11</v>
      </c>
      <c r="H975" s="45" t="s">
        <v>44</v>
      </c>
      <c r="I975" s="2" t="s">
        <v>1223</v>
      </c>
      <c r="J975" s="5" t="str">
        <f>VLOOKUP(B975,Seqs!A:B,2,FALSE)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75" s="4" t="str">
        <f t="shared" si="90"/>
        <v>P</v>
      </c>
      <c r="L975" s="45">
        <f>VLOOKUP(B975,'NonXtal_SegEnds_Prot#'!A:AL,30,FALSE)</f>
        <v>297</v>
      </c>
      <c r="M975" s="45">
        <f>VLOOKUP(B975,'NonXtal_SegEnds_Prot#'!A:AL,31,FALSE)</f>
        <v>323</v>
      </c>
      <c r="N975" s="45">
        <f>VLOOKUP(B975,'NonXtal_SegEnds_Prot#'!A:AL,32,FALSE)</f>
        <v>334</v>
      </c>
      <c r="O975" s="4" t="str">
        <f t="shared" si="91"/>
        <v>I</v>
      </c>
      <c r="P975" s="4"/>
      <c r="Q975" s="47" t="str">
        <f t="shared" si="93"/>
        <v>PGRVQALRHGVLVLRAVVIAFVVCWL</v>
      </c>
      <c r="R975" s="27" t="str">
        <f t="shared" si="94"/>
        <v>P</v>
      </c>
      <c r="S975" s="19" t="str">
        <f t="shared" si="95"/>
        <v>YHVRRLMFCYI</v>
      </c>
      <c r="Z975" s="4" t="s">
        <v>78</v>
      </c>
      <c r="AD975" s="1" t="s">
        <v>45</v>
      </c>
      <c r="AE975" s="1">
        <v>297</v>
      </c>
      <c r="AF975" s="1">
        <v>323</v>
      </c>
      <c r="AG975" s="1">
        <v>330</v>
      </c>
      <c r="AH975" s="1" t="s">
        <v>134</v>
      </c>
      <c r="AK975" s="4">
        <v>24</v>
      </c>
      <c r="AL975" s="4">
        <v>57</v>
      </c>
    </row>
    <row r="976" spans="1:38" x14ac:dyDescent="0.25">
      <c r="A976" s="1" t="str">
        <f t="shared" si="92"/>
        <v>NTR1_rat_4BOU_TM6</v>
      </c>
      <c r="B976" s="45" t="s">
        <v>234</v>
      </c>
      <c r="C976" s="45" t="s">
        <v>239</v>
      </c>
      <c r="D976" s="4" t="str">
        <f>VLOOKUP(B976,Classification!A:D,2,FALSE)</f>
        <v>A</v>
      </c>
      <c r="E976" s="4" t="str">
        <f>VLOOKUP(B976,Classification!A:D,3,FALSE)</f>
        <v>Peptide</v>
      </c>
      <c r="F976" s="4" t="str">
        <f>VLOOKUP(B976,Classification!A:D,4,FALSE)</f>
        <v>Neurotensin</v>
      </c>
      <c r="G976" s="2">
        <v>11</v>
      </c>
      <c r="H976" s="45" t="s">
        <v>44</v>
      </c>
      <c r="I976" s="2" t="s">
        <v>1223</v>
      </c>
      <c r="J976" s="5" t="str">
        <f>VLOOKUP(B976,Seqs!A:B,2,FALSE)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76" s="4" t="str">
        <f t="shared" ref="K976:K1039" si="96">MID(J976,L976,1)</f>
        <v>P</v>
      </c>
      <c r="L976" s="45">
        <f>VLOOKUP(B976,'NonXtal_SegEnds_Prot#'!A:AL,30,FALSE)</f>
        <v>297</v>
      </c>
      <c r="M976" s="45">
        <f>VLOOKUP(B976,'NonXtal_SegEnds_Prot#'!A:AL,31,FALSE)</f>
        <v>323</v>
      </c>
      <c r="N976" s="45">
        <f>VLOOKUP(B976,'NonXtal_SegEnds_Prot#'!A:AL,32,FALSE)</f>
        <v>334</v>
      </c>
      <c r="O976" s="4" t="str">
        <f t="shared" si="91"/>
        <v>I</v>
      </c>
      <c r="P976" s="4"/>
      <c r="Q976" s="47" t="str">
        <f t="shared" si="93"/>
        <v>PGRVQALRHGVLVLRAVVIAFVVCWL</v>
      </c>
      <c r="R976" s="27" t="str">
        <f t="shared" si="94"/>
        <v>P</v>
      </c>
      <c r="S976" s="19" t="str">
        <f t="shared" si="95"/>
        <v>YHVRRLMFCYI</v>
      </c>
      <c r="Z976" s="4" t="s">
        <v>78</v>
      </c>
      <c r="AD976" s="1" t="s">
        <v>45</v>
      </c>
      <c r="AE976" s="1">
        <v>297</v>
      </c>
      <c r="AF976" s="1">
        <v>323</v>
      </c>
      <c r="AG976" s="1">
        <v>330</v>
      </c>
      <c r="AH976" s="1" t="s">
        <v>134</v>
      </c>
      <c r="AK976" s="4">
        <v>24</v>
      </c>
      <c r="AL976" s="4">
        <v>57</v>
      </c>
    </row>
    <row r="977" spans="1:38" x14ac:dyDescent="0.25">
      <c r="A977" s="1" t="str">
        <f t="shared" si="92"/>
        <v>NTR1_rat_4GRV_TM6</v>
      </c>
      <c r="B977" s="45" t="s">
        <v>234</v>
      </c>
      <c r="C977" s="45" t="s">
        <v>238</v>
      </c>
      <c r="D977" s="4" t="str">
        <f>VLOOKUP(B977,Classification!A:D,2,FALSE)</f>
        <v>A</v>
      </c>
      <c r="E977" s="4" t="str">
        <f>VLOOKUP(B977,Classification!A:D,3,FALSE)</f>
        <v>Peptide</v>
      </c>
      <c r="F977" s="4" t="str">
        <f>VLOOKUP(B977,Classification!A:D,4,FALSE)</f>
        <v>Neurotensin</v>
      </c>
      <c r="G977" s="2">
        <v>11</v>
      </c>
      <c r="H977" s="45" t="s">
        <v>44</v>
      </c>
      <c r="I977" s="2" t="s">
        <v>1223</v>
      </c>
      <c r="J977" s="5" t="str">
        <f>VLOOKUP(B977,Seqs!A:B,2,FALSE)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77" s="4" t="str">
        <f t="shared" si="96"/>
        <v>P</v>
      </c>
      <c r="L977" s="45">
        <f>VLOOKUP(B977,'NonXtal_SegEnds_Prot#'!A:AL,30,FALSE)</f>
        <v>297</v>
      </c>
      <c r="M977" s="45">
        <f>VLOOKUP(B977,'NonXtal_SegEnds_Prot#'!A:AL,31,FALSE)</f>
        <v>323</v>
      </c>
      <c r="N977" s="45">
        <f>VLOOKUP(B977,'NonXtal_SegEnds_Prot#'!A:AL,32,FALSE)</f>
        <v>334</v>
      </c>
      <c r="O977" s="4" t="str">
        <f t="shared" si="91"/>
        <v>I</v>
      </c>
      <c r="P977" s="4" t="s">
        <v>58</v>
      </c>
      <c r="Q977" s="47" t="str">
        <f t="shared" si="93"/>
        <v>PGRVQALRHGVLVLRAVVIAFVVCWL</v>
      </c>
      <c r="R977" s="28" t="str">
        <f t="shared" si="94"/>
        <v>P</v>
      </c>
      <c r="S977" s="20" t="str">
        <f t="shared" si="95"/>
        <v>YHVRRLMFCYI</v>
      </c>
      <c r="Z977" s="4"/>
      <c r="AD977" s="1" t="s">
        <v>45</v>
      </c>
      <c r="AE977" s="1">
        <v>297</v>
      </c>
      <c r="AF977" s="1">
        <v>323</v>
      </c>
      <c r="AG977" s="1">
        <v>330</v>
      </c>
      <c r="AH977" s="1" t="s">
        <v>134</v>
      </c>
      <c r="AK977" s="4">
        <v>24</v>
      </c>
      <c r="AL977" s="4">
        <v>57</v>
      </c>
    </row>
    <row r="978" spans="1:38" x14ac:dyDescent="0.25">
      <c r="A978" s="1" t="str">
        <f t="shared" si="92"/>
        <v>OPRD_human__wt_TM6</v>
      </c>
      <c r="B978" s="45" t="s">
        <v>226</v>
      </c>
      <c r="C978" s="45" t="s">
        <v>294</v>
      </c>
      <c r="D978" s="4" t="str">
        <f>VLOOKUP(B978,Classification!A:D,2,FALSE)</f>
        <v>A</v>
      </c>
      <c r="E978" s="4" t="str">
        <f>VLOOKUP(B978,Classification!A:D,3,FALSE)</f>
        <v>Peptide</v>
      </c>
      <c r="F978" s="4" t="str">
        <f>VLOOKUP(B978,Classification!A:D,4,FALSE)</f>
        <v>Opioid</v>
      </c>
      <c r="G978" s="2">
        <v>11</v>
      </c>
      <c r="H978" s="45" t="s">
        <v>44</v>
      </c>
      <c r="I978" s="2" t="s">
        <v>1223</v>
      </c>
      <c r="J978" s="5" t="str">
        <f>VLOOKUP(B978,Seqs!A:B,2,FALSE)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978" s="4" t="str">
        <f t="shared" si="96"/>
        <v>S</v>
      </c>
      <c r="L978" s="45">
        <f>VLOOKUP(B978,'NonXtal_SegEnds_Prot#'!A:AL,30,FALSE)</f>
        <v>249</v>
      </c>
      <c r="M978" s="45">
        <f>VLOOKUP(B978,'NonXtal_SegEnds_Prot#'!A:AL,31,FALSE)</f>
        <v>276</v>
      </c>
      <c r="N978" s="45">
        <f>VLOOKUP(B978,'NonXtal_SegEnds_Prot#'!A:AL,32,FALSE)</f>
        <v>287</v>
      </c>
      <c r="O978" s="4" t="str">
        <f t="shared" si="91"/>
        <v>V</v>
      </c>
      <c r="P978" s="4"/>
      <c r="Q978" s="47" t="str">
        <f t="shared" si="93"/>
        <v>SKEKDRSLRRITRMVLVVVGAFVVCWA</v>
      </c>
      <c r="R978" s="27" t="str">
        <f t="shared" si="94"/>
        <v>P</v>
      </c>
      <c r="S978" s="19" t="str">
        <f t="shared" si="95"/>
        <v>IHIFVIVWTLV</v>
      </c>
      <c r="Z978" s="4"/>
      <c r="AD978" s="1" t="s">
        <v>138</v>
      </c>
      <c r="AE978" s="1">
        <v>249</v>
      </c>
      <c r="AF978" s="1">
        <v>276</v>
      </c>
      <c r="AG978" s="1">
        <v>287</v>
      </c>
      <c r="AH978" s="1" t="s">
        <v>61</v>
      </c>
      <c r="AK978" s="4">
        <v>23</v>
      </c>
      <c r="AL978" s="4">
        <v>61</v>
      </c>
    </row>
    <row r="979" spans="1:38" x14ac:dyDescent="0.25">
      <c r="A979" s="1" t="str">
        <f t="shared" si="92"/>
        <v>OPRD_human_4N6H_TM6</v>
      </c>
      <c r="B979" s="45" t="s">
        <v>226</v>
      </c>
      <c r="C979" s="45" t="s">
        <v>279</v>
      </c>
      <c r="D979" s="4" t="str">
        <f>VLOOKUP(B979,Classification!A:D,2,FALSE)</f>
        <v>A</v>
      </c>
      <c r="E979" s="4" t="str">
        <f>VLOOKUP(B979,Classification!A:D,3,FALSE)</f>
        <v>Peptide</v>
      </c>
      <c r="F979" s="4" t="str">
        <f>VLOOKUP(B979,Classification!A:D,4,FALSE)</f>
        <v>Opioid</v>
      </c>
      <c r="G979" s="2">
        <v>11</v>
      </c>
      <c r="H979" s="45" t="s">
        <v>44</v>
      </c>
      <c r="I979" s="2" t="s">
        <v>1223</v>
      </c>
      <c r="J979" s="5" t="str">
        <f>VLOOKUP(B979,Seqs!A:B,2,FALSE)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979" s="4" t="str">
        <f t="shared" si="96"/>
        <v>S</v>
      </c>
      <c r="L979" s="45">
        <f>VLOOKUP(B979,'NonXtal_SegEnds_Prot#'!A:AL,30,FALSE)</f>
        <v>249</v>
      </c>
      <c r="M979" s="45">
        <f>VLOOKUP(B979,'NonXtal_SegEnds_Prot#'!A:AL,31,FALSE)</f>
        <v>276</v>
      </c>
      <c r="N979" s="45">
        <f>VLOOKUP(B979,'NonXtal_SegEnds_Prot#'!A:AL,32,FALSE)</f>
        <v>287</v>
      </c>
      <c r="O979" s="4" t="str">
        <f t="shared" si="91"/>
        <v>V</v>
      </c>
      <c r="P979" s="4"/>
      <c r="Q979" s="47" t="str">
        <f t="shared" si="93"/>
        <v>SKEKDRSLRRITRMVLVVVGAFVVCWA</v>
      </c>
      <c r="R979" s="27" t="str">
        <f t="shared" si="94"/>
        <v>P</v>
      </c>
      <c r="S979" s="19" t="str">
        <f t="shared" si="95"/>
        <v>IHIFVIVWTLV</v>
      </c>
      <c r="Z979" s="4"/>
      <c r="AD979" s="1" t="s">
        <v>45</v>
      </c>
      <c r="AE979" s="1">
        <v>250</v>
      </c>
      <c r="AF979" s="1">
        <v>276</v>
      </c>
      <c r="AG979" s="1">
        <v>287</v>
      </c>
      <c r="AH979" s="1" t="s">
        <v>61</v>
      </c>
      <c r="AK979" s="4">
        <v>24</v>
      </c>
      <c r="AL979" s="4">
        <v>61</v>
      </c>
    </row>
    <row r="980" spans="1:38" x14ac:dyDescent="0.25">
      <c r="A980" s="1" t="str">
        <f t="shared" si="92"/>
        <v>OPRD_mouse_4EJ4_TM6</v>
      </c>
      <c r="B980" s="45" t="s">
        <v>233</v>
      </c>
      <c r="C980" s="45" t="s">
        <v>255</v>
      </c>
      <c r="D980" s="4" t="str">
        <f>VLOOKUP(B980,Classification!A:D,2,FALSE)</f>
        <v>A</v>
      </c>
      <c r="E980" s="4" t="str">
        <f>VLOOKUP(B980,Classification!A:D,3,FALSE)</f>
        <v>Peptide</v>
      </c>
      <c r="F980" s="4" t="str">
        <f>VLOOKUP(B980,Classification!A:D,4,FALSE)</f>
        <v>Opioid</v>
      </c>
      <c r="G980" s="2">
        <v>11</v>
      </c>
      <c r="H980" s="45" t="s">
        <v>44</v>
      </c>
      <c r="I980" s="2" t="s">
        <v>1223</v>
      </c>
      <c r="J980" s="5" t="str">
        <f>VLOOKUP(B980,Seqs!A:B,2,FALSE)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980" s="4" t="str">
        <f t="shared" si="96"/>
        <v>S</v>
      </c>
      <c r="L980" s="45">
        <f>VLOOKUP(B980,'NonXtal_SegEnds_Prot#'!A:AL,30,FALSE)</f>
        <v>249</v>
      </c>
      <c r="M980" s="45">
        <f>VLOOKUP(B980,'NonXtal_SegEnds_Prot#'!A:AL,31,FALSE)</f>
        <v>276</v>
      </c>
      <c r="N980" s="45">
        <f>VLOOKUP(B980,'NonXtal_SegEnds_Prot#'!A:AL,32,FALSE)</f>
        <v>287</v>
      </c>
      <c r="O980" s="4" t="str">
        <f t="shared" si="91"/>
        <v>V</v>
      </c>
      <c r="P980" s="4"/>
      <c r="Q980" s="47" t="str">
        <f t="shared" si="93"/>
        <v>SKEKDRSLRRITRMVLVVVGAFVVCWA</v>
      </c>
      <c r="R980" s="27" t="str">
        <f t="shared" si="94"/>
        <v>P</v>
      </c>
      <c r="S980" s="19" t="str">
        <f t="shared" si="95"/>
        <v>IHIFVIVWTLV</v>
      </c>
      <c r="Z980" s="4"/>
      <c r="AD980" s="1" t="s">
        <v>87</v>
      </c>
      <c r="AE980" s="1">
        <v>258</v>
      </c>
      <c r="AF980" s="1">
        <v>276</v>
      </c>
      <c r="AG980" s="1">
        <v>287</v>
      </c>
      <c r="AH980" s="1" t="s">
        <v>61</v>
      </c>
      <c r="AK980" s="4">
        <v>32</v>
      </c>
      <c r="AL980" s="4">
        <v>61</v>
      </c>
    </row>
    <row r="981" spans="1:38" x14ac:dyDescent="0.25">
      <c r="A981" s="1" t="str">
        <f t="shared" si="92"/>
        <v>OPRK_human__wt_TM6</v>
      </c>
      <c r="B981" s="45" t="s">
        <v>227</v>
      </c>
      <c r="C981" s="45" t="s">
        <v>294</v>
      </c>
      <c r="D981" s="4" t="str">
        <f>VLOOKUP(B981,Classification!A:D,2,FALSE)</f>
        <v>A</v>
      </c>
      <c r="E981" s="4" t="str">
        <f>VLOOKUP(B981,Classification!A:D,3,FALSE)</f>
        <v>Peptide</v>
      </c>
      <c r="F981" s="4" t="str">
        <f>VLOOKUP(B981,Classification!A:D,4,FALSE)</f>
        <v>Opioid</v>
      </c>
      <c r="G981" s="2">
        <v>11</v>
      </c>
      <c r="H981" s="45" t="s">
        <v>44</v>
      </c>
      <c r="I981" s="2" t="s">
        <v>1223</v>
      </c>
      <c r="J981" s="5" t="str">
        <f>VLOOKUP(B981,Seqs!A:B,2,FALSE)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981" s="4" t="str">
        <f t="shared" si="96"/>
        <v>S</v>
      </c>
      <c r="L981" s="45">
        <f>VLOOKUP(B981,'NonXtal_SegEnds_Prot#'!A:AL,30,FALSE)</f>
        <v>262</v>
      </c>
      <c r="M981" s="45">
        <f>VLOOKUP(B981,'NonXtal_SegEnds_Prot#'!A:AL,31,FALSE)</f>
        <v>289</v>
      </c>
      <c r="N981" s="45">
        <f>VLOOKUP(B981,'NonXtal_SegEnds_Prot#'!A:AL,32,FALSE)</f>
        <v>300</v>
      </c>
      <c r="O981" s="4" t="str">
        <f t="shared" si="91"/>
        <v>G</v>
      </c>
      <c r="P981" s="4"/>
      <c r="Q981" s="47" t="str">
        <f t="shared" si="93"/>
        <v>SREKDRNLRRITRLVLVVVAVFVVCWT</v>
      </c>
      <c r="R981" s="27" t="str">
        <f t="shared" si="94"/>
        <v>P</v>
      </c>
      <c r="S981" s="19" t="str">
        <f t="shared" si="95"/>
        <v>IHIFILVEALG</v>
      </c>
      <c r="Z981" s="4"/>
      <c r="AD981" s="1" t="s">
        <v>138</v>
      </c>
      <c r="AE981" s="1">
        <v>262</v>
      </c>
      <c r="AF981" s="1">
        <v>289</v>
      </c>
      <c r="AG981" s="1">
        <v>300</v>
      </c>
      <c r="AH981" s="1" t="s">
        <v>61</v>
      </c>
      <c r="AK981" s="4">
        <v>23</v>
      </c>
      <c r="AL981" s="4">
        <v>61</v>
      </c>
    </row>
    <row r="982" spans="1:38" x14ac:dyDescent="0.25">
      <c r="A982" s="1" t="str">
        <f t="shared" si="92"/>
        <v>OPRK_human_4DJH_TM6</v>
      </c>
      <c r="B982" s="45" t="s">
        <v>227</v>
      </c>
      <c r="C982" s="45" t="s">
        <v>280</v>
      </c>
      <c r="D982" s="4" t="str">
        <f>VLOOKUP(B982,Classification!A:D,2,FALSE)</f>
        <v>A</v>
      </c>
      <c r="E982" s="4" t="str">
        <f>VLOOKUP(B982,Classification!A:D,3,FALSE)</f>
        <v>Peptide</v>
      </c>
      <c r="F982" s="4" t="str">
        <f>VLOOKUP(B982,Classification!A:D,4,FALSE)</f>
        <v>Opioid</v>
      </c>
      <c r="G982" s="2">
        <v>11</v>
      </c>
      <c r="H982" s="45" t="s">
        <v>44</v>
      </c>
      <c r="I982" s="2" t="s">
        <v>1223</v>
      </c>
      <c r="J982" s="5" t="str">
        <f>VLOOKUP(B982,Seqs!A:B,2,FALSE)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982" s="4" t="str">
        <f t="shared" si="96"/>
        <v>S</v>
      </c>
      <c r="L982" s="45">
        <f>VLOOKUP(B982,'NonXtal_SegEnds_Prot#'!A:AL,30,FALSE)</f>
        <v>262</v>
      </c>
      <c r="M982" s="45">
        <f>VLOOKUP(B982,'NonXtal_SegEnds_Prot#'!A:AL,31,FALSE)</f>
        <v>289</v>
      </c>
      <c r="N982" s="45">
        <f>VLOOKUP(B982,'NonXtal_SegEnds_Prot#'!A:AL,32,FALSE)</f>
        <v>300</v>
      </c>
      <c r="O982" s="4" t="str">
        <f t="shared" si="91"/>
        <v>G</v>
      </c>
      <c r="P982" s="4"/>
      <c r="Q982" s="47" t="str">
        <f t="shared" si="93"/>
        <v>SREKDRNLRRITRLVLVVVAVFVVCWT</v>
      </c>
      <c r="R982" s="27" t="str">
        <f t="shared" si="94"/>
        <v>P</v>
      </c>
      <c r="S982" s="19" t="str">
        <f t="shared" si="95"/>
        <v>IHIFILVEALG</v>
      </c>
      <c r="Z982" s="4"/>
      <c r="AD982" s="1" t="s">
        <v>60</v>
      </c>
      <c r="AE982" s="1">
        <v>267</v>
      </c>
      <c r="AF982" s="1">
        <v>289</v>
      </c>
      <c r="AG982" s="1">
        <v>300</v>
      </c>
      <c r="AH982" s="1" t="s">
        <v>61</v>
      </c>
      <c r="AK982" s="4">
        <v>28</v>
      </c>
      <c r="AL982" s="4">
        <v>61</v>
      </c>
    </row>
    <row r="983" spans="1:38" x14ac:dyDescent="0.25">
      <c r="A983" s="1" t="str">
        <f t="shared" si="92"/>
        <v>OPRM_mouse__wt_TM6</v>
      </c>
      <c r="B983" s="45" t="s">
        <v>232</v>
      </c>
      <c r="C983" s="45" t="s">
        <v>294</v>
      </c>
      <c r="D983" s="4" t="str">
        <f>VLOOKUP(B983,Classification!A:D,2,FALSE)</f>
        <v>A</v>
      </c>
      <c r="E983" s="4" t="str">
        <f>VLOOKUP(B983,Classification!A:D,3,FALSE)</f>
        <v>Peptide</v>
      </c>
      <c r="F983" s="4" t="str">
        <f>VLOOKUP(B983,Classification!A:D,4,FALSE)</f>
        <v>Opioid</v>
      </c>
      <c r="G983" s="2">
        <v>11</v>
      </c>
      <c r="H983" s="45" t="s">
        <v>44</v>
      </c>
      <c r="I983" s="2" t="s">
        <v>1223</v>
      </c>
      <c r="J983" s="5" t="str">
        <f>VLOOKUP(B983,Seqs!A:B,2,FALSE)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983" s="4" t="str">
        <f t="shared" si="96"/>
        <v>S</v>
      </c>
      <c r="L983" s="45">
        <f>VLOOKUP(B983,'NonXtal_SegEnds_Prot#'!A:AL,30,FALSE)</f>
        <v>268</v>
      </c>
      <c r="M983" s="45">
        <f>VLOOKUP(B983,'NonXtal_SegEnds_Prot#'!A:AL,31,FALSE)</f>
        <v>295</v>
      </c>
      <c r="N983" s="45">
        <f>VLOOKUP(B983,'NonXtal_SegEnds_Prot#'!A:AL,32,FALSE)</f>
        <v>306</v>
      </c>
      <c r="O983" s="4" t="str">
        <f t="shared" si="91"/>
        <v>I</v>
      </c>
      <c r="P983" s="4"/>
      <c r="Q983" s="47" t="str">
        <f t="shared" si="93"/>
        <v>SKEKDRNLRRITRMVLVVVAVFIVCWT</v>
      </c>
      <c r="R983" s="27" t="str">
        <f t="shared" si="94"/>
        <v>P</v>
      </c>
      <c r="S983" s="19" t="str">
        <f t="shared" si="95"/>
        <v>IHIYVIIKALI</v>
      </c>
      <c r="Z983" s="4" t="s">
        <v>64</v>
      </c>
      <c r="AD983" s="1" t="s">
        <v>138</v>
      </c>
      <c r="AE983" s="1">
        <v>268</v>
      </c>
      <c r="AF983" s="1">
        <v>295</v>
      </c>
      <c r="AG983" s="1">
        <v>306</v>
      </c>
      <c r="AH983" s="1" t="s">
        <v>61</v>
      </c>
      <c r="AK983" s="4">
        <v>23</v>
      </c>
      <c r="AL983" s="4">
        <v>61</v>
      </c>
    </row>
    <row r="984" spans="1:38" x14ac:dyDescent="0.25">
      <c r="A984" s="1" t="str">
        <f t="shared" si="92"/>
        <v>OPRM_mouse_4DKL_TM6</v>
      </c>
      <c r="B984" s="45" t="s">
        <v>232</v>
      </c>
      <c r="C984" s="45" t="s">
        <v>256</v>
      </c>
      <c r="D984" s="4" t="str">
        <f>VLOOKUP(B984,Classification!A:D,2,FALSE)</f>
        <v>A</v>
      </c>
      <c r="E984" s="4" t="str">
        <f>VLOOKUP(B984,Classification!A:D,3,FALSE)</f>
        <v>Peptide</v>
      </c>
      <c r="F984" s="4" t="str">
        <f>VLOOKUP(B984,Classification!A:D,4,FALSE)</f>
        <v>Opioid</v>
      </c>
      <c r="G984" s="2">
        <v>11</v>
      </c>
      <c r="H984" s="45" t="s">
        <v>44</v>
      </c>
      <c r="I984" s="2" t="s">
        <v>1223</v>
      </c>
      <c r="J984" s="5" t="str">
        <f>VLOOKUP(B984,Seqs!A:B,2,FALSE)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984" s="4" t="str">
        <f t="shared" si="96"/>
        <v>S</v>
      </c>
      <c r="L984" s="45">
        <f>VLOOKUP(B984,'NonXtal_SegEnds_Prot#'!A:AL,30,FALSE)</f>
        <v>268</v>
      </c>
      <c r="M984" s="45">
        <f>VLOOKUP(B984,'NonXtal_SegEnds_Prot#'!A:AL,31,FALSE)</f>
        <v>295</v>
      </c>
      <c r="N984" s="45">
        <f>VLOOKUP(B984,'NonXtal_SegEnds_Prot#'!A:AL,32,FALSE)</f>
        <v>306</v>
      </c>
      <c r="O984" s="4" t="str">
        <f t="shared" si="91"/>
        <v>I</v>
      </c>
      <c r="P984" s="4"/>
      <c r="Q984" s="47" t="str">
        <f t="shared" si="93"/>
        <v>SKEKDRNLRRITRMVLVVVAVFIVCWT</v>
      </c>
      <c r="R984" s="27" t="str">
        <f t="shared" si="94"/>
        <v>P</v>
      </c>
      <c r="S984" s="19" t="str">
        <f t="shared" si="95"/>
        <v>IHIYVIIKALI</v>
      </c>
      <c r="Z984" s="4"/>
      <c r="AD984" s="1" t="s">
        <v>60</v>
      </c>
      <c r="AE984" s="1">
        <v>273</v>
      </c>
      <c r="AF984" s="1">
        <v>295</v>
      </c>
      <c r="AG984" s="1">
        <v>306</v>
      </c>
      <c r="AH984" s="1" t="s">
        <v>61</v>
      </c>
      <c r="AK984" s="4">
        <v>28</v>
      </c>
      <c r="AL984" s="4">
        <v>61</v>
      </c>
    </row>
    <row r="985" spans="1:38" x14ac:dyDescent="0.25">
      <c r="A985" s="1" t="str">
        <f t="shared" si="92"/>
        <v>OPRM_mouse_5C1M_TM6</v>
      </c>
      <c r="B985" s="45" t="s">
        <v>232</v>
      </c>
      <c r="C985" s="45" t="s">
        <v>276</v>
      </c>
      <c r="D985" s="4" t="str">
        <f>VLOOKUP(B985,Classification!A:D,2,FALSE)</f>
        <v>A</v>
      </c>
      <c r="E985" s="4" t="str">
        <f>VLOOKUP(B985,Classification!A:D,3,FALSE)</f>
        <v>Peptide</v>
      </c>
      <c r="F985" s="4" t="str">
        <f>VLOOKUP(B985,Classification!A:D,4,FALSE)</f>
        <v>Opioid</v>
      </c>
      <c r="G985" s="2">
        <v>11</v>
      </c>
      <c r="H985" s="45" t="s">
        <v>44</v>
      </c>
      <c r="I985" s="2" t="s">
        <v>1223</v>
      </c>
      <c r="J985" s="5" t="str">
        <f>VLOOKUP(B985,Seqs!A:B,2,FALSE)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985" s="4" t="str">
        <f t="shared" si="96"/>
        <v>S</v>
      </c>
      <c r="L985" s="45">
        <f>VLOOKUP(B985,'NonXtal_SegEnds_Prot#'!A:AL,30,FALSE)</f>
        <v>268</v>
      </c>
      <c r="M985" s="45">
        <f>VLOOKUP(B985,'NonXtal_SegEnds_Prot#'!A:AL,31,FALSE)</f>
        <v>295</v>
      </c>
      <c r="N985" s="45">
        <f>VLOOKUP(B985,'NonXtal_SegEnds_Prot#'!A:AL,32,FALSE)</f>
        <v>306</v>
      </c>
      <c r="O985" s="4" t="str">
        <f t="shared" si="91"/>
        <v>I</v>
      </c>
      <c r="P985" s="4"/>
      <c r="Q985" s="47" t="str">
        <f t="shared" si="93"/>
        <v>SKEKDRNLRRITRMVLVVVAVFIVCWT</v>
      </c>
      <c r="R985" s="27" t="str">
        <f t="shared" si="94"/>
        <v>P</v>
      </c>
      <c r="S985" s="19" t="str">
        <f t="shared" si="95"/>
        <v>IHIYVIIKALI</v>
      </c>
      <c r="Z985" s="4" t="s">
        <v>64</v>
      </c>
      <c r="AD985" s="1" t="s">
        <v>138</v>
      </c>
      <c r="AE985" s="1">
        <v>268</v>
      </c>
      <c r="AF985" s="1">
        <v>295</v>
      </c>
      <c r="AG985" s="1">
        <v>306</v>
      </c>
      <c r="AH985" s="1" t="s">
        <v>61</v>
      </c>
      <c r="AK985" s="4">
        <v>23</v>
      </c>
      <c r="AL985" s="4">
        <v>61</v>
      </c>
    </row>
    <row r="986" spans="1:38" x14ac:dyDescent="0.25">
      <c r="A986" s="1" t="str">
        <f t="shared" si="92"/>
        <v>OPRX_human__wt_TM6</v>
      </c>
      <c r="B986" s="45" t="s">
        <v>1373</v>
      </c>
      <c r="C986" s="45" t="s">
        <v>294</v>
      </c>
      <c r="D986" s="4" t="str">
        <f>VLOOKUP(B986,Classification!A:D,2,FALSE)</f>
        <v>A</v>
      </c>
      <c r="E986" s="4" t="str">
        <f>VLOOKUP(B986,Classification!A:D,3,FALSE)</f>
        <v>Peptide</v>
      </c>
      <c r="F986" s="4" t="str">
        <f>VLOOKUP(B986,Classification!A:D,4,FALSE)</f>
        <v>Opioid</v>
      </c>
      <c r="G986" s="2">
        <v>11</v>
      </c>
      <c r="H986" s="45" t="s">
        <v>44</v>
      </c>
      <c r="I986" s="2" t="s">
        <v>1223</v>
      </c>
      <c r="J986" s="5" t="str">
        <f>VLOOKUP(B986,Seqs!A:B,2,FALSE)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986" s="4" t="str">
        <f t="shared" si="96"/>
        <v>S</v>
      </c>
      <c r="L986" s="45">
        <f>VLOOKUP(B986,'NonXtal_SegEnds_Prot#'!A:AL,30,FALSE)</f>
        <v>251</v>
      </c>
      <c r="M986" s="45">
        <f>VLOOKUP(B986,'NonXtal_SegEnds_Prot#'!A:AL,31,FALSE)</f>
        <v>278</v>
      </c>
      <c r="N986" s="45">
        <f>VLOOKUP(B986,'NonXtal_SegEnds_Prot#'!A:AL,32,FALSE)</f>
        <v>289</v>
      </c>
      <c r="O986" s="4" t="str">
        <f t="shared" si="91"/>
        <v>G</v>
      </c>
      <c r="P986" s="4"/>
      <c r="Q986" s="47" t="str">
        <f t="shared" si="93"/>
        <v>SREKDRNLRRITRLVLVVVAVFVGCWT</v>
      </c>
      <c r="R986" s="27" t="str">
        <f t="shared" si="94"/>
        <v>P</v>
      </c>
      <c r="S986" s="19" t="str">
        <f t="shared" si="95"/>
        <v>VQVFVLAQGLG</v>
      </c>
      <c r="Z986" s="4"/>
      <c r="AD986" s="1" t="s">
        <v>138</v>
      </c>
      <c r="AE986" s="1">
        <v>251</v>
      </c>
      <c r="AF986" s="1">
        <v>278</v>
      </c>
      <c r="AG986" s="1">
        <v>288</v>
      </c>
      <c r="AH986" s="1" t="s">
        <v>107</v>
      </c>
      <c r="AK986" s="4">
        <v>23</v>
      </c>
      <c r="AL986" s="4">
        <v>60</v>
      </c>
    </row>
    <row r="987" spans="1:38" x14ac:dyDescent="0.25">
      <c r="A987" s="1" t="str">
        <f t="shared" si="92"/>
        <v>OPRX_human_4EA3_TM6</v>
      </c>
      <c r="B987" s="45" t="s">
        <v>1373</v>
      </c>
      <c r="C987" s="45" t="s">
        <v>258</v>
      </c>
      <c r="D987" s="4" t="str">
        <f>VLOOKUP(B987,Classification!A:D,2,FALSE)</f>
        <v>A</v>
      </c>
      <c r="E987" s="4" t="str">
        <f>VLOOKUP(B987,Classification!A:D,3,FALSE)</f>
        <v>Peptide</v>
      </c>
      <c r="F987" s="4" t="str">
        <f>VLOOKUP(B987,Classification!A:D,4,FALSE)</f>
        <v>Opioid</v>
      </c>
      <c r="G987" s="2">
        <v>11</v>
      </c>
      <c r="H987" s="45" t="s">
        <v>44</v>
      </c>
      <c r="I987" s="2" t="s">
        <v>1223</v>
      </c>
      <c r="J987" s="5" t="str">
        <f>VLOOKUP(B987,Seqs!A:B,2,FALSE)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987" s="4" t="str">
        <f t="shared" si="96"/>
        <v>S</v>
      </c>
      <c r="L987" s="45">
        <f>VLOOKUP(B987,'NonXtal_SegEnds_Prot#'!A:AL,30,FALSE)</f>
        <v>251</v>
      </c>
      <c r="M987" s="45">
        <f>VLOOKUP(B987,'NonXtal_SegEnds_Prot#'!A:AL,31,FALSE)</f>
        <v>278</v>
      </c>
      <c r="N987" s="45">
        <f>VLOOKUP(B987,'NonXtal_SegEnds_Prot#'!A:AL,32,FALSE)</f>
        <v>289</v>
      </c>
      <c r="O987" s="4" t="str">
        <f t="shared" si="91"/>
        <v>G</v>
      </c>
      <c r="P987" s="4"/>
      <c r="Q987" s="47" t="str">
        <f t="shared" si="93"/>
        <v>SREKDRNLRRITRLVLVVVAVFVGCWT</v>
      </c>
      <c r="R987" s="27" t="str">
        <f t="shared" si="94"/>
        <v>P</v>
      </c>
      <c r="S987" s="19" t="str">
        <f t="shared" si="95"/>
        <v>VQVFVLAQGLG</v>
      </c>
      <c r="Z987" s="4"/>
      <c r="AD987" s="1" t="s">
        <v>45</v>
      </c>
      <c r="AE987" s="1">
        <v>252</v>
      </c>
      <c r="AF987" s="1">
        <v>278</v>
      </c>
      <c r="AG987" s="1">
        <v>288</v>
      </c>
      <c r="AH987" s="1" t="s">
        <v>107</v>
      </c>
      <c r="AK987" s="4">
        <v>24</v>
      </c>
      <c r="AL987" s="4">
        <v>60</v>
      </c>
    </row>
    <row r="988" spans="1:38" x14ac:dyDescent="0.25">
      <c r="A988" s="1" t="str">
        <f t="shared" si="92"/>
        <v>OPSD_bovin_1U19_TM6</v>
      </c>
      <c r="B988" s="45" t="s">
        <v>231</v>
      </c>
      <c r="C988" s="45" t="s">
        <v>244</v>
      </c>
      <c r="D988" s="4" t="str">
        <f>VLOOKUP(B988,Classification!A:D,2,FALSE)</f>
        <v>A</v>
      </c>
      <c r="E988" s="4" t="str">
        <f>VLOOKUP(B988,Classification!A:D,3,FALSE)</f>
        <v>Sensory</v>
      </c>
      <c r="F988" s="4" t="str">
        <f>VLOOKUP(B988,Classification!A:D,4,FALSE)</f>
        <v>Opsins</v>
      </c>
      <c r="G988" s="2">
        <v>11</v>
      </c>
      <c r="H988" s="45" t="s">
        <v>44</v>
      </c>
      <c r="I988" s="2" t="s">
        <v>1223</v>
      </c>
      <c r="J988" s="5" t="str">
        <f>VLOOKUP(B988,Seqs!A:B,2,FALSE)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988" s="4" t="str">
        <f t="shared" si="96"/>
        <v>A</v>
      </c>
      <c r="L988" s="45">
        <f>VLOOKUP(B988,'NonXtal_SegEnds_Prot#'!A:AL,30,FALSE)</f>
        <v>241</v>
      </c>
      <c r="M988" s="45">
        <f>VLOOKUP(B988,'NonXtal_SegEnds_Prot#'!A:AL,31,FALSE)</f>
        <v>267</v>
      </c>
      <c r="N988" s="45">
        <f>VLOOKUP(B988,'NonXtal_SegEnds_Prot#'!A:AL,32,FALSE)</f>
        <v>278</v>
      </c>
      <c r="O988" s="4" t="str">
        <f t="shared" si="91"/>
        <v>H</v>
      </c>
      <c r="P988" s="4"/>
      <c r="Q988" s="47" t="str">
        <f t="shared" si="93"/>
        <v>ATTQKAEKEVTRMVIIMVIAFLICWL</v>
      </c>
      <c r="R988" s="27" t="str">
        <f t="shared" si="94"/>
        <v>P</v>
      </c>
      <c r="S988" s="19" t="str">
        <f t="shared" si="95"/>
        <v>YAGVAFYIFTH</v>
      </c>
      <c r="Z988" s="4"/>
      <c r="AD988" s="1" t="s">
        <v>147</v>
      </c>
      <c r="AE988" s="1">
        <v>242</v>
      </c>
      <c r="AF988" s="1">
        <v>267</v>
      </c>
      <c r="AG988" s="1">
        <v>278</v>
      </c>
      <c r="AH988" s="1" t="s">
        <v>61</v>
      </c>
      <c r="AK988" s="4">
        <v>25</v>
      </c>
      <c r="AL988" s="4">
        <v>61</v>
      </c>
    </row>
    <row r="989" spans="1:38" x14ac:dyDescent="0.25">
      <c r="A989" s="1" t="str">
        <f t="shared" si="92"/>
        <v>OPSD_bovin_3DQB_TM6</v>
      </c>
      <c r="B989" s="45" t="s">
        <v>231</v>
      </c>
      <c r="C989" s="45" t="s">
        <v>245</v>
      </c>
      <c r="D989" s="4" t="str">
        <f>VLOOKUP(B989,Classification!A:D,2,FALSE)</f>
        <v>A</v>
      </c>
      <c r="E989" s="4" t="str">
        <f>VLOOKUP(B989,Classification!A:D,3,FALSE)</f>
        <v>Sensory</v>
      </c>
      <c r="F989" s="4" t="str">
        <f>VLOOKUP(B989,Classification!A:D,4,FALSE)</f>
        <v>Opsins</v>
      </c>
      <c r="G989" s="2">
        <v>11</v>
      </c>
      <c r="H989" s="45" t="s">
        <v>44</v>
      </c>
      <c r="I989" s="2" t="s">
        <v>1223</v>
      </c>
      <c r="J989" s="5" t="str">
        <f>VLOOKUP(B989,Seqs!A:B,2,FALSE)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989" s="4" t="str">
        <f t="shared" si="96"/>
        <v>A</v>
      </c>
      <c r="L989" s="45">
        <f>VLOOKUP(B989,'NonXtal_SegEnds_Prot#'!A:AL,30,FALSE)</f>
        <v>241</v>
      </c>
      <c r="M989" s="45">
        <f>VLOOKUP(B989,'NonXtal_SegEnds_Prot#'!A:AL,31,FALSE)</f>
        <v>267</v>
      </c>
      <c r="N989" s="45">
        <f>VLOOKUP(B989,'NonXtal_SegEnds_Prot#'!A:AL,32,FALSE)</f>
        <v>278</v>
      </c>
      <c r="O989" s="4" t="str">
        <f t="shared" si="91"/>
        <v>H</v>
      </c>
      <c r="P989" s="4"/>
      <c r="Q989" s="47" t="str">
        <f t="shared" si="93"/>
        <v>ATTQKAEKEVTRMVIIMVIAFLICWL</v>
      </c>
      <c r="R989" s="27" t="str">
        <f t="shared" si="94"/>
        <v>P</v>
      </c>
      <c r="S989" s="19" t="str">
        <f t="shared" si="95"/>
        <v>YAGVAFYIFTH</v>
      </c>
      <c r="Z989" s="4"/>
      <c r="AD989" s="1" t="s">
        <v>45</v>
      </c>
      <c r="AE989" s="1">
        <v>241</v>
      </c>
      <c r="AF989" s="1">
        <v>267</v>
      </c>
      <c r="AG989" s="1">
        <v>278</v>
      </c>
      <c r="AH989" s="1" t="s">
        <v>61</v>
      </c>
      <c r="AK989" s="4">
        <v>24</v>
      </c>
      <c r="AL989" s="4">
        <v>61</v>
      </c>
    </row>
    <row r="990" spans="1:38" x14ac:dyDescent="0.25">
      <c r="A990" s="1" t="str">
        <f t="shared" si="92"/>
        <v>OPSD_human__wt_TM6</v>
      </c>
      <c r="B990" s="45" t="s">
        <v>228</v>
      </c>
      <c r="C990" s="45" t="s">
        <v>294</v>
      </c>
      <c r="D990" s="4" t="str">
        <f>VLOOKUP(B990,Classification!A:D,2,FALSE)</f>
        <v>A</v>
      </c>
      <c r="E990" s="4" t="str">
        <f>VLOOKUP(B990,Classification!A:D,3,FALSE)</f>
        <v>Sensory</v>
      </c>
      <c r="F990" s="4" t="str">
        <f>VLOOKUP(B990,Classification!A:D,4,FALSE)</f>
        <v>Opsins</v>
      </c>
      <c r="G990" s="2">
        <v>11</v>
      </c>
      <c r="H990" s="45" t="s">
        <v>44</v>
      </c>
      <c r="I990" s="2" t="s">
        <v>1223</v>
      </c>
      <c r="J990" s="5" t="str">
        <f>VLOOKUP(B990,Seqs!A:B,2,FALSE)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0" s="4" t="str">
        <f t="shared" si="96"/>
        <v>A</v>
      </c>
      <c r="L990" s="45">
        <f>VLOOKUP(B990,'NonXtal_SegEnds_Prot#'!A:AL,30,FALSE)</f>
        <v>241</v>
      </c>
      <c r="M990" s="45">
        <f>VLOOKUP(B990,'NonXtal_SegEnds_Prot#'!A:AL,31,FALSE)</f>
        <v>267</v>
      </c>
      <c r="N990" s="45">
        <f>VLOOKUP(B990,'NonXtal_SegEnds_Prot#'!A:AL,32,FALSE)</f>
        <v>278</v>
      </c>
      <c r="O990" s="4" t="str">
        <f t="shared" si="91"/>
        <v>H</v>
      </c>
      <c r="P990" s="4"/>
      <c r="Q990" s="47" t="str">
        <f t="shared" si="93"/>
        <v>ATTQKAEKEVTRMVIIMVIAFLICWV</v>
      </c>
      <c r="R990" s="27" t="str">
        <f t="shared" si="94"/>
        <v>P</v>
      </c>
      <c r="S990" s="19" t="str">
        <f t="shared" si="95"/>
        <v>YASVAFYIFTH</v>
      </c>
      <c r="Z990" s="4"/>
      <c r="AD990" s="1" t="s">
        <v>45</v>
      </c>
      <c r="AE990" s="1">
        <v>241</v>
      </c>
      <c r="AF990" s="1">
        <v>267</v>
      </c>
      <c r="AG990" s="1">
        <v>278</v>
      </c>
      <c r="AH990" s="1" t="s">
        <v>61</v>
      </c>
      <c r="AK990" s="4">
        <v>24</v>
      </c>
      <c r="AL990" s="4">
        <v>61</v>
      </c>
    </row>
    <row r="991" spans="1:38" x14ac:dyDescent="0.25">
      <c r="A991" s="1" t="str">
        <f t="shared" si="92"/>
        <v>OPSD_human__wt_TM6</v>
      </c>
      <c r="B991" s="45" t="s">
        <v>228</v>
      </c>
      <c r="C991" s="45" t="s">
        <v>294</v>
      </c>
      <c r="D991" s="4" t="str">
        <f>VLOOKUP(B991,Classification!A:D,2,FALSE)</f>
        <v>A</v>
      </c>
      <c r="E991" s="4" t="str">
        <f>VLOOKUP(B991,Classification!A:D,3,FALSE)</f>
        <v>Sensory</v>
      </c>
      <c r="F991" s="4" t="str">
        <f>VLOOKUP(B991,Classification!A:D,4,FALSE)</f>
        <v>Opsins</v>
      </c>
      <c r="G991" s="2">
        <v>11</v>
      </c>
      <c r="H991" s="45" t="s">
        <v>44</v>
      </c>
      <c r="I991" s="2" t="s">
        <v>1223</v>
      </c>
      <c r="J991" s="5" t="str">
        <f>VLOOKUP(B991,Seqs!A:B,2,FALSE)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1" s="4" t="str">
        <f t="shared" si="96"/>
        <v>A</v>
      </c>
      <c r="L991" s="45">
        <f>VLOOKUP(B991,'NonXtal_SegEnds_Prot#'!A:AL,30,FALSE)</f>
        <v>241</v>
      </c>
      <c r="M991" s="45">
        <f>VLOOKUP(B991,'NonXtal_SegEnds_Prot#'!A:AL,31,FALSE)</f>
        <v>267</v>
      </c>
      <c r="N991" s="45">
        <f>VLOOKUP(B991,'NonXtal_SegEnds_Prot#'!A:AL,32,FALSE)</f>
        <v>278</v>
      </c>
      <c r="O991" s="4" t="str">
        <f t="shared" si="91"/>
        <v>H</v>
      </c>
      <c r="P991" s="4"/>
      <c r="Q991" s="47" t="str">
        <f t="shared" si="93"/>
        <v>ATTQKAEKEVTRMVIIMVIAFLICWV</v>
      </c>
      <c r="R991" s="27" t="str">
        <f t="shared" si="94"/>
        <v>P</v>
      </c>
      <c r="S991" s="19" t="str">
        <f t="shared" si="95"/>
        <v>YASVAFYIFTH</v>
      </c>
      <c r="Z991" s="4" t="s">
        <v>64</v>
      </c>
      <c r="AD991" s="1" t="s">
        <v>45</v>
      </c>
      <c r="AE991" s="1">
        <v>241</v>
      </c>
      <c r="AF991" s="1">
        <v>267</v>
      </c>
      <c r="AG991" s="1">
        <v>278</v>
      </c>
      <c r="AH991" s="1" t="s">
        <v>61</v>
      </c>
      <c r="AK991" s="4">
        <v>24</v>
      </c>
      <c r="AL991" s="4">
        <v>61</v>
      </c>
    </row>
    <row r="992" spans="1:38" x14ac:dyDescent="0.25">
      <c r="A992" s="1" t="str">
        <f t="shared" si="92"/>
        <v>OPSD_human_4ZWJ_TM6</v>
      </c>
      <c r="B992" s="45" t="s">
        <v>228</v>
      </c>
      <c r="C992" s="45" t="s">
        <v>246</v>
      </c>
      <c r="D992" s="4" t="str">
        <f>VLOOKUP(B992,Classification!A:D,2,FALSE)</f>
        <v>A</v>
      </c>
      <c r="E992" s="4" t="str">
        <f>VLOOKUP(B992,Classification!A:D,3,FALSE)</f>
        <v>Sensory</v>
      </c>
      <c r="F992" s="4" t="str">
        <f>VLOOKUP(B992,Classification!A:D,4,FALSE)</f>
        <v>Opsins</v>
      </c>
      <c r="G992" s="2">
        <v>11</v>
      </c>
      <c r="H992" s="45" t="s">
        <v>44</v>
      </c>
      <c r="I992" s="2" t="s">
        <v>1223</v>
      </c>
      <c r="J992" s="5" t="str">
        <f>VLOOKUP(B992,Seqs!A:B,2,FALSE)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2" s="4" t="str">
        <f t="shared" si="96"/>
        <v>A</v>
      </c>
      <c r="L992" s="45">
        <f>VLOOKUP(B992,'NonXtal_SegEnds_Prot#'!A:AL,30,FALSE)</f>
        <v>241</v>
      </c>
      <c r="M992" s="45">
        <f>VLOOKUP(B992,'NonXtal_SegEnds_Prot#'!A:AL,31,FALSE)</f>
        <v>267</v>
      </c>
      <c r="N992" s="45">
        <f>VLOOKUP(B992,'NonXtal_SegEnds_Prot#'!A:AL,32,FALSE)</f>
        <v>278</v>
      </c>
      <c r="O992" s="4" t="str">
        <f t="shared" si="91"/>
        <v>H</v>
      </c>
      <c r="P992" s="4"/>
      <c r="Q992" s="47" t="str">
        <f t="shared" si="93"/>
        <v>ATTQKAEKEVTRMVIIMVIAFLICWV</v>
      </c>
      <c r="R992" s="27" t="str">
        <f t="shared" si="94"/>
        <v>P</v>
      </c>
      <c r="S992" s="19" t="str">
        <f t="shared" si="95"/>
        <v>YASVAFYIFTH</v>
      </c>
      <c r="Z992" s="4"/>
      <c r="AD992" s="1" t="s">
        <v>45</v>
      </c>
      <c r="AE992" s="1">
        <v>241</v>
      </c>
      <c r="AF992" s="1">
        <v>267</v>
      </c>
      <c r="AG992" s="1">
        <v>278</v>
      </c>
      <c r="AH992" s="1" t="s">
        <v>61</v>
      </c>
      <c r="AK992" s="4">
        <v>24</v>
      </c>
      <c r="AL992" s="4">
        <v>61</v>
      </c>
    </row>
    <row r="993" spans="1:38" x14ac:dyDescent="0.25">
      <c r="A993" s="1" t="str">
        <f t="shared" si="92"/>
        <v>OPSD_human_4ZWJ_TM6</v>
      </c>
      <c r="B993" s="45" t="s">
        <v>228</v>
      </c>
      <c r="C993" s="45" t="s">
        <v>246</v>
      </c>
      <c r="D993" s="4" t="str">
        <f>VLOOKUP(B993,Classification!A:D,2,FALSE)</f>
        <v>A</v>
      </c>
      <c r="E993" s="4" t="str">
        <f>VLOOKUP(B993,Classification!A:D,3,FALSE)</f>
        <v>Sensory</v>
      </c>
      <c r="F993" s="4" t="str">
        <f>VLOOKUP(B993,Classification!A:D,4,FALSE)</f>
        <v>Opsins</v>
      </c>
      <c r="G993" s="2">
        <v>11</v>
      </c>
      <c r="H993" s="45" t="s">
        <v>44</v>
      </c>
      <c r="I993" s="2" t="s">
        <v>1223</v>
      </c>
      <c r="J993" s="5" t="str">
        <f>VLOOKUP(B993,Seqs!A:B,2,FALSE)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3" s="4" t="str">
        <f t="shared" si="96"/>
        <v>A</v>
      </c>
      <c r="L993" s="45">
        <f>VLOOKUP(B993,'NonXtal_SegEnds_Prot#'!A:AL,30,FALSE)</f>
        <v>241</v>
      </c>
      <c r="M993" s="45">
        <f>VLOOKUP(B993,'NonXtal_SegEnds_Prot#'!A:AL,31,FALSE)</f>
        <v>267</v>
      </c>
      <c r="N993" s="45">
        <f>VLOOKUP(B993,'NonXtal_SegEnds_Prot#'!A:AL,32,FALSE)</f>
        <v>278</v>
      </c>
      <c r="O993" s="4" t="str">
        <f t="shared" si="91"/>
        <v>H</v>
      </c>
      <c r="P993" s="4"/>
      <c r="Q993" s="47" t="str">
        <f t="shared" si="93"/>
        <v>ATTQKAEKEVTRMVIIMVIAFLICWV</v>
      </c>
      <c r="R993" s="27" t="str">
        <f t="shared" si="94"/>
        <v>P</v>
      </c>
      <c r="S993" s="19" t="str">
        <f t="shared" si="95"/>
        <v>YASVAFYIFTH</v>
      </c>
      <c r="Z993" s="4" t="s">
        <v>64</v>
      </c>
      <c r="AD993" s="1" t="s">
        <v>45</v>
      </c>
      <c r="AE993" s="1">
        <v>241</v>
      </c>
      <c r="AF993" s="1">
        <v>267</v>
      </c>
      <c r="AG993" s="1">
        <v>278</v>
      </c>
      <c r="AH993" s="1" t="s">
        <v>61</v>
      </c>
      <c r="AK993" s="4">
        <v>24</v>
      </c>
      <c r="AL993" s="4">
        <v>61</v>
      </c>
    </row>
    <row r="994" spans="1:38" x14ac:dyDescent="0.25">
      <c r="A994" s="1" t="str">
        <f t="shared" si="92"/>
        <v>OPSD_todpa__wt_TM6</v>
      </c>
      <c r="B994" s="45" t="s">
        <v>291</v>
      </c>
      <c r="C994" s="45" t="s">
        <v>294</v>
      </c>
      <c r="D994" s="4" t="str">
        <f>VLOOKUP(B994,Classification!A:D,2,FALSE)</f>
        <v>A</v>
      </c>
      <c r="E994" s="4" t="str">
        <f>VLOOKUP(B994,Classification!A:D,3,FALSE)</f>
        <v>Sensory</v>
      </c>
      <c r="F994" s="4" t="str">
        <f>VLOOKUP(B994,Classification!A:D,4,FALSE)</f>
        <v>Opsins</v>
      </c>
      <c r="G994" s="2">
        <v>11</v>
      </c>
      <c r="H994" s="45" t="s">
        <v>44</v>
      </c>
      <c r="I994" s="2" t="s">
        <v>1223</v>
      </c>
      <c r="J994" s="5" t="str">
        <f>VLOOKUP(B994,Seqs!A:B,2,FALSE)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994" s="4" t="str">
        <f t="shared" si="96"/>
        <v>K</v>
      </c>
      <c r="L994" s="45">
        <f>VLOOKUP(B994,'NonXtal_SegEnds_Prot#'!A:AL,30,FALSE)</f>
        <v>244</v>
      </c>
      <c r="M994" s="45">
        <f>VLOOKUP(B994,'NonXtal_SegEnds_Prot#'!A:AL,31,FALSE)</f>
        <v>276</v>
      </c>
      <c r="N994" s="45">
        <f>VLOOKUP(B994,'NonXtal_SegEnds_Prot#'!A:AL,32,FALSE)</f>
        <v>287</v>
      </c>
      <c r="O994" s="4" t="str">
        <f t="shared" si="91"/>
        <v>G</v>
      </c>
      <c r="P994" s="4"/>
      <c r="Q994" s="47" t="str">
        <f t="shared" si="93"/>
        <v>KELRKAQAGANAEMRLAKISIVIVSQFLLSWS</v>
      </c>
      <c r="R994" s="27" t="str">
        <f t="shared" si="94"/>
        <v>P</v>
      </c>
      <c r="S994" s="19" t="str">
        <f t="shared" si="95"/>
        <v>YAVVALLAQFG</v>
      </c>
      <c r="Z994" s="4"/>
      <c r="AD994" s="1" t="s">
        <v>151</v>
      </c>
      <c r="AE994" s="1">
        <v>244</v>
      </c>
      <c r="AF994" s="1">
        <v>276</v>
      </c>
      <c r="AG994" s="1">
        <v>287</v>
      </c>
      <c r="AH994" s="1" t="s">
        <v>61</v>
      </c>
      <c r="AK994" s="4">
        <v>18</v>
      </c>
      <c r="AL994" s="4">
        <v>61</v>
      </c>
    </row>
    <row r="995" spans="1:38" x14ac:dyDescent="0.25">
      <c r="A995" s="1" t="str">
        <f t="shared" si="92"/>
        <v>OPSD_todpa_2Z73_TM6</v>
      </c>
      <c r="B995" s="45" t="s">
        <v>291</v>
      </c>
      <c r="C995" s="45" t="s">
        <v>290</v>
      </c>
      <c r="D995" s="4" t="str">
        <f>VLOOKUP(B995,Classification!A:D,2,FALSE)</f>
        <v>A</v>
      </c>
      <c r="E995" s="4" t="str">
        <f>VLOOKUP(B995,Classification!A:D,3,FALSE)</f>
        <v>Sensory</v>
      </c>
      <c r="F995" s="4" t="str">
        <f>VLOOKUP(B995,Classification!A:D,4,FALSE)</f>
        <v>Opsins</v>
      </c>
      <c r="G995" s="2">
        <v>11</v>
      </c>
      <c r="H995" s="45" t="s">
        <v>44</v>
      </c>
      <c r="I995" s="2" t="s">
        <v>1223</v>
      </c>
      <c r="J995" s="5" t="str">
        <f>VLOOKUP(B995,Seqs!A:B,2,FALSE)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995" s="4" t="str">
        <f t="shared" si="96"/>
        <v>K</v>
      </c>
      <c r="L995" s="45">
        <f>VLOOKUP(B995,'NonXtal_SegEnds_Prot#'!A:AL,30,FALSE)</f>
        <v>244</v>
      </c>
      <c r="M995" s="45">
        <f>VLOOKUP(B995,'NonXtal_SegEnds_Prot#'!A:AL,31,FALSE)</f>
        <v>276</v>
      </c>
      <c r="N995" s="45">
        <f>VLOOKUP(B995,'NonXtal_SegEnds_Prot#'!A:AL,32,FALSE)</f>
        <v>287</v>
      </c>
      <c r="O995" s="4" t="str">
        <f t="shared" si="91"/>
        <v>G</v>
      </c>
      <c r="P995" s="4"/>
      <c r="Q995" s="47" t="str">
        <f t="shared" si="93"/>
        <v>KELRKAQAGANAEMRLAKISIVIVSQFLLSWS</v>
      </c>
      <c r="R995" s="27" t="str">
        <f t="shared" si="94"/>
        <v>P</v>
      </c>
      <c r="S995" s="19" t="str">
        <f t="shared" si="95"/>
        <v>YAVVALLAQFG</v>
      </c>
      <c r="Z995" s="4"/>
      <c r="AD995" s="1" t="s">
        <v>151</v>
      </c>
      <c r="AE995" s="1">
        <v>244</v>
      </c>
      <c r="AF995" s="1">
        <v>276</v>
      </c>
      <c r="AG995" s="1">
        <v>287</v>
      </c>
      <c r="AH995" s="1" t="s">
        <v>61</v>
      </c>
      <c r="AK995" s="4">
        <v>18</v>
      </c>
      <c r="AL995" s="4">
        <v>61</v>
      </c>
    </row>
    <row r="996" spans="1:38" x14ac:dyDescent="0.25">
      <c r="A996" s="1" t="str">
        <f t="shared" si="92"/>
        <v>OX1R_human__wt_TM6</v>
      </c>
      <c r="B996" s="45" t="s">
        <v>1374</v>
      </c>
      <c r="C996" s="45" t="s">
        <v>294</v>
      </c>
      <c r="D996" s="4" t="str">
        <f>VLOOKUP(B996,Classification!A:D,2,FALSE)</f>
        <v>A</v>
      </c>
      <c r="E996" s="4" t="str">
        <f>VLOOKUP(B996,Classification!A:D,3,FALSE)</f>
        <v>Peptide</v>
      </c>
      <c r="F996" s="4" t="str">
        <f>VLOOKUP(B996,Classification!A:D,4,FALSE)</f>
        <v>Orexin</v>
      </c>
      <c r="G996" s="2">
        <v>11</v>
      </c>
      <c r="H996" s="45" t="s">
        <v>44</v>
      </c>
      <c r="I996" s="2" t="s">
        <v>1223</v>
      </c>
      <c r="J996" s="5" t="str">
        <f>VLOOKUP(B996,Seqs!A:B,2,FALSE)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996" s="4" t="str">
        <f t="shared" si="96"/>
        <v>F</v>
      </c>
      <c r="L996" s="45">
        <f>VLOOKUP(B996,'NonXtal_SegEnds_Prot#'!A:AL,30,FALSE)</f>
        <v>283</v>
      </c>
      <c r="M996" s="45">
        <f>VLOOKUP(B996,'NonXtal_SegEnds_Prot#'!A:AL,31,FALSE)</f>
        <v>313</v>
      </c>
      <c r="N996" s="45">
        <f>VLOOKUP(B996,'NonXtal_SegEnds_Prot#'!A:AL,32,FALSE)</f>
        <v>324</v>
      </c>
      <c r="O996" s="4" t="str">
        <f t="shared" si="91"/>
        <v>F</v>
      </c>
      <c r="P996" s="4"/>
      <c r="Q996" s="47" t="str">
        <f t="shared" si="93"/>
        <v>FLAEVKQMRARRKTAKMLMVVLLVFALCYL</v>
      </c>
      <c r="R996" s="27" t="str">
        <f t="shared" si="94"/>
        <v>P</v>
      </c>
      <c r="S996" s="19" t="str">
        <f t="shared" si="95"/>
        <v>ISVLNVLKRVF</v>
      </c>
      <c r="Z996" s="4" t="s">
        <v>78</v>
      </c>
      <c r="AD996" s="1" t="s">
        <v>91</v>
      </c>
      <c r="AE996" s="1">
        <v>292</v>
      </c>
      <c r="AF996" s="1">
        <v>313</v>
      </c>
      <c r="AG996" s="1">
        <v>324</v>
      </c>
      <c r="AH996" s="1" t="s">
        <v>61</v>
      </c>
      <c r="AK996" s="1">
        <v>29</v>
      </c>
      <c r="AL996" s="4">
        <v>61</v>
      </c>
    </row>
    <row r="997" spans="1:38" x14ac:dyDescent="0.25">
      <c r="A997" s="1" t="str">
        <f t="shared" si="92"/>
        <v>OX1R_human_4ZJ8_TM6</v>
      </c>
      <c r="B997" s="45" t="s">
        <v>1374</v>
      </c>
      <c r="C997" s="45" t="s">
        <v>282</v>
      </c>
      <c r="D997" s="4" t="str">
        <f>VLOOKUP(B997,Classification!A:D,2,FALSE)</f>
        <v>A</v>
      </c>
      <c r="E997" s="4" t="str">
        <f>VLOOKUP(B997,Classification!A:D,3,FALSE)</f>
        <v>Peptide</v>
      </c>
      <c r="F997" s="4" t="str">
        <f>VLOOKUP(B997,Classification!A:D,4,FALSE)</f>
        <v>Orexin</v>
      </c>
      <c r="G997" s="2">
        <v>11</v>
      </c>
      <c r="H997" s="45" t="s">
        <v>44</v>
      </c>
      <c r="I997" s="2" t="s">
        <v>1223</v>
      </c>
      <c r="J997" s="5" t="str">
        <f>VLOOKUP(B997,Seqs!A:B,2,FALSE)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997" s="4" t="str">
        <f t="shared" si="96"/>
        <v>F</v>
      </c>
      <c r="L997" s="45">
        <f>VLOOKUP(B997,'NonXtal_SegEnds_Prot#'!A:AL,30,FALSE)</f>
        <v>283</v>
      </c>
      <c r="M997" s="45">
        <f>VLOOKUP(B997,'NonXtal_SegEnds_Prot#'!A:AL,31,FALSE)</f>
        <v>313</v>
      </c>
      <c r="N997" s="45">
        <f>VLOOKUP(B997,'NonXtal_SegEnds_Prot#'!A:AL,32,FALSE)</f>
        <v>324</v>
      </c>
      <c r="O997" s="4" t="str">
        <f t="shared" si="91"/>
        <v>F</v>
      </c>
      <c r="P997" s="4"/>
      <c r="Q997" s="47" t="str">
        <f t="shared" si="93"/>
        <v>FLAEVKQMRARRKTAKMLMVVLLVFALCYL</v>
      </c>
      <c r="R997" s="27" t="str">
        <f t="shared" si="94"/>
        <v>P</v>
      </c>
      <c r="S997" s="19" t="str">
        <f t="shared" si="95"/>
        <v>ISVLNVLKRVF</v>
      </c>
      <c r="Z997" s="4" t="s">
        <v>78</v>
      </c>
      <c r="AD997" s="1" t="s">
        <v>91</v>
      </c>
      <c r="AE997" s="1">
        <v>292</v>
      </c>
      <c r="AF997" s="1">
        <v>313</v>
      </c>
      <c r="AG997" s="1">
        <v>324</v>
      </c>
      <c r="AH997" s="1" t="s">
        <v>61</v>
      </c>
      <c r="AK997" s="1">
        <v>29</v>
      </c>
      <c r="AL997" s="4">
        <v>61</v>
      </c>
    </row>
    <row r="998" spans="1:38" x14ac:dyDescent="0.25">
      <c r="A998" s="1" t="str">
        <f t="shared" si="92"/>
        <v>OX1R_human_4ZJC_TM6</v>
      </c>
      <c r="B998" s="45" t="s">
        <v>1374</v>
      </c>
      <c r="C998" s="45" t="s">
        <v>283</v>
      </c>
      <c r="D998" s="4" t="str">
        <f>VLOOKUP(B998,Classification!A:D,2,FALSE)</f>
        <v>A</v>
      </c>
      <c r="E998" s="4" t="str">
        <f>VLOOKUP(B998,Classification!A:D,3,FALSE)</f>
        <v>Peptide</v>
      </c>
      <c r="F998" s="4" t="str">
        <f>VLOOKUP(B998,Classification!A:D,4,FALSE)</f>
        <v>Orexin</v>
      </c>
      <c r="G998" s="2">
        <v>11</v>
      </c>
      <c r="H998" s="45" t="s">
        <v>44</v>
      </c>
      <c r="I998" s="2" t="s">
        <v>1223</v>
      </c>
      <c r="J998" s="5" t="str">
        <f>VLOOKUP(B998,Seqs!A:B,2,FALSE)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998" s="4" t="str">
        <f t="shared" si="96"/>
        <v>F</v>
      </c>
      <c r="L998" s="45">
        <f>VLOOKUP(B998,'NonXtal_SegEnds_Prot#'!A:AL,30,FALSE)</f>
        <v>283</v>
      </c>
      <c r="M998" s="45">
        <f>VLOOKUP(B998,'NonXtal_SegEnds_Prot#'!A:AL,31,FALSE)</f>
        <v>313</v>
      </c>
      <c r="N998" s="45">
        <f>VLOOKUP(B998,'NonXtal_SegEnds_Prot#'!A:AL,32,FALSE)</f>
        <v>324</v>
      </c>
      <c r="O998" s="4" t="str">
        <f t="shared" si="91"/>
        <v>F</v>
      </c>
      <c r="P998" s="4"/>
      <c r="Q998" s="47" t="str">
        <f t="shared" si="93"/>
        <v>FLAEVKQMRARRKTAKMLMVVLLVFALCYL</v>
      </c>
      <c r="R998" s="27" t="str">
        <f t="shared" si="94"/>
        <v>P</v>
      </c>
      <c r="S998" s="19" t="str">
        <f t="shared" si="95"/>
        <v>ISVLNVLKRVF</v>
      </c>
      <c r="Z998" s="4"/>
      <c r="AD998" s="1" t="s">
        <v>91</v>
      </c>
      <c r="AE998" s="1">
        <v>292</v>
      </c>
      <c r="AF998" s="1">
        <v>313</v>
      </c>
      <c r="AG998" s="1">
        <v>324</v>
      </c>
      <c r="AH998" s="1" t="s">
        <v>61</v>
      </c>
      <c r="AK998" s="1">
        <v>29</v>
      </c>
      <c r="AL998" s="4">
        <v>61</v>
      </c>
    </row>
    <row r="999" spans="1:38" x14ac:dyDescent="0.25">
      <c r="A999" s="1" t="str">
        <f t="shared" si="92"/>
        <v>OX2R_human__wt_TM6</v>
      </c>
      <c r="B999" s="45" t="s">
        <v>1375</v>
      </c>
      <c r="C999" s="45" t="s">
        <v>294</v>
      </c>
      <c r="D999" s="4" t="str">
        <f>VLOOKUP(B999,Classification!A:D,2,FALSE)</f>
        <v>A</v>
      </c>
      <c r="E999" s="4" t="str">
        <f>VLOOKUP(B999,Classification!A:D,3,FALSE)</f>
        <v>Peptide</v>
      </c>
      <c r="F999" s="4" t="str">
        <f>VLOOKUP(B999,Classification!A:D,4,FALSE)</f>
        <v>Orexin</v>
      </c>
      <c r="G999" s="2">
        <v>11</v>
      </c>
      <c r="H999" s="45" t="s">
        <v>44</v>
      </c>
      <c r="I999" s="2" t="s">
        <v>1223</v>
      </c>
      <c r="J999" s="5" t="str">
        <f>VLOOKUP(B999,Seqs!A:B,2,FALSE)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999" s="4" t="str">
        <f t="shared" si="96"/>
        <v>V</v>
      </c>
      <c r="L999" s="45">
        <f>VLOOKUP(B999,'NonXtal_SegEnds_Prot#'!A:AL,30,FALSE)</f>
        <v>289</v>
      </c>
      <c r="M999" s="45">
        <f>VLOOKUP(B999,'NonXtal_SegEnds_Prot#'!A:AL,31,FALSE)</f>
        <v>319</v>
      </c>
      <c r="N999" s="45">
        <f>VLOOKUP(B999,'NonXtal_SegEnds_Prot#'!A:AL,32,FALSE)</f>
        <v>330</v>
      </c>
      <c r="O999" s="4" t="str">
        <f t="shared" si="91"/>
        <v>F</v>
      </c>
      <c r="P999" s="4"/>
      <c r="Q999" s="47" t="str">
        <f t="shared" si="93"/>
        <v>VAAEIKQIRARRKTARMLMIVLLVFAICYL</v>
      </c>
      <c r="R999" s="27" t="str">
        <f t="shared" si="94"/>
        <v>P</v>
      </c>
      <c r="S999" s="19" t="str">
        <f t="shared" si="95"/>
        <v>ISILNVLKRVF</v>
      </c>
      <c r="Z999" s="4"/>
      <c r="AD999" s="1" t="s">
        <v>91</v>
      </c>
      <c r="AE999" s="1">
        <v>298</v>
      </c>
      <c r="AF999" s="1">
        <v>319</v>
      </c>
      <c r="AG999" s="1">
        <v>330</v>
      </c>
      <c r="AH999" s="1" t="s">
        <v>61</v>
      </c>
      <c r="AK999" s="1">
        <v>29</v>
      </c>
      <c r="AL999" s="4">
        <v>61</v>
      </c>
    </row>
    <row r="1000" spans="1:38" x14ac:dyDescent="0.25">
      <c r="A1000" s="1" t="str">
        <f t="shared" si="92"/>
        <v>OX2R_human_4S0V_TM6</v>
      </c>
      <c r="B1000" s="45" t="s">
        <v>1375</v>
      </c>
      <c r="C1000" s="45" t="s">
        <v>284</v>
      </c>
      <c r="D1000" s="4" t="str">
        <f>VLOOKUP(B1000,Classification!A:D,2,FALSE)</f>
        <v>A</v>
      </c>
      <c r="E1000" s="4" t="str">
        <f>VLOOKUP(B1000,Classification!A:D,3,FALSE)</f>
        <v>Peptide</v>
      </c>
      <c r="F1000" s="4" t="str">
        <f>VLOOKUP(B1000,Classification!A:D,4,FALSE)</f>
        <v>Orexin</v>
      </c>
      <c r="G1000" s="2">
        <v>11</v>
      </c>
      <c r="H1000" s="45" t="s">
        <v>44</v>
      </c>
      <c r="I1000" s="2" t="s">
        <v>1223</v>
      </c>
      <c r="J1000" s="5" t="str">
        <f>VLOOKUP(B1000,Seqs!A:B,2,FALSE)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000" s="4" t="str">
        <f t="shared" si="96"/>
        <v>V</v>
      </c>
      <c r="L1000" s="45">
        <f>VLOOKUP(B1000,'NonXtal_SegEnds_Prot#'!A:AL,30,FALSE)</f>
        <v>289</v>
      </c>
      <c r="M1000" s="45">
        <f>VLOOKUP(B1000,'NonXtal_SegEnds_Prot#'!A:AL,31,FALSE)</f>
        <v>319</v>
      </c>
      <c r="N1000" s="45">
        <f>VLOOKUP(B1000,'NonXtal_SegEnds_Prot#'!A:AL,32,FALSE)</f>
        <v>330</v>
      </c>
      <c r="O1000" s="4" t="str">
        <f t="shared" si="91"/>
        <v>F</v>
      </c>
      <c r="P1000" s="4"/>
      <c r="Q1000" s="47" t="str">
        <f t="shared" si="93"/>
        <v>VAAEIKQIRARRKTARMLMIVLLVFAICYL</v>
      </c>
      <c r="R1000" s="27" t="str">
        <f t="shared" si="94"/>
        <v>P</v>
      </c>
      <c r="S1000" s="19" t="str">
        <f t="shared" si="95"/>
        <v>ISILNVLKRVF</v>
      </c>
      <c r="Z1000" s="4"/>
      <c r="AD1000" s="1" t="s">
        <v>91</v>
      </c>
      <c r="AE1000" s="1">
        <v>298</v>
      </c>
      <c r="AF1000" s="1">
        <v>319</v>
      </c>
      <c r="AG1000" s="1">
        <v>330</v>
      </c>
      <c r="AH1000" s="1" t="s">
        <v>61</v>
      </c>
      <c r="AK1000" s="1">
        <v>29</v>
      </c>
      <c r="AL1000" s="4">
        <v>61</v>
      </c>
    </row>
    <row r="1001" spans="1:38" x14ac:dyDescent="0.25">
      <c r="A1001" s="1" t="str">
        <f t="shared" si="92"/>
        <v>P2Y12_human__wt_TM6</v>
      </c>
      <c r="B1001" s="45" t="s">
        <v>216</v>
      </c>
      <c r="C1001" s="45" t="s">
        <v>294</v>
      </c>
      <c r="D1001" s="4" t="str">
        <f>VLOOKUP(B1001,Classification!A:D,2,FALSE)</f>
        <v>A</v>
      </c>
      <c r="E1001" s="4" t="str">
        <f>VLOOKUP(B1001,Classification!A:D,3,FALSE)</f>
        <v>Nucleotide</v>
      </c>
      <c r="F1001" s="4" t="str">
        <f>VLOOKUP(B1001,Classification!A:D,4,FALSE)</f>
        <v>P2Y</v>
      </c>
      <c r="G1001" s="2">
        <v>11</v>
      </c>
      <c r="H1001" s="45" t="s">
        <v>44</v>
      </c>
      <c r="I1001" s="2" t="s">
        <v>1223</v>
      </c>
      <c r="J1001" s="5" t="str">
        <f>VLOOKUP(B1001,Seqs!A:B,2,FALSE)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01" s="4" t="str">
        <f t="shared" si="96"/>
        <v>P</v>
      </c>
      <c r="L1001" s="45">
        <f>VLOOKUP(B1001,'NonXtal_SegEnds_Prot#'!A:AL,30,FALSE)</f>
        <v>230</v>
      </c>
      <c r="M1001" s="45">
        <f>VLOOKUP(B1001,'NonXtal_SegEnds_Prot#'!A:AL,31,FALSE)</f>
        <v>251</v>
      </c>
      <c r="N1001" s="45">
        <f>VLOOKUP(B1001,'NonXtal_SegEnds_Prot#'!A:AL,32,FALSE)</f>
        <v>265</v>
      </c>
      <c r="O1001" s="4" t="str">
        <f t="shared" si="91"/>
        <v>R</v>
      </c>
      <c r="P1001" s="4"/>
      <c r="Q1001" s="47" t="str">
        <f t="shared" si="93"/>
        <v>PRKKVNVKVFIIIAVFFICFV</v>
      </c>
      <c r="R1001" s="27" t="str">
        <f t="shared" si="94"/>
        <v>P</v>
      </c>
      <c r="S1001" s="19" t="str">
        <f t="shared" si="95"/>
        <v>FHFARIPYTLSQTR</v>
      </c>
      <c r="Z1001" s="4"/>
      <c r="AD1001" s="1" t="s">
        <v>91</v>
      </c>
      <c r="AE1001" s="1">
        <v>230</v>
      </c>
      <c r="AF1001" s="1">
        <v>251</v>
      </c>
      <c r="AG1001" s="1">
        <v>264</v>
      </c>
      <c r="AH1001" s="1" t="s">
        <v>103</v>
      </c>
      <c r="AK1001" s="1">
        <v>29</v>
      </c>
      <c r="AL1001" s="4">
        <v>63</v>
      </c>
    </row>
    <row r="1002" spans="1:38" x14ac:dyDescent="0.25">
      <c r="A1002" s="1" t="str">
        <f t="shared" si="92"/>
        <v>P2Y12_human_4PxZ_TM6</v>
      </c>
      <c r="B1002" s="45" t="s">
        <v>216</v>
      </c>
      <c r="C1002" s="45" t="s">
        <v>242</v>
      </c>
      <c r="D1002" s="4" t="str">
        <f>VLOOKUP(B1002,Classification!A:D,2,FALSE)</f>
        <v>A</v>
      </c>
      <c r="E1002" s="4" t="str">
        <f>VLOOKUP(B1002,Classification!A:D,3,FALSE)</f>
        <v>Nucleotide</v>
      </c>
      <c r="F1002" s="4" t="str">
        <f>VLOOKUP(B1002,Classification!A:D,4,FALSE)</f>
        <v>P2Y</v>
      </c>
      <c r="G1002" s="2">
        <v>11</v>
      </c>
      <c r="H1002" s="45" t="s">
        <v>44</v>
      </c>
      <c r="I1002" s="2" t="s">
        <v>1223</v>
      </c>
      <c r="J1002" s="5" t="str">
        <f>VLOOKUP(B1002,Seqs!A:B,2,FALSE)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02" s="4" t="str">
        <f t="shared" si="96"/>
        <v>P</v>
      </c>
      <c r="L1002" s="45">
        <f>VLOOKUP(B1002,'NonXtal_SegEnds_Prot#'!A:AL,30,FALSE)</f>
        <v>230</v>
      </c>
      <c r="M1002" s="45">
        <f>VLOOKUP(B1002,'NonXtal_SegEnds_Prot#'!A:AL,31,FALSE)</f>
        <v>251</v>
      </c>
      <c r="N1002" s="45">
        <f>VLOOKUP(B1002,'NonXtal_SegEnds_Prot#'!A:AL,32,FALSE)</f>
        <v>265</v>
      </c>
      <c r="O1002" s="4" t="str">
        <f t="shared" ref="O1002:O1065" si="97">MID(J1002,N1002,1)</f>
        <v>R</v>
      </c>
      <c r="P1002" s="4"/>
      <c r="Q1002" s="47" t="str">
        <f t="shared" si="93"/>
        <v>PRKKVNVKVFIIIAVFFICFV</v>
      </c>
      <c r="R1002" s="28" t="str">
        <f t="shared" si="94"/>
        <v>P</v>
      </c>
      <c r="S1002" s="20" t="str">
        <f t="shared" si="95"/>
        <v>FHFARIPYTLSQTR</v>
      </c>
      <c r="Z1002" s="4"/>
      <c r="AD1002" s="1" t="s">
        <v>159</v>
      </c>
      <c r="AE1002" s="1">
        <v>236</v>
      </c>
      <c r="AF1002" s="1">
        <v>251</v>
      </c>
      <c r="AG1002" s="1">
        <v>264</v>
      </c>
      <c r="AH1002" s="1" t="s">
        <v>103</v>
      </c>
      <c r="AK1002" s="4">
        <v>35</v>
      </c>
      <c r="AL1002" s="4">
        <v>63</v>
      </c>
    </row>
    <row r="1003" spans="1:38" x14ac:dyDescent="0.25">
      <c r="A1003" s="1" t="str">
        <f t="shared" si="92"/>
        <v>S1PR1_human__wt_TM6</v>
      </c>
      <c r="B1003" s="45" t="s">
        <v>217</v>
      </c>
      <c r="C1003" s="45" t="s">
        <v>294</v>
      </c>
      <c r="D1003" s="4" t="str">
        <f>VLOOKUP(B1003,Classification!A:D,2,FALSE)</f>
        <v>A</v>
      </c>
      <c r="E1003" s="4" t="str">
        <f>VLOOKUP(B1003,Classification!A:D,3,FALSE)</f>
        <v>Lipid</v>
      </c>
      <c r="F1003" s="4" t="str">
        <f>VLOOKUP(B1003,Classification!A:D,4,FALSE)</f>
        <v>Lysophospholipid(S1P)</v>
      </c>
      <c r="G1003" s="2">
        <v>11</v>
      </c>
      <c r="H1003" s="45" t="s">
        <v>44</v>
      </c>
      <c r="I1003" s="2" t="s">
        <v>1223</v>
      </c>
      <c r="J1003" s="5" t="str">
        <f>VLOOKUP(B1003,Seqs!A:B,2,FALSE)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03" s="4" t="str">
        <f t="shared" si="96"/>
        <v>S</v>
      </c>
      <c r="L1003" s="45">
        <f>VLOOKUP(B1003,'NonXtal_SegEnds_Prot#'!A:AL,30,FALSE)</f>
        <v>245</v>
      </c>
      <c r="M1003" s="45">
        <f>VLOOKUP(B1003,'NonXtal_SegEnds_Prot#'!A:AL,31,FALSE)</f>
        <v>271</v>
      </c>
      <c r="N1003" s="45">
        <f>VLOOKUP(B1003,'NonXtal_SegEnds_Prot#'!A:AL,32,FALSE)</f>
        <v>282</v>
      </c>
      <c r="O1003" s="4" t="str">
        <f t="shared" si="97"/>
        <v>C</v>
      </c>
      <c r="P1003" s="4"/>
      <c r="Q1003" s="47" t="str">
        <f t="shared" si="93"/>
        <v>SRSSEKSLALLKTVIIVLSVFIACWA</v>
      </c>
      <c r="R1003" s="27" t="str">
        <f t="shared" si="94"/>
        <v>P</v>
      </c>
      <c r="S1003" s="19" t="str">
        <f t="shared" si="95"/>
        <v>LFILLLLDVGC</v>
      </c>
      <c r="Z1003" s="4"/>
      <c r="AD1003" s="1" t="s">
        <v>91</v>
      </c>
      <c r="AE1003" s="1">
        <v>246</v>
      </c>
      <c r="AF1003" s="1">
        <v>271</v>
      </c>
      <c r="AG1003" s="1">
        <v>281</v>
      </c>
      <c r="AH1003" s="1" t="s">
        <v>107</v>
      </c>
      <c r="AK1003" s="1">
        <v>29</v>
      </c>
      <c r="AL1003" s="4">
        <v>60</v>
      </c>
    </row>
    <row r="1004" spans="1:38" x14ac:dyDescent="0.25">
      <c r="A1004" s="1" t="str">
        <f t="shared" si="92"/>
        <v>S1PR1_human_3V2Y_TM6</v>
      </c>
      <c r="B1004" s="45" t="s">
        <v>217</v>
      </c>
      <c r="C1004" s="45" t="s">
        <v>286</v>
      </c>
      <c r="D1004" s="4" t="str">
        <f>VLOOKUP(B1004,Classification!A:D,2,FALSE)</f>
        <v>A</v>
      </c>
      <c r="E1004" s="4" t="str">
        <f>VLOOKUP(B1004,Classification!A:D,3,FALSE)</f>
        <v>Lipid</v>
      </c>
      <c r="F1004" s="4" t="str">
        <f>VLOOKUP(B1004,Classification!A:D,4,FALSE)</f>
        <v>Lysophospholipid(S1P)</v>
      </c>
      <c r="G1004" s="2">
        <v>11</v>
      </c>
      <c r="H1004" s="45" t="s">
        <v>44</v>
      </c>
      <c r="I1004" s="2" t="s">
        <v>1223</v>
      </c>
      <c r="J1004" s="5" t="str">
        <f>VLOOKUP(B1004,Seqs!A:B,2,FALSE)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04" s="4" t="str">
        <f t="shared" si="96"/>
        <v>S</v>
      </c>
      <c r="L1004" s="45">
        <f>VLOOKUP(B1004,'NonXtal_SegEnds_Prot#'!A:AL,30,FALSE)</f>
        <v>245</v>
      </c>
      <c r="M1004" s="45">
        <f>VLOOKUP(B1004,'NonXtal_SegEnds_Prot#'!A:AL,31,FALSE)</f>
        <v>271</v>
      </c>
      <c r="N1004" s="45">
        <f>VLOOKUP(B1004,'NonXtal_SegEnds_Prot#'!A:AL,32,FALSE)</f>
        <v>282</v>
      </c>
      <c r="O1004" s="4" t="str">
        <f t="shared" si="97"/>
        <v>C</v>
      </c>
      <c r="P1004" s="4"/>
      <c r="Q1004" s="47" t="str">
        <f t="shared" si="93"/>
        <v>SRSSEKSLALLKTVIIVLSVFIACWA</v>
      </c>
      <c r="R1004" s="27" t="str">
        <f t="shared" si="94"/>
        <v>P</v>
      </c>
      <c r="S1004" s="19" t="str">
        <f t="shared" si="95"/>
        <v>LFILLLLDVGC</v>
      </c>
      <c r="Z1004" s="4"/>
      <c r="AD1004" s="1" t="s">
        <v>91</v>
      </c>
      <c r="AE1004" s="1">
        <v>246</v>
      </c>
      <c r="AF1004" s="1">
        <v>271</v>
      </c>
      <c r="AG1004" s="1">
        <v>281</v>
      </c>
      <c r="AH1004" s="1" t="s">
        <v>107</v>
      </c>
      <c r="AK1004" s="1">
        <v>29</v>
      </c>
      <c r="AL1004" s="4">
        <v>60</v>
      </c>
    </row>
    <row r="1005" spans="1:38" x14ac:dyDescent="0.25">
      <c r="A1005" s="1" t="str">
        <f t="shared" si="92"/>
        <v>smo_human__wt_TM6</v>
      </c>
      <c r="B1005" s="45" t="s">
        <v>207</v>
      </c>
      <c r="C1005" s="45" t="s">
        <v>294</v>
      </c>
      <c r="D1005" s="4" t="str">
        <f>VLOOKUP(B1005,Classification!A:D,2,FALSE)</f>
        <v>F</v>
      </c>
      <c r="E1005" s="4" t="str">
        <f>VLOOKUP(B1005,Classification!A:D,3,FALSE)</f>
        <v>Protein</v>
      </c>
      <c r="F1005" s="4" t="str">
        <f>VLOOKUP(B1005,Classification!A:D,4,FALSE)</f>
        <v>Frizzled</v>
      </c>
      <c r="G1005" s="2">
        <v>11</v>
      </c>
      <c r="H1005" s="45" t="s">
        <v>44</v>
      </c>
      <c r="I1005" s="2" t="s">
        <v>1223</v>
      </c>
      <c r="J1005" s="5" t="str">
        <f>VLOOKUP(B1005,Seqs!A:B,2,FALSE)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05" s="4" t="str">
        <f t="shared" si="96"/>
        <v>S</v>
      </c>
      <c r="L1005" s="45">
        <f>VLOOKUP(B1005,'NonXtal_SegEnds_Prot#'!A:AL,30,FALSE)</f>
        <v>443</v>
      </c>
      <c r="M1005" s="45">
        <f>VLOOKUP(B1005,'NonXtal_SegEnds_Prot#'!A:AL,31,FALSE)</f>
        <v>468</v>
      </c>
      <c r="N1005" s="45">
        <f>VLOOKUP(B1005,'NonXtal_SegEnds_Prot#'!A:AL,32,FALSE)</f>
        <v>493</v>
      </c>
      <c r="O1005" s="4" t="str">
        <f t="shared" si="97"/>
        <v>N</v>
      </c>
      <c r="P1005" s="4"/>
      <c r="Q1005" s="47" t="str">
        <f t="shared" si="93"/>
        <v>SKINETMLRLGIFGFLAFGFVLITF</v>
      </c>
      <c r="R1005" s="27" t="str">
        <f t="shared" si="94"/>
        <v>S</v>
      </c>
      <c r="S1005" s="19" t="str">
        <f t="shared" si="95"/>
        <v>CHFYDFFNQAEWERSFRDYVLCQAN</v>
      </c>
      <c r="Z1005" s="4"/>
      <c r="AD1005" s="1" t="s">
        <v>147</v>
      </c>
      <c r="AE1005" s="1">
        <v>443</v>
      </c>
      <c r="AF1005" s="1">
        <v>468</v>
      </c>
      <c r="AG1005" s="1">
        <v>493</v>
      </c>
      <c r="AH1005" s="1" t="s">
        <v>202</v>
      </c>
      <c r="AK1005" s="4">
        <v>25</v>
      </c>
      <c r="AL1005" s="4">
        <v>75</v>
      </c>
    </row>
    <row r="1006" spans="1:38" x14ac:dyDescent="0.25">
      <c r="A1006" s="1" t="str">
        <f t="shared" si="92"/>
        <v>smo_human_4JKV_TM6</v>
      </c>
      <c r="B1006" s="45" t="s">
        <v>207</v>
      </c>
      <c r="C1006" s="45" t="s">
        <v>278</v>
      </c>
      <c r="D1006" s="4" t="str">
        <f>VLOOKUP(B1006,Classification!A:D,2,FALSE)</f>
        <v>F</v>
      </c>
      <c r="E1006" s="4" t="str">
        <f>VLOOKUP(B1006,Classification!A:D,3,FALSE)</f>
        <v>Protein</v>
      </c>
      <c r="F1006" s="4" t="str">
        <f>VLOOKUP(B1006,Classification!A:D,4,FALSE)</f>
        <v>Frizzled</v>
      </c>
      <c r="G1006" s="2">
        <v>11</v>
      </c>
      <c r="H1006" s="45" t="s">
        <v>44</v>
      </c>
      <c r="I1006" s="2" t="s">
        <v>1223</v>
      </c>
      <c r="J1006" s="5" t="str">
        <f>VLOOKUP(B1006,Seqs!A:B,2,FALSE)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06" s="4" t="str">
        <f t="shared" si="96"/>
        <v>S</v>
      </c>
      <c r="L1006" s="45">
        <f>VLOOKUP(B1006,'NonXtal_SegEnds_Prot#'!A:AL,30,FALSE)</f>
        <v>443</v>
      </c>
      <c r="M1006" s="45">
        <f>VLOOKUP(B1006,'NonXtal_SegEnds_Prot#'!A:AL,31,FALSE)</f>
        <v>468</v>
      </c>
      <c r="N1006" s="45">
        <f>VLOOKUP(B1006,'NonXtal_SegEnds_Prot#'!A:AL,32,FALSE)</f>
        <v>493</v>
      </c>
      <c r="O1006" s="4" t="str">
        <f t="shared" si="97"/>
        <v>N</v>
      </c>
      <c r="P1006" s="4"/>
      <c r="Q1006" s="47" t="str">
        <f t="shared" si="93"/>
        <v>SKINETMLRLGIFGFLAFGFVLITF</v>
      </c>
      <c r="R1006" s="27" t="str">
        <f t="shared" si="94"/>
        <v>S</v>
      </c>
      <c r="S1006" s="19" t="str">
        <f t="shared" si="95"/>
        <v>CHFYDFFNQAEWERSFRDYVLCQAN</v>
      </c>
      <c r="Z1006" s="4"/>
      <c r="AD1006" s="1" t="s">
        <v>147</v>
      </c>
      <c r="AE1006" s="1">
        <v>443</v>
      </c>
      <c r="AF1006" s="1">
        <v>468</v>
      </c>
      <c r="AG1006" s="1">
        <v>493</v>
      </c>
      <c r="AH1006" s="1" t="s">
        <v>202</v>
      </c>
      <c r="AK1006" s="4">
        <v>25</v>
      </c>
      <c r="AL1006" s="4">
        <v>75</v>
      </c>
    </row>
    <row r="1007" spans="1:38" x14ac:dyDescent="0.25">
      <c r="A1007" s="1" t="str">
        <f t="shared" si="92"/>
        <v>smo_human_4QIN_TM6</v>
      </c>
      <c r="B1007" s="45" t="s">
        <v>207</v>
      </c>
      <c r="C1007" s="45" t="s">
        <v>247</v>
      </c>
      <c r="D1007" s="4" t="str">
        <f>VLOOKUP(B1007,Classification!A:D,2,FALSE)</f>
        <v>F</v>
      </c>
      <c r="E1007" s="4" t="str">
        <f>VLOOKUP(B1007,Classification!A:D,3,FALSE)</f>
        <v>Protein</v>
      </c>
      <c r="F1007" s="4" t="str">
        <f>VLOOKUP(B1007,Classification!A:D,4,FALSE)</f>
        <v>Frizzled</v>
      </c>
      <c r="G1007" s="2">
        <v>11</v>
      </c>
      <c r="H1007" s="45" t="s">
        <v>44</v>
      </c>
      <c r="I1007" s="2" t="s">
        <v>1223</v>
      </c>
      <c r="J1007" s="5" t="str">
        <f>VLOOKUP(B1007,Seqs!A:B,2,FALSE)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07" s="4" t="str">
        <f t="shared" si="96"/>
        <v>S</v>
      </c>
      <c r="L1007" s="45">
        <f>VLOOKUP(B1007,'NonXtal_SegEnds_Prot#'!A:AL,30,FALSE)</f>
        <v>443</v>
      </c>
      <c r="M1007" s="45">
        <f>VLOOKUP(B1007,'NonXtal_SegEnds_Prot#'!A:AL,31,FALSE)</f>
        <v>468</v>
      </c>
      <c r="N1007" s="45">
        <f>VLOOKUP(B1007,'NonXtal_SegEnds_Prot#'!A:AL,32,FALSE)</f>
        <v>493</v>
      </c>
      <c r="O1007" s="4" t="str">
        <f t="shared" si="97"/>
        <v>N</v>
      </c>
      <c r="P1007" s="4"/>
      <c r="Q1007" s="47" t="str">
        <f t="shared" si="93"/>
        <v>SKINETMLRLGIFGFLAFGFVLITF</v>
      </c>
      <c r="R1007" s="27" t="str">
        <f t="shared" si="94"/>
        <v>S</v>
      </c>
      <c r="S1007" s="19" t="str">
        <f t="shared" si="95"/>
        <v>CHFYDFFNQAEWERSFRDYVLCQAN</v>
      </c>
      <c r="Z1007" s="4"/>
      <c r="AD1007" s="1" t="s">
        <v>147</v>
      </c>
      <c r="AE1007" s="1">
        <v>443</v>
      </c>
      <c r="AF1007" s="1">
        <v>468</v>
      </c>
      <c r="AG1007" s="1">
        <v>493</v>
      </c>
      <c r="AH1007" s="1" t="s">
        <v>202</v>
      </c>
      <c r="AK1007" s="4">
        <v>25</v>
      </c>
      <c r="AL1007" s="4">
        <v>75</v>
      </c>
    </row>
    <row r="1008" spans="1:38" x14ac:dyDescent="0.25">
      <c r="A1008" s="1" t="str">
        <f t="shared" si="92"/>
        <v>US28_hcmva__wt_TM6</v>
      </c>
      <c r="B1008" s="45" t="s">
        <v>230</v>
      </c>
      <c r="C1008" s="45" t="s">
        <v>294</v>
      </c>
      <c r="D1008" s="4" t="str">
        <f>VLOOKUP(B1008,Classification!A:D,2,FALSE)</f>
        <v>A</v>
      </c>
      <c r="E1008" s="4" t="str">
        <f>VLOOKUP(B1008,Classification!A:D,3,FALSE)</f>
        <v>Peptide</v>
      </c>
      <c r="F1008" s="4" t="str">
        <f>VLOOKUP(B1008,Classification!A:D,4,FALSE)</f>
        <v>Chemokine</v>
      </c>
      <c r="G1008" s="2">
        <v>11</v>
      </c>
      <c r="H1008" s="45" t="s">
        <v>44</v>
      </c>
      <c r="I1008" s="2" t="s">
        <v>1223</v>
      </c>
      <c r="J1008" s="5" t="str">
        <f>VLOOKUP(B1008,Seqs!A:B,2,FALSE)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008" s="4" t="str">
        <f t="shared" si="96"/>
        <v>H</v>
      </c>
      <c r="L1008" s="45">
        <f>VLOOKUP(B1008,'NonXtal_SegEnds_Prot#'!A:AL,30,FALSE)</f>
        <v>222</v>
      </c>
      <c r="M1008" s="45">
        <f>VLOOKUP(B1008,'NonXtal_SegEnds_Prot#'!A:AL,31,FALSE)</f>
        <v>243</v>
      </c>
      <c r="N1008" s="45">
        <f>VLOOKUP(B1008,'NonXtal_SegEnds_Prot#'!A:AL,32,FALSE)</f>
        <v>257</v>
      </c>
      <c r="O1008" s="4" t="str">
        <f t="shared" si="97"/>
        <v>K</v>
      </c>
      <c r="P1008" s="4"/>
      <c r="Q1008" s="47" t="str">
        <f t="shared" si="93"/>
        <v>HKGRIVRVLIAVVLVFIIFWL</v>
      </c>
      <c r="R1008" s="27" t="str">
        <f t="shared" si="94"/>
        <v>P</v>
      </c>
      <c r="S1008" s="19" t="str">
        <f t="shared" si="95"/>
        <v>YHLTLFVDTLKLLK</v>
      </c>
      <c r="Z1008" s="4" t="s">
        <v>64</v>
      </c>
      <c r="AD1008" s="1" t="s">
        <v>91</v>
      </c>
      <c r="AE1008" s="1">
        <v>222</v>
      </c>
      <c r="AF1008" s="1">
        <v>243</v>
      </c>
      <c r="AG1008" s="1">
        <v>253</v>
      </c>
      <c r="AH1008" s="1" t="s">
        <v>107</v>
      </c>
      <c r="AK1008" s="4">
        <v>29</v>
      </c>
      <c r="AL1008" s="4">
        <v>60</v>
      </c>
    </row>
    <row r="1009" spans="1:38" x14ac:dyDescent="0.25">
      <c r="A1009" s="1" t="str">
        <f t="shared" si="92"/>
        <v>US28_hcmva_4xT1_TM6</v>
      </c>
      <c r="B1009" s="45" t="s">
        <v>230</v>
      </c>
      <c r="C1009" s="45" t="s">
        <v>287</v>
      </c>
      <c r="D1009" s="4" t="str">
        <f>VLOOKUP(B1009,Classification!A:D,2,FALSE)</f>
        <v>A</v>
      </c>
      <c r="E1009" s="4" t="str">
        <f>VLOOKUP(B1009,Classification!A:D,3,FALSE)</f>
        <v>Peptide</v>
      </c>
      <c r="F1009" s="4" t="str">
        <f>VLOOKUP(B1009,Classification!A:D,4,FALSE)</f>
        <v>Chemokine</v>
      </c>
      <c r="G1009" s="2">
        <v>11</v>
      </c>
      <c r="H1009" s="45" t="s">
        <v>44</v>
      </c>
      <c r="I1009" s="2" t="s">
        <v>1223</v>
      </c>
      <c r="J1009" s="5" t="str">
        <f>VLOOKUP(B1009,Seqs!A:B,2,FALSE)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009" s="4" t="str">
        <f t="shared" si="96"/>
        <v>H</v>
      </c>
      <c r="L1009" s="45">
        <f>VLOOKUP(B1009,'NonXtal_SegEnds_Prot#'!A:AL,30,FALSE)</f>
        <v>222</v>
      </c>
      <c r="M1009" s="45">
        <f>VLOOKUP(B1009,'NonXtal_SegEnds_Prot#'!A:AL,31,FALSE)</f>
        <v>243</v>
      </c>
      <c r="N1009" s="45">
        <f>VLOOKUP(B1009,'NonXtal_SegEnds_Prot#'!A:AL,32,FALSE)</f>
        <v>257</v>
      </c>
      <c r="O1009" s="4" t="str">
        <f t="shared" si="97"/>
        <v>K</v>
      </c>
      <c r="P1009" s="4"/>
      <c r="Q1009" s="47" t="str">
        <f t="shared" si="93"/>
        <v>HKGRIVRVLIAVVLVFIIFWL</v>
      </c>
      <c r="R1009" s="27" t="str">
        <f t="shared" si="94"/>
        <v>P</v>
      </c>
      <c r="S1009" s="19" t="str">
        <f t="shared" si="95"/>
        <v>YHLTLFVDTLKLLK</v>
      </c>
      <c r="Z1009" s="4" t="s">
        <v>64</v>
      </c>
      <c r="AD1009" s="1" t="s">
        <v>91</v>
      </c>
      <c r="AE1009" s="1">
        <v>222</v>
      </c>
      <c r="AF1009" s="1">
        <v>243</v>
      </c>
      <c r="AG1009" s="1">
        <v>253</v>
      </c>
      <c r="AH1009" s="1" t="s">
        <v>107</v>
      </c>
      <c r="AK1009" s="4">
        <v>29</v>
      </c>
      <c r="AL1009" s="4">
        <v>60</v>
      </c>
    </row>
    <row r="1010" spans="1:38" x14ac:dyDescent="0.25">
      <c r="A1010" s="3" t="str">
        <f t="shared" si="92"/>
        <v>glr_human_5EE7_TM7</v>
      </c>
      <c r="B1010" s="45" t="s">
        <v>206</v>
      </c>
      <c r="C1010" s="45" t="s">
        <v>237</v>
      </c>
      <c r="D1010" s="2" t="str">
        <f>VLOOKUP(B1010,Classification!A:D,2,FALSE)</f>
        <v>B1</v>
      </c>
      <c r="E1010" s="2" t="str">
        <f>VLOOKUP(B1010,Classification!A:D,3,FALSE)</f>
        <v>Peptide</v>
      </c>
      <c r="F1010" s="2" t="str">
        <f>VLOOKUP(B1010,Classification!A:D,4,FALSE)</f>
        <v>Glucagonreceptorfamily</v>
      </c>
      <c r="G1010" s="2">
        <v>13</v>
      </c>
      <c r="H1010" s="45" t="s">
        <v>48</v>
      </c>
      <c r="I1010" s="2" t="s">
        <v>1223</v>
      </c>
      <c r="J1010" s="35" t="str">
        <f>VLOOKUP(B1010,Seqs!A:B,2,FALSE)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10" s="2" t="str">
        <f t="shared" si="96"/>
        <v>Q</v>
      </c>
      <c r="L1010" s="45">
        <f>VLOOKUP(B1010,'NonXtal_SegEnds_Prot#'!A:AL,33,FALSE)</f>
        <v>374</v>
      </c>
      <c r="M1010" s="45">
        <f>VLOOKUP(B1010,'NonXtal_SegEnds_Prot#'!A:AL,34,FALSE)</f>
        <v>397</v>
      </c>
      <c r="N1010" s="45">
        <f>VLOOKUP(B1010,'NonXtal_SegEnds_Prot#'!A:AL,35,FALSE)</f>
        <v>403</v>
      </c>
      <c r="O1010" s="2" t="str">
        <f t="shared" si="97"/>
        <v>L</v>
      </c>
      <c r="P1010" s="2"/>
      <c r="Q1010" s="47" t="str">
        <f t="shared" si="93"/>
        <v>QGTLRSAKLFFDLFLSSFQGLLV</v>
      </c>
      <c r="R1010" s="27" t="str">
        <f t="shared" si="94"/>
        <v>A</v>
      </c>
      <c r="S1010" s="19" t="str">
        <f t="shared" si="95"/>
        <v>VLYCFL</v>
      </c>
      <c r="T1010" s="35"/>
      <c r="U1010" s="2"/>
      <c r="V1010" s="3"/>
      <c r="W1010" s="3"/>
      <c r="X1010" s="3"/>
      <c r="Y1010" s="3"/>
      <c r="Z1010" s="2"/>
      <c r="AA1010" s="3"/>
      <c r="AB1010" s="3"/>
      <c r="AC1010" s="3"/>
      <c r="AD1010" s="3" t="s">
        <v>49</v>
      </c>
      <c r="AE1010" s="3">
        <v>379</v>
      </c>
      <c r="AF1010" s="3">
        <v>397</v>
      </c>
      <c r="AG1010" s="3">
        <v>403</v>
      </c>
      <c r="AH1010" s="3" t="s">
        <v>155</v>
      </c>
      <c r="AI1010" s="3"/>
      <c r="AJ1010" s="3"/>
      <c r="AK1010" s="3">
        <v>31</v>
      </c>
      <c r="AL1010" s="3">
        <v>56</v>
      </c>
    </row>
    <row r="1011" spans="1:38" x14ac:dyDescent="0.25">
      <c r="A1011" s="1" t="str">
        <f t="shared" si="92"/>
        <v>smo_human__wt_TM7</v>
      </c>
      <c r="B1011" s="45" t="s">
        <v>207</v>
      </c>
      <c r="C1011" s="45" t="s">
        <v>294</v>
      </c>
      <c r="D1011" s="4" t="str">
        <f>VLOOKUP(B1011,Classification!A:D,2,FALSE)</f>
        <v>F</v>
      </c>
      <c r="E1011" s="4" t="str">
        <f>VLOOKUP(B1011,Classification!A:D,3,FALSE)</f>
        <v>Protein</v>
      </c>
      <c r="F1011" s="4" t="str">
        <f>VLOOKUP(B1011,Classification!A:D,4,FALSE)</f>
        <v>Frizzled</v>
      </c>
      <c r="G1011" s="2">
        <v>13</v>
      </c>
      <c r="H1011" s="45" t="s">
        <v>48</v>
      </c>
      <c r="I1011" s="2" t="s">
        <v>1223</v>
      </c>
      <c r="J1011" s="5" t="str">
        <f>VLOOKUP(B1011,Seqs!A:B,2,FALSE)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11" s="4" t="str">
        <f t="shared" si="96"/>
        <v>L</v>
      </c>
      <c r="L1011" s="45">
        <f>VLOOKUP(B1011,'NonXtal_SegEnds_Prot#'!A:AL,33,FALSE)</f>
        <v>515</v>
      </c>
      <c r="M1011" s="45">
        <f>VLOOKUP(B1011,'NonXtal_SegEnds_Prot#'!A:AL,34,FALSE)</f>
        <v>530</v>
      </c>
      <c r="N1011" s="45">
        <f>VLOOKUP(B1011,'NonXtal_SegEnds_Prot#'!A:AL,35,FALSE)</f>
        <v>537</v>
      </c>
      <c r="O1011" s="4" t="str">
        <f t="shared" si="97"/>
        <v>W</v>
      </c>
      <c r="P1011" s="4"/>
      <c r="Q1011" s="47" t="str">
        <f t="shared" si="93"/>
        <v>LLVEKINLFAMFGTG</v>
      </c>
      <c r="R1011" s="27" t="str">
        <f t="shared" si="94"/>
        <v>I</v>
      </c>
      <c r="S1011" s="19" t="str">
        <f t="shared" si="95"/>
        <v>AMSTWVW</v>
      </c>
      <c r="Z1011" s="4"/>
      <c r="AD1011" s="1" t="s">
        <v>192</v>
      </c>
      <c r="AE1011" s="1">
        <v>515</v>
      </c>
      <c r="AF1011" s="1">
        <v>530</v>
      </c>
      <c r="AG1011" s="1">
        <v>537</v>
      </c>
      <c r="AH1011" s="1" t="s">
        <v>50</v>
      </c>
      <c r="AK1011" s="4">
        <v>35</v>
      </c>
      <c r="AL1011" s="4">
        <v>57</v>
      </c>
    </row>
    <row r="1012" spans="1:38" x14ac:dyDescent="0.25">
      <c r="A1012" s="1" t="str">
        <f t="shared" si="92"/>
        <v>smo_human_4JKV_TM7</v>
      </c>
      <c r="B1012" s="45" t="s">
        <v>207</v>
      </c>
      <c r="C1012" s="45" t="s">
        <v>278</v>
      </c>
      <c r="D1012" s="4" t="str">
        <f>VLOOKUP(B1012,Classification!A:D,2,FALSE)</f>
        <v>F</v>
      </c>
      <c r="E1012" s="4" t="str">
        <f>VLOOKUP(B1012,Classification!A:D,3,FALSE)</f>
        <v>Protein</v>
      </c>
      <c r="F1012" s="4" t="str">
        <f>VLOOKUP(B1012,Classification!A:D,4,FALSE)</f>
        <v>Frizzled</v>
      </c>
      <c r="G1012" s="2">
        <v>13</v>
      </c>
      <c r="H1012" s="45" t="s">
        <v>48</v>
      </c>
      <c r="I1012" s="2" t="s">
        <v>1223</v>
      </c>
      <c r="J1012" s="5" t="str">
        <f>VLOOKUP(B1012,Seqs!A:B,2,FALSE)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12" s="4" t="str">
        <f t="shared" si="96"/>
        <v>L</v>
      </c>
      <c r="L1012" s="45">
        <f>VLOOKUP(B1012,'NonXtal_SegEnds_Prot#'!A:AL,33,FALSE)</f>
        <v>515</v>
      </c>
      <c r="M1012" s="45">
        <f>VLOOKUP(B1012,'NonXtal_SegEnds_Prot#'!A:AL,34,FALSE)</f>
        <v>530</v>
      </c>
      <c r="N1012" s="45">
        <f>VLOOKUP(B1012,'NonXtal_SegEnds_Prot#'!A:AL,35,FALSE)</f>
        <v>537</v>
      </c>
      <c r="O1012" s="4" t="str">
        <f t="shared" si="97"/>
        <v>W</v>
      </c>
      <c r="P1012" s="4"/>
      <c r="Q1012" s="47" t="str">
        <f t="shared" si="93"/>
        <v>LLVEKINLFAMFGTG</v>
      </c>
      <c r="R1012" s="27" t="str">
        <f t="shared" si="94"/>
        <v>I</v>
      </c>
      <c r="S1012" s="19" t="str">
        <f t="shared" si="95"/>
        <v>AMSTWVW</v>
      </c>
      <c r="Z1012" s="4"/>
      <c r="AD1012" s="1" t="s">
        <v>192</v>
      </c>
      <c r="AE1012" s="1">
        <v>515</v>
      </c>
      <c r="AF1012" s="1">
        <v>530</v>
      </c>
      <c r="AG1012" s="1">
        <v>537</v>
      </c>
      <c r="AH1012" s="1" t="s">
        <v>50</v>
      </c>
      <c r="AK1012" s="4">
        <v>35</v>
      </c>
      <c r="AL1012" s="4">
        <v>57</v>
      </c>
    </row>
    <row r="1013" spans="1:38" x14ac:dyDescent="0.25">
      <c r="A1013" s="1" t="str">
        <f t="shared" si="92"/>
        <v>smo_human_4QIN_TM7</v>
      </c>
      <c r="B1013" s="45" t="s">
        <v>207</v>
      </c>
      <c r="C1013" s="45" t="s">
        <v>247</v>
      </c>
      <c r="D1013" s="4" t="str">
        <f>VLOOKUP(B1013,Classification!A:D,2,FALSE)</f>
        <v>F</v>
      </c>
      <c r="E1013" s="4" t="str">
        <f>VLOOKUP(B1013,Classification!A:D,3,FALSE)</f>
        <v>Protein</v>
      </c>
      <c r="F1013" s="4" t="str">
        <f>VLOOKUP(B1013,Classification!A:D,4,FALSE)</f>
        <v>Frizzled</v>
      </c>
      <c r="G1013" s="2">
        <v>13</v>
      </c>
      <c r="H1013" s="45" t="s">
        <v>48</v>
      </c>
      <c r="I1013" s="2" t="s">
        <v>1223</v>
      </c>
      <c r="J1013" s="5" t="str">
        <f>VLOOKUP(B1013,Seqs!A:B,2,FALSE)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13" s="4" t="str">
        <f t="shared" si="96"/>
        <v>L</v>
      </c>
      <c r="L1013" s="45">
        <f>VLOOKUP(B1013,'NonXtal_SegEnds_Prot#'!A:AL,33,FALSE)</f>
        <v>515</v>
      </c>
      <c r="M1013" s="45">
        <f>VLOOKUP(B1013,'NonXtal_SegEnds_Prot#'!A:AL,34,FALSE)</f>
        <v>530</v>
      </c>
      <c r="N1013" s="45">
        <f>VLOOKUP(B1013,'NonXtal_SegEnds_Prot#'!A:AL,35,FALSE)</f>
        <v>537</v>
      </c>
      <c r="O1013" s="4" t="str">
        <f t="shared" si="97"/>
        <v>W</v>
      </c>
      <c r="P1013" s="4"/>
      <c r="Q1013" s="47" t="str">
        <f t="shared" si="93"/>
        <v>LLVEKINLFAMFGTG</v>
      </c>
      <c r="R1013" s="27" t="str">
        <f t="shared" si="94"/>
        <v>I</v>
      </c>
      <c r="S1013" s="19" t="str">
        <f t="shared" si="95"/>
        <v>AMSTWVW</v>
      </c>
      <c r="Z1013" s="4"/>
      <c r="AD1013" s="1" t="s">
        <v>192</v>
      </c>
      <c r="AE1013" s="1">
        <v>515</v>
      </c>
      <c r="AF1013" s="1">
        <v>530</v>
      </c>
      <c r="AG1013" s="1">
        <v>537</v>
      </c>
      <c r="AH1013" s="1" t="s">
        <v>50</v>
      </c>
      <c r="AK1013" s="4">
        <v>35</v>
      </c>
      <c r="AL1013" s="4">
        <v>57</v>
      </c>
    </row>
    <row r="1014" spans="1:38" x14ac:dyDescent="0.25">
      <c r="A1014" s="1" t="str">
        <f t="shared" si="92"/>
        <v>5ht1b_human__wt_H8</v>
      </c>
      <c r="B1014" s="45" t="s">
        <v>208</v>
      </c>
      <c r="C1014" s="45" t="s">
        <v>294</v>
      </c>
      <c r="D1014" s="4" t="str">
        <f>VLOOKUP(B1014,Classification!A:D,2,FALSE)</f>
        <v>A</v>
      </c>
      <c r="E1014" s="4" t="str">
        <f>VLOOKUP(B1014,Classification!A:D,3,FALSE)</f>
        <v>Aminergic</v>
      </c>
      <c r="F1014" s="4" t="str">
        <f>VLOOKUP(B1014,Classification!A:D,4,FALSE)</f>
        <v>5-Hydroxytryptamine</v>
      </c>
      <c r="G1014" s="2">
        <v>14</v>
      </c>
      <c r="H1014" s="45" t="s">
        <v>52</v>
      </c>
      <c r="I1014" s="2" t="s">
        <v>1223</v>
      </c>
      <c r="J1014" s="5" t="str">
        <f>VLOOKUP(B1014,Seqs!A:B,2,FALSE)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014" s="4" t="str">
        <f t="shared" si="96"/>
        <v>N</v>
      </c>
      <c r="L1014" s="45">
        <f>VLOOKUP(B1014,'NonXtal_SegEnds_Prot#'!A:AL,36,FALSE)</f>
        <v>373</v>
      </c>
      <c r="M1014" s="45">
        <f>VLOOKUP(B1014,'NonXtal_SegEnds_Prot#'!A:AL,37,FALSE)</f>
        <v>376</v>
      </c>
      <c r="N1014" s="45">
        <f>VLOOKUP(B1014,'NonXtal_SegEnds_Prot#'!A:AL,38,FALSE)</f>
        <v>384</v>
      </c>
      <c r="O1014" s="4" t="str">
        <f t="shared" si="97"/>
        <v>I</v>
      </c>
      <c r="P1014" s="4"/>
      <c r="Q1014" s="47" t="str">
        <f t="shared" si="93"/>
        <v>NED</v>
      </c>
      <c r="R1014" s="27" t="str">
        <f t="shared" si="94"/>
        <v>F</v>
      </c>
      <c r="S1014" s="19" t="str">
        <f t="shared" si="95"/>
        <v>KQAFHKLI</v>
      </c>
      <c r="Z1014" s="4"/>
      <c r="AD1014" s="1" t="s">
        <v>53</v>
      </c>
      <c r="AE1014" s="1">
        <v>374</v>
      </c>
      <c r="AF1014" s="1">
        <v>376</v>
      </c>
      <c r="AG1014" s="1">
        <v>384</v>
      </c>
      <c r="AH1014" s="1" t="s">
        <v>54</v>
      </c>
      <c r="AK1014" s="4">
        <v>48</v>
      </c>
      <c r="AL1014" s="4">
        <v>58</v>
      </c>
    </row>
    <row r="1015" spans="1:38" x14ac:dyDescent="0.25">
      <c r="A1015" s="1" t="str">
        <f t="shared" si="92"/>
        <v>5ht1b_human_4IAQ_H8</v>
      </c>
      <c r="B1015" s="45" t="s">
        <v>208</v>
      </c>
      <c r="C1015" s="53" t="s">
        <v>1249</v>
      </c>
      <c r="D1015" s="4" t="str">
        <f>VLOOKUP(B1015,Classification!A:D,2,FALSE)</f>
        <v>A</v>
      </c>
      <c r="E1015" s="4" t="str">
        <f>VLOOKUP(B1015,Classification!A:D,3,FALSE)</f>
        <v>Aminergic</v>
      </c>
      <c r="F1015" s="4" t="str">
        <f>VLOOKUP(B1015,Classification!A:D,4,FALSE)</f>
        <v>5-Hydroxytryptamine</v>
      </c>
      <c r="G1015" s="2">
        <v>14</v>
      </c>
      <c r="H1015" s="45" t="s">
        <v>52</v>
      </c>
      <c r="I1015" s="2" t="s">
        <v>1223</v>
      </c>
      <c r="J1015" s="5" t="str">
        <f>VLOOKUP(B1015,Seqs!A:B,2,FALSE)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015" s="4" t="str">
        <f t="shared" si="96"/>
        <v>N</v>
      </c>
      <c r="L1015" s="45">
        <f>VLOOKUP(B1015,'NonXtal_SegEnds_Prot#'!A:AL,36,FALSE)</f>
        <v>373</v>
      </c>
      <c r="M1015" s="45">
        <f>VLOOKUP(B1015,'NonXtal_SegEnds_Prot#'!A:AL,37,FALSE)</f>
        <v>376</v>
      </c>
      <c r="N1015" s="45">
        <f>VLOOKUP(B1015,'NonXtal_SegEnds_Prot#'!A:AL,38,FALSE)</f>
        <v>384</v>
      </c>
      <c r="O1015" s="4" t="str">
        <f t="shared" si="97"/>
        <v>I</v>
      </c>
      <c r="P1015" s="4"/>
      <c r="Q1015" s="47" t="str">
        <f t="shared" si="93"/>
        <v>NED</v>
      </c>
      <c r="R1015" s="27" t="str">
        <f t="shared" si="94"/>
        <v>F</v>
      </c>
      <c r="S1015" s="19" t="str">
        <f t="shared" si="95"/>
        <v>KQAFHKLI</v>
      </c>
      <c r="Z1015" s="4"/>
      <c r="AD1015" s="1" t="s">
        <v>53</v>
      </c>
      <c r="AE1015" s="1">
        <v>374</v>
      </c>
      <c r="AF1015" s="1">
        <v>376</v>
      </c>
      <c r="AG1015" s="1">
        <v>384</v>
      </c>
      <c r="AH1015" s="1" t="s">
        <v>54</v>
      </c>
      <c r="AK1015" s="4">
        <v>48</v>
      </c>
      <c r="AL1015" s="4">
        <v>58</v>
      </c>
    </row>
    <row r="1016" spans="1:38" x14ac:dyDescent="0.25">
      <c r="A1016" s="1" t="str">
        <f t="shared" si="92"/>
        <v>5ht1b_human_4IAR_H8</v>
      </c>
      <c r="B1016" s="45" t="s">
        <v>208</v>
      </c>
      <c r="C1016" s="45" t="s">
        <v>251</v>
      </c>
      <c r="D1016" s="4" t="str">
        <f>VLOOKUP(B1016,Classification!A:D,2,FALSE)</f>
        <v>A</v>
      </c>
      <c r="E1016" s="4" t="str">
        <f>VLOOKUP(B1016,Classification!A:D,3,FALSE)</f>
        <v>Aminergic</v>
      </c>
      <c r="F1016" s="4" t="str">
        <f>VLOOKUP(B1016,Classification!A:D,4,FALSE)</f>
        <v>5-Hydroxytryptamine</v>
      </c>
      <c r="G1016" s="2">
        <v>14</v>
      </c>
      <c r="H1016" s="45" t="s">
        <v>52</v>
      </c>
      <c r="I1016" s="2" t="s">
        <v>1223</v>
      </c>
      <c r="J1016" s="5" t="str">
        <f>VLOOKUP(B1016,Seqs!A:B,2,FALSE)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016" s="4" t="str">
        <f t="shared" si="96"/>
        <v>N</v>
      </c>
      <c r="L1016" s="45">
        <f>VLOOKUP(B1016,'NonXtal_SegEnds_Prot#'!A:AL,36,FALSE)</f>
        <v>373</v>
      </c>
      <c r="M1016" s="45">
        <f>VLOOKUP(B1016,'NonXtal_SegEnds_Prot#'!A:AL,37,FALSE)</f>
        <v>376</v>
      </c>
      <c r="N1016" s="45">
        <f>VLOOKUP(B1016,'NonXtal_SegEnds_Prot#'!A:AL,38,FALSE)</f>
        <v>384</v>
      </c>
      <c r="O1016" s="4" t="str">
        <f t="shared" si="97"/>
        <v>I</v>
      </c>
      <c r="P1016" s="4"/>
      <c r="Q1016" s="47" t="str">
        <f t="shared" si="93"/>
        <v>NED</v>
      </c>
      <c r="R1016" s="27" t="str">
        <f t="shared" si="94"/>
        <v>F</v>
      </c>
      <c r="S1016" s="19" t="str">
        <f t="shared" si="95"/>
        <v>KQAFHKLI</v>
      </c>
      <c r="Z1016" s="4"/>
      <c r="AD1016" s="1" t="s">
        <v>53</v>
      </c>
      <c r="AE1016" s="1">
        <v>374</v>
      </c>
      <c r="AF1016" s="1">
        <v>376</v>
      </c>
      <c r="AG1016" s="1">
        <v>384</v>
      </c>
      <c r="AH1016" s="1" t="s">
        <v>54</v>
      </c>
      <c r="AK1016" s="4">
        <v>48</v>
      </c>
      <c r="AL1016" s="4">
        <v>58</v>
      </c>
    </row>
    <row r="1017" spans="1:38" x14ac:dyDescent="0.25">
      <c r="A1017" s="1" t="str">
        <f t="shared" si="92"/>
        <v>5ht2b_human__wt_H8</v>
      </c>
      <c r="B1017" s="45" t="s">
        <v>209</v>
      </c>
      <c r="C1017" s="45" t="s">
        <v>294</v>
      </c>
      <c r="D1017" s="4" t="str">
        <f>VLOOKUP(B1017,Classification!A:D,2,FALSE)</f>
        <v>A</v>
      </c>
      <c r="E1017" s="4" t="str">
        <f>VLOOKUP(B1017,Classification!A:D,3,FALSE)</f>
        <v>Aminergic</v>
      </c>
      <c r="F1017" s="4" t="str">
        <f>VLOOKUP(B1017,Classification!A:D,4,FALSE)</f>
        <v>5-Hydroxytryptamine</v>
      </c>
      <c r="G1017" s="2">
        <v>14</v>
      </c>
      <c r="H1017" s="45" t="s">
        <v>52</v>
      </c>
      <c r="I1017" s="2" t="s">
        <v>1223</v>
      </c>
      <c r="J1017" s="5" t="str">
        <f>VLOOKUP(B1017,Seqs!A:B,2,FALSE)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017" s="4" t="str">
        <f t="shared" si="96"/>
        <v>N</v>
      </c>
      <c r="L1017" s="45">
        <f>VLOOKUP(B1017,'NonXtal_SegEnds_Prot#'!A:AL,36,FALSE)</f>
        <v>384</v>
      </c>
      <c r="M1017" s="45">
        <f>VLOOKUP(B1017,'NonXtal_SegEnds_Prot#'!A:AL,37,FALSE)</f>
        <v>387</v>
      </c>
      <c r="N1017" s="45">
        <f>VLOOKUP(B1017,'NonXtal_SegEnds_Prot#'!A:AL,38,FALSE)</f>
        <v>395</v>
      </c>
      <c r="O1017" s="4" t="str">
        <f t="shared" si="97"/>
        <v>I</v>
      </c>
      <c r="P1017" s="4"/>
      <c r="Q1017" s="47" t="str">
        <f t="shared" si="93"/>
        <v>NKT</v>
      </c>
      <c r="R1017" s="27" t="str">
        <f t="shared" si="94"/>
        <v>F</v>
      </c>
      <c r="S1017" s="19" t="str">
        <f t="shared" si="95"/>
        <v>RDAFGRYI</v>
      </c>
      <c r="Z1017" s="4"/>
      <c r="AD1017" s="1" t="s">
        <v>53</v>
      </c>
      <c r="AE1017" s="1">
        <v>385</v>
      </c>
      <c r="AF1017" s="1">
        <v>387</v>
      </c>
      <c r="AG1017" s="1">
        <v>395</v>
      </c>
      <c r="AH1017" s="1" t="s">
        <v>54</v>
      </c>
      <c r="AK1017" s="4">
        <v>48</v>
      </c>
      <c r="AL1017" s="4">
        <v>58</v>
      </c>
    </row>
    <row r="1018" spans="1:38" x14ac:dyDescent="0.25">
      <c r="A1018" s="1" t="str">
        <f t="shared" si="92"/>
        <v>5ht2b_human_4IB4_H8</v>
      </c>
      <c r="B1018" s="45" t="s">
        <v>209</v>
      </c>
      <c r="C1018" s="45" t="s">
        <v>261</v>
      </c>
      <c r="D1018" s="4" t="str">
        <f>VLOOKUP(B1018,Classification!A:D,2,FALSE)</f>
        <v>A</v>
      </c>
      <c r="E1018" s="4" t="str">
        <f>VLOOKUP(B1018,Classification!A:D,3,FALSE)</f>
        <v>Aminergic</v>
      </c>
      <c r="F1018" s="4" t="str">
        <f>VLOOKUP(B1018,Classification!A:D,4,FALSE)</f>
        <v>5-Hydroxytryptamine</v>
      </c>
      <c r="G1018" s="2">
        <v>14</v>
      </c>
      <c r="H1018" s="45" t="s">
        <v>52</v>
      </c>
      <c r="I1018" s="2" t="s">
        <v>1223</v>
      </c>
      <c r="J1018" s="5" t="str">
        <f>VLOOKUP(B1018,Seqs!A:B,2,FALSE)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018" s="4" t="str">
        <f t="shared" si="96"/>
        <v>N</v>
      </c>
      <c r="L1018" s="45">
        <f>VLOOKUP(B1018,'NonXtal_SegEnds_Prot#'!A:AL,36,FALSE)</f>
        <v>384</v>
      </c>
      <c r="M1018" s="45">
        <f>VLOOKUP(B1018,'NonXtal_SegEnds_Prot#'!A:AL,37,FALSE)</f>
        <v>387</v>
      </c>
      <c r="N1018" s="45">
        <f>VLOOKUP(B1018,'NonXtal_SegEnds_Prot#'!A:AL,38,FALSE)</f>
        <v>395</v>
      </c>
      <c r="O1018" s="4" t="str">
        <f t="shared" si="97"/>
        <v>I</v>
      </c>
      <c r="P1018" s="4"/>
      <c r="Q1018" s="47" t="str">
        <f t="shared" si="93"/>
        <v>NKT</v>
      </c>
      <c r="R1018" s="27" t="str">
        <f t="shared" si="94"/>
        <v>F</v>
      </c>
      <c r="S1018" s="19" t="str">
        <f t="shared" si="95"/>
        <v>RDAFGRYI</v>
      </c>
      <c r="Z1018" s="4"/>
      <c r="AD1018" s="1" t="s">
        <v>53</v>
      </c>
      <c r="AE1018" s="1">
        <v>385</v>
      </c>
      <c r="AF1018" s="1">
        <v>387</v>
      </c>
      <c r="AG1018" s="1">
        <v>395</v>
      </c>
      <c r="AH1018" s="1" t="s">
        <v>54</v>
      </c>
      <c r="AK1018" s="4">
        <v>48</v>
      </c>
      <c r="AL1018" s="4">
        <v>58</v>
      </c>
    </row>
    <row r="1019" spans="1:38" x14ac:dyDescent="0.25">
      <c r="A1019" s="1" t="str">
        <f t="shared" si="92"/>
        <v>AA2AR_human__wt_H8</v>
      </c>
      <c r="B1019" s="45" t="s">
        <v>210</v>
      </c>
      <c r="C1019" s="45" t="s">
        <v>294</v>
      </c>
      <c r="D1019" s="4" t="str">
        <f>VLOOKUP(B1019,Classification!A:D,2,FALSE)</f>
        <v>A</v>
      </c>
      <c r="E1019" s="4" t="str">
        <f>VLOOKUP(B1019,Classification!A:D,3,FALSE)</f>
        <v>Nucleotide</v>
      </c>
      <c r="F1019" s="4" t="str">
        <f>VLOOKUP(B1019,Classification!A:D,4,FALSE)</f>
        <v>Adenosine</v>
      </c>
      <c r="G1019" s="2">
        <v>14</v>
      </c>
      <c r="H1019" s="45" t="s">
        <v>52</v>
      </c>
      <c r="I1019" s="2" t="s">
        <v>1223</v>
      </c>
      <c r="J1019" s="5" t="str">
        <f>VLOOKUP(B1019,Seqs!A:B,2,FALSE)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19" s="4" t="str">
        <f t="shared" si="96"/>
        <v>I</v>
      </c>
      <c r="L1019" s="45">
        <f>VLOOKUP(B1019,'NonXtal_SegEnds_Prot#'!A:AL,36,FALSE)</f>
        <v>292</v>
      </c>
      <c r="M1019" s="45">
        <f>VLOOKUP(B1019,'NonXtal_SegEnds_Prot#'!A:AL,37,FALSE)</f>
        <v>295</v>
      </c>
      <c r="N1019" s="45">
        <f>VLOOKUP(B1019,'NonXtal_SegEnds_Prot#'!A:AL,38,FALSE)</f>
        <v>314</v>
      </c>
      <c r="O1019" s="4" t="str">
        <f t="shared" si="97"/>
        <v>F</v>
      </c>
      <c r="P1019" s="4"/>
      <c r="Q1019" s="47" t="str">
        <f t="shared" si="93"/>
        <v>IRE</v>
      </c>
      <c r="R1019" s="27" t="str">
        <f t="shared" si="94"/>
        <v>F</v>
      </c>
      <c r="S1019" s="19" t="str">
        <f t="shared" si="95"/>
        <v>RQTFRKIIRSHVLRQQEPF</v>
      </c>
      <c r="Z1019" s="4" t="s">
        <v>64</v>
      </c>
      <c r="AD1019" s="1" t="s">
        <v>53</v>
      </c>
      <c r="AE1019" s="1">
        <v>293</v>
      </c>
      <c r="AF1019" s="1">
        <v>295</v>
      </c>
      <c r="AG1019" s="1">
        <v>311</v>
      </c>
      <c r="AH1019" s="1" t="s">
        <v>77</v>
      </c>
      <c r="AK1019" s="4">
        <v>48</v>
      </c>
      <c r="AL1019" s="4">
        <v>66</v>
      </c>
    </row>
    <row r="1020" spans="1:38" x14ac:dyDescent="0.25">
      <c r="A1020" s="1" t="str">
        <f t="shared" si="92"/>
        <v>AA2AR_human_2YDV_H8</v>
      </c>
      <c r="B1020" s="45" t="s">
        <v>210</v>
      </c>
      <c r="C1020" s="45" t="s">
        <v>271</v>
      </c>
      <c r="D1020" s="4" t="str">
        <f>VLOOKUP(B1020,Classification!A:D,2,FALSE)</f>
        <v>A</v>
      </c>
      <c r="E1020" s="4" t="str">
        <f>VLOOKUP(B1020,Classification!A:D,3,FALSE)</f>
        <v>Nucleotide</v>
      </c>
      <c r="F1020" s="4" t="str">
        <f>VLOOKUP(B1020,Classification!A:D,4,FALSE)</f>
        <v>Adenosine</v>
      </c>
      <c r="G1020" s="2">
        <v>14</v>
      </c>
      <c r="H1020" s="45" t="s">
        <v>52</v>
      </c>
      <c r="I1020" s="2" t="s">
        <v>1223</v>
      </c>
      <c r="J1020" s="5" t="str">
        <f>VLOOKUP(B1020,Seqs!A:B,2,FALSE)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20" s="4" t="str">
        <f t="shared" si="96"/>
        <v>I</v>
      </c>
      <c r="L1020" s="45">
        <f>VLOOKUP(B1020,'NonXtal_SegEnds_Prot#'!A:AL,36,FALSE)</f>
        <v>292</v>
      </c>
      <c r="M1020" s="45">
        <f>VLOOKUP(B1020,'NonXtal_SegEnds_Prot#'!A:AL,37,FALSE)</f>
        <v>295</v>
      </c>
      <c r="N1020" s="45">
        <f>VLOOKUP(B1020,'NonXtal_SegEnds_Prot#'!A:AL,38,FALSE)</f>
        <v>314</v>
      </c>
      <c r="O1020" s="4" t="str">
        <f t="shared" si="97"/>
        <v>F</v>
      </c>
      <c r="P1020" s="4"/>
      <c r="Q1020" s="47" t="str">
        <f t="shared" si="93"/>
        <v>IRE</v>
      </c>
      <c r="R1020" s="27" t="str">
        <f t="shared" si="94"/>
        <v>F</v>
      </c>
      <c r="S1020" s="19" t="str">
        <f t="shared" si="95"/>
        <v>RQTFRKIIRSHVLRQQEPF</v>
      </c>
      <c r="Z1020" s="4" t="s">
        <v>64</v>
      </c>
      <c r="AD1020" s="1" t="s">
        <v>53</v>
      </c>
      <c r="AE1020" s="1">
        <v>293</v>
      </c>
      <c r="AF1020" s="1">
        <v>295</v>
      </c>
      <c r="AG1020" s="1">
        <v>311</v>
      </c>
      <c r="AH1020" s="1" t="s">
        <v>77</v>
      </c>
      <c r="AK1020" s="4">
        <v>48</v>
      </c>
      <c r="AL1020" s="4">
        <v>66</v>
      </c>
    </row>
    <row r="1021" spans="1:38" x14ac:dyDescent="0.25">
      <c r="A1021" s="1" t="str">
        <f t="shared" si="92"/>
        <v>AA2AR_human_3REY_H8</v>
      </c>
      <c r="B1021" s="45" t="s">
        <v>210</v>
      </c>
      <c r="C1021" s="45" t="s">
        <v>275</v>
      </c>
      <c r="D1021" s="4" t="str">
        <f>VLOOKUP(B1021,Classification!A:D,2,FALSE)</f>
        <v>A</v>
      </c>
      <c r="E1021" s="4" t="str">
        <f>VLOOKUP(B1021,Classification!A:D,3,FALSE)</f>
        <v>Nucleotide</v>
      </c>
      <c r="F1021" s="4" t="str">
        <f>VLOOKUP(B1021,Classification!A:D,4,FALSE)</f>
        <v>Adenosine</v>
      </c>
      <c r="G1021" s="2">
        <v>14</v>
      </c>
      <c r="H1021" s="45" t="s">
        <v>52</v>
      </c>
      <c r="I1021" s="2" t="s">
        <v>1223</v>
      </c>
      <c r="J1021" s="5" t="str">
        <f>VLOOKUP(B1021,Seqs!A:B,2,FALSE)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21" s="4" t="str">
        <f t="shared" si="96"/>
        <v>I</v>
      </c>
      <c r="L1021" s="45">
        <f>VLOOKUP(B1021,'NonXtal_SegEnds_Prot#'!A:AL,36,FALSE)</f>
        <v>292</v>
      </c>
      <c r="M1021" s="45">
        <f>VLOOKUP(B1021,'NonXtal_SegEnds_Prot#'!A:AL,37,FALSE)</f>
        <v>295</v>
      </c>
      <c r="N1021" s="45">
        <f>VLOOKUP(B1021,'NonXtal_SegEnds_Prot#'!A:AL,38,FALSE)</f>
        <v>314</v>
      </c>
      <c r="O1021" s="4" t="str">
        <f t="shared" si="97"/>
        <v>F</v>
      </c>
      <c r="P1021" s="4"/>
      <c r="Q1021" s="47" t="str">
        <f t="shared" si="93"/>
        <v>IRE</v>
      </c>
      <c r="R1021" s="27" t="str">
        <f t="shared" si="94"/>
        <v>F</v>
      </c>
      <c r="S1021" s="19" t="str">
        <f t="shared" si="95"/>
        <v>RQTFRKIIRSHVLRQQEPF</v>
      </c>
      <c r="Z1021" s="4" t="s">
        <v>78</v>
      </c>
      <c r="AD1021" s="1" t="s">
        <v>53</v>
      </c>
      <c r="AE1021" s="1">
        <v>293</v>
      </c>
      <c r="AF1021" s="1">
        <v>295</v>
      </c>
      <c r="AG1021" s="1">
        <v>305</v>
      </c>
      <c r="AH1021" s="1" t="s">
        <v>79</v>
      </c>
      <c r="AK1021" s="4">
        <v>48</v>
      </c>
      <c r="AL1021" s="4">
        <v>60</v>
      </c>
    </row>
    <row r="1022" spans="1:38" x14ac:dyDescent="0.25">
      <c r="A1022" s="1" t="str">
        <f t="shared" si="92"/>
        <v>AA2AR_human_4EIY_H8</v>
      </c>
      <c r="B1022" s="45" t="s">
        <v>210</v>
      </c>
      <c r="C1022" s="45" t="s">
        <v>272</v>
      </c>
      <c r="D1022" s="4" t="str">
        <f>VLOOKUP(B1022,Classification!A:D,2,FALSE)</f>
        <v>A</v>
      </c>
      <c r="E1022" s="4" t="str">
        <f>VLOOKUP(B1022,Classification!A:D,3,FALSE)</f>
        <v>Nucleotide</v>
      </c>
      <c r="F1022" s="4" t="str">
        <f>VLOOKUP(B1022,Classification!A:D,4,FALSE)</f>
        <v>Adenosine</v>
      </c>
      <c r="G1022" s="2">
        <v>14</v>
      </c>
      <c r="H1022" s="45" t="s">
        <v>52</v>
      </c>
      <c r="I1022" s="2" t="s">
        <v>1223</v>
      </c>
      <c r="J1022" s="5" t="str">
        <f>VLOOKUP(B1022,Seqs!A:B,2,FALSE)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22" s="4" t="str">
        <f t="shared" si="96"/>
        <v>I</v>
      </c>
      <c r="L1022" s="45">
        <f>VLOOKUP(B1022,'NonXtal_SegEnds_Prot#'!A:AL,36,FALSE)</f>
        <v>292</v>
      </c>
      <c r="M1022" s="45">
        <f>VLOOKUP(B1022,'NonXtal_SegEnds_Prot#'!A:AL,37,FALSE)</f>
        <v>295</v>
      </c>
      <c r="N1022" s="45">
        <f>VLOOKUP(B1022,'NonXtal_SegEnds_Prot#'!A:AL,38,FALSE)</f>
        <v>314</v>
      </c>
      <c r="O1022" s="4" t="str">
        <f t="shared" si="97"/>
        <v>F</v>
      </c>
      <c r="P1022" s="4"/>
      <c r="Q1022" s="47" t="str">
        <f t="shared" si="93"/>
        <v>IRE</v>
      </c>
      <c r="R1022" s="27" t="str">
        <f t="shared" si="94"/>
        <v>F</v>
      </c>
      <c r="S1022" s="19" t="str">
        <f t="shared" si="95"/>
        <v>RQTFRKIIRSHVLRQQEPF</v>
      </c>
      <c r="Z1022" s="4"/>
      <c r="AD1022" s="1" t="s">
        <v>53</v>
      </c>
      <c r="AE1022" s="1">
        <v>293</v>
      </c>
      <c r="AF1022" s="1">
        <v>295</v>
      </c>
      <c r="AG1022" s="1">
        <v>306</v>
      </c>
      <c r="AH1022" s="1" t="s">
        <v>80</v>
      </c>
      <c r="AK1022" s="4">
        <v>48</v>
      </c>
      <c r="AL1022" s="4">
        <v>61</v>
      </c>
    </row>
    <row r="1023" spans="1:38" x14ac:dyDescent="0.25">
      <c r="A1023" s="1" t="str">
        <f t="shared" si="92"/>
        <v>ACM1_human__wt_H8</v>
      </c>
      <c r="B1023" s="45" t="s">
        <v>218</v>
      </c>
      <c r="C1023" s="45" t="s">
        <v>294</v>
      </c>
      <c r="D1023" s="4" t="str">
        <f>VLOOKUP(B1023,Classification!A:D,2,FALSE)</f>
        <v>A</v>
      </c>
      <c r="E1023" s="4" t="str">
        <f>VLOOKUP(B1023,Classification!A:D,3,FALSE)</f>
        <v>Aminergic</v>
      </c>
      <c r="F1023" s="4" t="str">
        <f>VLOOKUP(B1023,Classification!A:D,4,FALSE)</f>
        <v>Acetylcholine(muscarinic)</v>
      </c>
      <c r="G1023" s="2">
        <v>14</v>
      </c>
      <c r="H1023" s="45" t="s">
        <v>52</v>
      </c>
      <c r="I1023" s="2" t="s">
        <v>1223</v>
      </c>
      <c r="J1023" s="5" t="str">
        <f>VLOOKUP(B1023,Seqs!A:B,2,FALSE)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023" s="4" t="str">
        <f t="shared" si="96"/>
        <v>N</v>
      </c>
      <c r="L1023" s="45">
        <f>VLOOKUP(B1023,'NonXtal_SegEnds_Prot#'!A:AL,36,FALSE)</f>
        <v>422</v>
      </c>
      <c r="M1023" s="45">
        <f>VLOOKUP(B1023,'NonXtal_SegEnds_Prot#'!A:AL,37,FALSE)</f>
        <v>425</v>
      </c>
      <c r="N1023" s="45">
        <f>VLOOKUP(B1023,'NonXtal_SegEnds_Prot#'!A:AL,38,FALSE)</f>
        <v>434</v>
      </c>
      <c r="O1023" s="4" t="str">
        <f t="shared" si="97"/>
        <v>L</v>
      </c>
      <c r="P1023" s="4"/>
      <c r="Q1023" s="47" t="str">
        <f t="shared" si="93"/>
        <v>NKA</v>
      </c>
      <c r="R1023" s="27" t="str">
        <f t="shared" si="94"/>
        <v>F</v>
      </c>
      <c r="S1023" s="19" t="str">
        <f t="shared" si="95"/>
        <v>RDTFRLLLL</v>
      </c>
      <c r="Z1023" s="4" t="s">
        <v>78</v>
      </c>
      <c r="AD1023" s="1" t="s">
        <v>53</v>
      </c>
      <c r="AE1023" s="1">
        <v>423</v>
      </c>
      <c r="AF1023" s="1">
        <v>425</v>
      </c>
      <c r="AG1023" s="1">
        <v>434</v>
      </c>
      <c r="AH1023" s="1" t="s">
        <v>85</v>
      </c>
      <c r="AK1023" s="4">
        <v>48</v>
      </c>
      <c r="AL1023" s="4">
        <v>59</v>
      </c>
    </row>
    <row r="1024" spans="1:38" x14ac:dyDescent="0.25">
      <c r="A1024" s="1" t="str">
        <f t="shared" si="92"/>
        <v>ACM1_human_5CXV_H8</v>
      </c>
      <c r="B1024" s="45" t="s">
        <v>218</v>
      </c>
      <c r="C1024" s="45" t="s">
        <v>253</v>
      </c>
      <c r="D1024" s="4" t="str">
        <f>VLOOKUP(B1024,Classification!A:D,2,FALSE)</f>
        <v>A</v>
      </c>
      <c r="E1024" s="4" t="str">
        <f>VLOOKUP(B1024,Classification!A:D,3,FALSE)</f>
        <v>Aminergic</v>
      </c>
      <c r="F1024" s="4" t="str">
        <f>VLOOKUP(B1024,Classification!A:D,4,FALSE)</f>
        <v>Acetylcholine(muscarinic)</v>
      </c>
      <c r="G1024" s="2">
        <v>14</v>
      </c>
      <c r="H1024" s="45" t="s">
        <v>52</v>
      </c>
      <c r="I1024" s="2" t="s">
        <v>1223</v>
      </c>
      <c r="J1024" s="5" t="str">
        <f>VLOOKUP(B1024,Seqs!A:B,2,FALSE)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024" s="4" t="str">
        <f t="shared" si="96"/>
        <v>N</v>
      </c>
      <c r="L1024" s="45">
        <f>VLOOKUP(B1024,'NonXtal_SegEnds_Prot#'!A:AL,36,FALSE)</f>
        <v>422</v>
      </c>
      <c r="M1024" s="45">
        <f>VLOOKUP(B1024,'NonXtal_SegEnds_Prot#'!A:AL,37,FALSE)</f>
        <v>425</v>
      </c>
      <c r="N1024" s="45">
        <f>VLOOKUP(B1024,'NonXtal_SegEnds_Prot#'!A:AL,38,FALSE)</f>
        <v>434</v>
      </c>
      <c r="O1024" s="4" t="str">
        <f t="shared" si="97"/>
        <v>L</v>
      </c>
      <c r="P1024" s="4"/>
      <c r="Q1024" s="47" t="str">
        <f t="shared" si="93"/>
        <v>NKA</v>
      </c>
      <c r="R1024" s="27" t="str">
        <f t="shared" si="94"/>
        <v>F</v>
      </c>
      <c r="S1024" s="19" t="str">
        <f t="shared" si="95"/>
        <v>RDTFRLLLL</v>
      </c>
      <c r="Z1024" s="4" t="s">
        <v>78</v>
      </c>
      <c r="AD1024" s="1" t="s">
        <v>53</v>
      </c>
      <c r="AE1024" s="1">
        <v>423</v>
      </c>
      <c r="AF1024" s="1">
        <v>425</v>
      </c>
      <c r="AG1024" s="1">
        <v>434</v>
      </c>
      <c r="AH1024" s="1" t="s">
        <v>85</v>
      </c>
      <c r="AK1024" s="4">
        <v>48</v>
      </c>
      <c r="AL1024" s="4">
        <v>59</v>
      </c>
    </row>
    <row r="1025" spans="1:38" x14ac:dyDescent="0.25">
      <c r="A1025" s="1" t="str">
        <f t="shared" si="92"/>
        <v>ACM2_human__wt_H8</v>
      </c>
      <c r="B1025" s="45" t="s">
        <v>219</v>
      </c>
      <c r="C1025" s="45" t="s">
        <v>294</v>
      </c>
      <c r="D1025" s="4" t="str">
        <f>VLOOKUP(B1025,Classification!A:D,2,FALSE)</f>
        <v>A</v>
      </c>
      <c r="E1025" s="4" t="str">
        <f>VLOOKUP(B1025,Classification!A:D,3,FALSE)</f>
        <v>Aminergic</v>
      </c>
      <c r="F1025" s="4" t="str">
        <f>VLOOKUP(B1025,Classification!A:D,4,FALSE)</f>
        <v>Acetylcholine(muscarinic)</v>
      </c>
      <c r="G1025" s="2">
        <v>14</v>
      </c>
      <c r="H1025" s="45" t="s">
        <v>52</v>
      </c>
      <c r="I1025" s="2" t="s">
        <v>1223</v>
      </c>
      <c r="J1025" s="5" t="str">
        <f>VLOOKUP(B1025,Seqs!A:B,2,FALSE)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025" s="4" t="str">
        <f t="shared" si="96"/>
        <v>N</v>
      </c>
      <c r="L1025" s="45">
        <f>VLOOKUP(B1025,'NonXtal_SegEnds_Prot#'!A:AL,36,FALSE)</f>
        <v>444</v>
      </c>
      <c r="M1025" s="45">
        <f>VLOOKUP(B1025,'NonXtal_SegEnds_Prot#'!A:AL,37,FALSE)</f>
        <v>447</v>
      </c>
      <c r="N1025" s="45">
        <f>VLOOKUP(B1025,'NonXtal_SegEnds_Prot#'!A:AL,38,FALSE)</f>
        <v>456</v>
      </c>
      <c r="O1025" s="4" t="str">
        <f t="shared" si="97"/>
        <v>M</v>
      </c>
      <c r="P1025" s="4"/>
      <c r="Q1025" s="47" t="str">
        <f t="shared" si="93"/>
        <v>NAT</v>
      </c>
      <c r="R1025" s="27" t="str">
        <f t="shared" si="94"/>
        <v>F</v>
      </c>
      <c r="S1025" s="19" t="str">
        <f t="shared" si="95"/>
        <v>KKTFKHLLM</v>
      </c>
      <c r="Z1025" s="4" t="s">
        <v>78</v>
      </c>
      <c r="AD1025" s="1" t="s">
        <v>53</v>
      </c>
      <c r="AE1025" s="1">
        <v>445</v>
      </c>
      <c r="AF1025" s="1">
        <v>447</v>
      </c>
      <c r="AG1025" s="1">
        <v>456</v>
      </c>
      <c r="AH1025" s="1" t="s">
        <v>85</v>
      </c>
      <c r="AK1025" s="4">
        <v>48</v>
      </c>
      <c r="AL1025" s="4">
        <v>59</v>
      </c>
    </row>
    <row r="1026" spans="1:38" x14ac:dyDescent="0.25">
      <c r="A1026" s="1" t="str">
        <f t="shared" ref="A1026:A1089" si="98">CONCATENATE(B1026,"_",C1026,"_",H1026)</f>
        <v>ACM2_human_3UON_H8</v>
      </c>
      <c r="B1026" s="45" t="s">
        <v>219</v>
      </c>
      <c r="C1026" s="45" t="s">
        <v>270</v>
      </c>
      <c r="D1026" s="4" t="str">
        <f>VLOOKUP(B1026,Classification!A:D,2,FALSE)</f>
        <v>A</v>
      </c>
      <c r="E1026" s="4" t="str">
        <f>VLOOKUP(B1026,Classification!A:D,3,FALSE)</f>
        <v>Aminergic</v>
      </c>
      <c r="F1026" s="4" t="str">
        <f>VLOOKUP(B1026,Classification!A:D,4,FALSE)</f>
        <v>Acetylcholine(muscarinic)</v>
      </c>
      <c r="G1026" s="2">
        <v>14</v>
      </c>
      <c r="H1026" s="45" t="s">
        <v>52</v>
      </c>
      <c r="I1026" s="2" t="s">
        <v>1223</v>
      </c>
      <c r="J1026" s="5" t="str">
        <f>VLOOKUP(B1026,Seqs!A:B,2,FALSE)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026" s="4" t="str">
        <f t="shared" si="96"/>
        <v>N</v>
      </c>
      <c r="L1026" s="45">
        <f>VLOOKUP(B1026,'NonXtal_SegEnds_Prot#'!A:AL,36,FALSE)</f>
        <v>444</v>
      </c>
      <c r="M1026" s="45">
        <f>VLOOKUP(B1026,'NonXtal_SegEnds_Prot#'!A:AL,37,FALSE)</f>
        <v>447</v>
      </c>
      <c r="N1026" s="45">
        <f>VLOOKUP(B1026,'NonXtal_SegEnds_Prot#'!A:AL,38,FALSE)</f>
        <v>456</v>
      </c>
      <c r="O1026" s="4" t="str">
        <f t="shared" si="97"/>
        <v>M</v>
      </c>
      <c r="P1026" s="4"/>
      <c r="Q1026" s="47" t="str">
        <f t="shared" ref="Q1026:Q1089" si="99">MID(J1026,L1026,M1026-L1026)</f>
        <v>NAT</v>
      </c>
      <c r="R1026" s="27" t="str">
        <f t="shared" ref="R1026:R1089" si="100">MID(J1026,M1026,1)</f>
        <v>F</v>
      </c>
      <c r="S1026" s="19" t="str">
        <f t="shared" ref="S1026:S1089" si="101">MID(J1026,M1026+1,N1026-M1026)</f>
        <v>KKTFKHLLM</v>
      </c>
      <c r="Z1026" s="4" t="s">
        <v>78</v>
      </c>
      <c r="AD1026" s="1" t="s">
        <v>53</v>
      </c>
      <c r="AE1026" s="1">
        <v>445</v>
      </c>
      <c r="AF1026" s="1">
        <v>447</v>
      </c>
      <c r="AG1026" s="1">
        <v>456</v>
      </c>
      <c r="AH1026" s="1" t="s">
        <v>85</v>
      </c>
      <c r="AK1026" s="4">
        <v>48</v>
      </c>
      <c r="AL1026" s="4">
        <v>59</v>
      </c>
    </row>
    <row r="1027" spans="1:38" x14ac:dyDescent="0.25">
      <c r="A1027" s="1" t="str">
        <f t="shared" si="98"/>
        <v>ACM2_human_4MQS_H8</v>
      </c>
      <c r="B1027" s="45" t="s">
        <v>219</v>
      </c>
      <c r="C1027" s="45" t="s">
        <v>259</v>
      </c>
      <c r="D1027" s="4" t="str">
        <f>VLOOKUP(B1027,Classification!A:D,2,FALSE)</f>
        <v>A</v>
      </c>
      <c r="E1027" s="4" t="str">
        <f>VLOOKUP(B1027,Classification!A:D,3,FALSE)</f>
        <v>Aminergic</v>
      </c>
      <c r="F1027" s="4" t="str">
        <f>VLOOKUP(B1027,Classification!A:D,4,FALSE)</f>
        <v>Acetylcholine(muscarinic)</v>
      </c>
      <c r="G1027" s="2">
        <v>14</v>
      </c>
      <c r="H1027" s="45" t="s">
        <v>52</v>
      </c>
      <c r="I1027" s="2" t="s">
        <v>1223</v>
      </c>
      <c r="J1027" s="5" t="str">
        <f>VLOOKUP(B1027,Seqs!A:B,2,FALSE)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027" s="4" t="str">
        <f t="shared" si="96"/>
        <v>N</v>
      </c>
      <c r="L1027" s="45">
        <f>VLOOKUP(B1027,'NonXtal_SegEnds_Prot#'!A:AL,36,FALSE)</f>
        <v>444</v>
      </c>
      <c r="M1027" s="45">
        <f>VLOOKUP(B1027,'NonXtal_SegEnds_Prot#'!A:AL,37,FALSE)</f>
        <v>447</v>
      </c>
      <c r="N1027" s="45">
        <f>VLOOKUP(B1027,'NonXtal_SegEnds_Prot#'!A:AL,38,FALSE)</f>
        <v>456</v>
      </c>
      <c r="O1027" s="4" t="str">
        <f t="shared" si="97"/>
        <v>M</v>
      </c>
      <c r="P1027" s="4"/>
      <c r="Q1027" s="47" t="str">
        <f t="shared" si="99"/>
        <v>NAT</v>
      </c>
      <c r="R1027" s="27" t="str">
        <f t="shared" si="100"/>
        <v>F</v>
      </c>
      <c r="S1027" s="19" t="str">
        <f t="shared" si="101"/>
        <v>KKTFKHLLM</v>
      </c>
      <c r="Z1027" s="4" t="s">
        <v>64</v>
      </c>
      <c r="AD1027" s="1" t="s">
        <v>53</v>
      </c>
      <c r="AE1027" s="1">
        <v>445</v>
      </c>
      <c r="AF1027" s="1">
        <v>447</v>
      </c>
      <c r="AG1027" s="1">
        <v>456</v>
      </c>
      <c r="AH1027" s="1" t="s">
        <v>85</v>
      </c>
      <c r="AK1027" s="4">
        <v>48</v>
      </c>
      <c r="AL1027" s="4">
        <v>59</v>
      </c>
    </row>
    <row r="1028" spans="1:38" x14ac:dyDescent="0.25">
      <c r="A1028" s="1" t="str">
        <f t="shared" si="98"/>
        <v>ACM3_rat__wt_H8</v>
      </c>
      <c r="B1028" s="45" t="s">
        <v>236</v>
      </c>
      <c r="C1028" s="45" t="s">
        <v>294</v>
      </c>
      <c r="D1028" s="4" t="str">
        <f>VLOOKUP(B1028,Classification!A:D,2,FALSE)</f>
        <v>A</v>
      </c>
      <c r="E1028" s="4" t="str">
        <f>VLOOKUP(B1028,Classification!A:D,3,FALSE)</f>
        <v>Aminergic</v>
      </c>
      <c r="F1028" s="4" t="str">
        <f>VLOOKUP(B1028,Classification!A:D,4,FALSE)</f>
        <v>Acetylcholine(muscarinic)</v>
      </c>
      <c r="G1028" s="2">
        <v>14</v>
      </c>
      <c r="H1028" s="45" t="s">
        <v>52</v>
      </c>
      <c r="I1028" s="2" t="s">
        <v>1223</v>
      </c>
      <c r="J1028" s="5" t="str">
        <f>VLOOKUP(B1028,Seqs!A:B,2,FALSE)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028" s="4" t="str">
        <f t="shared" si="96"/>
        <v>N</v>
      </c>
      <c r="L1028" s="45">
        <f>VLOOKUP(B1028,'NonXtal_SegEnds_Prot#'!A:AL,36,FALSE)</f>
        <v>547</v>
      </c>
      <c r="M1028" s="45">
        <f>VLOOKUP(B1028,'NonXtal_SegEnds_Prot#'!A:AL,37,FALSE)</f>
        <v>550</v>
      </c>
      <c r="N1028" s="45">
        <f>VLOOKUP(B1028,'NonXtal_SegEnds_Prot#'!A:AL,38,FALSE)</f>
        <v>558</v>
      </c>
      <c r="O1028" s="4" t="str">
        <f t="shared" si="97"/>
        <v>L</v>
      </c>
      <c r="P1028" s="4"/>
      <c r="Q1028" s="47" t="str">
        <f t="shared" si="99"/>
        <v>NKT</v>
      </c>
      <c r="R1028" s="27" t="str">
        <f t="shared" si="100"/>
        <v>F</v>
      </c>
      <c r="S1028" s="19" t="str">
        <f t="shared" si="101"/>
        <v>RTTFKTLL</v>
      </c>
      <c r="Z1028" s="4"/>
      <c r="AD1028" s="1" t="s">
        <v>53</v>
      </c>
      <c r="AE1028" s="1">
        <v>548</v>
      </c>
      <c r="AF1028" s="1">
        <v>550</v>
      </c>
      <c r="AG1028" s="1">
        <v>559</v>
      </c>
      <c r="AH1028" s="1" t="s">
        <v>85</v>
      </c>
      <c r="AK1028" s="4">
        <v>48</v>
      </c>
      <c r="AL1028" s="4">
        <v>59</v>
      </c>
    </row>
    <row r="1029" spans="1:38" x14ac:dyDescent="0.25">
      <c r="A1029" s="1" t="str">
        <f t="shared" si="98"/>
        <v>ACM3_rat_4U15_H8</v>
      </c>
      <c r="B1029" s="45" t="s">
        <v>236</v>
      </c>
      <c r="C1029" s="45" t="s">
        <v>262</v>
      </c>
      <c r="D1029" s="4" t="str">
        <f>VLOOKUP(B1029,Classification!A:D,2,FALSE)</f>
        <v>A</v>
      </c>
      <c r="E1029" s="4" t="str">
        <f>VLOOKUP(B1029,Classification!A:D,3,FALSE)</f>
        <v>Aminergic</v>
      </c>
      <c r="F1029" s="4" t="str">
        <f>VLOOKUP(B1029,Classification!A:D,4,FALSE)</f>
        <v>Acetylcholine(muscarinic)</v>
      </c>
      <c r="G1029" s="2">
        <v>14</v>
      </c>
      <c r="H1029" s="45" t="s">
        <v>52</v>
      </c>
      <c r="I1029" s="2" t="s">
        <v>1223</v>
      </c>
      <c r="J1029" s="5" t="str">
        <f>VLOOKUP(B1029,Seqs!A:B,2,FALSE)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029" s="4" t="str">
        <f t="shared" si="96"/>
        <v>N</v>
      </c>
      <c r="L1029" s="45">
        <f>VLOOKUP(B1029,'NonXtal_SegEnds_Prot#'!A:AL,36,FALSE)</f>
        <v>547</v>
      </c>
      <c r="M1029" s="45">
        <f>VLOOKUP(B1029,'NonXtal_SegEnds_Prot#'!A:AL,37,FALSE)</f>
        <v>550</v>
      </c>
      <c r="N1029" s="45">
        <f>VLOOKUP(B1029,'NonXtal_SegEnds_Prot#'!A:AL,38,FALSE)</f>
        <v>558</v>
      </c>
      <c r="O1029" s="4" t="str">
        <f t="shared" si="97"/>
        <v>L</v>
      </c>
      <c r="P1029" s="4"/>
      <c r="Q1029" s="47" t="str">
        <f t="shared" si="99"/>
        <v>NKT</v>
      </c>
      <c r="R1029" s="27" t="str">
        <f t="shared" si="100"/>
        <v>F</v>
      </c>
      <c r="S1029" s="19" t="str">
        <f t="shared" si="101"/>
        <v>RTTFKTLL</v>
      </c>
      <c r="Z1029" s="4"/>
      <c r="AD1029" s="1" t="s">
        <v>53</v>
      </c>
      <c r="AE1029" s="1">
        <v>548</v>
      </c>
      <c r="AF1029" s="1">
        <v>550</v>
      </c>
      <c r="AG1029" s="1">
        <v>558</v>
      </c>
      <c r="AH1029" s="1" t="s">
        <v>54</v>
      </c>
      <c r="AK1029" s="4">
        <v>48</v>
      </c>
      <c r="AL1029" s="4">
        <v>58</v>
      </c>
    </row>
    <row r="1030" spans="1:38" x14ac:dyDescent="0.25">
      <c r="A1030" s="1" t="str">
        <f t="shared" si="98"/>
        <v>ACM4_human__wt_H8</v>
      </c>
      <c r="B1030" s="45" t="s">
        <v>220</v>
      </c>
      <c r="C1030" s="45" t="s">
        <v>294</v>
      </c>
      <c r="D1030" s="4" t="str">
        <f>VLOOKUP(B1030,Classification!A:D,2,FALSE)</f>
        <v>A</v>
      </c>
      <c r="E1030" s="4" t="str">
        <f>VLOOKUP(B1030,Classification!A:D,3,FALSE)</f>
        <v>Aminergic</v>
      </c>
      <c r="F1030" s="4" t="str">
        <f>VLOOKUP(B1030,Classification!A:D,4,FALSE)</f>
        <v>Acetylcholine(muscarinic)</v>
      </c>
      <c r="G1030" s="2">
        <v>14</v>
      </c>
      <c r="H1030" s="45" t="s">
        <v>52</v>
      </c>
      <c r="I1030" s="2" t="s">
        <v>1223</v>
      </c>
      <c r="J1030" s="5" t="str">
        <f>VLOOKUP(B1030,Seqs!A:B,2,FALSE)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030" s="4" t="str">
        <f t="shared" si="96"/>
        <v>N</v>
      </c>
      <c r="L1030" s="45">
        <f>VLOOKUP(B1030,'NonXtal_SegEnds_Prot#'!A:AL,36,FALSE)</f>
        <v>457</v>
      </c>
      <c r="M1030" s="45">
        <f>VLOOKUP(B1030,'NonXtal_SegEnds_Prot#'!A:AL,37,FALSE)</f>
        <v>460</v>
      </c>
      <c r="N1030" s="45">
        <f>VLOOKUP(B1030,'NonXtal_SegEnds_Prot#'!A:AL,38,FALSE)</f>
        <v>469</v>
      </c>
      <c r="O1030" s="4" t="str">
        <f t="shared" si="97"/>
        <v>L</v>
      </c>
      <c r="P1030" s="4"/>
      <c r="Q1030" s="47" t="str">
        <f t="shared" si="99"/>
        <v>NAT</v>
      </c>
      <c r="R1030" s="27" t="str">
        <f t="shared" si="100"/>
        <v>F</v>
      </c>
      <c r="S1030" s="19" t="str">
        <f t="shared" si="101"/>
        <v>KKTFRHLLL</v>
      </c>
      <c r="Z1030" s="4" t="s">
        <v>78</v>
      </c>
      <c r="AD1030" s="1" t="s">
        <v>53</v>
      </c>
      <c r="AE1030" s="1">
        <v>458</v>
      </c>
      <c r="AF1030" s="1">
        <v>460</v>
      </c>
      <c r="AG1030" s="1">
        <v>469</v>
      </c>
      <c r="AH1030" s="1" t="s">
        <v>85</v>
      </c>
      <c r="AK1030" s="4">
        <v>48</v>
      </c>
      <c r="AL1030" s="4">
        <v>59</v>
      </c>
    </row>
    <row r="1031" spans="1:38" x14ac:dyDescent="0.25">
      <c r="A1031" s="1" t="str">
        <f t="shared" si="98"/>
        <v>ACM4_human_5DSG_H8</v>
      </c>
      <c r="B1031" s="45" t="s">
        <v>220</v>
      </c>
      <c r="C1031" s="45" t="s">
        <v>252</v>
      </c>
      <c r="D1031" s="4" t="str">
        <f>VLOOKUP(B1031,Classification!A:D,2,FALSE)</f>
        <v>A</v>
      </c>
      <c r="E1031" s="4" t="str">
        <f>VLOOKUP(B1031,Classification!A:D,3,FALSE)</f>
        <v>Aminergic</v>
      </c>
      <c r="F1031" s="4" t="str">
        <f>VLOOKUP(B1031,Classification!A:D,4,FALSE)</f>
        <v>Acetylcholine(muscarinic)</v>
      </c>
      <c r="G1031" s="2">
        <v>14</v>
      </c>
      <c r="H1031" s="45" t="s">
        <v>52</v>
      </c>
      <c r="I1031" s="2" t="s">
        <v>1223</v>
      </c>
      <c r="J1031" s="5" t="str">
        <f>VLOOKUP(B1031,Seqs!A:B,2,FALSE)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031" s="4" t="str">
        <f t="shared" si="96"/>
        <v>N</v>
      </c>
      <c r="L1031" s="45">
        <f>VLOOKUP(B1031,'NonXtal_SegEnds_Prot#'!A:AL,36,FALSE)</f>
        <v>457</v>
      </c>
      <c r="M1031" s="45">
        <f>VLOOKUP(B1031,'NonXtal_SegEnds_Prot#'!A:AL,37,FALSE)</f>
        <v>460</v>
      </c>
      <c r="N1031" s="45">
        <f>VLOOKUP(B1031,'NonXtal_SegEnds_Prot#'!A:AL,38,FALSE)</f>
        <v>469</v>
      </c>
      <c r="O1031" s="4" t="str">
        <f t="shared" si="97"/>
        <v>L</v>
      </c>
      <c r="P1031" s="4"/>
      <c r="Q1031" s="47" t="str">
        <f t="shared" si="99"/>
        <v>NAT</v>
      </c>
      <c r="R1031" s="27" t="str">
        <f t="shared" si="100"/>
        <v>F</v>
      </c>
      <c r="S1031" s="19" t="str">
        <f t="shared" si="101"/>
        <v>KKTFRHLLL</v>
      </c>
      <c r="Z1031" s="4" t="s">
        <v>78</v>
      </c>
      <c r="AD1031" s="1" t="s">
        <v>53</v>
      </c>
      <c r="AE1031" s="1">
        <v>458</v>
      </c>
      <c r="AF1031" s="1">
        <v>460</v>
      </c>
      <c r="AG1031" s="1">
        <v>469</v>
      </c>
      <c r="AH1031" s="1" t="s">
        <v>85</v>
      </c>
      <c r="AK1031" s="4">
        <v>48</v>
      </c>
      <c r="AL1031" s="4">
        <v>59</v>
      </c>
    </row>
    <row r="1032" spans="1:38" x14ac:dyDescent="0.25">
      <c r="A1032" s="1" t="str">
        <f t="shared" si="98"/>
        <v>ADRB1_melga__wt_H8</v>
      </c>
      <c r="B1032" s="45" t="s">
        <v>235</v>
      </c>
      <c r="C1032" s="45" t="s">
        <v>294</v>
      </c>
      <c r="D1032" s="4" t="str">
        <f>VLOOKUP(B1032,Classification!A:D,2,FALSE)</f>
        <v>A</v>
      </c>
      <c r="E1032" s="4" t="str">
        <f>VLOOKUP(B1032,Classification!A:D,3,FALSE)</f>
        <v>Aminergic</v>
      </c>
      <c r="F1032" s="4" t="str">
        <f>VLOOKUP(B1032,Classification!A:D,4,FALSE)</f>
        <v>Adrenoceptors</v>
      </c>
      <c r="G1032" s="2">
        <v>14</v>
      </c>
      <c r="H1032" s="45" t="s">
        <v>52</v>
      </c>
      <c r="I1032" s="2" t="s">
        <v>1223</v>
      </c>
      <c r="J1032" s="5" t="str">
        <f>VLOOKUP(B1032,Seqs!A:B,2,FALSE)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2" s="4" t="str">
        <f t="shared" si="96"/>
        <v>S</v>
      </c>
      <c r="L1032" s="45">
        <f>VLOOKUP(B1032,'NonXtal_SegEnds_Prot#'!A:AL,36,FALSE)</f>
        <v>346</v>
      </c>
      <c r="M1032" s="45">
        <f>VLOOKUP(B1032,'NonXtal_SegEnds_Prot#'!A:AL,37,FALSE)</f>
        <v>349</v>
      </c>
      <c r="N1032" s="45">
        <f>VLOOKUP(B1032,'NonXtal_SegEnds_Prot#'!A:AL,38,FALSE)</f>
        <v>358</v>
      </c>
      <c r="O1032" s="4" t="str">
        <f t="shared" si="97"/>
        <v>C</v>
      </c>
      <c r="P1032" s="4"/>
      <c r="Q1032" s="47" t="str">
        <f t="shared" si="99"/>
        <v>SPD</v>
      </c>
      <c r="R1032" s="27" t="str">
        <f t="shared" si="100"/>
        <v>F</v>
      </c>
      <c r="S1032" s="19" t="str">
        <f t="shared" si="101"/>
        <v>RKAFKRLLC</v>
      </c>
      <c r="Z1032" s="4"/>
      <c r="AD1032" s="1" t="s">
        <v>53</v>
      </c>
      <c r="AE1032" s="1">
        <v>347</v>
      </c>
      <c r="AF1032" s="1">
        <v>349</v>
      </c>
      <c r="AG1032" s="1">
        <v>358</v>
      </c>
      <c r="AH1032" s="1" t="s">
        <v>85</v>
      </c>
      <c r="AK1032" s="4">
        <v>48</v>
      </c>
      <c r="AL1032" s="4">
        <v>59</v>
      </c>
    </row>
    <row r="1033" spans="1:38" x14ac:dyDescent="0.25">
      <c r="A1033" s="1" t="str">
        <f t="shared" si="98"/>
        <v>ADRB1_melga_2Y02_H8</v>
      </c>
      <c r="B1033" s="45" t="s">
        <v>235</v>
      </c>
      <c r="C1033" s="45" t="s">
        <v>1230</v>
      </c>
      <c r="D1033" s="4" t="str">
        <f>VLOOKUP(B1033,Classification!A:D,2,FALSE)</f>
        <v>A</v>
      </c>
      <c r="E1033" s="4" t="str">
        <f>VLOOKUP(B1033,Classification!A:D,3,FALSE)</f>
        <v>Aminergic</v>
      </c>
      <c r="F1033" s="4" t="str">
        <f>VLOOKUP(B1033,Classification!A:D,4,FALSE)</f>
        <v>Adrenoceptors</v>
      </c>
      <c r="G1033" s="2">
        <v>14</v>
      </c>
      <c r="H1033" s="45" t="s">
        <v>52</v>
      </c>
      <c r="I1033" s="2" t="s">
        <v>1223</v>
      </c>
      <c r="J1033" s="5" t="str">
        <f>VLOOKUP(B1033,Seqs!A:B,2,FALSE)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3" s="4" t="str">
        <f t="shared" si="96"/>
        <v>S</v>
      </c>
      <c r="L1033" s="45">
        <f>VLOOKUP(B1033,'NonXtal_SegEnds_Prot#'!A:AL,36,FALSE)</f>
        <v>346</v>
      </c>
      <c r="M1033" s="45">
        <f>VLOOKUP(B1033,'NonXtal_SegEnds_Prot#'!A:AL,37,FALSE)</f>
        <v>349</v>
      </c>
      <c r="N1033" s="45">
        <f>VLOOKUP(B1033,'NonXtal_SegEnds_Prot#'!A:AL,38,FALSE)</f>
        <v>358</v>
      </c>
      <c r="O1033" s="4" t="str">
        <f t="shared" si="97"/>
        <v>C</v>
      </c>
      <c r="P1033" s="4"/>
      <c r="Q1033" s="47" t="str">
        <f t="shared" si="99"/>
        <v>SPD</v>
      </c>
      <c r="R1033" s="27" t="str">
        <f t="shared" si="100"/>
        <v>F</v>
      </c>
      <c r="S1033" s="19" t="str">
        <f t="shared" si="101"/>
        <v>RKAFKRLLC</v>
      </c>
      <c r="Z1033" s="4"/>
      <c r="AD1033" s="1" t="s">
        <v>53</v>
      </c>
      <c r="AE1033" s="1">
        <v>347</v>
      </c>
      <c r="AF1033" s="1">
        <v>349</v>
      </c>
      <c r="AG1033" s="1">
        <v>358</v>
      </c>
      <c r="AH1033" s="1" t="s">
        <v>85</v>
      </c>
      <c r="AK1033" s="4">
        <v>48</v>
      </c>
      <c r="AL1033" s="4">
        <v>59</v>
      </c>
    </row>
    <row r="1034" spans="1:38" x14ac:dyDescent="0.25">
      <c r="A1034" s="1" t="str">
        <f t="shared" si="98"/>
        <v>ADRB1_melga_2YCW_H8</v>
      </c>
      <c r="B1034" s="45" t="s">
        <v>235</v>
      </c>
      <c r="C1034" s="45" t="s">
        <v>1233</v>
      </c>
      <c r="D1034" s="4" t="str">
        <f>VLOOKUP(B1034,Classification!A:D,2,FALSE)</f>
        <v>A</v>
      </c>
      <c r="E1034" s="4" t="str">
        <f>VLOOKUP(B1034,Classification!A:D,3,FALSE)</f>
        <v>Aminergic</v>
      </c>
      <c r="F1034" s="4" t="str">
        <f>VLOOKUP(B1034,Classification!A:D,4,FALSE)</f>
        <v>Adrenoceptors</v>
      </c>
      <c r="G1034" s="2">
        <v>14</v>
      </c>
      <c r="H1034" s="45" t="s">
        <v>52</v>
      </c>
      <c r="I1034" s="2" t="s">
        <v>1223</v>
      </c>
      <c r="J1034" s="5" t="str">
        <f>VLOOKUP(B1034,Seqs!A:B,2,FALSE)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4" s="4" t="str">
        <f t="shared" si="96"/>
        <v>S</v>
      </c>
      <c r="L1034" s="45">
        <f>VLOOKUP(B1034,'NonXtal_SegEnds_Prot#'!A:AL,36,FALSE)</f>
        <v>346</v>
      </c>
      <c r="M1034" s="45">
        <f>VLOOKUP(B1034,'NonXtal_SegEnds_Prot#'!A:AL,37,FALSE)</f>
        <v>349</v>
      </c>
      <c r="N1034" s="45">
        <f>VLOOKUP(B1034,'NonXtal_SegEnds_Prot#'!A:AL,38,FALSE)</f>
        <v>358</v>
      </c>
      <c r="O1034" s="4" t="str">
        <f t="shared" si="97"/>
        <v>C</v>
      </c>
      <c r="P1034" s="4"/>
      <c r="Q1034" s="47" t="str">
        <f t="shared" si="99"/>
        <v>SPD</v>
      </c>
      <c r="R1034" s="27" t="str">
        <f t="shared" si="100"/>
        <v>F</v>
      </c>
      <c r="S1034" s="19" t="str">
        <f t="shared" si="101"/>
        <v>RKAFKRLLC</v>
      </c>
      <c r="Z1034" s="4"/>
      <c r="AD1034" s="1" t="s">
        <v>53</v>
      </c>
      <c r="AE1034" s="1">
        <v>347</v>
      </c>
      <c r="AF1034" s="1">
        <v>349</v>
      </c>
      <c r="AG1034" s="1">
        <v>358</v>
      </c>
      <c r="AH1034" s="1" t="s">
        <v>85</v>
      </c>
      <c r="AK1034" s="4">
        <v>48</v>
      </c>
      <c r="AL1034" s="4">
        <v>59</v>
      </c>
    </row>
    <row r="1035" spans="1:38" x14ac:dyDescent="0.25">
      <c r="A1035" s="1" t="str">
        <f t="shared" si="98"/>
        <v>ADRB1_melga_4BVN_H8</v>
      </c>
      <c r="B1035" s="45" t="s">
        <v>235</v>
      </c>
      <c r="C1035" s="45" t="s">
        <v>273</v>
      </c>
      <c r="D1035" s="4" t="str">
        <f>VLOOKUP(B1035,Classification!A:D,2,FALSE)</f>
        <v>A</v>
      </c>
      <c r="E1035" s="4" t="str">
        <f>VLOOKUP(B1035,Classification!A:D,3,FALSE)</f>
        <v>Aminergic</v>
      </c>
      <c r="F1035" s="4" t="str">
        <f>VLOOKUP(B1035,Classification!A:D,4,FALSE)</f>
        <v>Adrenoceptors</v>
      </c>
      <c r="G1035" s="2">
        <v>14</v>
      </c>
      <c r="H1035" s="45" t="s">
        <v>52</v>
      </c>
      <c r="I1035" s="2" t="s">
        <v>1223</v>
      </c>
      <c r="J1035" s="5" t="str">
        <f>VLOOKUP(B1035,Seqs!A:B,2,FALSE)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5" s="4" t="str">
        <f t="shared" si="96"/>
        <v>S</v>
      </c>
      <c r="L1035" s="45">
        <f>VLOOKUP(B1035,'NonXtal_SegEnds_Prot#'!A:AL,36,FALSE)</f>
        <v>346</v>
      </c>
      <c r="M1035" s="45">
        <f>VLOOKUP(B1035,'NonXtal_SegEnds_Prot#'!A:AL,37,FALSE)</f>
        <v>349</v>
      </c>
      <c r="N1035" s="45">
        <f>VLOOKUP(B1035,'NonXtal_SegEnds_Prot#'!A:AL,38,FALSE)</f>
        <v>358</v>
      </c>
      <c r="O1035" s="4" t="str">
        <f t="shared" si="97"/>
        <v>C</v>
      </c>
      <c r="P1035" s="4"/>
      <c r="Q1035" s="47" t="str">
        <f t="shared" si="99"/>
        <v>SPD</v>
      </c>
      <c r="R1035" s="27" t="str">
        <f t="shared" si="100"/>
        <v>F</v>
      </c>
      <c r="S1035" s="19" t="str">
        <f t="shared" si="101"/>
        <v>RKAFKRLLC</v>
      </c>
      <c r="Z1035" s="4"/>
      <c r="AD1035" s="1" t="s">
        <v>53</v>
      </c>
      <c r="AE1035" s="1">
        <v>347</v>
      </c>
      <c r="AF1035" s="1">
        <v>349</v>
      </c>
      <c r="AG1035" s="1">
        <v>358</v>
      </c>
      <c r="AH1035" s="1" t="s">
        <v>85</v>
      </c>
      <c r="AK1035" s="4">
        <v>48</v>
      </c>
      <c r="AL1035" s="4">
        <v>59</v>
      </c>
    </row>
    <row r="1036" spans="1:38" x14ac:dyDescent="0.25">
      <c r="A1036" s="1" t="str">
        <f t="shared" si="98"/>
        <v>ADRB2_human__wt_H8</v>
      </c>
      <c r="B1036" s="45" t="s">
        <v>211</v>
      </c>
      <c r="C1036" s="54" t="s">
        <v>294</v>
      </c>
      <c r="D1036" s="4" t="str">
        <f>VLOOKUP(B1036,Classification!A:D,2,FALSE)</f>
        <v>A</v>
      </c>
      <c r="E1036" s="4" t="str">
        <f>VLOOKUP(B1036,Classification!A:D,3,FALSE)</f>
        <v>Aminergic</v>
      </c>
      <c r="F1036" s="4" t="str">
        <f>VLOOKUP(B1036,Classification!A:D,4,FALSE)</f>
        <v>Adrenoceptors</v>
      </c>
      <c r="G1036" s="2">
        <v>14</v>
      </c>
      <c r="H1036" s="45" t="s">
        <v>52</v>
      </c>
      <c r="I1036" s="2" t="s">
        <v>1223</v>
      </c>
      <c r="J1036" s="5" t="str">
        <f>VLOOKUP(B1036,Seqs!A:B,2,FALSE)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6" s="4" t="str">
        <f t="shared" si="96"/>
        <v>S</v>
      </c>
      <c r="L1036" s="45">
        <f>VLOOKUP(B1036,'NonXtal_SegEnds_Prot#'!A:AL,36,FALSE)</f>
        <v>329</v>
      </c>
      <c r="M1036" s="45">
        <f>VLOOKUP(B1036,'NonXtal_SegEnds_Prot#'!A:AL,37,FALSE)</f>
        <v>332</v>
      </c>
      <c r="N1036" s="45">
        <f>VLOOKUP(B1036,'NonXtal_SegEnds_Prot#'!A:AL,38,FALSE)</f>
        <v>341</v>
      </c>
      <c r="O1036" s="4" t="str">
        <f t="shared" si="97"/>
        <v>C</v>
      </c>
      <c r="P1036" s="4"/>
      <c r="Q1036" s="47" t="str">
        <f t="shared" si="99"/>
        <v>SPD</v>
      </c>
      <c r="R1036" s="27" t="str">
        <f t="shared" si="100"/>
        <v>F</v>
      </c>
      <c r="S1036" s="19" t="str">
        <f t="shared" si="101"/>
        <v>RIAFQELLC</v>
      </c>
      <c r="Z1036" s="4" t="s">
        <v>64</v>
      </c>
      <c r="AD1036" s="1" t="s">
        <v>53</v>
      </c>
      <c r="AE1036" s="1">
        <v>330</v>
      </c>
      <c r="AF1036" s="1">
        <v>332</v>
      </c>
      <c r="AG1036" s="1">
        <v>341</v>
      </c>
      <c r="AH1036" s="1" t="s">
        <v>85</v>
      </c>
      <c r="AK1036" s="4">
        <v>48</v>
      </c>
      <c r="AL1036" s="4">
        <v>59</v>
      </c>
    </row>
    <row r="1037" spans="1:38" x14ac:dyDescent="0.25">
      <c r="A1037" s="1" t="str">
        <f t="shared" si="98"/>
        <v>ADRB2_human_3D4S_H8</v>
      </c>
      <c r="B1037" s="45" t="s">
        <v>211</v>
      </c>
      <c r="C1037" s="45" t="s">
        <v>267</v>
      </c>
      <c r="D1037" s="4" t="str">
        <f>VLOOKUP(B1037,Classification!A:D,2,FALSE)</f>
        <v>A</v>
      </c>
      <c r="E1037" s="4" t="str">
        <f>VLOOKUP(B1037,Classification!A:D,3,FALSE)</f>
        <v>Aminergic</v>
      </c>
      <c r="F1037" s="4" t="str">
        <f>VLOOKUP(B1037,Classification!A:D,4,FALSE)</f>
        <v>Adrenoceptors</v>
      </c>
      <c r="G1037" s="2">
        <v>14</v>
      </c>
      <c r="H1037" s="45" t="s">
        <v>52</v>
      </c>
      <c r="I1037" s="2" t="s">
        <v>1223</v>
      </c>
      <c r="J1037" s="5" t="str">
        <f>VLOOKUP(B1037,Seqs!A:B,2,FALSE)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7" s="4" t="str">
        <f t="shared" si="96"/>
        <v>S</v>
      </c>
      <c r="L1037" s="45">
        <f>VLOOKUP(B1037,'NonXtal_SegEnds_Prot#'!A:AL,36,FALSE)</f>
        <v>329</v>
      </c>
      <c r="M1037" s="45">
        <f>VLOOKUP(B1037,'NonXtal_SegEnds_Prot#'!A:AL,37,FALSE)</f>
        <v>332</v>
      </c>
      <c r="N1037" s="45">
        <f>VLOOKUP(B1037,'NonXtal_SegEnds_Prot#'!A:AL,38,FALSE)</f>
        <v>341</v>
      </c>
      <c r="O1037" s="4" t="str">
        <f t="shared" si="97"/>
        <v>C</v>
      </c>
      <c r="P1037" s="4"/>
      <c r="Q1037" s="47" t="str">
        <f t="shared" si="99"/>
        <v>SPD</v>
      </c>
      <c r="R1037" s="27" t="str">
        <f t="shared" si="100"/>
        <v>F</v>
      </c>
      <c r="S1037" s="19" t="str">
        <f t="shared" si="101"/>
        <v>RIAFQELLC</v>
      </c>
      <c r="Z1037" s="4"/>
      <c r="AD1037" s="1" t="s">
        <v>53</v>
      </c>
      <c r="AE1037" s="1">
        <v>330</v>
      </c>
      <c r="AF1037" s="1">
        <v>332</v>
      </c>
      <c r="AG1037" s="1">
        <v>341</v>
      </c>
      <c r="AH1037" s="1" t="s">
        <v>85</v>
      </c>
      <c r="AK1037" s="4">
        <v>48</v>
      </c>
      <c r="AL1037" s="4">
        <v>59</v>
      </c>
    </row>
    <row r="1038" spans="1:38" x14ac:dyDescent="0.25">
      <c r="A1038" s="1" t="str">
        <f t="shared" si="98"/>
        <v>ADRB2_human_3P0G_H8</v>
      </c>
      <c r="B1038" s="45" t="s">
        <v>211</v>
      </c>
      <c r="C1038" s="45" t="s">
        <v>257</v>
      </c>
      <c r="D1038" s="4" t="str">
        <f>VLOOKUP(B1038,Classification!A:D,2,FALSE)</f>
        <v>A</v>
      </c>
      <c r="E1038" s="4" t="str">
        <f>VLOOKUP(B1038,Classification!A:D,3,FALSE)</f>
        <v>Aminergic</v>
      </c>
      <c r="F1038" s="4" t="str">
        <f>VLOOKUP(B1038,Classification!A:D,4,FALSE)</f>
        <v>Adrenoceptors</v>
      </c>
      <c r="G1038" s="2">
        <v>14</v>
      </c>
      <c r="H1038" s="45" t="s">
        <v>52</v>
      </c>
      <c r="I1038" s="2" t="s">
        <v>1223</v>
      </c>
      <c r="J1038" s="5" t="str">
        <f>VLOOKUP(B1038,Seqs!A:B,2,FALSE)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8" s="4" t="str">
        <f t="shared" si="96"/>
        <v>S</v>
      </c>
      <c r="L1038" s="45">
        <f>VLOOKUP(B1038,'NonXtal_SegEnds_Prot#'!A:AL,36,FALSE)</f>
        <v>329</v>
      </c>
      <c r="M1038" s="45">
        <f>VLOOKUP(B1038,'NonXtal_SegEnds_Prot#'!A:AL,37,FALSE)</f>
        <v>332</v>
      </c>
      <c r="N1038" s="45">
        <f>VLOOKUP(B1038,'NonXtal_SegEnds_Prot#'!A:AL,38,FALSE)</f>
        <v>341</v>
      </c>
      <c r="O1038" s="4" t="str">
        <f t="shared" si="97"/>
        <v>C</v>
      </c>
      <c r="P1038" s="4"/>
      <c r="Q1038" s="47" t="str">
        <f t="shared" si="99"/>
        <v>SPD</v>
      </c>
      <c r="R1038" s="27" t="str">
        <f t="shared" si="100"/>
        <v>F</v>
      </c>
      <c r="S1038" s="19" t="str">
        <f t="shared" si="101"/>
        <v>RIAFQELLC</v>
      </c>
      <c r="Z1038" s="4"/>
      <c r="AD1038" s="1" t="s">
        <v>53</v>
      </c>
      <c r="AE1038" s="1">
        <v>330</v>
      </c>
      <c r="AF1038" s="1">
        <v>332</v>
      </c>
      <c r="AG1038" s="1">
        <v>341</v>
      </c>
      <c r="AH1038" s="1" t="s">
        <v>85</v>
      </c>
      <c r="AK1038" s="4">
        <v>48</v>
      </c>
      <c r="AL1038" s="4">
        <v>59</v>
      </c>
    </row>
    <row r="1039" spans="1:38" x14ac:dyDescent="0.25">
      <c r="A1039" s="1" t="str">
        <f t="shared" si="98"/>
        <v>ADRB2_human_3SN6_H8</v>
      </c>
      <c r="B1039" s="45" t="s">
        <v>211</v>
      </c>
      <c r="C1039" s="45" t="s">
        <v>277</v>
      </c>
      <c r="D1039" s="4" t="str">
        <f>VLOOKUP(B1039,Classification!A:D,2,FALSE)</f>
        <v>A</v>
      </c>
      <c r="E1039" s="4" t="str">
        <f>VLOOKUP(B1039,Classification!A:D,3,FALSE)</f>
        <v>Aminergic</v>
      </c>
      <c r="F1039" s="4" t="str">
        <f>VLOOKUP(B1039,Classification!A:D,4,FALSE)</f>
        <v>Adrenoceptors</v>
      </c>
      <c r="G1039" s="2">
        <v>14</v>
      </c>
      <c r="H1039" s="45" t="s">
        <v>52</v>
      </c>
      <c r="I1039" s="2" t="s">
        <v>1223</v>
      </c>
      <c r="J1039" s="5" t="str">
        <f>VLOOKUP(B1039,Seqs!A:B,2,FALSE)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9" s="4" t="str">
        <f t="shared" si="96"/>
        <v>S</v>
      </c>
      <c r="L1039" s="45">
        <f>VLOOKUP(B1039,'NonXtal_SegEnds_Prot#'!A:AL,36,FALSE)</f>
        <v>329</v>
      </c>
      <c r="M1039" s="45">
        <f>VLOOKUP(B1039,'NonXtal_SegEnds_Prot#'!A:AL,37,FALSE)</f>
        <v>332</v>
      </c>
      <c r="N1039" s="45">
        <f>VLOOKUP(B1039,'NonXtal_SegEnds_Prot#'!A:AL,38,FALSE)</f>
        <v>341</v>
      </c>
      <c r="O1039" s="4" t="str">
        <f t="shared" si="97"/>
        <v>C</v>
      </c>
      <c r="P1039" s="4"/>
      <c r="Q1039" s="47" t="str">
        <f t="shared" si="99"/>
        <v>SPD</v>
      </c>
      <c r="R1039" s="27" t="str">
        <f t="shared" si="100"/>
        <v>F</v>
      </c>
      <c r="S1039" s="19" t="str">
        <f t="shared" si="101"/>
        <v>RIAFQELLC</v>
      </c>
      <c r="Z1039" s="4" t="s">
        <v>64</v>
      </c>
      <c r="AD1039" s="1" t="s">
        <v>53</v>
      </c>
      <c r="AE1039" s="1">
        <v>330</v>
      </c>
      <c r="AF1039" s="1">
        <v>332</v>
      </c>
      <c r="AG1039" s="1">
        <v>341</v>
      </c>
      <c r="AH1039" s="1" t="s">
        <v>85</v>
      </c>
      <c r="AK1039" s="4">
        <v>48</v>
      </c>
      <c r="AL1039" s="4">
        <v>59</v>
      </c>
    </row>
    <row r="1040" spans="1:38" x14ac:dyDescent="0.25">
      <c r="A1040" s="1" t="str">
        <f t="shared" si="98"/>
        <v>ADRB2_human_4LDE_H8</v>
      </c>
      <c r="B1040" s="45" t="s">
        <v>211</v>
      </c>
      <c r="C1040" s="45" t="s">
        <v>268</v>
      </c>
      <c r="D1040" s="4" t="str">
        <f>VLOOKUP(B1040,Classification!A:D,2,FALSE)</f>
        <v>A</v>
      </c>
      <c r="E1040" s="4" t="str">
        <f>VLOOKUP(B1040,Classification!A:D,3,FALSE)</f>
        <v>Aminergic</v>
      </c>
      <c r="F1040" s="4" t="str">
        <f>VLOOKUP(B1040,Classification!A:D,4,FALSE)</f>
        <v>Adrenoceptors</v>
      </c>
      <c r="G1040" s="2">
        <v>14</v>
      </c>
      <c r="H1040" s="45" t="s">
        <v>52</v>
      </c>
      <c r="I1040" s="2" t="s">
        <v>1223</v>
      </c>
      <c r="J1040" s="5" t="str">
        <f>VLOOKUP(B1040,Seqs!A:B,2,FALSE)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40" s="4" t="str">
        <f t="shared" ref="K1040:K1103" si="102">MID(J1040,L1040,1)</f>
        <v>S</v>
      </c>
      <c r="L1040" s="45">
        <f>VLOOKUP(B1040,'NonXtal_SegEnds_Prot#'!A:AL,36,FALSE)</f>
        <v>329</v>
      </c>
      <c r="M1040" s="45">
        <f>VLOOKUP(B1040,'NonXtal_SegEnds_Prot#'!A:AL,37,FALSE)</f>
        <v>332</v>
      </c>
      <c r="N1040" s="45">
        <f>VLOOKUP(B1040,'NonXtal_SegEnds_Prot#'!A:AL,38,FALSE)</f>
        <v>341</v>
      </c>
      <c r="O1040" s="4" t="str">
        <f t="shared" si="97"/>
        <v>C</v>
      </c>
      <c r="P1040" s="4"/>
      <c r="Q1040" s="47" t="str">
        <f t="shared" si="99"/>
        <v>SPD</v>
      </c>
      <c r="R1040" s="27" t="str">
        <f t="shared" si="100"/>
        <v>F</v>
      </c>
      <c r="S1040" s="19" t="str">
        <f t="shared" si="101"/>
        <v>RIAFQELLC</v>
      </c>
      <c r="Z1040" s="4"/>
      <c r="AD1040" s="1" t="s">
        <v>53</v>
      </c>
      <c r="AE1040" s="1">
        <v>330</v>
      </c>
      <c r="AF1040" s="1">
        <v>332</v>
      </c>
      <c r="AG1040" s="1">
        <v>341</v>
      </c>
      <c r="AH1040" s="1" t="s">
        <v>85</v>
      </c>
      <c r="AK1040" s="4">
        <v>48</v>
      </c>
      <c r="AL1040" s="4">
        <v>59</v>
      </c>
    </row>
    <row r="1041" spans="1:38" x14ac:dyDescent="0.25">
      <c r="A1041" s="1" t="str">
        <f t="shared" si="98"/>
        <v>ADRB2_human_4QKX_H8</v>
      </c>
      <c r="B1041" s="45" t="s">
        <v>211</v>
      </c>
      <c r="C1041" s="45" t="s">
        <v>269</v>
      </c>
      <c r="D1041" s="4" t="str">
        <f>VLOOKUP(B1041,Classification!A:D,2,FALSE)</f>
        <v>A</v>
      </c>
      <c r="E1041" s="4" t="str">
        <f>VLOOKUP(B1041,Classification!A:D,3,FALSE)</f>
        <v>Aminergic</v>
      </c>
      <c r="F1041" s="4" t="str">
        <f>VLOOKUP(B1041,Classification!A:D,4,FALSE)</f>
        <v>Adrenoceptors</v>
      </c>
      <c r="G1041" s="2">
        <v>14</v>
      </c>
      <c r="H1041" s="45" t="s">
        <v>52</v>
      </c>
      <c r="I1041" s="2" t="s">
        <v>1223</v>
      </c>
      <c r="J1041" s="5" t="str">
        <f>VLOOKUP(B1041,Seqs!A:B,2,FALSE)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41" s="4" t="str">
        <f t="shared" si="102"/>
        <v>S</v>
      </c>
      <c r="L1041" s="45">
        <f>VLOOKUP(B1041,'NonXtal_SegEnds_Prot#'!A:AL,36,FALSE)</f>
        <v>329</v>
      </c>
      <c r="M1041" s="45">
        <f>VLOOKUP(B1041,'NonXtal_SegEnds_Prot#'!A:AL,37,FALSE)</f>
        <v>332</v>
      </c>
      <c r="N1041" s="45">
        <f>VLOOKUP(B1041,'NonXtal_SegEnds_Prot#'!A:AL,38,FALSE)</f>
        <v>341</v>
      </c>
      <c r="O1041" s="4" t="str">
        <f t="shared" si="97"/>
        <v>C</v>
      </c>
      <c r="P1041" s="4"/>
      <c r="Q1041" s="47" t="str">
        <f t="shared" si="99"/>
        <v>SPD</v>
      </c>
      <c r="R1041" s="27" t="str">
        <f t="shared" si="100"/>
        <v>F</v>
      </c>
      <c r="S1041" s="19" t="str">
        <f t="shared" si="101"/>
        <v>RIAFQELLC</v>
      </c>
      <c r="Z1041" s="4"/>
      <c r="AD1041" s="1" t="s">
        <v>53</v>
      </c>
      <c r="AE1041" s="1">
        <v>330</v>
      </c>
      <c r="AF1041" s="1">
        <v>332</v>
      </c>
      <c r="AG1041" s="1">
        <v>341</v>
      </c>
      <c r="AH1041" s="1" t="s">
        <v>85</v>
      </c>
      <c r="AK1041" s="4">
        <v>48</v>
      </c>
      <c r="AL1041" s="4">
        <v>59</v>
      </c>
    </row>
    <row r="1042" spans="1:38" x14ac:dyDescent="0.25">
      <c r="A1042" s="1" t="str">
        <f t="shared" si="98"/>
        <v>AGTR1_human__wt_H8</v>
      </c>
      <c r="B1042" s="45" t="s">
        <v>212</v>
      </c>
      <c r="C1042" s="45" t="s">
        <v>294</v>
      </c>
      <c r="D1042" s="4" t="str">
        <f>VLOOKUP(B1042,Classification!A:D,2,FALSE)</f>
        <v>A</v>
      </c>
      <c r="E1042" s="4" t="str">
        <f>VLOOKUP(B1042,Classification!A:D,3,FALSE)</f>
        <v>Peptide</v>
      </c>
      <c r="F1042" s="4" t="str">
        <f>VLOOKUP(B1042,Classification!A:D,4,FALSE)</f>
        <v>Angiotensin</v>
      </c>
      <c r="G1042" s="2">
        <v>14</v>
      </c>
      <c r="H1042" s="45" t="s">
        <v>52</v>
      </c>
      <c r="I1042" s="2" t="s">
        <v>1223</v>
      </c>
      <c r="J1042" s="5" t="str">
        <f>VLOOKUP(B1042,Seqs!A:B,2,FALSE)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042" s="4" t="str">
        <f t="shared" si="102"/>
        <v>G</v>
      </c>
      <c r="L1042" s="45">
        <f>VLOOKUP(B1042,'NonXtal_SegEnds_Prot#'!A:AL,36,FALSE)</f>
        <v>306</v>
      </c>
      <c r="M1042" s="45">
        <f>VLOOKUP(B1042,'NonXtal_SegEnds_Prot#'!A:AL,37,FALSE)</f>
        <v>309</v>
      </c>
      <c r="N1042" s="45">
        <f>VLOOKUP(B1042,'NonXtal_SegEnds_Prot#'!A:AL,38,FALSE)</f>
        <v>320</v>
      </c>
      <c r="O1042" s="4" t="str">
        <f t="shared" si="97"/>
        <v>I</v>
      </c>
      <c r="P1042" s="4"/>
      <c r="Q1042" s="47" t="str">
        <f t="shared" si="99"/>
        <v>GKK</v>
      </c>
      <c r="R1042" s="28" t="str">
        <f t="shared" si="100"/>
        <v>F</v>
      </c>
      <c r="S1042" s="20" t="str">
        <f t="shared" si="101"/>
        <v>KRYFLQLLKYI</v>
      </c>
      <c r="Z1042" s="4"/>
      <c r="AD1042" s="1" t="s">
        <v>105</v>
      </c>
      <c r="AE1042" s="1">
        <v>306</v>
      </c>
      <c r="AF1042" s="1">
        <v>309</v>
      </c>
      <c r="AG1042" s="1">
        <v>320</v>
      </c>
      <c r="AH1042" s="1" t="s">
        <v>80</v>
      </c>
      <c r="AK1042" s="4">
        <v>47</v>
      </c>
      <c r="AL1042" s="4">
        <v>61</v>
      </c>
    </row>
    <row r="1043" spans="1:38" x14ac:dyDescent="0.25">
      <c r="A1043" s="1" t="str">
        <f t="shared" si="98"/>
        <v>AGTR1_human_4YAY_H8</v>
      </c>
      <c r="B1043" s="45" t="s">
        <v>212</v>
      </c>
      <c r="C1043" s="45" t="s">
        <v>260</v>
      </c>
      <c r="D1043" s="4" t="str">
        <f>VLOOKUP(B1043,Classification!A:D,2,FALSE)</f>
        <v>A</v>
      </c>
      <c r="E1043" s="4" t="str">
        <f>VLOOKUP(B1043,Classification!A:D,3,FALSE)</f>
        <v>Peptide</v>
      </c>
      <c r="F1043" s="4" t="str">
        <f>VLOOKUP(B1043,Classification!A:D,4,FALSE)</f>
        <v>Angiotensin</v>
      </c>
      <c r="G1043" s="2">
        <v>14</v>
      </c>
      <c r="H1043" s="45" t="s">
        <v>52</v>
      </c>
      <c r="I1043" s="2" t="s">
        <v>1223</v>
      </c>
      <c r="J1043" s="5" t="str">
        <f>VLOOKUP(B1043,Seqs!A:B,2,FALSE)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043" s="4" t="str">
        <f t="shared" si="102"/>
        <v>G</v>
      </c>
      <c r="L1043" s="45">
        <f>VLOOKUP(B1043,'NonXtal_SegEnds_Prot#'!A:AL,36,FALSE)</f>
        <v>306</v>
      </c>
      <c r="M1043" s="45">
        <f>VLOOKUP(B1043,'NonXtal_SegEnds_Prot#'!A:AL,37,FALSE)</f>
        <v>309</v>
      </c>
      <c r="N1043" s="45">
        <f>VLOOKUP(B1043,'NonXtal_SegEnds_Prot#'!A:AL,38,FALSE)</f>
        <v>320</v>
      </c>
      <c r="O1043" s="4" t="str">
        <f t="shared" si="97"/>
        <v>I</v>
      </c>
      <c r="P1043" s="4"/>
      <c r="Q1043" s="47" t="str">
        <f t="shared" si="99"/>
        <v>GKK</v>
      </c>
      <c r="R1043" s="28" t="str">
        <f t="shared" si="100"/>
        <v>F</v>
      </c>
      <c r="S1043" s="20" t="str">
        <f t="shared" si="101"/>
        <v>KRYFLQLLKYI</v>
      </c>
      <c r="Z1043" s="4"/>
      <c r="AD1043" s="1" t="s">
        <v>105</v>
      </c>
      <c r="AE1043" s="1">
        <v>306</v>
      </c>
      <c r="AF1043" s="1">
        <v>309</v>
      </c>
      <c r="AG1043" s="1">
        <v>317</v>
      </c>
      <c r="AH1043" s="1" t="s">
        <v>54</v>
      </c>
      <c r="AK1043" s="4">
        <v>47</v>
      </c>
      <c r="AL1043" s="4">
        <v>58</v>
      </c>
    </row>
    <row r="1044" spans="1:38" x14ac:dyDescent="0.25">
      <c r="A1044" s="1" t="str">
        <f t="shared" si="98"/>
        <v>CCR5_human__wt_H8</v>
      </c>
      <c r="B1044" s="45" t="s">
        <v>221</v>
      </c>
      <c r="C1044" s="45" t="s">
        <v>294</v>
      </c>
      <c r="D1044" s="4" t="str">
        <f>VLOOKUP(B1044,Classification!A:D,2,FALSE)</f>
        <v>A</v>
      </c>
      <c r="E1044" s="4" t="str">
        <f>VLOOKUP(B1044,Classification!A:D,3,FALSE)</f>
        <v>Protein</v>
      </c>
      <c r="F1044" s="4" t="str">
        <f>VLOOKUP(B1044,Classification!A:D,4,FALSE)</f>
        <v>Chemokine</v>
      </c>
      <c r="G1044" s="2">
        <v>14</v>
      </c>
      <c r="H1044" s="45" t="s">
        <v>52</v>
      </c>
      <c r="I1044" s="2" t="s">
        <v>1223</v>
      </c>
      <c r="J1044" s="5" t="str">
        <f>VLOOKUP(B1044,Seqs!A:B,2,FALSE)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44" s="4" t="str">
        <f t="shared" si="102"/>
        <v>G</v>
      </c>
      <c r="L1044" s="45">
        <f>VLOOKUP(B1044,'NonXtal_SegEnds_Prot#'!A:AL,36,FALSE)</f>
        <v>301</v>
      </c>
      <c r="M1044" s="45">
        <f>VLOOKUP(B1044,'NonXtal_SegEnds_Prot#'!A:AL,37,FALSE)</f>
        <v>304</v>
      </c>
      <c r="N1044" s="45">
        <f>VLOOKUP(B1044,'NonXtal_SegEnds_Prot#'!A:AL,38,FALSE)</f>
        <v>313</v>
      </c>
      <c r="O1044" s="4" t="str">
        <f t="shared" si="97"/>
        <v>Q</v>
      </c>
      <c r="P1044" s="4"/>
      <c r="Q1044" s="47" t="str">
        <f t="shared" si="99"/>
        <v>GEK</v>
      </c>
      <c r="R1044" s="27" t="str">
        <f t="shared" si="100"/>
        <v>F</v>
      </c>
      <c r="S1044" s="19" t="str">
        <f t="shared" si="101"/>
        <v>RNYLLVFFQ</v>
      </c>
      <c r="Z1044" s="4"/>
      <c r="AD1044" s="1" t="s">
        <v>53</v>
      </c>
      <c r="AE1044" s="1">
        <v>302</v>
      </c>
      <c r="AF1044" s="1">
        <v>304</v>
      </c>
      <c r="AG1044" s="1">
        <v>313</v>
      </c>
      <c r="AH1044" s="1" t="s">
        <v>85</v>
      </c>
      <c r="AK1044" s="4">
        <v>48</v>
      </c>
      <c r="AL1044" s="4">
        <v>59</v>
      </c>
    </row>
    <row r="1045" spans="1:38" x14ac:dyDescent="0.25">
      <c r="A1045" s="1" t="str">
        <f t="shared" si="98"/>
        <v>CCR5_human_4MBS_H8</v>
      </c>
      <c r="B1045" s="45" t="s">
        <v>221</v>
      </c>
      <c r="C1045" s="45" t="s">
        <v>265</v>
      </c>
      <c r="D1045" s="4" t="str">
        <f>VLOOKUP(B1045,Classification!A:D,2,FALSE)</f>
        <v>A</v>
      </c>
      <c r="E1045" s="4" t="str">
        <f>VLOOKUP(B1045,Classification!A:D,3,FALSE)</f>
        <v>Protein</v>
      </c>
      <c r="F1045" s="4" t="str">
        <f>VLOOKUP(B1045,Classification!A:D,4,FALSE)</f>
        <v>Chemokine</v>
      </c>
      <c r="G1045" s="2">
        <v>14</v>
      </c>
      <c r="H1045" s="45" t="s">
        <v>52</v>
      </c>
      <c r="I1045" s="2" t="s">
        <v>1223</v>
      </c>
      <c r="J1045" s="5" t="str">
        <f>VLOOKUP(B1045,Seqs!A:B,2,FALSE)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45" s="4" t="str">
        <f t="shared" si="102"/>
        <v>G</v>
      </c>
      <c r="L1045" s="45">
        <f>VLOOKUP(B1045,'NonXtal_SegEnds_Prot#'!A:AL,36,FALSE)</f>
        <v>301</v>
      </c>
      <c r="M1045" s="45">
        <f>VLOOKUP(B1045,'NonXtal_SegEnds_Prot#'!A:AL,37,FALSE)</f>
        <v>304</v>
      </c>
      <c r="N1045" s="45">
        <f>VLOOKUP(B1045,'NonXtal_SegEnds_Prot#'!A:AL,38,FALSE)</f>
        <v>313</v>
      </c>
      <c r="O1045" s="4" t="str">
        <f t="shared" si="97"/>
        <v>Q</v>
      </c>
      <c r="P1045" s="4"/>
      <c r="Q1045" s="47" t="str">
        <f t="shared" si="99"/>
        <v>GEK</v>
      </c>
      <c r="R1045" s="27" t="str">
        <f t="shared" si="100"/>
        <v>F</v>
      </c>
      <c r="S1045" s="19" t="str">
        <f t="shared" si="101"/>
        <v>RNYLLVFFQ</v>
      </c>
      <c r="Z1045" s="4"/>
      <c r="AD1045" s="1" t="s">
        <v>53</v>
      </c>
      <c r="AE1045" s="1">
        <v>302</v>
      </c>
      <c r="AF1045" s="1">
        <v>304</v>
      </c>
      <c r="AG1045" s="1">
        <v>313</v>
      </c>
      <c r="AH1045" s="1" t="s">
        <v>85</v>
      </c>
      <c r="AK1045" s="4">
        <v>48</v>
      </c>
      <c r="AL1045" s="4">
        <v>59</v>
      </c>
    </row>
    <row r="1046" spans="1:38" x14ac:dyDescent="0.25">
      <c r="A1046" s="1" t="str">
        <f t="shared" si="98"/>
        <v>crfr1_human__wt_H8</v>
      </c>
      <c r="B1046" s="45" t="s">
        <v>213</v>
      </c>
      <c r="C1046" s="45" t="s">
        <v>294</v>
      </c>
      <c r="D1046" s="4" t="str">
        <f>VLOOKUP(B1046,Classification!A:D,2,FALSE)</f>
        <v>B1</v>
      </c>
      <c r="E1046" s="4" t="str">
        <f>VLOOKUP(B1046,Classification!A:D,3,FALSE)</f>
        <v>Peptide</v>
      </c>
      <c r="F1046" s="4" t="str">
        <f>VLOOKUP(B1046,Classification!A:D,4,FALSE)</f>
        <v>Corticotropin-releasingfact</v>
      </c>
      <c r="G1046" s="2">
        <v>14</v>
      </c>
      <c r="H1046" s="45" t="s">
        <v>52</v>
      </c>
      <c r="I1046" s="2" t="s">
        <v>1223</v>
      </c>
      <c r="J1046" s="5" t="str">
        <f>VLOOKUP(B1046,Seqs!A:B,2,FALSE)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46" s="4" t="str">
        <f t="shared" si="102"/>
        <v>N</v>
      </c>
      <c r="L1046" s="45">
        <f>VLOOKUP(B1046,'NonXtal_SegEnds_Prot#'!A:AL,36,FALSE)</f>
        <v>367</v>
      </c>
      <c r="M1046" s="45">
        <f>VLOOKUP(B1046,'NonXtal_SegEnds_Prot#'!A:AL,37,FALSE)</f>
        <v>370</v>
      </c>
      <c r="N1046" s="45">
        <f>VLOOKUP(B1046,'NonXtal_SegEnds_Prot#'!A:AL,38,FALSE)</f>
        <v>392</v>
      </c>
      <c r="O1046" s="4" t="str">
        <f t="shared" si="97"/>
        <v>A</v>
      </c>
      <c r="P1046" s="4"/>
      <c r="Q1046" s="47" t="str">
        <f t="shared" si="99"/>
        <v>NSE</v>
      </c>
      <c r="R1046" s="27" t="str">
        <f t="shared" si="100"/>
        <v>V</v>
      </c>
      <c r="S1046" s="19" t="str">
        <f t="shared" si="101"/>
        <v>RSAIRKRWHRWQDKHSIRARVA</v>
      </c>
      <c r="Z1046" s="4"/>
      <c r="AD1046" s="1" t="s">
        <v>53</v>
      </c>
      <c r="AE1046" s="1">
        <v>368</v>
      </c>
      <c r="AF1046" s="1">
        <v>370</v>
      </c>
      <c r="AG1046" s="1">
        <v>392</v>
      </c>
      <c r="AH1046" s="1" t="s">
        <v>174</v>
      </c>
      <c r="AK1046" s="4">
        <v>48</v>
      </c>
      <c r="AL1046" s="4">
        <v>70</v>
      </c>
    </row>
    <row r="1047" spans="1:38" x14ac:dyDescent="0.25">
      <c r="A1047" s="1" t="str">
        <f t="shared" si="98"/>
        <v>crfr1_human_4K5Y_H8</v>
      </c>
      <c r="B1047" s="45" t="s">
        <v>213</v>
      </c>
      <c r="C1047" s="45" t="s">
        <v>288</v>
      </c>
      <c r="D1047" s="4" t="str">
        <f>VLOOKUP(B1047,Classification!A:D,2,FALSE)</f>
        <v>B1</v>
      </c>
      <c r="E1047" s="4" t="str">
        <f>VLOOKUP(B1047,Classification!A:D,3,FALSE)</f>
        <v>Peptide</v>
      </c>
      <c r="F1047" s="4" t="str">
        <f>VLOOKUP(B1047,Classification!A:D,4,FALSE)</f>
        <v>Corticotropin-releasingfact</v>
      </c>
      <c r="G1047" s="2">
        <v>14</v>
      </c>
      <c r="H1047" s="45" t="s">
        <v>52</v>
      </c>
      <c r="I1047" s="2" t="s">
        <v>1223</v>
      </c>
      <c r="J1047" s="5" t="str">
        <f>VLOOKUP(B1047,Seqs!A:B,2,FALSE)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47" s="4" t="str">
        <f t="shared" si="102"/>
        <v>N</v>
      </c>
      <c r="L1047" s="45">
        <f>VLOOKUP(B1047,'NonXtal_SegEnds_Prot#'!A:AL,36,FALSE)</f>
        <v>367</v>
      </c>
      <c r="M1047" s="45">
        <f>VLOOKUP(B1047,'NonXtal_SegEnds_Prot#'!A:AL,37,FALSE)</f>
        <v>370</v>
      </c>
      <c r="N1047" s="45">
        <f>VLOOKUP(B1047,'NonXtal_SegEnds_Prot#'!A:AL,38,FALSE)</f>
        <v>392</v>
      </c>
      <c r="O1047" s="4" t="str">
        <f t="shared" si="97"/>
        <v>A</v>
      </c>
      <c r="P1047" s="2" t="s">
        <v>1367</v>
      </c>
      <c r="Q1047" s="47" t="str">
        <f t="shared" si="99"/>
        <v>NSE</v>
      </c>
      <c r="R1047" s="28" t="str">
        <f t="shared" si="100"/>
        <v>V</v>
      </c>
      <c r="S1047" s="20" t="str">
        <f t="shared" si="101"/>
        <v>RSAIRKRWHRWQDKHSIRARVA</v>
      </c>
      <c r="Z1047" s="4"/>
      <c r="AD1047" s="1" t="s">
        <v>53</v>
      </c>
      <c r="AE1047" s="1">
        <v>368</v>
      </c>
      <c r="AF1047" s="1">
        <v>370</v>
      </c>
      <c r="AG1047" s="1">
        <v>392</v>
      </c>
      <c r="AH1047" s="1" t="s">
        <v>174</v>
      </c>
      <c r="AK1047" s="4" t="s">
        <v>129</v>
      </c>
      <c r="AL1047" s="4" t="s">
        <v>129</v>
      </c>
    </row>
    <row r="1048" spans="1:38" x14ac:dyDescent="0.25">
      <c r="A1048" s="1" t="str">
        <f t="shared" si="98"/>
        <v>CXCR4_human__wt_H8</v>
      </c>
      <c r="B1048" s="45" t="s">
        <v>1237</v>
      </c>
      <c r="C1048" s="45" t="s">
        <v>294</v>
      </c>
      <c r="D1048" s="4" t="str">
        <f>VLOOKUP(B1048,Classification!A:D,2,FALSE)</f>
        <v>A</v>
      </c>
      <c r="E1048" s="4" t="str">
        <f>VLOOKUP(B1048,Classification!A:D,3,FALSE)</f>
        <v>Protein</v>
      </c>
      <c r="F1048" s="4" t="str">
        <f>VLOOKUP(B1048,Classification!A:D,4,FALSE)</f>
        <v>Chemokine</v>
      </c>
      <c r="G1048" s="2">
        <v>14</v>
      </c>
      <c r="H1048" s="45" t="s">
        <v>52</v>
      </c>
      <c r="I1048" s="2" t="s">
        <v>1223</v>
      </c>
      <c r="J1048" s="5" t="str">
        <f>VLOOKUP(B1048,Seqs!A:B,2,FALSE)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48" s="4" t="str">
        <f t="shared" si="102"/>
        <v>G</v>
      </c>
      <c r="L1048" s="45">
        <f>VLOOKUP(B1048,'NonXtal_SegEnds_Prot#'!A:AL,36,FALSE)</f>
        <v>306</v>
      </c>
      <c r="M1048" s="45">
        <f>VLOOKUP(B1048,'NonXtal_SegEnds_Prot#'!A:AL,37,FALSE)</f>
        <v>309</v>
      </c>
      <c r="N1048" s="45">
        <f>VLOOKUP(B1048,'NonXtal_SegEnds_Prot#'!A:AL,38,FALSE)</f>
        <v>318</v>
      </c>
      <c r="O1048" s="4" t="str">
        <f t="shared" si="97"/>
        <v>T</v>
      </c>
      <c r="P1048" s="4"/>
      <c r="Q1048" s="47" t="str">
        <f t="shared" si="99"/>
        <v>GAK</v>
      </c>
      <c r="R1048" s="27" t="str">
        <f t="shared" si="100"/>
        <v>F</v>
      </c>
      <c r="S1048" s="19" t="str">
        <f t="shared" si="101"/>
        <v>KTSAQHALT</v>
      </c>
      <c r="Z1048" s="4"/>
      <c r="AD1048" s="1" t="s">
        <v>53</v>
      </c>
      <c r="AE1048" s="1">
        <v>307</v>
      </c>
      <c r="AF1048" s="1">
        <v>309</v>
      </c>
      <c r="AG1048" s="1">
        <v>318</v>
      </c>
      <c r="AH1048" s="1" t="s">
        <v>85</v>
      </c>
      <c r="AK1048" s="4">
        <v>48</v>
      </c>
      <c r="AL1048" s="4">
        <v>59</v>
      </c>
    </row>
    <row r="1049" spans="1:38" x14ac:dyDescent="0.25">
      <c r="A1049" s="1" t="str">
        <f t="shared" si="98"/>
        <v>CXCR4_human_3ODU_H8</v>
      </c>
      <c r="B1049" s="45" t="s">
        <v>1237</v>
      </c>
      <c r="C1049" s="45" t="s">
        <v>254</v>
      </c>
      <c r="D1049" s="4" t="str">
        <f>VLOOKUP(B1049,Classification!A:D,2,FALSE)</f>
        <v>A</v>
      </c>
      <c r="E1049" s="4" t="str">
        <f>VLOOKUP(B1049,Classification!A:D,3,FALSE)</f>
        <v>Protein</v>
      </c>
      <c r="F1049" s="4" t="str">
        <f>VLOOKUP(B1049,Classification!A:D,4,FALSE)</f>
        <v>Chemokine</v>
      </c>
      <c r="G1049" s="2">
        <v>14</v>
      </c>
      <c r="H1049" s="45" t="s">
        <v>52</v>
      </c>
      <c r="I1049" s="2" t="s">
        <v>1223</v>
      </c>
      <c r="J1049" s="5" t="str">
        <f>VLOOKUP(B1049,Seqs!A:B,2,FALSE)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49" s="4" t="str">
        <f t="shared" si="102"/>
        <v>G</v>
      </c>
      <c r="L1049" s="45">
        <f>VLOOKUP(B1049,'NonXtal_SegEnds_Prot#'!A:AL,36,FALSE)</f>
        <v>306</v>
      </c>
      <c r="M1049" s="45">
        <f>VLOOKUP(B1049,'NonXtal_SegEnds_Prot#'!A:AL,37,FALSE)</f>
        <v>309</v>
      </c>
      <c r="N1049" s="45">
        <f>VLOOKUP(B1049,'NonXtal_SegEnds_Prot#'!A:AL,38,FALSE)</f>
        <v>318</v>
      </c>
      <c r="O1049" s="4" t="str">
        <f t="shared" si="97"/>
        <v>T</v>
      </c>
      <c r="P1049" s="4" t="s">
        <v>58</v>
      </c>
      <c r="Q1049" s="47" t="str">
        <f t="shared" si="99"/>
        <v>GAK</v>
      </c>
      <c r="R1049" s="28" t="str">
        <f t="shared" si="100"/>
        <v>F</v>
      </c>
      <c r="S1049" s="20" t="str">
        <f t="shared" si="101"/>
        <v>KTSAQHALT</v>
      </c>
      <c r="Z1049" s="4"/>
      <c r="AD1049" s="1" t="s">
        <v>53</v>
      </c>
      <c r="AE1049" s="1">
        <v>307</v>
      </c>
      <c r="AF1049" s="1">
        <v>309</v>
      </c>
      <c r="AG1049" s="1">
        <v>318</v>
      </c>
      <c r="AH1049" s="1" t="s">
        <v>85</v>
      </c>
      <c r="AK1049" s="4" t="s">
        <v>129</v>
      </c>
      <c r="AL1049" s="4" t="s">
        <v>129</v>
      </c>
    </row>
    <row r="1050" spans="1:38" x14ac:dyDescent="0.25">
      <c r="A1050" s="1" t="str">
        <f t="shared" si="98"/>
        <v>DRD3_human__wt_H8</v>
      </c>
      <c r="B1050" s="45" t="s">
        <v>222</v>
      </c>
      <c r="C1050" s="45" t="s">
        <v>294</v>
      </c>
      <c r="D1050" s="4" t="str">
        <f>VLOOKUP(B1050,Classification!A:D,2,FALSE)</f>
        <v>A</v>
      </c>
      <c r="E1050" s="4" t="str">
        <f>VLOOKUP(B1050,Classification!A:D,3,FALSE)</f>
        <v>Aminergic</v>
      </c>
      <c r="F1050" s="4" t="str">
        <f>VLOOKUP(B1050,Classification!A:D,4,FALSE)</f>
        <v>Dopamine</v>
      </c>
      <c r="G1050" s="2">
        <v>14</v>
      </c>
      <c r="H1050" s="45" t="s">
        <v>52</v>
      </c>
      <c r="I1050" s="2" t="s">
        <v>1223</v>
      </c>
      <c r="J1050" s="5" t="str">
        <f>VLOOKUP(B1050,Seqs!A:B,2,FALSE)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50" s="4" t="str">
        <f t="shared" si="102"/>
        <v>N</v>
      </c>
      <c r="L1050" s="45">
        <f>VLOOKUP(B1050,'NonXtal_SegEnds_Prot#'!A:AL,36,FALSE)</f>
        <v>387</v>
      </c>
      <c r="M1050" s="45">
        <f>VLOOKUP(B1050,'NonXtal_SegEnds_Prot#'!A:AL,37,FALSE)</f>
        <v>390</v>
      </c>
      <c r="N1050" s="45">
        <f>VLOOKUP(B1050,'NonXtal_SegEnds_Prot#'!A:AL,38,FALSE)</f>
        <v>399</v>
      </c>
      <c r="O1050" s="4" t="str">
        <f t="shared" si="97"/>
        <v>S</v>
      </c>
      <c r="P1050" s="4"/>
      <c r="Q1050" s="47" t="str">
        <f t="shared" si="99"/>
        <v>NIE</v>
      </c>
      <c r="R1050" s="27" t="str">
        <f t="shared" si="100"/>
        <v>F</v>
      </c>
      <c r="S1050" s="19" t="str">
        <f t="shared" si="101"/>
        <v>RKAFLKILS</v>
      </c>
      <c r="Z1050" s="4"/>
      <c r="AD1050" s="1" t="s">
        <v>53</v>
      </c>
      <c r="AE1050" s="1">
        <v>388</v>
      </c>
      <c r="AF1050" s="1">
        <v>390</v>
      </c>
      <c r="AG1050" s="1">
        <v>399</v>
      </c>
      <c r="AH1050" s="1" t="s">
        <v>85</v>
      </c>
      <c r="AK1050" s="4">
        <v>48</v>
      </c>
      <c r="AL1050" s="4">
        <v>59</v>
      </c>
    </row>
    <row r="1051" spans="1:38" x14ac:dyDescent="0.25">
      <c r="A1051" s="1" t="str">
        <f t="shared" si="98"/>
        <v>DRD3_human_3PBL_H8</v>
      </c>
      <c r="B1051" s="45" t="s">
        <v>222</v>
      </c>
      <c r="C1051" s="45" t="s">
        <v>263</v>
      </c>
      <c r="D1051" s="4" t="str">
        <f>VLOOKUP(B1051,Classification!A:D,2,FALSE)</f>
        <v>A</v>
      </c>
      <c r="E1051" s="4" t="str">
        <f>VLOOKUP(B1051,Classification!A:D,3,FALSE)</f>
        <v>Aminergic</v>
      </c>
      <c r="F1051" s="4" t="str">
        <f>VLOOKUP(B1051,Classification!A:D,4,FALSE)</f>
        <v>Dopamine</v>
      </c>
      <c r="G1051" s="2">
        <v>14</v>
      </c>
      <c r="H1051" s="45" t="s">
        <v>52</v>
      </c>
      <c r="I1051" s="2" t="s">
        <v>1223</v>
      </c>
      <c r="J1051" s="5" t="str">
        <f>VLOOKUP(B1051,Seqs!A:B,2,FALSE)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51" s="4" t="str">
        <f t="shared" si="102"/>
        <v>N</v>
      </c>
      <c r="L1051" s="45">
        <f>VLOOKUP(B1051,'NonXtal_SegEnds_Prot#'!A:AL,36,FALSE)</f>
        <v>387</v>
      </c>
      <c r="M1051" s="45">
        <f>VLOOKUP(B1051,'NonXtal_SegEnds_Prot#'!A:AL,37,FALSE)</f>
        <v>390</v>
      </c>
      <c r="N1051" s="45">
        <f>VLOOKUP(B1051,'NonXtal_SegEnds_Prot#'!A:AL,38,FALSE)</f>
        <v>399</v>
      </c>
      <c r="O1051" s="4" t="str">
        <f t="shared" si="97"/>
        <v>S</v>
      </c>
      <c r="P1051" s="4"/>
      <c r="Q1051" s="47" t="str">
        <f t="shared" si="99"/>
        <v>NIE</v>
      </c>
      <c r="R1051" s="27" t="str">
        <f t="shared" si="100"/>
        <v>F</v>
      </c>
      <c r="S1051" s="19" t="str">
        <f t="shared" si="101"/>
        <v>RKAFLKILS</v>
      </c>
      <c r="Z1051" s="4"/>
      <c r="AD1051" s="1" t="s">
        <v>53</v>
      </c>
      <c r="AE1051" s="1">
        <v>388</v>
      </c>
      <c r="AF1051" s="1">
        <v>390</v>
      </c>
      <c r="AG1051" s="1">
        <v>399</v>
      </c>
      <c r="AH1051" s="1" t="s">
        <v>85</v>
      </c>
      <c r="AK1051" s="4">
        <v>48</v>
      </c>
      <c r="AL1051" s="4">
        <v>59</v>
      </c>
    </row>
    <row r="1052" spans="1:38" x14ac:dyDescent="0.25">
      <c r="A1052" s="1" t="str">
        <f t="shared" si="98"/>
        <v>FFAR1_human__wt_H8</v>
      </c>
      <c r="B1052" s="45" t="s">
        <v>1368</v>
      </c>
      <c r="C1052" s="45" t="s">
        <v>294</v>
      </c>
      <c r="D1052" s="4" t="str">
        <f>VLOOKUP(B1052,Classification!A:D,2,FALSE)</f>
        <v>A</v>
      </c>
      <c r="E1052" s="4" t="str">
        <f>VLOOKUP(B1052,Classification!A:D,3,FALSE)</f>
        <v>Lipid</v>
      </c>
      <c r="F1052" s="4" t="str">
        <f>VLOOKUP(B1052,Classification!A:D,4,FALSE)</f>
        <v>Freefattyacid</v>
      </c>
      <c r="G1052" s="2">
        <v>14</v>
      </c>
      <c r="H1052" s="45" t="s">
        <v>52</v>
      </c>
      <c r="I1052" s="2" t="s">
        <v>1223</v>
      </c>
      <c r="J1052" s="5" t="str">
        <f>VLOOKUP(B1052,Seqs!A:B,2,FALSE)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052" s="4" t="str">
        <f t="shared" si="102"/>
        <v>G</v>
      </c>
      <c r="L1052" s="45">
        <f>VLOOKUP(B1052,'NonXtal_SegEnds_Prot#'!A:AL,36,FALSE)</f>
        <v>280</v>
      </c>
      <c r="M1052" s="45">
        <f>VLOOKUP(B1052,'NonXtal_SegEnds_Prot#'!A:AL,37,FALSE)</f>
        <v>283</v>
      </c>
      <c r="N1052" s="45">
        <f>VLOOKUP(B1052,'NonXtal_SegEnds_Prot#'!A:AL,38,FALSE)</f>
        <v>294</v>
      </c>
      <c r="O1052" s="4" t="str">
        <f t="shared" si="97"/>
        <v>Q</v>
      </c>
      <c r="P1052" s="4"/>
      <c r="Q1052" s="47" t="str">
        <f t="shared" si="99"/>
        <v>GRG</v>
      </c>
      <c r="R1052" s="27" t="str">
        <f t="shared" si="100"/>
        <v>P</v>
      </c>
      <c r="S1052" s="19" t="str">
        <f t="shared" si="101"/>
        <v>GLKTVCAARTQ</v>
      </c>
      <c r="Z1052" s="4"/>
      <c r="AD1052" s="1" t="s">
        <v>53</v>
      </c>
      <c r="AE1052" s="1">
        <v>283</v>
      </c>
      <c r="AF1052" s="1">
        <v>285</v>
      </c>
      <c r="AG1052" s="1">
        <v>294</v>
      </c>
      <c r="AH1052" s="1" t="s">
        <v>79</v>
      </c>
      <c r="AK1052" s="4">
        <v>48</v>
      </c>
      <c r="AL1052" s="4">
        <v>60</v>
      </c>
    </row>
    <row r="1053" spans="1:38" x14ac:dyDescent="0.25">
      <c r="A1053" s="1" t="str">
        <f t="shared" si="98"/>
        <v>FFAR1_human_4PHU_H8</v>
      </c>
      <c r="B1053" s="45" t="s">
        <v>1368</v>
      </c>
      <c r="C1053" s="45" t="s">
        <v>241</v>
      </c>
      <c r="D1053" s="4" t="str">
        <f>VLOOKUP(B1053,Classification!A:D,2,FALSE)</f>
        <v>A</v>
      </c>
      <c r="E1053" s="4" t="str">
        <f>VLOOKUP(B1053,Classification!A:D,3,FALSE)</f>
        <v>Lipid</v>
      </c>
      <c r="F1053" s="4" t="str">
        <f>VLOOKUP(B1053,Classification!A:D,4,FALSE)</f>
        <v>Freefattyacid</v>
      </c>
      <c r="G1053" s="2">
        <v>14</v>
      </c>
      <c r="H1053" s="45" t="s">
        <v>52</v>
      </c>
      <c r="I1053" s="2" t="s">
        <v>1223</v>
      </c>
      <c r="J1053" s="5" t="str">
        <f>VLOOKUP(B1053,Seqs!A:B,2,FALSE)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053" s="4" t="str">
        <f t="shared" si="102"/>
        <v>G</v>
      </c>
      <c r="L1053" s="45">
        <f>VLOOKUP(B1053,'NonXtal_SegEnds_Prot#'!A:AL,36,FALSE)</f>
        <v>280</v>
      </c>
      <c r="M1053" s="45">
        <f>VLOOKUP(B1053,'NonXtal_SegEnds_Prot#'!A:AL,37,FALSE)</f>
        <v>283</v>
      </c>
      <c r="N1053" s="45">
        <f>VLOOKUP(B1053,'NonXtal_SegEnds_Prot#'!A:AL,38,FALSE)</f>
        <v>294</v>
      </c>
      <c r="O1053" s="4" t="str">
        <f t="shared" si="97"/>
        <v>Q</v>
      </c>
      <c r="P1053" s="4" t="s">
        <v>1367</v>
      </c>
      <c r="Q1053" s="47" t="str">
        <f t="shared" si="99"/>
        <v>GRG</v>
      </c>
      <c r="R1053" s="28" t="str">
        <f t="shared" si="100"/>
        <v>P</v>
      </c>
      <c r="S1053" s="20" t="str">
        <f t="shared" si="101"/>
        <v>GLKTVCAARTQ</v>
      </c>
      <c r="Z1053" s="4"/>
      <c r="AD1053" s="1" t="s">
        <v>53</v>
      </c>
      <c r="AE1053" s="1">
        <v>283</v>
      </c>
      <c r="AF1053" s="1">
        <v>285</v>
      </c>
      <c r="AG1053" s="1">
        <v>294</v>
      </c>
      <c r="AH1053" s="1" t="s">
        <v>79</v>
      </c>
      <c r="AK1053" s="4">
        <v>48</v>
      </c>
      <c r="AL1053" s="4">
        <v>60</v>
      </c>
    </row>
    <row r="1054" spans="1:38" x14ac:dyDescent="0.25">
      <c r="A1054" s="1" t="str">
        <f t="shared" si="98"/>
        <v>glr_human__wt_H8</v>
      </c>
      <c r="B1054" s="45" t="s">
        <v>206</v>
      </c>
      <c r="C1054" s="45" t="s">
        <v>294</v>
      </c>
      <c r="D1054" s="4" t="str">
        <f>VLOOKUP(B1054,Classification!A:D,2,FALSE)</f>
        <v>B1</v>
      </c>
      <c r="E1054" s="4" t="str">
        <f>VLOOKUP(B1054,Classification!A:D,3,FALSE)</f>
        <v>Peptide</v>
      </c>
      <c r="F1054" s="4" t="str">
        <f>VLOOKUP(B1054,Classification!A:D,4,FALSE)</f>
        <v>Glucagonreceptorfamily</v>
      </c>
      <c r="G1054" s="2">
        <v>14</v>
      </c>
      <c r="H1054" s="45" t="s">
        <v>52</v>
      </c>
      <c r="I1054" s="2" t="s">
        <v>1223</v>
      </c>
      <c r="J1054" s="5" t="str">
        <f>VLOOKUP(B1054,Seqs!A:B,2,FALSE)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54" s="4" t="str">
        <f t="shared" si="102"/>
        <v>N</v>
      </c>
      <c r="L1054" s="45">
        <f>VLOOKUP(B1054,'NonXtal_SegEnds_Prot#'!A:AL,36,FALSE)</f>
        <v>404</v>
      </c>
      <c r="M1054" s="45">
        <f>VLOOKUP(B1054,'NonXtal_SegEnds_Prot#'!A:AL,37,FALSE)</f>
        <v>407</v>
      </c>
      <c r="N1054" s="45">
        <f>VLOOKUP(B1054,'NonXtal_SegEnds_Prot#'!A:AL,38,FALSE)</f>
        <v>429</v>
      </c>
      <c r="O1054" s="4" t="str">
        <f t="shared" si="97"/>
        <v>N</v>
      </c>
      <c r="P1054" s="4"/>
      <c r="Q1054" s="47" t="str">
        <f t="shared" si="99"/>
        <v>NKE</v>
      </c>
      <c r="R1054" s="27" t="str">
        <f t="shared" si="100"/>
        <v>V</v>
      </c>
      <c r="S1054" s="19" t="str">
        <f t="shared" si="101"/>
        <v>QSELRRRWHRWRLGKVLWEERN</v>
      </c>
      <c r="Z1054" s="4"/>
      <c r="AD1054" s="1" t="s">
        <v>53</v>
      </c>
      <c r="AE1054" s="1">
        <v>405</v>
      </c>
      <c r="AF1054" s="1">
        <v>407</v>
      </c>
      <c r="AG1054" s="1">
        <v>429</v>
      </c>
      <c r="AH1054" s="1" t="s">
        <v>174</v>
      </c>
      <c r="AK1054" s="4">
        <v>48</v>
      </c>
      <c r="AL1054" s="7">
        <v>70</v>
      </c>
    </row>
    <row r="1055" spans="1:38" x14ac:dyDescent="0.25">
      <c r="A1055" s="1" t="str">
        <f t="shared" si="98"/>
        <v>glr_human_4L6R_H8</v>
      </c>
      <c r="B1055" s="45" t="s">
        <v>206</v>
      </c>
      <c r="C1055" s="45" t="s">
        <v>240</v>
      </c>
      <c r="D1055" s="4" t="str">
        <f>VLOOKUP(B1055,Classification!A:D,2,FALSE)</f>
        <v>B1</v>
      </c>
      <c r="E1055" s="4" t="str">
        <f>VLOOKUP(B1055,Classification!A:D,3,FALSE)</f>
        <v>Peptide</v>
      </c>
      <c r="F1055" s="4" t="str">
        <f>VLOOKUP(B1055,Classification!A:D,4,FALSE)</f>
        <v>Glucagonreceptorfamily</v>
      </c>
      <c r="G1055" s="2">
        <v>14</v>
      </c>
      <c r="H1055" s="45" t="s">
        <v>52</v>
      </c>
      <c r="I1055" s="2" t="s">
        <v>1223</v>
      </c>
      <c r="J1055" s="5" t="str">
        <f>VLOOKUP(B1055,Seqs!A:B,2,FALSE)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55" s="4" t="str">
        <f t="shared" si="102"/>
        <v>N</v>
      </c>
      <c r="L1055" s="45">
        <f>VLOOKUP(B1055,'NonXtal_SegEnds_Prot#'!A:AL,36,FALSE)</f>
        <v>404</v>
      </c>
      <c r="M1055" s="45">
        <f>VLOOKUP(B1055,'NonXtal_SegEnds_Prot#'!A:AL,37,FALSE)</f>
        <v>407</v>
      </c>
      <c r="N1055" s="45">
        <f>VLOOKUP(B1055,'NonXtal_SegEnds_Prot#'!A:AL,38,FALSE)</f>
        <v>429</v>
      </c>
      <c r="O1055" s="4" t="str">
        <f t="shared" si="97"/>
        <v>N</v>
      </c>
      <c r="P1055" s="4"/>
      <c r="Q1055" s="47" t="str">
        <f t="shared" si="99"/>
        <v>NKE</v>
      </c>
      <c r="R1055" s="27" t="str">
        <f t="shared" si="100"/>
        <v>V</v>
      </c>
      <c r="S1055" s="19" t="str">
        <f t="shared" si="101"/>
        <v>QSELRRRWHRWRLGKVLWEERN</v>
      </c>
      <c r="Z1055" s="4"/>
      <c r="AD1055" s="1" t="s">
        <v>53</v>
      </c>
      <c r="AE1055" s="1">
        <v>405</v>
      </c>
      <c r="AF1055" s="1">
        <v>407</v>
      </c>
      <c r="AG1055" s="1">
        <v>429</v>
      </c>
      <c r="AH1055" s="1" t="s">
        <v>174</v>
      </c>
      <c r="AK1055" s="4">
        <v>48</v>
      </c>
      <c r="AL1055" s="7">
        <v>70</v>
      </c>
    </row>
    <row r="1056" spans="1:38" x14ac:dyDescent="0.25">
      <c r="A1056" s="1" t="str">
        <f t="shared" si="98"/>
        <v>glr_human_5EE7_H8</v>
      </c>
      <c r="B1056" s="45" t="s">
        <v>206</v>
      </c>
      <c r="C1056" s="45" t="s">
        <v>237</v>
      </c>
      <c r="D1056" s="4" t="str">
        <f>VLOOKUP(B1056,Classification!A:D,2,FALSE)</f>
        <v>B1</v>
      </c>
      <c r="E1056" s="4" t="str">
        <f>VLOOKUP(B1056,Classification!A:D,3,FALSE)</f>
        <v>Peptide</v>
      </c>
      <c r="F1056" s="4" t="str">
        <f>VLOOKUP(B1056,Classification!A:D,4,FALSE)</f>
        <v>Glucagonreceptorfamily</v>
      </c>
      <c r="G1056" s="2">
        <v>14</v>
      </c>
      <c r="H1056" s="45" t="s">
        <v>52</v>
      </c>
      <c r="I1056" s="2" t="s">
        <v>1223</v>
      </c>
      <c r="J1056" s="5" t="str">
        <f>VLOOKUP(B1056,Seqs!A:B,2,FALSE)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56" s="4" t="str">
        <f t="shared" si="102"/>
        <v>N</v>
      </c>
      <c r="L1056" s="45">
        <f>VLOOKUP(B1056,'NonXtal_SegEnds_Prot#'!A:AL,36,FALSE)</f>
        <v>404</v>
      </c>
      <c r="M1056" s="45">
        <f>VLOOKUP(B1056,'NonXtal_SegEnds_Prot#'!A:AL,37,FALSE)</f>
        <v>407</v>
      </c>
      <c r="N1056" s="45">
        <f>VLOOKUP(B1056,'NonXtal_SegEnds_Prot#'!A:AL,38,FALSE)</f>
        <v>429</v>
      </c>
      <c r="O1056" s="4" t="str">
        <f t="shared" si="97"/>
        <v>N</v>
      </c>
      <c r="P1056" s="4"/>
      <c r="Q1056" s="47" t="str">
        <f t="shared" si="99"/>
        <v>NKE</v>
      </c>
      <c r="R1056" s="27" t="str">
        <f t="shared" si="100"/>
        <v>V</v>
      </c>
      <c r="S1056" s="19" t="str">
        <f t="shared" si="101"/>
        <v>QSELRRRWHRWRLGKVLWEERN</v>
      </c>
      <c r="Z1056" s="4"/>
      <c r="AD1056" s="1" t="s">
        <v>53</v>
      </c>
      <c r="AE1056" s="1">
        <v>405</v>
      </c>
      <c r="AF1056" s="1">
        <v>407</v>
      </c>
      <c r="AG1056" s="1">
        <v>417</v>
      </c>
      <c r="AH1056" s="1" t="s">
        <v>79</v>
      </c>
      <c r="AK1056" s="4">
        <v>48</v>
      </c>
      <c r="AL1056" s="1">
        <v>60</v>
      </c>
    </row>
    <row r="1057" spans="1:38" x14ac:dyDescent="0.25">
      <c r="A1057" s="1" t="str">
        <f t="shared" si="98"/>
        <v>grm1_human__wt_H8</v>
      </c>
      <c r="B1057" s="45" t="s">
        <v>223</v>
      </c>
      <c r="C1057" s="45" t="s">
        <v>294</v>
      </c>
      <c r="D1057" s="4" t="str">
        <f>VLOOKUP(B1057,Classification!A:D,2,FALSE)</f>
        <v>C</v>
      </c>
      <c r="E1057" s="4" t="str">
        <f>VLOOKUP(B1057,Classification!A:D,3,FALSE)</f>
        <v>Aminoacid</v>
      </c>
      <c r="F1057" s="4" t="str">
        <f>VLOOKUP(B1057,Classification!A:D,4,FALSE)</f>
        <v>Metabotropicglutamate</v>
      </c>
      <c r="G1057" s="2">
        <v>14</v>
      </c>
      <c r="H1057" s="45" t="s">
        <v>52</v>
      </c>
      <c r="I1057" s="2" t="s">
        <v>1223</v>
      </c>
      <c r="J1057" s="5" t="str">
        <f>VLOOKUP(B1057,Seqs!A:B,2,FALSE)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057" s="4" t="str">
        <f t="shared" si="102"/>
        <v>K</v>
      </c>
      <c r="L1057" s="45">
        <f>VLOOKUP(B1057,'NonXtal_SegEnds_Prot#'!A:AL,36,FALSE)</f>
        <v>841</v>
      </c>
      <c r="M1057" s="45">
        <f>VLOOKUP(B1057,'NonXtal_SegEnds_Prot#'!A:AL,37,FALSE)</f>
        <v>844</v>
      </c>
      <c r="N1057" s="45">
        <f>VLOOKUP(B1057,'NonXtal_SegEnds_Prot#'!A:AL,38,FALSE)</f>
        <v>853</v>
      </c>
      <c r="O1057" s="4" t="str">
        <f t="shared" si="97"/>
        <v>S</v>
      </c>
      <c r="P1057" s="4"/>
      <c r="Q1057" s="47" t="str">
        <f t="shared" si="99"/>
        <v>KPE</v>
      </c>
      <c r="R1057" s="28" t="str">
        <f t="shared" si="100"/>
        <v>R</v>
      </c>
      <c r="S1057" s="20" t="str">
        <f t="shared" si="101"/>
        <v>NVRSAFTTS</v>
      </c>
      <c r="Z1057" s="4"/>
      <c r="AD1057" s="1" t="s">
        <v>53</v>
      </c>
      <c r="AE1057" s="1">
        <v>844</v>
      </c>
      <c r="AF1057" s="1">
        <v>846</v>
      </c>
      <c r="AG1057" s="1">
        <v>863</v>
      </c>
      <c r="AH1057" s="1" t="s">
        <v>195</v>
      </c>
      <c r="AK1057" s="4">
        <v>48</v>
      </c>
      <c r="AL1057" s="4">
        <v>65</v>
      </c>
    </row>
    <row r="1058" spans="1:38" x14ac:dyDescent="0.25">
      <c r="A1058" s="1" t="str">
        <f t="shared" si="98"/>
        <v>grm1_human_4OR2_H8</v>
      </c>
      <c r="B1058" s="45" t="s">
        <v>223</v>
      </c>
      <c r="C1058" s="45" t="s">
        <v>289</v>
      </c>
      <c r="D1058" s="4" t="str">
        <f>VLOOKUP(B1058,Classification!A:D,2,FALSE)</f>
        <v>C</v>
      </c>
      <c r="E1058" s="4" t="str">
        <f>VLOOKUP(B1058,Classification!A:D,3,FALSE)</f>
        <v>Aminoacid</v>
      </c>
      <c r="F1058" s="4" t="str">
        <f>VLOOKUP(B1058,Classification!A:D,4,FALSE)</f>
        <v>Metabotropicglutamate</v>
      </c>
      <c r="G1058" s="2">
        <v>14</v>
      </c>
      <c r="H1058" s="45" t="s">
        <v>52</v>
      </c>
      <c r="I1058" s="2" t="s">
        <v>1223</v>
      </c>
      <c r="J1058" s="5" t="str">
        <f>VLOOKUP(B1058,Seqs!A:B,2,FALSE)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058" s="4" t="str">
        <f t="shared" si="102"/>
        <v>K</v>
      </c>
      <c r="L1058" s="45">
        <f>VLOOKUP(B1058,'NonXtal_SegEnds_Prot#'!A:AL,36,FALSE)</f>
        <v>841</v>
      </c>
      <c r="M1058" s="45">
        <f>VLOOKUP(B1058,'NonXtal_SegEnds_Prot#'!A:AL,37,FALSE)</f>
        <v>844</v>
      </c>
      <c r="N1058" s="45">
        <f>VLOOKUP(B1058,'NonXtal_SegEnds_Prot#'!A:AL,38,FALSE)</f>
        <v>853</v>
      </c>
      <c r="O1058" s="4" t="str">
        <f t="shared" si="97"/>
        <v>S</v>
      </c>
      <c r="P1058" s="4"/>
      <c r="Q1058" s="47" t="str">
        <f t="shared" si="99"/>
        <v>KPE</v>
      </c>
      <c r="R1058" s="28" t="str">
        <f t="shared" si="100"/>
        <v>R</v>
      </c>
      <c r="S1058" s="20" t="str">
        <f t="shared" si="101"/>
        <v>NVRSAFTTS</v>
      </c>
      <c r="Z1058" s="4"/>
      <c r="AD1058" s="1" t="s">
        <v>129</v>
      </c>
      <c r="AE1058" s="1" t="s">
        <v>129</v>
      </c>
      <c r="AF1058" s="1" t="s">
        <v>129</v>
      </c>
      <c r="AG1058" s="1" t="s">
        <v>129</v>
      </c>
      <c r="AH1058" s="1" t="s">
        <v>129</v>
      </c>
      <c r="AK1058" s="4" t="s">
        <v>129</v>
      </c>
      <c r="AL1058" s="4" t="s">
        <v>129</v>
      </c>
    </row>
    <row r="1059" spans="1:38" x14ac:dyDescent="0.25">
      <c r="A1059" s="1" t="str">
        <f t="shared" si="98"/>
        <v>grm5_human__wt_H8</v>
      </c>
      <c r="B1059" s="45" t="s">
        <v>224</v>
      </c>
      <c r="C1059" s="45" t="s">
        <v>294</v>
      </c>
      <c r="D1059" s="4" t="str">
        <f>VLOOKUP(B1059,Classification!A:D,2,FALSE)</f>
        <v>C</v>
      </c>
      <c r="E1059" s="4" t="str">
        <f>VLOOKUP(B1059,Classification!A:D,3,FALSE)</f>
        <v>Aminoacid</v>
      </c>
      <c r="F1059" s="4" t="str">
        <f>VLOOKUP(B1059,Classification!A:D,4,FALSE)</f>
        <v>Metabotropicglutamate</v>
      </c>
      <c r="G1059" s="2">
        <v>14</v>
      </c>
      <c r="H1059" s="45" t="s">
        <v>52</v>
      </c>
      <c r="I1059" s="2" t="s">
        <v>1223</v>
      </c>
      <c r="J1059" s="5" t="str">
        <f>VLOOKUP(B1059,Seqs!A:B,2,FALSE)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59" s="4" t="str">
        <f t="shared" si="102"/>
        <v>K</v>
      </c>
      <c r="L1059" s="45">
        <f>VLOOKUP(B1059,'NonXtal_SegEnds_Prot#'!A:AL,36,FALSE)</f>
        <v>828</v>
      </c>
      <c r="M1059" s="45">
        <f>VLOOKUP(B1059,'NonXtal_SegEnds_Prot#'!A:AL,37,FALSE)</f>
        <v>831</v>
      </c>
      <c r="N1059" s="45">
        <f>VLOOKUP(B1059,'NonXtal_SegEnds_Prot#'!A:AL,38,FALSE)</f>
        <v>840</v>
      </c>
      <c r="O1059" s="4" t="str">
        <f t="shared" si="97"/>
        <v>S</v>
      </c>
      <c r="P1059" s="4"/>
      <c r="Q1059" s="47" t="str">
        <f t="shared" si="99"/>
        <v>KPE</v>
      </c>
      <c r="R1059" s="28" t="str">
        <f t="shared" si="100"/>
        <v>R</v>
      </c>
      <c r="S1059" s="20" t="str">
        <f t="shared" si="101"/>
        <v>NVRSAFTTS</v>
      </c>
      <c r="Z1059" s="4"/>
      <c r="AD1059" s="1" t="s">
        <v>53</v>
      </c>
      <c r="AE1059" s="1">
        <v>831</v>
      </c>
      <c r="AF1059" s="1">
        <v>833</v>
      </c>
      <c r="AG1059" s="1">
        <v>863</v>
      </c>
      <c r="AH1059" s="1" t="s">
        <v>195</v>
      </c>
      <c r="AK1059" s="4">
        <v>48</v>
      </c>
      <c r="AL1059" s="4">
        <v>65</v>
      </c>
    </row>
    <row r="1060" spans="1:38" x14ac:dyDescent="0.25">
      <c r="A1060" s="1" t="str">
        <f t="shared" si="98"/>
        <v>grm5_human_4OO9_H8</v>
      </c>
      <c r="B1060" s="45" t="s">
        <v>224</v>
      </c>
      <c r="C1060" s="45" t="s">
        <v>248</v>
      </c>
      <c r="D1060" s="4" t="str">
        <f>VLOOKUP(B1060,Classification!A:D,2,FALSE)</f>
        <v>C</v>
      </c>
      <c r="E1060" s="4" t="str">
        <f>VLOOKUP(B1060,Classification!A:D,3,FALSE)</f>
        <v>Aminoacid</v>
      </c>
      <c r="F1060" s="4" t="str">
        <f>VLOOKUP(B1060,Classification!A:D,4,FALSE)</f>
        <v>Metabotropicglutamate</v>
      </c>
      <c r="G1060" s="2">
        <v>14</v>
      </c>
      <c r="H1060" s="45" t="s">
        <v>52</v>
      </c>
      <c r="I1060" s="2" t="s">
        <v>1223</v>
      </c>
      <c r="J1060" s="5" t="str">
        <f>VLOOKUP(B1060,Seqs!A:B,2,FALSE)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60" s="4" t="str">
        <f t="shared" si="102"/>
        <v>K</v>
      </c>
      <c r="L1060" s="45">
        <f>VLOOKUP(B1060,'NonXtal_SegEnds_Prot#'!A:AL,36,FALSE)</f>
        <v>828</v>
      </c>
      <c r="M1060" s="45">
        <f>VLOOKUP(B1060,'NonXtal_SegEnds_Prot#'!A:AL,37,FALSE)</f>
        <v>831</v>
      </c>
      <c r="N1060" s="45">
        <f>VLOOKUP(B1060,'NonXtal_SegEnds_Prot#'!A:AL,38,FALSE)</f>
        <v>840</v>
      </c>
      <c r="O1060" s="4" t="str">
        <f t="shared" si="97"/>
        <v>S</v>
      </c>
      <c r="P1060" s="4"/>
      <c r="Q1060" s="47" t="str">
        <f t="shared" si="99"/>
        <v>KPE</v>
      </c>
      <c r="R1060" s="28" t="str">
        <f t="shared" si="100"/>
        <v>R</v>
      </c>
      <c r="S1060" s="20" t="str">
        <f t="shared" si="101"/>
        <v>NVRSAFTTS</v>
      </c>
      <c r="Z1060" s="4"/>
      <c r="AD1060" s="1" t="s">
        <v>129</v>
      </c>
      <c r="AE1060" s="1" t="s">
        <v>129</v>
      </c>
      <c r="AF1060" s="1" t="s">
        <v>129</v>
      </c>
      <c r="AG1060" s="1" t="s">
        <v>129</v>
      </c>
      <c r="AH1060" s="1" t="s">
        <v>129</v>
      </c>
      <c r="AK1060" s="4" t="s">
        <v>129</v>
      </c>
      <c r="AL1060" s="4" t="s">
        <v>129</v>
      </c>
    </row>
    <row r="1061" spans="1:38" x14ac:dyDescent="0.25">
      <c r="A1061" s="1" t="str">
        <f t="shared" si="98"/>
        <v>grm5_human_5CGC_H8</v>
      </c>
      <c r="B1061" s="45" t="s">
        <v>224</v>
      </c>
      <c r="C1061" s="45" t="s">
        <v>249</v>
      </c>
      <c r="D1061" s="4" t="str">
        <f>VLOOKUP(B1061,Classification!A:D,2,FALSE)</f>
        <v>C</v>
      </c>
      <c r="E1061" s="4" t="str">
        <f>VLOOKUP(B1061,Classification!A:D,3,FALSE)</f>
        <v>Aminoacid</v>
      </c>
      <c r="F1061" s="4" t="str">
        <f>VLOOKUP(B1061,Classification!A:D,4,FALSE)</f>
        <v>Metabotropicglutamate</v>
      </c>
      <c r="G1061" s="2">
        <v>14</v>
      </c>
      <c r="H1061" s="45" t="s">
        <v>52</v>
      </c>
      <c r="I1061" s="2" t="s">
        <v>1223</v>
      </c>
      <c r="J1061" s="5" t="str">
        <f>VLOOKUP(B1061,Seqs!A:B,2,FALSE)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61" s="4" t="str">
        <f t="shared" si="102"/>
        <v>K</v>
      </c>
      <c r="L1061" s="45">
        <f>VLOOKUP(B1061,'NonXtal_SegEnds_Prot#'!A:AL,36,FALSE)</f>
        <v>828</v>
      </c>
      <c r="M1061" s="45">
        <f>VLOOKUP(B1061,'NonXtal_SegEnds_Prot#'!A:AL,37,FALSE)</f>
        <v>831</v>
      </c>
      <c r="N1061" s="45">
        <f>VLOOKUP(B1061,'NonXtal_SegEnds_Prot#'!A:AL,38,FALSE)</f>
        <v>840</v>
      </c>
      <c r="O1061" s="4" t="str">
        <f t="shared" si="97"/>
        <v>S</v>
      </c>
      <c r="P1061" s="4"/>
      <c r="Q1061" s="47" t="str">
        <f t="shared" si="99"/>
        <v>KPE</v>
      </c>
      <c r="R1061" s="28" t="str">
        <f t="shared" si="100"/>
        <v>R</v>
      </c>
      <c r="S1061" s="20" t="str">
        <f t="shared" si="101"/>
        <v>NVRSAFTTS</v>
      </c>
      <c r="Z1061" s="4"/>
      <c r="AD1061" s="1" t="s">
        <v>129</v>
      </c>
      <c r="AE1061" s="1" t="s">
        <v>129</v>
      </c>
      <c r="AF1061" s="1" t="s">
        <v>129</v>
      </c>
      <c r="AG1061" s="1" t="s">
        <v>129</v>
      </c>
      <c r="AH1061" s="1" t="s">
        <v>129</v>
      </c>
      <c r="AK1061" s="4" t="s">
        <v>129</v>
      </c>
      <c r="AL1061" s="4" t="s">
        <v>129</v>
      </c>
    </row>
    <row r="1062" spans="1:38" x14ac:dyDescent="0.25">
      <c r="A1062" s="1" t="str">
        <f t="shared" si="98"/>
        <v>grm5_human_5CGD_H8</v>
      </c>
      <c r="B1062" s="45" t="s">
        <v>224</v>
      </c>
      <c r="C1062" s="45" t="s">
        <v>250</v>
      </c>
      <c r="D1062" s="4" t="str">
        <f>VLOOKUP(B1062,Classification!A:D,2,FALSE)</f>
        <v>C</v>
      </c>
      <c r="E1062" s="4" t="str">
        <f>VLOOKUP(B1062,Classification!A:D,3,FALSE)</f>
        <v>Aminoacid</v>
      </c>
      <c r="F1062" s="4" t="str">
        <f>VLOOKUP(B1062,Classification!A:D,4,FALSE)</f>
        <v>Metabotropicglutamate</v>
      </c>
      <c r="G1062" s="2">
        <v>14</v>
      </c>
      <c r="H1062" s="45" t="s">
        <v>52</v>
      </c>
      <c r="I1062" s="2" t="s">
        <v>1223</v>
      </c>
      <c r="J1062" s="5" t="str">
        <f>VLOOKUP(B1062,Seqs!A:B,2,FALSE)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62" s="4" t="str">
        <f t="shared" si="102"/>
        <v>K</v>
      </c>
      <c r="L1062" s="45">
        <f>VLOOKUP(B1062,'NonXtal_SegEnds_Prot#'!A:AL,36,FALSE)</f>
        <v>828</v>
      </c>
      <c r="M1062" s="45">
        <f>VLOOKUP(B1062,'NonXtal_SegEnds_Prot#'!A:AL,37,FALSE)</f>
        <v>831</v>
      </c>
      <c r="N1062" s="45">
        <f>VLOOKUP(B1062,'NonXtal_SegEnds_Prot#'!A:AL,38,FALSE)</f>
        <v>840</v>
      </c>
      <c r="O1062" s="4" t="str">
        <f t="shared" si="97"/>
        <v>S</v>
      </c>
      <c r="P1062" s="4"/>
      <c r="Q1062" s="47" t="str">
        <f t="shared" si="99"/>
        <v>KPE</v>
      </c>
      <c r="R1062" s="28" t="str">
        <f t="shared" si="100"/>
        <v>R</v>
      </c>
      <c r="S1062" s="20" t="str">
        <f t="shared" si="101"/>
        <v>NVRSAFTTS</v>
      </c>
      <c r="Z1062" s="4"/>
      <c r="AD1062" s="1" t="s">
        <v>129</v>
      </c>
      <c r="AE1062" s="1" t="s">
        <v>129</v>
      </c>
      <c r="AF1062" s="1" t="s">
        <v>129</v>
      </c>
      <c r="AG1062" s="1" t="s">
        <v>129</v>
      </c>
      <c r="AH1062" s="1" t="s">
        <v>129</v>
      </c>
      <c r="AK1062" s="4" t="s">
        <v>129</v>
      </c>
      <c r="AL1062" s="4" t="s">
        <v>129</v>
      </c>
    </row>
    <row r="1063" spans="1:38" x14ac:dyDescent="0.25">
      <c r="A1063" s="1" t="str">
        <f t="shared" si="98"/>
        <v>HRH1_human__wt_H8</v>
      </c>
      <c r="B1063" s="45" t="s">
        <v>225</v>
      </c>
      <c r="C1063" s="45" t="s">
        <v>294</v>
      </c>
      <c r="D1063" s="4" t="str">
        <f>VLOOKUP(B1063,Classification!A:D,2,FALSE)</f>
        <v>A</v>
      </c>
      <c r="E1063" s="4" t="str">
        <f>VLOOKUP(B1063,Classification!A:D,3,FALSE)</f>
        <v>Aminergic</v>
      </c>
      <c r="F1063" s="4" t="str">
        <f>VLOOKUP(B1063,Classification!A:D,4,FALSE)</f>
        <v>Histamine</v>
      </c>
      <c r="G1063" s="2">
        <v>14</v>
      </c>
      <c r="H1063" s="45" t="s">
        <v>52</v>
      </c>
      <c r="I1063" s="2" t="s">
        <v>1223</v>
      </c>
      <c r="J1063" s="5" t="str">
        <f>VLOOKUP(B1063,Seqs!A:B,2,FALSE)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063" s="4" t="str">
        <f t="shared" si="102"/>
        <v>N</v>
      </c>
      <c r="L1063" s="45">
        <f>VLOOKUP(B1063,'NonXtal_SegEnds_Prot#'!A:AL,36,FALSE)</f>
        <v>472</v>
      </c>
      <c r="M1063" s="45">
        <f>VLOOKUP(B1063,'NonXtal_SegEnds_Prot#'!A:AL,37,FALSE)</f>
        <v>475</v>
      </c>
      <c r="N1063" s="45">
        <f>VLOOKUP(B1063,'NonXtal_SegEnds_Prot#'!A:AL,38,FALSE)</f>
        <v>484</v>
      </c>
      <c r="O1063" s="4" t="str">
        <f t="shared" si="97"/>
        <v>H</v>
      </c>
      <c r="P1063" s="4"/>
      <c r="Q1063" s="47" t="str">
        <f t="shared" si="99"/>
        <v>NEN</v>
      </c>
      <c r="R1063" s="27" t="str">
        <f t="shared" si="100"/>
        <v>F</v>
      </c>
      <c r="S1063" s="19" t="str">
        <f t="shared" si="101"/>
        <v>KKTFKRILH</v>
      </c>
      <c r="Z1063" s="4"/>
      <c r="AD1063" s="1" t="s">
        <v>53</v>
      </c>
      <c r="AE1063" s="1">
        <v>473</v>
      </c>
      <c r="AF1063" s="1">
        <v>475</v>
      </c>
      <c r="AG1063" s="1">
        <v>484</v>
      </c>
      <c r="AH1063" s="1" t="s">
        <v>85</v>
      </c>
      <c r="AK1063" s="4">
        <v>48</v>
      </c>
      <c r="AL1063" s="4">
        <v>59</v>
      </c>
    </row>
    <row r="1064" spans="1:38" x14ac:dyDescent="0.25">
      <c r="A1064" s="1" t="str">
        <f t="shared" si="98"/>
        <v>HRH1_human_3RZE_H8</v>
      </c>
      <c r="B1064" s="45" t="s">
        <v>225</v>
      </c>
      <c r="C1064" s="45" t="s">
        <v>264</v>
      </c>
      <c r="D1064" s="4" t="str">
        <f>VLOOKUP(B1064,Classification!A:D,2,FALSE)</f>
        <v>A</v>
      </c>
      <c r="E1064" s="4" t="str">
        <f>VLOOKUP(B1064,Classification!A:D,3,FALSE)</f>
        <v>Aminergic</v>
      </c>
      <c r="F1064" s="4" t="str">
        <f>VLOOKUP(B1064,Classification!A:D,4,FALSE)</f>
        <v>Histamine</v>
      </c>
      <c r="G1064" s="2">
        <v>14</v>
      </c>
      <c r="H1064" s="45" t="s">
        <v>52</v>
      </c>
      <c r="I1064" s="2" t="s">
        <v>1223</v>
      </c>
      <c r="J1064" s="5" t="str">
        <f>VLOOKUP(B1064,Seqs!A:B,2,FALSE)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064" s="4" t="str">
        <f t="shared" si="102"/>
        <v>N</v>
      </c>
      <c r="L1064" s="45">
        <f>VLOOKUP(B1064,'NonXtal_SegEnds_Prot#'!A:AL,36,FALSE)</f>
        <v>472</v>
      </c>
      <c r="M1064" s="45">
        <f>VLOOKUP(B1064,'NonXtal_SegEnds_Prot#'!A:AL,37,FALSE)</f>
        <v>475</v>
      </c>
      <c r="N1064" s="45">
        <f>VLOOKUP(B1064,'NonXtal_SegEnds_Prot#'!A:AL,38,FALSE)</f>
        <v>484</v>
      </c>
      <c r="O1064" s="4" t="str">
        <f t="shared" si="97"/>
        <v>H</v>
      </c>
      <c r="P1064" s="4"/>
      <c r="Q1064" s="47" t="str">
        <f t="shared" si="99"/>
        <v>NEN</v>
      </c>
      <c r="R1064" s="27" t="str">
        <f t="shared" si="100"/>
        <v>F</v>
      </c>
      <c r="S1064" s="19" t="str">
        <f t="shared" si="101"/>
        <v>KKTFKRILH</v>
      </c>
      <c r="Z1064" s="4"/>
      <c r="AD1064" s="1" t="s">
        <v>53</v>
      </c>
      <c r="AE1064" s="1">
        <v>473</v>
      </c>
      <c r="AF1064" s="1">
        <v>475</v>
      </c>
      <c r="AG1064" s="1">
        <v>484</v>
      </c>
      <c r="AH1064" s="1" t="s">
        <v>85</v>
      </c>
      <c r="AK1064" s="4">
        <v>48</v>
      </c>
      <c r="AL1064" s="4">
        <v>59</v>
      </c>
    </row>
    <row r="1065" spans="1:38" x14ac:dyDescent="0.25">
      <c r="A1065" s="1" t="str">
        <f t="shared" si="98"/>
        <v>LPAR1_human__wt_H8</v>
      </c>
      <c r="B1065" s="45" t="s">
        <v>214</v>
      </c>
      <c r="C1065" s="45" t="s">
        <v>294</v>
      </c>
      <c r="D1065" s="4" t="str">
        <f>VLOOKUP(B1065,Classification!A:D,2,FALSE)</f>
        <v>A</v>
      </c>
      <c r="E1065" s="4" t="str">
        <f>VLOOKUP(B1065,Classification!A:D,3,FALSE)</f>
        <v>Lipid</v>
      </c>
      <c r="F1065" s="4" t="str">
        <f>VLOOKUP(B1065,Classification!A:D,4,FALSE)</f>
        <v>Lysophospholipid(LPA)</v>
      </c>
      <c r="G1065" s="2">
        <v>14</v>
      </c>
      <c r="H1065" s="45" t="s">
        <v>52</v>
      </c>
      <c r="I1065" s="2" t="s">
        <v>1223</v>
      </c>
      <c r="J1065" s="5" t="str">
        <f>VLOOKUP(B1065,Seqs!A:B,2,FALSE)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065" s="4" t="str">
        <f t="shared" si="102"/>
        <v>D</v>
      </c>
      <c r="L1065" s="45">
        <f>VLOOKUP(B1065,'NonXtal_SegEnds_Prot#'!A:AL,36,FALSE)</f>
        <v>315</v>
      </c>
      <c r="M1065" s="45">
        <f>VLOOKUP(B1065,'NonXtal_SegEnds_Prot#'!A:AL,37,FALSE)</f>
        <v>318</v>
      </c>
      <c r="N1065" s="45">
        <f>VLOOKUP(B1065,'NonXtal_SegEnds_Prot#'!A:AL,38,FALSE)</f>
        <v>327</v>
      </c>
      <c r="O1065" s="4" t="str">
        <f t="shared" si="97"/>
        <v>C</v>
      </c>
      <c r="P1065" s="4"/>
      <c r="Q1065" s="47" t="str">
        <f t="shared" si="99"/>
        <v>DKE</v>
      </c>
      <c r="R1065" s="27" t="str">
        <f t="shared" si="100"/>
        <v>M</v>
      </c>
      <c r="S1065" s="19" t="str">
        <f t="shared" si="101"/>
        <v>SATFRQILC</v>
      </c>
      <c r="Z1065" s="4"/>
      <c r="AD1065" s="1" t="s">
        <v>53</v>
      </c>
      <c r="AE1065" s="1">
        <v>316</v>
      </c>
      <c r="AF1065" s="1">
        <v>318</v>
      </c>
      <c r="AG1065" s="1">
        <v>327</v>
      </c>
      <c r="AH1065" s="1" t="s">
        <v>85</v>
      </c>
      <c r="AK1065" s="4">
        <v>48</v>
      </c>
      <c r="AL1065" s="4">
        <v>59</v>
      </c>
    </row>
    <row r="1066" spans="1:38" x14ac:dyDescent="0.25">
      <c r="A1066" s="1" t="str">
        <f t="shared" si="98"/>
        <v>LPAR1_human_4Z35_H8</v>
      </c>
      <c r="B1066" s="45" t="s">
        <v>214</v>
      </c>
      <c r="C1066" s="45" t="s">
        <v>281</v>
      </c>
      <c r="D1066" s="4" t="str">
        <f>VLOOKUP(B1066,Classification!A:D,2,FALSE)</f>
        <v>A</v>
      </c>
      <c r="E1066" s="4" t="str">
        <f>VLOOKUP(B1066,Classification!A:D,3,FALSE)</f>
        <v>Lipid</v>
      </c>
      <c r="F1066" s="4" t="str">
        <f>VLOOKUP(B1066,Classification!A:D,4,FALSE)</f>
        <v>Lysophospholipid(LPA)</v>
      </c>
      <c r="G1066" s="2">
        <v>14</v>
      </c>
      <c r="H1066" s="45" t="s">
        <v>52</v>
      </c>
      <c r="I1066" s="2" t="s">
        <v>1223</v>
      </c>
      <c r="J1066" s="5" t="str">
        <f>VLOOKUP(B1066,Seqs!A:B,2,FALSE)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066" s="4" t="str">
        <f t="shared" si="102"/>
        <v>D</v>
      </c>
      <c r="L1066" s="45">
        <f>VLOOKUP(B1066,'NonXtal_SegEnds_Prot#'!A:AL,36,FALSE)</f>
        <v>315</v>
      </c>
      <c r="M1066" s="45">
        <f>VLOOKUP(B1066,'NonXtal_SegEnds_Prot#'!A:AL,37,FALSE)</f>
        <v>318</v>
      </c>
      <c r="N1066" s="45">
        <f>VLOOKUP(B1066,'NonXtal_SegEnds_Prot#'!A:AL,38,FALSE)</f>
        <v>327</v>
      </c>
      <c r="O1066" s="4" t="str">
        <f t="shared" ref="O1066:O1105" si="103">MID(J1066,N1066,1)</f>
        <v>C</v>
      </c>
      <c r="P1066" s="4"/>
      <c r="Q1066" s="47" t="str">
        <f t="shared" si="99"/>
        <v>DKE</v>
      </c>
      <c r="R1066" s="27" t="str">
        <f t="shared" si="100"/>
        <v>M</v>
      </c>
      <c r="S1066" s="19" t="str">
        <f t="shared" si="101"/>
        <v>SATFRQILC</v>
      </c>
      <c r="Z1066" s="4"/>
      <c r="AD1066" s="1" t="s">
        <v>53</v>
      </c>
      <c r="AE1066" s="1">
        <v>316</v>
      </c>
      <c r="AF1066" s="1">
        <v>318</v>
      </c>
      <c r="AG1066" s="1">
        <v>327</v>
      </c>
      <c r="AH1066" s="1" t="s">
        <v>85</v>
      </c>
      <c r="AK1066" s="4">
        <v>48</v>
      </c>
      <c r="AL1066" s="4">
        <v>59</v>
      </c>
    </row>
    <row r="1067" spans="1:38" x14ac:dyDescent="0.25">
      <c r="A1067" s="1" t="str">
        <f t="shared" si="98"/>
        <v>NTR1_rat__wt_H8</v>
      </c>
      <c r="B1067" s="45" t="s">
        <v>234</v>
      </c>
      <c r="C1067" s="45" t="s">
        <v>294</v>
      </c>
      <c r="D1067" s="4" t="str">
        <f>VLOOKUP(B1067,Classification!A:D,2,FALSE)</f>
        <v>A</v>
      </c>
      <c r="E1067" s="4" t="str">
        <f>VLOOKUP(B1067,Classification!A:D,3,FALSE)</f>
        <v>Peptide</v>
      </c>
      <c r="F1067" s="4" t="str">
        <f>VLOOKUP(B1067,Classification!A:D,4,FALSE)</f>
        <v>Neurotensin</v>
      </c>
      <c r="G1067" s="2">
        <v>14</v>
      </c>
      <c r="H1067" s="45" t="s">
        <v>52</v>
      </c>
      <c r="I1067" s="2" t="s">
        <v>1223</v>
      </c>
      <c r="J1067" s="5" t="str">
        <f>VLOOKUP(B1067,Seqs!A:B,2,FALSE)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067" s="4" t="str">
        <f t="shared" si="102"/>
        <v>S</v>
      </c>
      <c r="L1067" s="45">
        <f>VLOOKUP(B1067,'NonXtal_SegEnds_Prot#'!A:AL,36,FALSE)</f>
        <v>373</v>
      </c>
      <c r="M1067" s="45">
        <f>VLOOKUP(B1067,'NonXtal_SegEnds_Prot#'!A:AL,37,FALSE)</f>
        <v>376</v>
      </c>
      <c r="N1067" s="45">
        <f>VLOOKUP(B1067,'NonXtal_SegEnds_Prot#'!A:AL,38,FALSE)</f>
        <v>384</v>
      </c>
      <c r="O1067" s="4" t="str">
        <f t="shared" si="103"/>
        <v>L</v>
      </c>
      <c r="P1067" s="4"/>
      <c r="Q1067" s="47" t="str">
        <f t="shared" si="99"/>
        <v>SAN</v>
      </c>
      <c r="R1067" s="27" t="str">
        <f t="shared" si="100"/>
        <v>F</v>
      </c>
      <c r="S1067" s="19" t="str">
        <f t="shared" si="101"/>
        <v>RQVFLSTL</v>
      </c>
      <c r="Z1067" s="4" t="s">
        <v>78</v>
      </c>
      <c r="AD1067" s="1" t="s">
        <v>53</v>
      </c>
      <c r="AE1067" s="1">
        <v>374</v>
      </c>
      <c r="AF1067" s="1">
        <v>376</v>
      </c>
      <c r="AG1067" s="1">
        <v>384</v>
      </c>
      <c r="AH1067" s="1" t="s">
        <v>54</v>
      </c>
      <c r="AK1067" s="4">
        <v>48</v>
      </c>
      <c r="AL1067" s="4">
        <v>58</v>
      </c>
    </row>
    <row r="1068" spans="1:38" x14ac:dyDescent="0.25">
      <c r="A1068" s="1" t="str">
        <f t="shared" si="98"/>
        <v>NTR1_rat_4BOU_H8</v>
      </c>
      <c r="B1068" s="45" t="s">
        <v>234</v>
      </c>
      <c r="C1068" s="45" t="s">
        <v>239</v>
      </c>
      <c r="D1068" s="4" t="str">
        <f>VLOOKUP(B1068,Classification!A:D,2,FALSE)</f>
        <v>A</v>
      </c>
      <c r="E1068" s="4" t="str">
        <f>VLOOKUP(B1068,Classification!A:D,3,FALSE)</f>
        <v>Peptide</v>
      </c>
      <c r="F1068" s="4" t="str">
        <f>VLOOKUP(B1068,Classification!A:D,4,FALSE)</f>
        <v>Neurotensin</v>
      </c>
      <c r="G1068" s="2">
        <v>14</v>
      </c>
      <c r="H1068" s="45" t="s">
        <v>52</v>
      </c>
      <c r="I1068" s="2" t="s">
        <v>1223</v>
      </c>
      <c r="J1068" s="5" t="str">
        <f>VLOOKUP(B1068,Seqs!A:B,2,FALSE)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068" s="4" t="str">
        <f t="shared" si="102"/>
        <v>S</v>
      </c>
      <c r="L1068" s="45">
        <f>VLOOKUP(B1068,'NonXtal_SegEnds_Prot#'!A:AL,36,FALSE)</f>
        <v>373</v>
      </c>
      <c r="M1068" s="45">
        <f>VLOOKUP(B1068,'NonXtal_SegEnds_Prot#'!A:AL,37,FALSE)</f>
        <v>376</v>
      </c>
      <c r="N1068" s="45">
        <f>VLOOKUP(B1068,'NonXtal_SegEnds_Prot#'!A:AL,38,FALSE)</f>
        <v>384</v>
      </c>
      <c r="O1068" s="4" t="str">
        <f t="shared" si="103"/>
        <v>L</v>
      </c>
      <c r="P1068" s="4"/>
      <c r="Q1068" s="47" t="str">
        <f t="shared" si="99"/>
        <v>SAN</v>
      </c>
      <c r="R1068" s="27" t="str">
        <f t="shared" si="100"/>
        <v>F</v>
      </c>
      <c r="S1068" s="19" t="str">
        <f t="shared" si="101"/>
        <v>RQVFLSTL</v>
      </c>
      <c r="Z1068" s="4" t="s">
        <v>78</v>
      </c>
      <c r="AD1068" s="1" t="s">
        <v>53</v>
      </c>
      <c r="AE1068" s="1">
        <v>374</v>
      </c>
      <c r="AF1068" s="1">
        <v>376</v>
      </c>
      <c r="AG1068" s="1">
        <v>384</v>
      </c>
      <c r="AH1068" s="1" t="s">
        <v>54</v>
      </c>
      <c r="AK1068" s="4">
        <v>48</v>
      </c>
      <c r="AL1068" s="4">
        <v>58</v>
      </c>
    </row>
    <row r="1069" spans="1:38" x14ac:dyDescent="0.25">
      <c r="A1069" s="1" t="str">
        <f t="shared" si="98"/>
        <v>NTR1_rat_4GRV_H8</v>
      </c>
      <c r="B1069" s="45" t="s">
        <v>234</v>
      </c>
      <c r="C1069" s="45" t="s">
        <v>238</v>
      </c>
      <c r="D1069" s="4" t="str">
        <f>VLOOKUP(B1069,Classification!A:D,2,FALSE)</f>
        <v>A</v>
      </c>
      <c r="E1069" s="4" t="str">
        <f>VLOOKUP(B1069,Classification!A:D,3,FALSE)</f>
        <v>Peptide</v>
      </c>
      <c r="F1069" s="4" t="str">
        <f>VLOOKUP(B1069,Classification!A:D,4,FALSE)</f>
        <v>Neurotensin</v>
      </c>
      <c r="G1069" s="2">
        <v>14</v>
      </c>
      <c r="H1069" s="45" t="s">
        <v>52</v>
      </c>
      <c r="I1069" s="2" t="s">
        <v>1223</v>
      </c>
      <c r="J1069" s="5" t="str">
        <f>VLOOKUP(B1069,Seqs!A:B,2,FALSE)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069" s="4" t="str">
        <f t="shared" si="102"/>
        <v>S</v>
      </c>
      <c r="L1069" s="45">
        <f>VLOOKUP(B1069,'NonXtal_SegEnds_Prot#'!A:AL,36,FALSE)</f>
        <v>373</v>
      </c>
      <c r="M1069" s="45">
        <f>VLOOKUP(B1069,'NonXtal_SegEnds_Prot#'!A:AL,37,FALSE)</f>
        <v>376</v>
      </c>
      <c r="N1069" s="45">
        <f>VLOOKUP(B1069,'NonXtal_SegEnds_Prot#'!A:AL,38,FALSE)</f>
        <v>384</v>
      </c>
      <c r="O1069" s="4" t="str">
        <f t="shared" si="103"/>
        <v>L</v>
      </c>
      <c r="P1069" s="4"/>
      <c r="Q1069" s="47" t="str">
        <f t="shared" si="99"/>
        <v>SAN</v>
      </c>
      <c r="R1069" s="28" t="str">
        <f t="shared" si="100"/>
        <v>F</v>
      </c>
      <c r="S1069" s="20" t="str">
        <f t="shared" si="101"/>
        <v>RQVFLSTL</v>
      </c>
      <c r="Z1069" s="4"/>
      <c r="AD1069" s="1" t="s">
        <v>53</v>
      </c>
      <c r="AE1069" s="1">
        <v>374</v>
      </c>
      <c r="AF1069" s="1">
        <v>376</v>
      </c>
      <c r="AG1069" s="1">
        <v>384</v>
      </c>
      <c r="AH1069" s="1" t="s">
        <v>54</v>
      </c>
      <c r="AK1069" s="4">
        <v>48</v>
      </c>
      <c r="AL1069" s="4">
        <v>58</v>
      </c>
    </row>
    <row r="1070" spans="1:38" x14ac:dyDescent="0.25">
      <c r="A1070" s="1" t="str">
        <f t="shared" si="98"/>
        <v>OPRD_human__wt_H8</v>
      </c>
      <c r="B1070" s="45" t="s">
        <v>226</v>
      </c>
      <c r="C1070" s="45" t="s">
        <v>294</v>
      </c>
      <c r="D1070" s="4" t="str">
        <f>VLOOKUP(B1070,Classification!A:D,2,FALSE)</f>
        <v>A</v>
      </c>
      <c r="E1070" s="4" t="str">
        <f>VLOOKUP(B1070,Classification!A:D,3,FALSE)</f>
        <v>Peptide</v>
      </c>
      <c r="F1070" s="4" t="str">
        <f>VLOOKUP(B1070,Classification!A:D,4,FALSE)</f>
        <v>Opioid</v>
      </c>
      <c r="G1070" s="2">
        <v>14</v>
      </c>
      <c r="H1070" s="45" t="s">
        <v>52</v>
      </c>
      <c r="I1070" s="2" t="s">
        <v>1223</v>
      </c>
      <c r="J1070" s="5" t="str">
        <f>VLOOKUP(B1070,Seqs!A:B,2,FALSE)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070" s="4" t="str">
        <f t="shared" si="102"/>
        <v>D</v>
      </c>
      <c r="L1070" s="45">
        <f>VLOOKUP(B1070,'NonXtal_SegEnds_Prot#'!A:AL,36,FALSE)</f>
        <v>322</v>
      </c>
      <c r="M1070" s="45">
        <f>VLOOKUP(B1070,'NonXtal_SegEnds_Prot#'!A:AL,37,FALSE)</f>
        <v>325</v>
      </c>
      <c r="N1070" s="45">
        <f>VLOOKUP(B1070,'NonXtal_SegEnds_Prot#'!A:AL,38,FALSE)</f>
        <v>335</v>
      </c>
      <c r="O1070" s="4" t="str">
        <f t="shared" si="103"/>
        <v>K</v>
      </c>
      <c r="P1070" s="4"/>
      <c r="Q1070" s="47" t="str">
        <f t="shared" si="99"/>
        <v>DEN</v>
      </c>
      <c r="R1070" s="27" t="str">
        <f t="shared" si="100"/>
        <v>F</v>
      </c>
      <c r="S1070" s="19" t="str">
        <f t="shared" si="101"/>
        <v>KRCFRQLCRK</v>
      </c>
      <c r="Z1070" s="4"/>
      <c r="AD1070" s="1" t="s">
        <v>53</v>
      </c>
      <c r="AE1070" s="1">
        <v>323</v>
      </c>
      <c r="AF1070" s="1">
        <v>325</v>
      </c>
      <c r="AG1070" s="1">
        <v>335</v>
      </c>
      <c r="AH1070" s="1" t="s">
        <v>79</v>
      </c>
      <c r="AK1070" s="4">
        <v>48</v>
      </c>
      <c r="AL1070" s="4">
        <v>60</v>
      </c>
    </row>
    <row r="1071" spans="1:38" x14ac:dyDescent="0.25">
      <c r="A1071" s="1" t="str">
        <f t="shared" si="98"/>
        <v>OPRD_human_4N6H_H8</v>
      </c>
      <c r="B1071" s="45" t="s">
        <v>226</v>
      </c>
      <c r="C1071" s="45" t="s">
        <v>279</v>
      </c>
      <c r="D1071" s="4" t="str">
        <f>VLOOKUP(B1071,Classification!A:D,2,FALSE)</f>
        <v>A</v>
      </c>
      <c r="E1071" s="4" t="str">
        <f>VLOOKUP(B1071,Classification!A:D,3,FALSE)</f>
        <v>Peptide</v>
      </c>
      <c r="F1071" s="4" t="str">
        <f>VLOOKUP(B1071,Classification!A:D,4,FALSE)</f>
        <v>Opioid</v>
      </c>
      <c r="G1071" s="2">
        <v>14</v>
      </c>
      <c r="H1071" s="45" t="s">
        <v>52</v>
      </c>
      <c r="I1071" s="2" t="s">
        <v>1223</v>
      </c>
      <c r="J1071" s="5" t="str">
        <f>VLOOKUP(B1071,Seqs!A:B,2,FALSE)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071" s="4" t="str">
        <f t="shared" si="102"/>
        <v>D</v>
      </c>
      <c r="L1071" s="45">
        <f>VLOOKUP(B1071,'NonXtal_SegEnds_Prot#'!A:AL,36,FALSE)</f>
        <v>322</v>
      </c>
      <c r="M1071" s="45">
        <f>VLOOKUP(B1071,'NonXtal_SegEnds_Prot#'!A:AL,37,FALSE)</f>
        <v>325</v>
      </c>
      <c r="N1071" s="45">
        <f>VLOOKUP(B1071,'NonXtal_SegEnds_Prot#'!A:AL,38,FALSE)</f>
        <v>335</v>
      </c>
      <c r="O1071" s="4" t="str">
        <f t="shared" si="103"/>
        <v>K</v>
      </c>
      <c r="P1071" s="4"/>
      <c r="Q1071" s="47" t="str">
        <f t="shared" si="99"/>
        <v>DEN</v>
      </c>
      <c r="R1071" s="27" t="str">
        <f t="shared" si="100"/>
        <v>F</v>
      </c>
      <c r="S1071" s="19" t="str">
        <f t="shared" si="101"/>
        <v>KRCFRQLCRK</v>
      </c>
      <c r="Z1071" s="4"/>
      <c r="AD1071" s="1" t="s">
        <v>53</v>
      </c>
      <c r="AE1071" s="1">
        <v>323</v>
      </c>
      <c r="AF1071" s="1">
        <v>325</v>
      </c>
      <c r="AG1071" s="1">
        <v>335</v>
      </c>
      <c r="AH1071" s="1" t="s">
        <v>79</v>
      </c>
      <c r="AK1071" s="4">
        <v>48</v>
      </c>
      <c r="AL1071" s="4">
        <v>60</v>
      </c>
    </row>
    <row r="1072" spans="1:38" x14ac:dyDescent="0.25">
      <c r="A1072" s="1" t="str">
        <f t="shared" si="98"/>
        <v>OPRD_mouse_4EJ4_H8</v>
      </c>
      <c r="B1072" s="45" t="s">
        <v>233</v>
      </c>
      <c r="C1072" s="45" t="s">
        <v>255</v>
      </c>
      <c r="D1072" s="4" t="str">
        <f>VLOOKUP(B1072,Classification!A:D,2,FALSE)</f>
        <v>A</v>
      </c>
      <c r="E1072" s="4" t="str">
        <f>VLOOKUP(B1072,Classification!A:D,3,FALSE)</f>
        <v>Peptide</v>
      </c>
      <c r="F1072" s="4" t="str">
        <f>VLOOKUP(B1072,Classification!A:D,4,FALSE)</f>
        <v>Opioid</v>
      </c>
      <c r="G1072" s="2">
        <v>14</v>
      </c>
      <c r="H1072" s="45" t="s">
        <v>52</v>
      </c>
      <c r="I1072" s="2" t="s">
        <v>1223</v>
      </c>
      <c r="J1072" s="5" t="str">
        <f>VLOOKUP(B1072,Seqs!A:B,2,FALSE)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1072" s="4" t="str">
        <f t="shared" si="102"/>
        <v>D</v>
      </c>
      <c r="L1072" s="45">
        <f>VLOOKUP(B1072,'NonXtal_SegEnds_Prot#'!A:AL,36,FALSE)</f>
        <v>322</v>
      </c>
      <c r="M1072" s="45">
        <f>VLOOKUP(B1072,'NonXtal_SegEnds_Prot#'!A:AL,37,FALSE)</f>
        <v>325</v>
      </c>
      <c r="N1072" s="45">
        <f>VLOOKUP(B1072,'NonXtal_SegEnds_Prot#'!A:AL,38,FALSE)</f>
        <v>335</v>
      </c>
      <c r="O1072" s="4" t="str">
        <f t="shared" si="103"/>
        <v>T</v>
      </c>
      <c r="P1072" s="4"/>
      <c r="Q1072" s="47" t="str">
        <f t="shared" si="99"/>
        <v>DEN</v>
      </c>
      <c r="R1072" s="27" t="str">
        <f t="shared" si="100"/>
        <v>F</v>
      </c>
      <c r="S1072" s="19" t="str">
        <f t="shared" si="101"/>
        <v>KRCFRQLCRT</v>
      </c>
      <c r="Z1072" s="4"/>
      <c r="AD1072" s="1" t="s">
        <v>53</v>
      </c>
      <c r="AE1072" s="1">
        <v>323</v>
      </c>
      <c r="AF1072" s="1">
        <v>325</v>
      </c>
      <c r="AG1072" s="1">
        <v>328</v>
      </c>
      <c r="AH1072" s="1" t="s">
        <v>141</v>
      </c>
      <c r="AK1072" s="4">
        <v>48</v>
      </c>
      <c r="AL1072" s="4">
        <v>53</v>
      </c>
    </row>
    <row r="1073" spans="1:38" x14ac:dyDescent="0.25">
      <c r="A1073" s="1" t="str">
        <f t="shared" si="98"/>
        <v>OPRK_human__wt_H8</v>
      </c>
      <c r="B1073" s="45" t="s">
        <v>227</v>
      </c>
      <c r="C1073" s="45" t="s">
        <v>294</v>
      </c>
      <c r="D1073" s="4" t="str">
        <f>VLOOKUP(B1073,Classification!A:D,2,FALSE)</f>
        <v>A</v>
      </c>
      <c r="E1073" s="4" t="str">
        <f>VLOOKUP(B1073,Classification!A:D,3,FALSE)</f>
        <v>Peptide</v>
      </c>
      <c r="F1073" s="4" t="str">
        <f>VLOOKUP(B1073,Classification!A:D,4,FALSE)</f>
        <v>Opioid</v>
      </c>
      <c r="G1073" s="2">
        <v>14</v>
      </c>
      <c r="H1073" s="45" t="s">
        <v>52</v>
      </c>
      <c r="I1073" s="2" t="s">
        <v>1223</v>
      </c>
      <c r="J1073" s="5" t="str">
        <f>VLOOKUP(B1073,Seqs!A:B,2,FALSE)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073" s="4" t="str">
        <f t="shared" si="102"/>
        <v>D</v>
      </c>
      <c r="L1073" s="45">
        <f>VLOOKUP(B1073,'NonXtal_SegEnds_Prot#'!A:AL,36,FALSE)</f>
        <v>334</v>
      </c>
      <c r="M1073" s="45">
        <f>VLOOKUP(B1073,'NonXtal_SegEnds_Prot#'!A:AL,37,FALSE)</f>
        <v>337</v>
      </c>
      <c r="N1073" s="45">
        <f>VLOOKUP(B1073,'NonXtal_SegEnds_Prot#'!A:AL,38,FALSE)</f>
        <v>346</v>
      </c>
      <c r="O1073" s="4" t="str">
        <f t="shared" si="103"/>
        <v>F</v>
      </c>
      <c r="P1073" s="4"/>
      <c r="Q1073" s="47" t="str">
        <f t="shared" si="99"/>
        <v>DEN</v>
      </c>
      <c r="R1073" s="27" t="str">
        <f t="shared" si="100"/>
        <v>F</v>
      </c>
      <c r="S1073" s="19" t="str">
        <f t="shared" si="101"/>
        <v>KRCFRDFCF</v>
      </c>
      <c r="Z1073" s="4"/>
      <c r="AD1073" s="1" t="s">
        <v>53</v>
      </c>
      <c r="AE1073" s="1">
        <v>335</v>
      </c>
      <c r="AF1073" s="1">
        <v>337</v>
      </c>
      <c r="AG1073" s="1">
        <v>346</v>
      </c>
      <c r="AH1073" s="1" t="s">
        <v>85</v>
      </c>
      <c r="AK1073" s="4">
        <v>48</v>
      </c>
      <c r="AL1073" s="4">
        <v>59</v>
      </c>
    </row>
    <row r="1074" spans="1:38" x14ac:dyDescent="0.25">
      <c r="A1074" s="1" t="str">
        <f t="shared" si="98"/>
        <v>OPRK_human_4DJH_H8</v>
      </c>
      <c r="B1074" s="45" t="s">
        <v>227</v>
      </c>
      <c r="C1074" s="45" t="s">
        <v>280</v>
      </c>
      <c r="D1074" s="4" t="str">
        <f>VLOOKUP(B1074,Classification!A:D,2,FALSE)</f>
        <v>A</v>
      </c>
      <c r="E1074" s="4" t="str">
        <f>VLOOKUP(B1074,Classification!A:D,3,FALSE)</f>
        <v>Peptide</v>
      </c>
      <c r="F1074" s="4" t="str">
        <f>VLOOKUP(B1074,Classification!A:D,4,FALSE)</f>
        <v>Opioid</v>
      </c>
      <c r="G1074" s="2">
        <v>14</v>
      </c>
      <c r="H1074" s="45" t="s">
        <v>52</v>
      </c>
      <c r="I1074" s="2" t="s">
        <v>1223</v>
      </c>
      <c r="J1074" s="5" t="str">
        <f>VLOOKUP(B1074,Seqs!A:B,2,FALSE)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074" s="4" t="str">
        <f t="shared" si="102"/>
        <v>D</v>
      </c>
      <c r="L1074" s="45">
        <f>VLOOKUP(B1074,'NonXtal_SegEnds_Prot#'!A:AL,36,FALSE)</f>
        <v>334</v>
      </c>
      <c r="M1074" s="45">
        <f>VLOOKUP(B1074,'NonXtal_SegEnds_Prot#'!A:AL,37,FALSE)</f>
        <v>337</v>
      </c>
      <c r="N1074" s="45">
        <f>VLOOKUP(B1074,'NonXtal_SegEnds_Prot#'!A:AL,38,FALSE)</f>
        <v>346</v>
      </c>
      <c r="O1074" s="4" t="str">
        <f t="shared" si="103"/>
        <v>F</v>
      </c>
      <c r="P1074" s="4"/>
      <c r="Q1074" s="47" t="str">
        <f t="shared" si="99"/>
        <v>DEN</v>
      </c>
      <c r="R1074" s="27" t="str">
        <f t="shared" si="100"/>
        <v>F</v>
      </c>
      <c r="S1074" s="19" t="str">
        <f t="shared" si="101"/>
        <v>KRCFRDFCF</v>
      </c>
      <c r="Z1074" s="4"/>
      <c r="AD1074" s="1" t="s">
        <v>53</v>
      </c>
      <c r="AE1074" s="1">
        <v>335</v>
      </c>
      <c r="AF1074" s="1">
        <v>337</v>
      </c>
      <c r="AG1074" s="1">
        <v>346</v>
      </c>
      <c r="AH1074" s="1" t="s">
        <v>85</v>
      </c>
      <c r="AK1074" s="4">
        <v>48</v>
      </c>
      <c r="AL1074" s="4">
        <v>59</v>
      </c>
    </row>
    <row r="1075" spans="1:38" x14ac:dyDescent="0.25">
      <c r="A1075" s="1" t="str">
        <f t="shared" si="98"/>
        <v>OPRM_mouse__wt_H8</v>
      </c>
      <c r="B1075" s="45" t="s">
        <v>232</v>
      </c>
      <c r="C1075" s="45" t="s">
        <v>294</v>
      </c>
      <c r="D1075" s="4" t="str">
        <f>VLOOKUP(B1075,Classification!A:D,2,FALSE)</f>
        <v>A</v>
      </c>
      <c r="E1075" s="4" t="str">
        <f>VLOOKUP(B1075,Classification!A:D,3,FALSE)</f>
        <v>Peptide</v>
      </c>
      <c r="F1075" s="4" t="str">
        <f>VLOOKUP(B1075,Classification!A:D,4,FALSE)</f>
        <v>Opioid</v>
      </c>
      <c r="G1075" s="2">
        <v>14</v>
      </c>
      <c r="H1075" s="45" t="s">
        <v>52</v>
      </c>
      <c r="I1075" s="2" t="s">
        <v>1223</v>
      </c>
      <c r="J1075" s="5" t="str">
        <f>VLOOKUP(B1075,Seqs!A:B,2,FALSE)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075" s="4" t="str">
        <f t="shared" si="102"/>
        <v>D</v>
      </c>
      <c r="L1075" s="45">
        <f>VLOOKUP(B1075,'NonXtal_SegEnds_Prot#'!A:AL,36,FALSE)</f>
        <v>340</v>
      </c>
      <c r="M1075" s="45">
        <f>VLOOKUP(B1075,'NonXtal_SegEnds_Prot#'!A:AL,37,FALSE)</f>
        <v>343</v>
      </c>
      <c r="N1075" s="45">
        <f>VLOOKUP(B1075,'NonXtal_SegEnds_Prot#'!A:AL,38,FALSE)</f>
        <v>352</v>
      </c>
      <c r="O1075" s="4" t="str">
        <f t="shared" si="103"/>
        <v>I</v>
      </c>
      <c r="P1075" s="4"/>
      <c r="Q1075" s="47" t="str">
        <f t="shared" si="99"/>
        <v>DEN</v>
      </c>
      <c r="R1075" s="27" t="str">
        <f t="shared" si="100"/>
        <v>F</v>
      </c>
      <c r="S1075" s="19" t="str">
        <f t="shared" si="101"/>
        <v>KRCFREFCI</v>
      </c>
      <c r="Z1075" s="4" t="s">
        <v>64</v>
      </c>
      <c r="AD1075" s="1" t="s">
        <v>53</v>
      </c>
      <c r="AE1075" s="1">
        <v>341</v>
      </c>
      <c r="AF1075" s="1">
        <v>343</v>
      </c>
      <c r="AG1075" s="1">
        <v>352</v>
      </c>
      <c r="AH1075" s="1" t="s">
        <v>85</v>
      </c>
      <c r="AK1075" s="4">
        <v>48</v>
      </c>
      <c r="AL1075" s="4">
        <v>59</v>
      </c>
    </row>
    <row r="1076" spans="1:38" x14ac:dyDescent="0.25">
      <c r="A1076" s="1" t="str">
        <f t="shared" si="98"/>
        <v>OPRM_mouse_4DKL_H8</v>
      </c>
      <c r="B1076" s="45" t="s">
        <v>232</v>
      </c>
      <c r="C1076" s="45" t="s">
        <v>256</v>
      </c>
      <c r="D1076" s="4" t="str">
        <f>VLOOKUP(B1076,Classification!A:D,2,FALSE)</f>
        <v>A</v>
      </c>
      <c r="E1076" s="4" t="str">
        <f>VLOOKUP(B1076,Classification!A:D,3,FALSE)</f>
        <v>Peptide</v>
      </c>
      <c r="F1076" s="4" t="str">
        <f>VLOOKUP(B1076,Classification!A:D,4,FALSE)</f>
        <v>Opioid</v>
      </c>
      <c r="G1076" s="2">
        <v>14</v>
      </c>
      <c r="H1076" s="45" t="s">
        <v>52</v>
      </c>
      <c r="I1076" s="2" t="s">
        <v>1223</v>
      </c>
      <c r="J1076" s="5" t="str">
        <f>VLOOKUP(B1076,Seqs!A:B,2,FALSE)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076" s="4" t="str">
        <f t="shared" si="102"/>
        <v>D</v>
      </c>
      <c r="L1076" s="45">
        <f>VLOOKUP(B1076,'NonXtal_SegEnds_Prot#'!A:AL,36,FALSE)</f>
        <v>340</v>
      </c>
      <c r="M1076" s="45">
        <f>VLOOKUP(B1076,'NonXtal_SegEnds_Prot#'!A:AL,37,FALSE)</f>
        <v>343</v>
      </c>
      <c r="N1076" s="45">
        <f>VLOOKUP(B1076,'NonXtal_SegEnds_Prot#'!A:AL,38,FALSE)</f>
        <v>352</v>
      </c>
      <c r="O1076" s="4" t="str">
        <f t="shared" si="103"/>
        <v>I</v>
      </c>
      <c r="P1076" s="4"/>
      <c r="Q1076" s="47" t="str">
        <f t="shared" si="99"/>
        <v>DEN</v>
      </c>
      <c r="R1076" s="27" t="str">
        <f t="shared" si="100"/>
        <v>F</v>
      </c>
      <c r="S1076" s="19" t="str">
        <f t="shared" si="101"/>
        <v>KRCFREFCI</v>
      </c>
      <c r="Z1076" s="4"/>
      <c r="AD1076" s="1" t="s">
        <v>53</v>
      </c>
      <c r="AE1076" s="1">
        <v>341</v>
      </c>
      <c r="AF1076" s="1">
        <v>343</v>
      </c>
      <c r="AG1076" s="1">
        <v>352</v>
      </c>
      <c r="AH1076" s="1" t="s">
        <v>85</v>
      </c>
      <c r="AK1076" s="4">
        <v>48</v>
      </c>
      <c r="AL1076" s="4">
        <v>59</v>
      </c>
    </row>
    <row r="1077" spans="1:38" x14ac:dyDescent="0.25">
      <c r="A1077" s="1" t="str">
        <f t="shared" si="98"/>
        <v>OPRM_mouse_5C1M_H8</v>
      </c>
      <c r="B1077" s="45" t="s">
        <v>232</v>
      </c>
      <c r="C1077" s="45" t="s">
        <v>276</v>
      </c>
      <c r="D1077" s="4" t="str">
        <f>VLOOKUP(B1077,Classification!A:D,2,FALSE)</f>
        <v>A</v>
      </c>
      <c r="E1077" s="4" t="str">
        <f>VLOOKUP(B1077,Classification!A:D,3,FALSE)</f>
        <v>Peptide</v>
      </c>
      <c r="F1077" s="4" t="str">
        <f>VLOOKUP(B1077,Classification!A:D,4,FALSE)</f>
        <v>Opioid</v>
      </c>
      <c r="G1077" s="2">
        <v>14</v>
      </c>
      <c r="H1077" s="45" t="s">
        <v>52</v>
      </c>
      <c r="I1077" s="2" t="s">
        <v>1223</v>
      </c>
      <c r="J1077" s="5" t="str">
        <f>VLOOKUP(B1077,Seqs!A:B,2,FALSE)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077" s="4" t="str">
        <f t="shared" si="102"/>
        <v>D</v>
      </c>
      <c r="L1077" s="45">
        <f>VLOOKUP(B1077,'NonXtal_SegEnds_Prot#'!A:AL,36,FALSE)</f>
        <v>340</v>
      </c>
      <c r="M1077" s="45">
        <f>VLOOKUP(B1077,'NonXtal_SegEnds_Prot#'!A:AL,37,FALSE)</f>
        <v>343</v>
      </c>
      <c r="N1077" s="45">
        <f>VLOOKUP(B1077,'NonXtal_SegEnds_Prot#'!A:AL,38,FALSE)</f>
        <v>352</v>
      </c>
      <c r="O1077" s="4" t="str">
        <f t="shared" si="103"/>
        <v>I</v>
      </c>
      <c r="P1077" s="4"/>
      <c r="Q1077" s="47" t="str">
        <f t="shared" si="99"/>
        <v>DEN</v>
      </c>
      <c r="R1077" s="27" t="str">
        <f t="shared" si="100"/>
        <v>F</v>
      </c>
      <c r="S1077" s="19" t="str">
        <f t="shared" si="101"/>
        <v>KRCFREFCI</v>
      </c>
      <c r="Z1077" s="4" t="s">
        <v>64</v>
      </c>
      <c r="AD1077" s="1" t="s">
        <v>53</v>
      </c>
      <c r="AE1077" s="1">
        <v>341</v>
      </c>
      <c r="AF1077" s="1">
        <v>343</v>
      </c>
      <c r="AG1077" s="1">
        <v>352</v>
      </c>
      <c r="AH1077" s="1" t="s">
        <v>85</v>
      </c>
      <c r="AK1077" s="4">
        <v>48</v>
      </c>
      <c r="AL1077" s="4">
        <v>59</v>
      </c>
    </row>
    <row r="1078" spans="1:38" x14ac:dyDescent="0.25">
      <c r="A1078" s="1" t="str">
        <f t="shared" si="98"/>
        <v>OPRX_human__wt_H8</v>
      </c>
      <c r="B1078" s="45" t="s">
        <v>1373</v>
      </c>
      <c r="C1078" s="45" t="s">
        <v>294</v>
      </c>
      <c r="D1078" s="4" t="str">
        <f>VLOOKUP(B1078,Classification!A:D,2,FALSE)</f>
        <v>A</v>
      </c>
      <c r="E1078" s="4" t="str">
        <f>VLOOKUP(B1078,Classification!A:D,3,FALSE)</f>
        <v>Peptide</v>
      </c>
      <c r="F1078" s="4" t="str">
        <f>VLOOKUP(B1078,Classification!A:D,4,FALSE)</f>
        <v>Opioid</v>
      </c>
      <c r="G1078" s="2">
        <v>14</v>
      </c>
      <c r="H1078" s="45" t="s">
        <v>52</v>
      </c>
      <c r="I1078" s="2" t="s">
        <v>1223</v>
      </c>
      <c r="J1078" s="5" t="str">
        <f>VLOOKUP(B1078,Seqs!A:B,2,FALSE)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078" s="4" t="str">
        <f t="shared" si="102"/>
        <v>D</v>
      </c>
      <c r="L1078" s="45">
        <f>VLOOKUP(B1078,'NonXtal_SegEnds_Prot#'!A:AL,36,FALSE)</f>
        <v>323</v>
      </c>
      <c r="M1078" s="45">
        <f>VLOOKUP(B1078,'NonXtal_SegEnds_Prot#'!A:AL,37,FALSE)</f>
        <v>326</v>
      </c>
      <c r="N1078" s="45">
        <f>VLOOKUP(B1078,'NonXtal_SegEnds_Prot#'!A:AL,38,FALSE)</f>
        <v>335</v>
      </c>
      <c r="O1078" s="4" t="str">
        <f t="shared" si="103"/>
        <v>C</v>
      </c>
      <c r="P1078" s="4"/>
      <c r="Q1078" s="47" t="str">
        <f t="shared" si="99"/>
        <v>DEN</v>
      </c>
      <c r="R1078" s="27" t="str">
        <f t="shared" si="100"/>
        <v>F</v>
      </c>
      <c r="S1078" s="19" t="str">
        <f t="shared" si="101"/>
        <v>KACFRKFCC</v>
      </c>
      <c r="Z1078" s="4"/>
      <c r="AD1078" s="1" t="s">
        <v>53</v>
      </c>
      <c r="AE1078" s="1">
        <v>324</v>
      </c>
      <c r="AF1078" s="1">
        <v>326</v>
      </c>
      <c r="AG1078" s="1">
        <v>335</v>
      </c>
      <c r="AH1078" s="1" t="s">
        <v>85</v>
      </c>
      <c r="AK1078" s="4">
        <v>48</v>
      </c>
      <c r="AL1078" s="4">
        <v>59</v>
      </c>
    </row>
    <row r="1079" spans="1:38" x14ac:dyDescent="0.25">
      <c r="A1079" s="1" t="str">
        <f t="shared" si="98"/>
        <v>OPRX_human_4EA3_H8</v>
      </c>
      <c r="B1079" s="45" t="s">
        <v>1373</v>
      </c>
      <c r="C1079" s="45" t="s">
        <v>258</v>
      </c>
      <c r="D1079" s="4" t="str">
        <f>VLOOKUP(B1079,Classification!A:D,2,FALSE)</f>
        <v>A</v>
      </c>
      <c r="E1079" s="4" t="str">
        <f>VLOOKUP(B1079,Classification!A:D,3,FALSE)</f>
        <v>Peptide</v>
      </c>
      <c r="F1079" s="4" t="str">
        <f>VLOOKUP(B1079,Classification!A:D,4,FALSE)</f>
        <v>Opioid</v>
      </c>
      <c r="G1079" s="2">
        <v>14</v>
      </c>
      <c r="H1079" s="45" t="s">
        <v>52</v>
      </c>
      <c r="I1079" s="2" t="s">
        <v>1223</v>
      </c>
      <c r="J1079" s="5" t="str">
        <f>VLOOKUP(B1079,Seqs!A:B,2,FALSE)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079" s="4" t="str">
        <f t="shared" si="102"/>
        <v>D</v>
      </c>
      <c r="L1079" s="45">
        <f>VLOOKUP(B1079,'NonXtal_SegEnds_Prot#'!A:AL,36,FALSE)</f>
        <v>323</v>
      </c>
      <c r="M1079" s="45">
        <f>VLOOKUP(B1079,'NonXtal_SegEnds_Prot#'!A:AL,37,FALSE)</f>
        <v>326</v>
      </c>
      <c r="N1079" s="45">
        <f>VLOOKUP(B1079,'NonXtal_SegEnds_Prot#'!A:AL,38,FALSE)</f>
        <v>335</v>
      </c>
      <c r="O1079" s="4" t="str">
        <f t="shared" si="103"/>
        <v>C</v>
      </c>
      <c r="P1079" s="4" t="s">
        <v>1227</v>
      </c>
      <c r="Q1079" s="47" t="str">
        <f t="shared" si="99"/>
        <v>DEN</v>
      </c>
      <c r="R1079" s="28" t="str">
        <f t="shared" si="100"/>
        <v>F</v>
      </c>
      <c r="S1079" s="20" t="str">
        <f t="shared" si="101"/>
        <v>KACFRKFCC</v>
      </c>
      <c r="Z1079" s="4"/>
      <c r="AD1079" s="1" t="s">
        <v>53</v>
      </c>
      <c r="AE1079" s="1">
        <v>324</v>
      </c>
      <c r="AF1079" s="1">
        <v>326</v>
      </c>
      <c r="AG1079" s="1">
        <v>335</v>
      </c>
      <c r="AH1079" s="1" t="s">
        <v>85</v>
      </c>
      <c r="AK1079" s="4">
        <v>48</v>
      </c>
      <c r="AL1079" s="4">
        <v>59</v>
      </c>
    </row>
    <row r="1080" spans="1:38" x14ac:dyDescent="0.25">
      <c r="A1080" s="1" t="str">
        <f t="shared" si="98"/>
        <v>OPSD_bovin_1U19_H8</v>
      </c>
      <c r="B1080" s="45" t="s">
        <v>231</v>
      </c>
      <c r="C1080" s="45" t="s">
        <v>244</v>
      </c>
      <c r="D1080" s="4" t="str">
        <f>VLOOKUP(B1080,Classification!A:D,2,FALSE)</f>
        <v>A</v>
      </c>
      <c r="E1080" s="4" t="str">
        <f>VLOOKUP(B1080,Classification!A:D,3,FALSE)</f>
        <v>Sensory</v>
      </c>
      <c r="F1080" s="4" t="str">
        <f>VLOOKUP(B1080,Classification!A:D,4,FALSE)</f>
        <v>Opsins</v>
      </c>
      <c r="G1080" s="2">
        <v>14</v>
      </c>
      <c r="H1080" s="45" t="s">
        <v>52</v>
      </c>
      <c r="I1080" s="2" t="s">
        <v>1223</v>
      </c>
      <c r="J1080" s="5" t="str">
        <f>VLOOKUP(B1080,Seqs!A:B,2,FALSE)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080" s="4" t="str">
        <f t="shared" si="102"/>
        <v>N</v>
      </c>
      <c r="L1080" s="45">
        <f>VLOOKUP(B1080,'NonXtal_SegEnds_Prot#'!A:AL,36,FALSE)</f>
        <v>310</v>
      </c>
      <c r="M1080" s="45">
        <f>VLOOKUP(B1080,'NonXtal_SegEnds_Prot#'!A:AL,37,FALSE)</f>
        <v>313</v>
      </c>
      <c r="N1080" s="45">
        <f>VLOOKUP(B1080,'NonXtal_SegEnds_Prot#'!A:AL,38,FALSE)</f>
        <v>322</v>
      </c>
      <c r="O1080" s="4" t="str">
        <f t="shared" si="103"/>
        <v>C</v>
      </c>
      <c r="P1080" s="4"/>
      <c r="Q1080" s="47" t="str">
        <f t="shared" si="99"/>
        <v>NKQ</v>
      </c>
      <c r="R1080" s="27" t="str">
        <f t="shared" si="100"/>
        <v>F</v>
      </c>
      <c r="S1080" s="19" t="str">
        <f t="shared" si="101"/>
        <v>RNCMVTTLC</v>
      </c>
      <c r="Z1080" s="4"/>
      <c r="AD1080" s="1" t="s">
        <v>53</v>
      </c>
      <c r="AE1080" s="1">
        <v>311</v>
      </c>
      <c r="AF1080" s="1">
        <v>313</v>
      </c>
      <c r="AG1080" s="1">
        <v>322</v>
      </c>
      <c r="AH1080" s="1" t="s">
        <v>85</v>
      </c>
      <c r="AK1080" s="4">
        <v>48</v>
      </c>
      <c r="AL1080" s="4">
        <v>59</v>
      </c>
    </row>
    <row r="1081" spans="1:38" x14ac:dyDescent="0.25">
      <c r="A1081" s="1" t="str">
        <f t="shared" si="98"/>
        <v>OPSD_bovin_3DQB_H8</v>
      </c>
      <c r="B1081" s="45" t="s">
        <v>231</v>
      </c>
      <c r="C1081" s="45" t="s">
        <v>245</v>
      </c>
      <c r="D1081" s="4" t="str">
        <f>VLOOKUP(B1081,Classification!A:D,2,FALSE)</f>
        <v>A</v>
      </c>
      <c r="E1081" s="4" t="str">
        <f>VLOOKUP(B1081,Classification!A:D,3,FALSE)</f>
        <v>Sensory</v>
      </c>
      <c r="F1081" s="4" t="str">
        <f>VLOOKUP(B1081,Classification!A:D,4,FALSE)</f>
        <v>Opsins</v>
      </c>
      <c r="G1081" s="2">
        <v>14</v>
      </c>
      <c r="H1081" s="45" t="s">
        <v>52</v>
      </c>
      <c r="I1081" s="2" t="s">
        <v>1223</v>
      </c>
      <c r="J1081" s="5" t="str">
        <f>VLOOKUP(B1081,Seqs!A:B,2,FALSE)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081" s="4" t="str">
        <f t="shared" si="102"/>
        <v>N</v>
      </c>
      <c r="L1081" s="45">
        <f>VLOOKUP(B1081,'NonXtal_SegEnds_Prot#'!A:AL,36,FALSE)</f>
        <v>310</v>
      </c>
      <c r="M1081" s="45">
        <f>VLOOKUP(B1081,'NonXtal_SegEnds_Prot#'!A:AL,37,FALSE)</f>
        <v>313</v>
      </c>
      <c r="N1081" s="45">
        <f>VLOOKUP(B1081,'NonXtal_SegEnds_Prot#'!A:AL,38,FALSE)</f>
        <v>322</v>
      </c>
      <c r="O1081" s="4" t="str">
        <f t="shared" si="103"/>
        <v>C</v>
      </c>
      <c r="P1081" s="4"/>
      <c r="Q1081" s="47" t="str">
        <f t="shared" si="99"/>
        <v>NKQ</v>
      </c>
      <c r="R1081" s="27" t="str">
        <f t="shared" si="100"/>
        <v>F</v>
      </c>
      <c r="S1081" s="19" t="str">
        <f t="shared" si="101"/>
        <v>RNCMVTTLC</v>
      </c>
      <c r="Z1081" s="4"/>
      <c r="AD1081" s="1" t="s">
        <v>53</v>
      </c>
      <c r="AE1081" s="1">
        <v>311</v>
      </c>
      <c r="AF1081" s="1">
        <v>313</v>
      </c>
      <c r="AG1081" s="1">
        <v>322</v>
      </c>
      <c r="AH1081" s="1" t="s">
        <v>85</v>
      </c>
      <c r="AK1081" s="4">
        <v>48</v>
      </c>
      <c r="AL1081" s="4">
        <v>59</v>
      </c>
    </row>
    <row r="1082" spans="1:38" x14ac:dyDescent="0.25">
      <c r="A1082" s="1" t="str">
        <f t="shared" si="98"/>
        <v>OPSD_human__wt_H8</v>
      </c>
      <c r="B1082" s="45" t="s">
        <v>228</v>
      </c>
      <c r="C1082" s="45" t="s">
        <v>294</v>
      </c>
      <c r="D1082" s="4" t="str">
        <f>VLOOKUP(B1082,Classification!A:D,2,FALSE)</f>
        <v>A</v>
      </c>
      <c r="E1082" s="4" t="str">
        <f>VLOOKUP(B1082,Classification!A:D,3,FALSE)</f>
        <v>Sensory</v>
      </c>
      <c r="F1082" s="4" t="str">
        <f>VLOOKUP(B1082,Classification!A:D,4,FALSE)</f>
        <v>Opsins</v>
      </c>
      <c r="G1082" s="2">
        <v>14</v>
      </c>
      <c r="H1082" s="45" t="s">
        <v>52</v>
      </c>
      <c r="I1082" s="2" t="s">
        <v>1223</v>
      </c>
      <c r="J1082" s="5" t="str">
        <f>VLOOKUP(B1082,Seqs!A:B,2,FALSE)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2" s="4" t="str">
        <f t="shared" si="102"/>
        <v>N</v>
      </c>
      <c r="L1082" s="45">
        <f>VLOOKUP(B1082,'NonXtal_SegEnds_Prot#'!A:AL,36,FALSE)</f>
        <v>310</v>
      </c>
      <c r="M1082" s="45">
        <f>VLOOKUP(B1082,'NonXtal_SegEnds_Prot#'!A:AL,37,FALSE)</f>
        <v>313</v>
      </c>
      <c r="N1082" s="45">
        <f>VLOOKUP(B1082,'NonXtal_SegEnds_Prot#'!A:AL,38,FALSE)</f>
        <v>322</v>
      </c>
      <c r="O1082" s="4" t="str">
        <f t="shared" si="103"/>
        <v>C</v>
      </c>
      <c r="P1082" s="4"/>
      <c r="Q1082" s="47" t="str">
        <f t="shared" si="99"/>
        <v>NKQ</v>
      </c>
      <c r="R1082" s="27" t="str">
        <f t="shared" si="100"/>
        <v>F</v>
      </c>
      <c r="S1082" s="19" t="str">
        <f t="shared" si="101"/>
        <v>RNCMLTTIC</v>
      </c>
      <c r="Z1082" s="4"/>
      <c r="AD1082" s="1" t="s">
        <v>53</v>
      </c>
      <c r="AE1082" s="1">
        <v>311</v>
      </c>
      <c r="AF1082" s="1">
        <v>313</v>
      </c>
      <c r="AG1082" s="1">
        <v>322</v>
      </c>
      <c r="AH1082" s="1" t="s">
        <v>85</v>
      </c>
      <c r="AK1082" s="4">
        <v>48</v>
      </c>
      <c r="AL1082" s="4">
        <v>59</v>
      </c>
    </row>
    <row r="1083" spans="1:38" x14ac:dyDescent="0.25">
      <c r="A1083" s="1" t="str">
        <f t="shared" si="98"/>
        <v>OPSD_human__wt_H8</v>
      </c>
      <c r="B1083" s="45" t="s">
        <v>228</v>
      </c>
      <c r="C1083" s="45" t="s">
        <v>294</v>
      </c>
      <c r="D1083" s="4" t="str">
        <f>VLOOKUP(B1083,Classification!A:D,2,FALSE)</f>
        <v>A</v>
      </c>
      <c r="E1083" s="4" t="str">
        <f>VLOOKUP(B1083,Classification!A:D,3,FALSE)</f>
        <v>Sensory</v>
      </c>
      <c r="F1083" s="4" t="str">
        <f>VLOOKUP(B1083,Classification!A:D,4,FALSE)</f>
        <v>Opsins</v>
      </c>
      <c r="G1083" s="2">
        <v>14</v>
      </c>
      <c r="H1083" s="45" t="s">
        <v>52</v>
      </c>
      <c r="I1083" s="2" t="s">
        <v>1223</v>
      </c>
      <c r="J1083" s="5" t="str">
        <f>VLOOKUP(B1083,Seqs!A:B,2,FALSE)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3" s="4" t="str">
        <f t="shared" si="102"/>
        <v>N</v>
      </c>
      <c r="L1083" s="45">
        <f>VLOOKUP(B1083,'NonXtal_SegEnds_Prot#'!A:AL,36,FALSE)</f>
        <v>310</v>
      </c>
      <c r="M1083" s="45">
        <f>VLOOKUP(B1083,'NonXtal_SegEnds_Prot#'!A:AL,37,FALSE)</f>
        <v>313</v>
      </c>
      <c r="N1083" s="45">
        <f>VLOOKUP(B1083,'NonXtal_SegEnds_Prot#'!A:AL,38,FALSE)</f>
        <v>322</v>
      </c>
      <c r="O1083" s="4" t="str">
        <f t="shared" si="103"/>
        <v>C</v>
      </c>
      <c r="P1083" s="4"/>
      <c r="Q1083" s="47" t="str">
        <f t="shared" si="99"/>
        <v>NKQ</v>
      </c>
      <c r="R1083" s="27" t="str">
        <f t="shared" si="100"/>
        <v>F</v>
      </c>
      <c r="S1083" s="19" t="str">
        <f t="shared" si="101"/>
        <v>RNCMLTTIC</v>
      </c>
      <c r="Z1083" s="4" t="s">
        <v>64</v>
      </c>
      <c r="AD1083" s="1" t="s">
        <v>53</v>
      </c>
      <c r="AE1083" s="1">
        <v>311</v>
      </c>
      <c r="AF1083" s="1">
        <v>313</v>
      </c>
      <c r="AG1083" s="1">
        <v>322</v>
      </c>
      <c r="AH1083" s="1" t="s">
        <v>85</v>
      </c>
      <c r="AK1083" s="4">
        <v>48</v>
      </c>
      <c r="AL1083" s="4">
        <v>59</v>
      </c>
    </row>
    <row r="1084" spans="1:38" x14ac:dyDescent="0.25">
      <c r="A1084" s="1" t="str">
        <f t="shared" si="98"/>
        <v>OPSD_human_4ZWJ_H8</v>
      </c>
      <c r="B1084" s="45" t="s">
        <v>228</v>
      </c>
      <c r="C1084" s="45" t="s">
        <v>246</v>
      </c>
      <c r="D1084" s="4" t="str">
        <f>VLOOKUP(B1084,Classification!A:D,2,FALSE)</f>
        <v>A</v>
      </c>
      <c r="E1084" s="4" t="str">
        <f>VLOOKUP(B1084,Classification!A:D,3,FALSE)</f>
        <v>Sensory</v>
      </c>
      <c r="F1084" s="4" t="str">
        <f>VLOOKUP(B1084,Classification!A:D,4,FALSE)</f>
        <v>Opsins</v>
      </c>
      <c r="G1084" s="2">
        <v>14</v>
      </c>
      <c r="H1084" s="45" t="s">
        <v>52</v>
      </c>
      <c r="I1084" s="2" t="s">
        <v>1223</v>
      </c>
      <c r="J1084" s="5" t="str">
        <f>VLOOKUP(B1084,Seqs!A:B,2,FALSE)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4" s="4" t="str">
        <f t="shared" si="102"/>
        <v>N</v>
      </c>
      <c r="L1084" s="45">
        <f>VLOOKUP(B1084,'NonXtal_SegEnds_Prot#'!A:AL,36,FALSE)</f>
        <v>310</v>
      </c>
      <c r="M1084" s="45">
        <f>VLOOKUP(B1084,'NonXtal_SegEnds_Prot#'!A:AL,37,FALSE)</f>
        <v>313</v>
      </c>
      <c r="N1084" s="45">
        <f>VLOOKUP(B1084,'NonXtal_SegEnds_Prot#'!A:AL,38,FALSE)</f>
        <v>322</v>
      </c>
      <c r="O1084" s="4" t="str">
        <f t="shared" si="103"/>
        <v>C</v>
      </c>
      <c r="P1084" s="4"/>
      <c r="Q1084" s="47" t="str">
        <f t="shared" si="99"/>
        <v>NKQ</v>
      </c>
      <c r="R1084" s="27" t="str">
        <f t="shared" si="100"/>
        <v>F</v>
      </c>
      <c r="S1084" s="19" t="str">
        <f t="shared" si="101"/>
        <v>RNCMLTTIC</v>
      </c>
      <c r="Z1084" s="4"/>
      <c r="AD1084" s="1" t="s">
        <v>53</v>
      </c>
      <c r="AE1084" s="1">
        <v>311</v>
      </c>
      <c r="AF1084" s="1">
        <v>313</v>
      </c>
      <c r="AG1084" s="1">
        <v>322</v>
      </c>
      <c r="AH1084" s="1" t="s">
        <v>85</v>
      </c>
      <c r="AK1084" s="4">
        <v>48</v>
      </c>
      <c r="AL1084" s="4">
        <v>59</v>
      </c>
    </row>
    <row r="1085" spans="1:38" x14ac:dyDescent="0.25">
      <c r="A1085" s="1" t="str">
        <f t="shared" si="98"/>
        <v>OPSD_human_4ZWJ_H8</v>
      </c>
      <c r="B1085" s="45" t="s">
        <v>228</v>
      </c>
      <c r="C1085" s="45" t="s">
        <v>246</v>
      </c>
      <c r="D1085" s="4" t="str">
        <f>VLOOKUP(B1085,Classification!A:D,2,FALSE)</f>
        <v>A</v>
      </c>
      <c r="E1085" s="4" t="str">
        <f>VLOOKUP(B1085,Classification!A:D,3,FALSE)</f>
        <v>Sensory</v>
      </c>
      <c r="F1085" s="4" t="str">
        <f>VLOOKUP(B1085,Classification!A:D,4,FALSE)</f>
        <v>Opsins</v>
      </c>
      <c r="G1085" s="2">
        <v>14</v>
      </c>
      <c r="H1085" s="45" t="s">
        <v>52</v>
      </c>
      <c r="I1085" s="2" t="s">
        <v>1223</v>
      </c>
      <c r="J1085" s="5" t="str">
        <f>VLOOKUP(B1085,Seqs!A:B,2,FALSE)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5" s="4" t="str">
        <f t="shared" si="102"/>
        <v>N</v>
      </c>
      <c r="L1085" s="45">
        <f>VLOOKUP(B1085,'NonXtal_SegEnds_Prot#'!A:AL,36,FALSE)</f>
        <v>310</v>
      </c>
      <c r="M1085" s="45">
        <f>VLOOKUP(B1085,'NonXtal_SegEnds_Prot#'!A:AL,37,FALSE)</f>
        <v>313</v>
      </c>
      <c r="N1085" s="45">
        <f>VLOOKUP(B1085,'NonXtal_SegEnds_Prot#'!A:AL,38,FALSE)</f>
        <v>322</v>
      </c>
      <c r="O1085" s="4" t="str">
        <f t="shared" si="103"/>
        <v>C</v>
      </c>
      <c r="P1085" s="4"/>
      <c r="Q1085" s="47" t="str">
        <f t="shared" si="99"/>
        <v>NKQ</v>
      </c>
      <c r="R1085" s="27" t="str">
        <f t="shared" si="100"/>
        <v>F</v>
      </c>
      <c r="S1085" s="19" t="str">
        <f t="shared" si="101"/>
        <v>RNCMLTTIC</v>
      </c>
      <c r="Z1085" s="4" t="s">
        <v>64</v>
      </c>
      <c r="AD1085" s="1" t="s">
        <v>53</v>
      </c>
      <c r="AE1085" s="1">
        <v>311</v>
      </c>
      <c r="AF1085" s="1">
        <v>313</v>
      </c>
      <c r="AG1085" s="1">
        <v>322</v>
      </c>
      <c r="AH1085" s="1" t="s">
        <v>85</v>
      </c>
      <c r="AK1085" s="4">
        <v>48</v>
      </c>
      <c r="AL1085" s="4">
        <v>59</v>
      </c>
    </row>
    <row r="1086" spans="1:38" x14ac:dyDescent="0.25">
      <c r="A1086" s="1" t="str">
        <f t="shared" si="98"/>
        <v>OPSD_todpa__wt_H8</v>
      </c>
      <c r="B1086" s="45" t="s">
        <v>291</v>
      </c>
      <c r="C1086" s="45" t="s">
        <v>294</v>
      </c>
      <c r="D1086" s="4" t="str">
        <f>VLOOKUP(B1086,Classification!A:D,2,FALSE)</f>
        <v>A</v>
      </c>
      <c r="E1086" s="4" t="str">
        <f>VLOOKUP(B1086,Classification!A:D,3,FALSE)</f>
        <v>Sensory</v>
      </c>
      <c r="F1086" s="4" t="str">
        <f>VLOOKUP(B1086,Classification!A:D,4,FALSE)</f>
        <v>Opsins</v>
      </c>
      <c r="G1086" s="2">
        <v>14</v>
      </c>
      <c r="H1086" s="45" t="s">
        <v>52</v>
      </c>
      <c r="I1086" s="2" t="s">
        <v>1223</v>
      </c>
      <c r="J1086" s="5" t="str">
        <f>VLOOKUP(B1086,Seqs!A:B,2,FALSE)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086" s="4" t="str">
        <f t="shared" si="102"/>
        <v>H</v>
      </c>
      <c r="L1086" s="45">
        <f>VLOOKUP(B1086,'NonXtal_SegEnds_Prot#'!A:AL,36,FALSE)</f>
        <v>319</v>
      </c>
      <c r="M1086" s="45">
        <f>VLOOKUP(B1086,'NonXtal_SegEnds_Prot#'!A:AL,37,FALSE)</f>
        <v>322</v>
      </c>
      <c r="N1086" s="45">
        <f>VLOOKUP(B1086,'NonXtal_SegEnds_Prot#'!A:AL,38,FALSE)</f>
        <v>330</v>
      </c>
      <c r="O1086" s="4" t="str">
        <f t="shared" si="103"/>
        <v>F</v>
      </c>
      <c r="P1086" s="4"/>
      <c r="Q1086" s="47" t="str">
        <f t="shared" si="99"/>
        <v>HPK</v>
      </c>
      <c r="R1086" s="27" t="str">
        <f t="shared" si="100"/>
        <v>F</v>
      </c>
      <c r="S1086" s="19" t="str">
        <f t="shared" si="101"/>
        <v>REAISQTF</v>
      </c>
      <c r="Z1086" s="4"/>
      <c r="AD1086" s="1" t="s">
        <v>53</v>
      </c>
      <c r="AE1086" s="1">
        <v>320</v>
      </c>
      <c r="AF1086" s="1">
        <v>322</v>
      </c>
      <c r="AG1086" s="1">
        <v>330</v>
      </c>
      <c r="AH1086" s="1" t="s">
        <v>54</v>
      </c>
      <c r="AK1086" s="4">
        <v>48</v>
      </c>
      <c r="AL1086" s="4">
        <v>58</v>
      </c>
    </row>
    <row r="1087" spans="1:38" x14ac:dyDescent="0.25">
      <c r="A1087" s="1" t="str">
        <f t="shared" si="98"/>
        <v>OPSD_todpa_2Z73_H8</v>
      </c>
      <c r="B1087" s="45" t="s">
        <v>291</v>
      </c>
      <c r="C1087" s="45" t="s">
        <v>290</v>
      </c>
      <c r="D1087" s="4" t="str">
        <f>VLOOKUP(B1087,Classification!A:D,2,FALSE)</f>
        <v>A</v>
      </c>
      <c r="E1087" s="4" t="str">
        <f>VLOOKUP(B1087,Classification!A:D,3,FALSE)</f>
        <v>Sensory</v>
      </c>
      <c r="F1087" s="4" t="str">
        <f>VLOOKUP(B1087,Classification!A:D,4,FALSE)</f>
        <v>Opsins</v>
      </c>
      <c r="G1087" s="2">
        <v>14</v>
      </c>
      <c r="H1087" s="45" t="s">
        <v>52</v>
      </c>
      <c r="I1087" s="2" t="s">
        <v>1223</v>
      </c>
      <c r="J1087" s="5" t="str">
        <f>VLOOKUP(B1087,Seqs!A:B,2,FALSE)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087" s="4" t="str">
        <f t="shared" si="102"/>
        <v>H</v>
      </c>
      <c r="L1087" s="45">
        <f>VLOOKUP(B1087,'NonXtal_SegEnds_Prot#'!A:AL,36,FALSE)</f>
        <v>319</v>
      </c>
      <c r="M1087" s="45">
        <f>VLOOKUP(B1087,'NonXtal_SegEnds_Prot#'!A:AL,37,FALSE)</f>
        <v>322</v>
      </c>
      <c r="N1087" s="45">
        <f>VLOOKUP(B1087,'NonXtal_SegEnds_Prot#'!A:AL,38,FALSE)</f>
        <v>330</v>
      </c>
      <c r="O1087" s="4" t="str">
        <f t="shared" si="103"/>
        <v>F</v>
      </c>
      <c r="P1087" s="4"/>
      <c r="Q1087" s="47" t="str">
        <f t="shared" si="99"/>
        <v>HPK</v>
      </c>
      <c r="R1087" s="27" t="str">
        <f t="shared" si="100"/>
        <v>F</v>
      </c>
      <c r="S1087" s="19" t="str">
        <f t="shared" si="101"/>
        <v>REAISQTF</v>
      </c>
      <c r="Z1087" s="4"/>
      <c r="AD1087" s="1" t="s">
        <v>53</v>
      </c>
      <c r="AE1087" s="1">
        <v>320</v>
      </c>
      <c r="AF1087" s="1">
        <v>322</v>
      </c>
      <c r="AG1087" s="1">
        <v>330</v>
      </c>
      <c r="AH1087" s="1" t="s">
        <v>54</v>
      </c>
      <c r="AK1087" s="4">
        <v>48</v>
      </c>
      <c r="AL1087" s="4">
        <v>58</v>
      </c>
    </row>
    <row r="1088" spans="1:38" x14ac:dyDescent="0.25">
      <c r="A1088" s="1" t="str">
        <f t="shared" si="98"/>
        <v>OX1R_human__wt_H8</v>
      </c>
      <c r="B1088" s="45" t="s">
        <v>1374</v>
      </c>
      <c r="C1088" s="45" t="s">
        <v>294</v>
      </c>
      <c r="D1088" s="4" t="str">
        <f>VLOOKUP(B1088,Classification!A:D,2,FALSE)</f>
        <v>A</v>
      </c>
      <c r="E1088" s="4" t="str">
        <f>VLOOKUP(B1088,Classification!A:D,3,FALSE)</f>
        <v>Peptide</v>
      </c>
      <c r="F1088" s="4" t="str">
        <f>VLOOKUP(B1088,Classification!A:D,4,FALSE)</f>
        <v>Orexin</v>
      </c>
      <c r="G1088" s="2">
        <v>14</v>
      </c>
      <c r="H1088" s="45" t="s">
        <v>52</v>
      </c>
      <c r="I1088" s="2" t="s">
        <v>1223</v>
      </c>
      <c r="J1088" s="5" t="str">
        <f>VLOOKUP(B1088,Seqs!A:B,2,FALSE)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088" s="4" t="str">
        <f t="shared" si="102"/>
        <v>S</v>
      </c>
      <c r="L1088" s="45">
        <f>VLOOKUP(B1088,'NonXtal_SegEnds_Prot#'!A:AL,36,FALSE)</f>
        <v>362</v>
      </c>
      <c r="M1088" s="45">
        <f>VLOOKUP(B1088,'NonXtal_SegEnds_Prot#'!A:AL,37,FALSE)</f>
        <v>365</v>
      </c>
      <c r="N1088" s="45">
        <f>VLOOKUP(B1088,'NonXtal_SegEnds_Prot#'!A:AL,38,FALSE)</f>
        <v>373</v>
      </c>
      <c r="O1088" s="4" t="str">
        <f t="shared" si="103"/>
        <v>F</v>
      </c>
      <c r="P1088" s="4"/>
      <c r="Q1088" s="47" t="str">
        <f t="shared" si="99"/>
        <v>SGK</v>
      </c>
      <c r="R1088" s="27" t="str">
        <f t="shared" si="100"/>
        <v>F</v>
      </c>
      <c r="S1088" s="19" t="str">
        <f t="shared" si="101"/>
        <v>REQFKAAF</v>
      </c>
      <c r="Z1088" s="4" t="s">
        <v>78</v>
      </c>
      <c r="AD1088" s="1" t="s">
        <v>53</v>
      </c>
      <c r="AE1088" s="1">
        <v>363</v>
      </c>
      <c r="AF1088" s="1">
        <v>365</v>
      </c>
      <c r="AG1088" s="1">
        <v>373</v>
      </c>
      <c r="AH1088" s="1" t="s">
        <v>54</v>
      </c>
      <c r="AK1088" s="4">
        <v>48</v>
      </c>
      <c r="AL1088" s="4">
        <v>58</v>
      </c>
    </row>
    <row r="1089" spans="1:38" x14ac:dyDescent="0.25">
      <c r="A1089" s="1" t="str">
        <f t="shared" si="98"/>
        <v>OX1R_human_4ZJ8_H8</v>
      </c>
      <c r="B1089" s="45" t="s">
        <v>1374</v>
      </c>
      <c r="C1089" s="45" t="s">
        <v>282</v>
      </c>
      <c r="D1089" s="4" t="str">
        <f>VLOOKUP(B1089,Classification!A:D,2,FALSE)</f>
        <v>A</v>
      </c>
      <c r="E1089" s="4" t="str">
        <f>VLOOKUP(B1089,Classification!A:D,3,FALSE)</f>
        <v>Peptide</v>
      </c>
      <c r="F1089" s="4" t="str">
        <f>VLOOKUP(B1089,Classification!A:D,4,FALSE)</f>
        <v>Orexin</v>
      </c>
      <c r="G1089" s="2">
        <v>14</v>
      </c>
      <c r="H1089" s="45" t="s">
        <v>52</v>
      </c>
      <c r="I1089" s="2" t="s">
        <v>1223</v>
      </c>
      <c r="J1089" s="5" t="str">
        <f>VLOOKUP(B1089,Seqs!A:B,2,FALSE)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089" s="4" t="str">
        <f t="shared" si="102"/>
        <v>S</v>
      </c>
      <c r="L1089" s="45">
        <f>VLOOKUP(B1089,'NonXtal_SegEnds_Prot#'!A:AL,36,FALSE)</f>
        <v>362</v>
      </c>
      <c r="M1089" s="45">
        <f>VLOOKUP(B1089,'NonXtal_SegEnds_Prot#'!A:AL,37,FALSE)</f>
        <v>365</v>
      </c>
      <c r="N1089" s="45">
        <f>VLOOKUP(B1089,'NonXtal_SegEnds_Prot#'!A:AL,38,FALSE)</f>
        <v>373</v>
      </c>
      <c r="O1089" s="4" t="str">
        <f t="shared" si="103"/>
        <v>F</v>
      </c>
      <c r="P1089" s="4"/>
      <c r="Q1089" s="47" t="str">
        <f t="shared" si="99"/>
        <v>SGK</v>
      </c>
      <c r="R1089" s="27" t="str">
        <f t="shared" si="100"/>
        <v>F</v>
      </c>
      <c r="S1089" s="19" t="str">
        <f t="shared" si="101"/>
        <v>REQFKAAF</v>
      </c>
      <c r="Z1089" s="4" t="s">
        <v>78</v>
      </c>
      <c r="AD1089" s="1" t="s">
        <v>53</v>
      </c>
      <c r="AE1089" s="1">
        <v>363</v>
      </c>
      <c r="AF1089" s="1">
        <v>365</v>
      </c>
      <c r="AG1089" s="1">
        <v>373</v>
      </c>
      <c r="AH1089" s="1" t="s">
        <v>54</v>
      </c>
      <c r="AK1089" s="4">
        <v>48</v>
      </c>
      <c r="AL1089" s="4">
        <v>58</v>
      </c>
    </row>
    <row r="1090" spans="1:38" x14ac:dyDescent="0.25">
      <c r="A1090" s="1" t="str">
        <f t="shared" ref="A1090:A1105" si="104">CONCATENATE(B1090,"_",C1090,"_",H1090)</f>
        <v>OX1R_human_4ZJC_H8</v>
      </c>
      <c r="B1090" s="45" t="s">
        <v>1374</v>
      </c>
      <c r="C1090" s="45" t="s">
        <v>283</v>
      </c>
      <c r="D1090" s="4" t="str">
        <f>VLOOKUP(B1090,Classification!A:D,2,FALSE)</f>
        <v>A</v>
      </c>
      <c r="E1090" s="4" t="str">
        <f>VLOOKUP(B1090,Classification!A:D,3,FALSE)</f>
        <v>Peptide</v>
      </c>
      <c r="F1090" s="4" t="str">
        <f>VLOOKUP(B1090,Classification!A:D,4,FALSE)</f>
        <v>Orexin</v>
      </c>
      <c r="G1090" s="2">
        <v>14</v>
      </c>
      <c r="H1090" s="45" t="s">
        <v>52</v>
      </c>
      <c r="I1090" s="2" t="s">
        <v>1223</v>
      </c>
      <c r="J1090" s="5" t="str">
        <f>VLOOKUP(B1090,Seqs!A:B,2,FALSE)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090" s="4" t="str">
        <f t="shared" si="102"/>
        <v>S</v>
      </c>
      <c r="L1090" s="45">
        <f>VLOOKUP(B1090,'NonXtal_SegEnds_Prot#'!A:AL,36,FALSE)</f>
        <v>362</v>
      </c>
      <c r="M1090" s="45">
        <f>VLOOKUP(B1090,'NonXtal_SegEnds_Prot#'!A:AL,37,FALSE)</f>
        <v>365</v>
      </c>
      <c r="N1090" s="45">
        <f>VLOOKUP(B1090,'NonXtal_SegEnds_Prot#'!A:AL,38,FALSE)</f>
        <v>373</v>
      </c>
      <c r="O1090" s="4" t="str">
        <f t="shared" si="103"/>
        <v>F</v>
      </c>
      <c r="P1090" s="4"/>
      <c r="Q1090" s="47" t="str">
        <f t="shared" ref="Q1090:Q1105" si="105">MID(J1090,L1090,M1090-L1090)</f>
        <v>SGK</v>
      </c>
      <c r="R1090" s="27" t="str">
        <f t="shared" ref="R1090:R1105" si="106">MID(J1090,M1090,1)</f>
        <v>F</v>
      </c>
      <c r="S1090" s="19" t="str">
        <f t="shared" ref="S1090:S1105" si="107">MID(J1090,M1090+1,N1090-M1090)</f>
        <v>REQFKAAF</v>
      </c>
      <c r="Z1090" s="4"/>
      <c r="AD1090" s="1" t="s">
        <v>53</v>
      </c>
      <c r="AE1090" s="1">
        <v>363</v>
      </c>
      <c r="AF1090" s="1">
        <v>365</v>
      </c>
      <c r="AG1090" s="1">
        <v>373</v>
      </c>
      <c r="AH1090" s="1" t="s">
        <v>54</v>
      </c>
      <c r="AK1090" s="4">
        <v>48</v>
      </c>
      <c r="AL1090" s="4">
        <v>58</v>
      </c>
    </row>
    <row r="1091" spans="1:38" x14ac:dyDescent="0.25">
      <c r="A1091" s="1" t="str">
        <f t="shared" si="104"/>
        <v>OX2R_human__wt_H8</v>
      </c>
      <c r="B1091" s="45" t="s">
        <v>1375</v>
      </c>
      <c r="C1091" s="45" t="s">
        <v>294</v>
      </c>
      <c r="D1091" s="4" t="str">
        <f>VLOOKUP(B1091,Classification!A:D,2,FALSE)</f>
        <v>A</v>
      </c>
      <c r="E1091" s="4" t="str">
        <f>VLOOKUP(B1091,Classification!A:D,3,FALSE)</f>
        <v>Peptide</v>
      </c>
      <c r="F1091" s="4" t="str">
        <f>VLOOKUP(B1091,Classification!A:D,4,FALSE)</f>
        <v>Orexin</v>
      </c>
      <c r="G1091" s="2">
        <v>14</v>
      </c>
      <c r="H1091" s="45" t="s">
        <v>52</v>
      </c>
      <c r="I1091" s="2" t="s">
        <v>1223</v>
      </c>
      <c r="J1091" s="5" t="str">
        <f>VLOOKUP(B1091,Seqs!A:B,2,FALSE)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091" s="4" t="str">
        <f t="shared" si="102"/>
        <v>S</v>
      </c>
      <c r="L1091" s="45">
        <f>VLOOKUP(B1091,'NonXtal_SegEnds_Prot#'!A:AL,36,FALSE)</f>
        <v>368</v>
      </c>
      <c r="M1091" s="45">
        <f>VLOOKUP(B1091,'NonXtal_SegEnds_Prot#'!A:AL,37,FALSE)</f>
        <v>371</v>
      </c>
      <c r="N1091" s="45">
        <f>VLOOKUP(B1091,'NonXtal_SegEnds_Prot#'!A:AL,38,FALSE)</f>
        <v>379</v>
      </c>
      <c r="O1091" s="4" t="str">
        <f t="shared" si="103"/>
        <v>F</v>
      </c>
      <c r="P1091" s="4"/>
      <c r="Q1091" s="47" t="str">
        <f t="shared" si="105"/>
        <v>SGK</v>
      </c>
      <c r="R1091" s="27" t="str">
        <f t="shared" si="106"/>
        <v>F</v>
      </c>
      <c r="S1091" s="19" t="str">
        <f t="shared" si="107"/>
        <v>REEFKAAF</v>
      </c>
      <c r="Z1091" s="4"/>
      <c r="AD1091" s="1" t="s">
        <v>53</v>
      </c>
      <c r="AE1091" s="1">
        <v>369</v>
      </c>
      <c r="AF1091" s="1">
        <v>371</v>
      </c>
      <c r="AG1091" s="1">
        <v>379</v>
      </c>
      <c r="AH1091" s="1" t="s">
        <v>54</v>
      </c>
      <c r="AK1091" s="4">
        <v>48</v>
      </c>
      <c r="AL1091" s="4">
        <v>58</v>
      </c>
    </row>
    <row r="1092" spans="1:38" x14ac:dyDescent="0.25">
      <c r="A1092" s="1" t="str">
        <f t="shared" si="104"/>
        <v>OX2R_human_4S0V_H8</v>
      </c>
      <c r="B1092" s="45" t="s">
        <v>1375</v>
      </c>
      <c r="C1092" s="45" t="s">
        <v>284</v>
      </c>
      <c r="D1092" s="4" t="str">
        <f>VLOOKUP(B1092,Classification!A:D,2,FALSE)</f>
        <v>A</v>
      </c>
      <c r="E1092" s="4" t="str">
        <f>VLOOKUP(B1092,Classification!A:D,3,FALSE)</f>
        <v>Peptide</v>
      </c>
      <c r="F1092" s="4" t="str">
        <f>VLOOKUP(B1092,Classification!A:D,4,FALSE)</f>
        <v>Orexin</v>
      </c>
      <c r="G1092" s="2">
        <v>14</v>
      </c>
      <c r="H1092" s="45" t="s">
        <v>52</v>
      </c>
      <c r="I1092" s="2" t="s">
        <v>1223</v>
      </c>
      <c r="J1092" s="5" t="str">
        <f>VLOOKUP(B1092,Seqs!A:B,2,FALSE)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092" s="4" t="str">
        <f t="shared" si="102"/>
        <v>S</v>
      </c>
      <c r="L1092" s="45">
        <f>VLOOKUP(B1092,'NonXtal_SegEnds_Prot#'!A:AL,36,FALSE)</f>
        <v>368</v>
      </c>
      <c r="M1092" s="45">
        <f>VLOOKUP(B1092,'NonXtal_SegEnds_Prot#'!A:AL,37,FALSE)</f>
        <v>371</v>
      </c>
      <c r="N1092" s="45">
        <f>VLOOKUP(B1092,'NonXtal_SegEnds_Prot#'!A:AL,38,FALSE)</f>
        <v>379</v>
      </c>
      <c r="O1092" s="4" t="str">
        <f t="shared" si="103"/>
        <v>F</v>
      </c>
      <c r="P1092" s="4"/>
      <c r="Q1092" s="47" t="str">
        <f t="shared" si="105"/>
        <v>SGK</v>
      </c>
      <c r="R1092" s="27" t="str">
        <f t="shared" si="106"/>
        <v>F</v>
      </c>
      <c r="S1092" s="19" t="str">
        <f t="shared" si="107"/>
        <v>REEFKAAF</v>
      </c>
      <c r="Z1092" s="4"/>
      <c r="AD1092" s="1" t="s">
        <v>53</v>
      </c>
      <c r="AE1092" s="1">
        <v>369</v>
      </c>
      <c r="AF1092" s="1">
        <v>371</v>
      </c>
      <c r="AG1092" s="1">
        <v>379</v>
      </c>
      <c r="AH1092" s="1" t="s">
        <v>54</v>
      </c>
      <c r="AK1092" s="4">
        <v>48</v>
      </c>
      <c r="AL1092" s="4">
        <v>58</v>
      </c>
    </row>
    <row r="1093" spans="1:38" x14ac:dyDescent="0.25">
      <c r="A1093" s="1" t="str">
        <f t="shared" si="104"/>
        <v>P2RY1_human__wt_H8</v>
      </c>
      <c r="B1093" s="45" t="s">
        <v>215</v>
      </c>
      <c r="C1093" s="45" t="s">
        <v>294</v>
      </c>
      <c r="D1093" s="4" t="str">
        <f>VLOOKUP(B1093,Classification!A:D,2,FALSE)</f>
        <v>A</v>
      </c>
      <c r="E1093" s="4" t="str">
        <f>VLOOKUP(B1093,Classification!A:D,3,FALSE)</f>
        <v>Nucleotide</v>
      </c>
      <c r="F1093" s="4" t="str">
        <f>VLOOKUP(B1093,Classification!A:D,4,FALSE)</f>
        <v>P2Y</v>
      </c>
      <c r="G1093" s="2">
        <v>14</v>
      </c>
      <c r="H1093" s="45" t="s">
        <v>52</v>
      </c>
      <c r="I1093" s="2" t="s">
        <v>1223</v>
      </c>
      <c r="J1093" s="5" t="str">
        <f>VLOOKUP(B1093,Seqs!A:B,2,FALSE)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093" s="4" t="str">
        <f t="shared" si="102"/>
        <v>G</v>
      </c>
      <c r="L1093" s="45">
        <f>VLOOKUP(B1093,'NonXtal_SegEnds_Prot#'!A:AL,36,FALSE)</f>
        <v>328</v>
      </c>
      <c r="M1093" s="45">
        <f>VLOOKUP(B1093,'NonXtal_SegEnds_Prot#'!A:AL,37,FALSE)</f>
        <v>331</v>
      </c>
      <c r="N1093" s="45">
        <f>VLOOKUP(B1093,'NonXtal_SegEnds_Prot#'!A:AL,38,FALSE)</f>
        <v>340</v>
      </c>
      <c r="O1093" s="4" t="str">
        <f t="shared" si="103"/>
        <v>R</v>
      </c>
      <c r="P1093" s="4"/>
      <c r="Q1093" s="47" t="str">
        <f t="shared" si="105"/>
        <v>GDT</v>
      </c>
      <c r="R1093" s="27" t="str">
        <f t="shared" si="106"/>
        <v>F</v>
      </c>
      <c r="S1093" s="19" t="str">
        <f t="shared" si="107"/>
        <v>RRRLSRATR</v>
      </c>
      <c r="Z1093" s="4"/>
      <c r="AD1093" s="1" t="s">
        <v>53</v>
      </c>
      <c r="AE1093" s="1">
        <v>329</v>
      </c>
      <c r="AF1093" s="1">
        <v>331</v>
      </c>
      <c r="AG1093" s="1">
        <v>340</v>
      </c>
      <c r="AH1093" s="1" t="s">
        <v>85</v>
      </c>
      <c r="AK1093" s="4">
        <v>48</v>
      </c>
      <c r="AL1093" s="4">
        <v>59</v>
      </c>
    </row>
    <row r="1094" spans="1:38" x14ac:dyDescent="0.25">
      <c r="A1094" s="1" t="str">
        <f t="shared" si="104"/>
        <v>P2RY1_human_4xNV_H8</v>
      </c>
      <c r="B1094" s="45" t="s">
        <v>215</v>
      </c>
      <c r="C1094" s="45" t="s">
        <v>274</v>
      </c>
      <c r="D1094" s="4" t="str">
        <f>VLOOKUP(B1094,Classification!A:D,2,FALSE)</f>
        <v>A</v>
      </c>
      <c r="E1094" s="4" t="str">
        <f>VLOOKUP(B1094,Classification!A:D,3,FALSE)</f>
        <v>Nucleotide</v>
      </c>
      <c r="F1094" s="4" t="str">
        <f>VLOOKUP(B1094,Classification!A:D,4,FALSE)</f>
        <v>P2Y</v>
      </c>
      <c r="G1094" s="2">
        <v>14</v>
      </c>
      <c r="H1094" s="45" t="s">
        <v>52</v>
      </c>
      <c r="I1094" s="2" t="s">
        <v>1223</v>
      </c>
      <c r="J1094" s="5" t="str">
        <f>VLOOKUP(B1094,Seqs!A:B,2,FALSE)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094" s="4" t="str">
        <f t="shared" si="102"/>
        <v>G</v>
      </c>
      <c r="L1094" s="45">
        <f>VLOOKUP(B1094,'NonXtal_SegEnds_Prot#'!A:AL,36,FALSE)</f>
        <v>328</v>
      </c>
      <c r="M1094" s="45">
        <f>VLOOKUP(B1094,'NonXtal_SegEnds_Prot#'!A:AL,37,FALSE)</f>
        <v>331</v>
      </c>
      <c r="N1094" s="45">
        <f>VLOOKUP(B1094,'NonXtal_SegEnds_Prot#'!A:AL,38,FALSE)</f>
        <v>340</v>
      </c>
      <c r="O1094" s="4" t="str">
        <f t="shared" si="103"/>
        <v>R</v>
      </c>
      <c r="P1094" s="4" t="s">
        <v>1367</v>
      </c>
      <c r="Q1094" s="47" t="str">
        <f t="shared" si="105"/>
        <v>GDT</v>
      </c>
      <c r="R1094" s="28" t="str">
        <f t="shared" si="106"/>
        <v>F</v>
      </c>
      <c r="S1094" s="20" t="str">
        <f t="shared" si="107"/>
        <v>RRRLSRATR</v>
      </c>
      <c r="Z1094" s="4"/>
      <c r="AD1094" s="1" t="s">
        <v>53</v>
      </c>
      <c r="AE1094" s="1">
        <v>329</v>
      </c>
      <c r="AF1094" s="1">
        <v>331</v>
      </c>
      <c r="AG1094" s="1">
        <v>340</v>
      </c>
      <c r="AH1094" s="1" t="s">
        <v>85</v>
      </c>
      <c r="AK1094" s="4">
        <v>48</v>
      </c>
      <c r="AL1094" s="4">
        <v>59</v>
      </c>
    </row>
    <row r="1095" spans="1:38" x14ac:dyDescent="0.25">
      <c r="A1095" s="1" t="str">
        <f t="shared" si="104"/>
        <v>P2Y12_human__wt_H8</v>
      </c>
      <c r="B1095" s="45" t="s">
        <v>216</v>
      </c>
      <c r="C1095" s="45" t="s">
        <v>294</v>
      </c>
      <c r="D1095" s="4" t="str">
        <f>VLOOKUP(B1095,Classification!A:D,2,FALSE)</f>
        <v>A</v>
      </c>
      <c r="E1095" s="4" t="str">
        <f>VLOOKUP(B1095,Classification!A:D,3,FALSE)</f>
        <v>Nucleotide</v>
      </c>
      <c r="F1095" s="4" t="str">
        <f>VLOOKUP(B1095,Classification!A:D,4,FALSE)</f>
        <v>P2Y</v>
      </c>
      <c r="G1095" s="2">
        <v>14</v>
      </c>
      <c r="H1095" s="45" t="s">
        <v>52</v>
      </c>
      <c r="I1095" s="2" t="s">
        <v>1223</v>
      </c>
      <c r="J1095" s="5" t="str">
        <f>VLOOKUP(B1095,Seqs!A:B,2,FALSE)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95" s="4" t="str">
        <f t="shared" si="102"/>
        <v>C</v>
      </c>
      <c r="L1095" s="45">
        <f>VLOOKUP(B1095,'NonXtal_SegEnds_Prot#'!A:AL,36,FALSE)</f>
        <v>302</v>
      </c>
      <c r="M1095" s="45">
        <f>VLOOKUP(B1095,'NonXtal_SegEnds_Prot#'!A:AL,37,FALSE)</f>
        <v>305</v>
      </c>
      <c r="N1095" s="45">
        <f>VLOOKUP(B1095,'NonXtal_SegEnds_Prot#'!A:AL,38,FALSE)</f>
        <v>312</v>
      </c>
      <c r="O1095" s="4" t="str">
        <f t="shared" si="103"/>
        <v>M</v>
      </c>
      <c r="P1095" s="4"/>
      <c r="Q1095" s="47" t="str">
        <f t="shared" si="105"/>
        <v>CKS</v>
      </c>
      <c r="R1095" s="27" t="str">
        <f t="shared" si="106"/>
        <v>F</v>
      </c>
      <c r="S1095" s="19" t="str">
        <f t="shared" si="107"/>
        <v>RNSLISM</v>
      </c>
      <c r="Z1095" s="4"/>
      <c r="AD1095" s="1" t="s">
        <v>53</v>
      </c>
      <c r="AE1095" s="1">
        <v>303</v>
      </c>
      <c r="AF1095" s="1">
        <v>305</v>
      </c>
      <c r="AG1095" s="1">
        <v>314</v>
      </c>
      <c r="AH1095" s="1" t="s">
        <v>85</v>
      </c>
      <c r="AK1095" s="4">
        <v>48</v>
      </c>
      <c r="AL1095" s="4">
        <v>59</v>
      </c>
    </row>
    <row r="1096" spans="1:38" x14ac:dyDescent="0.25">
      <c r="A1096" s="1" t="str">
        <f t="shared" si="104"/>
        <v>P2Y12_human_4PxZ_H8</v>
      </c>
      <c r="B1096" s="45" t="s">
        <v>216</v>
      </c>
      <c r="C1096" s="45" t="s">
        <v>242</v>
      </c>
      <c r="D1096" s="4" t="str">
        <f>VLOOKUP(B1096,Classification!A:D,2,FALSE)</f>
        <v>A</v>
      </c>
      <c r="E1096" s="4" t="str">
        <f>VLOOKUP(B1096,Classification!A:D,3,FALSE)</f>
        <v>Nucleotide</v>
      </c>
      <c r="F1096" s="4" t="str">
        <f>VLOOKUP(B1096,Classification!A:D,4,FALSE)</f>
        <v>P2Y</v>
      </c>
      <c r="G1096" s="2">
        <v>14</v>
      </c>
      <c r="H1096" s="45" t="s">
        <v>52</v>
      </c>
      <c r="I1096" s="2" t="s">
        <v>1223</v>
      </c>
      <c r="J1096" s="5" t="str">
        <f>VLOOKUP(B1096,Seqs!A:B,2,FALSE)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96" s="4" t="str">
        <f t="shared" si="102"/>
        <v>C</v>
      </c>
      <c r="L1096" s="45">
        <f>VLOOKUP(B1096,'NonXtal_SegEnds_Prot#'!A:AL,36,FALSE)</f>
        <v>302</v>
      </c>
      <c r="M1096" s="45">
        <f>VLOOKUP(B1096,'NonXtal_SegEnds_Prot#'!A:AL,37,FALSE)</f>
        <v>305</v>
      </c>
      <c r="N1096" s="45">
        <f>VLOOKUP(B1096,'NonXtal_SegEnds_Prot#'!A:AL,38,FALSE)</f>
        <v>312</v>
      </c>
      <c r="O1096" s="4" t="str">
        <f t="shared" si="103"/>
        <v>M</v>
      </c>
      <c r="P1096" s="4" t="s">
        <v>1367</v>
      </c>
      <c r="Q1096" s="47" t="str">
        <f t="shared" si="105"/>
        <v>CKS</v>
      </c>
      <c r="R1096" s="28" t="str">
        <f t="shared" si="106"/>
        <v>F</v>
      </c>
      <c r="S1096" s="20" t="str">
        <f t="shared" si="107"/>
        <v>RNSLISM</v>
      </c>
      <c r="Z1096" s="4"/>
      <c r="AD1096" s="1" t="s">
        <v>53</v>
      </c>
      <c r="AE1096" s="1">
        <v>303</v>
      </c>
      <c r="AF1096" s="1">
        <v>305</v>
      </c>
      <c r="AG1096" s="1">
        <v>314</v>
      </c>
      <c r="AH1096" s="1" t="s">
        <v>85</v>
      </c>
      <c r="AK1096" s="4">
        <v>48</v>
      </c>
      <c r="AL1096" s="4">
        <v>59</v>
      </c>
    </row>
    <row r="1097" spans="1:38" x14ac:dyDescent="0.25">
      <c r="A1097" s="1" t="str">
        <f t="shared" si="104"/>
        <v>PAR1_human__wt_H8</v>
      </c>
      <c r="B1097" s="45" t="s">
        <v>229</v>
      </c>
      <c r="C1097" s="45" t="s">
        <v>294</v>
      </c>
      <c r="D1097" s="4" t="str">
        <f>VLOOKUP(B1097,Classification!A:D,2,FALSE)</f>
        <v>A</v>
      </c>
      <c r="E1097" s="4" t="str">
        <f>VLOOKUP(B1097,Classification!A:D,3,FALSE)</f>
        <v>Peptide</v>
      </c>
      <c r="F1097" s="4" t="str">
        <f>VLOOKUP(B1097,Classification!A:D,4,FALSE)</f>
        <v>Proteinase-activated</v>
      </c>
      <c r="G1097" s="2">
        <v>14</v>
      </c>
      <c r="H1097" s="45" t="s">
        <v>52</v>
      </c>
      <c r="I1097" s="2" t="s">
        <v>1223</v>
      </c>
      <c r="J1097" s="5" t="str">
        <f>VLOOKUP(B1097,Seqs!A:B,2,FALSE)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097" s="4" t="str">
        <f t="shared" si="102"/>
        <v>S</v>
      </c>
      <c r="L1097" s="45">
        <f>VLOOKUP(B1097,'NonXtal_SegEnds_Prot#'!A:AL,36,FALSE)</f>
        <v>375</v>
      </c>
      <c r="M1097" s="45">
        <f>VLOOKUP(B1097,'NonXtal_SegEnds_Prot#'!A:AL,37,FALSE)</f>
        <v>378</v>
      </c>
      <c r="N1097" s="45">
        <f>VLOOKUP(B1097,'NonXtal_SegEnds_Prot#'!A:AL,38,FALSE)</f>
        <v>389</v>
      </c>
      <c r="O1097" s="4" t="str">
        <f t="shared" si="103"/>
        <v>K</v>
      </c>
      <c r="P1097" s="4"/>
      <c r="Q1097" s="47" t="str">
        <f t="shared" si="105"/>
        <v>SSE</v>
      </c>
      <c r="R1097" s="27" t="str">
        <f t="shared" si="106"/>
        <v>C</v>
      </c>
      <c r="S1097" s="19" t="str">
        <f t="shared" si="107"/>
        <v>QRYVYSILCCK</v>
      </c>
      <c r="Z1097" s="4"/>
      <c r="AD1097" s="1" t="s">
        <v>53</v>
      </c>
      <c r="AE1097" s="1">
        <v>377</v>
      </c>
      <c r="AF1097" s="1">
        <v>379</v>
      </c>
      <c r="AG1097" s="1">
        <v>389</v>
      </c>
      <c r="AH1097" s="1" t="s">
        <v>79</v>
      </c>
      <c r="AK1097" s="4">
        <v>48</v>
      </c>
      <c r="AL1097" s="4">
        <v>60</v>
      </c>
    </row>
    <row r="1098" spans="1:38" x14ac:dyDescent="0.25">
      <c r="A1098" s="1" t="str">
        <f t="shared" si="104"/>
        <v>PAR1_human_3VW7_H8</v>
      </c>
      <c r="B1098" s="45" t="s">
        <v>229</v>
      </c>
      <c r="C1098" s="45" t="s">
        <v>285</v>
      </c>
      <c r="D1098" s="4" t="str">
        <f>VLOOKUP(B1098,Classification!A:D,2,FALSE)</f>
        <v>A</v>
      </c>
      <c r="E1098" s="4" t="str">
        <f>VLOOKUP(B1098,Classification!A:D,3,FALSE)</f>
        <v>Peptide</v>
      </c>
      <c r="F1098" s="4" t="str">
        <f>VLOOKUP(B1098,Classification!A:D,4,FALSE)</f>
        <v>Proteinase-activated</v>
      </c>
      <c r="G1098" s="2">
        <v>14</v>
      </c>
      <c r="H1098" s="45" t="s">
        <v>52</v>
      </c>
      <c r="I1098" s="2" t="s">
        <v>1223</v>
      </c>
      <c r="J1098" s="5" t="str">
        <f>VLOOKUP(B1098,Seqs!A:B,2,FALSE)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098" s="4" t="str">
        <f t="shared" si="102"/>
        <v>S</v>
      </c>
      <c r="L1098" s="45">
        <f>VLOOKUP(B1098,'NonXtal_SegEnds_Prot#'!A:AL,36,FALSE)</f>
        <v>375</v>
      </c>
      <c r="M1098" s="45">
        <f>VLOOKUP(B1098,'NonXtal_SegEnds_Prot#'!A:AL,37,FALSE)</f>
        <v>378</v>
      </c>
      <c r="N1098" s="45">
        <f>VLOOKUP(B1098,'NonXtal_SegEnds_Prot#'!A:AL,38,FALSE)</f>
        <v>389</v>
      </c>
      <c r="O1098" s="4" t="str">
        <f t="shared" si="103"/>
        <v>K</v>
      </c>
      <c r="P1098" s="4" t="s">
        <v>1367</v>
      </c>
      <c r="Q1098" s="47" t="str">
        <f t="shared" si="105"/>
        <v>SSE</v>
      </c>
      <c r="R1098" s="28" t="str">
        <f t="shared" si="106"/>
        <v>C</v>
      </c>
      <c r="S1098" s="20" t="str">
        <f t="shared" si="107"/>
        <v>QRYVYSILCCK</v>
      </c>
      <c r="Z1098" s="4"/>
      <c r="AD1098" s="1" t="s">
        <v>53</v>
      </c>
      <c r="AE1098" s="1">
        <v>377</v>
      </c>
      <c r="AF1098" s="1">
        <v>379</v>
      </c>
      <c r="AG1098" s="1">
        <v>389</v>
      </c>
      <c r="AH1098" s="1" t="s">
        <v>79</v>
      </c>
      <c r="AK1098" s="4">
        <v>48</v>
      </c>
      <c r="AL1098" s="4">
        <v>60</v>
      </c>
    </row>
    <row r="1099" spans="1:38" x14ac:dyDescent="0.25">
      <c r="A1099" s="1" t="str">
        <f t="shared" si="104"/>
        <v>S1PR1_human__wt_H8</v>
      </c>
      <c r="B1099" s="45" t="s">
        <v>217</v>
      </c>
      <c r="C1099" s="45" t="s">
        <v>294</v>
      </c>
      <c r="D1099" s="4" t="str">
        <f>VLOOKUP(B1099,Classification!A:D,2,FALSE)</f>
        <v>A</v>
      </c>
      <c r="E1099" s="4" t="str">
        <f>VLOOKUP(B1099,Classification!A:D,3,FALSE)</f>
        <v>Lipid</v>
      </c>
      <c r="F1099" s="4" t="str">
        <f>VLOOKUP(B1099,Classification!A:D,4,FALSE)</f>
        <v>Lysophospholipid(S1P)</v>
      </c>
      <c r="G1099" s="2">
        <v>14</v>
      </c>
      <c r="H1099" s="45" t="s">
        <v>52</v>
      </c>
      <c r="I1099" s="2" t="s">
        <v>1223</v>
      </c>
      <c r="J1099" s="5" t="str">
        <f>VLOOKUP(B1099,Seqs!A:B,2,FALSE)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99" s="4" t="str">
        <f t="shared" si="102"/>
        <v>N</v>
      </c>
      <c r="L1099" s="45">
        <f>VLOOKUP(B1099,'NonXtal_SegEnds_Prot#'!A:AL,36,FALSE)</f>
        <v>315</v>
      </c>
      <c r="M1099" s="45">
        <f>VLOOKUP(B1099,'NonXtal_SegEnds_Prot#'!A:AL,37,FALSE)</f>
        <v>318</v>
      </c>
      <c r="N1099" s="45">
        <f>VLOOKUP(B1099,'NonXtal_SegEnds_Prot#'!A:AL,38,FALSE)</f>
        <v>327</v>
      </c>
      <c r="O1099" s="4" t="str">
        <f t="shared" si="103"/>
        <v>S</v>
      </c>
      <c r="P1099" s="4"/>
      <c r="Q1099" s="47" t="str">
        <f t="shared" si="105"/>
        <v>NKE</v>
      </c>
      <c r="R1099" s="27" t="str">
        <f t="shared" si="106"/>
        <v>M</v>
      </c>
      <c r="S1099" s="19" t="str">
        <f t="shared" si="107"/>
        <v>RRAFIRIMS</v>
      </c>
      <c r="Z1099" s="4"/>
      <c r="AD1099" s="1" t="s">
        <v>53</v>
      </c>
      <c r="AE1099" s="1">
        <v>316</v>
      </c>
      <c r="AF1099" s="1">
        <v>318</v>
      </c>
      <c r="AG1099" s="1">
        <v>327</v>
      </c>
      <c r="AH1099" s="1" t="s">
        <v>85</v>
      </c>
      <c r="AK1099" s="4">
        <v>48</v>
      </c>
      <c r="AL1099" s="4">
        <v>59</v>
      </c>
    </row>
    <row r="1100" spans="1:38" x14ac:dyDescent="0.25">
      <c r="A1100" s="1" t="str">
        <f t="shared" si="104"/>
        <v>S1PR1_human_3V2Y_H8</v>
      </c>
      <c r="B1100" s="45" t="s">
        <v>217</v>
      </c>
      <c r="C1100" s="45" t="s">
        <v>286</v>
      </c>
      <c r="D1100" s="4" t="str">
        <f>VLOOKUP(B1100,Classification!A:D,2,FALSE)</f>
        <v>A</v>
      </c>
      <c r="E1100" s="4" t="str">
        <f>VLOOKUP(B1100,Classification!A:D,3,FALSE)</f>
        <v>Lipid</v>
      </c>
      <c r="F1100" s="4" t="str">
        <f>VLOOKUP(B1100,Classification!A:D,4,FALSE)</f>
        <v>Lysophospholipid(S1P)</v>
      </c>
      <c r="G1100" s="2">
        <v>14</v>
      </c>
      <c r="H1100" s="45" t="s">
        <v>52</v>
      </c>
      <c r="I1100" s="2" t="s">
        <v>1223</v>
      </c>
      <c r="J1100" s="5" t="str">
        <f>VLOOKUP(B1100,Seqs!A:B,2,FALSE)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100" s="4" t="str">
        <f t="shared" si="102"/>
        <v>N</v>
      </c>
      <c r="L1100" s="45">
        <f>VLOOKUP(B1100,'NonXtal_SegEnds_Prot#'!A:AL,36,FALSE)</f>
        <v>315</v>
      </c>
      <c r="M1100" s="45">
        <f>VLOOKUP(B1100,'NonXtal_SegEnds_Prot#'!A:AL,37,FALSE)</f>
        <v>318</v>
      </c>
      <c r="N1100" s="45">
        <f>VLOOKUP(B1100,'NonXtal_SegEnds_Prot#'!A:AL,38,FALSE)</f>
        <v>327</v>
      </c>
      <c r="O1100" s="4" t="str">
        <f t="shared" si="103"/>
        <v>S</v>
      </c>
      <c r="P1100" s="4" t="s">
        <v>162</v>
      </c>
      <c r="Q1100" s="47" t="str">
        <f t="shared" si="105"/>
        <v>NKE</v>
      </c>
      <c r="R1100" s="29" t="str">
        <f t="shared" si="106"/>
        <v>M</v>
      </c>
      <c r="S1100" s="22" t="str">
        <f t="shared" si="107"/>
        <v>RRAFIRIMS</v>
      </c>
      <c r="T1100" s="24"/>
      <c r="U1100" s="21"/>
      <c r="V1100" s="23"/>
      <c r="W1100" s="23"/>
      <c r="X1100" s="23"/>
      <c r="Y1100" s="23"/>
      <c r="Z1100" s="21"/>
      <c r="AD1100" s="1" t="s">
        <v>53</v>
      </c>
      <c r="AE1100" s="1">
        <v>316</v>
      </c>
      <c r="AF1100" s="1">
        <v>318</v>
      </c>
      <c r="AG1100" s="1">
        <v>327</v>
      </c>
      <c r="AH1100" s="1" t="s">
        <v>85</v>
      </c>
      <c r="AK1100" s="4">
        <v>48</v>
      </c>
      <c r="AL1100" s="4">
        <v>59</v>
      </c>
    </row>
    <row r="1101" spans="1:38" x14ac:dyDescent="0.25">
      <c r="A1101" s="1" t="str">
        <f t="shared" si="104"/>
        <v>smo_human__wt_H8</v>
      </c>
      <c r="B1101" s="45" t="s">
        <v>207</v>
      </c>
      <c r="C1101" s="45" t="s">
        <v>294</v>
      </c>
      <c r="D1101" s="4" t="str">
        <f>VLOOKUP(B1101,Classification!A:D,2,FALSE)</f>
        <v>F</v>
      </c>
      <c r="E1101" s="4" t="str">
        <f>VLOOKUP(B1101,Classification!A:D,3,FALSE)</f>
        <v>Protein</v>
      </c>
      <c r="F1101" s="4" t="str">
        <f>VLOOKUP(B1101,Classification!A:D,4,FALSE)</f>
        <v>Frizzled</v>
      </c>
      <c r="G1101" s="2">
        <v>14</v>
      </c>
      <c r="H1101" s="45" t="s">
        <v>52</v>
      </c>
      <c r="I1101" s="2" t="s">
        <v>1223</v>
      </c>
      <c r="J1101" s="5" t="str">
        <f>VLOOKUP(B1101,Seqs!A:B,2,FALSE)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101" s="4" t="str">
        <f t="shared" si="102"/>
        <v>T</v>
      </c>
      <c r="L1101" s="45">
        <f>VLOOKUP(B1101,'NonXtal_SegEnds_Prot#'!A:AL,36,FALSE)</f>
        <v>538</v>
      </c>
      <c r="M1101" s="45">
        <f>VLOOKUP(B1101,'NonXtal_SegEnds_Prot#'!A:AL,37,FALSE)</f>
        <v>541</v>
      </c>
      <c r="N1101" s="45">
        <f>VLOOKUP(B1101,'NonXtal_SegEnds_Prot#'!A:AL,38,FALSE)</f>
        <v>553</v>
      </c>
      <c r="O1101" s="4" t="str">
        <f t="shared" si="103"/>
        <v>T</v>
      </c>
      <c r="P1101" s="4"/>
      <c r="Q1101" s="47" t="str">
        <f t="shared" si="105"/>
        <v>TKA</v>
      </c>
      <c r="R1101" s="27" t="str">
        <f t="shared" si="106"/>
        <v>T</v>
      </c>
      <c r="S1101" s="19" t="str">
        <f t="shared" si="107"/>
        <v>LLIWRRTWCRLT</v>
      </c>
      <c r="Z1101" s="4"/>
      <c r="AD1101" s="1" t="s">
        <v>53</v>
      </c>
      <c r="AE1101" s="1">
        <v>539</v>
      </c>
      <c r="AF1101" s="1">
        <v>541</v>
      </c>
      <c r="AG1101" s="1">
        <v>551</v>
      </c>
      <c r="AH1101" s="1" t="s">
        <v>79</v>
      </c>
      <c r="AK1101" s="4">
        <v>48</v>
      </c>
      <c r="AL1101" s="4">
        <v>60</v>
      </c>
    </row>
    <row r="1102" spans="1:38" x14ac:dyDescent="0.25">
      <c r="A1102" s="1" t="str">
        <f t="shared" si="104"/>
        <v>smo_human_4JKV_H8</v>
      </c>
      <c r="B1102" s="45" t="s">
        <v>207</v>
      </c>
      <c r="C1102" s="45" t="s">
        <v>278</v>
      </c>
      <c r="D1102" s="4" t="str">
        <f>VLOOKUP(B1102,Classification!A:D,2,FALSE)</f>
        <v>F</v>
      </c>
      <c r="E1102" s="4" t="str">
        <f>VLOOKUP(B1102,Classification!A:D,3,FALSE)</f>
        <v>Protein</v>
      </c>
      <c r="F1102" s="4" t="str">
        <f>VLOOKUP(B1102,Classification!A:D,4,FALSE)</f>
        <v>Frizzled</v>
      </c>
      <c r="G1102" s="2">
        <v>14</v>
      </c>
      <c r="H1102" s="45" t="s">
        <v>52</v>
      </c>
      <c r="I1102" s="2" t="s">
        <v>1223</v>
      </c>
      <c r="J1102" s="5" t="str">
        <f>VLOOKUP(B1102,Seqs!A:B,2,FALSE)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102" s="4" t="str">
        <f t="shared" si="102"/>
        <v>T</v>
      </c>
      <c r="L1102" s="45">
        <f>VLOOKUP(B1102,'NonXtal_SegEnds_Prot#'!A:AL,36,FALSE)</f>
        <v>538</v>
      </c>
      <c r="M1102" s="45">
        <f>VLOOKUP(B1102,'NonXtal_SegEnds_Prot#'!A:AL,37,FALSE)</f>
        <v>541</v>
      </c>
      <c r="N1102" s="45">
        <f>VLOOKUP(B1102,'NonXtal_SegEnds_Prot#'!A:AL,38,FALSE)</f>
        <v>553</v>
      </c>
      <c r="O1102" s="4" t="str">
        <f t="shared" si="103"/>
        <v>T</v>
      </c>
      <c r="P1102" s="4"/>
      <c r="Q1102" s="47" t="str">
        <f t="shared" si="105"/>
        <v>TKA</v>
      </c>
      <c r="R1102" s="27" t="str">
        <f t="shared" si="106"/>
        <v>T</v>
      </c>
      <c r="S1102" s="19" t="str">
        <f t="shared" si="107"/>
        <v>LLIWRRTWCRLT</v>
      </c>
      <c r="Z1102" s="4"/>
      <c r="AD1102" s="1" t="s">
        <v>53</v>
      </c>
      <c r="AE1102" s="1">
        <v>539</v>
      </c>
      <c r="AF1102" s="1">
        <v>541</v>
      </c>
      <c r="AG1102" s="1">
        <v>551</v>
      </c>
      <c r="AH1102" s="1" t="s">
        <v>79</v>
      </c>
      <c r="AK1102" s="4">
        <v>48</v>
      </c>
      <c r="AL1102" s="4">
        <v>60</v>
      </c>
    </row>
    <row r="1103" spans="1:38" x14ac:dyDescent="0.25">
      <c r="A1103" s="1" t="str">
        <f t="shared" si="104"/>
        <v>smo_human_4QIN_H8</v>
      </c>
      <c r="B1103" s="45" t="s">
        <v>207</v>
      </c>
      <c r="C1103" s="45" t="s">
        <v>247</v>
      </c>
      <c r="D1103" s="4" t="str">
        <f>VLOOKUP(B1103,Classification!A:D,2,FALSE)</f>
        <v>F</v>
      </c>
      <c r="E1103" s="4" t="str">
        <f>VLOOKUP(B1103,Classification!A:D,3,FALSE)</f>
        <v>Protein</v>
      </c>
      <c r="F1103" s="4" t="str">
        <f>VLOOKUP(B1103,Classification!A:D,4,FALSE)</f>
        <v>Frizzled</v>
      </c>
      <c r="G1103" s="2">
        <v>14</v>
      </c>
      <c r="H1103" s="45" t="s">
        <v>52</v>
      </c>
      <c r="I1103" s="2" t="s">
        <v>1223</v>
      </c>
      <c r="J1103" s="5" t="str">
        <f>VLOOKUP(B1103,Seqs!A:B,2,FALSE)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103" s="4" t="str">
        <f t="shared" si="102"/>
        <v>T</v>
      </c>
      <c r="L1103" s="45">
        <f>VLOOKUP(B1103,'NonXtal_SegEnds_Prot#'!A:AL,36,FALSE)</f>
        <v>538</v>
      </c>
      <c r="M1103" s="45">
        <f>VLOOKUP(B1103,'NonXtal_SegEnds_Prot#'!A:AL,37,FALSE)</f>
        <v>541</v>
      </c>
      <c r="N1103" s="45">
        <f>VLOOKUP(B1103,'NonXtal_SegEnds_Prot#'!A:AL,38,FALSE)</f>
        <v>553</v>
      </c>
      <c r="O1103" s="4" t="str">
        <f t="shared" si="103"/>
        <v>T</v>
      </c>
      <c r="P1103" s="4"/>
      <c r="Q1103" s="47" t="str">
        <f t="shared" si="105"/>
        <v>TKA</v>
      </c>
      <c r="R1103" s="27" t="str">
        <f t="shared" si="106"/>
        <v>T</v>
      </c>
      <c r="S1103" s="19" t="str">
        <f t="shared" si="107"/>
        <v>LLIWRRTWCRLT</v>
      </c>
      <c r="Z1103" s="4"/>
      <c r="AD1103" s="1" t="s">
        <v>53</v>
      </c>
      <c r="AE1103" s="1">
        <v>539</v>
      </c>
      <c r="AF1103" s="1">
        <v>541</v>
      </c>
      <c r="AG1103" s="1">
        <v>551</v>
      </c>
      <c r="AH1103" s="1" t="s">
        <v>79</v>
      </c>
      <c r="AK1103" s="4">
        <v>48</v>
      </c>
      <c r="AL1103" s="4">
        <v>60</v>
      </c>
    </row>
    <row r="1104" spans="1:38" x14ac:dyDescent="0.25">
      <c r="A1104" s="1" t="str">
        <f t="shared" si="104"/>
        <v>US28_hcmva__wt_H8</v>
      </c>
      <c r="B1104" s="45" t="s">
        <v>230</v>
      </c>
      <c r="C1104" s="45" t="s">
        <v>294</v>
      </c>
      <c r="D1104" s="4" t="str">
        <f>VLOOKUP(B1104,Classification!A:D,2,FALSE)</f>
        <v>A</v>
      </c>
      <c r="E1104" s="4" t="str">
        <f>VLOOKUP(B1104,Classification!A:D,3,FALSE)</f>
        <v>Peptide</v>
      </c>
      <c r="F1104" s="4" t="str">
        <f>VLOOKUP(B1104,Classification!A:D,4,FALSE)</f>
        <v>Chemokine</v>
      </c>
      <c r="G1104" s="2">
        <v>14</v>
      </c>
      <c r="H1104" s="45" t="s">
        <v>52</v>
      </c>
      <c r="I1104" s="2" t="s">
        <v>1223</v>
      </c>
      <c r="J1104" s="5" t="str">
        <f>VLOOKUP(B1104,Seqs!A:B,2,FALSE)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104" s="4" t="str">
        <f t="shared" ref="K1104:K1105" si="108">MID(J1104,L1104,1)</f>
        <v>G</v>
      </c>
      <c r="L1104" s="45">
        <f>VLOOKUP(B1104,'NonXtal_SegEnds_Prot#'!A:AL,36,FALSE)</f>
        <v>295</v>
      </c>
      <c r="M1104" s="45">
        <f>VLOOKUP(B1104,'NonXtal_SegEnds_Prot#'!A:AL,37,FALSE)</f>
        <v>298</v>
      </c>
      <c r="N1104" s="45">
        <f>VLOOKUP(B1104,'NonXtal_SegEnds_Prot#'!A:AL,38,FALSE)</f>
        <v>310</v>
      </c>
      <c r="O1104" s="4" t="str">
        <f t="shared" si="103"/>
        <v>R</v>
      </c>
      <c r="P1104" s="4"/>
      <c r="Q1104" s="47" t="str">
        <f t="shared" si="105"/>
        <v>GTK</v>
      </c>
      <c r="R1104" s="27" t="str">
        <f t="shared" si="106"/>
        <v>F</v>
      </c>
      <c r="S1104" s="19" t="str">
        <f t="shared" si="107"/>
        <v>RQELHCLLAEFR</v>
      </c>
      <c r="Z1104" s="4" t="s">
        <v>64</v>
      </c>
      <c r="AD1104" s="1" t="s">
        <v>53</v>
      </c>
      <c r="AE1104" s="1">
        <v>296</v>
      </c>
      <c r="AF1104" s="1">
        <v>298</v>
      </c>
      <c r="AG1104" s="1">
        <v>310</v>
      </c>
      <c r="AH1104" s="1" t="s">
        <v>166</v>
      </c>
      <c r="AK1104" s="4">
        <v>48</v>
      </c>
      <c r="AL1104" s="4">
        <v>62</v>
      </c>
    </row>
    <row r="1105" spans="1:38" x14ac:dyDescent="0.25">
      <c r="A1105" s="1" t="str">
        <f t="shared" si="104"/>
        <v>US28_hcmva_4xT1_H8</v>
      </c>
      <c r="B1105" s="45" t="s">
        <v>230</v>
      </c>
      <c r="C1105" s="45" t="s">
        <v>287</v>
      </c>
      <c r="D1105" s="4" t="str">
        <f>VLOOKUP(B1105,Classification!A:D,2,FALSE)</f>
        <v>A</v>
      </c>
      <c r="E1105" s="4" t="str">
        <f>VLOOKUP(B1105,Classification!A:D,3,FALSE)</f>
        <v>Peptide</v>
      </c>
      <c r="F1105" s="4" t="str">
        <f>VLOOKUP(B1105,Classification!A:D,4,FALSE)</f>
        <v>Chemokine</v>
      </c>
      <c r="G1105" s="2">
        <v>14</v>
      </c>
      <c r="H1105" s="45" t="s">
        <v>52</v>
      </c>
      <c r="I1105" s="2" t="s">
        <v>1223</v>
      </c>
      <c r="J1105" s="5" t="str">
        <f>VLOOKUP(B1105,Seqs!A:B,2,FALSE)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105" s="4" t="str">
        <f t="shared" si="108"/>
        <v>G</v>
      </c>
      <c r="L1105" s="45">
        <f>VLOOKUP(B1105,'NonXtal_SegEnds_Prot#'!A:AL,36,FALSE)</f>
        <v>295</v>
      </c>
      <c r="M1105" s="45">
        <f>VLOOKUP(B1105,'NonXtal_SegEnds_Prot#'!A:AL,37,FALSE)</f>
        <v>298</v>
      </c>
      <c r="N1105" s="45">
        <f>VLOOKUP(B1105,'NonXtal_SegEnds_Prot#'!A:AL,38,FALSE)</f>
        <v>310</v>
      </c>
      <c r="O1105" s="4" t="str">
        <f t="shared" si="103"/>
        <v>R</v>
      </c>
      <c r="P1105" s="4"/>
      <c r="Q1105" s="47" t="str">
        <f t="shared" si="105"/>
        <v>GTK</v>
      </c>
      <c r="R1105" s="27" t="str">
        <f t="shared" si="106"/>
        <v>F</v>
      </c>
      <c r="S1105" s="19" t="str">
        <f t="shared" si="107"/>
        <v>RQELHCLLAEFR</v>
      </c>
      <c r="Z1105" s="4" t="s">
        <v>64</v>
      </c>
      <c r="AD1105" s="1" t="s">
        <v>53</v>
      </c>
      <c r="AE1105" s="1">
        <v>296</v>
      </c>
      <c r="AF1105" s="1">
        <v>298</v>
      </c>
      <c r="AG1105" s="1">
        <v>310</v>
      </c>
      <c r="AH1105" s="1" t="s">
        <v>166</v>
      </c>
      <c r="AK1105" s="4">
        <v>48</v>
      </c>
      <c r="AL1105" s="4">
        <v>62</v>
      </c>
    </row>
  </sheetData>
  <sortState ref="A2:AL1105">
    <sortCondition ref="T2:T1105"/>
    <sortCondition ref="U2:U1105"/>
    <sortCondition ref="V2:V1105"/>
    <sortCondition ref="W2:W1105"/>
    <sortCondition ref="X2:X1105"/>
    <sortCondition ref="Y2:Y1105"/>
  </sortState>
  <dataConsolidate/>
  <customSheetViews>
    <customSheetView guid="{3E3401AF-8459-8641-BD70-AD04F80E86ED}" scale="136" hiddenColumns="1">
      <pane xSplit="2" ySplit="1" topLeftCell="R67" activePane="bottomRight" state="frozenSplit"/>
      <selection pane="bottomRight" activeCell="T12" sqref="T12"/>
      <pageMargins left="0.75" right="0.75" top="1" bottom="1" header="0.5" footer="0.5"/>
      <pageSetup paperSize="9" orientation="portrait" horizontalDpi="4294967292" verticalDpi="4294967292"/>
    </customSheetView>
  </customSheetViews>
  <pageMargins left="0.75" right="0.75" top="1" bottom="1" header="0.5" footer="0.5"/>
  <pageSetup paperSize="9" orientation="portrait" horizontalDpi="4294967292" verticalDpi="429496729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9" sqref="G9"/>
    </sheetView>
  </sheetViews>
  <sheetFormatPr baseColWidth="10" defaultRowHeight="16" x14ac:dyDescent="0.2"/>
  <cols>
    <col min="1" max="1" width="10.83203125" style="12"/>
    <col min="2" max="2" width="19.33203125" style="12" customWidth="1"/>
    <col min="3" max="3" width="13.33203125" style="12" bestFit="1" customWidth="1"/>
    <col min="4" max="4" width="5.6640625" style="12" bestFit="1" customWidth="1"/>
    <col min="5" max="5" width="7.5" style="12" bestFit="1" customWidth="1"/>
    <col min="6" max="6" width="7.83203125" style="12" bestFit="1" customWidth="1"/>
    <col min="7" max="7" width="10.83203125" style="12"/>
    <col min="8" max="8" width="5" style="12" bestFit="1" customWidth="1"/>
    <col min="9" max="9" width="9.1640625" style="34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31" customWidth="1"/>
    <col min="17" max="17" width="6" style="34" bestFit="1" customWidth="1"/>
    <col min="18" max="18" width="7" style="12" bestFit="1" customWidth="1"/>
    <col min="19" max="19" width="6" style="16" customWidth="1"/>
    <col min="20" max="20" width="9.83203125" style="3" bestFit="1" customWidth="1"/>
    <col min="21" max="21" width="6" style="34" bestFit="1" customWidth="1"/>
    <col min="22" max="22" width="8.1640625" style="16" bestFit="1" customWidth="1"/>
    <col min="23" max="23" width="9.83203125" style="57" bestFit="1" customWidth="1"/>
    <col min="24" max="24" width="10.83203125" style="34"/>
    <col min="25" max="16384" width="10.83203125" style="12"/>
  </cols>
  <sheetData>
    <row r="1" spans="1:24" s="37" customFormat="1" ht="17" thickBot="1" x14ac:dyDescent="0.25">
      <c r="B1" s="37" t="s">
        <v>1345</v>
      </c>
      <c r="C1" s="37" t="s">
        <v>205</v>
      </c>
      <c r="D1" s="37" t="s">
        <v>204</v>
      </c>
      <c r="E1" s="37" t="s">
        <v>1316</v>
      </c>
      <c r="F1" s="37" t="s">
        <v>1314</v>
      </c>
      <c r="G1" s="37" t="s">
        <v>1331</v>
      </c>
      <c r="H1" s="37" t="s">
        <v>1315</v>
      </c>
      <c r="I1" s="43" t="s">
        <v>1362</v>
      </c>
      <c r="J1" s="44" t="s">
        <v>1354</v>
      </c>
      <c r="K1" s="41" t="s">
        <v>1352</v>
      </c>
      <c r="L1" s="41" t="s">
        <v>1351</v>
      </c>
      <c r="M1" s="41" t="s">
        <v>1353</v>
      </c>
      <c r="N1" s="41" t="s">
        <v>1355</v>
      </c>
      <c r="O1" s="41" t="s">
        <v>1323</v>
      </c>
      <c r="P1" s="37" t="s">
        <v>1220</v>
      </c>
      <c r="Q1" s="37" t="s">
        <v>1318</v>
      </c>
      <c r="R1" s="37" t="s">
        <v>1346</v>
      </c>
      <c r="S1" s="38" t="s">
        <v>1342</v>
      </c>
      <c r="T1" s="39" t="s">
        <v>1341</v>
      </c>
      <c r="U1" s="37" t="s">
        <v>1350</v>
      </c>
      <c r="V1" s="38" t="s">
        <v>1348</v>
      </c>
      <c r="W1" s="56" t="s">
        <v>1349</v>
      </c>
      <c r="X1" s="37" t="s">
        <v>1325</v>
      </c>
    </row>
    <row r="2" spans="1:24" ht="17" thickTop="1" x14ac:dyDescent="0.2">
      <c r="A2" s="12" t="s">
        <v>1356</v>
      </c>
      <c r="B2" s="12" t="str">
        <f t="shared" ref="B2:B10" si="0">CONCATENATE(C2,"_",D2)</f>
        <v>US28_hcmva_4XT1</v>
      </c>
      <c r="C2" s="2" t="s">
        <v>230</v>
      </c>
      <c r="D2" s="12" t="s">
        <v>1339</v>
      </c>
      <c r="E2" s="12" t="s">
        <v>1321</v>
      </c>
      <c r="F2" s="12" t="s">
        <v>1327</v>
      </c>
      <c r="G2" s="12" t="s">
        <v>1340</v>
      </c>
      <c r="H2" s="12" t="s">
        <v>1330</v>
      </c>
      <c r="I2" s="34" t="s">
        <v>1359</v>
      </c>
      <c r="J2" s="42">
        <f>VLOOKUP(CONCATENATE(B2,"_TM6"),Orig!A:P,13,FALSE)-VLOOKUP(CONCATENATE(B2,"_TM5"),Orig!A:P,13,FALSE)</f>
        <v>43</v>
      </c>
      <c r="K2" s="40" t="e">
        <f>U2-R2-1</f>
        <v>#VALUE!</v>
      </c>
      <c r="L2" s="40" t="e">
        <f>K2</f>
        <v>#VALUE!</v>
      </c>
      <c r="M2" s="40" t="e">
        <f>K2-L2</f>
        <v>#VALUE!</v>
      </c>
      <c r="N2" s="40" t="e">
        <f>J2-K2</f>
        <v>#VALUE!</v>
      </c>
      <c r="O2" s="40" t="s">
        <v>1343</v>
      </c>
      <c r="R2" s="12" t="str">
        <f>VLOOKUP(CONCATENATE(B2,"_TM5"),Orig!A:P,15,FALSE)</f>
        <v>S</v>
      </c>
      <c r="S2" s="16" t="e">
        <f>VLOOKUP(CONCATENATE(B2,"_TM5"),Orig!A:P,15,FALSE)-VLOOKUP(CONCATENATE(B2,"_TM5"),Orig!A:P,13,FALSE)+50</f>
        <v>#VALUE!</v>
      </c>
      <c r="T2" s="3">
        <v>66</v>
      </c>
      <c r="U2" s="34">
        <f>VLOOKUP(CONCATENATE(B2,"_TM6"),Orig!A:P,12,FALSE)</f>
        <v>222</v>
      </c>
      <c r="V2" s="16">
        <f>VLOOKUP(CONCATENATE(B2,"_TM6"),Orig!A:P,12,FALSE)-VLOOKUP(CONCATENATE(B2,"_TM6"),Orig!A:P,13,FALSE)+50</f>
        <v>29</v>
      </c>
      <c r="W2" s="57" t="str">
        <f>VLOOKUP(CONCATENATE(B2,"_TM6"),Orig!A:P,15,FALSE)</f>
        <v>K</v>
      </c>
      <c r="X2" s="36" t="s">
        <v>1338</v>
      </c>
    </row>
    <row r="3" spans="1:24" x14ac:dyDescent="0.2">
      <c r="B3" s="3" t="str">
        <f t="shared" si="0"/>
        <v>FFAR1_human_4PHU</v>
      </c>
      <c r="C3" s="2" t="s">
        <v>1368</v>
      </c>
      <c r="D3" s="32" t="s">
        <v>241</v>
      </c>
      <c r="E3" s="3" t="s">
        <v>1320</v>
      </c>
      <c r="F3" s="3" t="s">
        <v>129</v>
      </c>
      <c r="G3" s="3" t="s">
        <v>1369</v>
      </c>
      <c r="H3" s="3"/>
      <c r="I3" s="35"/>
      <c r="J3" s="42">
        <f>VLOOKUP(CONCATENATE(B3,"_TM6"),Orig!A:P,13,FALSE)-VLOOKUP(CONCATENATE(B3,"_TM5"),Orig!A:P,13,FALSE)</f>
        <v>45</v>
      </c>
      <c r="K3" s="40"/>
      <c r="L3" s="40"/>
      <c r="M3" s="40"/>
      <c r="N3" s="40"/>
      <c r="P3" s="33"/>
      <c r="Q3" s="35"/>
      <c r="R3" s="12" t="str">
        <f>VLOOKUP(CONCATENATE(B3,"_TM5"),Orig!A:P,15,FALSE)</f>
        <v>R</v>
      </c>
      <c r="S3" s="16" t="e">
        <f>VLOOKUP(CONCATENATE(B3,"_TM5"),Orig!A:P,15,FALSE)-VLOOKUP(CONCATENATE(B3,"_TM5"),Orig!A:P,13,FALSE)+50</f>
        <v>#VALUE!</v>
      </c>
      <c r="T3" s="3">
        <v>67</v>
      </c>
      <c r="U3" s="34">
        <f>VLOOKUP(CONCATENATE(B3,"_TM6"),Orig!A:P,12,FALSE)</f>
        <v>217</v>
      </c>
      <c r="V3" s="16">
        <f>VLOOKUP(CONCATENATE(B3,"_TM6"),Orig!A:P,12,FALSE)-VLOOKUP(CONCATENATE(B3,"_TM6"),Orig!A:P,13,FALSE)+50</f>
        <v>28</v>
      </c>
      <c r="W3" s="57" t="str">
        <f>VLOOKUP(CONCATENATE(B3,"_TM6"),Orig!A:P,15,FALSE)</f>
        <v>Y</v>
      </c>
    </row>
    <row r="4" spans="1:24" x14ac:dyDescent="0.2">
      <c r="A4" s="12" t="s">
        <v>1358</v>
      </c>
      <c r="B4" s="12" t="str">
        <f t="shared" si="0"/>
        <v>OPRM_mouse_5C1M</v>
      </c>
      <c r="C4" s="12" t="s">
        <v>232</v>
      </c>
      <c r="D4" s="3" t="s">
        <v>276</v>
      </c>
      <c r="E4" s="12" t="s">
        <v>1321</v>
      </c>
      <c r="F4" s="12" t="s">
        <v>1327</v>
      </c>
      <c r="G4" s="12" t="s">
        <v>1340</v>
      </c>
      <c r="H4" s="12" t="s">
        <v>1330</v>
      </c>
      <c r="I4" s="34" t="s">
        <v>1359</v>
      </c>
      <c r="J4" s="42">
        <f>VLOOKUP(CONCATENATE(B4,"_TM6"),Orig!A:P,13,FALSE)-VLOOKUP(CONCATENATE(B4,"_TM5"),Orig!A:P,13,FALSE)</f>
        <v>51</v>
      </c>
      <c r="K4" s="40" t="e">
        <f t="shared" ref="K4:K10" si="1">U4-R4-1</f>
        <v>#VALUE!</v>
      </c>
      <c r="L4" s="40" t="e">
        <f t="shared" ref="L4:L10" si="2">K4</f>
        <v>#VALUE!</v>
      </c>
      <c r="M4" s="40" t="e">
        <f t="shared" ref="M4:M10" si="3">K4-L4</f>
        <v>#VALUE!</v>
      </c>
      <c r="N4" s="40" t="e">
        <f t="shared" ref="N4:N10" si="4">J4-K4</f>
        <v>#VALUE!</v>
      </c>
      <c r="O4" s="40" t="s">
        <v>1343</v>
      </c>
      <c r="R4" s="12" t="str">
        <f>VLOOKUP(CONCATENATE(B4,"_TM5"),Orig!A:P,15,FALSE)</f>
        <v>V</v>
      </c>
      <c r="S4" s="16" t="e">
        <f>VLOOKUP(CONCATENATE(B4,"_TM5"),Orig!A:P,15,FALSE)-VLOOKUP(CONCATENATE(B4,"_TM5"),Orig!A:P,13,FALSE)+50</f>
        <v>#VALUE!</v>
      </c>
      <c r="T4" s="3">
        <v>68</v>
      </c>
      <c r="U4" s="34">
        <f>VLOOKUP(CONCATENATE(B4,"_TM6"),Orig!A:P,12,FALSE)</f>
        <v>268</v>
      </c>
      <c r="V4" s="16">
        <f>VLOOKUP(CONCATENATE(B4,"_TM6"),Orig!A:P,12,FALSE)-VLOOKUP(CONCATENATE(B4,"_TM6"),Orig!A:P,13,FALSE)+50</f>
        <v>23</v>
      </c>
      <c r="W4" s="57" t="str">
        <f>VLOOKUP(CONCATENATE(B4,"_TM6"),Orig!A:P,15,FALSE)</f>
        <v>I</v>
      </c>
      <c r="X4" s="36" t="s">
        <v>1338</v>
      </c>
    </row>
    <row r="5" spans="1:24" x14ac:dyDescent="0.2">
      <c r="A5" s="12" t="s">
        <v>1357</v>
      </c>
      <c r="B5" s="12" t="str">
        <f t="shared" si="0"/>
        <v>OPSD_bovin_3DQB</v>
      </c>
      <c r="C5" s="12" t="s">
        <v>231</v>
      </c>
      <c r="D5" s="30" t="s">
        <v>245</v>
      </c>
      <c r="E5" s="12" t="s">
        <v>1321</v>
      </c>
      <c r="F5" s="30" t="s">
        <v>148</v>
      </c>
      <c r="G5" s="12" t="s">
        <v>1340</v>
      </c>
      <c r="H5" s="12" t="s">
        <v>1330</v>
      </c>
      <c r="I5" s="34" t="s">
        <v>1359</v>
      </c>
      <c r="J5" s="42">
        <f>VLOOKUP(CONCATENATE(B5,"_TM6"),Orig!A:P,13,FALSE)-VLOOKUP(CONCATENATE(B5,"_TM5"),Orig!A:P,13,FALSE)</f>
        <v>52</v>
      </c>
      <c r="K5" s="40" t="e">
        <f t="shared" si="1"/>
        <v>#VALUE!</v>
      </c>
      <c r="L5" s="40" t="e">
        <f t="shared" si="2"/>
        <v>#VALUE!</v>
      </c>
      <c r="M5" s="40" t="e">
        <f t="shared" si="3"/>
        <v>#VALUE!</v>
      </c>
      <c r="N5" s="40" t="e">
        <f t="shared" si="4"/>
        <v>#VALUE!</v>
      </c>
      <c r="O5" s="42" t="s">
        <v>1333</v>
      </c>
      <c r="P5" s="31" t="s">
        <v>1219</v>
      </c>
      <c r="Q5" s="34">
        <v>237</v>
      </c>
      <c r="R5" s="12" t="str">
        <f>VLOOKUP(CONCATENATE(B5,"_TM5"),Orig!A:P,15,FALSE)</f>
        <v>Q</v>
      </c>
      <c r="S5" s="16" t="e">
        <f>VLOOKUP(CONCATENATE(B5,"_TM5"),Orig!A:P,15,FALSE)-VLOOKUP(CONCATENATE(B5,"_TM5"),Orig!A:P,13,FALSE)+50</f>
        <v>#VALUE!</v>
      </c>
      <c r="T5" s="3">
        <v>72</v>
      </c>
      <c r="U5" s="34">
        <f>VLOOKUP(CONCATENATE(B5,"_TM6"),Orig!A:P,12,FALSE)</f>
        <v>241</v>
      </c>
      <c r="V5" s="16">
        <f>VLOOKUP(CONCATENATE(B5,"_TM6"),Orig!A:P,12,FALSE)-VLOOKUP(CONCATENATE(B5,"_TM6"),Orig!A:P,13,FALSE)+50</f>
        <v>24</v>
      </c>
      <c r="W5" s="57" t="str">
        <f>VLOOKUP(CONCATENATE(B5,"_TM6"),Orig!A:P,15,FALSE)</f>
        <v>H</v>
      </c>
    </row>
    <row r="6" spans="1:24" x14ac:dyDescent="0.2">
      <c r="C6" s="2" t="s">
        <v>210</v>
      </c>
      <c r="D6" s="30" t="s">
        <v>1241</v>
      </c>
      <c r="E6" s="12" t="s">
        <v>1320</v>
      </c>
      <c r="F6" s="30"/>
      <c r="I6" s="59" t="s">
        <v>1359</v>
      </c>
      <c r="J6" s="42"/>
      <c r="K6" s="40"/>
      <c r="L6" s="40"/>
      <c r="M6" s="40"/>
      <c r="N6" s="40"/>
      <c r="O6" s="42"/>
    </row>
    <row r="7" spans="1:24" x14ac:dyDescent="0.2">
      <c r="B7" s="3" t="str">
        <f t="shared" si="0"/>
        <v>AA2AR_human_2YDV</v>
      </c>
      <c r="C7" s="2" t="s">
        <v>210</v>
      </c>
      <c r="D7" s="32" t="s">
        <v>271</v>
      </c>
      <c r="E7" s="3" t="s">
        <v>1321</v>
      </c>
      <c r="F7" s="3" t="s">
        <v>1317</v>
      </c>
      <c r="G7" s="12" t="s">
        <v>1340</v>
      </c>
      <c r="H7" s="3" t="s">
        <v>1330</v>
      </c>
      <c r="I7" s="35" t="s">
        <v>1360</v>
      </c>
      <c r="J7" s="42">
        <f>VLOOKUP(CONCATENATE(B7,"_TM6"),Orig!A:P,13,FALSE)-VLOOKUP(CONCATENATE(B7,"_TM5"),Orig!A:P,13,FALSE)</f>
        <v>59</v>
      </c>
      <c r="K7" s="40" t="e">
        <f t="shared" si="1"/>
        <v>#VALUE!</v>
      </c>
      <c r="L7" s="40" t="e">
        <f t="shared" si="2"/>
        <v>#VALUE!</v>
      </c>
      <c r="M7" s="40" t="e">
        <f t="shared" si="3"/>
        <v>#VALUE!</v>
      </c>
      <c r="N7" s="40" t="e">
        <f t="shared" si="4"/>
        <v>#VALUE!</v>
      </c>
      <c r="O7" s="2" t="s">
        <v>1333</v>
      </c>
      <c r="P7" s="33" t="s">
        <v>1218</v>
      </c>
      <c r="Q7" s="35">
        <v>213</v>
      </c>
      <c r="R7" s="12" t="str">
        <f>VLOOKUP(CONCATENATE(B7,"_TM5"),Orig!A:P,15,FALSE)</f>
        <v>S</v>
      </c>
      <c r="S7" s="16" t="e">
        <f>VLOOKUP(CONCATENATE(B7,"_TM5"),Orig!A:P,15,FALSE)-VLOOKUP(CONCATENATE(B7,"_TM5"),Orig!A:P,13,FALSE)+50</f>
        <v>#VALUE!</v>
      </c>
      <c r="T7" s="3">
        <v>74</v>
      </c>
      <c r="U7" s="34">
        <f>VLOOKUP(CONCATENATE(B7,"_TM6"),Orig!A:P,12,FALSE)</f>
        <v>219</v>
      </c>
      <c r="V7" s="16">
        <f>VLOOKUP(CONCATENATE(B7,"_TM6"),Orig!A:P,12,FALSE)-VLOOKUP(CONCATENATE(B7,"_TM6"),Orig!A:P,13,FALSE)+50</f>
        <v>21</v>
      </c>
      <c r="W7" s="57" t="str">
        <f>VLOOKUP(CONCATENATE(B7,"_TM6"),Orig!A:P,15,FALSE)</f>
        <v>C</v>
      </c>
      <c r="X7" s="34" t="s">
        <v>1326</v>
      </c>
    </row>
    <row r="8" spans="1:24" x14ac:dyDescent="0.2">
      <c r="B8" s="12" t="str">
        <f t="shared" si="0"/>
        <v>OPSD_todpa_2Z73</v>
      </c>
      <c r="C8" s="2" t="s">
        <v>291</v>
      </c>
      <c r="D8" s="30" t="s">
        <v>290</v>
      </c>
      <c r="E8" s="12" t="s">
        <v>1320</v>
      </c>
      <c r="F8" s="3" t="s">
        <v>129</v>
      </c>
      <c r="G8" s="3" t="s">
        <v>1363</v>
      </c>
      <c r="I8" s="34" t="s">
        <v>1359</v>
      </c>
      <c r="J8" s="42">
        <f>VLOOKUP(CONCATENATE(B8,"_TM6"),Orig!A:P,13,FALSE)-VLOOKUP(CONCATENATE(B8,"_TM5"),Orig!A:P,13,FALSE)</f>
        <v>64</v>
      </c>
      <c r="K8" s="40" t="e">
        <f t="shared" si="1"/>
        <v>#VALUE!</v>
      </c>
      <c r="L8" s="40" t="e">
        <f t="shared" si="2"/>
        <v>#VALUE!</v>
      </c>
      <c r="M8" s="40" t="e">
        <f t="shared" si="3"/>
        <v>#VALUE!</v>
      </c>
      <c r="N8" s="40" t="e">
        <f t="shared" si="4"/>
        <v>#VALUE!</v>
      </c>
      <c r="O8" s="2" t="s">
        <v>1332</v>
      </c>
      <c r="P8" s="33"/>
      <c r="Q8" s="35"/>
      <c r="R8" s="12" t="str">
        <f>VLOOKUP(CONCATENATE(B8,"_TM5"),Orig!A:P,15,FALSE)</f>
        <v>K</v>
      </c>
      <c r="S8" s="16" t="e">
        <f>VLOOKUP(CONCATENATE(B8,"_TM5"),Orig!A:P,15,FALSE)-VLOOKUP(CONCATENATE(B8,"_TM5"),Orig!A:P,13,FALSE)+50</f>
        <v>#VALUE!</v>
      </c>
      <c r="T8" s="3">
        <v>77</v>
      </c>
      <c r="U8" s="34">
        <f>VLOOKUP(CONCATENATE(B8,"_TM6"),Orig!A:P,12,FALSE)</f>
        <v>244</v>
      </c>
      <c r="V8" s="16">
        <f>VLOOKUP(CONCATENATE(B8,"_TM6"),Orig!A:P,12,FALSE)-VLOOKUP(CONCATENATE(B8,"_TM6"),Orig!A:P,13,FALSE)+50</f>
        <v>18</v>
      </c>
      <c r="W8" s="57" t="str">
        <f>VLOOKUP(CONCATENATE(B8,"_TM6"),Orig!A:P,15,FALSE)</f>
        <v>G</v>
      </c>
    </row>
    <row r="9" spans="1:24" x14ac:dyDescent="0.2">
      <c r="B9" s="3" t="str">
        <f t="shared" si="0"/>
        <v>ADRB2_human__wt</v>
      </c>
      <c r="C9" s="3" t="s">
        <v>211</v>
      </c>
      <c r="D9" s="32" t="s">
        <v>294</v>
      </c>
      <c r="E9" s="3" t="s">
        <v>1321</v>
      </c>
      <c r="F9" s="3" t="s">
        <v>94</v>
      </c>
      <c r="G9" s="3" t="s">
        <v>1364</v>
      </c>
      <c r="H9" s="3" t="s">
        <v>1330</v>
      </c>
      <c r="I9" s="35" t="s">
        <v>1360</v>
      </c>
      <c r="J9" s="42">
        <f>VLOOKUP(CONCATENATE(B9,"_TM6"),Orig!A:P,13,FALSE)-VLOOKUP(CONCATENATE(B9,"_TM5"),Orig!A:P,13,FALSE)</f>
        <v>77</v>
      </c>
      <c r="K9" s="40" t="e">
        <f t="shared" si="1"/>
        <v>#VALUE!</v>
      </c>
      <c r="L9" s="40" t="e">
        <f t="shared" si="2"/>
        <v>#VALUE!</v>
      </c>
      <c r="M9" s="40" t="e">
        <f t="shared" si="3"/>
        <v>#VALUE!</v>
      </c>
      <c r="N9" s="40" t="e">
        <f t="shared" si="4"/>
        <v>#VALUE!</v>
      </c>
      <c r="O9" s="2" t="s">
        <v>1332</v>
      </c>
      <c r="P9" s="33"/>
      <c r="Q9" s="35"/>
      <c r="R9" s="12" t="str">
        <f>VLOOKUP(CONCATENATE(B9,"_TM5"),Orig!A:P,15,FALSE)</f>
        <v>E</v>
      </c>
      <c r="S9" s="16" t="e">
        <f>VLOOKUP(CONCATENATE(B9,"_TM5"),Orig!A:P,15,FALSE)-VLOOKUP(CONCATENATE(B9,"_TM5"),Orig!A:P,13,FALSE)+50</f>
        <v>#VALUE!</v>
      </c>
      <c r="T9" s="3">
        <v>76</v>
      </c>
      <c r="U9" s="34">
        <f>VLOOKUP(CONCATENATE(B9,"_TM6"),Orig!A:P,12,FALSE)</f>
        <v>262</v>
      </c>
      <c r="V9" s="16">
        <f>VLOOKUP(CONCATENATE(B9,"_TM6"),Orig!A:P,12,FALSE)-VLOOKUP(CONCATENATE(B9,"_TM6"),Orig!A:P,13,FALSE)+50</f>
        <v>24</v>
      </c>
      <c r="W9" s="57" t="str">
        <f>VLOOKUP(CONCATENATE(B9,"_TM6"),Orig!A:P,15,FALSE)</f>
        <v>Q</v>
      </c>
    </row>
    <row r="10" spans="1:24" x14ac:dyDescent="0.2">
      <c r="B10" s="12" t="str">
        <f t="shared" si="0"/>
        <v>ADRB1_melga_2YCW</v>
      </c>
      <c r="C10" s="2" t="s">
        <v>235</v>
      </c>
      <c r="D10" s="3" t="s">
        <v>1233</v>
      </c>
      <c r="E10" s="12" t="s">
        <v>1320</v>
      </c>
      <c r="F10" s="3" t="s">
        <v>129</v>
      </c>
      <c r="G10" s="3" t="s">
        <v>1340</v>
      </c>
      <c r="I10" s="34" t="s">
        <v>1361</v>
      </c>
      <c r="J10" s="42">
        <f>VLOOKUP(CONCATENATE(B10,"_TM6"),Orig!A:P,13,FALSE)-VLOOKUP(CONCATENATE(B10,"_TM5"),Orig!A:P,13,FALSE)</f>
        <v>86</v>
      </c>
      <c r="K10" s="40" t="e">
        <f t="shared" si="1"/>
        <v>#VALUE!</v>
      </c>
      <c r="L10" s="40" t="e">
        <f t="shared" si="2"/>
        <v>#VALUE!</v>
      </c>
      <c r="M10" s="40" t="e">
        <f t="shared" si="3"/>
        <v>#VALUE!</v>
      </c>
      <c r="N10" s="40" t="e">
        <f t="shared" si="4"/>
        <v>#VALUE!</v>
      </c>
      <c r="O10" s="2" t="s">
        <v>1332</v>
      </c>
      <c r="P10" s="33"/>
      <c r="Q10" s="35"/>
      <c r="R10" s="12" t="str">
        <f>VLOOKUP(CONCATENATE(B10,"_TM5"),Orig!A:P,15,FALSE)</f>
        <v>E</v>
      </c>
      <c r="S10" s="16" t="e">
        <f>VLOOKUP(CONCATENATE(B10,"_TM5"),Orig!A:P,15,FALSE)-VLOOKUP(CONCATENATE(B10,"_TM5"),Orig!A:P,13,FALSE)+50</f>
        <v>#VALUE!</v>
      </c>
      <c r="T10" s="3">
        <v>78</v>
      </c>
      <c r="U10" s="34">
        <f>VLOOKUP(CONCATENATE(B10,"_TM6"),Orig!A:P,12,FALSE)</f>
        <v>275</v>
      </c>
      <c r="V10" s="16">
        <f>VLOOKUP(CONCATENATE(B10,"_TM6"),Orig!A:P,12,FALSE)-VLOOKUP(CONCATENATE(B10,"_TM6"),Orig!A:P,13,FALSE)+50</f>
        <v>20</v>
      </c>
      <c r="W10" s="57" t="str">
        <f>VLOOKUP(CONCATENATE(B10,"_TM6"),Orig!A:P,15,FALSE)</f>
        <v>N</v>
      </c>
    </row>
    <row r="11" spans="1:24" x14ac:dyDescent="0.2">
      <c r="B11" s="12" t="str">
        <f t="shared" ref="B11:B26" si="5">CONCATENATE(C11,"_",D11)</f>
        <v>OPSD_bovin_most</v>
      </c>
      <c r="C11" s="12" t="s">
        <v>231</v>
      </c>
      <c r="D11" s="12" t="s">
        <v>1335</v>
      </c>
      <c r="E11" s="12" t="s">
        <v>1320</v>
      </c>
      <c r="J11" s="42" t="e">
        <f>VLOOKUP(CONCATENATE(B11,"_TM6"),Orig!A:P,13,FALSE)-VLOOKUP(CONCATENATE(B11,"_TM5"),Orig!A:P,13,FALSE)</f>
        <v>#N/A</v>
      </c>
      <c r="K11" s="40" t="e">
        <f t="shared" ref="K11:K26" si="6">U11-R11-1</f>
        <v>#N/A</v>
      </c>
      <c r="L11" s="40"/>
      <c r="M11" s="40" t="e">
        <f t="shared" ref="M11:M26" si="7">K11-L11</f>
        <v>#N/A</v>
      </c>
      <c r="N11" s="40"/>
      <c r="R11" s="12" t="e">
        <f>VLOOKUP(CONCATENATE(B11,"_TM5"),Orig!A:P,15,FALSE)</f>
        <v>#N/A</v>
      </c>
      <c r="S11" s="16" t="e">
        <f>VLOOKUP(CONCATENATE(B11,"_TM5"),Orig!A:P,15,FALSE)-VLOOKUP(CONCATENATE(B11,"_TM5"),Orig!A:P,13,FALSE)+50</f>
        <v>#N/A</v>
      </c>
      <c r="T11" s="3">
        <v>61</v>
      </c>
      <c r="U11" s="34" t="e">
        <f>VLOOKUP(CONCATENATE(B11,"_TM6"),Orig!A:P,12,FALSE)</f>
        <v>#N/A</v>
      </c>
      <c r="V11" s="16" t="e">
        <f>VLOOKUP(CONCATENATE(B11,"_TM6"),Orig!A:P,12,FALSE)-VLOOKUP(CONCATENATE(B11,"_TM6"),Orig!A:P,13,FALSE)+50</f>
        <v>#N/A</v>
      </c>
      <c r="W11" s="57" t="e">
        <f>VLOOKUP(CONCATENATE(B11,"_TM6"),Orig!A:P,15,FALSE)</f>
        <v>#N/A</v>
      </c>
    </row>
    <row r="12" spans="1:24" x14ac:dyDescent="0.2">
      <c r="B12" s="12" t="str">
        <f t="shared" si="5"/>
        <v>ADRB2_human_most</v>
      </c>
      <c r="C12" s="12" t="s">
        <v>211</v>
      </c>
      <c r="D12" s="30" t="s">
        <v>1335</v>
      </c>
      <c r="E12" s="12" t="s">
        <v>1320</v>
      </c>
      <c r="F12" s="12" t="s">
        <v>129</v>
      </c>
      <c r="J12" s="42" t="e">
        <f>VLOOKUP(CONCATENATE(B12,"_TM6"),Orig!A:P,13,FALSE)-VLOOKUP(CONCATENATE(B12,"_TM5"),Orig!A:P,13,FALSE)</f>
        <v>#N/A</v>
      </c>
      <c r="K12" s="40" t="e">
        <f t="shared" si="6"/>
        <v>#N/A</v>
      </c>
      <c r="L12" s="40"/>
      <c r="M12" s="40" t="e">
        <f t="shared" si="7"/>
        <v>#N/A</v>
      </c>
      <c r="N12" s="40"/>
      <c r="R12" s="12" t="e">
        <f>VLOOKUP(CONCATENATE(B12,"_TM5"),Orig!A:P,15,FALSE)</f>
        <v>#N/A</v>
      </c>
      <c r="S12" s="16" t="e">
        <f>VLOOKUP(CONCATENATE(B12,"_TM5"),Orig!A:P,15,FALSE)-VLOOKUP(CONCATENATE(B12,"_TM5"),Orig!A:P,13,FALSE)+50</f>
        <v>#N/A</v>
      </c>
      <c r="T12" s="3">
        <v>67</v>
      </c>
      <c r="U12" s="34" t="e">
        <f>VLOOKUP(CONCATENATE(B12,"_TM6"),Orig!A:P,12,FALSE)</f>
        <v>#N/A</v>
      </c>
      <c r="V12" s="16" t="e">
        <f>VLOOKUP(CONCATENATE(B12,"_TM6"),Orig!A:P,12,FALSE)-VLOOKUP(CONCATENATE(B12,"_TM6"),Orig!A:P,13,FALSE)+50</f>
        <v>#N/A</v>
      </c>
      <c r="W12" s="57" t="e">
        <f>VLOOKUP(CONCATENATE(B12,"_TM6"),Orig!A:P,15,FALSE)</f>
        <v>#N/A</v>
      </c>
    </row>
    <row r="13" spans="1:24" x14ac:dyDescent="0.2">
      <c r="B13" s="12" t="str">
        <f>CONCATENATE(C13,"_",D13)</f>
        <v>NTR1_rat__wt</v>
      </c>
      <c r="C13" s="12" t="s">
        <v>234</v>
      </c>
      <c r="D13" s="3" t="s">
        <v>294</v>
      </c>
      <c r="E13" s="12" t="s">
        <v>1320</v>
      </c>
      <c r="F13" s="12" t="s">
        <v>129</v>
      </c>
      <c r="G13" s="3" t="s">
        <v>1370</v>
      </c>
      <c r="J13" s="42">
        <f>VLOOKUP(CONCATENATE(B13,"_TM6"),Orig!A:P,13,FALSE)-VLOOKUP(CONCATENATE(B13,"_TM5"),Orig!A:P,13,FALSE)</f>
        <v>74</v>
      </c>
      <c r="K13" s="40"/>
      <c r="L13" s="40"/>
      <c r="M13" s="40"/>
      <c r="N13" s="40"/>
      <c r="O13" s="40"/>
      <c r="S13" s="16" t="e">
        <f>VLOOKUP(CONCATENATE(B13,"_TM5"),Orig!A:P,15,FALSE)-VLOOKUP(CONCATENATE(B13,"_TM5"),Orig!A:P,13,FALSE)+50</f>
        <v>#VALUE!</v>
      </c>
      <c r="T13" s="3">
        <v>71</v>
      </c>
      <c r="U13" s="34">
        <f>VLOOKUP(CONCATENATE(B13,"_TM6"),Orig!A:P,12,FALSE)</f>
        <v>297</v>
      </c>
      <c r="V13" s="16">
        <f>VLOOKUP(CONCATENATE(B13,"_TM6"),Orig!A:P,12,FALSE)-VLOOKUP(CONCATENATE(B13,"_TM6"),Orig!A:P,13,FALSE)+50</f>
        <v>24</v>
      </c>
      <c r="W13" s="57">
        <v>25</v>
      </c>
      <c r="X13" s="36"/>
    </row>
    <row r="14" spans="1:24" x14ac:dyDescent="0.2">
      <c r="B14" s="12" t="str">
        <f t="shared" si="5"/>
        <v>ADRB2_human_3P0G</v>
      </c>
      <c r="C14" s="12" t="s">
        <v>211</v>
      </c>
      <c r="D14" s="30" t="s">
        <v>257</v>
      </c>
      <c r="E14" s="12" t="s">
        <v>1321</v>
      </c>
      <c r="F14" s="12" t="s">
        <v>1327</v>
      </c>
      <c r="J14" s="42">
        <f>VLOOKUP(CONCATENATE(B14,"_TM6"),Orig!A:P,13,FALSE)-VLOOKUP(CONCATENATE(B14,"_TM5"),Orig!A:P,13,FALSE)</f>
        <v>77</v>
      </c>
      <c r="K14" s="40" t="e">
        <f t="shared" si="6"/>
        <v>#VALUE!</v>
      </c>
      <c r="L14" s="40"/>
      <c r="M14" s="40" t="e">
        <f t="shared" si="7"/>
        <v>#VALUE!</v>
      </c>
      <c r="N14" s="40"/>
      <c r="O14" s="2" t="s">
        <v>1334</v>
      </c>
      <c r="R14" s="12" t="str">
        <f>VLOOKUP(CONCATENATE(B14,"_TM5"),Orig!A:P,15,FALSE)</f>
        <v>E</v>
      </c>
      <c r="S14" s="16" t="e">
        <f>VLOOKUP(CONCATENATE(B14,"_TM5"),Orig!A:P,15,FALSE)-VLOOKUP(CONCATENATE(B14,"_TM5"),Orig!A:P,13,FALSE)+50</f>
        <v>#VALUE!</v>
      </c>
      <c r="T14" s="3">
        <v>67</v>
      </c>
      <c r="U14" s="34">
        <f>VLOOKUP(CONCATENATE(B14,"_TM6"),Orig!A:P,12,FALSE)</f>
        <v>262</v>
      </c>
      <c r="V14" s="16">
        <f>VLOOKUP(CONCATENATE(B14,"_TM6"),Orig!A:P,12,FALSE)-VLOOKUP(CONCATENATE(B14,"_TM6"),Orig!A:P,13,FALSE)+50</f>
        <v>24</v>
      </c>
      <c r="W14" s="57" t="str">
        <f>VLOOKUP(CONCATENATE(B14,"_TM6"),Orig!A:P,15,FALSE)</f>
        <v>Q</v>
      </c>
      <c r="X14" s="36" t="s">
        <v>1328</v>
      </c>
    </row>
    <row r="15" spans="1:24" x14ac:dyDescent="0.2">
      <c r="B15" s="12" t="str">
        <f t="shared" si="5"/>
        <v>ADRB2_human_4LDE</v>
      </c>
      <c r="C15" s="12" t="s">
        <v>211</v>
      </c>
      <c r="D15" s="30" t="s">
        <v>268</v>
      </c>
      <c r="E15" s="12" t="s">
        <v>1321</v>
      </c>
      <c r="F15" s="12" t="s">
        <v>1327</v>
      </c>
      <c r="J15" s="42">
        <f>VLOOKUP(CONCATENATE(B15,"_TM6"),Orig!A:P,13,FALSE)-VLOOKUP(CONCATENATE(B15,"_TM5"),Orig!A:P,13,FALSE)</f>
        <v>77</v>
      </c>
      <c r="K15" s="40" t="e">
        <f t="shared" si="6"/>
        <v>#VALUE!</v>
      </c>
      <c r="L15" s="40"/>
      <c r="M15" s="40" t="e">
        <f t="shared" si="7"/>
        <v>#VALUE!</v>
      </c>
      <c r="N15" s="40"/>
      <c r="O15" s="2" t="s">
        <v>1334</v>
      </c>
      <c r="R15" s="12" t="str">
        <f>VLOOKUP(CONCATENATE(B15,"_TM5"),Orig!A:P,15,FALSE)</f>
        <v>E</v>
      </c>
      <c r="S15" s="16" t="e">
        <f>VLOOKUP(CONCATENATE(B15,"_TM5"),Orig!A:P,15,FALSE)-VLOOKUP(CONCATENATE(B15,"_TM5"),Orig!A:P,13,FALSE)+50</f>
        <v>#VALUE!</v>
      </c>
      <c r="T15" s="3">
        <v>67</v>
      </c>
      <c r="U15" s="34">
        <f>VLOOKUP(CONCATENATE(B15,"_TM6"),Orig!A:P,12,FALSE)</f>
        <v>262</v>
      </c>
      <c r="V15" s="16">
        <f>VLOOKUP(CONCATENATE(B15,"_TM6"),Orig!A:P,12,FALSE)-VLOOKUP(CONCATENATE(B15,"_TM6"),Orig!A:P,13,FALSE)+50</f>
        <v>24</v>
      </c>
      <c r="W15" s="57" t="str">
        <f>VLOOKUP(CONCATENATE(B15,"_TM6"),Orig!A:P,15,FALSE)</f>
        <v>Q</v>
      </c>
      <c r="X15" s="36" t="s">
        <v>1328</v>
      </c>
    </row>
    <row r="16" spans="1:24" x14ac:dyDescent="0.2">
      <c r="B16" s="12" t="str">
        <f t="shared" si="5"/>
        <v>ADRB2_human_4QKX</v>
      </c>
      <c r="C16" s="12" t="s">
        <v>211</v>
      </c>
      <c r="D16" s="12" t="s">
        <v>269</v>
      </c>
      <c r="E16" s="12" t="s">
        <v>1321</v>
      </c>
      <c r="F16" s="12" t="s">
        <v>1327</v>
      </c>
      <c r="J16" s="42">
        <f>VLOOKUP(CONCATENATE(B16,"_TM6"),Orig!A:P,13,FALSE)-VLOOKUP(CONCATENATE(B16,"_TM5"),Orig!A:P,13,FALSE)</f>
        <v>77</v>
      </c>
      <c r="K16" s="40" t="e">
        <f t="shared" si="6"/>
        <v>#VALUE!</v>
      </c>
      <c r="L16" s="40"/>
      <c r="M16" s="40" t="e">
        <f t="shared" si="7"/>
        <v>#VALUE!</v>
      </c>
      <c r="N16" s="40"/>
      <c r="O16" s="2" t="s">
        <v>1334</v>
      </c>
      <c r="R16" s="12" t="str">
        <f>VLOOKUP(CONCATENATE(B16,"_TM5"),Orig!A:P,15,FALSE)</f>
        <v>E</v>
      </c>
      <c r="S16" s="16" t="e">
        <f>VLOOKUP(CONCATENATE(B16,"_TM5"),Orig!A:P,15,FALSE)-VLOOKUP(CONCATENATE(B16,"_TM5"),Orig!A:P,13,FALSE)+50</f>
        <v>#VALUE!</v>
      </c>
      <c r="T16" s="3">
        <v>67</v>
      </c>
      <c r="U16" s="34">
        <f>VLOOKUP(CONCATENATE(B16,"_TM6"),Orig!A:P,12,FALSE)</f>
        <v>262</v>
      </c>
      <c r="V16" s="16">
        <f>VLOOKUP(CONCATENATE(B16,"_TM6"),Orig!A:P,12,FALSE)-VLOOKUP(CONCATENATE(B16,"_TM6"),Orig!A:P,13,FALSE)+50</f>
        <v>24</v>
      </c>
      <c r="W16" s="57" t="str">
        <f>VLOOKUP(CONCATENATE(B16,"_TM6"),Orig!A:P,15,FALSE)</f>
        <v>Q</v>
      </c>
      <c r="X16" s="36" t="s">
        <v>1328</v>
      </c>
    </row>
    <row r="17" spans="2:24" x14ac:dyDescent="0.2">
      <c r="B17" s="12" t="str">
        <f t="shared" si="5"/>
        <v>ACM2_human_most</v>
      </c>
      <c r="C17" s="12" t="s">
        <v>219</v>
      </c>
      <c r="D17" s="30" t="s">
        <v>1335</v>
      </c>
      <c r="E17" s="12" t="s">
        <v>1320</v>
      </c>
      <c r="J17" s="42" t="e">
        <f>VLOOKUP(CONCATENATE(B17,"_TM6"),Orig!A:P,13,FALSE)-VLOOKUP(CONCATENATE(B17,"_TM5"),Orig!A:P,13,FALSE)</f>
        <v>#N/A</v>
      </c>
      <c r="K17" s="40" t="e">
        <f t="shared" si="6"/>
        <v>#N/A</v>
      </c>
      <c r="L17" s="40"/>
      <c r="M17" s="40" t="e">
        <f t="shared" si="7"/>
        <v>#N/A</v>
      </c>
      <c r="N17" s="40"/>
      <c r="R17" s="12" t="e">
        <f>VLOOKUP(CONCATENATE(B17,"_TM5"),Orig!A:P,15,FALSE)</f>
        <v>#N/A</v>
      </c>
      <c r="S17" s="16" t="e">
        <f>VLOOKUP(CONCATENATE(B17,"_TM5"),Orig!A:P,15,FALSE)-VLOOKUP(CONCATENATE(B17,"_TM5"),Orig!A:P,13,FALSE)+50</f>
        <v>#N/A</v>
      </c>
      <c r="T17" s="3">
        <v>67</v>
      </c>
      <c r="U17" s="34" t="e">
        <f>VLOOKUP(CONCATENATE(B17,"_TM6"),Orig!A:P,12,FALSE)</f>
        <v>#N/A</v>
      </c>
      <c r="V17" s="16" t="e">
        <f>VLOOKUP(CONCATENATE(B17,"_TM6"),Orig!A:P,12,FALSE)-VLOOKUP(CONCATENATE(B17,"_TM6"),Orig!A:P,13,FALSE)+50</f>
        <v>#N/A</v>
      </c>
      <c r="W17" s="57" t="e">
        <f>VLOOKUP(CONCATENATE(B17,"_TM6"),Orig!A:P,15,FALSE)</f>
        <v>#N/A</v>
      </c>
    </row>
    <row r="18" spans="2:24" x14ac:dyDescent="0.2">
      <c r="B18" s="12" t="str">
        <f t="shared" si="5"/>
        <v xml:space="preserve">ACM2_human_4MQS </v>
      </c>
      <c r="C18" s="12" t="s">
        <v>219</v>
      </c>
      <c r="D18" s="12" t="s">
        <v>1329</v>
      </c>
      <c r="E18" s="12" t="s">
        <v>1321</v>
      </c>
      <c r="F18" s="12" t="s">
        <v>1327</v>
      </c>
      <c r="H18" s="12" t="s">
        <v>1330</v>
      </c>
      <c r="J18" s="42" t="e">
        <f>VLOOKUP(CONCATENATE(B18,"_TM6"),Orig!A:P,13,FALSE)-VLOOKUP(CONCATENATE(B18,"_TM5"),Orig!A:P,13,FALSE)</f>
        <v>#N/A</v>
      </c>
      <c r="K18" s="40" t="e">
        <f t="shared" si="6"/>
        <v>#N/A</v>
      </c>
      <c r="L18" s="40"/>
      <c r="M18" s="40" t="e">
        <f t="shared" si="7"/>
        <v>#N/A</v>
      </c>
      <c r="N18" s="40"/>
      <c r="R18" s="12" t="e">
        <f>VLOOKUP(CONCATENATE(B18,"_TM5"),Orig!A:P,15,FALSE)</f>
        <v>#N/A</v>
      </c>
      <c r="S18" s="16" t="e">
        <f>VLOOKUP(CONCATENATE(B18,"_TM5"),Orig!A:P,15,FALSE)-VLOOKUP(CONCATENATE(B18,"_TM5"),Orig!A:P,13,FALSE)+50</f>
        <v>#N/A</v>
      </c>
      <c r="T18" s="3">
        <v>67</v>
      </c>
      <c r="U18" s="34" t="e">
        <f>VLOOKUP(CONCATENATE(B18,"_TM6"),Orig!A:P,12,FALSE)</f>
        <v>#N/A</v>
      </c>
      <c r="V18" s="16" t="e">
        <f>VLOOKUP(CONCATENATE(B18,"_TM6"),Orig!A:P,12,FALSE)-VLOOKUP(CONCATENATE(B18,"_TM6"),Orig!A:P,13,FALSE)+50</f>
        <v>#N/A</v>
      </c>
      <c r="W18" s="57" t="e">
        <f>VLOOKUP(CONCATENATE(B18,"_TM6"),Orig!A:P,15,FALSE)</f>
        <v>#N/A</v>
      </c>
      <c r="X18" s="36" t="s">
        <v>1328</v>
      </c>
    </row>
    <row r="19" spans="2:24" x14ac:dyDescent="0.2">
      <c r="B19" s="12" t="str">
        <f t="shared" si="5"/>
        <v>ACM2_human_4MQT</v>
      </c>
      <c r="C19" s="12" t="s">
        <v>219</v>
      </c>
      <c r="D19" s="30" t="s">
        <v>1253</v>
      </c>
      <c r="E19" s="12" t="s">
        <v>1321</v>
      </c>
      <c r="F19" s="12" t="s">
        <v>1327</v>
      </c>
      <c r="J19" s="42" t="e">
        <f>VLOOKUP(CONCATENATE(B19,"_TM6"),Orig!A:P,13,FALSE)-VLOOKUP(CONCATENATE(B19,"_TM5"),Orig!A:P,13,FALSE)</f>
        <v>#N/A</v>
      </c>
      <c r="K19" s="40" t="e">
        <f t="shared" si="6"/>
        <v>#N/A</v>
      </c>
      <c r="L19" s="40"/>
      <c r="M19" s="40" t="e">
        <f t="shared" si="7"/>
        <v>#N/A</v>
      </c>
      <c r="N19" s="40"/>
      <c r="R19" s="12" t="e">
        <f>VLOOKUP(CONCATENATE(B19,"_TM5"),Orig!A:P,15,FALSE)</f>
        <v>#N/A</v>
      </c>
      <c r="S19" s="16" t="e">
        <f>VLOOKUP(CONCATENATE(B19,"_TM5"),Orig!A:P,15,FALSE)-VLOOKUP(CONCATENATE(B19,"_TM5"),Orig!A:P,13,FALSE)+50</f>
        <v>#N/A</v>
      </c>
      <c r="T19" s="3">
        <v>67</v>
      </c>
      <c r="U19" s="34" t="e">
        <f>VLOOKUP(CONCATENATE(B19,"_TM6"),Orig!A:P,12,FALSE)</f>
        <v>#N/A</v>
      </c>
      <c r="V19" s="16" t="e">
        <f>VLOOKUP(CONCATENATE(B19,"_TM6"),Orig!A:P,12,FALSE)-VLOOKUP(CONCATENATE(B19,"_TM6"),Orig!A:P,13,FALSE)+50</f>
        <v>#N/A</v>
      </c>
      <c r="W19" s="57" t="e">
        <f>VLOOKUP(CONCATENATE(B19,"_TM6"),Orig!A:P,15,FALSE)</f>
        <v>#N/A</v>
      </c>
      <c r="X19" s="36" t="s">
        <v>1328</v>
      </c>
    </row>
    <row r="20" spans="2:24" x14ac:dyDescent="0.2">
      <c r="B20" s="12" t="str">
        <f t="shared" si="5"/>
        <v>OPRM_human_most</v>
      </c>
      <c r="C20" s="12" t="s">
        <v>1313</v>
      </c>
      <c r="D20" s="12" t="s">
        <v>1335</v>
      </c>
      <c r="E20" s="12" t="s">
        <v>1320</v>
      </c>
      <c r="J20" s="42" t="e">
        <f>VLOOKUP(CONCATENATE(B20,"_TM6"),Orig!A:P,13,FALSE)-VLOOKUP(CONCATENATE(B20,"_TM5"),Orig!A:P,13,FALSE)</f>
        <v>#N/A</v>
      </c>
      <c r="K20" s="40" t="e">
        <f t="shared" si="6"/>
        <v>#N/A</v>
      </c>
      <c r="L20" s="40"/>
      <c r="M20" s="40" t="e">
        <f t="shared" si="7"/>
        <v>#N/A</v>
      </c>
      <c r="N20" s="40"/>
      <c r="P20" s="31" t="s">
        <v>1217</v>
      </c>
      <c r="Q20" s="34">
        <v>262</v>
      </c>
      <c r="R20" s="12" t="e">
        <f>VLOOKUP(CONCATENATE(B20,"_TM5"),Orig!A:P,15,FALSE)</f>
        <v>#N/A</v>
      </c>
      <c r="S20" s="16" t="e">
        <f>VLOOKUP(CONCATENATE(B20,"_TM5"),Orig!A:P,15,FALSE)-VLOOKUP(CONCATENATE(B20,"_TM5"),Orig!A:P,13,FALSE)+50</f>
        <v>#N/A</v>
      </c>
      <c r="T20" s="3">
        <v>68</v>
      </c>
      <c r="U20" s="34" t="e">
        <f>VLOOKUP(CONCATENATE(B20,"_TM6"),Orig!A:P,12,FALSE)</f>
        <v>#N/A</v>
      </c>
      <c r="V20" s="16" t="e">
        <f>VLOOKUP(CONCATENATE(B20,"_TM6"),Orig!A:P,12,FALSE)-VLOOKUP(CONCATENATE(B20,"_TM6"),Orig!A:P,13,FALSE)+50</f>
        <v>#N/A</v>
      </c>
      <c r="W20" s="57" t="e">
        <f>VLOOKUP(CONCATENATE(B20,"_TM6"),Orig!A:P,15,FALSE)</f>
        <v>#N/A</v>
      </c>
    </row>
    <row r="21" spans="2:24" x14ac:dyDescent="0.2">
      <c r="B21" s="12" t="str">
        <f t="shared" si="5"/>
        <v>ADRB2_human_4GBR</v>
      </c>
      <c r="C21" s="12" t="s">
        <v>211</v>
      </c>
      <c r="D21" s="30" t="s">
        <v>1322</v>
      </c>
      <c r="E21" s="12" t="s">
        <v>1320</v>
      </c>
      <c r="F21" s="12" t="s">
        <v>129</v>
      </c>
      <c r="J21" s="42" t="e">
        <f>VLOOKUP(CONCATENATE(B21,"_TM6"),Orig!A:P,13,FALSE)-VLOOKUP(CONCATENATE(B21,"_TM5"),Orig!A:P,13,FALSE)</f>
        <v>#N/A</v>
      </c>
      <c r="K21" s="40" t="e">
        <f t="shared" si="6"/>
        <v>#N/A</v>
      </c>
      <c r="L21" s="40"/>
      <c r="M21" s="40" t="e">
        <f t="shared" si="7"/>
        <v>#N/A</v>
      </c>
      <c r="N21" s="40"/>
      <c r="P21" s="31" t="s">
        <v>1222</v>
      </c>
      <c r="Q21" s="34">
        <v>237</v>
      </c>
      <c r="R21" s="12" t="e">
        <f>VLOOKUP(CONCATENATE(B21,"_TM5"),Orig!A:P,15,FALSE)</f>
        <v>#N/A</v>
      </c>
      <c r="S21" s="16" t="e">
        <f>VLOOKUP(CONCATENATE(B21,"_TM5"),Orig!A:P,15,FALSE)-VLOOKUP(CONCATENATE(B21,"_TM5"),Orig!A:P,13,FALSE)+50</f>
        <v>#N/A</v>
      </c>
      <c r="T21" s="3">
        <v>71</v>
      </c>
      <c r="U21" s="34" t="e">
        <f>VLOOKUP(CONCATENATE(B21,"_TM6"),Orig!A:P,12,FALSE)</f>
        <v>#N/A</v>
      </c>
      <c r="V21" s="16" t="e">
        <f>VLOOKUP(CONCATENATE(B21,"_TM6"),Orig!A:P,12,FALSE)-VLOOKUP(CONCATENATE(B21,"_TM6"),Orig!A:P,13,FALSE)+50</f>
        <v>#N/A</v>
      </c>
      <c r="W21" s="57" t="e">
        <f>VLOOKUP(CONCATENATE(B21,"_TM6"),Orig!A:P,15,FALSE)</f>
        <v>#N/A</v>
      </c>
      <c r="X21" s="34" t="s">
        <v>1324</v>
      </c>
    </row>
    <row r="22" spans="2:24" x14ac:dyDescent="0.2">
      <c r="B22" s="12" t="str">
        <f t="shared" si="5"/>
        <v>OPSD_bovin_2J4Y</v>
      </c>
      <c r="C22" s="12" t="s">
        <v>231</v>
      </c>
      <c r="D22" s="30" t="s">
        <v>1347</v>
      </c>
      <c r="E22" s="12" t="s">
        <v>1320</v>
      </c>
      <c r="J22" s="42" t="e">
        <f>VLOOKUP(CONCATENATE(B22,"_TM6"),Orig!A:P,13,FALSE)-VLOOKUP(CONCATENATE(B22,"_TM5"),Orig!A:P,13,FALSE)</f>
        <v>#N/A</v>
      </c>
      <c r="K22" s="40" t="e">
        <f t="shared" si="6"/>
        <v>#N/A</v>
      </c>
      <c r="L22" s="40"/>
      <c r="M22" s="40" t="e">
        <f t="shared" si="7"/>
        <v>#N/A</v>
      </c>
      <c r="N22" s="40"/>
      <c r="O22" s="40" t="s">
        <v>1333</v>
      </c>
      <c r="P22" s="31" t="s">
        <v>1219</v>
      </c>
      <c r="Q22" s="34">
        <v>237</v>
      </c>
      <c r="R22" s="12" t="e">
        <f>VLOOKUP(CONCATENATE(B22,"_TM5"),Orig!A:P,15,FALSE)</f>
        <v>#N/A</v>
      </c>
      <c r="S22" s="16" t="e">
        <f>VLOOKUP(CONCATENATE(B22,"_TM5"),Orig!A:P,15,FALSE)-VLOOKUP(CONCATENATE(B22,"_TM5"),Orig!A:P,13,FALSE)+50</f>
        <v>#N/A</v>
      </c>
      <c r="T22" s="3">
        <v>72</v>
      </c>
      <c r="U22" s="34" t="e">
        <f>VLOOKUP(CONCATENATE(B22,"_TM6"),Orig!A:P,12,FALSE)</f>
        <v>#N/A</v>
      </c>
      <c r="V22" s="16" t="e">
        <f>VLOOKUP(CONCATENATE(B22,"_TM6"),Orig!A:P,12,FALSE)-VLOOKUP(CONCATENATE(B22,"_TM6"),Orig!A:P,13,FALSE)+50</f>
        <v>#N/A</v>
      </c>
      <c r="W22" s="57" t="e">
        <f>VLOOKUP(CONCATENATE(B22,"_TM6"),Orig!A:P,15,FALSE)</f>
        <v>#N/A</v>
      </c>
      <c r="X22" s="36" t="s">
        <v>1337</v>
      </c>
    </row>
    <row r="23" spans="2:24" x14ac:dyDescent="0.2">
      <c r="B23" s="12" t="str">
        <f t="shared" si="5"/>
        <v>OPSD_bovin_3C9M</v>
      </c>
      <c r="C23" s="12" t="s">
        <v>231</v>
      </c>
      <c r="D23" s="30" t="s">
        <v>1336</v>
      </c>
      <c r="E23" s="12" t="s">
        <v>1320</v>
      </c>
      <c r="J23" s="42" t="e">
        <f>VLOOKUP(CONCATENATE(B23,"_TM6"),Orig!A:P,13,FALSE)-VLOOKUP(CONCATENATE(B23,"_TM5"),Orig!A:P,13,FALSE)</f>
        <v>#N/A</v>
      </c>
      <c r="K23" s="40" t="e">
        <f t="shared" si="6"/>
        <v>#N/A</v>
      </c>
      <c r="L23" s="40"/>
      <c r="M23" s="40" t="e">
        <f t="shared" si="7"/>
        <v>#N/A</v>
      </c>
      <c r="N23" s="40"/>
      <c r="O23" s="40" t="s">
        <v>1333</v>
      </c>
      <c r="P23" s="31" t="s">
        <v>1219</v>
      </c>
      <c r="Q23" s="34">
        <v>237</v>
      </c>
      <c r="R23" s="12" t="e">
        <f>VLOOKUP(CONCATENATE(B23,"_TM5"),Orig!A:P,15,FALSE)</f>
        <v>#N/A</v>
      </c>
      <c r="S23" s="16" t="e">
        <f>VLOOKUP(CONCATENATE(B23,"_TM5"),Orig!A:P,15,FALSE)-VLOOKUP(CONCATENATE(B23,"_TM5"),Orig!A:P,13,FALSE)+50</f>
        <v>#N/A</v>
      </c>
      <c r="T23" s="3">
        <v>72</v>
      </c>
      <c r="U23" s="34" t="e">
        <f>VLOOKUP(CONCATENATE(B23,"_TM6"),Orig!A:P,12,FALSE)</f>
        <v>#N/A</v>
      </c>
      <c r="V23" s="16" t="e">
        <f>VLOOKUP(CONCATENATE(B23,"_TM6"),Orig!A:P,12,FALSE)-VLOOKUP(CONCATENATE(B23,"_TM6"),Orig!A:P,13,FALSE)+50</f>
        <v>#N/A</v>
      </c>
      <c r="W23" s="57" t="e">
        <f>VLOOKUP(CONCATENATE(B23,"_TM6"),Orig!A:P,15,FALSE)</f>
        <v>#N/A</v>
      </c>
      <c r="X23" s="36" t="s">
        <v>1337</v>
      </c>
    </row>
    <row r="24" spans="2:24" x14ac:dyDescent="0.2">
      <c r="B24" s="12" t="str">
        <f t="shared" si="5"/>
        <v>AA2AR_human_2YDO</v>
      </c>
      <c r="C24" s="2" t="s">
        <v>210</v>
      </c>
      <c r="D24" s="12" t="s">
        <v>1235</v>
      </c>
      <c r="E24" s="12" t="s">
        <v>1321</v>
      </c>
      <c r="F24" s="12" t="s">
        <v>1317</v>
      </c>
      <c r="J24" s="42" t="e">
        <f>VLOOKUP(CONCATENATE(B24,"_TM6"),Orig!A:P,13,FALSE)-VLOOKUP(CONCATENATE(B24,"_TM5"),Orig!A:P,13,FALSE)</f>
        <v>#N/A</v>
      </c>
      <c r="K24" s="40" t="e">
        <f t="shared" si="6"/>
        <v>#N/A</v>
      </c>
      <c r="L24" s="40"/>
      <c r="M24" s="40" t="e">
        <f t="shared" si="7"/>
        <v>#N/A</v>
      </c>
      <c r="N24" s="40"/>
      <c r="O24" s="2" t="s">
        <v>1333</v>
      </c>
      <c r="P24" s="31" t="s">
        <v>1218</v>
      </c>
      <c r="Q24" s="34">
        <v>213</v>
      </c>
      <c r="R24" s="12" t="e">
        <f>VLOOKUP(CONCATENATE(B24,"_TM5"),Orig!A:P,15,FALSE)</f>
        <v>#N/A</v>
      </c>
      <c r="S24" s="16" t="e">
        <f>VLOOKUP(CONCATENATE(B24,"_TM5"),Orig!A:P,15,FALSE)-VLOOKUP(CONCATENATE(B24,"_TM5"),Orig!A:P,13,FALSE)+50</f>
        <v>#N/A</v>
      </c>
      <c r="T24" s="3">
        <v>74</v>
      </c>
      <c r="U24" s="34" t="e">
        <f>VLOOKUP(CONCATENATE(B24,"_TM6"),Orig!A:P,12,FALSE)</f>
        <v>#N/A</v>
      </c>
      <c r="V24" s="16" t="e">
        <f>VLOOKUP(CONCATENATE(B24,"_TM6"),Orig!A:P,12,FALSE)-VLOOKUP(CONCATENATE(B24,"_TM6"),Orig!A:P,13,FALSE)+50</f>
        <v>#N/A</v>
      </c>
      <c r="W24" s="57" t="e">
        <f>VLOOKUP(CONCATENATE(B24,"_TM6"),Orig!A:P,15,FALSE)</f>
        <v>#N/A</v>
      </c>
      <c r="X24" s="34" t="s">
        <v>1326</v>
      </c>
    </row>
    <row r="25" spans="2:24" x14ac:dyDescent="0.2">
      <c r="B25" s="12" t="str">
        <f t="shared" si="5"/>
        <v>AA2AR_human_3REY</v>
      </c>
      <c r="C25" s="2" t="s">
        <v>210</v>
      </c>
      <c r="D25" s="30" t="s">
        <v>275</v>
      </c>
      <c r="E25" s="12" t="s">
        <v>1320</v>
      </c>
      <c r="F25" s="12" t="s">
        <v>129</v>
      </c>
      <c r="J25" s="42">
        <f>VLOOKUP(CONCATENATE(B25,"_TM6"),Orig!A:P,13,FALSE)-VLOOKUP(CONCATENATE(B25,"_TM5"),Orig!A:P,13,FALSE)</f>
        <v>59</v>
      </c>
      <c r="K25" s="40" t="e">
        <f t="shared" si="6"/>
        <v>#VALUE!</v>
      </c>
      <c r="L25" s="40"/>
      <c r="M25" s="40" t="e">
        <f t="shared" si="7"/>
        <v>#VALUE!</v>
      </c>
      <c r="N25" s="40"/>
      <c r="P25" s="31" t="s">
        <v>1218</v>
      </c>
      <c r="Q25" s="34">
        <v>213</v>
      </c>
      <c r="R25" s="12" t="str">
        <f>VLOOKUP(CONCATENATE(B25,"_TM5"),Orig!A:P,15,FALSE)</f>
        <v>S</v>
      </c>
      <c r="S25" s="16" t="e">
        <f>VLOOKUP(CONCATENATE(B25,"_TM5"),Orig!A:P,15,FALSE)-VLOOKUP(CONCATENATE(B25,"_TM5"),Orig!A:P,13,FALSE)+50</f>
        <v>#VALUE!</v>
      </c>
      <c r="T25" s="3">
        <v>74</v>
      </c>
      <c r="U25" s="34">
        <f>VLOOKUP(CONCATENATE(B25,"_TM6"),Orig!A:P,12,FALSE)</f>
        <v>219</v>
      </c>
      <c r="V25" s="16">
        <f>VLOOKUP(CONCATENATE(B25,"_TM6"),Orig!A:P,12,FALSE)-VLOOKUP(CONCATENATE(B25,"_TM6"),Orig!A:P,13,FALSE)+50</f>
        <v>21</v>
      </c>
      <c r="W25" s="57" t="str">
        <f>VLOOKUP(CONCATENATE(B25,"_TM6"),Orig!A:P,15,FALSE)</f>
        <v>C</v>
      </c>
    </row>
    <row r="26" spans="2:24" x14ac:dyDescent="0.2">
      <c r="B26" s="12" t="str">
        <f t="shared" si="5"/>
        <v>AA2AR_human_3VG9</v>
      </c>
      <c r="C26" s="2" t="s">
        <v>210</v>
      </c>
      <c r="D26" s="30" t="s">
        <v>1319</v>
      </c>
      <c r="E26" s="12" t="s">
        <v>1320</v>
      </c>
      <c r="F26" s="12" t="s">
        <v>129</v>
      </c>
      <c r="J26" s="42" t="e">
        <f>VLOOKUP(CONCATENATE(B26,"_TM6"),Orig!A:P,13,FALSE)-VLOOKUP(CONCATENATE(B26,"_TM5"),Orig!A:P,13,FALSE)</f>
        <v>#N/A</v>
      </c>
      <c r="K26" s="40" t="e">
        <f t="shared" si="6"/>
        <v>#N/A</v>
      </c>
      <c r="L26" s="40"/>
      <c r="M26" s="40" t="e">
        <f t="shared" si="7"/>
        <v>#N/A</v>
      </c>
      <c r="N26" s="40"/>
      <c r="P26" s="31" t="s">
        <v>1218</v>
      </c>
      <c r="Q26" s="34">
        <v>213</v>
      </c>
      <c r="R26" s="12" t="e">
        <f>VLOOKUP(CONCATENATE(B26,"_TM5"),Orig!A:P,15,FALSE)</f>
        <v>#N/A</v>
      </c>
      <c r="S26" s="16" t="e">
        <f>VLOOKUP(CONCATENATE(B26,"_TM5"),Orig!A:P,15,FALSE)-VLOOKUP(CONCATENATE(B26,"_TM5"),Orig!A:P,13,FALSE)+50</f>
        <v>#N/A</v>
      </c>
      <c r="T26" s="3">
        <v>74</v>
      </c>
      <c r="U26" s="34" t="e">
        <f>VLOOKUP(CONCATENATE(B26,"_TM6"),Orig!A:P,12,FALSE)</f>
        <v>#N/A</v>
      </c>
      <c r="V26" s="16" t="e">
        <f>VLOOKUP(CONCATENATE(B26,"_TM6"),Orig!A:P,12,FALSE)-VLOOKUP(CONCATENATE(B26,"_TM6"),Orig!A:P,13,FALSE)+50</f>
        <v>#N/A</v>
      </c>
      <c r="W26" s="57" t="e">
        <f>VLOOKUP(CONCATENATE(B26,"_TM6"),Orig!A:P,15,FALSE)</f>
        <v>#N/A</v>
      </c>
    </row>
  </sheetData>
  <sortState ref="A2:X10">
    <sortCondition ref="J2:J10"/>
  </sortState>
  <customSheetViews>
    <customSheetView guid="{3E3401AF-8459-8641-BD70-AD04F80E86ED}" scale="142">
      <selection activeCell="G9" sqref="G9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Y2" sqref="A1:Y2"/>
    </sheetView>
  </sheetViews>
  <sheetFormatPr baseColWidth="10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62" t="s">
        <v>1267</v>
      </c>
      <c r="C1" s="11" t="s">
        <v>1268</v>
      </c>
      <c r="D1" s="11" t="s">
        <v>1284</v>
      </c>
      <c r="E1" s="11" t="s">
        <v>1285</v>
      </c>
      <c r="F1" s="11" t="s">
        <v>1269</v>
      </c>
      <c r="G1" s="11" t="s">
        <v>1270</v>
      </c>
      <c r="H1" s="11" t="s">
        <v>1286</v>
      </c>
      <c r="I1" s="11" t="s">
        <v>1287</v>
      </c>
      <c r="J1" s="11" t="s">
        <v>1271</v>
      </c>
      <c r="K1" s="11" t="s">
        <v>1272</v>
      </c>
      <c r="L1" s="11" t="s">
        <v>1299</v>
      </c>
      <c r="M1" s="11" t="s">
        <v>1300</v>
      </c>
      <c r="N1" s="11" t="s">
        <v>1273</v>
      </c>
      <c r="O1" s="11" t="s">
        <v>1274</v>
      </c>
      <c r="P1" s="11" t="s">
        <v>1302</v>
      </c>
      <c r="Q1" s="11" t="s">
        <v>1303</v>
      </c>
      <c r="R1" s="11" t="s">
        <v>1275</v>
      </c>
      <c r="S1" s="11" t="s">
        <v>1276</v>
      </c>
      <c r="T1" s="11" t="s">
        <v>1277</v>
      </c>
      <c r="U1" s="11" t="s">
        <v>1278</v>
      </c>
      <c r="V1" s="11" t="s">
        <v>1279</v>
      </c>
      <c r="W1" s="11" t="s">
        <v>1280</v>
      </c>
      <c r="X1" s="11" t="s">
        <v>1281</v>
      </c>
      <c r="Y1" s="11" t="s">
        <v>1282</v>
      </c>
    </row>
    <row r="2" spans="1:25" x14ac:dyDescent="0.2">
      <c r="A2" s="1" t="s">
        <v>1557</v>
      </c>
      <c r="B2" s="1">
        <f>MIN('NonXtal_SegEnds_BW#'!C:C)</f>
        <v>19</v>
      </c>
      <c r="C2" s="1">
        <f>MAX('NonXtal_SegEnds_BW#'!D:D)</f>
        <v>64</v>
      </c>
      <c r="D2" s="1">
        <f>MIN('NonXtal_SegEnds_BW#'!E:E)</f>
        <v>47</v>
      </c>
      <c r="E2" s="1">
        <f>MAX('NonXtal_SegEnds_BW#'!F:F)</f>
        <v>53</v>
      </c>
      <c r="F2" s="1">
        <f>MIN('NonXtal_SegEnds_BW#'!G:G)</f>
        <v>37</v>
      </c>
      <c r="G2" s="1">
        <f>MAX('NonXtal_SegEnds_BW#'!H:H)</f>
        <v>69</v>
      </c>
      <c r="H2" s="1">
        <f>MIN('NonXtal_SegEnds_BW#'!I:I)</f>
        <v>47</v>
      </c>
      <c r="I2" s="1">
        <f>MAX('NonXtal_SegEnds_BW#'!J:J)</f>
        <v>53</v>
      </c>
      <c r="J2" s="1">
        <f>MIN('NonXtal_SegEnds_BW#'!K:K)</f>
        <v>18</v>
      </c>
      <c r="K2" s="1">
        <f>MAX('NonXtal_SegEnds_BW#'!L:L)</f>
        <v>59</v>
      </c>
      <c r="L2" s="1">
        <f>MIN('NonXtal_SegEnds_BW#'!M:M)</f>
        <v>50</v>
      </c>
      <c r="M2" s="1">
        <f>MAX('NonXtal_SegEnds_BW#'!N:N)</f>
        <v>58</v>
      </c>
      <c r="N2" s="1">
        <f>MIN('NonXtal_SegEnds_BW#'!O:O)</f>
        <v>38</v>
      </c>
      <c r="O2" s="1">
        <f>MAX('NonXtal_SegEnds_BW#'!P:P)</f>
        <v>69</v>
      </c>
      <c r="P2" s="1">
        <f>MIN('NonXtal_SegEnds_BW#'!Q:Q)</f>
        <v>50</v>
      </c>
      <c r="Q2" s="1">
        <f>MAX('NonXtal_SegEnds_BW#'!R:R)</f>
        <v>52</v>
      </c>
      <c r="R2" s="1">
        <f>MIN('NonXtal_SegEnds_BW#'!S:S)</f>
        <v>29</v>
      </c>
      <c r="S2" s="1">
        <f>MAX('NonXtal_SegEnds_BW#'!T:T)</f>
        <v>76</v>
      </c>
      <c r="T2" s="1">
        <f>MIN('NonXtal_SegEnds_BW#'!U:U)</f>
        <v>20</v>
      </c>
      <c r="U2" s="1">
        <f>MAX('NonXtal_SegEnds_BW#'!V:V)</f>
        <v>75</v>
      </c>
      <c r="V2" s="1">
        <f>MIN('NonXtal_SegEnds_BW#'!W:W)</f>
        <v>24</v>
      </c>
      <c r="W2" s="1">
        <f>MAX('NonXtal_SegEnds_BW#'!X:X)</f>
        <v>63</v>
      </c>
      <c r="X2" s="1">
        <f>MIN('NonXtal_SegEnds_BW#'!Y:Y)</f>
        <v>47</v>
      </c>
      <c r="Y2" s="1">
        <f>MAX('NonXtal_SegEnds_BW#'!Z:Z)</f>
        <v>72</v>
      </c>
    </row>
  </sheetData>
  <customSheetViews>
    <customSheetView guid="{3E3401AF-8459-8641-BD70-AD04F80E86ED}">
      <selection activeCell="Y2" sqref="A1:Y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Xtal_SegEnds_Prot#</vt:lpstr>
      <vt:lpstr>Xtal_SegEnds_BW#</vt:lpstr>
      <vt:lpstr>ICL3</vt:lpstr>
      <vt:lpstr>NonXtal_SegEnds_BW#</vt:lpstr>
      <vt:lpstr>NonXtal_SegEnds_Prot#</vt:lpstr>
      <vt:lpstr>Xtal_Bulges_Constr_GPCRdb#</vt:lpstr>
      <vt:lpstr>NonXtal_Bulges_Constr_GPCRdb#</vt:lpstr>
      <vt:lpstr>Seqs4TemplSearch</vt:lpstr>
      <vt:lpstr>Seqs</vt:lpstr>
      <vt:lpstr>Xtal_Templ</vt:lpstr>
      <vt:lpstr>Classification</vt:lpstr>
      <vt:lpstr>Orig</vt:lpstr>
      <vt:lpstr>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Microsoft Office User</cp:lastModifiedBy>
  <cp:revision/>
  <dcterms:created xsi:type="dcterms:W3CDTF">2016-02-16T16:06:34Z</dcterms:created>
  <dcterms:modified xsi:type="dcterms:W3CDTF">2016-09-12T11:01:15Z</dcterms:modified>
  <cp:category/>
  <cp:contentStatus/>
</cp:coreProperties>
</file>